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68F9E83D-88EC-4462-AD5F-A44C77FE77DB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</calcChain>
</file>

<file path=xl/sharedStrings.xml><?xml version="1.0" encoding="utf-8"?>
<sst xmlns="http://schemas.openxmlformats.org/spreadsheetml/2006/main" count="12416" uniqueCount="102">
  <si>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</si>
  <si>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</si>
  <si>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</si>
  <si>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</si>
  <si>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</si>
  <si>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</si>
  <si>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</si>
  <si>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</si>
  <si>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</si>
  <si>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</si>
  <si>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</si>
  <si>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</si>
  <si>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</si>
  <si>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</si>
  <si>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</si>
  <si>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</si>
  <si>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</si>
  <si>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</si>
  <si>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</si>
  <si>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</si>
  <si>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</si>
  <si>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</si>
  <si>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</si>
  <si>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</si>
  <si>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</si>
  <si>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</si>
  <si>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</si>
  <si>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</si>
  <si>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</si>
  <si>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</si>
  <si>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</si>
  <si>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</si>
  <si>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</si>
  <si>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</si>
  <si>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</si>
  <si>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</si>
  <si>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</si>
  <si>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</si>
  <si>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</si>
  <si>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</si>
  <si>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</si>
  <si>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Building 07 (16)</t>
  </si>
  <si>
    <t>Building 15 (24)</t>
  </si>
  <si>
    <t>FAR</t>
  </si>
  <si>
    <t>Box001</t>
  </si>
  <si>
    <t>mcp_roads_turn_01 (1)</t>
  </si>
  <si>
    <t>mcp_road_part_02</t>
  </si>
  <si>
    <t>Plane_01</t>
  </si>
  <si>
    <t>Kooper</t>
  </si>
  <si>
    <t>Building 18 (9)</t>
  </si>
  <si>
    <t>Building 07 (13)</t>
  </si>
  <si>
    <t>mcp_roads_T_cross_01</t>
  </si>
  <si>
    <t>Building 15 (35)</t>
  </si>
  <si>
    <t>Building 15 (34)</t>
  </si>
  <si>
    <t>Building 29 (5)</t>
  </si>
  <si>
    <t>Building 21 (2)</t>
  </si>
  <si>
    <t>Tree 02 (7)</t>
  </si>
  <si>
    <t>Tree 02 (6)</t>
  </si>
  <si>
    <t>Building 23 (4)</t>
  </si>
  <si>
    <t>Tong (5)</t>
  </si>
  <si>
    <t>Stand 03 (4)</t>
  </si>
  <si>
    <t>Building 07 (18)</t>
  </si>
  <si>
    <t>mcp_roads_cross_02</t>
  </si>
  <si>
    <t>mcp_road_part_01</t>
  </si>
  <si>
    <t>Floor 01</t>
  </si>
  <si>
    <t>mcp_roads_cross_01</t>
  </si>
  <si>
    <t>Building 15 (31)</t>
  </si>
  <si>
    <t>Plane_01 (1)</t>
  </si>
  <si>
    <t>Building 15 (33)</t>
  </si>
  <si>
    <t>Building 07 (15)</t>
  </si>
  <si>
    <t>Building 24</t>
  </si>
  <si>
    <t>Building 11 (3)</t>
  </si>
  <si>
    <t>Tree 02 (3)</t>
  </si>
  <si>
    <t>Building 07 (17)</t>
  </si>
  <si>
    <t>mcp_roads_turn_01</t>
  </si>
  <si>
    <t>Building 18 (2)</t>
  </si>
  <si>
    <t>Building 01 (1)</t>
  </si>
  <si>
    <t>Building 09 (4)</t>
  </si>
  <si>
    <t>Building 15 (7)</t>
  </si>
  <si>
    <t>Building 15 (32)</t>
  </si>
  <si>
    <t>Building 15 (30)</t>
  </si>
  <si>
    <t>Building 02 (11)</t>
  </si>
  <si>
    <t>Stand 03 (2)</t>
  </si>
  <si>
    <t>Tong (3)</t>
  </si>
  <si>
    <t>Building 13 (1)</t>
  </si>
  <si>
    <t>Building 14 (16)</t>
  </si>
  <si>
    <t>Building 30 (5)</t>
  </si>
  <si>
    <t>Building 18 (7)</t>
  </si>
  <si>
    <t>mcp_road_part_02 (2)</t>
  </si>
  <si>
    <t>mcp_road_part_02 (1)</t>
  </si>
  <si>
    <t>Building 30 (4)</t>
  </si>
  <si>
    <t>mcp_road_part_02 (3)</t>
  </si>
  <si>
    <t>Shurbs (1)</t>
  </si>
  <si>
    <t>Building 07 (14)</t>
  </si>
  <si>
    <t>mcp_road_part_02 (8)</t>
  </si>
  <si>
    <t>mcp_road_part_02 (9)</t>
  </si>
  <si>
    <t>mcp_road_part_02 (6)</t>
  </si>
  <si>
    <t>mcp_road_part_02 (12)</t>
  </si>
  <si>
    <t>mcp_road_part_02 (10)</t>
  </si>
  <si>
    <t>mcp_road_part_02 (11)</t>
  </si>
  <si>
    <t>Building 18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</si>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</sst>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18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"20190304155311754"</f>
        <v>20190304155311754</v>
      </c>
      <c r="B2" t="str">
        <f>"1551685991745141"</f>
        <v>1551685991745141</v>
      </c>
      <c r="C2" t="s">
        <v>40</v>
      </c>
      <c r="D2">
        <v>4.0096740000000004</v>
      </c>
      <c r="E2">
        <v>0.51971699999999998</v>
      </c>
      <c r="F2" t="s">
        <v>41</v>
      </c>
      <c r="G2">
        <v>-158.19499999999999</v>
      </c>
      <c r="H2">
        <v>33.454159999999902</v>
      </c>
      <c r="I2">
        <v>355.81830000000002</v>
      </c>
      <c r="J2">
        <v>-476.59570000000002</v>
      </c>
      <c r="K2">
        <v>1.109721</v>
      </c>
      <c r="L2">
        <v>367.21789999999999</v>
      </c>
      <c r="M2">
        <v>0.99996629999999997</v>
      </c>
      <c r="N2">
        <v>-8.2158019999999995E-3</v>
      </c>
      <c r="O2">
        <v>-1.9253559999999999E-4</v>
      </c>
      <c r="P2">
        <v>0.98163409999999995</v>
      </c>
      <c r="Q2">
        <v>0.174585299999999</v>
      </c>
      <c r="R2">
        <v>7.6905680000000004E-2</v>
      </c>
      <c r="S2">
        <v>3.0098569999999998</v>
      </c>
      <c r="T2">
        <v>0.30574259999999998</v>
      </c>
      <c r="U2">
        <v>-0.1077576</v>
      </c>
      <c r="V2">
        <v>-7.7080700000000002E-2</v>
      </c>
      <c r="W2">
        <v>0.1826497</v>
      </c>
      <c r="X2">
        <v>0.98015180000000002</v>
      </c>
      <c r="Y2">
        <v>3.5420140000000003E-2</v>
      </c>
      <c r="Z2">
        <v>1.6268369999999999E-3</v>
      </c>
      <c r="AA2">
        <v>0.99937120000000002</v>
      </c>
      <c r="AB2">
        <v>1</v>
      </c>
      <c r="AC2">
        <v>318.40069999999997</v>
      </c>
      <c r="AD2">
        <v>32.344438999999902</v>
      </c>
      <c r="AE2">
        <v>-11.3995999999999</v>
      </c>
      <c r="AF2">
        <v>11.2226325397086</v>
      </c>
      <c r="AG2">
        <v>32.344438999999902</v>
      </c>
      <c r="AH2">
        <v>315.15486745909601</v>
      </c>
      <c r="AI2">
        <v>84.143918964552498</v>
      </c>
      <c r="AJ2">
        <v>87.960564915992705</v>
      </c>
      <c r="AK2">
        <v>317.00899151050402</v>
      </c>
      <c r="AL2">
        <v>79.475863928509</v>
      </c>
      <c r="AM2">
        <v>94.496576979739601</v>
      </c>
      <c r="AN2">
        <v>0.99999994913290802</v>
      </c>
    </row>
    <row r="3" spans="1:40" x14ac:dyDescent="0.25">
      <c r="A3" t="str">
        <f>"20190304155311778"</f>
        <v>20190304155311778</v>
      </c>
      <c r="B3" t="str">
        <f>"1551685991765637"</f>
        <v>1551685991765637</v>
      </c>
      <c r="C3" t="s">
        <v>40</v>
      </c>
      <c r="D3">
        <v>3.9829059999999998</v>
      </c>
      <c r="E3">
        <v>0.48727320000000002</v>
      </c>
      <c r="F3" t="s">
        <v>41</v>
      </c>
      <c r="G3">
        <v>-158.19499999999999</v>
      </c>
      <c r="H3">
        <v>42.294910000000002</v>
      </c>
      <c r="I3">
        <v>374.79059999999998</v>
      </c>
      <c r="J3">
        <v>-476.58780000000002</v>
      </c>
      <c r="K3">
        <v>1.109934</v>
      </c>
      <c r="L3">
        <v>367.21789999999999</v>
      </c>
      <c r="M3">
        <v>0.99996419999999997</v>
      </c>
      <c r="N3">
        <v>-8.4593819999999997E-3</v>
      </c>
      <c r="O3">
        <v>-2.054267E-4</v>
      </c>
      <c r="P3">
        <v>0.98168719999999998</v>
      </c>
      <c r="Q3">
        <v>0.17404919999999999</v>
      </c>
      <c r="R3">
        <v>7.7439919999999995E-2</v>
      </c>
      <c r="S3">
        <v>2.981995</v>
      </c>
      <c r="T3">
        <v>0.38572230000000002</v>
      </c>
      <c r="U3">
        <v>7.0922849999999996E-2</v>
      </c>
      <c r="V3">
        <v>-7.7629999999999894E-2</v>
      </c>
      <c r="W3">
        <v>0.1823525</v>
      </c>
      <c r="X3">
        <v>0.98016380000000003</v>
      </c>
      <c r="Y3">
        <v>-2.379535E-2</v>
      </c>
      <c r="Z3">
        <v>-1.459506E-3</v>
      </c>
      <c r="AA3">
        <v>0.99971580000000004</v>
      </c>
      <c r="AB3">
        <v>1</v>
      </c>
      <c r="AC3">
        <v>318.39280000000002</v>
      </c>
      <c r="AD3">
        <v>41.184975999999899</v>
      </c>
      <c r="AE3">
        <v>7.5726999999999904</v>
      </c>
      <c r="AF3">
        <v>-7.5124798602306999</v>
      </c>
      <c r="AG3">
        <v>41.184975999999899</v>
      </c>
      <c r="AH3">
        <v>313.15445970067799</v>
      </c>
      <c r="AI3">
        <v>82.509790456236203</v>
      </c>
      <c r="AJ3">
        <v>91.374244666120006</v>
      </c>
      <c r="AK3">
        <v>315.94042987910598</v>
      </c>
      <c r="AL3">
        <v>79.493183246663705</v>
      </c>
      <c r="AM3">
        <v>94.528432899912502</v>
      </c>
      <c r="AN3">
        <v>0.99999996299334404</v>
      </c>
    </row>
    <row r="4" spans="1:40" x14ac:dyDescent="0.25">
      <c r="A4" t="str">
        <f>"20190304155311799"</f>
        <v>20190304155311799</v>
      </c>
      <c r="B4" t="str">
        <f>"1551685991795893"</f>
        <v>1551685991795893</v>
      </c>
      <c r="C4" t="s">
        <v>40</v>
      </c>
      <c r="D4">
        <v>4.0020920000000002</v>
      </c>
      <c r="E4">
        <v>0.48533779999999999</v>
      </c>
      <c r="F4" t="s">
        <v>42</v>
      </c>
      <c r="G4">
        <v>-254.911</v>
      </c>
      <c r="H4">
        <v>24.73874</v>
      </c>
      <c r="I4">
        <v>391.75</v>
      </c>
      <c r="J4">
        <v>-476.58359999999999</v>
      </c>
      <c r="K4">
        <v>1.110355</v>
      </c>
      <c r="L4">
        <v>367.21789999999999</v>
      </c>
      <c r="M4">
        <v>0.99995339999999999</v>
      </c>
      <c r="N4">
        <v>-9.6496919999999996E-3</v>
      </c>
      <c r="O4">
        <v>-2.090739E-4</v>
      </c>
      <c r="P4">
        <v>0.98184009999999999</v>
      </c>
      <c r="Q4">
        <v>0.17306469999999999</v>
      </c>
      <c r="R4">
        <v>7.7708520000000003E-2</v>
      </c>
      <c r="S4">
        <v>2.9738159999999998</v>
      </c>
      <c r="T4">
        <v>0.31698300000000001</v>
      </c>
      <c r="U4">
        <v>0.32910159999999899</v>
      </c>
      <c r="V4">
        <v>-7.7906359999999994E-2</v>
      </c>
      <c r="W4">
        <v>0.1825339</v>
      </c>
      <c r="X4">
        <v>0.98010810000000004</v>
      </c>
      <c r="Y4">
        <v>-0.10964409999999999</v>
      </c>
      <c r="Z4">
        <v>-5.3016469999999996E-3</v>
      </c>
      <c r="AA4">
        <v>0.99395679999999997</v>
      </c>
      <c r="AB4">
        <v>1</v>
      </c>
      <c r="AC4">
        <v>221.67259999999999</v>
      </c>
      <c r="AD4">
        <v>23.628385000000002</v>
      </c>
      <c r="AE4">
        <v>24.5321</v>
      </c>
      <c r="AF4">
        <v>-24.3056350363556</v>
      </c>
      <c r="AG4">
        <v>23.628385000000002</v>
      </c>
      <c r="AH4">
        <v>219.20703121885299</v>
      </c>
      <c r="AI4">
        <v>83.885014428090003</v>
      </c>
      <c r="AJ4">
        <v>96.327100727893296</v>
      </c>
      <c r="AK4">
        <v>221.81250417416101</v>
      </c>
      <c r="AL4">
        <v>79.482612306829296</v>
      </c>
      <c r="AM4">
        <v>94.5447437326292</v>
      </c>
      <c r="AN4">
        <v>0.99999995663163399</v>
      </c>
    </row>
    <row r="5" spans="1:40" x14ac:dyDescent="0.25">
      <c r="A5" t="str">
        <f>"20190304155311825"</f>
        <v>20190304155311825</v>
      </c>
      <c r="B5" t="str">
        <f>"1551685991815413"</f>
        <v>1551685991815413</v>
      </c>
      <c r="C5" t="s">
        <v>40</v>
      </c>
      <c r="D5">
        <v>3.9627509999999999</v>
      </c>
      <c r="E5">
        <v>0.48434120000000003</v>
      </c>
      <c r="F5" t="s">
        <v>42</v>
      </c>
      <c r="G5">
        <v>-272.596</v>
      </c>
      <c r="H5">
        <v>21.130019999999998</v>
      </c>
      <c r="I5">
        <v>390.88350000000003</v>
      </c>
      <c r="J5">
        <v>-476.57330000000002</v>
      </c>
      <c r="K5">
        <v>1.110206</v>
      </c>
      <c r="L5">
        <v>367.21780000000001</v>
      </c>
      <c r="M5">
        <v>0.99995869999999998</v>
      </c>
      <c r="N5">
        <v>-9.0947489999999992E-3</v>
      </c>
      <c r="O5">
        <v>-2.1884439999999999E-4</v>
      </c>
      <c r="P5">
        <v>0.9817188</v>
      </c>
      <c r="Q5">
        <v>0.17343239999999999</v>
      </c>
      <c r="R5">
        <v>7.8419749999999996E-2</v>
      </c>
      <c r="S5">
        <v>2.9766539999999999</v>
      </c>
      <c r="T5">
        <v>0.2921339</v>
      </c>
      <c r="U5">
        <v>0.3453369</v>
      </c>
      <c r="V5">
        <v>-7.8628229999999993E-2</v>
      </c>
      <c r="W5">
        <v>0.18235670000000001</v>
      </c>
      <c r="X5">
        <v>0.9800835</v>
      </c>
      <c r="Y5">
        <v>-0.1149645</v>
      </c>
      <c r="Z5">
        <v>-5.1068820000000001E-3</v>
      </c>
      <c r="AA5">
        <v>0.99335649999999998</v>
      </c>
      <c r="AB5">
        <v>1</v>
      </c>
      <c r="AC5">
        <v>203.97730000000001</v>
      </c>
      <c r="AD5">
        <v>20.019814</v>
      </c>
      <c r="AE5">
        <v>23.665700000000001</v>
      </c>
      <c r="AF5">
        <v>-23.487097112402498</v>
      </c>
      <c r="AG5">
        <v>20.019814</v>
      </c>
      <c r="AH5">
        <v>202.05162716394099</v>
      </c>
      <c r="AI5">
        <v>84.379054636875495</v>
      </c>
      <c r="AJ5">
        <v>96.630478277643306</v>
      </c>
      <c r="AK5">
        <v>204.39495278249399</v>
      </c>
      <c r="AL5">
        <v>79.492939061618401</v>
      </c>
      <c r="AM5">
        <v>94.586790498999605</v>
      </c>
      <c r="AN5">
        <v>1.0000000157800299</v>
      </c>
    </row>
    <row r="6" spans="1:40" x14ac:dyDescent="0.25">
      <c r="A6" t="str">
        <f>"20190304155311847"</f>
        <v>20190304155311847</v>
      </c>
      <c r="B6" t="str">
        <f>"1551685991835909"</f>
        <v>1551685991835909</v>
      </c>
      <c r="C6" t="s">
        <v>40</v>
      </c>
      <c r="D6">
        <v>4.0097709999999998</v>
      </c>
      <c r="E6">
        <v>0.48461929999999998</v>
      </c>
      <c r="F6" t="s">
        <v>42</v>
      </c>
      <c r="G6">
        <v>-272.97309999999999</v>
      </c>
      <c r="H6">
        <v>20.739360000000001</v>
      </c>
      <c r="I6">
        <v>391.4907</v>
      </c>
      <c r="J6">
        <v>-476.55950000000001</v>
      </c>
      <c r="K6">
        <v>1.109858</v>
      </c>
      <c r="L6">
        <v>367.21780000000001</v>
      </c>
      <c r="M6">
        <v>0.99997009999999997</v>
      </c>
      <c r="N6">
        <v>-7.7436340000000001E-3</v>
      </c>
      <c r="O6">
        <v>-2.383087E-4</v>
      </c>
      <c r="P6">
        <v>0.98146750000000005</v>
      </c>
      <c r="Q6">
        <v>0.17483599999999999</v>
      </c>
      <c r="R6">
        <v>7.8448699999999996E-2</v>
      </c>
      <c r="S6">
        <v>2.976807</v>
      </c>
      <c r="T6">
        <v>0.286995099999999</v>
      </c>
      <c r="U6">
        <v>0.35488890000000001</v>
      </c>
      <c r="V6">
        <v>-7.8675209999999995E-2</v>
      </c>
      <c r="W6">
        <v>0.18243409999999999</v>
      </c>
      <c r="X6">
        <v>0.98006530000000003</v>
      </c>
      <c r="Y6">
        <v>-0.1181191</v>
      </c>
      <c r="Z6">
        <v>-5.2256380000000003E-3</v>
      </c>
      <c r="AA6">
        <v>0.99298569999999997</v>
      </c>
      <c r="AB6">
        <v>1</v>
      </c>
      <c r="AC6">
        <v>203.5864</v>
      </c>
      <c r="AD6">
        <v>19.629501999999999</v>
      </c>
      <c r="AE6">
        <v>24.2729</v>
      </c>
      <c r="AF6">
        <v>-24.1005062482303</v>
      </c>
      <c r="AG6">
        <v>19.629501999999999</v>
      </c>
      <c r="AH6">
        <v>201.731491194932</v>
      </c>
      <c r="AI6">
        <v>84.481323906059004</v>
      </c>
      <c r="AJ6">
        <v>96.812736439524599</v>
      </c>
      <c r="AK6">
        <v>204.112092463724</v>
      </c>
      <c r="AL6">
        <v>79.488428443733198</v>
      </c>
      <c r="AM6">
        <v>94.589604244466202</v>
      </c>
      <c r="AN6">
        <v>0.99999999088772196</v>
      </c>
    </row>
    <row r="7" spans="1:40" x14ac:dyDescent="0.25">
      <c r="A7" t="str">
        <f>"20190304155311868"</f>
        <v>20190304155311868</v>
      </c>
      <c r="B7" t="str">
        <f>"1551685991855429"</f>
        <v>1551685991855429</v>
      </c>
      <c r="C7" t="s">
        <v>40</v>
      </c>
      <c r="D7">
        <v>4.0139860000000001</v>
      </c>
      <c r="E7">
        <v>0.48439460000000001</v>
      </c>
      <c r="F7" t="s">
        <v>42</v>
      </c>
      <c r="G7">
        <v>-272.97329999999999</v>
      </c>
      <c r="H7">
        <v>20.097999999999999</v>
      </c>
      <c r="I7">
        <v>391.31279999999998</v>
      </c>
      <c r="J7">
        <v>-476.5453</v>
      </c>
      <c r="K7">
        <v>1.109704</v>
      </c>
      <c r="L7">
        <v>367.21780000000001</v>
      </c>
      <c r="M7">
        <v>0.99997619999999998</v>
      </c>
      <c r="N7">
        <v>-6.9020059999999996E-3</v>
      </c>
      <c r="O7">
        <v>-2.5835469999999999E-4</v>
      </c>
      <c r="P7">
        <v>0.98136199999999996</v>
      </c>
      <c r="Q7">
        <v>0.17551240000000001</v>
      </c>
      <c r="R7">
        <v>7.8256590000000001E-2</v>
      </c>
      <c r="S7">
        <v>2.9789729999999999</v>
      </c>
      <c r="T7">
        <v>0.27784419999999999</v>
      </c>
      <c r="U7">
        <v>0.35256959999999998</v>
      </c>
      <c r="V7">
        <v>-7.8501699999999994E-2</v>
      </c>
      <c r="W7">
        <v>0.18228539999999999</v>
      </c>
      <c r="X7">
        <v>0.9801069</v>
      </c>
      <c r="Y7">
        <v>-0.1173232</v>
      </c>
      <c r="Z7">
        <v>-5.0592069999999996E-3</v>
      </c>
      <c r="AA7">
        <v>0.99308090000000004</v>
      </c>
      <c r="AB7">
        <v>1</v>
      </c>
      <c r="AC7">
        <v>203.572</v>
      </c>
      <c r="AD7">
        <v>18.988295999999998</v>
      </c>
      <c r="AE7">
        <v>24.094999999999899</v>
      </c>
      <c r="AF7">
        <v>-23.942167285660901</v>
      </c>
      <c r="AG7">
        <v>18.988295999999998</v>
      </c>
      <c r="AH7">
        <v>201.834005695868</v>
      </c>
      <c r="AI7">
        <v>84.662704377597606</v>
      </c>
      <c r="AJ7">
        <v>96.764987846588795</v>
      </c>
      <c r="AK7">
        <v>204.134143676549</v>
      </c>
      <c r="AL7">
        <v>79.497093824813106</v>
      </c>
      <c r="AM7">
        <v>94.579331902031598</v>
      </c>
      <c r="AN7">
        <v>1.00000000969182</v>
      </c>
    </row>
    <row r="8" spans="1:40" x14ac:dyDescent="0.25">
      <c r="A8" t="str">
        <f>"20190304155311890"</f>
        <v>20190304155311890</v>
      </c>
      <c r="B8" t="str">
        <f>"1551685991885686"</f>
        <v>1551685991885686</v>
      </c>
      <c r="C8" t="s">
        <v>40</v>
      </c>
      <c r="D8">
        <v>4.0327019999999996</v>
      </c>
      <c r="E8">
        <v>0.4841704</v>
      </c>
      <c r="F8" t="s">
        <v>42</v>
      </c>
      <c r="G8">
        <v>-272.97329999999999</v>
      </c>
      <c r="H8">
        <v>20.060780000000001</v>
      </c>
      <c r="I8">
        <v>391.38659999999999</v>
      </c>
      <c r="J8">
        <v>-476.53280000000001</v>
      </c>
      <c r="K8">
        <v>1.1099950000000001</v>
      </c>
      <c r="L8">
        <v>367.21780000000001</v>
      </c>
      <c r="M8">
        <v>0.99997139999999995</v>
      </c>
      <c r="N8">
        <v>-7.5723350000000004E-3</v>
      </c>
      <c r="O8">
        <v>-2.7126359999999998E-4</v>
      </c>
      <c r="P8">
        <v>0.98133570000000003</v>
      </c>
      <c r="Q8">
        <v>0.17570639999999901</v>
      </c>
      <c r="R8">
        <v>7.8152749999999993E-2</v>
      </c>
      <c r="S8">
        <v>2.979187</v>
      </c>
      <c r="T8">
        <v>0.277341</v>
      </c>
      <c r="U8">
        <v>0.35369869999999998</v>
      </c>
      <c r="V8">
        <v>-7.8411510000000004E-2</v>
      </c>
      <c r="W8">
        <v>0.1831354</v>
      </c>
      <c r="X8">
        <v>0.97995560000000004</v>
      </c>
      <c r="Y8">
        <v>-0.1177028</v>
      </c>
      <c r="Z8">
        <v>-5.026895E-3</v>
      </c>
      <c r="AA8">
        <v>0.99303620000000004</v>
      </c>
      <c r="AB8">
        <v>2</v>
      </c>
      <c r="AC8">
        <v>203.55950000000001</v>
      </c>
      <c r="AD8">
        <v>18.950785</v>
      </c>
      <c r="AE8">
        <v>24.168799999999901</v>
      </c>
      <c r="AF8">
        <v>-24.0187409797534</v>
      </c>
      <c r="AG8">
        <v>18.950785</v>
      </c>
      <c r="AH8">
        <v>201.82799791930901</v>
      </c>
      <c r="AI8">
        <v>84.673267349404497</v>
      </c>
      <c r="AJ8">
        <v>96.786622802966207</v>
      </c>
      <c r="AK8">
        <v>204.13371332164999</v>
      </c>
      <c r="AL8">
        <v>79.447558029898303</v>
      </c>
      <c r="AM8">
        <v>94.574796299521694</v>
      </c>
      <c r="AN8">
        <v>0.99999995880249903</v>
      </c>
    </row>
    <row r="9" spans="1:40" x14ac:dyDescent="0.25">
      <c r="A9" t="str">
        <f>"20190304155311913"</f>
        <v>20190304155311913</v>
      </c>
      <c r="B9" t="str">
        <f>"1551685991905207"</f>
        <v>1551685991905207</v>
      </c>
      <c r="C9" t="s">
        <v>40</v>
      </c>
      <c r="D9">
        <v>4.0485759999999997</v>
      </c>
      <c r="E9">
        <v>0.48403869999999999</v>
      </c>
      <c r="F9" t="s">
        <v>42</v>
      </c>
      <c r="G9">
        <v>-272.97320000000002</v>
      </c>
      <c r="H9">
        <v>20.354959999999998</v>
      </c>
      <c r="I9">
        <v>391.50200000000001</v>
      </c>
      <c r="J9">
        <v>-476.52080000000001</v>
      </c>
      <c r="K9">
        <v>1.110188</v>
      </c>
      <c r="L9">
        <v>367.21780000000001</v>
      </c>
      <c r="M9">
        <v>0.99996700000000005</v>
      </c>
      <c r="N9">
        <v>-8.1166069999999996E-3</v>
      </c>
      <c r="O9">
        <v>-2.8066849999999998E-4</v>
      </c>
      <c r="P9">
        <v>0.98133519999999996</v>
      </c>
      <c r="Q9">
        <v>0.1756943</v>
      </c>
      <c r="R9">
        <v>7.8184630000000005E-2</v>
      </c>
      <c r="S9">
        <v>2.9783940000000002</v>
      </c>
      <c r="T9">
        <v>0.28158430000000001</v>
      </c>
      <c r="U9">
        <v>0.35531620000000003</v>
      </c>
      <c r="V9">
        <v>-7.8452830000000001E-2</v>
      </c>
      <c r="W9">
        <v>0.18365619999999999</v>
      </c>
      <c r="X9">
        <v>0.97985489999999997</v>
      </c>
      <c r="Y9">
        <v>-0.1182605</v>
      </c>
      <c r="Z9">
        <v>-5.1043470000000004E-3</v>
      </c>
      <c r="AA9">
        <v>0.99296949999999995</v>
      </c>
      <c r="AB9">
        <v>1</v>
      </c>
      <c r="AC9">
        <v>203.54759999999999</v>
      </c>
      <c r="AD9">
        <v>19.244772000000001</v>
      </c>
      <c r="AE9">
        <v>24.284199999999899</v>
      </c>
      <c r="AF9">
        <v>-24.1286688008935</v>
      </c>
      <c r="AG9">
        <v>19.244772000000001</v>
      </c>
      <c r="AH9">
        <v>201.76251275186999</v>
      </c>
      <c r="AI9">
        <v>84.5897431305048</v>
      </c>
      <c r="AJ9">
        <v>96.819583668634607</v>
      </c>
      <c r="AK9">
        <v>204.109444806906</v>
      </c>
      <c r="AL9">
        <v>79.417204371728602</v>
      </c>
      <c r="AM9">
        <v>94.577665209702403</v>
      </c>
      <c r="AN9">
        <v>1.00000003569372</v>
      </c>
    </row>
    <row r="10" spans="1:40" x14ac:dyDescent="0.25">
      <c r="A10" t="str">
        <f>"20190304155311934"</f>
        <v>20190304155311934</v>
      </c>
      <c r="B10" t="str">
        <f>"1551685991925702"</f>
        <v>1551685991925702</v>
      </c>
      <c r="C10" t="s">
        <v>40</v>
      </c>
      <c r="D10">
        <v>4.0684089999999999</v>
      </c>
      <c r="E10">
        <v>0.48394310000000001</v>
      </c>
      <c r="F10" t="s">
        <v>42</v>
      </c>
      <c r="G10">
        <v>-272.97320000000002</v>
      </c>
      <c r="H10">
        <v>20.2957</v>
      </c>
      <c r="I10">
        <v>391.56079999999997</v>
      </c>
      <c r="J10">
        <v>-476.50510000000003</v>
      </c>
      <c r="K10">
        <v>1.1099870000000001</v>
      </c>
      <c r="L10">
        <v>367.21769999999998</v>
      </c>
      <c r="M10">
        <v>0.9999728</v>
      </c>
      <c r="N10">
        <v>-7.3737430000000003E-3</v>
      </c>
      <c r="O10">
        <v>-2.9615929999999999E-4</v>
      </c>
      <c r="P10">
        <v>0.98106959999999999</v>
      </c>
      <c r="Q10">
        <v>0.177190299999999</v>
      </c>
      <c r="R10">
        <v>7.8141089999999996E-2</v>
      </c>
      <c r="S10">
        <v>2.978424</v>
      </c>
      <c r="T10">
        <v>0.28073360000000003</v>
      </c>
      <c r="U10">
        <v>0.3562012</v>
      </c>
      <c r="V10">
        <v>-7.8423610000000005E-2</v>
      </c>
      <c r="W10">
        <v>0.18442339999999999</v>
      </c>
      <c r="X10">
        <v>0.9797131</v>
      </c>
      <c r="Y10">
        <v>-0.11856319999999999</v>
      </c>
      <c r="Z10">
        <v>-5.1459770000000004E-3</v>
      </c>
      <c r="AA10">
        <v>0.99293319999999996</v>
      </c>
      <c r="AB10">
        <v>1</v>
      </c>
      <c r="AC10">
        <v>203.53190000000001</v>
      </c>
      <c r="AD10">
        <v>19.185713</v>
      </c>
      <c r="AE10">
        <v>24.3431</v>
      </c>
      <c r="AF10">
        <v>-24.191452402959602</v>
      </c>
      <c r="AG10">
        <v>19.185713</v>
      </c>
      <c r="AH10">
        <v>201.757213952283</v>
      </c>
      <c r="AI10">
        <v>84.606306385850104</v>
      </c>
      <c r="AJ10">
        <v>96.8373385573272</v>
      </c>
      <c r="AK10">
        <v>204.10607863184899</v>
      </c>
      <c r="AL10">
        <v>79.372482835178303</v>
      </c>
      <c r="AM10">
        <v>94.576626981288598</v>
      </c>
      <c r="AN10">
        <v>1.0000000056923</v>
      </c>
    </row>
    <row r="11" spans="1:40" x14ac:dyDescent="0.25">
      <c r="A11" t="str">
        <f>"20190304155311956"</f>
        <v>20190304155311956</v>
      </c>
      <c r="B11" t="str">
        <f>"1551685991945225"</f>
        <v>1551685991945225</v>
      </c>
      <c r="C11" t="s">
        <v>40</v>
      </c>
      <c r="D11">
        <v>4.0435160000000003</v>
      </c>
      <c r="E11">
        <v>0.4836143</v>
      </c>
      <c r="F11" t="s">
        <v>42</v>
      </c>
      <c r="G11">
        <v>-272.97309999999999</v>
      </c>
      <c r="H11">
        <v>20.44267</v>
      </c>
      <c r="I11">
        <v>391.57580000000002</v>
      </c>
      <c r="J11">
        <v>-476.48430000000002</v>
      </c>
      <c r="K11">
        <v>1.109691</v>
      </c>
      <c r="L11">
        <v>367.21769999999998</v>
      </c>
      <c r="M11">
        <v>0.9999808</v>
      </c>
      <c r="N11">
        <v>-6.1864420000000003E-3</v>
      </c>
      <c r="O11">
        <v>-3.1955299999999998E-4</v>
      </c>
      <c r="P11">
        <v>0.98070029999999997</v>
      </c>
      <c r="Q11">
        <v>0.17908979999999999</v>
      </c>
      <c r="R11">
        <v>7.8446340000000003E-2</v>
      </c>
      <c r="S11">
        <v>2.9783940000000002</v>
      </c>
      <c r="T11">
        <v>0.28290609999999999</v>
      </c>
      <c r="U11">
        <v>0.35644530000000002</v>
      </c>
      <c r="V11">
        <v>-7.8750299999999995E-2</v>
      </c>
      <c r="W11">
        <v>0.18515780000000001</v>
      </c>
      <c r="X11">
        <v>0.97954830000000004</v>
      </c>
      <c r="Y11">
        <v>-0.11865299999999999</v>
      </c>
      <c r="Z11">
        <v>-5.2657429999999998E-3</v>
      </c>
      <c r="AA11">
        <v>0.99292179999999997</v>
      </c>
      <c r="AB11">
        <v>1</v>
      </c>
      <c r="AC11">
        <v>203.5112</v>
      </c>
      <c r="AD11">
        <v>19.332979000000002</v>
      </c>
      <c r="AE11">
        <v>24.3581</v>
      </c>
      <c r="AF11">
        <v>-24.207756214899899</v>
      </c>
      <c r="AG11">
        <v>19.332979000000002</v>
      </c>
      <c r="AH11">
        <v>201.70880258781699</v>
      </c>
      <c r="AI11">
        <v>84.563925801440604</v>
      </c>
      <c r="AJ11">
        <v>96.843529437764204</v>
      </c>
      <c r="AK11">
        <v>204.074056605404</v>
      </c>
      <c r="AL11">
        <v>79.329666802929594</v>
      </c>
      <c r="AM11">
        <v>94.596380242869003</v>
      </c>
      <c r="AN11">
        <v>0.99999994634190803</v>
      </c>
    </row>
    <row r="12" spans="1:40" x14ac:dyDescent="0.25">
      <c r="A12" t="str">
        <f>"20190304155311979"</f>
        <v>20190304155311979</v>
      </c>
      <c r="B12" t="str">
        <f>"1551685991975478"</f>
        <v>1551685991975478</v>
      </c>
      <c r="C12" t="s">
        <v>40</v>
      </c>
      <c r="D12">
        <v>4.04277</v>
      </c>
      <c r="E12">
        <v>0.48380020000000001</v>
      </c>
      <c r="F12" t="s">
        <v>42</v>
      </c>
      <c r="G12">
        <v>-273.71480000000003</v>
      </c>
      <c r="H12">
        <v>20.68553</v>
      </c>
      <c r="I12">
        <v>391.75</v>
      </c>
      <c r="J12">
        <v>-476.46620000000001</v>
      </c>
      <c r="K12">
        <v>1.1098410000000001</v>
      </c>
      <c r="L12">
        <v>367.21769999999998</v>
      </c>
      <c r="M12">
        <v>0.99997910000000001</v>
      </c>
      <c r="N12">
        <v>-6.4690360000000001E-3</v>
      </c>
      <c r="O12">
        <v>-3.3701549999999998E-4</v>
      </c>
      <c r="P12">
        <v>0.98073279999999996</v>
      </c>
      <c r="Q12">
        <v>0.17897859999999999</v>
      </c>
      <c r="R12">
        <v>7.829759E-2</v>
      </c>
      <c r="S12">
        <v>2.9776919999999998</v>
      </c>
      <c r="T12">
        <v>0.28747339999999999</v>
      </c>
      <c r="U12">
        <v>0.36026000000000002</v>
      </c>
      <c r="V12">
        <v>-7.8618899999999894E-2</v>
      </c>
      <c r="W12">
        <v>0.18532319999999999</v>
      </c>
      <c r="X12">
        <v>0.9795277</v>
      </c>
      <c r="Y12">
        <v>-0.1199311</v>
      </c>
      <c r="Z12">
        <v>-5.3993030000000003E-3</v>
      </c>
      <c r="AA12">
        <v>0.99276750000000002</v>
      </c>
      <c r="AB12">
        <v>2</v>
      </c>
      <c r="AC12">
        <v>202.75139999999999</v>
      </c>
      <c r="AD12">
        <v>19.575689000000001</v>
      </c>
      <c r="AE12">
        <v>24.532299999999999</v>
      </c>
      <c r="AF12">
        <v>-24.376671302286599</v>
      </c>
      <c r="AG12">
        <v>19.575689000000001</v>
      </c>
      <c r="AH12">
        <v>200.897388763739</v>
      </c>
      <c r="AI12">
        <v>84.474869895010798</v>
      </c>
      <c r="AJ12">
        <v>96.918386603198897</v>
      </c>
      <c r="AK12">
        <v>203.31549502114501</v>
      </c>
      <c r="AL12">
        <v>79.320024489330294</v>
      </c>
      <c r="AM12">
        <v>94.588839755294401</v>
      </c>
      <c r="AN12">
        <v>1.0000000674813601</v>
      </c>
    </row>
    <row r="13" spans="1:40" x14ac:dyDescent="0.25">
      <c r="A13" t="str">
        <f>"20190304155312000"</f>
        <v>20190304155312000</v>
      </c>
      <c r="B13" t="str">
        <f>"1551685991995973"</f>
        <v>1551685991995973</v>
      </c>
      <c r="C13" t="s">
        <v>40</v>
      </c>
      <c r="D13">
        <v>4.0518029999999996</v>
      </c>
      <c r="E13">
        <v>0.48381279999999999</v>
      </c>
      <c r="F13" t="s">
        <v>42</v>
      </c>
      <c r="G13">
        <v>-272.97309999999999</v>
      </c>
      <c r="H13">
        <v>20.576149999999998</v>
      </c>
      <c r="I13">
        <v>391.6816</v>
      </c>
      <c r="J13">
        <v>-476.45260000000002</v>
      </c>
      <c r="K13">
        <v>1.1103369999999999</v>
      </c>
      <c r="L13">
        <v>367.21769999999998</v>
      </c>
      <c r="M13">
        <v>0.99996719999999895</v>
      </c>
      <c r="N13">
        <v>-8.1035090000000001E-3</v>
      </c>
      <c r="O13">
        <v>-3.455846E-4</v>
      </c>
      <c r="P13">
        <v>0.98099360000000002</v>
      </c>
      <c r="Q13">
        <v>0.17737329999999901</v>
      </c>
      <c r="R13">
        <v>7.8680260000000002E-2</v>
      </c>
      <c r="S13">
        <v>2.9783940000000002</v>
      </c>
      <c r="T13">
        <v>0.2849158</v>
      </c>
      <c r="U13">
        <v>0.35806270000000001</v>
      </c>
      <c r="V13">
        <v>-7.9012199999999894E-2</v>
      </c>
      <c r="W13">
        <v>0.18531990000000001</v>
      </c>
      <c r="X13">
        <v>0.97949660000000005</v>
      </c>
      <c r="Y13">
        <v>-0.1192116</v>
      </c>
      <c r="Z13">
        <v>-5.2185909999999999E-3</v>
      </c>
      <c r="AA13">
        <v>0.99285509999999999</v>
      </c>
      <c r="AB13">
        <v>2</v>
      </c>
      <c r="AC13">
        <v>203.4795</v>
      </c>
      <c r="AD13">
        <v>19.465813000000001</v>
      </c>
      <c r="AE13">
        <v>24.463899999999999</v>
      </c>
      <c r="AF13">
        <v>-24.314867512491901</v>
      </c>
      <c r="AG13">
        <v>19.465813000000001</v>
      </c>
      <c r="AH13">
        <v>201.651863010673</v>
      </c>
      <c r="AI13">
        <v>84.525629922717698</v>
      </c>
      <c r="AJ13">
        <v>96.875442997196302</v>
      </c>
      <c r="AK13">
        <v>204.04314375537399</v>
      </c>
      <c r="AL13">
        <v>79.320216074594896</v>
      </c>
      <c r="AM13">
        <v>94.6118429680361</v>
      </c>
      <c r="AN13">
        <v>0.99999999124820504</v>
      </c>
    </row>
    <row r="14" spans="1:40" x14ac:dyDescent="0.25">
      <c r="A14" t="str">
        <f>"20190304155312026"</f>
        <v>20190304155312026</v>
      </c>
      <c r="B14" t="str">
        <f>"1551685992015493"</f>
        <v>1551685992015493</v>
      </c>
      <c r="C14" t="s">
        <v>40</v>
      </c>
      <c r="D14">
        <v>4.0673360000000001</v>
      </c>
      <c r="E14">
        <v>0.48403190000000001</v>
      </c>
      <c r="F14" t="s">
        <v>42</v>
      </c>
      <c r="G14">
        <v>-272.99849999999998</v>
      </c>
      <c r="H14">
        <v>20.157710000000002</v>
      </c>
      <c r="I14">
        <v>391.75</v>
      </c>
      <c r="J14">
        <v>-476.43979999999999</v>
      </c>
      <c r="K14">
        <v>1.1107750000000001</v>
      </c>
      <c r="L14">
        <v>367.21769999999998</v>
      </c>
      <c r="M14">
        <v>0.99995060000000002</v>
      </c>
      <c r="N14">
        <v>-9.9372750000000006E-3</v>
      </c>
      <c r="O14">
        <v>-3.4988929999999998E-4</v>
      </c>
      <c r="P14">
        <v>0.98131009999999996</v>
      </c>
      <c r="Q14">
        <v>0.175391299999999</v>
      </c>
      <c r="R14">
        <v>7.917602E-2</v>
      </c>
      <c r="S14">
        <v>2.978882</v>
      </c>
      <c r="T14">
        <v>0.2788832</v>
      </c>
      <c r="U14">
        <v>0.35919190000000001</v>
      </c>
      <c r="V14">
        <v>-7.9514760000000004E-2</v>
      </c>
      <c r="W14">
        <v>0.1851362</v>
      </c>
      <c r="X14">
        <v>0.97949070000000005</v>
      </c>
      <c r="Y14">
        <v>-0.11959789999999999</v>
      </c>
      <c r="Z14">
        <v>-5.004629E-3</v>
      </c>
      <c r="AA14">
        <v>0.99280979999999996</v>
      </c>
      <c r="AB14">
        <v>2</v>
      </c>
      <c r="AC14">
        <v>203.44130000000001</v>
      </c>
      <c r="AD14">
        <v>19.046935000000001</v>
      </c>
      <c r="AE14">
        <v>24.532299999999999</v>
      </c>
      <c r="AF14">
        <v>-24.3927362584921</v>
      </c>
      <c r="AG14">
        <v>19.046935000000001</v>
      </c>
      <c r="AH14">
        <v>201.69014660029799</v>
      </c>
      <c r="AI14">
        <v>84.643979275755697</v>
      </c>
      <c r="AJ14">
        <v>96.895953355118706</v>
      </c>
      <c r="AK14">
        <v>204.050745038386</v>
      </c>
      <c r="AL14">
        <v>79.330926965598593</v>
      </c>
      <c r="AM14">
        <v>94.641076857392093</v>
      </c>
      <c r="AN14">
        <v>1.00000002049739</v>
      </c>
    </row>
    <row r="15" spans="1:40" x14ac:dyDescent="0.25">
      <c r="A15" t="str">
        <f>"20190304155312047"</f>
        <v>20190304155312047</v>
      </c>
      <c r="B15" t="str">
        <f>"1551685992035990"</f>
        <v>1551685992035990</v>
      </c>
      <c r="C15" t="s">
        <v>40</v>
      </c>
      <c r="D15">
        <v>4.0999780000000001</v>
      </c>
      <c r="E15">
        <v>0.48428850000000001</v>
      </c>
      <c r="F15" t="s">
        <v>42</v>
      </c>
      <c r="G15">
        <v>-272.97340000000003</v>
      </c>
      <c r="H15">
        <v>19.635529999999999</v>
      </c>
      <c r="I15">
        <v>391.71969999999999</v>
      </c>
      <c r="J15">
        <v>-476.42329999999998</v>
      </c>
      <c r="K15">
        <v>1.1105</v>
      </c>
      <c r="L15">
        <v>367.21769999999998</v>
      </c>
      <c r="M15">
        <v>0.99995579999999995</v>
      </c>
      <c r="N15">
        <v>-9.4013529999999994E-3</v>
      </c>
      <c r="O15">
        <v>-3.5804869999999999E-4</v>
      </c>
      <c r="P15">
        <v>0.98131190000000001</v>
      </c>
      <c r="Q15">
        <v>0.1752514</v>
      </c>
      <c r="R15">
        <v>7.9462069999999996E-2</v>
      </c>
      <c r="S15">
        <v>2.9797060000000002</v>
      </c>
      <c r="T15">
        <v>0.27129009999999998</v>
      </c>
      <c r="U15">
        <v>0.35882570000000003</v>
      </c>
      <c r="V15">
        <v>-7.9807939999999994E-2</v>
      </c>
      <c r="W15">
        <v>0.1844712</v>
      </c>
      <c r="X15">
        <v>0.97959229999999997</v>
      </c>
      <c r="Y15">
        <v>-0.119477</v>
      </c>
      <c r="Z15">
        <v>-4.8793889999999996E-3</v>
      </c>
      <c r="AA15">
        <v>0.99282499999999996</v>
      </c>
      <c r="AB15">
        <v>1</v>
      </c>
      <c r="AC15">
        <v>203.44990000000001</v>
      </c>
      <c r="AD15">
        <v>18.525029999999902</v>
      </c>
      <c r="AE15">
        <v>24.501999999999999</v>
      </c>
      <c r="AF15">
        <v>-24.375639373116002</v>
      </c>
      <c r="AG15">
        <v>18.525029999999902</v>
      </c>
      <c r="AH15">
        <v>201.79199071374899</v>
      </c>
      <c r="AI15">
        <v>84.792445749739002</v>
      </c>
      <c r="AJ15">
        <v>96.887721927901197</v>
      </c>
      <c r="AK15">
        <v>204.10133769176201</v>
      </c>
      <c r="AL15">
        <v>79.369696252859796</v>
      </c>
      <c r="AM15">
        <v>94.657632873505506</v>
      </c>
      <c r="AN15">
        <v>1.0000000025678799</v>
      </c>
    </row>
    <row r="16" spans="1:40" x14ac:dyDescent="0.25">
      <c r="A16" t="str">
        <f>"20190304155312069"</f>
        <v>20190304155312069</v>
      </c>
      <c r="B16" t="str">
        <f>"1551685992065270"</f>
        <v>1551685992065270</v>
      </c>
      <c r="C16" t="s">
        <v>40</v>
      </c>
      <c r="D16">
        <v>4.0764940000000003</v>
      </c>
      <c r="E16">
        <v>0.48454930000000002</v>
      </c>
      <c r="F16" t="s">
        <v>42</v>
      </c>
      <c r="G16">
        <v>-272.97340000000003</v>
      </c>
      <c r="H16">
        <v>19.557950000000002</v>
      </c>
      <c r="I16">
        <v>391.64510000000001</v>
      </c>
      <c r="J16">
        <v>-476.40300000000002</v>
      </c>
      <c r="K16">
        <v>1.110085</v>
      </c>
      <c r="L16">
        <v>367.2176</v>
      </c>
      <c r="M16">
        <v>0.99996689999999999</v>
      </c>
      <c r="N16">
        <v>-8.1477619999999994E-3</v>
      </c>
      <c r="O16">
        <v>-3.746205E-4</v>
      </c>
      <c r="P16">
        <v>0.98106800000000005</v>
      </c>
      <c r="Q16">
        <v>0.17658489999999999</v>
      </c>
      <c r="R16">
        <v>7.9522049999999997E-2</v>
      </c>
      <c r="S16">
        <v>2.9799190000000002</v>
      </c>
      <c r="T16">
        <v>0.27019929999999998</v>
      </c>
      <c r="U16">
        <v>0.3577881</v>
      </c>
      <c r="V16">
        <v>-7.988249E-2</v>
      </c>
      <c r="W16">
        <v>0.18457570000000001</v>
      </c>
      <c r="X16">
        <v>0.97956650000000001</v>
      </c>
      <c r="Y16">
        <v>-0.1191424</v>
      </c>
      <c r="Z16">
        <v>-4.9200989999999998E-3</v>
      </c>
      <c r="AA16">
        <v>0.992865</v>
      </c>
      <c r="AB16">
        <v>2</v>
      </c>
      <c r="AC16">
        <v>203.42959999999999</v>
      </c>
      <c r="AD16">
        <v>18.447865</v>
      </c>
      <c r="AE16">
        <v>24.427499999999998</v>
      </c>
      <c r="AF16">
        <v>-24.306661737364799</v>
      </c>
      <c r="AG16">
        <v>18.447865</v>
      </c>
      <c r="AH16">
        <v>201.78461747902</v>
      </c>
      <c r="AI16">
        <v>84.8136236126753</v>
      </c>
      <c r="AJ16">
        <v>96.868666232806504</v>
      </c>
      <c r="AK16">
        <v>204.07883128592101</v>
      </c>
      <c r="AL16">
        <v>79.363603823663098</v>
      </c>
      <c r="AM16">
        <v>94.6620867280174</v>
      </c>
      <c r="AN16">
        <v>0.99999996458066898</v>
      </c>
    </row>
    <row r="17" spans="1:40" x14ac:dyDescent="0.25">
      <c r="A17" t="str">
        <f>"20190304155312090"</f>
        <v>20190304155312090</v>
      </c>
      <c r="B17" t="str">
        <f>"1551685992085766"</f>
        <v>1551685992085766</v>
      </c>
      <c r="C17" t="s">
        <v>40</v>
      </c>
      <c r="D17">
        <v>4.0734430000000001</v>
      </c>
      <c r="E17">
        <v>0.48479929999999899</v>
      </c>
      <c r="F17" t="s">
        <v>42</v>
      </c>
      <c r="G17">
        <v>-272.97340000000003</v>
      </c>
      <c r="H17">
        <v>19.773340000000001</v>
      </c>
      <c r="I17">
        <v>391.50150000000002</v>
      </c>
      <c r="J17">
        <v>-476.38010000000003</v>
      </c>
      <c r="K17">
        <v>1.1097779999999999</v>
      </c>
      <c r="L17">
        <v>367.2176</v>
      </c>
      <c r="M17">
        <v>0.99997539999999996</v>
      </c>
      <c r="N17">
        <v>-7.0219069999999896E-3</v>
      </c>
      <c r="O17">
        <v>-3.9670809999999999E-4</v>
      </c>
      <c r="P17">
        <v>0.98088739999999996</v>
      </c>
      <c r="Q17">
        <v>0.1776412</v>
      </c>
      <c r="R17">
        <v>7.9394770000000003E-2</v>
      </c>
      <c r="S17">
        <v>2.9798580000000001</v>
      </c>
      <c r="T17">
        <v>0.2733816</v>
      </c>
      <c r="U17">
        <v>0.3557129</v>
      </c>
      <c r="V17">
        <v>-7.9774830000000005E-2</v>
      </c>
      <c r="W17">
        <v>0.18452840000000001</v>
      </c>
      <c r="X17">
        <v>0.97958420000000002</v>
      </c>
      <c r="Y17">
        <v>-0.1184704</v>
      </c>
      <c r="Z17">
        <v>-5.0247240000000004E-3</v>
      </c>
      <c r="AA17">
        <v>0.99294490000000002</v>
      </c>
      <c r="AB17">
        <v>2</v>
      </c>
      <c r="AC17">
        <v>203.4067</v>
      </c>
      <c r="AD17">
        <v>18.663561999999999</v>
      </c>
      <c r="AE17">
        <v>24.283899999999999</v>
      </c>
      <c r="AF17">
        <v>-24.164016041721801</v>
      </c>
      <c r="AG17">
        <v>18.663561999999999</v>
      </c>
      <c r="AH17">
        <v>201.72262066677899</v>
      </c>
      <c r="AI17">
        <v>84.751302061152202</v>
      </c>
      <c r="AJ17">
        <v>96.830817529819399</v>
      </c>
      <c r="AK17">
        <v>204.02020465254299</v>
      </c>
      <c r="AL17">
        <v>79.366361439074694</v>
      </c>
      <c r="AM17">
        <v>94.655747380939403</v>
      </c>
      <c r="AN17">
        <v>0.99999997939886398</v>
      </c>
    </row>
    <row r="18" spans="1:40" x14ac:dyDescent="0.25">
      <c r="A18" t="str">
        <f>"20190304155312114"</f>
        <v>20190304155312114</v>
      </c>
      <c r="B18" t="str">
        <f>"1551685992105286"</f>
        <v>1551685992105286</v>
      </c>
      <c r="C18" t="s">
        <v>40</v>
      </c>
      <c r="D18">
        <v>4.080927</v>
      </c>
      <c r="E18">
        <v>0.48502099999999998</v>
      </c>
      <c r="F18" t="s">
        <v>42</v>
      </c>
      <c r="G18">
        <v>-272.97329999999999</v>
      </c>
      <c r="H18">
        <v>19.932749999999999</v>
      </c>
      <c r="I18">
        <v>391.33190000000002</v>
      </c>
      <c r="J18">
        <v>-476.35660000000001</v>
      </c>
      <c r="K18">
        <v>1.1098059999999901</v>
      </c>
      <c r="L18">
        <v>367.2176</v>
      </c>
      <c r="M18">
        <v>0.99997619999999998</v>
      </c>
      <c r="N18">
        <v>-6.9019469999999899E-3</v>
      </c>
      <c r="O18">
        <v>-4.1739929999999999E-4</v>
      </c>
      <c r="P18">
        <v>0.98082170000000002</v>
      </c>
      <c r="Q18">
        <v>0.17813399999999999</v>
      </c>
      <c r="R18">
        <v>7.910317E-2</v>
      </c>
      <c r="S18">
        <v>2.979889</v>
      </c>
      <c r="T18">
        <v>0.27575499999999997</v>
      </c>
      <c r="U18">
        <v>0.35327150000000002</v>
      </c>
      <c r="V18">
        <v>-7.9502890000000007E-2</v>
      </c>
      <c r="W18">
        <v>0.18490329999999999</v>
      </c>
      <c r="X18">
        <v>0.97953559999999995</v>
      </c>
      <c r="Y18">
        <v>-0.1176816</v>
      </c>
      <c r="Z18">
        <v>-5.0475529999999998E-3</v>
      </c>
      <c r="AA18">
        <v>0.99303850000000005</v>
      </c>
      <c r="AB18">
        <v>2</v>
      </c>
      <c r="AC18">
        <v>203.38329999999999</v>
      </c>
      <c r="AD18">
        <v>18.822944</v>
      </c>
      <c r="AE18">
        <v>24.1143</v>
      </c>
      <c r="AF18">
        <v>-23.9965031593939</v>
      </c>
      <c r="AG18">
        <v>18.822944</v>
      </c>
      <c r="AH18">
        <v>201.66979321049499</v>
      </c>
      <c r="AI18">
        <v>84.704859063868895</v>
      </c>
      <c r="AJ18">
        <v>96.785667382091802</v>
      </c>
      <c r="AK18">
        <v>203.96284190575</v>
      </c>
      <c r="AL18">
        <v>79.344505000047604</v>
      </c>
      <c r="AM18">
        <v>94.640175283791095</v>
      </c>
      <c r="AN18">
        <v>0.99999996576829997</v>
      </c>
    </row>
    <row r="19" spans="1:40" x14ac:dyDescent="0.25">
      <c r="A19" t="str">
        <f>"20190304155312135"</f>
        <v>20190304155312135</v>
      </c>
      <c r="B19" t="str">
        <f>"1551685992125782"</f>
        <v>1551685992125782</v>
      </c>
      <c r="C19" t="s">
        <v>40</v>
      </c>
      <c r="D19">
        <v>4.1179940000000004</v>
      </c>
      <c r="E19">
        <v>0.48508899999999999</v>
      </c>
      <c r="F19" t="s">
        <v>42</v>
      </c>
      <c r="G19">
        <v>-272.97329999999999</v>
      </c>
      <c r="H19">
        <v>20.052289999999999</v>
      </c>
      <c r="I19">
        <v>391.15570000000002</v>
      </c>
      <c r="J19">
        <v>-476.3383</v>
      </c>
      <c r="K19">
        <v>1.110212</v>
      </c>
      <c r="L19">
        <v>367.21749999999997</v>
      </c>
      <c r="M19">
        <v>0.99996629999999997</v>
      </c>
      <c r="N19">
        <v>-8.1945660000000003E-3</v>
      </c>
      <c r="O19">
        <v>-4.2788739999999998E-4</v>
      </c>
      <c r="P19">
        <v>0.98104480000000005</v>
      </c>
      <c r="Q19">
        <v>0.1771469</v>
      </c>
      <c r="R19">
        <v>7.8550469999999997E-2</v>
      </c>
      <c r="S19">
        <v>2.9799500000000001</v>
      </c>
      <c r="T19">
        <v>0.2775437</v>
      </c>
      <c r="U19">
        <v>0.35073850000000001</v>
      </c>
      <c r="V19">
        <v>-7.8961480000000001E-2</v>
      </c>
      <c r="W19">
        <v>0.18518399999999999</v>
      </c>
      <c r="X19">
        <v>0.97952640000000002</v>
      </c>
      <c r="Y19">
        <v>-0.11686100000000001</v>
      </c>
      <c r="Z19">
        <v>-4.973458E-3</v>
      </c>
      <c r="AA19">
        <v>0.99313580000000001</v>
      </c>
      <c r="AB19">
        <v>3</v>
      </c>
      <c r="AC19">
        <v>203.36500000000001</v>
      </c>
      <c r="AD19">
        <v>18.942077999999999</v>
      </c>
      <c r="AE19">
        <v>23.938199999999998</v>
      </c>
      <c r="AF19">
        <v>-23.821376139432001</v>
      </c>
      <c r="AG19">
        <v>18.942077999999999</v>
      </c>
      <c r="AH19">
        <v>201.62937531231</v>
      </c>
      <c r="AI19">
        <v>84.669952067873396</v>
      </c>
      <c r="AJ19">
        <v>96.737940194601805</v>
      </c>
      <c r="AK19">
        <v>203.913376875983</v>
      </c>
      <c r="AL19">
        <v>79.328139801918297</v>
      </c>
      <c r="AM19">
        <v>94.608755651840198</v>
      </c>
      <c r="AN19">
        <v>0.99999999873837497</v>
      </c>
    </row>
    <row r="20" spans="1:40" x14ac:dyDescent="0.25">
      <c r="A20" t="str">
        <f>"20190304155312157"</f>
        <v>20190304155312157</v>
      </c>
      <c r="B20" t="str">
        <f>"1551685992156038"</f>
        <v>1551685992156038</v>
      </c>
      <c r="C20" t="s">
        <v>40</v>
      </c>
      <c r="D20">
        <v>4.069483</v>
      </c>
      <c r="E20">
        <v>0.52220119999999903</v>
      </c>
      <c r="F20" t="s">
        <v>42</v>
      </c>
      <c r="G20">
        <v>-272.97340000000003</v>
      </c>
      <c r="H20">
        <v>19.851559999999999</v>
      </c>
      <c r="I20">
        <v>391.00349999999997</v>
      </c>
      <c r="J20">
        <v>-476.3229</v>
      </c>
      <c r="K20">
        <v>1.110692</v>
      </c>
      <c r="L20">
        <v>367.21749999999997</v>
      </c>
      <c r="M20">
        <v>0.99995009999999995</v>
      </c>
      <c r="N20">
        <v>-9.9960269999999993E-3</v>
      </c>
      <c r="O20">
        <v>-4.3427549999999998E-4</v>
      </c>
      <c r="P20">
        <v>0.98142419999999997</v>
      </c>
      <c r="Q20">
        <v>0.17527319999999999</v>
      </c>
      <c r="R20">
        <v>7.8013330000000006E-2</v>
      </c>
      <c r="S20">
        <v>2.9804689999999998</v>
      </c>
      <c r="T20">
        <v>0.27466929999999901</v>
      </c>
      <c r="U20">
        <v>0.34860229999999998</v>
      </c>
      <c r="V20">
        <v>-7.8433420000000004E-2</v>
      </c>
      <c r="W20">
        <v>0.18507760000000001</v>
      </c>
      <c r="X20">
        <v>0.97958889999999998</v>
      </c>
      <c r="Y20">
        <v>-0.1161672</v>
      </c>
      <c r="Z20">
        <v>-4.7838799999999999E-3</v>
      </c>
      <c r="AA20">
        <v>0.99321809999999999</v>
      </c>
      <c r="AB20">
        <v>2</v>
      </c>
      <c r="AC20">
        <v>203.34950000000001</v>
      </c>
      <c r="AD20">
        <v>18.740867999999999</v>
      </c>
      <c r="AE20">
        <v>23.785999999999898</v>
      </c>
      <c r="AF20">
        <v>-23.675931611269299</v>
      </c>
      <c r="AG20">
        <v>18.740867999999999</v>
      </c>
      <c r="AH20">
        <v>201.64953244462001</v>
      </c>
      <c r="AI20">
        <v>84.726326581356602</v>
      </c>
      <c r="AJ20">
        <v>96.6965122682074</v>
      </c>
      <c r="AK20">
        <v>203.89777783533799</v>
      </c>
      <c r="AL20">
        <v>79.334342956236</v>
      </c>
      <c r="AM20">
        <v>94.577774905216401</v>
      </c>
      <c r="AN20">
        <v>0.99999996619893206</v>
      </c>
    </row>
    <row r="21" spans="1:40" x14ac:dyDescent="0.25">
      <c r="A21" t="str">
        <f>"20190304155312179"</f>
        <v>20190304155312179</v>
      </c>
      <c r="B21" t="str">
        <f>"1551685992175559"</f>
        <v>1551685992175559</v>
      </c>
      <c r="C21" t="s">
        <v>40</v>
      </c>
      <c r="D21">
        <v>4.2013449999999999</v>
      </c>
      <c r="E21">
        <v>0.51866069999999997</v>
      </c>
      <c r="F21" t="s">
        <v>43</v>
      </c>
      <c r="G21">
        <v>0</v>
      </c>
      <c r="H21">
        <v>0</v>
      </c>
      <c r="I21">
        <v>0</v>
      </c>
      <c r="J21">
        <v>-476.30419999999998</v>
      </c>
      <c r="K21">
        <v>1.1105830000000001</v>
      </c>
      <c r="L21">
        <v>367.21749999999997</v>
      </c>
      <c r="M21">
        <v>0.99995009999999995</v>
      </c>
      <c r="N21">
        <v>-9.9773320000000002E-3</v>
      </c>
      <c r="O21">
        <v>-4.4168449999999998E-4</v>
      </c>
      <c r="P21">
        <v>0.98142229999999997</v>
      </c>
      <c r="Q21">
        <v>0.17536089999999999</v>
      </c>
      <c r="R21">
        <v>7.7837489999999995E-2</v>
      </c>
      <c r="S21">
        <v>2.9107970000000001</v>
      </c>
      <c r="T21">
        <v>0.78945220000000005</v>
      </c>
      <c r="U21">
        <v>6.3476560000000001E-2</v>
      </c>
      <c r="V21">
        <v>-7.8264680000000003E-2</v>
      </c>
      <c r="W21">
        <v>0.18514649999999999</v>
      </c>
      <c r="X21">
        <v>0.97958940000000005</v>
      </c>
      <c r="Y21">
        <v>-2.148046E-2</v>
      </c>
      <c r="Z21">
        <v>-2.8738829999999998E-3</v>
      </c>
      <c r="AA21">
        <v>0.99976520000000002</v>
      </c>
      <c r="AB21">
        <v>2</v>
      </c>
      <c r="AC21">
        <v>2.9107970000000001</v>
      </c>
      <c r="AD21">
        <v>0.78945220000000005</v>
      </c>
      <c r="AE21">
        <v>6.3476560000000001E-2</v>
      </c>
      <c r="AF21">
        <v>-6.0326877731526E-2</v>
      </c>
      <c r="AG21">
        <v>0.78945220000000005</v>
      </c>
      <c r="AH21">
        <v>2.7114179503006102</v>
      </c>
      <c r="AI21">
        <v>73.770440690048204</v>
      </c>
      <c r="AJ21">
        <v>91.2745749155998</v>
      </c>
      <c r="AK21">
        <v>2.8246524404737001</v>
      </c>
      <c r="AL21">
        <v>79.330326103502998</v>
      </c>
      <c r="AM21">
        <v>94.567965780186597</v>
      </c>
      <c r="AN21">
        <v>0.99999998959505598</v>
      </c>
    </row>
    <row r="22" spans="1:40" x14ac:dyDescent="0.25">
      <c r="A22" t="str">
        <f>"20190304155312201"</f>
        <v>20190304155312201</v>
      </c>
      <c r="B22" t="str">
        <f>"1551685992196054"</f>
        <v>1551685992196054</v>
      </c>
      <c r="C22" t="s">
        <v>40</v>
      </c>
      <c r="D22">
        <v>4.0372219999999999</v>
      </c>
      <c r="E22">
        <v>0.52023209999999998</v>
      </c>
      <c r="F22" t="s">
        <v>41</v>
      </c>
      <c r="G22">
        <v>-159.53809999999999</v>
      </c>
      <c r="H22">
        <v>83.359700000000004</v>
      </c>
      <c r="I22">
        <v>377.04570000000001</v>
      </c>
      <c r="J22">
        <v>-476.27969999999999</v>
      </c>
      <c r="K22">
        <v>1.110125</v>
      </c>
      <c r="L22">
        <v>367.21749999999997</v>
      </c>
      <c r="M22">
        <v>0.99996300000000005</v>
      </c>
      <c r="N22">
        <v>-8.6156389999999996E-3</v>
      </c>
      <c r="O22">
        <v>-4.5549190000000002E-4</v>
      </c>
      <c r="P22">
        <v>0.98117449999999995</v>
      </c>
      <c r="Q22">
        <v>0.17682239999999999</v>
      </c>
      <c r="R22">
        <v>7.7657920000000005E-2</v>
      </c>
      <c r="S22">
        <v>2.9143979999999998</v>
      </c>
      <c r="T22">
        <v>0.7567315</v>
      </c>
      <c r="U22">
        <v>9.0423580000000003E-2</v>
      </c>
      <c r="V22">
        <v>-7.8097929999999996E-2</v>
      </c>
      <c r="W22">
        <v>0.18527160000000001</v>
      </c>
      <c r="X22">
        <v>0.97957899999999998</v>
      </c>
      <c r="Y22">
        <v>-3.0475749999999999E-2</v>
      </c>
      <c r="Z22">
        <v>-3.877924E-3</v>
      </c>
      <c r="AA22">
        <v>0.99952799999999997</v>
      </c>
      <c r="AB22">
        <v>1</v>
      </c>
      <c r="AC22">
        <v>316.74160000000001</v>
      </c>
      <c r="AD22">
        <v>82.249574999999993</v>
      </c>
      <c r="AE22">
        <v>9.8282000000000291</v>
      </c>
      <c r="AF22">
        <v>-9.3430742946120304</v>
      </c>
      <c r="AG22">
        <v>82.249574999999993</v>
      </c>
      <c r="AH22">
        <v>296.74653622075499</v>
      </c>
      <c r="AI22">
        <v>74.515466759406905</v>
      </c>
      <c r="AJ22">
        <v>91.803363733451803</v>
      </c>
      <c r="AK22">
        <v>308.07595229743401</v>
      </c>
      <c r="AL22">
        <v>79.323031619324894</v>
      </c>
      <c r="AM22">
        <v>94.558322563104397</v>
      </c>
      <c r="AN22">
        <v>0.99999993483892002</v>
      </c>
    </row>
    <row r="23" spans="1:40" x14ac:dyDescent="0.25">
      <c r="A23" t="str">
        <f>"20190304155312225"</f>
        <v>20190304155312225</v>
      </c>
      <c r="B23" t="str">
        <f>"1551685992215574"</f>
        <v>1551685992215574</v>
      </c>
      <c r="C23" t="s">
        <v>40</v>
      </c>
      <c r="D23">
        <v>4.24153</v>
      </c>
      <c r="E23">
        <v>0.51912400000000003</v>
      </c>
      <c r="F23" t="s">
        <v>43</v>
      </c>
      <c r="G23">
        <v>0</v>
      </c>
      <c r="H23">
        <v>0</v>
      </c>
      <c r="I23">
        <v>0</v>
      </c>
      <c r="J23">
        <v>-476.25040000000001</v>
      </c>
      <c r="K23">
        <v>1.1097680000000001</v>
      </c>
      <c r="L23">
        <v>367.2174</v>
      </c>
      <c r="M23">
        <v>0.99997340000000001</v>
      </c>
      <c r="N23">
        <v>-7.2672630000000004E-3</v>
      </c>
      <c r="O23">
        <v>-4.731386E-4</v>
      </c>
      <c r="P23">
        <v>0.98100140000000002</v>
      </c>
      <c r="Q23">
        <v>0.17759759999999999</v>
      </c>
      <c r="R23">
        <v>7.8073279999999995E-2</v>
      </c>
      <c r="S23">
        <v>2.909332</v>
      </c>
      <c r="T23">
        <v>0.78831509999999905</v>
      </c>
      <c r="U23">
        <v>7.8002929999999998E-2</v>
      </c>
      <c r="V23">
        <v>-7.8529799999999997E-2</v>
      </c>
      <c r="W23">
        <v>0.18472520000000001</v>
      </c>
      <c r="X23">
        <v>0.97964770000000001</v>
      </c>
      <c r="Y23">
        <v>-2.6334090000000001E-2</v>
      </c>
      <c r="Z23">
        <v>-3.5359010000000001E-3</v>
      </c>
      <c r="AA23">
        <v>0.99964699999999995</v>
      </c>
      <c r="AB23">
        <v>3</v>
      </c>
      <c r="AC23">
        <v>2.909332</v>
      </c>
      <c r="AD23">
        <v>0.78831509999999905</v>
      </c>
      <c r="AE23">
        <v>7.8002929999999998E-2</v>
      </c>
      <c r="AF23">
        <v>-7.3953709637329598E-2</v>
      </c>
      <c r="AG23">
        <v>0.78831509999999905</v>
      </c>
      <c r="AH23">
        <v>2.7104379370049299</v>
      </c>
      <c r="AI23">
        <v>73.788951368106595</v>
      </c>
      <c r="AJ23">
        <v>91.562915117867405</v>
      </c>
      <c r="AK23">
        <v>2.8237180557578099</v>
      </c>
      <c r="AL23">
        <v>79.354888319189797</v>
      </c>
      <c r="AM23">
        <v>94.583102252042195</v>
      </c>
      <c r="AN23">
        <v>0.99999997255918405</v>
      </c>
    </row>
    <row r="24" spans="1:40" x14ac:dyDescent="0.25">
      <c r="A24" t="str">
        <f>"20190304155312248"</f>
        <v>20190304155312248</v>
      </c>
      <c r="B24" t="str">
        <f>"1551685992245829"</f>
        <v>1551685992245829</v>
      </c>
      <c r="C24" t="s">
        <v>40</v>
      </c>
      <c r="D24">
        <v>4.2004250000000001</v>
      </c>
      <c r="E24">
        <v>0.51854940000000005</v>
      </c>
      <c r="F24" t="s">
        <v>43</v>
      </c>
      <c r="G24">
        <v>0</v>
      </c>
      <c r="H24">
        <v>0</v>
      </c>
      <c r="I24">
        <v>0</v>
      </c>
      <c r="J24">
        <v>-476.2226</v>
      </c>
      <c r="K24">
        <v>1.1097239999999999</v>
      </c>
      <c r="L24">
        <v>367.2174</v>
      </c>
      <c r="M24">
        <v>0.99997650000000005</v>
      </c>
      <c r="N24">
        <v>-6.8516849999999997E-3</v>
      </c>
      <c r="O24">
        <v>-4.8871889999999995E-4</v>
      </c>
      <c r="P24">
        <v>0.98081700000000005</v>
      </c>
      <c r="Q24">
        <v>0.17828910000000001</v>
      </c>
      <c r="R24">
        <v>7.8811989999999998E-2</v>
      </c>
      <c r="S24">
        <v>2.91214</v>
      </c>
      <c r="T24">
        <v>0.76780579999999998</v>
      </c>
      <c r="U24">
        <v>8.7829589999999999E-2</v>
      </c>
      <c r="V24">
        <v>-7.9283160000000005E-2</v>
      </c>
      <c r="W24">
        <v>0.18500829999999999</v>
      </c>
      <c r="X24">
        <v>0.9795336</v>
      </c>
      <c r="Y24">
        <v>-2.9632499999999999E-2</v>
      </c>
      <c r="Z24">
        <v>-3.8667039999999999E-3</v>
      </c>
      <c r="AA24">
        <v>0.99955340000000004</v>
      </c>
      <c r="AB24">
        <v>3</v>
      </c>
      <c r="AC24">
        <v>2.91214</v>
      </c>
      <c r="AD24">
        <v>0.76780579999999998</v>
      </c>
      <c r="AE24">
        <v>8.7829589999999999E-2</v>
      </c>
      <c r="AF24">
        <v>-8.3456619396665099E-2</v>
      </c>
      <c r="AG24">
        <v>0.76780579999999998</v>
      </c>
      <c r="AH24">
        <v>2.72298084503465</v>
      </c>
      <c r="AI24">
        <v>74.260030532555007</v>
      </c>
      <c r="AJ24">
        <v>91.755508366878601</v>
      </c>
      <c r="AK24">
        <v>2.8303913927689202</v>
      </c>
      <c r="AL24">
        <v>79.338383500131798</v>
      </c>
      <c r="AM24">
        <v>94.627415950827398</v>
      </c>
      <c r="AN24">
        <v>0.99999998202871698</v>
      </c>
    </row>
    <row r="25" spans="1:40" x14ac:dyDescent="0.25">
      <c r="A25" t="str">
        <f>"20190304155312270"</f>
        <v>20190304155312270</v>
      </c>
      <c r="B25" t="str">
        <f>"1551685992265352"</f>
        <v>1551685992265352</v>
      </c>
      <c r="C25" t="s">
        <v>40</v>
      </c>
      <c r="D25">
        <v>4.2345240000000004</v>
      </c>
      <c r="E25">
        <v>0.51835019999999998</v>
      </c>
      <c r="F25" t="s">
        <v>43</v>
      </c>
      <c r="G25">
        <v>0</v>
      </c>
      <c r="H25">
        <v>0</v>
      </c>
      <c r="I25">
        <v>0</v>
      </c>
      <c r="J25">
        <v>-476.20010000000002</v>
      </c>
      <c r="K25">
        <v>1.1101379999999901</v>
      </c>
      <c r="L25">
        <v>367.2174</v>
      </c>
      <c r="M25">
        <v>0.99996719999999895</v>
      </c>
      <c r="N25">
        <v>-8.0953239999999992E-3</v>
      </c>
      <c r="O25">
        <v>-4.9850369999999999E-4</v>
      </c>
      <c r="P25">
        <v>0.9808791</v>
      </c>
      <c r="Q25">
        <v>0.17757110000000001</v>
      </c>
      <c r="R25">
        <v>7.9653959999999996E-2</v>
      </c>
      <c r="S25">
        <v>2.9117130000000002</v>
      </c>
      <c r="T25">
        <v>0.76685579999999998</v>
      </c>
      <c r="U25">
        <v>9.4635010000000006E-2</v>
      </c>
      <c r="V25">
        <v>-8.0135330000000005E-2</v>
      </c>
      <c r="W25">
        <v>0.1855087</v>
      </c>
      <c r="X25">
        <v>0.97936959999999995</v>
      </c>
      <c r="Y25">
        <v>-3.1912040000000003E-2</v>
      </c>
      <c r="Z25">
        <v>-4.1325629999999997E-3</v>
      </c>
      <c r="AA25">
        <v>0.99948219999999999</v>
      </c>
      <c r="AB25">
        <v>3</v>
      </c>
      <c r="AC25">
        <v>2.9117130000000002</v>
      </c>
      <c r="AD25">
        <v>0.76685579999999998</v>
      </c>
      <c r="AE25">
        <v>9.4635010000000006E-2</v>
      </c>
      <c r="AF25">
        <v>-8.9860120458989404E-2</v>
      </c>
      <c r="AG25">
        <v>0.76685579999999998</v>
      </c>
      <c r="AH25">
        <v>2.7229890305470601</v>
      </c>
      <c r="AI25">
        <v>74.279704152016606</v>
      </c>
      <c r="AJ25">
        <v>91.890105984960698</v>
      </c>
      <c r="AK25">
        <v>2.8303377748463499</v>
      </c>
      <c r="AL25">
        <v>79.309207642555805</v>
      </c>
      <c r="AM25">
        <v>94.677713657430601</v>
      </c>
      <c r="AN25">
        <v>0.99999998114702904</v>
      </c>
    </row>
    <row r="26" spans="1:40" x14ac:dyDescent="0.25">
      <c r="A26" t="str">
        <f>"20190304155312292"</f>
        <v>20190304155312292</v>
      </c>
      <c r="B26" t="str">
        <f>"1551685992285847"</f>
        <v>1551685992285847</v>
      </c>
      <c r="C26" t="s">
        <v>40</v>
      </c>
      <c r="D26">
        <v>4.2067100000000002</v>
      </c>
      <c r="E26">
        <v>0.51824239999999999</v>
      </c>
      <c r="F26" t="s">
        <v>43</v>
      </c>
      <c r="G26">
        <v>0</v>
      </c>
      <c r="H26">
        <v>0</v>
      </c>
      <c r="I26">
        <v>0</v>
      </c>
      <c r="J26">
        <v>-476.18049999999999</v>
      </c>
      <c r="K26">
        <v>1.110663</v>
      </c>
      <c r="L26">
        <v>367.2174</v>
      </c>
      <c r="M26">
        <v>0.99994970000000005</v>
      </c>
      <c r="N26">
        <v>-1.002221E-2</v>
      </c>
      <c r="O26">
        <v>-5.0461560000000002E-4</v>
      </c>
      <c r="P26">
        <v>0.98123439999999995</v>
      </c>
      <c r="Q26">
        <v>0.17531859999999999</v>
      </c>
      <c r="R26">
        <v>8.0264760000000004E-2</v>
      </c>
      <c r="S26">
        <v>2.9109799999999999</v>
      </c>
      <c r="T26">
        <v>0.77027889999999999</v>
      </c>
      <c r="U26">
        <v>9.9212649999999999E-2</v>
      </c>
      <c r="V26">
        <v>-8.0753179999999994E-2</v>
      </c>
      <c r="W26">
        <v>0.18514649999999999</v>
      </c>
      <c r="X26">
        <v>0.97938740000000002</v>
      </c>
      <c r="Y26">
        <v>-3.3443420000000001E-2</v>
      </c>
      <c r="Z26">
        <v>-4.314539E-3</v>
      </c>
      <c r="AA26">
        <v>0.99943130000000002</v>
      </c>
      <c r="AB26">
        <v>2</v>
      </c>
      <c r="AC26">
        <v>2.9109799999999999</v>
      </c>
      <c r="AD26">
        <v>0.77027889999999999</v>
      </c>
      <c r="AE26">
        <v>9.9212649999999999E-2</v>
      </c>
      <c r="AF26">
        <v>-9.4100438003374698E-2</v>
      </c>
      <c r="AG26">
        <v>0.77027889999999999</v>
      </c>
      <c r="AH26">
        <v>2.7206524945819699</v>
      </c>
      <c r="AI26">
        <v>74.200945313001199</v>
      </c>
      <c r="AJ26">
        <v>91.980925363158093</v>
      </c>
      <c r="AK26">
        <v>2.8291579087234999</v>
      </c>
      <c r="AL26">
        <v>79.330326117703507</v>
      </c>
      <c r="AM26">
        <v>94.713532041532602</v>
      </c>
      <c r="AN26">
        <v>0.99999999091056102</v>
      </c>
    </row>
    <row r="27" spans="1:40" x14ac:dyDescent="0.25">
      <c r="A27" t="str">
        <f>"20190304155312313"</f>
        <v>20190304155312313</v>
      </c>
      <c r="B27" t="str">
        <f>"1551685992305366"</f>
        <v>1551685992305366</v>
      </c>
      <c r="C27" t="s">
        <v>40</v>
      </c>
      <c r="D27">
        <v>4.1998309999999996</v>
      </c>
      <c r="E27">
        <v>0.51815879999999903</v>
      </c>
      <c r="F27" t="s">
        <v>43</v>
      </c>
      <c r="G27">
        <v>0</v>
      </c>
      <c r="H27">
        <v>0</v>
      </c>
      <c r="I27">
        <v>0</v>
      </c>
      <c r="J27">
        <v>-476.16050000000001</v>
      </c>
      <c r="K27">
        <v>1.1107370000000001</v>
      </c>
      <c r="L27">
        <v>367.2174</v>
      </c>
      <c r="M27">
        <v>0.99994349999999999</v>
      </c>
      <c r="N27">
        <v>-1.0625590000000001E-2</v>
      </c>
      <c r="O27">
        <v>-5.0831870000000003E-4</v>
      </c>
      <c r="P27">
        <v>0.98107089999999997</v>
      </c>
      <c r="Q27">
        <v>0.17572460000000001</v>
      </c>
      <c r="R27">
        <v>8.1370059999999994E-2</v>
      </c>
      <c r="S27">
        <v>2.911591</v>
      </c>
      <c r="T27">
        <v>0.76875280000000001</v>
      </c>
      <c r="U27">
        <v>0.10253909999999999</v>
      </c>
      <c r="V27">
        <v>-8.1862939999999995E-2</v>
      </c>
      <c r="W27">
        <v>0.18614169999999999</v>
      </c>
      <c r="X27">
        <v>0.97910660000000005</v>
      </c>
      <c r="Y27">
        <v>-3.4551539999999999E-2</v>
      </c>
      <c r="Z27">
        <v>-4.4338249999999997E-3</v>
      </c>
      <c r="AA27">
        <v>0.99939310000000003</v>
      </c>
      <c r="AB27">
        <v>2</v>
      </c>
      <c r="AC27">
        <v>2.911591</v>
      </c>
      <c r="AD27">
        <v>0.76875280000000001</v>
      </c>
      <c r="AE27">
        <v>0.10253909999999999</v>
      </c>
      <c r="AF27">
        <v>-9.7248141585530995E-2</v>
      </c>
      <c r="AG27">
        <v>0.76875280000000001</v>
      </c>
      <c r="AH27">
        <v>2.7220142560752301</v>
      </c>
      <c r="AI27">
        <v>74.238784506206599</v>
      </c>
      <c r="AJ27">
        <v>92.046109510891696</v>
      </c>
      <c r="AK27">
        <v>2.8301589493925001</v>
      </c>
      <c r="AL27">
        <v>79.272296770914707</v>
      </c>
      <c r="AM27">
        <v>94.7793743770643</v>
      </c>
      <c r="AN27">
        <v>1.0000000037939401</v>
      </c>
    </row>
    <row r="28" spans="1:40" x14ac:dyDescent="0.25">
      <c r="A28" t="str">
        <f>"20190304155312336"</f>
        <v>20190304155312336</v>
      </c>
      <c r="B28" t="str">
        <f>"1551685992325862"</f>
        <v>1551685992325862</v>
      </c>
      <c r="C28" t="s">
        <v>40</v>
      </c>
      <c r="D28">
        <v>4.197514</v>
      </c>
      <c r="E28">
        <v>0.51821139999999999</v>
      </c>
      <c r="F28" t="s">
        <v>43</v>
      </c>
      <c r="G28">
        <v>0</v>
      </c>
      <c r="H28">
        <v>0</v>
      </c>
      <c r="I28">
        <v>0</v>
      </c>
      <c r="J28">
        <v>-476.13279999999997</v>
      </c>
      <c r="K28">
        <v>1.110314</v>
      </c>
      <c r="L28">
        <v>367.2174</v>
      </c>
      <c r="M28">
        <v>0.99995540000000005</v>
      </c>
      <c r="N28">
        <v>-9.4439009999999993E-3</v>
      </c>
      <c r="O28">
        <v>-5.1334150000000001E-4</v>
      </c>
      <c r="P28">
        <v>0.98059649999999998</v>
      </c>
      <c r="Q28">
        <v>0.17769409999999999</v>
      </c>
      <c r="R28">
        <v>8.279765E-2</v>
      </c>
      <c r="S28">
        <v>2.910126</v>
      </c>
      <c r="T28">
        <v>0.77545759999999997</v>
      </c>
      <c r="U28">
        <v>0.10696410000000001</v>
      </c>
      <c r="V28">
        <v>-8.3295289999999994E-2</v>
      </c>
      <c r="W28">
        <v>0.1869489</v>
      </c>
      <c r="X28">
        <v>0.97883189999999998</v>
      </c>
      <c r="Y28">
        <v>-3.6015850000000002E-2</v>
      </c>
      <c r="Z28">
        <v>-4.6809829999999997E-3</v>
      </c>
      <c r="AA28">
        <v>0.99934020000000001</v>
      </c>
      <c r="AB28">
        <v>2</v>
      </c>
      <c r="AC28">
        <v>2.910126</v>
      </c>
      <c r="AD28">
        <v>0.77545759999999997</v>
      </c>
      <c r="AE28">
        <v>0.10696410000000001</v>
      </c>
      <c r="AF28">
        <v>-0.101276542490501</v>
      </c>
      <c r="AG28">
        <v>0.77545759999999997</v>
      </c>
      <c r="AH28">
        <v>2.7173817383230299</v>
      </c>
      <c r="AI28">
        <v>74.083365088419498</v>
      </c>
      <c r="AJ28">
        <v>92.134420003342299</v>
      </c>
      <c r="AK28">
        <v>2.8276765973548099</v>
      </c>
      <c r="AL28">
        <v>79.225220601756902</v>
      </c>
      <c r="AM28">
        <v>94.863959300930404</v>
      </c>
      <c r="AN28">
        <v>0.99999994250250002</v>
      </c>
    </row>
    <row r="29" spans="1:40" x14ac:dyDescent="0.25">
      <c r="A29" t="str">
        <f>"20190304155312358"</f>
        <v>20190304155312358</v>
      </c>
      <c r="B29" t="str">
        <f>"1551685992355142"</f>
        <v>1551685992355142</v>
      </c>
      <c r="C29" t="s">
        <v>40</v>
      </c>
      <c r="D29">
        <v>4.2189959999999997</v>
      </c>
      <c r="E29">
        <v>0.51811209999999996</v>
      </c>
      <c r="F29" t="s">
        <v>43</v>
      </c>
      <c r="G29">
        <v>0</v>
      </c>
      <c r="H29">
        <v>0</v>
      </c>
      <c r="I29">
        <v>0</v>
      </c>
      <c r="J29">
        <v>-476.10419999999999</v>
      </c>
      <c r="K29">
        <v>1.1099300000000001</v>
      </c>
      <c r="L29">
        <v>367.21730000000002</v>
      </c>
      <c r="M29">
        <v>0.99996719999999895</v>
      </c>
      <c r="N29">
        <v>-8.0998219999999996E-3</v>
      </c>
      <c r="O29">
        <v>-5.1947359999999999E-4</v>
      </c>
      <c r="P29">
        <v>0.97997939999999994</v>
      </c>
      <c r="Q29">
        <v>0.1805968</v>
      </c>
      <c r="R29">
        <v>8.3816799999999997E-2</v>
      </c>
      <c r="S29">
        <v>2.907654</v>
      </c>
      <c r="T29">
        <v>0.78524769999999999</v>
      </c>
      <c r="U29">
        <v>0.1114502</v>
      </c>
      <c r="V29">
        <v>-8.4319920000000007E-2</v>
      </c>
      <c r="W29">
        <v>0.188531</v>
      </c>
      <c r="X29">
        <v>0.97844070000000005</v>
      </c>
      <c r="Y29">
        <v>-3.7501350000000003E-2</v>
      </c>
      <c r="Z29">
        <v>-4.9603909999999998E-3</v>
      </c>
      <c r="AA29">
        <v>0.99928430000000001</v>
      </c>
      <c r="AB29">
        <v>2</v>
      </c>
      <c r="AC29">
        <v>2.907654</v>
      </c>
      <c r="AD29">
        <v>0.78524769999999999</v>
      </c>
      <c r="AE29">
        <v>0.1114502</v>
      </c>
      <c r="AF29">
        <v>-0.105292578539981</v>
      </c>
      <c r="AG29">
        <v>0.78524769999999999</v>
      </c>
      <c r="AH29">
        <v>2.7102195154321098</v>
      </c>
      <c r="AI29">
        <v>73.8533489978619</v>
      </c>
      <c r="AJ29">
        <v>92.224833777069193</v>
      </c>
      <c r="AK29">
        <v>2.8236484022059098</v>
      </c>
      <c r="AL29">
        <v>79.132932505516195</v>
      </c>
      <c r="AM29">
        <v>94.925458215102495</v>
      </c>
      <c r="AN29">
        <v>0.99999999514314797</v>
      </c>
    </row>
    <row r="30" spans="1:40" x14ac:dyDescent="0.25">
      <c r="A30" t="str">
        <f>"20190304155312380"</f>
        <v>20190304155312380</v>
      </c>
      <c r="B30" t="str">
        <f>"1551685992375638"</f>
        <v>1551685992375638</v>
      </c>
      <c r="C30" t="s">
        <v>40</v>
      </c>
      <c r="D30">
        <v>4.19923</v>
      </c>
      <c r="E30">
        <v>0.51805089999999998</v>
      </c>
      <c r="F30" t="s">
        <v>43</v>
      </c>
      <c r="G30">
        <v>0</v>
      </c>
      <c r="H30">
        <v>0</v>
      </c>
      <c r="I30">
        <v>0</v>
      </c>
      <c r="J30">
        <v>-476.072</v>
      </c>
      <c r="K30">
        <v>1.1097109999999999</v>
      </c>
      <c r="L30">
        <v>367.21730000000002</v>
      </c>
      <c r="M30">
        <v>0.99997460000000005</v>
      </c>
      <c r="N30">
        <v>-7.1059259999999898E-3</v>
      </c>
      <c r="O30">
        <v>-5.2593680000000002E-4</v>
      </c>
      <c r="P30">
        <v>0.97962369999999999</v>
      </c>
      <c r="Q30">
        <v>0.18236260000000001</v>
      </c>
      <c r="R30">
        <v>8.4150310000000006E-2</v>
      </c>
      <c r="S30">
        <v>2.9065249999999998</v>
      </c>
      <c r="T30">
        <v>0.78648050000000003</v>
      </c>
      <c r="U30">
        <v>0.1148682</v>
      </c>
      <c r="V30">
        <v>-8.4659040000000005E-2</v>
      </c>
      <c r="W30">
        <v>0.18932189999999999</v>
      </c>
      <c r="X30">
        <v>0.97825870000000004</v>
      </c>
      <c r="Y30">
        <v>-3.8645690000000003E-2</v>
      </c>
      <c r="Z30">
        <v>-5.1380369999999998E-3</v>
      </c>
      <c r="AA30">
        <v>0.99923969999999995</v>
      </c>
      <c r="AB30">
        <v>3</v>
      </c>
      <c r="AC30">
        <v>2.9065249999999998</v>
      </c>
      <c r="AD30">
        <v>0.78648050000000003</v>
      </c>
      <c r="AE30">
        <v>0.1148682</v>
      </c>
      <c r="AF30">
        <v>-0.10846731484611299</v>
      </c>
      <c r="AG30">
        <v>0.78648050000000003</v>
      </c>
      <c r="AH30">
        <v>2.7084608238752601</v>
      </c>
      <c r="AI30">
        <v>73.8200957485234</v>
      </c>
      <c r="AJ30">
        <v>92.293332097241304</v>
      </c>
      <c r="AK30">
        <v>2.8224239174399801</v>
      </c>
      <c r="AL30">
        <v>79.086786393417896</v>
      </c>
      <c r="AM30">
        <v>94.946084972321898</v>
      </c>
      <c r="AN30">
        <v>1.0000000094995101</v>
      </c>
    </row>
    <row r="31" spans="1:40" x14ac:dyDescent="0.25">
      <c r="A31" t="str">
        <f>"20190304155312401"</f>
        <v>20190304155312401</v>
      </c>
      <c r="B31" t="str">
        <f>"1551685992395158"</f>
        <v>1551685992395158</v>
      </c>
      <c r="C31" t="s">
        <v>40</v>
      </c>
      <c r="D31">
        <v>4.253374</v>
      </c>
      <c r="E31">
        <v>0.51816390000000001</v>
      </c>
      <c r="F31" t="s">
        <v>43</v>
      </c>
      <c r="G31">
        <v>0</v>
      </c>
      <c r="H31">
        <v>0</v>
      </c>
      <c r="I31">
        <v>0</v>
      </c>
      <c r="J31">
        <v>-476.04579999999999</v>
      </c>
      <c r="K31">
        <v>1.1100449999999999</v>
      </c>
      <c r="L31">
        <v>367.21730000000002</v>
      </c>
      <c r="M31">
        <v>0.99996779999999996</v>
      </c>
      <c r="N31">
        <v>-8.0255440000000008E-3</v>
      </c>
      <c r="O31">
        <v>-5.3049849999999997E-4</v>
      </c>
      <c r="P31">
        <v>0.97993710000000001</v>
      </c>
      <c r="Q31">
        <v>0.18093619999999999</v>
      </c>
      <c r="R31">
        <v>8.3580509999999997E-2</v>
      </c>
      <c r="S31">
        <v>2.906342</v>
      </c>
      <c r="T31">
        <v>0.78487439999999997</v>
      </c>
      <c r="U31">
        <v>0.1155701</v>
      </c>
      <c r="V31">
        <v>-8.4093920000000003E-2</v>
      </c>
      <c r="W31">
        <v>0.18879750000000001</v>
      </c>
      <c r="X31">
        <v>0.97840879999999997</v>
      </c>
      <c r="Y31">
        <v>-3.8895010000000001E-2</v>
      </c>
      <c r="Z31">
        <v>-5.143636E-3</v>
      </c>
      <c r="AA31">
        <v>0.99923010000000001</v>
      </c>
      <c r="AB31">
        <v>3</v>
      </c>
      <c r="AC31">
        <v>2.906342</v>
      </c>
      <c r="AD31">
        <v>0.78487439999999997</v>
      </c>
      <c r="AE31">
        <v>0.1155701</v>
      </c>
      <c r="AF31">
        <v>-0.10916322558130501</v>
      </c>
      <c r="AG31">
        <v>0.78487439999999997</v>
      </c>
      <c r="AH31">
        <v>2.7090228456211101</v>
      </c>
      <c r="AI31">
        <v>73.854741703049598</v>
      </c>
      <c r="AJ31">
        <v>92.307551612686893</v>
      </c>
      <c r="AK31">
        <v>2.8225430398298199</v>
      </c>
      <c r="AL31">
        <v>79.117384355964205</v>
      </c>
      <c r="AM31">
        <v>94.912480728231898</v>
      </c>
      <c r="AN31">
        <v>1.0000000316523201</v>
      </c>
    </row>
    <row r="32" spans="1:40" x14ac:dyDescent="0.25">
      <c r="A32" t="str">
        <f>"20190304155312426"</f>
        <v>20190304155312426</v>
      </c>
      <c r="B32" t="str">
        <f>"1551685992415654"</f>
        <v>1551685992415654</v>
      </c>
      <c r="C32" t="s">
        <v>40</v>
      </c>
      <c r="D32">
        <v>4.2269699999999997</v>
      </c>
      <c r="E32">
        <v>0.51856199999999997</v>
      </c>
      <c r="F32" t="s">
        <v>43</v>
      </c>
      <c r="G32">
        <v>0</v>
      </c>
      <c r="H32">
        <v>0</v>
      </c>
      <c r="I32">
        <v>0</v>
      </c>
      <c r="J32">
        <v>-476.02159999999998</v>
      </c>
      <c r="K32">
        <v>1.1106309999999999</v>
      </c>
      <c r="L32">
        <v>367.21730000000002</v>
      </c>
      <c r="M32">
        <v>0.99994919999999998</v>
      </c>
      <c r="N32">
        <v>-1.007826E-2</v>
      </c>
      <c r="O32">
        <v>-5.3313349999999896E-4</v>
      </c>
      <c r="P32">
        <v>0.98019109999999998</v>
      </c>
      <c r="Q32">
        <v>0.179688299999999</v>
      </c>
      <c r="R32">
        <v>8.3293649999999997E-2</v>
      </c>
      <c r="S32">
        <v>2.9084469999999998</v>
      </c>
      <c r="T32">
        <v>0.77650450000000004</v>
      </c>
      <c r="U32">
        <v>0.1129761</v>
      </c>
      <c r="V32">
        <v>-8.3810309999999999E-2</v>
      </c>
      <c r="W32">
        <v>0.18956020000000001</v>
      </c>
      <c r="X32">
        <v>0.97828559999999998</v>
      </c>
      <c r="Y32">
        <v>-3.8048800000000001E-2</v>
      </c>
      <c r="Z32">
        <v>-4.9401100000000002E-3</v>
      </c>
      <c r="AA32">
        <v>0.99926360000000003</v>
      </c>
      <c r="AB32">
        <v>3</v>
      </c>
      <c r="AC32">
        <v>2.9084469999999998</v>
      </c>
      <c r="AD32">
        <v>0.77650450000000004</v>
      </c>
      <c r="AE32">
        <v>0.1129761</v>
      </c>
      <c r="AF32">
        <v>-0.10691721184280401</v>
      </c>
      <c r="AG32">
        <v>0.77650450000000004</v>
      </c>
      <c r="AH32">
        <v>2.7151434187083501</v>
      </c>
      <c r="AI32">
        <v>74.051718677526196</v>
      </c>
      <c r="AJ32">
        <v>92.255034318975504</v>
      </c>
      <c r="AK32">
        <v>2.8260209328424599</v>
      </c>
      <c r="AL32">
        <v>79.072880645005895</v>
      </c>
      <c r="AM32">
        <v>94.896607441454606</v>
      </c>
      <c r="AN32">
        <v>0.99999997632684701</v>
      </c>
    </row>
    <row r="33" spans="1:40" x14ac:dyDescent="0.25">
      <c r="A33" t="str">
        <f>"20190304155312450"</f>
        <v>20190304155312450</v>
      </c>
      <c r="B33" t="str">
        <f>"1551685992445911"</f>
        <v>1551685992445911</v>
      </c>
      <c r="C33" t="s">
        <v>40</v>
      </c>
      <c r="D33">
        <v>4.2851699999999999</v>
      </c>
      <c r="E33">
        <v>0.53220419999999902</v>
      </c>
      <c r="F33" t="s">
        <v>43</v>
      </c>
      <c r="G33">
        <v>0</v>
      </c>
      <c r="H33">
        <v>0</v>
      </c>
      <c r="I33">
        <v>0</v>
      </c>
      <c r="J33">
        <v>-475.99709999999999</v>
      </c>
      <c r="K33">
        <v>1.1108960000000001</v>
      </c>
      <c r="L33">
        <v>367.21730000000002</v>
      </c>
      <c r="M33">
        <v>0.99993529999999997</v>
      </c>
      <c r="N33">
        <v>-1.136615E-2</v>
      </c>
      <c r="O33">
        <v>-5.3468869999999998E-4</v>
      </c>
      <c r="P33">
        <v>0.98010359999999996</v>
      </c>
      <c r="Q33">
        <v>0.18061930000000001</v>
      </c>
      <c r="R33">
        <v>8.2305110000000001E-2</v>
      </c>
      <c r="S33">
        <v>2.9088129999999999</v>
      </c>
      <c r="T33">
        <v>0.7772791</v>
      </c>
      <c r="U33">
        <v>0.1093445</v>
      </c>
      <c r="V33">
        <v>-8.2823690000000005E-2</v>
      </c>
      <c r="W33">
        <v>0.19174949999999999</v>
      </c>
      <c r="X33">
        <v>0.97794289999999995</v>
      </c>
      <c r="Y33">
        <v>-3.6844109999999999E-2</v>
      </c>
      <c r="Z33">
        <v>-4.7695799999999998E-3</v>
      </c>
      <c r="AA33">
        <v>0.99930969999999997</v>
      </c>
      <c r="AB33">
        <v>2</v>
      </c>
      <c r="AC33">
        <v>2.9088129999999999</v>
      </c>
      <c r="AD33">
        <v>0.7772791</v>
      </c>
      <c r="AE33">
        <v>0.1093445</v>
      </c>
      <c r="AF33">
        <v>-0.10351867939899401</v>
      </c>
      <c r="AG33">
        <v>0.7772791</v>
      </c>
      <c r="AH33">
        <v>2.7151548412599902</v>
      </c>
      <c r="AI33">
        <v>74.035949623729394</v>
      </c>
      <c r="AJ33">
        <v>92.183415828092805</v>
      </c>
      <c r="AK33">
        <v>2.8261183146320898</v>
      </c>
      <c r="AL33">
        <v>78.945099068136898</v>
      </c>
      <c r="AM33">
        <v>94.840927402043903</v>
      </c>
      <c r="AN33">
        <v>0.99999997501793703</v>
      </c>
    </row>
    <row r="34" spans="1:40" x14ac:dyDescent="0.25">
      <c r="A34" t="str">
        <f>"20190304155312471"</f>
        <v>20190304155312471</v>
      </c>
      <c r="B34" t="str">
        <f>"1551685992465430"</f>
        <v>1551685992465430</v>
      </c>
      <c r="C34" t="s">
        <v>40</v>
      </c>
      <c r="D34">
        <v>4.2056639999999996</v>
      </c>
      <c r="E34">
        <v>0.53364429999999996</v>
      </c>
      <c r="F34" t="s">
        <v>43</v>
      </c>
      <c r="G34">
        <v>0</v>
      </c>
      <c r="H34">
        <v>0</v>
      </c>
      <c r="I34">
        <v>0</v>
      </c>
      <c r="J34">
        <v>-475.97039999999998</v>
      </c>
      <c r="K34">
        <v>1.110544</v>
      </c>
      <c r="L34">
        <v>367.21730000000002</v>
      </c>
      <c r="M34">
        <v>0.99994519999999998</v>
      </c>
      <c r="N34">
        <v>-1.046363E-2</v>
      </c>
      <c r="O34">
        <v>-5.3632430000000002E-4</v>
      </c>
      <c r="P34">
        <v>0.97963359999999999</v>
      </c>
      <c r="Q34">
        <v>0.18318599999999999</v>
      </c>
      <c r="R34">
        <v>8.2224630000000007E-2</v>
      </c>
      <c r="S34">
        <v>2.8472900000000001</v>
      </c>
      <c r="T34">
        <v>1.15489</v>
      </c>
      <c r="U34">
        <v>9.0026859999999993E-3</v>
      </c>
      <c r="V34">
        <v>-8.2743670000000005E-2</v>
      </c>
      <c r="W34">
        <v>0.19342880000000001</v>
      </c>
      <c r="X34">
        <v>0.97761889999999996</v>
      </c>
      <c r="Y34">
        <v>-3.392543E-3</v>
      </c>
      <c r="Z34">
        <v>-8.5808360000000003E-4</v>
      </c>
      <c r="AA34">
        <v>0.99999389999999999</v>
      </c>
      <c r="AB34">
        <v>2</v>
      </c>
      <c r="AC34">
        <v>2.8472900000000001</v>
      </c>
      <c r="AD34">
        <v>1.15489</v>
      </c>
      <c r="AE34">
        <v>9.0026859999999993E-3</v>
      </c>
      <c r="AF34">
        <v>-9.0422292650152395E-3</v>
      </c>
      <c r="AG34">
        <v>1.15489</v>
      </c>
      <c r="AH34">
        <v>2.44503278963799</v>
      </c>
      <c r="AI34">
        <v>64.716850035621803</v>
      </c>
      <c r="AJ34">
        <v>90.211890496768007</v>
      </c>
      <c r="AK34">
        <v>2.7040780344537101</v>
      </c>
      <c r="AL34">
        <v>78.8470465404706</v>
      </c>
      <c r="AM34">
        <v>94.837867760047502</v>
      </c>
      <c r="AN34">
        <v>0.99999996461585805</v>
      </c>
    </row>
    <row r="35" spans="1:40" x14ac:dyDescent="0.25">
      <c r="A35" t="str">
        <f>"20190304155312494"</f>
        <v>20190304155312494</v>
      </c>
      <c r="B35" t="str">
        <f>"1551685992485926"</f>
        <v>1551685992485926</v>
      </c>
      <c r="C35" t="s">
        <v>40</v>
      </c>
      <c r="D35">
        <v>4.3277739999999998</v>
      </c>
      <c r="E35">
        <v>0.53470130000000005</v>
      </c>
      <c r="F35" t="s">
        <v>43</v>
      </c>
      <c r="G35">
        <v>0</v>
      </c>
      <c r="H35">
        <v>0</v>
      </c>
      <c r="I35">
        <v>0</v>
      </c>
      <c r="J35">
        <v>-475.93700000000001</v>
      </c>
      <c r="K35">
        <v>1.110066</v>
      </c>
      <c r="L35">
        <v>367.21719999999999</v>
      </c>
      <c r="M35">
        <v>0.99996059999999998</v>
      </c>
      <c r="N35">
        <v>-8.8736960000000004E-3</v>
      </c>
      <c r="O35">
        <v>-5.3947839999999995E-4</v>
      </c>
      <c r="P35">
        <v>0.97898439999999998</v>
      </c>
      <c r="Q35">
        <v>0.18648609999999999</v>
      </c>
      <c r="R35">
        <v>8.2540559999999999E-2</v>
      </c>
      <c r="S35">
        <v>2.8355709999999998</v>
      </c>
      <c r="T35">
        <v>1.213684</v>
      </c>
      <c r="U35">
        <v>-1.4343260000000001E-3</v>
      </c>
      <c r="V35">
        <v>-8.3061780000000002E-2</v>
      </c>
      <c r="W35">
        <v>0.1951688</v>
      </c>
      <c r="X35">
        <v>0.97724599999999995</v>
      </c>
      <c r="Y35" s="1">
        <v>1.4418889999999999E-5</v>
      </c>
      <c r="Z35">
        <v>-2.22895E-4</v>
      </c>
      <c r="AA35">
        <v>1</v>
      </c>
      <c r="AB35">
        <v>3</v>
      </c>
      <c r="AC35">
        <v>2.8355709999999998</v>
      </c>
      <c r="AD35">
        <v>1.213684</v>
      </c>
      <c r="AE35">
        <v>-1.4343260000000001E-3</v>
      </c>
      <c r="AF35" s="1">
        <v>-8.0682394115625197E-5</v>
      </c>
      <c r="AG35">
        <v>1.213684</v>
      </c>
      <c r="AH35">
        <v>2.3965235715640798</v>
      </c>
      <c r="AI35">
        <v>63.140738891197003</v>
      </c>
      <c r="AJ35">
        <v>90.001928944374598</v>
      </c>
      <c r="AK35">
        <v>2.68632724875952</v>
      </c>
      <c r="AL35">
        <v>78.745414641880799</v>
      </c>
      <c r="AM35">
        <v>94.858222514618404</v>
      </c>
      <c r="AN35">
        <v>0.99999993215310101</v>
      </c>
    </row>
    <row r="36" spans="1:40" x14ac:dyDescent="0.25">
      <c r="A36" t="str">
        <f>"20190304155312517"</f>
        <v>20190304155312517</v>
      </c>
      <c r="B36" t="str">
        <f>"1551685992505446"</f>
        <v>1551685992505446</v>
      </c>
      <c r="C36" t="s">
        <v>40</v>
      </c>
      <c r="D36">
        <v>4.283919</v>
      </c>
      <c r="E36">
        <v>0.53463729999999998</v>
      </c>
      <c r="F36" t="s">
        <v>43</v>
      </c>
      <c r="G36">
        <v>0</v>
      </c>
      <c r="H36">
        <v>0</v>
      </c>
      <c r="I36">
        <v>0</v>
      </c>
      <c r="J36">
        <v>-475.90320000000003</v>
      </c>
      <c r="K36">
        <v>1.1098349999999999</v>
      </c>
      <c r="L36">
        <v>367.21719999999999</v>
      </c>
      <c r="M36">
        <v>0.99996929999999995</v>
      </c>
      <c r="N36">
        <v>-7.8299359999999991E-3</v>
      </c>
      <c r="O36">
        <v>-5.4369469999999997E-4</v>
      </c>
      <c r="P36">
        <v>0.97821930000000001</v>
      </c>
      <c r="Q36">
        <v>0.1902817</v>
      </c>
      <c r="R36">
        <v>8.2945969999999994E-2</v>
      </c>
      <c r="S36">
        <v>2.8263850000000001</v>
      </c>
      <c r="T36">
        <v>1.2529939999999999</v>
      </c>
      <c r="U36">
        <v>-7.9956049999999994E-3</v>
      </c>
      <c r="V36">
        <v>-8.3469760000000004E-2</v>
      </c>
      <c r="W36">
        <v>0.197938</v>
      </c>
      <c r="X36">
        <v>0.97665420000000003</v>
      </c>
      <c r="Y36">
        <v>2.1409699999999999E-3</v>
      </c>
      <c r="Z36">
        <v>2.102544E-4</v>
      </c>
      <c r="AA36">
        <v>0.99999769999999999</v>
      </c>
      <c r="AB36">
        <v>3</v>
      </c>
      <c r="AC36">
        <v>2.8263850000000001</v>
      </c>
      <c r="AD36">
        <v>1.2529939999999999</v>
      </c>
      <c r="AE36">
        <v>-7.9956049999999994E-3</v>
      </c>
      <c r="AF36">
        <v>5.3979916597433801E-3</v>
      </c>
      <c r="AG36">
        <v>1.2529939999999999</v>
      </c>
      <c r="AH36">
        <v>2.36215197935518</v>
      </c>
      <c r="AI36">
        <v>62.056527229510102</v>
      </c>
      <c r="AJ36">
        <v>89.8690678651149</v>
      </c>
      <c r="AK36">
        <v>2.6739082025981298</v>
      </c>
      <c r="AL36">
        <v>78.5835957352717</v>
      </c>
      <c r="AM36">
        <v>94.884913817461197</v>
      </c>
      <c r="AN36">
        <v>1.00000003952804</v>
      </c>
    </row>
    <row r="37" spans="1:40" x14ac:dyDescent="0.25">
      <c r="A37" t="str">
        <f>"20190304155312537"</f>
        <v>20190304155312537</v>
      </c>
      <c r="B37" t="str">
        <f>"1551685992535702"</f>
        <v>1551685992535702</v>
      </c>
      <c r="C37" t="s">
        <v>40</v>
      </c>
      <c r="D37">
        <v>4.4797219999999998</v>
      </c>
      <c r="E37">
        <v>0.53632150000000001</v>
      </c>
      <c r="F37" t="s">
        <v>43</v>
      </c>
      <c r="G37">
        <v>0</v>
      </c>
      <c r="H37">
        <v>0</v>
      </c>
      <c r="I37">
        <v>0</v>
      </c>
      <c r="J37">
        <v>-475.87430000000001</v>
      </c>
      <c r="K37">
        <v>1.110087</v>
      </c>
      <c r="L37">
        <v>367.21719999999999</v>
      </c>
      <c r="M37">
        <v>0.99996419999999997</v>
      </c>
      <c r="N37">
        <v>-8.438872E-3</v>
      </c>
      <c r="O37">
        <v>-5.4725489999999895E-4</v>
      </c>
      <c r="P37">
        <v>0.97763670000000003</v>
      </c>
      <c r="Q37">
        <v>0.19312219999999999</v>
      </c>
      <c r="R37">
        <v>8.3248500000000003E-2</v>
      </c>
      <c r="S37">
        <v>2.8200989999999999</v>
      </c>
      <c r="T37">
        <v>1.27105</v>
      </c>
      <c r="U37">
        <v>-6.5002439999999996E-3</v>
      </c>
      <c r="V37">
        <v>-8.3775080000000002E-2</v>
      </c>
      <c r="W37">
        <v>0.2013684</v>
      </c>
      <c r="X37">
        <v>0.97592650000000003</v>
      </c>
      <c r="Y37">
        <v>1.655611E-3</v>
      </c>
      <c r="Z37">
        <v>1.089021E-4</v>
      </c>
      <c r="AA37">
        <v>0.99999859999999896</v>
      </c>
      <c r="AB37">
        <v>3</v>
      </c>
      <c r="AC37">
        <v>2.8200989999999999</v>
      </c>
      <c r="AD37">
        <v>1.27105</v>
      </c>
      <c r="AE37">
        <v>-6.5002439999999996E-3</v>
      </c>
      <c r="AF37">
        <v>4.1199505552555896E-3</v>
      </c>
      <c r="AG37">
        <v>1.27105</v>
      </c>
      <c r="AH37">
        <v>2.3439528607392099</v>
      </c>
      <c r="AI37">
        <v>61.5304889172575</v>
      </c>
      <c r="AJ37">
        <v>89.899291688209203</v>
      </c>
      <c r="AK37">
        <v>2.66640208705665</v>
      </c>
      <c r="AL37">
        <v>78.383009425353094</v>
      </c>
      <c r="AM37">
        <v>94.906333031166795</v>
      </c>
      <c r="AN37">
        <v>1.0000000149749</v>
      </c>
    </row>
    <row r="38" spans="1:40" x14ac:dyDescent="0.25">
      <c r="A38" t="str">
        <f>"20190304155312559"</f>
        <v>20190304155312559</v>
      </c>
      <c r="B38" t="str">
        <f>"1551685992555222"</f>
        <v>1551685992555222</v>
      </c>
      <c r="C38" t="s">
        <v>40</v>
      </c>
      <c r="D38">
        <v>4.2715550000000002</v>
      </c>
      <c r="E38">
        <v>0.53652129999999998</v>
      </c>
      <c r="F38" t="s">
        <v>43</v>
      </c>
      <c r="G38">
        <v>0</v>
      </c>
      <c r="H38">
        <v>0</v>
      </c>
      <c r="I38">
        <v>0</v>
      </c>
      <c r="J38">
        <v>-475.84969999999998</v>
      </c>
      <c r="K38">
        <v>1.1105940000000001</v>
      </c>
      <c r="L38">
        <v>367.21719999999999</v>
      </c>
      <c r="M38">
        <v>0.99994890000000003</v>
      </c>
      <c r="N38">
        <v>-1.009847E-2</v>
      </c>
      <c r="O38">
        <v>-5.5031709999999996E-4</v>
      </c>
      <c r="P38">
        <v>0.97745139999999997</v>
      </c>
      <c r="Q38">
        <v>0.1940799</v>
      </c>
      <c r="R38">
        <v>8.3198270000000005E-2</v>
      </c>
      <c r="S38">
        <v>2.813965</v>
      </c>
      <c r="T38">
        <v>1.297275</v>
      </c>
      <c r="U38">
        <v>-1.876831E-2</v>
      </c>
      <c r="V38">
        <v>-8.3728570000000002E-2</v>
      </c>
      <c r="W38">
        <v>0.20394370000000001</v>
      </c>
      <c r="X38">
        <v>0.97539560000000003</v>
      </c>
      <c r="Y38">
        <v>5.622368E-3</v>
      </c>
      <c r="Z38">
        <v>9.5709609999999998E-4</v>
      </c>
      <c r="AA38">
        <v>0.99998370000000003</v>
      </c>
      <c r="AB38">
        <v>3</v>
      </c>
      <c r="AC38">
        <v>2.813965</v>
      </c>
      <c r="AD38">
        <v>1.297275</v>
      </c>
      <c r="AE38">
        <v>-1.876831E-2</v>
      </c>
      <c r="AF38">
        <v>1.42014997375888E-2</v>
      </c>
      <c r="AG38">
        <v>1.297275</v>
      </c>
      <c r="AH38">
        <v>2.3207586555030999</v>
      </c>
      <c r="AI38">
        <v>60.7958136815407</v>
      </c>
      <c r="AJ38">
        <v>89.649392305606895</v>
      </c>
      <c r="AK38">
        <v>2.65876754254906</v>
      </c>
      <c r="AL38">
        <v>78.232329250509295</v>
      </c>
      <c r="AM38">
        <v>94.906278410817194</v>
      </c>
      <c r="AN38">
        <v>1.0000000413516399</v>
      </c>
    </row>
    <row r="39" spans="1:40" x14ac:dyDescent="0.25">
      <c r="A39" t="str">
        <f>"20190304155312582"</f>
        <v>20190304155312582</v>
      </c>
      <c r="B39" t="str">
        <f>"1551685992575718"</f>
        <v>1551685992575718</v>
      </c>
      <c r="C39" t="s">
        <v>40</v>
      </c>
      <c r="D39">
        <v>4.5756959999999998</v>
      </c>
      <c r="E39">
        <v>0.53687359999999995</v>
      </c>
      <c r="F39" t="s">
        <v>43</v>
      </c>
      <c r="G39">
        <v>0</v>
      </c>
      <c r="H39">
        <v>0</v>
      </c>
      <c r="I39">
        <v>0</v>
      </c>
      <c r="J39">
        <v>-475.81900000000002</v>
      </c>
      <c r="K39">
        <v>1.1105400000000001</v>
      </c>
      <c r="L39">
        <v>367.21719999999999</v>
      </c>
      <c r="M39">
        <v>0.99994959999999999</v>
      </c>
      <c r="N39">
        <v>-1.0033429999999999E-2</v>
      </c>
      <c r="O39">
        <v>-5.5476089999999896E-4</v>
      </c>
      <c r="P39">
        <v>0.97683229999999999</v>
      </c>
      <c r="Q39">
        <v>0.1969426</v>
      </c>
      <c r="R39">
        <v>8.3741629999999997E-2</v>
      </c>
      <c r="S39">
        <v>2.8117070000000002</v>
      </c>
      <c r="T39">
        <v>1.305474</v>
      </c>
      <c r="U39">
        <v>-2.005005E-2</v>
      </c>
      <c r="V39">
        <v>-8.4275740000000002E-2</v>
      </c>
      <c r="W39">
        <v>0.2067367</v>
      </c>
      <c r="X39">
        <v>0.97476019999999997</v>
      </c>
      <c r="Y39">
        <v>6.0316419999999898E-3</v>
      </c>
      <c r="Z39">
        <v>1.049945E-3</v>
      </c>
      <c r="AA39">
        <v>0.99998129999999996</v>
      </c>
      <c r="AB39">
        <v>3</v>
      </c>
      <c r="AC39">
        <v>2.8117070000000002</v>
      </c>
      <c r="AD39">
        <v>1.305474</v>
      </c>
      <c r="AE39">
        <v>-2.005005E-2</v>
      </c>
      <c r="AF39">
        <v>1.5211176406218401E-2</v>
      </c>
      <c r="AG39">
        <v>1.305474</v>
      </c>
      <c r="AH39">
        <v>2.31309908238164</v>
      </c>
      <c r="AI39">
        <v>60.560882483816101</v>
      </c>
      <c r="AJ39">
        <v>89.623222518551202</v>
      </c>
      <c r="AK39">
        <v>2.6561101463377601</v>
      </c>
      <c r="AL39">
        <v>78.068816721890499</v>
      </c>
      <c r="AM39">
        <v>94.941386162833297</v>
      </c>
      <c r="AN39">
        <v>0.99999995549173704</v>
      </c>
    </row>
    <row r="40" spans="1:40" x14ac:dyDescent="0.25">
      <c r="A40" t="str">
        <f>"20190304155312603"</f>
        <v>20190304155312603</v>
      </c>
      <c r="B40" t="str">
        <f>"1551685992595238"</f>
        <v>1551685992595238</v>
      </c>
      <c r="C40" t="s">
        <v>40</v>
      </c>
      <c r="D40">
        <v>4.3774470000000001</v>
      </c>
      <c r="E40">
        <v>0.53743799999999997</v>
      </c>
      <c r="F40" t="s">
        <v>43</v>
      </c>
      <c r="G40">
        <v>0</v>
      </c>
      <c r="H40">
        <v>0</v>
      </c>
      <c r="I40">
        <v>0</v>
      </c>
      <c r="J40">
        <v>-475.78500000000003</v>
      </c>
      <c r="K40">
        <v>1.1101650000000001</v>
      </c>
      <c r="L40">
        <v>367.21710000000002</v>
      </c>
      <c r="M40">
        <v>0.99996169999999995</v>
      </c>
      <c r="N40">
        <v>-8.7453700000000006E-3</v>
      </c>
      <c r="O40">
        <v>-5.6002519999999998E-4</v>
      </c>
      <c r="P40">
        <v>0.9755703</v>
      </c>
      <c r="Q40">
        <v>0.2026337</v>
      </c>
      <c r="R40">
        <v>8.4867899999999996E-2</v>
      </c>
      <c r="S40">
        <v>2.8075260000000002</v>
      </c>
      <c r="T40">
        <v>1.316627</v>
      </c>
      <c r="U40">
        <v>-2.1179199999999999E-2</v>
      </c>
      <c r="V40">
        <v>-8.5405750000000002E-2</v>
      </c>
      <c r="W40">
        <v>0.21116109999999999</v>
      </c>
      <c r="X40">
        <v>0.97371289999999999</v>
      </c>
      <c r="Y40">
        <v>6.390186E-3</v>
      </c>
      <c r="Z40">
        <v>1.140421E-3</v>
      </c>
      <c r="AA40">
        <v>0.99997899999999995</v>
      </c>
      <c r="AB40">
        <v>3</v>
      </c>
      <c r="AC40">
        <v>2.8075260000000002</v>
      </c>
      <c r="AD40">
        <v>1.316627</v>
      </c>
      <c r="AE40">
        <v>-2.1179199999999999E-2</v>
      </c>
      <c r="AF40">
        <v>1.60723203127284E-2</v>
      </c>
      <c r="AG40">
        <v>1.316627</v>
      </c>
      <c r="AH40">
        <v>2.3014220801065801</v>
      </c>
      <c r="AI40">
        <v>60.227039655575702</v>
      </c>
      <c r="AJ40">
        <v>89.5998729835283</v>
      </c>
      <c r="AK40">
        <v>2.65147290527573</v>
      </c>
      <c r="AL40">
        <v>77.809595432214806</v>
      </c>
      <c r="AM40">
        <v>95.012666329156303</v>
      </c>
      <c r="AN40">
        <v>0.99999998195634099</v>
      </c>
    </row>
    <row r="41" spans="1:40" x14ac:dyDescent="0.25">
      <c r="A41" t="str">
        <f>"20190304155312628"</f>
        <v>20190304155312628</v>
      </c>
      <c r="B41" t="str">
        <f>"1551685992625494"</f>
        <v>1551685992625494</v>
      </c>
      <c r="C41" t="s">
        <v>40</v>
      </c>
      <c r="D41">
        <v>4.2733089999999896</v>
      </c>
      <c r="E41">
        <v>0.53780839999999996</v>
      </c>
      <c r="F41" t="s">
        <v>43</v>
      </c>
      <c r="G41">
        <v>0</v>
      </c>
      <c r="H41">
        <v>0</v>
      </c>
      <c r="I41">
        <v>0</v>
      </c>
      <c r="J41">
        <v>-475.74919999999997</v>
      </c>
      <c r="K41">
        <v>1.1102799999999999</v>
      </c>
      <c r="L41">
        <v>367.21710000000002</v>
      </c>
      <c r="M41">
        <v>0.99995889999999998</v>
      </c>
      <c r="N41">
        <v>-9.0375260000000006E-3</v>
      </c>
      <c r="O41">
        <v>-5.6430900000000003E-4</v>
      </c>
      <c r="P41">
        <v>0.97509029999999997</v>
      </c>
      <c r="Q41">
        <v>0.204564</v>
      </c>
      <c r="R41">
        <v>8.5747439999999994E-2</v>
      </c>
      <c r="S41">
        <v>2.7981259999999999</v>
      </c>
      <c r="T41">
        <v>1.3427100000000001</v>
      </c>
      <c r="U41">
        <v>-2.2247309999999999E-2</v>
      </c>
      <c r="V41">
        <v>-8.628914E-2</v>
      </c>
      <c r="W41">
        <v>0.21337120000000001</v>
      </c>
      <c r="X41">
        <v>0.97315309999999999</v>
      </c>
      <c r="Y41">
        <v>6.7307299999999999E-3</v>
      </c>
      <c r="Z41">
        <v>1.2377379999999999E-3</v>
      </c>
      <c r="AA41">
        <v>0.99997659999999999</v>
      </c>
      <c r="AB41">
        <v>4</v>
      </c>
      <c r="AC41">
        <v>2.7981259999999999</v>
      </c>
      <c r="AD41">
        <v>1.3427100000000001</v>
      </c>
      <c r="AE41">
        <v>-2.2247309999999999E-2</v>
      </c>
      <c r="AF41">
        <v>1.68000073140183E-2</v>
      </c>
      <c r="AG41">
        <v>1.3427100000000001</v>
      </c>
      <c r="AH41">
        <v>2.2744439810322299</v>
      </c>
      <c r="AI41">
        <v>59.445355781723897</v>
      </c>
      <c r="AJ41">
        <v>89.576796782954503</v>
      </c>
      <c r="AK41">
        <v>2.64125875430627</v>
      </c>
      <c r="AL41">
        <v>77.680013540095402</v>
      </c>
      <c r="AM41">
        <v>95.067144350352905</v>
      </c>
      <c r="AN41">
        <v>1.00000002035549</v>
      </c>
    </row>
    <row r="42" spans="1:40" x14ac:dyDescent="0.25">
      <c r="A42" t="str">
        <f>"20190304155312737"</f>
        <v>20190304155312737</v>
      </c>
      <c r="B42" t="str">
        <f>"1551685992735782"</f>
        <v>1551685992735782</v>
      </c>
      <c r="C42" t="s">
        <v>40</v>
      </c>
      <c r="D42">
        <v>4.2085650000000001</v>
      </c>
      <c r="E42">
        <v>0.55252449999999997</v>
      </c>
      <c r="F42" t="s">
        <v>43</v>
      </c>
      <c r="G42">
        <v>0</v>
      </c>
      <c r="H42">
        <v>0</v>
      </c>
      <c r="I42">
        <v>0</v>
      </c>
      <c r="J42">
        <v>-475.59309999999999</v>
      </c>
      <c r="K42">
        <v>1.110055</v>
      </c>
      <c r="L42">
        <v>367.21690000000001</v>
      </c>
      <c r="M42">
        <v>0.99996189999999996</v>
      </c>
      <c r="N42">
        <v>-8.7087029999999999E-3</v>
      </c>
      <c r="O42">
        <v>-5.8550279999999995E-4</v>
      </c>
      <c r="P42">
        <v>0.97425870000000003</v>
      </c>
      <c r="Q42">
        <v>0.20791009999999999</v>
      </c>
      <c r="R42">
        <v>8.7139629999999996E-2</v>
      </c>
      <c r="S42">
        <v>2.7969059999999999</v>
      </c>
      <c r="T42">
        <v>1.342965</v>
      </c>
      <c r="U42">
        <v>-2.2491460000000001E-2</v>
      </c>
      <c r="V42">
        <v>-8.7700819999999999E-2</v>
      </c>
      <c r="W42">
        <v>0.21639030000000001</v>
      </c>
      <c r="X42">
        <v>0.97235990000000005</v>
      </c>
      <c r="Y42">
        <v>6.7944349999999997E-3</v>
      </c>
      <c r="Z42">
        <v>1.244179E-3</v>
      </c>
      <c r="AA42">
        <v>0.99997619999999998</v>
      </c>
      <c r="AB42">
        <v>4</v>
      </c>
      <c r="AC42">
        <v>2.7969059999999999</v>
      </c>
      <c r="AD42">
        <v>1.342965</v>
      </c>
      <c r="AE42">
        <v>-2.2491460000000001E-2</v>
      </c>
      <c r="AF42">
        <v>1.6946872312895701E-2</v>
      </c>
      <c r="AG42">
        <v>1.342965</v>
      </c>
      <c r="AH42">
        <v>2.2729204774366099</v>
      </c>
      <c r="AI42">
        <v>59.423794436624298</v>
      </c>
      <c r="AJ42">
        <v>89.572811157803997</v>
      </c>
      <c r="AK42">
        <v>2.6400775906129801</v>
      </c>
      <c r="AL42">
        <v>77.502893880785606</v>
      </c>
      <c r="AM42">
        <v>95.153778231490406</v>
      </c>
      <c r="AN42">
        <v>0.99999998544538604</v>
      </c>
    </row>
    <row r="43" spans="1:40" x14ac:dyDescent="0.25">
      <c r="A43" t="str">
        <f>"20190304155312761"</f>
        <v>20190304155312761</v>
      </c>
      <c r="B43" t="str">
        <f>"1551685992755303"</f>
        <v>1551685992755303</v>
      </c>
      <c r="C43" t="s">
        <v>40</v>
      </c>
      <c r="D43">
        <v>4.2537609999999999</v>
      </c>
      <c r="E43">
        <v>0.55243030000000004</v>
      </c>
      <c r="F43" t="s">
        <v>43</v>
      </c>
      <c r="G43">
        <v>0</v>
      </c>
      <c r="H43">
        <v>0</v>
      </c>
      <c r="I43">
        <v>0</v>
      </c>
      <c r="J43">
        <v>-475.56049999999999</v>
      </c>
      <c r="K43">
        <v>1.1104160000000001</v>
      </c>
      <c r="L43">
        <v>367.21690000000001</v>
      </c>
      <c r="M43">
        <v>0.9999519</v>
      </c>
      <c r="N43">
        <v>-9.8004149999999998E-3</v>
      </c>
      <c r="O43">
        <v>-5.9092509999999999E-4</v>
      </c>
      <c r="P43">
        <v>0.97468200000000005</v>
      </c>
      <c r="Q43">
        <v>0.2063622</v>
      </c>
      <c r="R43">
        <v>8.6080740000000003E-2</v>
      </c>
      <c r="S43">
        <v>3.0697019999999999</v>
      </c>
      <c r="T43">
        <v>0.11545320000000001</v>
      </c>
      <c r="U43">
        <v>-0.16906740000000001</v>
      </c>
      <c r="V43">
        <v>-8.6647539999999995E-2</v>
      </c>
      <c r="W43">
        <v>0.2159075</v>
      </c>
      <c r="X43">
        <v>0.97256169999999997</v>
      </c>
      <c r="Y43">
        <v>5.4375100000000003E-2</v>
      </c>
      <c r="Z43">
        <v>7.266932E-4</v>
      </c>
      <c r="AA43">
        <v>0.99852030000000003</v>
      </c>
      <c r="AB43">
        <v>4</v>
      </c>
      <c r="AC43">
        <v>3.0697019999999999</v>
      </c>
      <c r="AD43">
        <v>0.11545320000000001</v>
      </c>
      <c r="AE43">
        <v>-0.16906740000000001</v>
      </c>
      <c r="AF43">
        <v>0.16701777840710699</v>
      </c>
      <c r="AG43">
        <v>0.11545320000000001</v>
      </c>
      <c r="AH43">
        <v>3.0654782044864901</v>
      </c>
      <c r="AI43">
        <v>87.846315261799504</v>
      </c>
      <c r="AJ43">
        <v>86.881412543356603</v>
      </c>
      <c r="AK43">
        <v>3.0721948183466501</v>
      </c>
      <c r="AL43">
        <v>77.5312268944419</v>
      </c>
      <c r="AM43">
        <v>95.0911581015027</v>
      </c>
      <c r="AN43">
        <v>1.0000000525255901</v>
      </c>
    </row>
    <row r="44" spans="1:40" x14ac:dyDescent="0.25">
      <c r="A44" t="str">
        <f>"20190304155312783"</f>
        <v>20190304155312783</v>
      </c>
      <c r="B44" t="str">
        <f>"1551685992775798"</f>
        <v>1551685992775798</v>
      </c>
      <c r="C44" t="s">
        <v>40</v>
      </c>
      <c r="D44">
        <v>4.1198670000000002</v>
      </c>
      <c r="E44">
        <v>0.54545089999999996</v>
      </c>
      <c r="F44" t="s">
        <v>43</v>
      </c>
      <c r="G44">
        <v>0</v>
      </c>
      <c r="H44">
        <v>0</v>
      </c>
      <c r="I44">
        <v>0</v>
      </c>
      <c r="J44">
        <v>-475.53359999999998</v>
      </c>
      <c r="K44">
        <v>1.110924</v>
      </c>
      <c r="L44">
        <v>367.21679999999998</v>
      </c>
      <c r="M44">
        <v>0.99993160000000003</v>
      </c>
      <c r="N44">
        <v>-1.167816E-2</v>
      </c>
      <c r="O44">
        <v>-5.9458959999999996E-4</v>
      </c>
      <c r="P44">
        <v>0.97507750000000004</v>
      </c>
      <c r="Q44">
        <v>0.20489499999999999</v>
      </c>
      <c r="R44">
        <v>8.5099889999999997E-2</v>
      </c>
      <c r="S44">
        <v>3.064819</v>
      </c>
      <c r="T44">
        <v>0.13319230000000001</v>
      </c>
      <c r="U44">
        <v>-0.17089840000000001</v>
      </c>
      <c r="V44">
        <v>-8.5671200000000003E-2</v>
      </c>
      <c r="W44">
        <v>0.21627109999999999</v>
      </c>
      <c r="X44">
        <v>0.97256739999999997</v>
      </c>
      <c r="Y44">
        <v>5.5044200000000001E-2</v>
      </c>
      <c r="Z44">
        <v>8.4005660000000004E-4</v>
      </c>
      <c r="AA44">
        <v>0.99848349999999997</v>
      </c>
      <c r="AB44">
        <v>4</v>
      </c>
      <c r="AC44">
        <v>3.064819</v>
      </c>
      <c r="AD44">
        <v>0.13319230000000001</v>
      </c>
      <c r="AE44">
        <v>-0.17089840000000001</v>
      </c>
      <c r="AF44">
        <v>0.16875820085163301</v>
      </c>
      <c r="AG44">
        <v>0.13319230000000001</v>
      </c>
      <c r="AH44">
        <v>3.0591603439179802</v>
      </c>
      <c r="AI44">
        <v>87.510762501716798</v>
      </c>
      <c r="AJ44">
        <v>86.842485780257604</v>
      </c>
      <c r="AK44">
        <v>3.0667053215029201</v>
      </c>
      <c r="AL44">
        <v>77.509889946204694</v>
      </c>
      <c r="AM44">
        <v>95.034058287552895</v>
      </c>
      <c r="AN44">
        <v>1.0000000453736999</v>
      </c>
    </row>
    <row r="45" spans="1:40" x14ac:dyDescent="0.25">
      <c r="A45" t="str">
        <f>"20190304155312804"</f>
        <v>20190304155312804</v>
      </c>
      <c r="B45" t="str">
        <f>"1551685992795319"</f>
        <v>1551685992795319</v>
      </c>
      <c r="C45" t="s">
        <v>40</v>
      </c>
      <c r="D45">
        <v>4.1434839999999999</v>
      </c>
      <c r="E45">
        <v>0.54168139999999998</v>
      </c>
      <c r="F45" t="s">
        <v>44</v>
      </c>
      <c r="G45">
        <v>-249.6815</v>
      </c>
      <c r="H45">
        <v>7.6487619999999996</v>
      </c>
      <c r="I45">
        <v>358.42720000000003</v>
      </c>
      <c r="J45">
        <v>-475.50990000000002</v>
      </c>
      <c r="K45">
        <v>1.11127</v>
      </c>
      <c r="L45">
        <v>367.21679999999998</v>
      </c>
      <c r="M45">
        <v>0.99991169999999996</v>
      </c>
      <c r="N45">
        <v>-1.3278659999999999E-2</v>
      </c>
      <c r="O45">
        <v>-5.9732239999999999E-4</v>
      </c>
      <c r="P45">
        <v>0.97530879999999998</v>
      </c>
      <c r="Q45">
        <v>0.20415030000000001</v>
      </c>
      <c r="R45">
        <v>8.4234740000000002E-2</v>
      </c>
      <c r="S45">
        <v>3.0684200000000001</v>
      </c>
      <c r="T45">
        <v>8.8824029999999998E-2</v>
      </c>
      <c r="U45">
        <v>-0.1194153</v>
      </c>
      <c r="V45">
        <v>-8.4809079999999995E-2</v>
      </c>
      <c r="W45">
        <v>0.21708620000000001</v>
      </c>
      <c r="X45">
        <v>0.97246129999999997</v>
      </c>
      <c r="Y45">
        <v>3.8283020000000001E-2</v>
      </c>
      <c r="Z45">
        <v>2.7426179999999998E-4</v>
      </c>
      <c r="AA45">
        <v>0.99926689999999996</v>
      </c>
      <c r="AB45">
        <v>3</v>
      </c>
      <c r="AC45">
        <v>225.82839999999999</v>
      </c>
      <c r="AD45">
        <v>6.5374919999999896</v>
      </c>
      <c r="AE45">
        <v>-8.7895999999999503</v>
      </c>
      <c r="AF45">
        <v>8.6474582196637702</v>
      </c>
      <c r="AG45">
        <v>6.5374919999999896</v>
      </c>
      <c r="AH45">
        <v>225.644796851705</v>
      </c>
      <c r="AI45">
        <v>88.341679383573194</v>
      </c>
      <c r="AJ45">
        <v>87.805309399429305</v>
      </c>
      <c r="AK45">
        <v>225.905050146203</v>
      </c>
      <c r="AL45">
        <v>77.462050945541606</v>
      </c>
      <c r="AM45">
        <v>94.984197341946299</v>
      </c>
      <c r="AN45">
        <v>0.999999989139288</v>
      </c>
    </row>
    <row r="46" spans="1:40" x14ac:dyDescent="0.25">
      <c r="A46" t="str">
        <f>"20190304155312829"</f>
        <v>20190304155312829</v>
      </c>
      <c r="B46" t="str">
        <f>"1551685992825575"</f>
        <v>1551685992825575</v>
      </c>
      <c r="C46" t="s">
        <v>40</v>
      </c>
      <c r="D46">
        <v>4.1434280000000001</v>
      </c>
      <c r="E46">
        <v>0.53823390000000004</v>
      </c>
      <c r="F46" t="s">
        <v>41</v>
      </c>
      <c r="G46">
        <v>-170.08879999999999</v>
      </c>
      <c r="H46">
        <v>8.1243160000000003</v>
      </c>
      <c r="I46">
        <v>358.01199999999898</v>
      </c>
      <c r="J46">
        <v>-475.4751</v>
      </c>
      <c r="K46">
        <v>1.110849</v>
      </c>
      <c r="L46">
        <v>367.21679999999998</v>
      </c>
      <c r="M46">
        <v>0.99992389999999998</v>
      </c>
      <c r="N46">
        <v>-1.231165E-2</v>
      </c>
      <c r="O46">
        <v>-6.0162460000000003E-4</v>
      </c>
      <c r="P46">
        <v>0.97508439999999996</v>
      </c>
      <c r="Q46">
        <v>0.205597</v>
      </c>
      <c r="R46">
        <v>8.3308969999999996E-2</v>
      </c>
      <c r="S46">
        <v>3.0691830000000002</v>
      </c>
      <c r="T46">
        <v>7.0475099999999999E-2</v>
      </c>
      <c r="U46">
        <v>-9.2498780000000003E-2</v>
      </c>
      <c r="V46">
        <v>-8.3886849999999999E-2</v>
      </c>
      <c r="W46">
        <v>0.21758939999999999</v>
      </c>
      <c r="X46">
        <v>0.97242890000000004</v>
      </c>
      <c r="Y46">
        <v>2.9519610000000002E-2</v>
      </c>
      <c r="Z46">
        <v>1.358051E-4</v>
      </c>
      <c r="AA46">
        <v>0.99956420000000001</v>
      </c>
      <c r="AB46">
        <v>2</v>
      </c>
      <c r="AC46">
        <v>305.38630000000001</v>
      </c>
      <c r="AD46">
        <v>7.0134669999999897</v>
      </c>
      <c r="AE46">
        <v>-9.2048000000000307</v>
      </c>
      <c r="AF46">
        <v>9.0163053030197897</v>
      </c>
      <c r="AG46">
        <v>7.0134669999999897</v>
      </c>
      <c r="AH46">
        <v>305.23094056230701</v>
      </c>
      <c r="AI46">
        <v>88.684287215676093</v>
      </c>
      <c r="AJ46">
        <v>88.308015357397906</v>
      </c>
      <c r="AK46">
        <v>305.44460963851998</v>
      </c>
      <c r="AL46">
        <v>77.432514543210999</v>
      </c>
      <c r="AM46">
        <v>94.930430301604702</v>
      </c>
      <c r="AN46">
        <v>1.00000005807524</v>
      </c>
    </row>
    <row r="47" spans="1:40" x14ac:dyDescent="0.25">
      <c r="A47" t="str">
        <f>"20190304155312852"</f>
        <v>20190304155312852</v>
      </c>
      <c r="B47" t="str">
        <f>"1551685992845095"</f>
        <v>1551685992845095</v>
      </c>
      <c r="C47" t="s">
        <v>40</v>
      </c>
      <c r="D47">
        <v>4.1471339999999897</v>
      </c>
      <c r="E47">
        <v>0.53673019999999905</v>
      </c>
      <c r="F47" t="s">
        <v>41</v>
      </c>
      <c r="G47">
        <v>-170.08879999999999</v>
      </c>
      <c r="H47">
        <v>7.4525079999999999</v>
      </c>
      <c r="I47">
        <v>360.45710000000003</v>
      </c>
      <c r="J47">
        <v>-475.43900000000002</v>
      </c>
      <c r="K47">
        <v>1.1103350000000001</v>
      </c>
      <c r="L47">
        <v>367.2167</v>
      </c>
      <c r="M47">
        <v>0.99994340000000004</v>
      </c>
      <c r="N47">
        <v>-1.0623769999999999E-2</v>
      </c>
      <c r="O47">
        <v>-6.0635639999999998E-4</v>
      </c>
      <c r="P47">
        <v>0.97473650000000001</v>
      </c>
      <c r="Q47">
        <v>0.2074638</v>
      </c>
      <c r="R47">
        <v>8.2751549999999993E-2</v>
      </c>
      <c r="S47">
        <v>3.069</v>
      </c>
      <c r="T47">
        <v>6.3731789999999996E-2</v>
      </c>
      <c r="U47">
        <v>-6.7932129999999993E-2</v>
      </c>
      <c r="V47">
        <v>-8.3333619999999997E-2</v>
      </c>
      <c r="W47">
        <v>0.2178109</v>
      </c>
      <c r="X47">
        <v>0.97242680000000004</v>
      </c>
      <c r="Y47">
        <v>2.1521309999999998E-2</v>
      </c>
      <c r="Z47" s="1">
        <v>9.0036509999999998E-5</v>
      </c>
      <c r="AA47">
        <v>0.9997684</v>
      </c>
      <c r="AB47">
        <v>3</v>
      </c>
      <c r="AC47">
        <v>305.35019999999997</v>
      </c>
      <c r="AD47">
        <v>6.3421729999999998</v>
      </c>
      <c r="AE47">
        <v>-6.7595999999999696</v>
      </c>
      <c r="AF47">
        <v>6.5716036644475402</v>
      </c>
      <c r="AG47">
        <v>6.3421729999999998</v>
      </c>
      <c r="AH47">
        <v>305.22263438697098</v>
      </c>
      <c r="AI47">
        <v>88.809907059253902</v>
      </c>
      <c r="AJ47">
        <v>88.766582332827795</v>
      </c>
      <c r="AK47">
        <v>305.359240363227</v>
      </c>
      <c r="AL47">
        <v>77.419510676618202</v>
      </c>
      <c r="AM47">
        <v>94.898083571659399</v>
      </c>
      <c r="AN47">
        <v>0.99999998086967701</v>
      </c>
    </row>
    <row r="48" spans="1:40" x14ac:dyDescent="0.25">
      <c r="A48" t="str">
        <f>"20190304155312874"</f>
        <v>20190304155312874</v>
      </c>
      <c r="B48" t="str">
        <f>"1551685992865730"</f>
        <v>1551685992865730</v>
      </c>
      <c r="C48" t="s">
        <v>40</v>
      </c>
      <c r="D48">
        <v>4.1661859999999997</v>
      </c>
      <c r="E48">
        <v>0.53582030000000003</v>
      </c>
      <c r="F48" t="s">
        <v>41</v>
      </c>
      <c r="G48">
        <v>-170.08879999999999</v>
      </c>
      <c r="H48">
        <v>7.3363949999999898</v>
      </c>
      <c r="I48">
        <v>361.47559999999999</v>
      </c>
      <c r="J48">
        <v>-475.40210000000002</v>
      </c>
      <c r="K48">
        <v>1.110112</v>
      </c>
      <c r="L48">
        <v>367.2167</v>
      </c>
      <c r="M48">
        <v>0.99995319999999999</v>
      </c>
      <c r="N48">
        <v>-9.6668750000000001E-3</v>
      </c>
      <c r="O48">
        <v>-6.120985E-4</v>
      </c>
      <c r="P48">
        <v>0.97449920000000001</v>
      </c>
      <c r="Q48">
        <v>0.2087734</v>
      </c>
      <c r="R48">
        <v>8.2248619999999995E-2</v>
      </c>
      <c r="S48">
        <v>3.0693049999999999</v>
      </c>
      <c r="T48">
        <v>6.2583680000000003E-2</v>
      </c>
      <c r="U48">
        <v>-5.7708740000000001E-2</v>
      </c>
      <c r="V48">
        <v>-8.2835430000000002E-2</v>
      </c>
      <c r="W48">
        <v>0.21818689999999999</v>
      </c>
      <c r="X48">
        <v>0.9723851</v>
      </c>
      <c r="Y48">
        <v>1.8184840000000001E-2</v>
      </c>
      <c r="Z48" s="1">
        <v>7.9056309999999896E-5</v>
      </c>
      <c r="AA48">
        <v>0.99983469999999997</v>
      </c>
      <c r="AB48">
        <v>4</v>
      </c>
      <c r="AC48">
        <v>305.31330000000003</v>
      </c>
      <c r="AD48">
        <v>6.2262829999999996</v>
      </c>
      <c r="AE48">
        <v>-5.7411000000000101</v>
      </c>
      <c r="AF48">
        <v>5.5519003012074704</v>
      </c>
      <c r="AG48">
        <v>6.2262829999999996</v>
      </c>
      <c r="AH48">
        <v>305.18988009407298</v>
      </c>
      <c r="AI48">
        <v>88.831444649905706</v>
      </c>
      <c r="AJ48">
        <v>88.957811536267002</v>
      </c>
      <c r="AK48">
        <v>305.30387011760098</v>
      </c>
      <c r="AL48">
        <v>77.397436896559398</v>
      </c>
      <c r="AM48">
        <v>94.869150543283794</v>
      </c>
      <c r="AN48">
        <v>1.0000000072484501</v>
      </c>
    </row>
    <row r="49" spans="1:40" x14ac:dyDescent="0.25">
      <c r="A49" t="str">
        <f>"20190304155312894"</f>
        <v>20190304155312894</v>
      </c>
      <c r="B49" t="str">
        <f>"1551685992885250"</f>
        <v>1551685992885250</v>
      </c>
      <c r="C49" t="s">
        <v>40</v>
      </c>
      <c r="D49">
        <v>4.1632369999999996</v>
      </c>
      <c r="E49">
        <v>0.53489709999999902</v>
      </c>
      <c r="F49" t="s">
        <v>41</v>
      </c>
      <c r="G49">
        <v>-170.00749999999999</v>
      </c>
      <c r="H49">
        <v>6.6740890000000004</v>
      </c>
      <c r="I49">
        <v>362.00580000000002</v>
      </c>
      <c r="J49">
        <v>-475.37259999999998</v>
      </c>
      <c r="K49">
        <v>1.110339</v>
      </c>
      <c r="L49">
        <v>367.21660000000003</v>
      </c>
      <c r="M49">
        <v>0.99994749999999999</v>
      </c>
      <c r="N49">
        <v>-1.024245E-2</v>
      </c>
      <c r="O49">
        <v>-6.1675529999999997E-4</v>
      </c>
      <c r="P49">
        <v>0.97463480000000002</v>
      </c>
      <c r="Q49">
        <v>0.20834630000000001</v>
      </c>
      <c r="R49">
        <v>8.1725450000000005E-2</v>
      </c>
      <c r="S49">
        <v>3.0709230000000001</v>
      </c>
      <c r="T49">
        <v>5.5949930000000002E-2</v>
      </c>
      <c r="U49">
        <v>-5.2398680000000003E-2</v>
      </c>
      <c r="V49">
        <v>-8.2317269999999998E-2</v>
      </c>
      <c r="W49">
        <v>0.2183214</v>
      </c>
      <c r="X49">
        <v>0.97239889999999995</v>
      </c>
      <c r="Y49">
        <v>1.6442720000000001E-2</v>
      </c>
      <c r="Z49" s="1">
        <v>4.7994400000000002E-5</v>
      </c>
      <c r="AA49">
        <v>0.9998648</v>
      </c>
      <c r="AB49">
        <v>4</v>
      </c>
      <c r="AC49">
        <v>305.36509999999998</v>
      </c>
      <c r="AD49">
        <v>5.5637499999999998</v>
      </c>
      <c r="AE49">
        <v>-5.2107999999999999</v>
      </c>
      <c r="AF49">
        <v>5.0207873563821996</v>
      </c>
      <c r="AG49">
        <v>5.5637499999999998</v>
      </c>
      <c r="AH49">
        <v>305.26694646943901</v>
      </c>
      <c r="AI49">
        <v>88.955992409577803</v>
      </c>
      <c r="AJ49">
        <v>89.057729657120007</v>
      </c>
      <c r="AK49">
        <v>305.35892360714797</v>
      </c>
      <c r="AL49">
        <v>77.389540067497094</v>
      </c>
      <c r="AM49">
        <v>94.838769299169499</v>
      </c>
      <c r="AN49">
        <v>0.99999999367971104</v>
      </c>
    </row>
    <row r="50" spans="1:40" x14ac:dyDescent="0.25">
      <c r="A50" t="str">
        <f>"20190304155312916"</f>
        <v>20190304155312916</v>
      </c>
      <c r="B50" t="str">
        <f>"1551685992905745"</f>
        <v>1551685992905745</v>
      </c>
      <c r="C50" t="s">
        <v>40</v>
      </c>
      <c r="D50">
        <v>4.1989460000000003</v>
      </c>
      <c r="E50">
        <v>0.53450949999999997</v>
      </c>
      <c r="F50" t="s">
        <v>41</v>
      </c>
      <c r="G50">
        <v>-158.19499999999999</v>
      </c>
      <c r="H50">
        <v>6.2355429999999998</v>
      </c>
      <c r="I50">
        <v>362.3571</v>
      </c>
      <c r="J50">
        <v>-475.3442</v>
      </c>
      <c r="K50">
        <v>1.1108290000000001</v>
      </c>
      <c r="L50">
        <v>367.21660000000003</v>
      </c>
      <c r="M50">
        <v>0.9999287</v>
      </c>
      <c r="N50">
        <v>-1.1927190000000001E-2</v>
      </c>
      <c r="O50">
        <v>-6.2085980000000003E-4</v>
      </c>
      <c r="P50">
        <v>0.9751727</v>
      </c>
      <c r="Q50">
        <v>0.20579249999999999</v>
      </c>
      <c r="R50">
        <v>8.1779080000000004E-2</v>
      </c>
      <c r="S50">
        <v>3.0714419999999998</v>
      </c>
      <c r="T50">
        <v>4.9631599999999998E-2</v>
      </c>
      <c r="U50">
        <v>-4.705811E-2</v>
      </c>
      <c r="V50">
        <v>-8.2376149999999995E-2</v>
      </c>
      <c r="W50">
        <v>0.21741160000000001</v>
      </c>
      <c r="X50">
        <v>0.97259770000000001</v>
      </c>
      <c r="Y50">
        <v>1.4698289999999999E-2</v>
      </c>
      <c r="Z50" s="1">
        <v>1.36407E-5</v>
      </c>
      <c r="AA50">
        <v>0.999892</v>
      </c>
      <c r="AB50">
        <v>4</v>
      </c>
      <c r="AC50">
        <v>317.14920000000001</v>
      </c>
      <c r="AD50">
        <v>5.124714</v>
      </c>
      <c r="AE50">
        <v>-4.8595000000000201</v>
      </c>
      <c r="AF50">
        <v>4.6613630613530699</v>
      </c>
      <c r="AG50">
        <v>5.124714</v>
      </c>
      <c r="AH50">
        <v>317.06938778122901</v>
      </c>
      <c r="AI50">
        <v>89.074123162998902</v>
      </c>
      <c r="AJ50">
        <v>89.157732654721201</v>
      </c>
      <c r="AK50">
        <v>317.14505776873602</v>
      </c>
      <c r="AL50">
        <v>77.442950341021898</v>
      </c>
      <c r="AM50">
        <v>94.841228880247797</v>
      </c>
      <c r="AN50">
        <v>0.999999959974335</v>
      </c>
    </row>
    <row r="51" spans="1:40" x14ac:dyDescent="0.25">
      <c r="A51" t="str">
        <f>"20190304155312938"</f>
        <v>20190304155312938</v>
      </c>
      <c r="B51" t="str">
        <f>"1551685992936001"</f>
        <v>1551685992936001</v>
      </c>
      <c r="C51" t="s">
        <v>40</v>
      </c>
      <c r="D51">
        <v>4.1750239999999996</v>
      </c>
      <c r="E51">
        <v>0.53333909999999995</v>
      </c>
      <c r="F51" t="s">
        <v>41</v>
      </c>
      <c r="G51">
        <v>-158.19499999999999</v>
      </c>
      <c r="H51">
        <v>5.3941860000000004</v>
      </c>
      <c r="I51">
        <v>362.66309999999999</v>
      </c>
      <c r="J51">
        <v>-475.3193</v>
      </c>
      <c r="K51">
        <v>1.1112949999999999</v>
      </c>
      <c r="L51">
        <v>367.21660000000003</v>
      </c>
      <c r="M51">
        <v>0.99990420000000002</v>
      </c>
      <c r="N51">
        <v>-1.383829E-2</v>
      </c>
      <c r="O51">
        <v>-6.2423760000000002E-4</v>
      </c>
      <c r="P51">
        <v>0.97564130000000004</v>
      </c>
      <c r="Q51">
        <v>0.2034376</v>
      </c>
      <c r="R51">
        <v>8.2081299999999996E-2</v>
      </c>
      <c r="S51">
        <v>3.0713200000000001</v>
      </c>
      <c r="T51">
        <v>4.1481490000000003E-2</v>
      </c>
      <c r="U51">
        <v>-4.4097900000000002E-2</v>
      </c>
      <c r="V51">
        <v>-8.2682640000000002E-2</v>
      </c>
      <c r="W51">
        <v>0.2169219</v>
      </c>
      <c r="X51">
        <v>0.97268100000000002</v>
      </c>
      <c r="Y51">
        <v>1.373252E-2</v>
      </c>
      <c r="Z51" s="1">
        <v>-1.9367089999999999E-5</v>
      </c>
      <c r="AA51">
        <v>0.99990570000000001</v>
      </c>
      <c r="AB51">
        <v>3</v>
      </c>
      <c r="AC51">
        <v>317.12430000000001</v>
      </c>
      <c r="AD51">
        <v>4.2828910000000002</v>
      </c>
      <c r="AE51">
        <v>-4.5535000000000396</v>
      </c>
      <c r="AF51">
        <v>4.3547251526617599</v>
      </c>
      <c r="AG51">
        <v>4.2828910000000002</v>
      </c>
      <c r="AH51">
        <v>317.06926073586499</v>
      </c>
      <c r="AI51">
        <v>89.226183206514804</v>
      </c>
      <c r="AJ51">
        <v>89.213131903412005</v>
      </c>
      <c r="AK51">
        <v>317.12808593699299</v>
      </c>
      <c r="AL51">
        <v>77.471693670532304</v>
      </c>
      <c r="AM51">
        <v>94.858741003062093</v>
      </c>
      <c r="AN51">
        <v>0.99999992870898702</v>
      </c>
    </row>
    <row r="52" spans="1:40" x14ac:dyDescent="0.25">
      <c r="A52" t="str">
        <f>"20190304155312961"</f>
        <v>20190304155312961</v>
      </c>
      <c r="B52" t="str">
        <f>"1551685992955521"</f>
        <v>1551685992955521</v>
      </c>
      <c r="C52" t="s">
        <v>40</v>
      </c>
      <c r="D52">
        <v>4.2483810000000002</v>
      </c>
      <c r="E52">
        <v>0.53277669999999999</v>
      </c>
      <c r="F52" t="s">
        <v>41</v>
      </c>
      <c r="G52">
        <v>-158.19499999999999</v>
      </c>
      <c r="H52">
        <v>4.3977719999999998</v>
      </c>
      <c r="I52">
        <v>363.6841</v>
      </c>
      <c r="J52">
        <v>-475.29059999999998</v>
      </c>
      <c r="K52">
        <v>1.111076</v>
      </c>
      <c r="L52">
        <v>367.21660000000003</v>
      </c>
      <c r="M52">
        <v>0.99990809999999997</v>
      </c>
      <c r="N52">
        <v>-1.354197E-2</v>
      </c>
      <c r="O52">
        <v>-6.2794249999999999E-4</v>
      </c>
      <c r="P52">
        <v>0.97541690000000003</v>
      </c>
      <c r="Q52">
        <v>0.2043114</v>
      </c>
      <c r="R52">
        <v>8.2576769999999994E-2</v>
      </c>
      <c r="S52">
        <v>3.0711360000000001</v>
      </c>
      <c r="T52">
        <v>3.1828170000000003E-2</v>
      </c>
      <c r="U52">
        <v>-3.4210209999999998E-2</v>
      </c>
      <c r="V52">
        <v>-8.3180840000000006E-2</v>
      </c>
      <c r="W52">
        <v>0.21750459999999999</v>
      </c>
      <c r="X52">
        <v>0.97250840000000005</v>
      </c>
      <c r="Y52">
        <v>1.051097E-2</v>
      </c>
      <c r="Z52" s="1">
        <v>-3.1722199999999999E-5</v>
      </c>
      <c r="AA52">
        <v>0.99994470000000002</v>
      </c>
      <c r="AB52">
        <v>3</v>
      </c>
      <c r="AC52">
        <v>317.09559999999999</v>
      </c>
      <c r="AD52">
        <v>3.2866960000000001</v>
      </c>
      <c r="AE52">
        <v>-3.5325000000000202</v>
      </c>
      <c r="AF52">
        <v>3.33300520718754</v>
      </c>
      <c r="AG52">
        <v>3.2866960000000001</v>
      </c>
      <c r="AH52">
        <v>317.06369693072099</v>
      </c>
      <c r="AI52">
        <v>89.406123552568999</v>
      </c>
      <c r="AJ52">
        <v>89.397723234933807</v>
      </c>
      <c r="AK52">
        <v>317.098248506174</v>
      </c>
      <c r="AL52">
        <v>77.437491010733794</v>
      </c>
      <c r="AM52">
        <v>94.888738975714702</v>
      </c>
      <c r="AN52">
        <v>0.99999994561741101</v>
      </c>
    </row>
    <row r="53" spans="1:40" x14ac:dyDescent="0.25">
      <c r="A53" t="str">
        <f>"20190304155312984"</f>
        <v>20190304155312984</v>
      </c>
      <c r="B53" t="str">
        <f>"1551685992976017"</f>
        <v>1551685992976017</v>
      </c>
      <c r="C53" t="s">
        <v>40</v>
      </c>
      <c r="D53">
        <v>4.2659399999999996</v>
      </c>
      <c r="E53">
        <v>0.53217550000000002</v>
      </c>
      <c r="F53" t="s">
        <v>41</v>
      </c>
      <c r="G53">
        <v>-158.19499999999999</v>
      </c>
      <c r="H53">
        <v>4.5675699999999999</v>
      </c>
      <c r="I53">
        <v>364.25150000000002</v>
      </c>
      <c r="J53">
        <v>-475.25580000000002</v>
      </c>
      <c r="K53">
        <v>1.1105020000000001</v>
      </c>
      <c r="L53">
        <v>367.21660000000003</v>
      </c>
      <c r="M53">
        <v>0.99993089999999996</v>
      </c>
      <c r="N53">
        <v>-1.1745790000000001E-2</v>
      </c>
      <c r="O53">
        <v>-6.332741E-4</v>
      </c>
      <c r="P53">
        <v>0.97505489999999995</v>
      </c>
      <c r="Q53">
        <v>0.20594750000000001</v>
      </c>
      <c r="R53">
        <v>8.2789450000000001E-2</v>
      </c>
      <c r="S53">
        <v>3.0710139999999999</v>
      </c>
      <c r="T53">
        <v>3.3476350000000002E-2</v>
      </c>
      <c r="U53">
        <v>-2.8717039999999999E-2</v>
      </c>
      <c r="V53">
        <v>-8.3397750000000007E-2</v>
      </c>
      <c r="W53">
        <v>0.2173892</v>
      </c>
      <c r="X53">
        <v>0.97251569999999998</v>
      </c>
      <c r="Y53">
        <v>8.7174980000000006E-3</v>
      </c>
      <c r="Z53" s="1">
        <v>-1.8029279999999999E-5</v>
      </c>
      <c r="AA53">
        <v>0.99996200000000002</v>
      </c>
      <c r="AB53">
        <v>2</v>
      </c>
      <c r="AC53">
        <v>317.06079999999997</v>
      </c>
      <c r="AD53">
        <v>3.457068</v>
      </c>
      <c r="AE53">
        <v>-2.9651000000000001</v>
      </c>
      <c r="AF53">
        <v>2.7639706088731799</v>
      </c>
      <c r="AG53">
        <v>3.457068</v>
      </c>
      <c r="AH53">
        <v>317.02492773328601</v>
      </c>
      <c r="AI53">
        <v>89.375254085121398</v>
      </c>
      <c r="AJ53">
        <v>89.500481430895604</v>
      </c>
      <c r="AK53">
        <v>317.05582419658998</v>
      </c>
      <c r="AL53">
        <v>77.444265953734103</v>
      </c>
      <c r="AM53">
        <v>94.9013886634812</v>
      </c>
      <c r="AN53">
        <v>1.00000001786409</v>
      </c>
    </row>
    <row r="54" spans="1:40" x14ac:dyDescent="0.25">
      <c r="A54" t="str">
        <f>"20190304155313006"</f>
        <v>20190304155313006</v>
      </c>
      <c r="B54" t="str">
        <f>"1551685992995543"</f>
        <v>1551685992995543</v>
      </c>
      <c r="C54" t="s">
        <v>40</v>
      </c>
      <c r="D54">
        <v>4.2938700000000001</v>
      </c>
      <c r="E54">
        <v>0.53187810000000002</v>
      </c>
      <c r="F54" t="s">
        <v>41</v>
      </c>
      <c r="G54">
        <v>-158.19499999999999</v>
      </c>
      <c r="H54">
        <v>4.7214210000000003</v>
      </c>
      <c r="I54">
        <v>364.76569999999998</v>
      </c>
      <c r="J54">
        <v>-475.21809999999999</v>
      </c>
      <c r="K54">
        <v>1.1101160000000001</v>
      </c>
      <c r="L54">
        <v>367.21660000000003</v>
      </c>
      <c r="M54">
        <v>0.99994740000000004</v>
      </c>
      <c r="N54">
        <v>-1.0236769999999999E-2</v>
      </c>
      <c r="O54">
        <v>-6.4082560000000002E-4</v>
      </c>
      <c r="P54">
        <v>0.97468969999999999</v>
      </c>
      <c r="Q54">
        <v>0.2076778</v>
      </c>
      <c r="R54">
        <v>8.2765080000000005E-2</v>
      </c>
      <c r="S54">
        <v>3.0714109999999999</v>
      </c>
      <c r="T54">
        <v>3.4980299999999999E-2</v>
      </c>
      <c r="U54">
        <v>-2.3742679999999999E-2</v>
      </c>
      <c r="V54">
        <v>-8.3379380000000003E-2</v>
      </c>
      <c r="W54">
        <v>0.21764800000000001</v>
      </c>
      <c r="X54">
        <v>0.97245939999999997</v>
      </c>
      <c r="Y54">
        <v>7.0892480000000003E-3</v>
      </c>
      <c r="Z54" s="1">
        <v>-9.7769809999999994E-6</v>
      </c>
      <c r="AA54">
        <v>0.99997480000000005</v>
      </c>
      <c r="AB54">
        <v>4</v>
      </c>
      <c r="AC54">
        <v>317.0231</v>
      </c>
      <c r="AD54">
        <v>3.6113050000000002</v>
      </c>
      <c r="AE54">
        <v>-2.4509000000000398</v>
      </c>
      <c r="AF54">
        <v>2.2474407192653798</v>
      </c>
      <c r="AG54">
        <v>3.6113050000000002</v>
      </c>
      <c r="AH54">
        <v>316.98347572502303</v>
      </c>
      <c r="AI54">
        <v>89.347289686193704</v>
      </c>
      <c r="AJ54">
        <v>89.5937746913105</v>
      </c>
      <c r="AK54">
        <v>317.01201301576202</v>
      </c>
      <c r="AL54">
        <v>77.429074193529701</v>
      </c>
      <c r="AM54">
        <v>94.900596613051405</v>
      </c>
      <c r="AN54">
        <v>1.00000002878077</v>
      </c>
    </row>
    <row r="55" spans="1:40" x14ac:dyDescent="0.25">
      <c r="A55" t="str">
        <f>"20190304155313029"</f>
        <v>20190304155313029</v>
      </c>
      <c r="B55" t="str">
        <f>"1551685993025795"</f>
        <v>1551685993025795</v>
      </c>
      <c r="C55" t="s">
        <v>40</v>
      </c>
      <c r="D55">
        <v>4.2836679999999996</v>
      </c>
      <c r="E55">
        <v>0.531555</v>
      </c>
      <c r="F55" t="s">
        <v>41</v>
      </c>
      <c r="G55">
        <v>-158.19499999999999</v>
      </c>
      <c r="H55">
        <v>5.1596029999999997</v>
      </c>
      <c r="I55">
        <v>364.89510000000001</v>
      </c>
      <c r="J55">
        <v>-475.18310000000002</v>
      </c>
      <c r="K55">
        <v>1.110223</v>
      </c>
      <c r="L55">
        <v>367.2165</v>
      </c>
      <c r="M55">
        <v>0.99994709999999998</v>
      </c>
      <c r="N55">
        <v>-1.0275680000000001E-2</v>
      </c>
      <c r="O55">
        <v>-6.4794199999999998E-4</v>
      </c>
      <c r="P55">
        <v>0.97462420000000005</v>
      </c>
      <c r="Q55">
        <v>0.2080012</v>
      </c>
      <c r="R55">
        <v>8.2724370000000005E-2</v>
      </c>
      <c r="S55">
        <v>3.0714419999999998</v>
      </c>
      <c r="T55">
        <v>3.9233799999999999E-2</v>
      </c>
      <c r="U55">
        <v>-2.2491460000000001E-2</v>
      </c>
      <c r="V55">
        <v>-8.3345610000000001E-2</v>
      </c>
      <c r="W55">
        <v>0.21800820000000001</v>
      </c>
      <c r="X55">
        <v>0.97238159999999896</v>
      </c>
      <c r="Y55">
        <v>6.6746779999999999E-3</v>
      </c>
      <c r="Z55" s="1">
        <v>-6.6009090000000002E-6</v>
      </c>
      <c r="AA55">
        <v>0.99997769999999997</v>
      </c>
      <c r="AB55">
        <v>4</v>
      </c>
      <c r="AC55">
        <v>316.98809999999997</v>
      </c>
      <c r="AD55">
        <v>4.0493799999999904</v>
      </c>
      <c r="AE55">
        <v>-2.3213999999999801</v>
      </c>
      <c r="AF55">
        <v>2.1156535534974399</v>
      </c>
      <c r="AG55">
        <v>4.0493799999999904</v>
      </c>
      <c r="AH55">
        <v>316.93781964028102</v>
      </c>
      <c r="AI55">
        <v>89.268012279697302</v>
      </c>
      <c r="AJ55">
        <v>89.617539430167099</v>
      </c>
      <c r="AK55">
        <v>316.97074784067701</v>
      </c>
      <c r="AL55">
        <v>77.407928385909102</v>
      </c>
      <c r="AM55">
        <v>94.899011482206802</v>
      </c>
      <c r="AN55">
        <v>1.00000002099603</v>
      </c>
    </row>
    <row r="56" spans="1:40" x14ac:dyDescent="0.25">
      <c r="A56" t="str">
        <f>"20190304155313053"</f>
        <v>20190304155313053</v>
      </c>
      <c r="B56" t="str">
        <f>"1551685993045314"</f>
        <v>1551685993045314</v>
      </c>
      <c r="C56" t="s">
        <v>40</v>
      </c>
      <c r="D56">
        <v>4.2934900000000003</v>
      </c>
      <c r="E56">
        <v>0.53126569999999995</v>
      </c>
      <c r="F56" t="s">
        <v>41</v>
      </c>
      <c r="G56">
        <v>-158.19499999999999</v>
      </c>
      <c r="H56">
        <v>4.8341770000000004</v>
      </c>
      <c r="I56">
        <v>365.12880000000001</v>
      </c>
      <c r="J56">
        <v>-475.15179999999998</v>
      </c>
      <c r="K56">
        <v>1.1107450000000001</v>
      </c>
      <c r="L56">
        <v>367.21660000000003</v>
      </c>
      <c r="M56">
        <v>0.99992910000000002</v>
      </c>
      <c r="N56">
        <v>-1.188985E-2</v>
      </c>
      <c r="O56">
        <v>-6.5379719999999998E-4</v>
      </c>
      <c r="P56">
        <v>0.97520660000000003</v>
      </c>
      <c r="Q56">
        <v>0.20536170000000001</v>
      </c>
      <c r="R56">
        <v>8.2455280000000006E-2</v>
      </c>
      <c r="S56">
        <v>3.0720830000000001</v>
      </c>
      <c r="T56">
        <v>3.6091449999999997E-2</v>
      </c>
      <c r="U56">
        <v>-2.0233149999999998E-2</v>
      </c>
      <c r="V56">
        <v>-8.3083850000000001E-2</v>
      </c>
      <c r="W56">
        <v>0.2169452</v>
      </c>
      <c r="X56">
        <v>0.97264170000000005</v>
      </c>
      <c r="Y56">
        <v>5.9323519999999897E-3</v>
      </c>
      <c r="Z56" s="1">
        <v>-1.587714E-5</v>
      </c>
      <c r="AA56">
        <v>0.99998240000000005</v>
      </c>
      <c r="AB56">
        <v>4</v>
      </c>
      <c r="AC56">
        <v>316.95679999999999</v>
      </c>
      <c r="AD56">
        <v>3.7234319999999999</v>
      </c>
      <c r="AE56">
        <v>-2.0878000000000099</v>
      </c>
      <c r="AF56">
        <v>1.88029996164201</v>
      </c>
      <c r="AG56">
        <v>3.7234319999999999</v>
      </c>
      <c r="AH56">
        <v>316.91436429087003</v>
      </c>
      <c r="AI56">
        <v>89.326873776953093</v>
      </c>
      <c r="AJ56">
        <v>89.660059624821599</v>
      </c>
      <c r="AK56">
        <v>316.941814482864</v>
      </c>
      <c r="AL56">
        <v>77.470327163347903</v>
      </c>
      <c r="AM56">
        <v>94.882400231173705</v>
      </c>
      <c r="AN56">
        <v>1.0000000112563701</v>
      </c>
    </row>
    <row r="57" spans="1:40" x14ac:dyDescent="0.25">
      <c r="A57" t="str">
        <f>"20190304155313075"</f>
        <v>20190304155313075</v>
      </c>
      <c r="B57" t="str">
        <f>"1551685993065810"</f>
        <v>1551685993065810</v>
      </c>
      <c r="C57" t="s">
        <v>40</v>
      </c>
      <c r="D57">
        <v>4.2688940000000004</v>
      </c>
      <c r="E57">
        <v>0.53079319999999997</v>
      </c>
      <c r="F57" t="s">
        <v>41</v>
      </c>
      <c r="G57">
        <v>-158.19499999999999</v>
      </c>
      <c r="H57">
        <v>3.811226</v>
      </c>
      <c r="I57">
        <v>365.2552</v>
      </c>
      <c r="J57">
        <v>-475.12689999999998</v>
      </c>
      <c r="K57">
        <v>1.1112169999999999</v>
      </c>
      <c r="L57">
        <v>367.2165</v>
      </c>
      <c r="M57">
        <v>0.99990599999999996</v>
      </c>
      <c r="N57">
        <v>-1.3706039999999999E-2</v>
      </c>
      <c r="O57">
        <v>-6.5851009999999999E-4</v>
      </c>
      <c r="P57">
        <v>0.97589340000000002</v>
      </c>
      <c r="Q57">
        <v>0.2020294</v>
      </c>
      <c r="R57">
        <v>8.2563269999999994E-2</v>
      </c>
      <c r="S57">
        <v>3.0723569999999998</v>
      </c>
      <c r="T57">
        <v>2.6177410000000002E-2</v>
      </c>
      <c r="U57">
        <v>-1.901245E-2</v>
      </c>
      <c r="V57">
        <v>-8.319762E-2</v>
      </c>
      <c r="W57">
        <v>0.21538879999999999</v>
      </c>
      <c r="X57">
        <v>0.9729778</v>
      </c>
      <c r="Y57">
        <v>5.5298359999999998E-3</v>
      </c>
      <c r="Z57" s="1">
        <v>-2.8976539999999999E-5</v>
      </c>
      <c r="AA57">
        <v>0.99998469999999995</v>
      </c>
      <c r="AB57">
        <v>3</v>
      </c>
      <c r="AC57">
        <v>316.93189999999998</v>
      </c>
      <c r="AD57">
        <v>2.7000090000000001</v>
      </c>
      <c r="AE57">
        <v>-1.9612999999999901</v>
      </c>
      <c r="AF57">
        <v>1.7524499603191701</v>
      </c>
      <c r="AG57">
        <v>2.7000090000000001</v>
      </c>
      <c r="AH57">
        <v>316.91012344873002</v>
      </c>
      <c r="AI57">
        <v>89.5118710290443</v>
      </c>
      <c r="AJ57">
        <v>89.683168962822293</v>
      </c>
      <c r="AK57">
        <v>316.926470137401</v>
      </c>
      <c r="AL57">
        <v>77.561661525138206</v>
      </c>
      <c r="AM57">
        <v>94.887372845329494</v>
      </c>
      <c r="AN57">
        <v>0.999999989215972</v>
      </c>
    </row>
    <row r="58" spans="1:40" x14ac:dyDescent="0.25">
      <c r="A58" t="str">
        <f>"20190304155313096"</f>
        <v>20190304155313096</v>
      </c>
      <c r="B58" t="str">
        <f>"1551685993086306"</f>
        <v>1551685993086306</v>
      </c>
      <c r="C58" t="s">
        <v>40</v>
      </c>
      <c r="D58">
        <v>4.2595229999999997</v>
      </c>
      <c r="E58">
        <v>0.53045189999999998</v>
      </c>
      <c r="F58" t="s">
        <v>41</v>
      </c>
      <c r="G58">
        <v>-158.19499999999999</v>
      </c>
      <c r="H58">
        <v>2.6808070000000002</v>
      </c>
      <c r="I58">
        <v>365.63929999999999</v>
      </c>
      <c r="J58">
        <v>-475.10059999999999</v>
      </c>
      <c r="K58">
        <v>1.1111580000000001</v>
      </c>
      <c r="L58">
        <v>367.2165</v>
      </c>
      <c r="M58">
        <v>0.9999036</v>
      </c>
      <c r="N58">
        <v>-1.3873399999999999E-2</v>
      </c>
      <c r="O58">
        <v>-6.6396520000000004E-4</v>
      </c>
      <c r="P58">
        <v>0.97624949999999999</v>
      </c>
      <c r="Q58">
        <v>0.2002073</v>
      </c>
      <c r="R58">
        <v>8.2787979999999997E-2</v>
      </c>
      <c r="S58">
        <v>3.0722960000000001</v>
      </c>
      <c r="T58">
        <v>1.5216230000000001E-2</v>
      </c>
      <c r="U58">
        <v>-1.528931E-2</v>
      </c>
      <c r="V58">
        <v>-8.3427669999999995E-2</v>
      </c>
      <c r="W58">
        <v>0.21373500000000001</v>
      </c>
      <c r="X58">
        <v>0.97332269999999999</v>
      </c>
      <c r="Y58">
        <v>4.3126379999999997E-3</v>
      </c>
      <c r="Z58" s="1">
        <v>-3.1737260000000002E-5</v>
      </c>
      <c r="AA58">
        <v>0.99999070000000001</v>
      </c>
      <c r="AB58">
        <v>3</v>
      </c>
      <c r="AC58">
        <v>316.90559999999999</v>
      </c>
      <c r="AD58">
        <v>1.5696490000000001</v>
      </c>
      <c r="AE58">
        <v>-1.5771999999999999</v>
      </c>
      <c r="AF58">
        <v>1.3667315939151199</v>
      </c>
      <c r="AG58">
        <v>1.5696490000000001</v>
      </c>
      <c r="AH58">
        <v>316.89880325003401</v>
      </c>
      <c r="AI58">
        <v>89.716210063747795</v>
      </c>
      <c r="AJ58">
        <v>89.7528944074961</v>
      </c>
      <c r="AK58">
        <v>316.90563777651101</v>
      </c>
      <c r="AL58">
        <v>77.658676283465297</v>
      </c>
      <c r="AM58">
        <v>94.899093038156096</v>
      </c>
      <c r="AN58">
        <v>0.99999995234095795</v>
      </c>
    </row>
    <row r="59" spans="1:40" x14ac:dyDescent="0.25">
      <c r="A59" t="str">
        <f>"20190304155313119"</f>
        <v>20190304155313119</v>
      </c>
      <c r="B59" t="str">
        <f>"1551685993115586"</f>
        <v>1551685993115586</v>
      </c>
      <c r="C59" t="s">
        <v>40</v>
      </c>
      <c r="D59">
        <v>4.2810750000000004</v>
      </c>
      <c r="E59">
        <v>0.53014209999999995</v>
      </c>
      <c r="F59" t="s">
        <v>41</v>
      </c>
      <c r="G59">
        <v>-158.19499999999999</v>
      </c>
      <c r="H59">
        <v>1.888865</v>
      </c>
      <c r="I59">
        <v>365.91649999999998</v>
      </c>
      <c r="J59">
        <v>-475.06549999999999</v>
      </c>
      <c r="K59">
        <v>1.1106119999999999</v>
      </c>
      <c r="L59">
        <v>367.21640000000002</v>
      </c>
      <c r="M59">
        <v>0.99992479999999995</v>
      </c>
      <c r="N59">
        <v>-1.224245E-2</v>
      </c>
      <c r="O59">
        <v>-6.7299069999999996E-4</v>
      </c>
      <c r="P59">
        <v>0.97606930000000003</v>
      </c>
      <c r="Q59">
        <v>0.2010739</v>
      </c>
      <c r="R59">
        <v>8.2813800000000007E-2</v>
      </c>
      <c r="S59">
        <v>3.0724490000000002</v>
      </c>
      <c r="T59">
        <v>7.5408219999999896E-3</v>
      </c>
      <c r="U59">
        <v>-1.260376E-2</v>
      </c>
      <c r="V59">
        <v>-8.3461140000000003E-2</v>
      </c>
      <c r="W59">
        <v>0.21301149999999999</v>
      </c>
      <c r="X59">
        <v>0.97347850000000002</v>
      </c>
      <c r="Y59">
        <v>3.429231E-3</v>
      </c>
      <c r="Z59" s="1">
        <v>-2.6674610000000001E-5</v>
      </c>
      <c r="AA59">
        <v>0.9999941</v>
      </c>
      <c r="AB59">
        <v>2</v>
      </c>
      <c r="AC59">
        <v>316.87049999999999</v>
      </c>
      <c r="AD59">
        <v>0.77825299999999997</v>
      </c>
      <c r="AE59">
        <v>-1.29990000000003</v>
      </c>
      <c r="AF59">
        <v>1.0866262619373701</v>
      </c>
      <c r="AG59">
        <v>0.77825299999999997</v>
      </c>
      <c r="AH59">
        <v>316.86939172018998</v>
      </c>
      <c r="AI59">
        <v>89.859278738768793</v>
      </c>
      <c r="AJ59">
        <v>89.803518874671397</v>
      </c>
      <c r="AK59">
        <v>316.87221058888701</v>
      </c>
      <c r="AL59">
        <v>77.7011078425802</v>
      </c>
      <c r="AM59">
        <v>94.900268346600996</v>
      </c>
      <c r="AN59">
        <v>1.0000000254922901</v>
      </c>
    </row>
    <row r="60" spans="1:40" x14ac:dyDescent="0.25">
      <c r="A60" t="str">
        <f>"20190304155313139"</f>
        <v>20190304155313139</v>
      </c>
      <c r="B60" t="str">
        <f>"1551685993135106"</f>
        <v>1551685993135106</v>
      </c>
      <c r="C60" t="s">
        <v>40</v>
      </c>
      <c r="D60">
        <v>4.3651809999999998</v>
      </c>
      <c r="E60">
        <v>0.53030390000000005</v>
      </c>
      <c r="F60" t="s">
        <v>41</v>
      </c>
      <c r="G60">
        <v>-158.19499999999999</v>
      </c>
      <c r="H60">
        <v>1.9458580000000001</v>
      </c>
      <c r="I60">
        <v>366.1465</v>
      </c>
      <c r="J60">
        <v>-475.03109999999998</v>
      </c>
      <c r="K60">
        <v>1.1101700000000001</v>
      </c>
      <c r="L60">
        <v>367.21640000000002</v>
      </c>
      <c r="M60">
        <v>0.99994360000000004</v>
      </c>
      <c r="N60">
        <v>-1.061135E-2</v>
      </c>
      <c r="O60">
        <v>-6.8464559999999999E-4</v>
      </c>
      <c r="P60">
        <v>0.97597060000000002</v>
      </c>
      <c r="Q60">
        <v>0.20147970000000001</v>
      </c>
      <c r="R60">
        <v>8.2991699999999904E-2</v>
      </c>
      <c r="S60">
        <v>3.0727540000000002</v>
      </c>
      <c r="T60">
        <v>8.1003900000000007E-3</v>
      </c>
      <c r="U60">
        <v>-1.037598E-2</v>
      </c>
      <c r="V60">
        <v>-8.3649799999999996E-2</v>
      </c>
      <c r="W60">
        <v>0.2118284</v>
      </c>
      <c r="X60">
        <v>0.97372040000000004</v>
      </c>
      <c r="Y60">
        <v>2.6921559999999998E-3</v>
      </c>
      <c r="Z60" s="1">
        <v>-1.9805549999999999E-5</v>
      </c>
      <c r="AA60">
        <v>0.99999640000000001</v>
      </c>
      <c r="AB60">
        <v>3</v>
      </c>
      <c r="AC60">
        <v>316.83609999999999</v>
      </c>
      <c r="AD60">
        <v>0.83568799999999899</v>
      </c>
      <c r="AE60">
        <v>-1.0699000000000101</v>
      </c>
      <c r="AF60">
        <v>0.85296118933613696</v>
      </c>
      <c r="AG60">
        <v>0.83568799999999899</v>
      </c>
      <c r="AH60">
        <v>316.83455410061902</v>
      </c>
      <c r="AI60">
        <v>89.848876613288894</v>
      </c>
      <c r="AJ60">
        <v>89.845752435964997</v>
      </c>
      <c r="AK60">
        <v>316.836804347856</v>
      </c>
      <c r="AL60">
        <v>77.770477149767999</v>
      </c>
      <c r="AM60">
        <v>94.910076915706</v>
      </c>
      <c r="AN60">
        <v>0.99999998873137996</v>
      </c>
    </row>
    <row r="61" spans="1:40" x14ac:dyDescent="0.25">
      <c r="A61" t="str">
        <f>"20190304155313163"</f>
        <v>20190304155313163</v>
      </c>
      <c r="B61" t="str">
        <f>"1551685993155603"</f>
        <v>1551685993155603</v>
      </c>
      <c r="C61" t="s">
        <v>40</v>
      </c>
      <c r="D61">
        <v>4.2694839999999896</v>
      </c>
      <c r="E61">
        <v>0.53037570000000001</v>
      </c>
      <c r="F61" t="s">
        <v>41</v>
      </c>
      <c r="G61">
        <v>-158.19499999999999</v>
      </c>
      <c r="H61">
        <v>2.1639849999999998</v>
      </c>
      <c r="I61">
        <v>366.05849999999998</v>
      </c>
      <c r="J61">
        <v>-474.99489999999997</v>
      </c>
      <c r="K61">
        <v>1.1101049999999999</v>
      </c>
      <c r="L61">
        <v>367.21640000000002</v>
      </c>
      <c r="M61">
        <v>0.99994930000000004</v>
      </c>
      <c r="N61">
        <v>-1.005057E-2</v>
      </c>
      <c r="O61">
        <v>-6.9736709999999999E-4</v>
      </c>
      <c r="P61">
        <v>0.97615280000000004</v>
      </c>
      <c r="Q61">
        <v>0.2005528</v>
      </c>
      <c r="R61">
        <v>8.3094100000000004E-2</v>
      </c>
      <c r="S61">
        <v>3.0727540000000002</v>
      </c>
      <c r="T61">
        <v>1.0220999999999999E-2</v>
      </c>
      <c r="U61">
        <v>-1.1230469999999999E-2</v>
      </c>
      <c r="V61">
        <v>-8.3763829999999997E-2</v>
      </c>
      <c r="W61">
        <v>0.2103575</v>
      </c>
      <c r="X61">
        <v>0.97402940000000005</v>
      </c>
      <c r="Y61">
        <v>2.9575280000000001E-3</v>
      </c>
      <c r="Z61" s="1">
        <v>-1.9272599999999999E-5</v>
      </c>
      <c r="AA61">
        <v>0.99999559999999998</v>
      </c>
      <c r="AB61">
        <v>4</v>
      </c>
      <c r="AC61">
        <v>316.79989999999998</v>
      </c>
      <c r="AD61">
        <v>1.0538799999999999</v>
      </c>
      <c r="AE61">
        <v>-1.1579000000000399</v>
      </c>
      <c r="AF61">
        <v>0.93695237440216805</v>
      </c>
      <c r="AG61">
        <v>1.0538799999999999</v>
      </c>
      <c r="AH61">
        <v>316.79712467671101</v>
      </c>
      <c r="AI61">
        <v>89.809397293800998</v>
      </c>
      <c r="AJ61">
        <v>89.830543726727896</v>
      </c>
      <c r="AK61">
        <v>316.800263172614</v>
      </c>
      <c r="AL61">
        <v>77.856696088648604</v>
      </c>
      <c r="AM61">
        <v>94.915185323238504</v>
      </c>
      <c r="AN61">
        <v>0.99999996454343798</v>
      </c>
    </row>
    <row r="62" spans="1:40" x14ac:dyDescent="0.25">
      <c r="A62" t="str">
        <f>"20190304155313183"</f>
        <v>20190304155313183</v>
      </c>
      <c r="B62" t="str">
        <f>"1551685993175124"</f>
        <v>1551685993175124</v>
      </c>
      <c r="C62" t="s">
        <v>40</v>
      </c>
      <c r="D62">
        <v>4.3302709999999998</v>
      </c>
      <c r="E62">
        <v>0.53053980000000001</v>
      </c>
      <c r="F62" t="s">
        <v>41</v>
      </c>
      <c r="G62">
        <v>-158.19499999999999</v>
      </c>
      <c r="H62">
        <v>1.91717</v>
      </c>
      <c r="I62">
        <v>365.99560000000002</v>
      </c>
      <c r="J62">
        <v>-474.96539999999999</v>
      </c>
      <c r="K62">
        <v>1.110517</v>
      </c>
      <c r="L62">
        <v>367.21640000000002</v>
      </c>
      <c r="M62">
        <v>0.99993659999999995</v>
      </c>
      <c r="N62">
        <v>-1.124503E-2</v>
      </c>
      <c r="O62">
        <v>-7.0599789999999996E-4</v>
      </c>
      <c r="P62">
        <v>0.97664390000000001</v>
      </c>
      <c r="Q62">
        <v>0.19805400000000001</v>
      </c>
      <c r="R62">
        <v>8.3313490000000004E-2</v>
      </c>
      <c r="S62">
        <v>3.0726930000000001</v>
      </c>
      <c r="T62">
        <v>7.8287119999999998E-3</v>
      </c>
      <c r="U62">
        <v>-1.184082E-2</v>
      </c>
      <c r="V62">
        <v>-8.3992220000000006E-2</v>
      </c>
      <c r="W62">
        <v>0.20902780000000001</v>
      </c>
      <c r="X62">
        <v>0.97429600000000005</v>
      </c>
      <c r="Y62">
        <v>3.1476E-3</v>
      </c>
      <c r="Z62" s="1">
        <v>-2.342607E-5</v>
      </c>
      <c r="AA62">
        <v>0.99999510000000003</v>
      </c>
      <c r="AB62">
        <v>4</v>
      </c>
      <c r="AC62">
        <v>316.7704</v>
      </c>
      <c r="AD62">
        <v>0.80665299999999995</v>
      </c>
      <c r="AE62">
        <v>-1.2207999999999899</v>
      </c>
      <c r="AF62">
        <v>0.99713986868043103</v>
      </c>
      <c r="AG62">
        <v>0.80665299999999995</v>
      </c>
      <c r="AH62">
        <v>316.769128886347</v>
      </c>
      <c r="AI62">
        <v>89.854097260958298</v>
      </c>
      <c r="AJ62">
        <v>89.819642407843304</v>
      </c>
      <c r="AK62">
        <v>316.77172536764601</v>
      </c>
      <c r="AL62">
        <v>77.934615126102003</v>
      </c>
      <c r="AM62">
        <v>94.927179150495803</v>
      </c>
      <c r="AN62">
        <v>1.00000000490468</v>
      </c>
    </row>
    <row r="63" spans="1:40" x14ac:dyDescent="0.25">
      <c r="A63" t="str">
        <f>"20190304155313207"</f>
        <v>20190304155313207</v>
      </c>
      <c r="B63" t="str">
        <f>"1551685993195618"</f>
        <v>1551685993195618</v>
      </c>
      <c r="C63" t="s">
        <v>40</v>
      </c>
      <c r="D63">
        <v>4.2829629999999996</v>
      </c>
      <c r="E63">
        <v>0.53060589999999996</v>
      </c>
      <c r="F63" t="s">
        <v>41</v>
      </c>
      <c r="G63">
        <v>-158.19499999999999</v>
      </c>
      <c r="H63">
        <v>1.2395229999999999</v>
      </c>
      <c r="I63">
        <v>365.9076</v>
      </c>
      <c r="J63">
        <v>-474.93740000000003</v>
      </c>
      <c r="K63">
        <v>1.1110530000000001</v>
      </c>
      <c r="L63">
        <v>367.21629999999999</v>
      </c>
      <c r="M63">
        <v>0.99991300000000005</v>
      </c>
      <c r="N63">
        <v>-1.317279E-2</v>
      </c>
      <c r="O63">
        <v>-7.1370669999999995E-4</v>
      </c>
      <c r="P63">
        <v>0.97712679999999996</v>
      </c>
      <c r="Q63">
        <v>0.195357</v>
      </c>
      <c r="R63">
        <v>8.401662E-2</v>
      </c>
      <c r="S63">
        <v>3.0725709999999999</v>
      </c>
      <c r="T63">
        <v>1.252174E-3</v>
      </c>
      <c r="U63">
        <v>-1.269531E-2</v>
      </c>
      <c r="V63">
        <v>-8.4705499999999906E-2</v>
      </c>
      <c r="W63">
        <v>0.2082145</v>
      </c>
      <c r="X63">
        <v>0.97440839999999995</v>
      </c>
      <c r="Y63">
        <v>3.4180980000000001E-3</v>
      </c>
      <c r="Z63" s="1">
        <v>-3.1510229999999997E-5</v>
      </c>
      <c r="AA63">
        <v>0.99999420000000006</v>
      </c>
      <c r="AB63">
        <v>3</v>
      </c>
      <c r="AC63">
        <v>316.74239999999998</v>
      </c>
      <c r="AD63">
        <v>0.128469999999999</v>
      </c>
      <c r="AE63">
        <v>-1.30869999999998</v>
      </c>
      <c r="AF63">
        <v>1.0826187040359301</v>
      </c>
      <c r="AG63">
        <v>0.128469999999999</v>
      </c>
      <c r="AH63">
        <v>316.74320131791001</v>
      </c>
      <c r="AI63">
        <v>89.9767611574174</v>
      </c>
      <c r="AJ63">
        <v>89.804165517197305</v>
      </c>
      <c r="AK63">
        <v>316.74507754488798</v>
      </c>
      <c r="AL63">
        <v>77.982262306926401</v>
      </c>
      <c r="AM63">
        <v>94.968242920576998</v>
      </c>
      <c r="AN63">
        <v>1.0000000148655299</v>
      </c>
    </row>
    <row r="64" spans="1:40" x14ac:dyDescent="0.25">
      <c r="A64" t="str">
        <f>"20190304155313229"</f>
        <v>20190304155313229</v>
      </c>
      <c r="B64" t="str">
        <f>"1551685993225874"</f>
        <v>1551685993225874</v>
      </c>
      <c r="C64" t="s">
        <v>40</v>
      </c>
      <c r="D64">
        <v>4.2872019999999997</v>
      </c>
      <c r="E64">
        <v>0.53079370000000003</v>
      </c>
      <c r="F64" t="s">
        <v>41</v>
      </c>
      <c r="G64">
        <v>-158.19499999999999</v>
      </c>
      <c r="H64">
        <v>0.47643730000000001</v>
      </c>
      <c r="I64">
        <v>366.03969999999998</v>
      </c>
      <c r="J64">
        <v>-474.91160000000002</v>
      </c>
      <c r="K64">
        <v>1.111237</v>
      </c>
      <c r="L64">
        <v>367.21629999999999</v>
      </c>
      <c r="M64">
        <v>0.99990009999999996</v>
      </c>
      <c r="N64">
        <v>-1.4124589999999999E-2</v>
      </c>
      <c r="O64">
        <v>-7.2103320000000001E-4</v>
      </c>
      <c r="P64">
        <v>0.97750230000000005</v>
      </c>
      <c r="Q64">
        <v>0.1933358</v>
      </c>
      <c r="R64">
        <v>8.4325349999999993E-2</v>
      </c>
      <c r="S64">
        <v>3.0724490000000002</v>
      </c>
      <c r="T64">
        <v>-6.1550140000000003E-3</v>
      </c>
      <c r="U64">
        <v>-1.141357E-2</v>
      </c>
      <c r="V64">
        <v>-8.5022E-2</v>
      </c>
      <c r="W64">
        <v>0.20712630000000001</v>
      </c>
      <c r="X64">
        <v>0.9746127</v>
      </c>
      <c r="Y64">
        <v>2.9936910000000001E-3</v>
      </c>
      <c r="Z64" s="1">
        <v>-3.2882639999999999E-5</v>
      </c>
      <c r="AA64">
        <v>0.99999550000000004</v>
      </c>
      <c r="AB64">
        <v>3</v>
      </c>
      <c r="AC64">
        <v>316.71660000000003</v>
      </c>
      <c r="AD64">
        <v>-0.63479969999999997</v>
      </c>
      <c r="AE64">
        <v>-1.1766000000000001</v>
      </c>
      <c r="AF64">
        <v>0.94820994494605604</v>
      </c>
      <c r="AG64">
        <v>-0.63479969999999997</v>
      </c>
      <c r="AH64">
        <v>316.716093788362</v>
      </c>
      <c r="AI64">
        <v>90.114838281516697</v>
      </c>
      <c r="AJ64">
        <v>89.828463830278395</v>
      </c>
      <c r="AK64">
        <v>316.71814936520002</v>
      </c>
      <c r="AL64">
        <v>78.046000731474706</v>
      </c>
      <c r="AM64">
        <v>94.985673150634497</v>
      </c>
      <c r="AN64">
        <v>0.99999997981848898</v>
      </c>
    </row>
    <row r="65" spans="1:40" x14ac:dyDescent="0.25">
      <c r="A65" t="str">
        <f>"20190304155313253"</f>
        <v>20190304155313253</v>
      </c>
      <c r="B65" t="str">
        <f>"1551685993245394"</f>
        <v>1551685993245394</v>
      </c>
      <c r="C65" t="s">
        <v>40</v>
      </c>
      <c r="D65">
        <v>4.3609470000000004</v>
      </c>
      <c r="E65">
        <v>0.53099099999999999</v>
      </c>
      <c r="F65" t="s">
        <v>41</v>
      </c>
      <c r="G65">
        <v>-158.19499999999999</v>
      </c>
      <c r="H65">
        <v>0.1203446</v>
      </c>
      <c r="I65">
        <v>365.97669999999999</v>
      </c>
      <c r="J65">
        <v>-474.8768</v>
      </c>
      <c r="K65">
        <v>1.1107579999999999</v>
      </c>
      <c r="L65">
        <v>367.21629999999999</v>
      </c>
      <c r="M65">
        <v>0.99991799999999997</v>
      </c>
      <c r="N65">
        <v>-1.278757E-2</v>
      </c>
      <c r="O65">
        <v>-7.3374929999999903E-4</v>
      </c>
      <c r="P65">
        <v>0.97723340000000003</v>
      </c>
      <c r="Q65">
        <v>0.19453609999999999</v>
      </c>
      <c r="R65">
        <v>8.4680699999999998E-2</v>
      </c>
      <c r="S65">
        <v>3.0719910000000001</v>
      </c>
      <c r="T65">
        <v>-9.6102949999999996E-3</v>
      </c>
      <c r="U65">
        <v>-1.202393E-2</v>
      </c>
      <c r="V65">
        <v>-8.5388759999999994E-2</v>
      </c>
      <c r="W65">
        <v>0.20701990000000001</v>
      </c>
      <c r="X65">
        <v>0.97460329999999995</v>
      </c>
      <c r="Y65">
        <v>3.18017E-3</v>
      </c>
      <c r="Z65" s="1">
        <v>-3.239669E-5</v>
      </c>
      <c r="AA65">
        <v>0.99999490000000002</v>
      </c>
      <c r="AB65">
        <v>2</v>
      </c>
      <c r="AC65">
        <v>316.68180000000001</v>
      </c>
      <c r="AD65">
        <v>-0.9904134</v>
      </c>
      <c r="AE65">
        <v>-1.23959999999999</v>
      </c>
      <c r="AF65">
        <v>1.00720577284065</v>
      </c>
      <c r="AG65">
        <v>-0.9904134</v>
      </c>
      <c r="AH65">
        <v>316.679526946892</v>
      </c>
      <c r="AI65">
        <v>90.179190730496501</v>
      </c>
      <c r="AJ65">
        <v>89.817770204930596</v>
      </c>
      <c r="AK65">
        <v>316.68267740670501</v>
      </c>
      <c r="AL65">
        <v>78.052232743059704</v>
      </c>
      <c r="AM65">
        <v>95.007118833673999</v>
      </c>
      <c r="AN65">
        <v>1.00000003585061</v>
      </c>
    </row>
    <row r="66" spans="1:40" x14ac:dyDescent="0.25">
      <c r="A66" t="str">
        <f>"20190304155313275"</f>
        <v>20190304155313275</v>
      </c>
      <c r="B66" t="str">
        <f>"1551685993265890"</f>
        <v>1551685993265890</v>
      </c>
      <c r="C66" t="s">
        <v>40</v>
      </c>
      <c r="D66">
        <v>4.2707680000000003</v>
      </c>
      <c r="E66">
        <v>0.53115649999999903</v>
      </c>
      <c r="F66" t="s">
        <v>41</v>
      </c>
      <c r="G66">
        <v>-158.19499999999999</v>
      </c>
      <c r="H66">
        <v>0.51368670000000005</v>
      </c>
      <c r="I66">
        <v>365.90129999999999</v>
      </c>
      <c r="J66">
        <v>-474.84010000000001</v>
      </c>
      <c r="K66">
        <v>1.1102510000000001</v>
      </c>
      <c r="L66">
        <v>367.21620000000001</v>
      </c>
      <c r="M66">
        <v>0.99993929999999998</v>
      </c>
      <c r="N66">
        <v>-1.0989489999999999E-2</v>
      </c>
      <c r="O66">
        <v>-7.503586E-4</v>
      </c>
      <c r="P66">
        <v>0.97684780000000004</v>
      </c>
      <c r="Q66">
        <v>0.19652169999999999</v>
      </c>
      <c r="R66">
        <v>8.4543530000000006E-2</v>
      </c>
      <c r="S66">
        <v>3.0721129999999999</v>
      </c>
      <c r="T66">
        <v>-5.7913060000000004E-3</v>
      </c>
      <c r="U66">
        <v>-1.275635E-2</v>
      </c>
      <c r="V66">
        <v>-8.5266049999999996E-2</v>
      </c>
      <c r="W66">
        <v>0.2072485</v>
      </c>
      <c r="X66">
        <v>0.97456540000000003</v>
      </c>
      <c r="Y66">
        <v>3.4018590000000001E-3</v>
      </c>
      <c r="Z66" s="1">
        <v>-2.873134E-5</v>
      </c>
      <c r="AA66">
        <v>0.99999420000000006</v>
      </c>
      <c r="AB66">
        <v>3</v>
      </c>
      <c r="AC66">
        <v>316.64510000000001</v>
      </c>
      <c r="AD66">
        <v>-0.59656430000000005</v>
      </c>
      <c r="AE66">
        <v>-1.3149000000000199</v>
      </c>
      <c r="AF66">
        <v>1.0772840759475699</v>
      </c>
      <c r="AG66">
        <v>-0.59656430000000005</v>
      </c>
      <c r="AH66">
        <v>316.64487363748799</v>
      </c>
      <c r="AI66">
        <v>90.107945465683997</v>
      </c>
      <c r="AJ66">
        <v>89.805069976238897</v>
      </c>
      <c r="AK66">
        <v>316.64726815629598</v>
      </c>
      <c r="AL66">
        <v>78.038843888378395</v>
      </c>
      <c r="AM66">
        <v>95.000153191409495</v>
      </c>
      <c r="AN66">
        <v>0.99999997945600605</v>
      </c>
    </row>
    <row r="67" spans="1:40" x14ac:dyDescent="0.25">
      <c r="A67" t="str">
        <f>"20190304155313297"</f>
        <v>20190304155313297</v>
      </c>
      <c r="B67" t="str">
        <f>"1551685993285409"</f>
        <v>1551685993285409</v>
      </c>
      <c r="C67" t="s">
        <v>40</v>
      </c>
      <c r="D67">
        <v>4.2184609999999996</v>
      </c>
      <c r="E67">
        <v>0.53129700000000002</v>
      </c>
      <c r="F67" t="s">
        <v>41</v>
      </c>
      <c r="G67">
        <v>-158.19499999999999</v>
      </c>
      <c r="H67">
        <v>1.2928059999999999</v>
      </c>
      <c r="I67">
        <v>365.7724</v>
      </c>
      <c r="J67">
        <v>-474.80520000000001</v>
      </c>
      <c r="K67">
        <v>1.1100950000000001</v>
      </c>
      <c r="L67">
        <v>367.21620000000001</v>
      </c>
      <c r="M67">
        <v>0.99994810000000001</v>
      </c>
      <c r="N67">
        <v>-1.0157040000000001E-2</v>
      </c>
      <c r="O67">
        <v>-7.6741210000000001E-4</v>
      </c>
      <c r="P67">
        <v>0.97674070000000002</v>
      </c>
      <c r="Q67">
        <v>0.1972788</v>
      </c>
      <c r="R67">
        <v>8.4018560000000006E-2</v>
      </c>
      <c r="S67">
        <v>3.0719599999999998</v>
      </c>
      <c r="T67">
        <v>1.771927E-3</v>
      </c>
      <c r="U67">
        <v>-1.400757E-2</v>
      </c>
      <c r="V67">
        <v>-8.4756780000000004E-2</v>
      </c>
      <c r="W67">
        <v>0.2071934</v>
      </c>
      <c r="X67">
        <v>0.97462150000000003</v>
      </c>
      <c r="Y67">
        <v>3.7923760000000001E-3</v>
      </c>
      <c r="Z67" s="1">
        <v>-2.6403939999999999E-5</v>
      </c>
      <c r="AA67">
        <v>0.99999280000000002</v>
      </c>
      <c r="AB67">
        <v>4</v>
      </c>
      <c r="AC67">
        <v>316.61020000000002</v>
      </c>
      <c r="AD67">
        <v>0.18271099999999901</v>
      </c>
      <c r="AE67">
        <v>-1.44380000000001</v>
      </c>
      <c r="AF67">
        <v>1.2008161371873101</v>
      </c>
      <c r="AG67">
        <v>0.18271099999999901</v>
      </c>
      <c r="AH67">
        <v>316.61110936999501</v>
      </c>
      <c r="AI67">
        <v>89.966935801031795</v>
      </c>
      <c r="AJ67">
        <v>89.782694401107406</v>
      </c>
      <c r="AK67">
        <v>316.61343925866998</v>
      </c>
      <c r="AL67">
        <v>78.042070483241702</v>
      </c>
      <c r="AM67">
        <v>94.970154075035396</v>
      </c>
      <c r="AN67">
        <v>0.99999994251088697</v>
      </c>
    </row>
    <row r="68" spans="1:40" x14ac:dyDescent="0.25">
      <c r="A68" t="str">
        <f>"20190304155313319"</f>
        <v>20190304155313319</v>
      </c>
      <c r="B68" t="str">
        <f>"1551685993315666"</f>
        <v>1551685993315666</v>
      </c>
      <c r="C68" t="s">
        <v>40</v>
      </c>
      <c r="D68">
        <v>4.2833290000000002</v>
      </c>
      <c r="E68">
        <v>0.53144930000000001</v>
      </c>
      <c r="F68" t="s">
        <v>41</v>
      </c>
      <c r="G68">
        <v>-158.19499999999999</v>
      </c>
      <c r="H68">
        <v>1.6926669999999999</v>
      </c>
      <c r="I68">
        <v>365.53019999999998</v>
      </c>
      <c r="J68">
        <v>-474.77300000000002</v>
      </c>
      <c r="K68">
        <v>1.11043</v>
      </c>
      <c r="L68">
        <v>367.21609999999998</v>
      </c>
      <c r="M68">
        <v>0.99993940000000003</v>
      </c>
      <c r="N68">
        <v>-1.098419E-2</v>
      </c>
      <c r="O68">
        <v>-7.8155759999999999E-4</v>
      </c>
      <c r="P68">
        <v>0.97694720000000002</v>
      </c>
      <c r="Q68">
        <v>0.19648779999999999</v>
      </c>
      <c r="R68">
        <v>8.3465860000000003E-2</v>
      </c>
      <c r="S68">
        <v>3.0717159999999999</v>
      </c>
      <c r="T68">
        <v>5.6529049999999997E-3</v>
      </c>
      <c r="U68">
        <v>-1.6357420000000001E-2</v>
      </c>
      <c r="V68">
        <v>-8.4218769999999998E-2</v>
      </c>
      <c r="W68">
        <v>0.20721020000000001</v>
      </c>
      <c r="X68">
        <v>0.97466459999999999</v>
      </c>
      <c r="Y68">
        <v>4.543605E-3</v>
      </c>
      <c r="Z68" s="1">
        <v>-3.0797160000000001E-5</v>
      </c>
      <c r="AA68">
        <v>0.99998969999999998</v>
      </c>
      <c r="AB68">
        <v>4</v>
      </c>
      <c r="AC68">
        <v>316.57799999999997</v>
      </c>
      <c r="AD68">
        <v>0.58223699999999901</v>
      </c>
      <c r="AE68">
        <v>-1.6859</v>
      </c>
      <c r="AF68">
        <v>1.438455758483</v>
      </c>
      <c r="AG68">
        <v>0.58223699999999901</v>
      </c>
      <c r="AH68">
        <v>316.57815021165402</v>
      </c>
      <c r="AI68">
        <v>89.894625258316395</v>
      </c>
      <c r="AJ68">
        <v>89.739663407791397</v>
      </c>
      <c r="AK68">
        <v>316.581953601789</v>
      </c>
      <c r="AL68">
        <v>78.041086959741605</v>
      </c>
      <c r="AM68">
        <v>94.938544286208895</v>
      </c>
      <c r="AN68">
        <v>0.99999997534875595</v>
      </c>
    </row>
    <row r="69" spans="1:40" x14ac:dyDescent="0.25">
      <c r="A69" t="str">
        <f>"20190304155313342"</f>
        <v>20190304155313342</v>
      </c>
      <c r="B69" t="str">
        <f>"1551685993335186"</f>
        <v>1551685993335186</v>
      </c>
      <c r="C69" t="s">
        <v>40</v>
      </c>
      <c r="D69">
        <v>4.1653419999999999</v>
      </c>
      <c r="E69">
        <v>0.53146759999999904</v>
      </c>
      <c r="F69" t="s">
        <v>41</v>
      </c>
      <c r="G69">
        <v>-158.19499999999999</v>
      </c>
      <c r="H69">
        <v>1.4071990000000001</v>
      </c>
      <c r="I69">
        <v>365.23160000000001</v>
      </c>
      <c r="J69">
        <v>-474.7448</v>
      </c>
      <c r="K69">
        <v>1.1109639999999901</v>
      </c>
      <c r="L69">
        <v>367.21609999999998</v>
      </c>
      <c r="M69">
        <v>0.99991810000000003</v>
      </c>
      <c r="N69">
        <v>-1.27761E-2</v>
      </c>
      <c r="O69">
        <v>-7.9171699999999897E-4</v>
      </c>
      <c r="P69">
        <v>0.97742560000000001</v>
      </c>
      <c r="Q69">
        <v>0.19430639999999999</v>
      </c>
      <c r="R69">
        <v>8.2972099999999993E-2</v>
      </c>
      <c r="S69">
        <v>3.0718079999999999</v>
      </c>
      <c r="T69">
        <v>2.8804540000000002E-3</v>
      </c>
      <c r="U69">
        <v>-1.9256590000000001E-2</v>
      </c>
      <c r="V69">
        <v>-8.3737160000000005E-2</v>
      </c>
      <c r="W69">
        <v>0.20678099999999999</v>
      </c>
      <c r="X69">
        <v>0.97479720000000003</v>
      </c>
      <c r="Y69">
        <v>5.4770280000000001E-3</v>
      </c>
      <c r="Z69" s="1">
        <v>-4.3279029999999999E-5</v>
      </c>
      <c r="AA69">
        <v>0.99998500000000001</v>
      </c>
      <c r="AB69">
        <v>4</v>
      </c>
      <c r="AC69">
        <v>316.5498</v>
      </c>
      <c r="AD69">
        <v>0.29623500000000003</v>
      </c>
      <c r="AE69">
        <v>-1.98449999999996</v>
      </c>
      <c r="AF69">
        <v>1.7338595528173499</v>
      </c>
      <c r="AG69">
        <v>0.29623500000000003</v>
      </c>
      <c r="AH69">
        <v>316.55099485109997</v>
      </c>
      <c r="AI69">
        <v>89.946382238676094</v>
      </c>
      <c r="AJ69">
        <v>89.686174288483301</v>
      </c>
      <c r="AK69">
        <v>316.55588189977601</v>
      </c>
      <c r="AL69">
        <v>78.066222244254405</v>
      </c>
      <c r="AM69">
        <v>94.909776716762906</v>
      </c>
      <c r="AN69">
        <v>0.99999993752685001</v>
      </c>
    </row>
    <row r="70" spans="1:40" x14ac:dyDescent="0.25">
      <c r="A70" t="str">
        <f>"20190304155313363"</f>
        <v>20190304155313363</v>
      </c>
      <c r="B70" t="str">
        <f>"1551685993355682"</f>
        <v>1551685993355682</v>
      </c>
      <c r="C70" t="s">
        <v>40</v>
      </c>
      <c r="D70">
        <v>4.1653539999999998</v>
      </c>
      <c r="E70">
        <v>0.5316613</v>
      </c>
      <c r="F70" t="s">
        <v>41</v>
      </c>
      <c r="G70">
        <v>-158.19499999999999</v>
      </c>
      <c r="H70">
        <v>0.57697080000000001</v>
      </c>
      <c r="I70">
        <v>365.02440000000001</v>
      </c>
      <c r="J70">
        <v>-474.72160000000002</v>
      </c>
      <c r="K70">
        <v>1.1113299999999999</v>
      </c>
      <c r="L70">
        <v>367.21600000000001</v>
      </c>
      <c r="M70">
        <v>0.99989709999999998</v>
      </c>
      <c r="N70">
        <v>-1.43301E-2</v>
      </c>
      <c r="O70">
        <v>-7.9936199999999997E-4</v>
      </c>
      <c r="P70">
        <v>0.97794389999999998</v>
      </c>
      <c r="Q70">
        <v>0.1919035</v>
      </c>
      <c r="R70">
        <v>8.2455070000000005E-2</v>
      </c>
      <c r="S70">
        <v>3.0721129999999999</v>
      </c>
      <c r="T70">
        <v>-5.1815510000000004E-3</v>
      </c>
      <c r="U70">
        <v>-2.1270750000000001E-2</v>
      </c>
      <c r="V70">
        <v>-8.3229570000000003E-2</v>
      </c>
      <c r="W70">
        <v>0.20589969999999999</v>
      </c>
      <c r="X70">
        <v>0.97502730000000004</v>
      </c>
      <c r="Y70">
        <v>6.1242069999999996E-3</v>
      </c>
      <c r="Z70" s="1">
        <v>-5.9155160000000003E-5</v>
      </c>
      <c r="AA70">
        <v>0.99998120000000001</v>
      </c>
      <c r="AB70">
        <v>3</v>
      </c>
      <c r="AC70">
        <v>316.52659999999997</v>
      </c>
      <c r="AD70">
        <v>-0.53435919999999903</v>
      </c>
      <c r="AE70">
        <v>-2.19159999999999</v>
      </c>
      <c r="AF70">
        <v>1.9385484815113301</v>
      </c>
      <c r="AG70">
        <v>-0.53435919999999903</v>
      </c>
      <c r="AH70">
        <v>316.52734885130599</v>
      </c>
      <c r="AI70">
        <v>90.096724418145001</v>
      </c>
      <c r="AJ70">
        <v>89.649100597136496</v>
      </c>
      <c r="AK70">
        <v>316.53373608638702</v>
      </c>
      <c r="AL70">
        <v>78.117828808321804</v>
      </c>
      <c r="AM70">
        <v>94.879013139534493</v>
      </c>
      <c r="AN70">
        <v>1.0000000417638799</v>
      </c>
    </row>
    <row r="71" spans="1:40" x14ac:dyDescent="0.25">
      <c r="A71" t="str">
        <f>"20190304155313385"</f>
        <v>20190304155313385</v>
      </c>
      <c r="B71" t="str">
        <f>"1551685993375204"</f>
        <v>1551685993375204</v>
      </c>
      <c r="C71" t="s">
        <v>40</v>
      </c>
      <c r="D71">
        <v>4.2188790000000003</v>
      </c>
      <c r="E71">
        <v>0.53185550000000004</v>
      </c>
      <c r="F71" t="s">
        <v>45</v>
      </c>
      <c r="G71">
        <v>-181.19399999999999</v>
      </c>
      <c r="H71" s="1">
        <v>-7.8697050000000006E-6</v>
      </c>
      <c r="I71">
        <v>364.95609999999999</v>
      </c>
      <c r="J71">
        <v>-474.69029999999998</v>
      </c>
      <c r="K71">
        <v>1.1109579999999999</v>
      </c>
      <c r="L71">
        <v>367.21600000000001</v>
      </c>
      <c r="M71">
        <v>0.9999093</v>
      </c>
      <c r="N71">
        <v>-1.345521E-2</v>
      </c>
      <c r="O71">
        <v>-8.1081960000000005E-4</v>
      </c>
      <c r="P71">
        <v>0.97809919999999995</v>
      </c>
      <c r="Q71">
        <v>0.191357</v>
      </c>
      <c r="R71">
        <v>8.1882529999999995E-2</v>
      </c>
      <c r="S71">
        <v>3.07193</v>
      </c>
      <c r="T71">
        <v>-1.163077E-2</v>
      </c>
      <c r="U71">
        <v>-2.3651120000000001E-2</v>
      </c>
      <c r="V71">
        <v>-8.2667539999999998E-2</v>
      </c>
      <c r="W71">
        <v>0.20450289999999999</v>
      </c>
      <c r="X71">
        <v>0.97536900000000004</v>
      </c>
      <c r="Y71">
        <v>6.8878230000000004E-3</v>
      </c>
      <c r="Z71" s="1">
        <v>-6.7221369999999998E-5</v>
      </c>
      <c r="AA71">
        <v>0.99997630000000004</v>
      </c>
      <c r="AB71">
        <v>2</v>
      </c>
      <c r="AC71">
        <v>293.49630000000002</v>
      </c>
      <c r="AD71">
        <v>-1.110965869705</v>
      </c>
      <c r="AE71">
        <v>-2.2599000000000098</v>
      </c>
      <c r="AF71">
        <v>2.0218762281825402</v>
      </c>
      <c r="AG71">
        <v>-1.110965869705</v>
      </c>
      <c r="AH71">
        <v>293.493831010024</v>
      </c>
      <c r="AI71">
        <v>90.216876248846802</v>
      </c>
      <c r="AJ71">
        <v>89.605296160302302</v>
      </c>
      <c r="AK71">
        <v>293.50289788958798</v>
      </c>
      <c r="AL71">
        <v>78.199599424289602</v>
      </c>
      <c r="AM71">
        <v>94.844534047294502</v>
      </c>
      <c r="AN71">
        <v>1.00000002221953</v>
      </c>
    </row>
    <row r="72" spans="1:40" x14ac:dyDescent="0.25">
      <c r="A72" t="str">
        <f>"20190304155313409"</f>
        <v>20190304155313409</v>
      </c>
      <c r="B72" t="str">
        <f>"1551685993405458"</f>
        <v>1551685993405458</v>
      </c>
      <c r="C72" t="s">
        <v>40</v>
      </c>
      <c r="D72">
        <v>4.1865329999999998</v>
      </c>
      <c r="E72">
        <v>0.53208279999999997</v>
      </c>
      <c r="F72" t="s">
        <v>45</v>
      </c>
      <c r="G72">
        <v>-180</v>
      </c>
      <c r="H72">
        <v>6.3378189999999997E-3</v>
      </c>
      <c r="I72">
        <v>364.64530000000002</v>
      </c>
      <c r="J72">
        <v>-474.65309999999999</v>
      </c>
      <c r="K72">
        <v>1.1103889999999901</v>
      </c>
      <c r="L72">
        <v>367.21600000000001</v>
      </c>
      <c r="M72">
        <v>0.99993299999999996</v>
      </c>
      <c r="N72">
        <v>-1.154903E-2</v>
      </c>
      <c r="O72">
        <v>-8.2775600000000002E-4</v>
      </c>
      <c r="P72">
        <v>0.97819160000000005</v>
      </c>
      <c r="Q72">
        <v>0.1911226</v>
      </c>
      <c r="R72">
        <v>8.1323270000000003E-2</v>
      </c>
      <c r="S72">
        <v>3.071625</v>
      </c>
      <c r="T72">
        <v>-1.151371E-2</v>
      </c>
      <c r="U72">
        <v>-2.6794430000000001E-2</v>
      </c>
      <c r="V72">
        <v>-8.2124020000000006E-2</v>
      </c>
      <c r="W72">
        <v>0.2024099</v>
      </c>
      <c r="X72">
        <v>0.97585140000000004</v>
      </c>
      <c r="Y72">
        <v>7.8948990000000004E-3</v>
      </c>
      <c r="Z72" s="1">
        <v>-6.6845850000000006E-5</v>
      </c>
      <c r="AA72">
        <v>0.99996879999999999</v>
      </c>
      <c r="AB72">
        <v>3</v>
      </c>
      <c r="AC72">
        <v>294.65309999999999</v>
      </c>
      <c r="AD72">
        <v>-1.10405118099999</v>
      </c>
      <c r="AE72">
        <v>-2.57069999999998</v>
      </c>
      <c r="AF72">
        <v>2.3267493245965398</v>
      </c>
      <c r="AG72">
        <v>-1.10405118099999</v>
      </c>
      <c r="AH72">
        <v>294.65099061261401</v>
      </c>
      <c r="AI72">
        <v>90.214678405532993</v>
      </c>
      <c r="AJ72">
        <v>89.547565935126698</v>
      </c>
      <c r="AK72">
        <v>294.662245563331</v>
      </c>
      <c r="AL72">
        <v>78.322081538532899</v>
      </c>
      <c r="AM72">
        <v>94.810464467082099</v>
      </c>
      <c r="AN72">
        <v>1.0000000385804599</v>
      </c>
    </row>
    <row r="73" spans="1:40" x14ac:dyDescent="0.25">
      <c r="A73" t="str">
        <f>"20190304155313430"</f>
        <v>20190304155313430</v>
      </c>
      <c r="B73" t="str">
        <f>"1551685993425954"</f>
        <v>1551685993425954</v>
      </c>
      <c r="C73" t="s">
        <v>40</v>
      </c>
      <c r="D73">
        <v>4.2105480000000002</v>
      </c>
      <c r="E73">
        <v>0.53222239999999998</v>
      </c>
      <c r="F73" t="s">
        <v>41</v>
      </c>
      <c r="G73">
        <v>-158.19499999999999</v>
      </c>
      <c r="H73">
        <v>0.133215</v>
      </c>
      <c r="I73">
        <v>364.13440000000003</v>
      </c>
      <c r="J73">
        <v>-474.61759999999998</v>
      </c>
      <c r="K73">
        <v>1.1100969999999999</v>
      </c>
      <c r="L73">
        <v>367.21589999999998</v>
      </c>
      <c r="M73">
        <v>0.99994640000000001</v>
      </c>
      <c r="N73">
        <v>-1.0337860000000001E-2</v>
      </c>
      <c r="O73">
        <v>-8.4580359999999999E-4</v>
      </c>
      <c r="P73">
        <v>0.97834779999999999</v>
      </c>
      <c r="Q73">
        <v>0.19040489999999999</v>
      </c>
      <c r="R73">
        <v>8.1129389999999996E-2</v>
      </c>
      <c r="S73">
        <v>3.0712280000000001</v>
      </c>
      <c r="T73">
        <v>-9.4826219999999996E-3</v>
      </c>
      <c r="U73">
        <v>-2.990723E-2</v>
      </c>
      <c r="V73">
        <v>-8.1947279999999997E-2</v>
      </c>
      <c r="W73">
        <v>0.20051179999999999</v>
      </c>
      <c r="X73">
        <v>0.97625799999999996</v>
      </c>
      <c r="Y73">
        <v>8.8914370000000003E-3</v>
      </c>
      <c r="Z73" s="1">
        <v>-6.5820570000000003E-5</v>
      </c>
      <c r="AA73">
        <v>0.99996050000000003</v>
      </c>
      <c r="AB73">
        <v>4</v>
      </c>
      <c r="AC73">
        <v>316.42259999999999</v>
      </c>
      <c r="AD73">
        <v>-0.97688200000000003</v>
      </c>
      <c r="AE73">
        <v>-3.0814999999999402</v>
      </c>
      <c r="AF73">
        <v>2.8138264566869702</v>
      </c>
      <c r="AG73">
        <v>-0.97688200000000003</v>
      </c>
      <c r="AH73">
        <v>316.42207768119101</v>
      </c>
      <c r="AI73">
        <v>90.1768802775929</v>
      </c>
      <c r="AJ73">
        <v>89.490502900685598</v>
      </c>
      <c r="AK73">
        <v>316.43609649003702</v>
      </c>
      <c r="AL73">
        <v>78.433110832683596</v>
      </c>
      <c r="AM73">
        <v>94.798170365755993</v>
      </c>
      <c r="AN73">
        <v>1.0000000106013101</v>
      </c>
    </row>
    <row r="74" spans="1:40" x14ac:dyDescent="0.25">
      <c r="A74" t="str">
        <f>"20190304155313455"</f>
        <v>20190304155313455</v>
      </c>
      <c r="B74" t="str">
        <f>"1551685993445473"</f>
        <v>1551685993445473</v>
      </c>
      <c r="C74" t="s">
        <v>40</v>
      </c>
      <c r="D74">
        <v>4.1984589999999997</v>
      </c>
      <c r="E74">
        <v>0.53233350000000002</v>
      </c>
      <c r="F74" t="s">
        <v>41</v>
      </c>
      <c r="G74">
        <v>-158.19499999999999</v>
      </c>
      <c r="H74">
        <v>0.1740756</v>
      </c>
      <c r="I74">
        <v>363.93610000000001</v>
      </c>
      <c r="J74">
        <v>-474.58100000000002</v>
      </c>
      <c r="K74">
        <v>1.110309</v>
      </c>
      <c r="L74">
        <v>367.21589999999998</v>
      </c>
      <c r="M74">
        <v>0.999942</v>
      </c>
      <c r="N74">
        <v>-1.073087E-2</v>
      </c>
      <c r="O74">
        <v>-8.6229630000000002E-4</v>
      </c>
      <c r="P74">
        <v>0.97882999999999998</v>
      </c>
      <c r="Q74">
        <v>0.188166</v>
      </c>
      <c r="R74">
        <v>8.0532519999999996E-2</v>
      </c>
      <c r="S74">
        <v>3.07077</v>
      </c>
      <c r="T74">
        <v>-9.0829129999999998E-3</v>
      </c>
      <c r="U74">
        <v>-3.1829830000000003E-2</v>
      </c>
      <c r="V74">
        <v>-8.1367320000000007E-2</v>
      </c>
      <c r="W74">
        <v>0.19866239999999999</v>
      </c>
      <c r="X74">
        <v>0.97668449999999996</v>
      </c>
      <c r="Y74">
        <v>9.5023980000000004E-3</v>
      </c>
      <c r="Z74" s="1">
        <v>-7.1743649999999999E-5</v>
      </c>
      <c r="AA74">
        <v>0.99995480000000003</v>
      </c>
      <c r="AB74">
        <v>4</v>
      </c>
      <c r="AC74">
        <v>316.38600000000002</v>
      </c>
      <c r="AD74">
        <v>-0.93623339999999999</v>
      </c>
      <c r="AE74">
        <v>-3.2797999999999599</v>
      </c>
      <c r="AF74">
        <v>3.0069382527683901</v>
      </c>
      <c r="AG74">
        <v>-0.93623339999999999</v>
      </c>
      <c r="AH74">
        <v>316.38594052746498</v>
      </c>
      <c r="AI74">
        <v>90.169538644251205</v>
      </c>
      <c r="AJ74">
        <v>89.455476169883994</v>
      </c>
      <c r="AK74">
        <v>316.40161436706302</v>
      </c>
      <c r="AL74">
        <v>78.541249293451699</v>
      </c>
      <c r="AM74">
        <v>94.762298527473106</v>
      </c>
      <c r="AN74">
        <v>1.00000000123899</v>
      </c>
    </row>
    <row r="75" spans="1:40" x14ac:dyDescent="0.25">
      <c r="A75" t="str">
        <f>"20190304155313477"</f>
        <v>20190304155313477</v>
      </c>
      <c r="B75" t="str">
        <f>"1551685993465970"</f>
        <v>1551685993465970</v>
      </c>
      <c r="C75" t="s">
        <v>40</v>
      </c>
      <c r="D75">
        <v>4.1595449999999996</v>
      </c>
      <c r="E75">
        <v>0.55105630000000005</v>
      </c>
      <c r="F75" t="s">
        <v>46</v>
      </c>
      <c r="G75">
        <v>-230.7842</v>
      </c>
      <c r="H75" s="1">
        <v>-4.843948E-6</v>
      </c>
      <c r="I75">
        <v>364.49700000000001</v>
      </c>
      <c r="J75">
        <v>-474.55200000000002</v>
      </c>
      <c r="K75">
        <v>1.1108009999999999</v>
      </c>
      <c r="L75">
        <v>367.2158</v>
      </c>
      <c r="M75">
        <v>0.99992349999999997</v>
      </c>
      <c r="N75">
        <v>-1.235603E-2</v>
      </c>
      <c r="O75">
        <v>-8.7369279999999997E-4</v>
      </c>
      <c r="P75">
        <v>0.97940769999999999</v>
      </c>
      <c r="Q75">
        <v>0.1853428</v>
      </c>
      <c r="R75">
        <v>8.0056450000000001E-2</v>
      </c>
      <c r="S75">
        <v>3.0703429999999998</v>
      </c>
      <c r="T75">
        <v>-1.398313E-2</v>
      </c>
      <c r="U75">
        <v>-3.4240720000000002E-2</v>
      </c>
      <c r="V75">
        <v>-8.0903929999999999E-2</v>
      </c>
      <c r="W75">
        <v>0.19743269999999999</v>
      </c>
      <c r="X75">
        <v>0.97697230000000002</v>
      </c>
      <c r="Y75">
        <v>1.027731E-2</v>
      </c>
      <c r="Z75" s="1">
        <v>-9.371762E-5</v>
      </c>
      <c r="AA75">
        <v>0.99994720000000004</v>
      </c>
      <c r="AB75">
        <v>4</v>
      </c>
      <c r="AC75">
        <v>243.76779999999999</v>
      </c>
      <c r="AD75">
        <v>-1.110805843948</v>
      </c>
      <c r="AE75">
        <v>-2.7188000000000399</v>
      </c>
      <c r="AF75">
        <v>2.5057525531702098</v>
      </c>
      <c r="AG75">
        <v>-1.110805843948</v>
      </c>
      <c r="AH75">
        <v>243.765021469505</v>
      </c>
      <c r="AI75">
        <v>90.261073896620104</v>
      </c>
      <c r="AJ75">
        <v>89.411055825456302</v>
      </c>
      <c r="AK75">
        <v>243.78043066970901</v>
      </c>
      <c r="AL75">
        <v>78.613129634775206</v>
      </c>
      <c r="AM75">
        <v>94.733912137345996</v>
      </c>
      <c r="AN75">
        <v>0.99999999594301203</v>
      </c>
    </row>
    <row r="76" spans="1:40" x14ac:dyDescent="0.25">
      <c r="A76" t="str">
        <f>"20190304155313500"</f>
        <v>20190304155313500</v>
      </c>
      <c r="B76" t="str">
        <f>"1551685993495250"</f>
        <v>1551685993495250</v>
      </c>
      <c r="C76" t="s">
        <v>40</v>
      </c>
      <c r="D76">
        <v>4.2242579999999998</v>
      </c>
      <c r="E76">
        <v>0.55252139999999905</v>
      </c>
      <c r="F76" t="s">
        <v>47</v>
      </c>
      <c r="G76">
        <v>-419.67750000000001</v>
      </c>
      <c r="H76">
        <v>-0.05</v>
      </c>
      <c r="I76">
        <v>363.91329999999999</v>
      </c>
      <c r="J76">
        <v>-474.52629999999999</v>
      </c>
      <c r="K76">
        <v>1.1112709999999999</v>
      </c>
      <c r="L76">
        <v>367.2158</v>
      </c>
      <c r="M76">
        <v>0.99989839999999997</v>
      </c>
      <c r="N76">
        <v>-1.422997E-2</v>
      </c>
      <c r="O76">
        <v>-8.817098E-4</v>
      </c>
      <c r="P76">
        <v>0.98013499999999998</v>
      </c>
      <c r="Q76">
        <v>0.18174409999999999</v>
      </c>
      <c r="R76">
        <v>7.9401509999999995E-2</v>
      </c>
      <c r="S76">
        <v>3.0906370000000001</v>
      </c>
      <c r="T76">
        <v>-6.5378549999999994E-2</v>
      </c>
      <c r="U76">
        <v>-0.18600459999999999</v>
      </c>
      <c r="V76">
        <v>-8.0259140000000007E-2</v>
      </c>
      <c r="W76">
        <v>0.19567480000000001</v>
      </c>
      <c r="X76">
        <v>0.97737909999999995</v>
      </c>
      <c r="Y76">
        <v>5.9172269999999999E-2</v>
      </c>
      <c r="Z76">
        <v>-1.0406160000000001E-3</v>
      </c>
      <c r="AA76">
        <v>0.99824729999999995</v>
      </c>
      <c r="AB76">
        <v>3</v>
      </c>
      <c r="AC76">
        <v>54.848799999999898</v>
      </c>
      <c r="AD76">
        <v>-1.1612709999999999</v>
      </c>
      <c r="AE76">
        <v>-3.3025000000000002</v>
      </c>
      <c r="AF76">
        <v>3.2526803070452401</v>
      </c>
      <c r="AG76">
        <v>-1.1612709999999999</v>
      </c>
      <c r="AH76">
        <v>54.827202588939102</v>
      </c>
      <c r="AI76">
        <v>91.211246393620499</v>
      </c>
      <c r="AJ76">
        <v>86.604848257930001</v>
      </c>
      <c r="AK76">
        <v>54.935877377574002</v>
      </c>
      <c r="AL76">
        <v>78.715854135817096</v>
      </c>
      <c r="AM76">
        <v>94.694407173522606</v>
      </c>
      <c r="AN76">
        <v>1.00000003101269</v>
      </c>
    </row>
    <row r="77" spans="1:40" x14ac:dyDescent="0.25">
      <c r="A77" t="str">
        <f>"20190304155313520"</f>
        <v>20190304155313520</v>
      </c>
      <c r="B77" t="str">
        <f>"1551685993515746"</f>
        <v>1551685993515746</v>
      </c>
      <c r="C77" t="s">
        <v>40</v>
      </c>
      <c r="D77">
        <v>4.3047879999999896</v>
      </c>
      <c r="E77">
        <v>0.55447849999999999</v>
      </c>
      <c r="F77" t="s">
        <v>46</v>
      </c>
      <c r="G77">
        <v>-447.03440000000001</v>
      </c>
      <c r="H77" s="1">
        <v>-2.2369440000000001E-6</v>
      </c>
      <c r="I77">
        <v>365.43</v>
      </c>
      <c r="J77">
        <v>-474.4982</v>
      </c>
      <c r="K77">
        <v>1.1110469999999999</v>
      </c>
      <c r="L77">
        <v>367.21570000000003</v>
      </c>
      <c r="M77">
        <v>0.99990420000000002</v>
      </c>
      <c r="N77">
        <v>-1.381725E-2</v>
      </c>
      <c r="O77">
        <v>-8.9086880000000001E-4</v>
      </c>
      <c r="P77">
        <v>0.98036469999999998</v>
      </c>
      <c r="Q77">
        <v>0.18075579999999999</v>
      </c>
      <c r="R77">
        <v>7.882132E-2</v>
      </c>
      <c r="S77">
        <v>3.1003720000000001</v>
      </c>
      <c r="T77">
        <v>-0.1253223</v>
      </c>
      <c r="U77">
        <v>-0.2013855</v>
      </c>
      <c r="V77">
        <v>-7.9687789999999994E-2</v>
      </c>
      <c r="W77">
        <v>0.19428619999999999</v>
      </c>
      <c r="X77">
        <v>0.97770279999999998</v>
      </c>
      <c r="Y77">
        <v>6.3860109999999998E-2</v>
      </c>
      <c r="Z77">
        <v>-1.7070329999999999E-3</v>
      </c>
      <c r="AA77">
        <v>0.99795739999999999</v>
      </c>
      <c r="AB77">
        <v>3</v>
      </c>
      <c r="AC77">
        <v>27.4637999999999</v>
      </c>
      <c r="AD77">
        <v>-1.1110492369439999</v>
      </c>
      <c r="AE77">
        <v>-1.7857000000000101</v>
      </c>
      <c r="AF77">
        <v>1.75836467090537</v>
      </c>
      <c r="AG77">
        <v>-1.1110492369439999</v>
      </c>
      <c r="AH77">
        <v>27.420692005180001</v>
      </c>
      <c r="AI77">
        <v>92.315527290213396</v>
      </c>
      <c r="AJ77">
        <v>86.330905096665006</v>
      </c>
      <c r="AK77">
        <v>27.4994659360094</v>
      </c>
      <c r="AL77">
        <v>78.796971799814003</v>
      </c>
      <c r="AM77">
        <v>94.659599908723806</v>
      </c>
      <c r="AN77">
        <v>1.0000000182566799</v>
      </c>
    </row>
    <row r="78" spans="1:40" x14ac:dyDescent="0.25">
      <c r="A78" t="str">
        <f>"20190304155313544"</f>
        <v>20190304155313544</v>
      </c>
      <c r="B78" t="str">
        <f>"1551685993535268"</f>
        <v>1551685993535268</v>
      </c>
      <c r="C78" t="s">
        <v>40</v>
      </c>
      <c r="D78">
        <v>4.2312529999999997</v>
      </c>
      <c r="E78">
        <v>0.55513669999999904</v>
      </c>
      <c r="F78" t="s">
        <v>46</v>
      </c>
      <c r="G78">
        <v>-449.43880000000001</v>
      </c>
      <c r="H78" s="1">
        <v>-1.3092000000000001E-6</v>
      </c>
      <c r="I78">
        <v>365.44650000000001</v>
      </c>
      <c r="J78">
        <v>-474.46350000000001</v>
      </c>
      <c r="K78">
        <v>1.110479</v>
      </c>
      <c r="L78">
        <v>367.21570000000003</v>
      </c>
      <c r="M78">
        <v>0.99992749999999997</v>
      </c>
      <c r="N78">
        <v>-1.201673E-2</v>
      </c>
      <c r="O78">
        <v>-9.0559780000000001E-4</v>
      </c>
      <c r="P78">
        <v>0.98024900000000004</v>
      </c>
      <c r="Q78">
        <v>0.1816508</v>
      </c>
      <c r="R78">
        <v>7.8198450000000003E-2</v>
      </c>
      <c r="S78">
        <v>3.1030579999999999</v>
      </c>
      <c r="T78">
        <v>-0.13757929999999999</v>
      </c>
      <c r="U78">
        <v>-0.21908569999999999</v>
      </c>
      <c r="V78">
        <v>-7.9077800000000004E-2</v>
      </c>
      <c r="W78">
        <v>0.19341939999999999</v>
      </c>
      <c r="X78">
        <v>0.97792420000000002</v>
      </c>
      <c r="Y78">
        <v>6.9438520000000004E-2</v>
      </c>
      <c r="Z78">
        <v>-1.9254610000000001E-3</v>
      </c>
      <c r="AA78">
        <v>0.99758440000000004</v>
      </c>
      <c r="AB78">
        <v>2</v>
      </c>
      <c r="AC78">
        <v>25.024699999999999</v>
      </c>
      <c r="AD78">
        <v>-1.1104803092</v>
      </c>
      <c r="AE78">
        <v>-1.7692000000000101</v>
      </c>
      <c r="AF78">
        <v>1.7431198930823599</v>
      </c>
      <c r="AG78">
        <v>-1.1104803092</v>
      </c>
      <c r="AH78">
        <v>24.977351912651201</v>
      </c>
      <c r="AI78">
        <v>92.539496171774502</v>
      </c>
      <c r="AJ78">
        <v>86.0079136691717</v>
      </c>
      <c r="AK78">
        <v>25.062716174572898</v>
      </c>
      <c r="AL78">
        <v>78.847596472867494</v>
      </c>
      <c r="AM78">
        <v>94.623044768163695</v>
      </c>
      <c r="AN78">
        <v>1.0000000518474099</v>
      </c>
    </row>
    <row r="79" spans="1:40" x14ac:dyDescent="0.25">
      <c r="A79" t="str">
        <f>"20190304155313564"</f>
        <v>20190304155313564</v>
      </c>
      <c r="B79" t="str">
        <f>"1551685993555762"</f>
        <v>1551685993555762</v>
      </c>
      <c r="C79" t="s">
        <v>40</v>
      </c>
      <c r="D79">
        <v>4.290108</v>
      </c>
      <c r="E79">
        <v>0.5543498</v>
      </c>
      <c r="F79" t="s">
        <v>46</v>
      </c>
      <c r="G79">
        <v>-448.99990000000003</v>
      </c>
      <c r="H79" s="1">
        <v>-1.5009300000000001E-6</v>
      </c>
      <c r="I79">
        <v>365.35930000000002</v>
      </c>
      <c r="J79">
        <v>-474.42689999999999</v>
      </c>
      <c r="K79">
        <v>1.110088</v>
      </c>
      <c r="L79">
        <v>367.21559999999999</v>
      </c>
      <c r="M79">
        <v>0.99994470000000002</v>
      </c>
      <c r="N79">
        <v>-1.047404E-2</v>
      </c>
      <c r="O79">
        <v>-9.2339210000000002E-4</v>
      </c>
      <c r="P79">
        <v>0.98014900000000005</v>
      </c>
      <c r="Q79">
        <v>0.18251539999999999</v>
      </c>
      <c r="R79">
        <v>7.7437130000000007E-2</v>
      </c>
      <c r="S79">
        <v>3.1035460000000001</v>
      </c>
      <c r="T79">
        <v>-0.13534740000000001</v>
      </c>
      <c r="U79">
        <v>-0.22625729999999999</v>
      </c>
      <c r="V79">
        <v>-7.8333420000000001E-2</v>
      </c>
      <c r="W79">
        <v>0.19277469999999999</v>
      </c>
      <c r="X79">
        <v>0.97811130000000002</v>
      </c>
      <c r="Y79">
        <v>7.1705199999999997E-2</v>
      </c>
      <c r="Z79">
        <v>-1.9064500000000001E-3</v>
      </c>
      <c r="AA79">
        <v>0.99742410000000004</v>
      </c>
      <c r="AB79">
        <v>4</v>
      </c>
      <c r="AC79">
        <v>25.4269999999999</v>
      </c>
      <c r="AD79">
        <v>-1.11008950093</v>
      </c>
      <c r="AE79">
        <v>-1.8562999999999701</v>
      </c>
      <c r="AF79">
        <v>1.82935054916361</v>
      </c>
      <c r="AG79">
        <v>-1.11008950093</v>
      </c>
      <c r="AH79">
        <v>25.380584098013799</v>
      </c>
      <c r="AI79">
        <v>92.497920237302694</v>
      </c>
      <c r="AJ79">
        <v>85.877434347933203</v>
      </c>
      <c r="AK79">
        <v>25.470627618654198</v>
      </c>
      <c r="AL79">
        <v>78.885242585537597</v>
      </c>
      <c r="AM79">
        <v>94.5788405187824</v>
      </c>
      <c r="AN79">
        <v>0.999999962418337</v>
      </c>
    </row>
    <row r="80" spans="1:40" x14ac:dyDescent="0.25">
      <c r="A80" t="str">
        <f>"20190304155313586"</f>
        <v>20190304155313586</v>
      </c>
      <c r="B80" t="str">
        <f>"1551685993575282"</f>
        <v>1551685993575282</v>
      </c>
      <c r="C80" t="s">
        <v>40</v>
      </c>
      <c r="D80">
        <v>4.2958619999999996</v>
      </c>
      <c r="E80">
        <v>0.55299200000000004</v>
      </c>
      <c r="F80" t="s">
        <v>46</v>
      </c>
      <c r="G80">
        <v>-450.04410000000001</v>
      </c>
      <c r="H80" s="1">
        <v>-4.9894949999999999E-6</v>
      </c>
      <c r="I80">
        <v>365.4665</v>
      </c>
      <c r="J80">
        <v>-474.39139999999998</v>
      </c>
      <c r="K80">
        <v>1.110155</v>
      </c>
      <c r="L80">
        <v>367.21559999999999</v>
      </c>
      <c r="M80">
        <v>0.999946</v>
      </c>
      <c r="N80">
        <v>-1.0349799999999999E-2</v>
      </c>
      <c r="O80">
        <v>-9.3979399999999998E-4</v>
      </c>
      <c r="P80">
        <v>0.98037799999999997</v>
      </c>
      <c r="Q80">
        <v>0.18181720000000001</v>
      </c>
      <c r="R80">
        <v>7.6167609999999997E-2</v>
      </c>
      <c r="S80">
        <v>3.1047060000000002</v>
      </c>
      <c r="T80">
        <v>-0.14134920000000001</v>
      </c>
      <c r="U80">
        <v>-0.22271730000000001</v>
      </c>
      <c r="V80">
        <v>-7.707965E-2</v>
      </c>
      <c r="W80">
        <v>0.19195719999999999</v>
      </c>
      <c r="X80">
        <v>0.97837169999999896</v>
      </c>
      <c r="Y80">
        <v>7.0525359999999995E-2</v>
      </c>
      <c r="Z80">
        <v>-1.935204E-3</v>
      </c>
      <c r="AA80">
        <v>0.99750810000000001</v>
      </c>
      <c r="AB80">
        <v>4</v>
      </c>
      <c r="AC80">
        <v>24.347299999999901</v>
      </c>
      <c r="AD80">
        <v>-1.1101599894950001</v>
      </c>
      <c r="AE80">
        <v>-1.7490999999999901</v>
      </c>
      <c r="AF80">
        <v>1.7226534240584701</v>
      </c>
      <c r="AG80">
        <v>-1.1101599894950001</v>
      </c>
      <c r="AH80">
        <v>24.298673821009402</v>
      </c>
      <c r="AI80">
        <v>92.609375392376904</v>
      </c>
      <c r="AJ80">
        <v>85.944803055462003</v>
      </c>
      <c r="AK80">
        <v>24.384944934969699</v>
      </c>
      <c r="AL80">
        <v>78.932973890459806</v>
      </c>
      <c r="AM80">
        <v>94.504663530020494</v>
      </c>
      <c r="AN80">
        <v>1.00000001121842</v>
      </c>
    </row>
    <row r="81" spans="1:40" x14ac:dyDescent="0.25">
      <c r="A81" t="str">
        <f>"20190304155313608"</f>
        <v>20190304155313608</v>
      </c>
      <c r="B81" t="str">
        <f>"1551685993605538"</f>
        <v>1551685993605538</v>
      </c>
      <c r="C81" t="s">
        <v>40</v>
      </c>
      <c r="D81">
        <v>4.5253509999999997</v>
      </c>
      <c r="E81">
        <v>0.55132150000000002</v>
      </c>
      <c r="F81" t="s">
        <v>46</v>
      </c>
      <c r="G81">
        <v>-450.68560000000002</v>
      </c>
      <c r="H81" s="1">
        <v>-4.6959229999999998E-6</v>
      </c>
      <c r="I81">
        <v>365.56990000000002</v>
      </c>
      <c r="J81">
        <v>-474.3623</v>
      </c>
      <c r="K81">
        <v>1.110595</v>
      </c>
      <c r="L81">
        <v>367.21550000000002</v>
      </c>
      <c r="M81">
        <v>0.99993160000000003</v>
      </c>
      <c r="N81">
        <v>-1.166823E-2</v>
      </c>
      <c r="O81">
        <v>-9.5133770000000004E-4</v>
      </c>
      <c r="P81">
        <v>0.98085580000000006</v>
      </c>
      <c r="Q81">
        <v>0.1795532</v>
      </c>
      <c r="R81">
        <v>7.5383420000000007E-2</v>
      </c>
      <c r="S81">
        <v>3.103729</v>
      </c>
      <c r="T81">
        <v>-0.1453496</v>
      </c>
      <c r="U81">
        <v>-0.21545410000000001</v>
      </c>
      <c r="V81">
        <v>-7.6308699999999993E-2</v>
      </c>
      <c r="W81">
        <v>0.1909884</v>
      </c>
      <c r="X81">
        <v>0.97862170000000004</v>
      </c>
      <c r="Y81">
        <v>6.820959E-2</v>
      </c>
      <c r="Z81">
        <v>-1.9596739999999998E-3</v>
      </c>
      <c r="AA81">
        <v>0.99766909999999998</v>
      </c>
      <c r="AB81">
        <v>4</v>
      </c>
      <c r="AC81">
        <v>23.676699999999901</v>
      </c>
      <c r="AD81">
        <v>-1.110599695923</v>
      </c>
      <c r="AE81">
        <v>-1.6456</v>
      </c>
      <c r="AF81">
        <v>1.6195269478450001</v>
      </c>
      <c r="AG81">
        <v>-1.110599695923</v>
      </c>
      <c r="AH81">
        <v>23.626520484461</v>
      </c>
      <c r="AI81">
        <v>92.685000820051002</v>
      </c>
      <c r="AJ81">
        <v>86.078680581835101</v>
      </c>
      <c r="AK81">
        <v>23.707989569384299</v>
      </c>
      <c r="AL81">
        <v>78.989528397118704</v>
      </c>
      <c r="AM81">
        <v>94.458655893602597</v>
      </c>
      <c r="AN81">
        <v>1.0000000091705601</v>
      </c>
    </row>
    <row r="82" spans="1:40" x14ac:dyDescent="0.25">
      <c r="A82" t="str">
        <f>"20190304155313631"</f>
        <v>20190304155313631</v>
      </c>
      <c r="B82" t="str">
        <f>"1551685993626034"</f>
        <v>1551685993626034</v>
      </c>
      <c r="C82" t="s">
        <v>40</v>
      </c>
      <c r="D82">
        <v>4.2912350000000004</v>
      </c>
      <c r="E82">
        <v>0.55156930000000004</v>
      </c>
      <c r="F82" t="s">
        <v>46</v>
      </c>
      <c r="G82">
        <v>-451.52879999999999</v>
      </c>
      <c r="H82" s="1">
        <v>-4.3092290000000003E-6</v>
      </c>
      <c r="I82">
        <v>365.7106</v>
      </c>
      <c r="J82">
        <v>-474.3356</v>
      </c>
      <c r="K82">
        <v>1.1110960000000001</v>
      </c>
      <c r="L82">
        <v>367.21550000000002</v>
      </c>
      <c r="M82">
        <v>0.99990840000000003</v>
      </c>
      <c r="N82">
        <v>-1.350877E-2</v>
      </c>
      <c r="O82">
        <v>-9.6028230000000001E-4</v>
      </c>
      <c r="P82">
        <v>0.98133999999999999</v>
      </c>
      <c r="Q82">
        <v>0.17730979999999999</v>
      </c>
      <c r="R82">
        <v>7.4386839999999996E-2</v>
      </c>
      <c r="S82">
        <v>3.1019290000000002</v>
      </c>
      <c r="T82">
        <v>-0.15087439999999999</v>
      </c>
      <c r="U82">
        <v>-0.20443729999999999</v>
      </c>
      <c r="V82">
        <v>-7.5322150000000004E-2</v>
      </c>
      <c r="W82">
        <v>0.1905522</v>
      </c>
      <c r="X82">
        <v>0.97878310000000002</v>
      </c>
      <c r="Y82">
        <v>6.4708669999999996E-2</v>
      </c>
      <c r="Z82">
        <v>-1.9752630000000001E-3</v>
      </c>
      <c r="AA82">
        <v>0.99790219999999996</v>
      </c>
      <c r="AB82">
        <v>3</v>
      </c>
      <c r="AC82">
        <v>22.806799999999999</v>
      </c>
      <c r="AD82">
        <v>-1.1111003092289999</v>
      </c>
      <c r="AE82">
        <v>-1.5049000000000201</v>
      </c>
      <c r="AF82">
        <v>1.47950006499926</v>
      </c>
      <c r="AG82">
        <v>-1.1111003092289999</v>
      </c>
      <c r="AH82">
        <v>22.7544625677982</v>
      </c>
      <c r="AI82">
        <v>92.789650968053905</v>
      </c>
      <c r="AJ82">
        <v>86.279852625417504</v>
      </c>
      <c r="AK82">
        <v>22.8295648466814</v>
      </c>
      <c r="AL82">
        <v>79.014987872223102</v>
      </c>
      <c r="AM82">
        <v>94.400517628278706</v>
      </c>
      <c r="AN82">
        <v>0.99999996202553498</v>
      </c>
    </row>
    <row r="83" spans="1:40" x14ac:dyDescent="0.25">
      <c r="A83" t="str">
        <f>"20190304155313657"</f>
        <v>20190304155313657</v>
      </c>
      <c r="B83" t="str">
        <f>"1551685993645555"</f>
        <v>1551685993645555</v>
      </c>
      <c r="C83" t="s">
        <v>40</v>
      </c>
      <c r="D83">
        <v>4.3205669999999996</v>
      </c>
      <c r="E83">
        <v>0.55096290000000003</v>
      </c>
      <c r="F83" t="s">
        <v>46</v>
      </c>
      <c r="G83">
        <v>-451.64370000000002</v>
      </c>
      <c r="H83" s="1">
        <v>-4.2655839999999998E-6</v>
      </c>
      <c r="I83">
        <v>365.67869999999999</v>
      </c>
      <c r="J83">
        <v>-474.30360000000002</v>
      </c>
      <c r="K83">
        <v>1.1110960000000001</v>
      </c>
      <c r="L83">
        <v>367.21550000000002</v>
      </c>
      <c r="M83">
        <v>0.99990270000000003</v>
      </c>
      <c r="N83">
        <v>-1.3925689999999999E-2</v>
      </c>
      <c r="O83">
        <v>-9.6981879999999995E-4</v>
      </c>
      <c r="P83">
        <v>0.981464</v>
      </c>
      <c r="Q83">
        <v>0.17696010000000001</v>
      </c>
      <c r="R83">
        <v>7.3578019999999994E-2</v>
      </c>
      <c r="S83">
        <v>3.1003419999999999</v>
      </c>
      <c r="T83">
        <v>-0.15180660000000001</v>
      </c>
      <c r="U83">
        <v>-0.20996090000000001</v>
      </c>
      <c r="V83">
        <v>-7.4523140000000002E-2</v>
      </c>
      <c r="W83">
        <v>0.19061259999999999</v>
      </c>
      <c r="X83">
        <v>0.97883249999999999</v>
      </c>
      <c r="Y83">
        <v>6.6498000000000002E-2</v>
      </c>
      <c r="Z83">
        <v>-2.0551900000000001E-3</v>
      </c>
      <c r="AA83">
        <v>0.99778440000000002</v>
      </c>
      <c r="AB83">
        <v>3</v>
      </c>
      <c r="AC83">
        <v>22.6599</v>
      </c>
      <c r="AD83">
        <v>-1.1111002655840001</v>
      </c>
      <c r="AE83">
        <v>-1.5368000000000199</v>
      </c>
      <c r="AF83">
        <v>1.5112043832887201</v>
      </c>
      <c r="AG83">
        <v>-1.1111002655840001</v>
      </c>
      <c r="AH83">
        <v>22.607273866381298</v>
      </c>
      <c r="AI83">
        <v>92.807448442955007</v>
      </c>
      <c r="AJ83">
        <v>86.175699356625103</v>
      </c>
      <c r="AK83">
        <v>22.684953474887699</v>
      </c>
      <c r="AL83">
        <v>79.011462596649594</v>
      </c>
      <c r="AM83">
        <v>94.353798933690797</v>
      </c>
      <c r="AN83">
        <v>0.99999996236523403</v>
      </c>
    </row>
    <row r="84" spans="1:40" x14ac:dyDescent="0.25">
      <c r="A84" t="str">
        <f>"20190304155313678"</f>
        <v>20190304155313678</v>
      </c>
      <c r="B84" t="str">
        <f>"1551685993675810"</f>
        <v>1551685993675810</v>
      </c>
      <c r="C84" t="s">
        <v>40</v>
      </c>
      <c r="D84">
        <v>4.3532279999999997</v>
      </c>
      <c r="E84">
        <v>0.55013459999999903</v>
      </c>
      <c r="F84" t="s">
        <v>46</v>
      </c>
      <c r="G84">
        <v>-452.48869999999999</v>
      </c>
      <c r="H84" s="1">
        <v>-3.8901689999999998E-6</v>
      </c>
      <c r="I84">
        <v>365.75150000000002</v>
      </c>
      <c r="J84">
        <v>-474.27080000000001</v>
      </c>
      <c r="K84">
        <v>1.110598</v>
      </c>
      <c r="L84">
        <v>367.21539999999999</v>
      </c>
      <c r="M84">
        <v>0.99992270000000005</v>
      </c>
      <c r="N84">
        <v>-1.239933E-2</v>
      </c>
      <c r="O84">
        <v>-9.8279599999999997E-4</v>
      </c>
      <c r="P84">
        <v>0.98129949999999999</v>
      </c>
      <c r="Q84">
        <v>0.17798220000000001</v>
      </c>
      <c r="R84">
        <v>7.3306339999999998E-2</v>
      </c>
      <c r="S84">
        <v>3.1007389999999999</v>
      </c>
      <c r="T84">
        <v>-0.1579294</v>
      </c>
      <c r="U84">
        <v>-0.2080688</v>
      </c>
      <c r="V84">
        <v>-7.4263109999999993E-2</v>
      </c>
      <c r="W84">
        <v>0.19013840000000001</v>
      </c>
      <c r="X84">
        <v>0.9789445</v>
      </c>
      <c r="Y84">
        <v>6.5866659999999994E-2</v>
      </c>
      <c r="Z84">
        <v>-2.0457750000000001E-3</v>
      </c>
      <c r="AA84">
        <v>0.99782630000000005</v>
      </c>
      <c r="AB84">
        <v>2</v>
      </c>
      <c r="AC84">
        <v>21.7821</v>
      </c>
      <c r="AD84">
        <v>-1.110601890169</v>
      </c>
      <c r="AE84">
        <v>-1.46389999999996</v>
      </c>
      <c r="AF84">
        <v>1.4387667944509299</v>
      </c>
      <c r="AG84">
        <v>-1.110601890169</v>
      </c>
      <c r="AH84">
        <v>21.7272985892651</v>
      </c>
      <c r="AI84">
        <v>92.919772634270203</v>
      </c>
      <c r="AJ84">
        <v>86.211443962771895</v>
      </c>
      <c r="AK84">
        <v>21.803187620949899</v>
      </c>
      <c r="AL84">
        <v>79.039138576504499</v>
      </c>
      <c r="AM84">
        <v>94.338171053546901</v>
      </c>
      <c r="AN84">
        <v>0.99999997737084001</v>
      </c>
    </row>
    <row r="85" spans="1:40" x14ac:dyDescent="0.25">
      <c r="A85" t="str">
        <f>"20190304155313699"</f>
        <v>20190304155313699</v>
      </c>
      <c r="B85" t="str">
        <f>"1551685993695330"</f>
        <v>1551685993695330</v>
      </c>
      <c r="C85" t="s">
        <v>40</v>
      </c>
      <c r="D85">
        <v>4.2204360000000003</v>
      </c>
      <c r="E85">
        <v>0.55037519999999995</v>
      </c>
      <c r="F85" t="s">
        <v>46</v>
      </c>
      <c r="G85">
        <v>-452.74900000000002</v>
      </c>
      <c r="H85" s="1">
        <v>-3.7680039999999999E-6</v>
      </c>
      <c r="I85">
        <v>365.81079999999997</v>
      </c>
      <c r="J85">
        <v>-474.23579999999998</v>
      </c>
      <c r="K85">
        <v>1.1101540000000001</v>
      </c>
      <c r="L85">
        <v>367.21530000000001</v>
      </c>
      <c r="M85">
        <v>0.99994159999999999</v>
      </c>
      <c r="N85">
        <v>-1.075127E-2</v>
      </c>
      <c r="O85">
        <v>-9.9972439999999993E-4</v>
      </c>
      <c r="P85">
        <v>0.98107679999999997</v>
      </c>
      <c r="Q85">
        <v>0.17931469999999999</v>
      </c>
      <c r="R85">
        <v>7.3038790000000006E-2</v>
      </c>
      <c r="S85">
        <v>3.101318</v>
      </c>
      <c r="T85">
        <v>-0.16003870000000001</v>
      </c>
      <c r="U85">
        <v>-0.20239260000000001</v>
      </c>
      <c r="V85">
        <v>-7.4010510000000002E-2</v>
      </c>
      <c r="W85">
        <v>0.18985469999999999</v>
      </c>
      <c r="X85">
        <v>0.97901870000000002</v>
      </c>
      <c r="Y85">
        <v>6.4022200000000001E-2</v>
      </c>
      <c r="Z85">
        <v>-1.9530769999999999E-3</v>
      </c>
      <c r="AA85">
        <v>0.99794660000000002</v>
      </c>
      <c r="AB85">
        <v>3</v>
      </c>
      <c r="AC85">
        <v>21.486799999999899</v>
      </c>
      <c r="AD85">
        <v>-1.110157768004</v>
      </c>
      <c r="AE85">
        <v>-1.40450000000004</v>
      </c>
      <c r="AF85">
        <v>1.3793506989229201</v>
      </c>
      <c r="AG85">
        <v>-1.110157768004</v>
      </c>
      <c r="AH85">
        <v>21.4312267235969</v>
      </c>
      <c r="AI85">
        <v>92.959213100613496</v>
      </c>
      <c r="AJ85">
        <v>86.3174241882475</v>
      </c>
      <c r="AK85">
        <v>21.504244639109999</v>
      </c>
      <c r="AL85">
        <v>79.055695095197606</v>
      </c>
      <c r="AM85">
        <v>94.323144724048106</v>
      </c>
      <c r="AN85">
        <v>0.99999998882611996</v>
      </c>
    </row>
    <row r="86" spans="1:40" x14ac:dyDescent="0.25">
      <c r="A86" t="str">
        <f>"20190304155313722"</f>
        <v>20190304155313722</v>
      </c>
      <c r="B86" t="str">
        <f>"1551685993715827"</f>
        <v>1551685993715827</v>
      </c>
      <c r="C86" t="s">
        <v>40</v>
      </c>
      <c r="D86">
        <v>4.2482379999999997</v>
      </c>
      <c r="E86">
        <v>0.55057449999999997</v>
      </c>
      <c r="F86" t="s">
        <v>46</v>
      </c>
      <c r="G86">
        <v>-452.03710000000001</v>
      </c>
      <c r="H86" s="1">
        <v>-4.0843900000000004E-6</v>
      </c>
      <c r="I86">
        <v>365.74869999999999</v>
      </c>
      <c r="J86">
        <v>-474.19760000000002</v>
      </c>
      <c r="K86">
        <v>1.110053</v>
      </c>
      <c r="L86">
        <v>367.21530000000001</v>
      </c>
      <c r="M86">
        <v>0.99994879999999997</v>
      </c>
      <c r="N86">
        <v>-1.0072930000000001E-2</v>
      </c>
      <c r="O86">
        <v>-1.0181299999999999E-3</v>
      </c>
      <c r="P86">
        <v>0.98108260000000003</v>
      </c>
      <c r="Q86">
        <v>0.1792203</v>
      </c>
      <c r="R86">
        <v>7.3192750000000001E-2</v>
      </c>
      <c r="S86">
        <v>3.1014710000000001</v>
      </c>
      <c r="T86">
        <v>-0.15510460000000001</v>
      </c>
      <c r="U86">
        <v>-0.20489499999999999</v>
      </c>
      <c r="V86">
        <v>-7.4182159999999997E-2</v>
      </c>
      <c r="W86">
        <v>0.18909670000000001</v>
      </c>
      <c r="X86">
        <v>0.97915240000000003</v>
      </c>
      <c r="Y86">
        <v>6.4807980000000001E-2</v>
      </c>
      <c r="Z86">
        <v>-1.904174E-3</v>
      </c>
      <c r="AA86">
        <v>0.99789600000000001</v>
      </c>
      <c r="AB86">
        <v>4</v>
      </c>
      <c r="AC86">
        <v>22.160499999999999</v>
      </c>
      <c r="AD86">
        <v>-1.1100570843899999</v>
      </c>
      <c r="AE86">
        <v>-1.4666000000000201</v>
      </c>
      <c r="AF86">
        <v>1.4404372737892499</v>
      </c>
      <c r="AG86">
        <v>-1.1100570843899999</v>
      </c>
      <c r="AH86">
        <v>22.106753884797701</v>
      </c>
      <c r="AI86">
        <v>92.868533523718497</v>
      </c>
      <c r="AJ86">
        <v>86.271977525649902</v>
      </c>
      <c r="AK86">
        <v>22.181425869257001</v>
      </c>
      <c r="AL86">
        <v>79.099926529818504</v>
      </c>
      <c r="AM86">
        <v>94.332543677709396</v>
      </c>
      <c r="AN86">
        <v>0.99999998861945705</v>
      </c>
    </row>
    <row r="87" spans="1:40" x14ac:dyDescent="0.25">
      <c r="A87" t="str">
        <f>"20190304155313744"</f>
        <v>20190304155313744</v>
      </c>
      <c r="B87" t="str">
        <f>"1551685993735346"</f>
        <v>1551685993735346</v>
      </c>
      <c r="C87" t="s">
        <v>40</v>
      </c>
      <c r="D87">
        <v>4.3691380000000004</v>
      </c>
      <c r="E87">
        <v>0.55064139999999995</v>
      </c>
      <c r="F87" t="s">
        <v>46</v>
      </c>
      <c r="G87">
        <v>-451.96870000000001</v>
      </c>
      <c r="H87" s="1">
        <v>-4.1140970000000003E-6</v>
      </c>
      <c r="I87">
        <v>365.74689999999998</v>
      </c>
      <c r="J87">
        <v>-474.16770000000002</v>
      </c>
      <c r="K87">
        <v>1.1104620000000001</v>
      </c>
      <c r="L87">
        <v>367.21519999999998</v>
      </c>
      <c r="M87">
        <v>0.99993659999999995</v>
      </c>
      <c r="N87">
        <v>-1.122563E-2</v>
      </c>
      <c r="O87">
        <v>-1.0299899999999999E-3</v>
      </c>
      <c r="P87">
        <v>0.98154739999999996</v>
      </c>
      <c r="Q87">
        <v>0.1767167</v>
      </c>
      <c r="R87">
        <v>7.3051459999999999E-2</v>
      </c>
      <c r="S87">
        <v>3.10141</v>
      </c>
      <c r="T87">
        <v>-0.15487590000000001</v>
      </c>
      <c r="U87">
        <v>-0.2048645</v>
      </c>
      <c r="V87">
        <v>-7.4053949999999993E-2</v>
      </c>
      <c r="W87">
        <v>0.18772639999999999</v>
      </c>
      <c r="X87">
        <v>0.97942569999999995</v>
      </c>
      <c r="Y87">
        <v>6.478602E-2</v>
      </c>
      <c r="Z87">
        <v>-1.9393679999999999E-3</v>
      </c>
      <c r="AA87">
        <v>0.99789729999999999</v>
      </c>
      <c r="AB87">
        <v>4</v>
      </c>
      <c r="AC87">
        <v>22.199000000000002</v>
      </c>
      <c r="AD87">
        <v>-1.110466114097</v>
      </c>
      <c r="AE87">
        <v>-1.4682999999999899</v>
      </c>
      <c r="AF87">
        <v>1.4418407959886399</v>
      </c>
      <c r="AG87">
        <v>-1.110466114097</v>
      </c>
      <c r="AH87">
        <v>22.145327211377499</v>
      </c>
      <c r="AI87">
        <v>92.864608045383903</v>
      </c>
      <c r="AJ87">
        <v>86.274836863855001</v>
      </c>
      <c r="AK87">
        <v>22.2199810344319</v>
      </c>
      <c r="AL87">
        <v>79.179870257693693</v>
      </c>
      <c r="AM87">
        <v>94.323881824978898</v>
      </c>
      <c r="AN87">
        <v>0.99999994529402403</v>
      </c>
    </row>
    <row r="88" spans="1:40" x14ac:dyDescent="0.25">
      <c r="A88" t="str">
        <f>"20190304155313766"</f>
        <v>20190304155313766</v>
      </c>
      <c r="B88" t="str">
        <f>"1551685993755842"</f>
        <v>1551685993755842</v>
      </c>
      <c r="C88" t="s">
        <v>40</v>
      </c>
      <c r="D88">
        <v>4.3601970000000003</v>
      </c>
      <c r="E88">
        <v>0.55030919999999905</v>
      </c>
      <c r="F88" t="s">
        <v>46</v>
      </c>
      <c r="G88">
        <v>-452.73570000000001</v>
      </c>
      <c r="H88" s="1">
        <v>-3.777391E-6</v>
      </c>
      <c r="I88">
        <v>365.7901</v>
      </c>
      <c r="J88">
        <v>-474.13959999999997</v>
      </c>
      <c r="K88">
        <v>1.110986</v>
      </c>
      <c r="L88">
        <v>367.21519999999998</v>
      </c>
      <c r="M88">
        <v>0.99991379999999996</v>
      </c>
      <c r="N88">
        <v>-1.3099070000000001E-2</v>
      </c>
      <c r="O88">
        <v>-1.040055E-3</v>
      </c>
      <c r="P88">
        <v>0.9820991</v>
      </c>
      <c r="Q88">
        <v>0.17361849999999901</v>
      </c>
      <c r="R88">
        <v>7.3063459999999997E-2</v>
      </c>
      <c r="S88">
        <v>3.1006770000000001</v>
      </c>
      <c r="T88">
        <v>-0.160656299999999</v>
      </c>
      <c r="U88">
        <v>-0.20617679999999999</v>
      </c>
      <c r="V88">
        <v>-7.4077610000000002E-2</v>
      </c>
      <c r="W88">
        <v>0.1864701</v>
      </c>
      <c r="X88">
        <v>0.97966390000000003</v>
      </c>
      <c r="Y88">
        <v>6.5201270000000006E-2</v>
      </c>
      <c r="Z88">
        <v>-2.0738509999999998E-3</v>
      </c>
      <c r="AA88">
        <v>0.99787000000000003</v>
      </c>
      <c r="AB88">
        <v>3</v>
      </c>
      <c r="AC88">
        <v>21.403899999999901</v>
      </c>
      <c r="AD88">
        <v>-1.110989777391</v>
      </c>
      <c r="AE88">
        <v>-1.42509999999998</v>
      </c>
      <c r="AF88">
        <v>1.39908327638981</v>
      </c>
      <c r="AG88">
        <v>-1.110989777391</v>
      </c>
      <c r="AH88">
        <v>21.348107917133898</v>
      </c>
      <c r="AI88">
        <v>92.972711107651705</v>
      </c>
      <c r="AJ88">
        <v>86.250389211385198</v>
      </c>
      <c r="AK88">
        <v>21.422731943926699</v>
      </c>
      <c r="AL88">
        <v>79.253145206013897</v>
      </c>
      <c r="AM88">
        <v>94.324210376022805</v>
      </c>
      <c r="AN88">
        <v>0.99999997373026495</v>
      </c>
    </row>
    <row r="89" spans="1:40" x14ac:dyDescent="0.25">
      <c r="A89" t="str">
        <f>"20190304155313788"</f>
        <v>20190304155313788</v>
      </c>
      <c r="B89" t="str">
        <f>"1551685993785122"</f>
        <v>1551685993785122</v>
      </c>
      <c r="C89" t="s">
        <v>40</v>
      </c>
      <c r="D89">
        <v>4.4096820000000001</v>
      </c>
      <c r="E89">
        <v>0.55033779999999999</v>
      </c>
      <c r="F89" t="s">
        <v>46</v>
      </c>
      <c r="G89">
        <v>-454.27429999999998</v>
      </c>
      <c r="H89" s="1">
        <v>-3.0961759999999999E-6</v>
      </c>
      <c r="I89">
        <v>365.90940000000001</v>
      </c>
      <c r="J89">
        <v>-474.11340000000001</v>
      </c>
      <c r="K89">
        <v>1.111191</v>
      </c>
      <c r="L89">
        <v>367.21510000000001</v>
      </c>
      <c r="M89">
        <v>0.99989930000000005</v>
      </c>
      <c r="N89">
        <v>-1.414928E-2</v>
      </c>
      <c r="O89">
        <v>-1.048029E-3</v>
      </c>
      <c r="P89">
        <v>0.98255590000000004</v>
      </c>
      <c r="Q89">
        <v>0.17113510000000001</v>
      </c>
      <c r="R89">
        <v>7.2778670000000004E-2</v>
      </c>
      <c r="S89">
        <v>3.1004939999999999</v>
      </c>
      <c r="T89">
        <v>-0.17339789999999999</v>
      </c>
      <c r="U89">
        <v>-0.20379639999999999</v>
      </c>
      <c r="V89">
        <v>-7.3801999999999895E-2</v>
      </c>
      <c r="W89">
        <v>0.18502189999999999</v>
      </c>
      <c r="X89">
        <v>0.97995920000000003</v>
      </c>
      <c r="Y89">
        <v>6.4418059999999999E-2</v>
      </c>
      <c r="Z89">
        <v>-2.2109719999999999E-3</v>
      </c>
      <c r="AA89">
        <v>0.99792060000000005</v>
      </c>
      <c r="AB89">
        <v>3</v>
      </c>
      <c r="AC89">
        <v>19.839099999999998</v>
      </c>
      <c r="AD89">
        <v>-1.1111940961759901</v>
      </c>
      <c r="AE89">
        <v>-1.3057000000000001</v>
      </c>
      <c r="AF89">
        <v>1.2809041844860001</v>
      </c>
      <c r="AG89">
        <v>-1.1111940961759901</v>
      </c>
      <c r="AH89">
        <v>19.7786764935477</v>
      </c>
      <c r="AI89">
        <v>93.208869801114602</v>
      </c>
      <c r="AJ89">
        <v>86.294592363868404</v>
      </c>
      <c r="AK89">
        <v>19.851234512886801</v>
      </c>
      <c r="AL89">
        <v>79.337590093789302</v>
      </c>
      <c r="AM89">
        <v>94.306889249821495</v>
      </c>
      <c r="AN89">
        <v>0.99999993617412297</v>
      </c>
    </row>
    <row r="90" spans="1:40" x14ac:dyDescent="0.25">
      <c r="A90" t="str">
        <f>"20190304155313810"</f>
        <v>20190304155313810</v>
      </c>
      <c r="B90" t="str">
        <f>"1551685993805618"</f>
        <v>1551685993805618</v>
      </c>
      <c r="C90" t="s">
        <v>40</v>
      </c>
      <c r="D90">
        <v>4.4821720000000003</v>
      </c>
      <c r="E90">
        <v>0.55004140000000001</v>
      </c>
      <c r="F90" t="s">
        <v>46</v>
      </c>
      <c r="G90">
        <v>-455.20170000000002</v>
      </c>
      <c r="H90" s="1">
        <v>-2.6886360000000001E-6</v>
      </c>
      <c r="I90">
        <v>365.96409999999997</v>
      </c>
      <c r="J90">
        <v>-474.08150000000001</v>
      </c>
      <c r="K90">
        <v>1.110779</v>
      </c>
      <c r="L90">
        <v>367.21510000000001</v>
      </c>
      <c r="M90">
        <v>0.99991450000000004</v>
      </c>
      <c r="N90">
        <v>-1.3042700000000001E-2</v>
      </c>
      <c r="O90">
        <v>-1.059836E-3</v>
      </c>
      <c r="P90">
        <v>0.98249390000000003</v>
      </c>
      <c r="Q90">
        <v>0.17158289999999901</v>
      </c>
      <c r="R90">
        <v>7.2563180000000005E-2</v>
      </c>
      <c r="S90">
        <v>3.1002200000000002</v>
      </c>
      <c r="T90">
        <v>-0.18215809999999999</v>
      </c>
      <c r="U90">
        <v>-0.20507810000000001</v>
      </c>
      <c r="V90">
        <v>-7.3597419999999997E-2</v>
      </c>
      <c r="W90">
        <v>0.18438450000000001</v>
      </c>
      <c r="X90">
        <v>0.98009480000000004</v>
      </c>
      <c r="Y90">
        <v>6.4812620000000001E-2</v>
      </c>
      <c r="Z90">
        <v>-2.2756080000000001E-3</v>
      </c>
      <c r="AA90">
        <v>0.99789490000000003</v>
      </c>
      <c r="AB90">
        <v>2</v>
      </c>
      <c r="AC90">
        <v>18.8797999999999</v>
      </c>
      <c r="AD90">
        <v>-1.110781688636</v>
      </c>
      <c r="AE90">
        <v>-1.2510000000000301</v>
      </c>
      <c r="AF90">
        <v>1.2267602544038001</v>
      </c>
      <c r="AG90">
        <v>-1.110781688636</v>
      </c>
      <c r="AH90">
        <v>18.816267821801102</v>
      </c>
      <c r="AI90">
        <v>93.371282930465497</v>
      </c>
      <c r="AJ90">
        <v>86.269778393308798</v>
      </c>
      <c r="AK90">
        <v>18.888904452702899</v>
      </c>
      <c r="AL90">
        <v>79.374750690219301</v>
      </c>
      <c r="AM90">
        <v>94.294403232583804</v>
      </c>
      <c r="AN90">
        <v>1.0000000205289701</v>
      </c>
    </row>
    <row r="91" spans="1:40" x14ac:dyDescent="0.25">
      <c r="A91" t="str">
        <f>"20190304155313833"</f>
        <v>20190304155313833</v>
      </c>
      <c r="B91" t="str">
        <f>"1551685993825138"</f>
        <v>1551685993825138</v>
      </c>
      <c r="C91" t="s">
        <v>40</v>
      </c>
      <c r="D91">
        <v>4.3876559999999998</v>
      </c>
      <c r="E91">
        <v>0.54983009999999999</v>
      </c>
      <c r="F91" t="s">
        <v>46</v>
      </c>
      <c r="G91">
        <v>-455.19659999999999</v>
      </c>
      <c r="H91" s="1">
        <v>-2.6885160000000002E-6</v>
      </c>
      <c r="I91">
        <v>365.97699999999998</v>
      </c>
      <c r="J91">
        <v>-474.04259999999999</v>
      </c>
      <c r="K91">
        <v>1.110233</v>
      </c>
      <c r="L91">
        <v>367.21510000000001</v>
      </c>
      <c r="M91">
        <v>0.99993739999999998</v>
      </c>
      <c r="N91">
        <v>-1.1148119999999999E-2</v>
      </c>
      <c r="O91">
        <v>-1.0775940000000001E-3</v>
      </c>
      <c r="P91">
        <v>0.98228519999999997</v>
      </c>
      <c r="Q91">
        <v>0.17289789999999999</v>
      </c>
      <c r="R91">
        <v>7.2265819999999995E-2</v>
      </c>
      <c r="S91">
        <v>3.1002809999999998</v>
      </c>
      <c r="T91">
        <v>-0.18235299999999999</v>
      </c>
      <c r="U91">
        <v>-0.20324710000000001</v>
      </c>
      <c r="V91">
        <v>-7.3315749999999999E-2</v>
      </c>
      <c r="W91">
        <v>0.18384039999999999</v>
      </c>
      <c r="X91">
        <v>0.98021809999999998</v>
      </c>
      <c r="Y91">
        <v>6.4211470000000007E-2</v>
      </c>
      <c r="Z91">
        <v>-2.192168E-3</v>
      </c>
      <c r="AA91">
        <v>0.99793390000000004</v>
      </c>
      <c r="AB91">
        <v>3</v>
      </c>
      <c r="AC91">
        <v>18.846</v>
      </c>
      <c r="AD91">
        <v>-1.1102356885160001</v>
      </c>
      <c r="AE91">
        <v>-1.23810000000003</v>
      </c>
      <c r="AF91">
        <v>1.2135960001627999</v>
      </c>
      <c r="AG91">
        <v>-1.1102356885160001</v>
      </c>
      <c r="AH91">
        <v>18.782419052767299</v>
      </c>
      <c r="AI91">
        <v>93.375815154741403</v>
      </c>
      <c r="AJ91">
        <v>86.303063797228205</v>
      </c>
      <c r="AK91">
        <v>18.854302002710799</v>
      </c>
      <c r="AL91">
        <v>79.406467379592897</v>
      </c>
      <c r="AM91">
        <v>94.277492816237</v>
      </c>
      <c r="AN91">
        <v>1.00000000771891</v>
      </c>
    </row>
    <row r="92" spans="1:40" x14ac:dyDescent="0.25">
      <c r="A92" t="str">
        <f>"20190304155313857"</f>
        <v>20190304155313857</v>
      </c>
      <c r="B92" t="str">
        <f>"1551685993845634"</f>
        <v>1551685993845634</v>
      </c>
      <c r="C92" t="s">
        <v>40</v>
      </c>
      <c r="D92">
        <v>4.412236</v>
      </c>
      <c r="E92">
        <v>0.54976049999999999</v>
      </c>
      <c r="F92" t="s">
        <v>46</v>
      </c>
      <c r="G92">
        <v>-454.84109999999998</v>
      </c>
      <c r="H92" s="1">
        <v>-2.8440359999999999E-6</v>
      </c>
      <c r="I92">
        <v>365.96010000000001</v>
      </c>
      <c r="J92">
        <v>-474.00369999999998</v>
      </c>
      <c r="K92">
        <v>1.1100000000000001</v>
      </c>
      <c r="L92">
        <v>367.21499999999997</v>
      </c>
      <c r="M92">
        <v>0.99994890000000003</v>
      </c>
      <c r="N92">
        <v>-1.0062430000000001E-2</v>
      </c>
      <c r="O92">
        <v>-1.0962820000000001E-3</v>
      </c>
      <c r="P92">
        <v>0.98208300000000004</v>
      </c>
      <c r="Q92">
        <v>0.17417279999999999</v>
      </c>
      <c r="R92">
        <v>7.1950120000000006E-2</v>
      </c>
      <c r="S92">
        <v>3.1005859999999998</v>
      </c>
      <c r="T92">
        <v>-0.1792754</v>
      </c>
      <c r="U92">
        <v>-0.2026367</v>
      </c>
      <c r="V92">
        <v>-7.301742E-2</v>
      </c>
      <c r="W92">
        <v>0.18404899999999999</v>
      </c>
      <c r="X92">
        <v>0.98020119999999999</v>
      </c>
      <c r="Y92">
        <v>6.3997369999999998E-2</v>
      </c>
      <c r="Z92">
        <v>-2.1170469999999999E-3</v>
      </c>
      <c r="AA92">
        <v>0.99794780000000005</v>
      </c>
      <c r="AB92">
        <v>4</v>
      </c>
      <c r="AC92">
        <v>19.162600000000001</v>
      </c>
      <c r="AD92">
        <v>-1.1100028440359999</v>
      </c>
      <c r="AE92">
        <v>-1.2548999999999599</v>
      </c>
      <c r="AF92">
        <v>1.2297818293818601</v>
      </c>
      <c r="AG92">
        <v>-1.1100028440359999</v>
      </c>
      <c r="AH92">
        <v>19.1001500395843</v>
      </c>
      <c r="AI92">
        <v>93.319138822148801</v>
      </c>
      <c r="AJ92">
        <v>86.316040302627599</v>
      </c>
      <c r="AK92">
        <v>19.1718596175822</v>
      </c>
      <c r="AL92">
        <v>79.394307758590699</v>
      </c>
      <c r="AM92">
        <v>94.260224609253797</v>
      </c>
      <c r="AN92">
        <v>0.99999998525294798</v>
      </c>
    </row>
    <row r="93" spans="1:40" x14ac:dyDescent="0.25">
      <c r="A93" t="str">
        <f>"20190304155313880"</f>
        <v>20190304155313880</v>
      </c>
      <c r="B93" t="str">
        <f>"1551685993875890"</f>
        <v>1551685993875890</v>
      </c>
      <c r="C93" t="s">
        <v>40</v>
      </c>
      <c r="D93">
        <v>4.3723140000000003</v>
      </c>
      <c r="E93">
        <v>0.54966440000000005</v>
      </c>
      <c r="F93" t="s">
        <v>46</v>
      </c>
      <c r="G93">
        <v>-454.43579999999997</v>
      </c>
      <c r="H93" s="1">
        <v>-3.0229829999999999E-6</v>
      </c>
      <c r="I93">
        <v>365.93130000000002</v>
      </c>
      <c r="J93">
        <v>-473.96839999999997</v>
      </c>
      <c r="K93">
        <v>1.1103270000000001</v>
      </c>
      <c r="L93">
        <v>367.2149</v>
      </c>
      <c r="M93">
        <v>0.99994070000000002</v>
      </c>
      <c r="N93">
        <v>-1.0837940000000001E-2</v>
      </c>
      <c r="O93">
        <v>-1.111543E-3</v>
      </c>
      <c r="P93">
        <v>0.98227489999999995</v>
      </c>
      <c r="Q93">
        <v>0.17333709999999999</v>
      </c>
      <c r="R93">
        <v>7.1346599999999996E-2</v>
      </c>
      <c r="S93">
        <v>3.1008</v>
      </c>
      <c r="T93">
        <v>-0.17589469999999999</v>
      </c>
      <c r="U93">
        <v>-0.20339969999999999</v>
      </c>
      <c r="V93">
        <v>-7.2429519999999997E-2</v>
      </c>
      <c r="W93">
        <v>0.18397540000000001</v>
      </c>
      <c r="X93">
        <v>0.98025859999999998</v>
      </c>
      <c r="Y93">
        <v>6.422456E-2</v>
      </c>
      <c r="Z93">
        <v>-2.1160150000000002E-3</v>
      </c>
      <c r="AA93">
        <v>0.99793319999999996</v>
      </c>
      <c r="AB93">
        <v>4</v>
      </c>
      <c r="AC93">
        <v>19.532599999999999</v>
      </c>
      <c r="AD93">
        <v>-1.110330022983</v>
      </c>
      <c r="AE93">
        <v>-1.2835999999999701</v>
      </c>
      <c r="AF93">
        <v>1.2578395650391101</v>
      </c>
      <c r="AG93">
        <v>-1.110330022983</v>
      </c>
      <c r="AH93">
        <v>19.471366534941801</v>
      </c>
      <c r="AI93">
        <v>93.256910874658004</v>
      </c>
      <c r="AJ93">
        <v>86.303859898894899</v>
      </c>
      <c r="AK93">
        <v>19.543518308364199</v>
      </c>
      <c r="AL93">
        <v>79.398597642528898</v>
      </c>
      <c r="AM93">
        <v>94.225801604969902</v>
      </c>
      <c r="AN93">
        <v>0.99999995302327405</v>
      </c>
    </row>
    <row r="94" spans="1:40" x14ac:dyDescent="0.25">
      <c r="A94" t="str">
        <f>"20190304155313900"</f>
        <v>20190304155313900</v>
      </c>
      <c r="B94" t="str">
        <f>"1551685993895410"</f>
        <v>1551685993895410</v>
      </c>
      <c r="C94" t="s">
        <v>40</v>
      </c>
      <c r="D94">
        <v>4.4026180000000004</v>
      </c>
      <c r="E94">
        <v>0.54947979999999996</v>
      </c>
      <c r="F94" t="s">
        <v>46</v>
      </c>
      <c r="G94">
        <v>-454.85829999999999</v>
      </c>
      <c r="H94" s="1">
        <v>-2.8379559999999998E-6</v>
      </c>
      <c r="I94">
        <v>365.95260000000002</v>
      </c>
      <c r="J94">
        <v>-473.94290000000001</v>
      </c>
      <c r="K94">
        <v>1.110787</v>
      </c>
      <c r="L94">
        <v>367.2149</v>
      </c>
      <c r="M94">
        <v>0.99992289999999995</v>
      </c>
      <c r="N94">
        <v>-1.237072E-2</v>
      </c>
      <c r="O94">
        <v>-1.1212559999999999E-3</v>
      </c>
      <c r="P94">
        <v>0.98247499999999999</v>
      </c>
      <c r="Q94">
        <v>0.172478399999999</v>
      </c>
      <c r="R94">
        <v>7.0668620000000001E-2</v>
      </c>
      <c r="S94">
        <v>3.1008</v>
      </c>
      <c r="T94">
        <v>-0.18016099999999999</v>
      </c>
      <c r="U94">
        <v>-0.2048035</v>
      </c>
      <c r="V94">
        <v>-7.1762519999999996E-2</v>
      </c>
      <c r="W94">
        <v>0.18462120000000001</v>
      </c>
      <c r="X94">
        <v>0.98018629999999995</v>
      </c>
      <c r="Y94">
        <v>6.465543E-2</v>
      </c>
      <c r="Z94">
        <v>-2.22427E-3</v>
      </c>
      <c r="AA94">
        <v>0.99790520000000005</v>
      </c>
      <c r="AB94">
        <v>4</v>
      </c>
      <c r="AC94">
        <v>19.084599999999998</v>
      </c>
      <c r="AD94">
        <v>-1.1107898379559999</v>
      </c>
      <c r="AE94">
        <v>-1.26229999999998</v>
      </c>
      <c r="AF94">
        <v>1.2367275048250801</v>
      </c>
      <c r="AG94">
        <v>-1.1107898379559999</v>
      </c>
      <c r="AH94">
        <v>19.0218449274048</v>
      </c>
      <c r="AI94">
        <v>93.334994112024106</v>
      </c>
      <c r="AJ94">
        <v>86.280083448998596</v>
      </c>
      <c r="AK94">
        <v>19.0943429692548</v>
      </c>
      <c r="AL94">
        <v>79.360951818873602</v>
      </c>
      <c r="AM94">
        <v>94.187333179586105</v>
      </c>
      <c r="AN94">
        <v>1.0000000147369399</v>
      </c>
    </row>
    <row r="95" spans="1:40" x14ac:dyDescent="0.25">
      <c r="A95" t="str">
        <f>"20190304155313922"</f>
        <v>20190304155313922</v>
      </c>
      <c r="B95" t="str">
        <f>"1551685993915907"</f>
        <v>1551685993915907</v>
      </c>
      <c r="C95" t="s">
        <v>40</v>
      </c>
      <c r="D95">
        <v>4.5062139999999999</v>
      </c>
      <c r="E95">
        <v>0.549436699999999</v>
      </c>
      <c r="F95" t="s">
        <v>46</v>
      </c>
      <c r="G95">
        <v>-455.22309999999999</v>
      </c>
      <c r="H95" s="1">
        <v>-2.6772649999999999E-6</v>
      </c>
      <c r="I95">
        <v>365.97629999999998</v>
      </c>
      <c r="J95">
        <v>-473.90989999999999</v>
      </c>
      <c r="K95">
        <v>1.1106529999999999</v>
      </c>
      <c r="L95">
        <v>367.21480000000003</v>
      </c>
      <c r="M95">
        <v>0.99992709999999996</v>
      </c>
      <c r="N95">
        <v>-1.2022959999999999E-2</v>
      </c>
      <c r="O95">
        <v>-1.134274E-3</v>
      </c>
      <c r="P95">
        <v>0.98236889999999999</v>
      </c>
      <c r="Q95">
        <v>0.17338979999999901</v>
      </c>
      <c r="R95">
        <v>6.9910730000000004E-2</v>
      </c>
      <c r="S95">
        <v>3.1004939999999999</v>
      </c>
      <c r="T95">
        <v>-0.18397569999999999</v>
      </c>
      <c r="U95">
        <v>-0.20513919999999999</v>
      </c>
      <c r="V95">
        <v>-7.1017209999999997E-2</v>
      </c>
      <c r="W95">
        <v>0.18519060000000001</v>
      </c>
      <c r="X95">
        <v>0.98013320000000004</v>
      </c>
      <c r="Y95">
        <v>6.4751870000000003E-2</v>
      </c>
      <c r="Z95">
        <v>-2.2538749999999998E-3</v>
      </c>
      <c r="AA95">
        <v>0.99789890000000003</v>
      </c>
      <c r="AB95">
        <v>3</v>
      </c>
      <c r="AC95">
        <v>18.686800000000002</v>
      </c>
      <c r="AD95">
        <v>-1.110655677265</v>
      </c>
      <c r="AE95">
        <v>-1.2385000000000399</v>
      </c>
      <c r="AF95">
        <v>1.21303534581429</v>
      </c>
      <c r="AG95">
        <v>-1.110655677265</v>
      </c>
      <c r="AH95">
        <v>18.622694878745801</v>
      </c>
      <c r="AI95">
        <v>93.405871095040396</v>
      </c>
      <c r="AJ95">
        <v>86.273162425936107</v>
      </c>
      <c r="AK95">
        <v>18.695180537520901</v>
      </c>
      <c r="AL95">
        <v>79.327755505152496</v>
      </c>
      <c r="AM95">
        <v>94.144220462512095</v>
      </c>
      <c r="AN95">
        <v>1.00000004609339</v>
      </c>
    </row>
    <row r="96" spans="1:40" x14ac:dyDescent="0.25">
      <c r="A96" t="str">
        <f>"20190304155313944"</f>
        <v>20190304155313944</v>
      </c>
      <c r="B96" t="str">
        <f>"1551685993935427"</f>
        <v>1551685993935427</v>
      </c>
      <c r="C96" t="s">
        <v>40</v>
      </c>
      <c r="D96">
        <v>4.3778489999999897</v>
      </c>
      <c r="E96">
        <v>0.54947360000000001</v>
      </c>
      <c r="F96" t="s">
        <v>46</v>
      </c>
      <c r="G96">
        <v>-454.68099999999998</v>
      </c>
      <c r="H96" s="1">
        <v>-2.9182459999999999E-6</v>
      </c>
      <c r="I96">
        <v>365.92880000000002</v>
      </c>
      <c r="J96">
        <v>-473.87139999999999</v>
      </c>
      <c r="K96">
        <v>1.110188</v>
      </c>
      <c r="L96">
        <v>367.21480000000003</v>
      </c>
      <c r="M96">
        <v>0.9999458</v>
      </c>
      <c r="N96">
        <v>-1.035427E-2</v>
      </c>
      <c r="O96">
        <v>-1.152829E-3</v>
      </c>
      <c r="P96">
        <v>0.98199139999999996</v>
      </c>
      <c r="Q96">
        <v>0.17575679999999999</v>
      </c>
      <c r="R96">
        <v>6.9302489999999994E-2</v>
      </c>
      <c r="S96">
        <v>3.10025</v>
      </c>
      <c r="T96">
        <v>-0.17906939999999999</v>
      </c>
      <c r="U96">
        <v>-0.2073364</v>
      </c>
      <c r="V96">
        <v>-7.0425959999999996E-2</v>
      </c>
      <c r="W96">
        <v>0.18591779999999999</v>
      </c>
      <c r="X96">
        <v>0.98003819999999997</v>
      </c>
      <c r="Y96">
        <v>6.5451019999999999E-2</v>
      </c>
      <c r="Z96">
        <v>-2.1715649999999999E-3</v>
      </c>
      <c r="AA96">
        <v>0.9978534</v>
      </c>
      <c r="AB96">
        <v>3</v>
      </c>
      <c r="AC96">
        <v>19.1904</v>
      </c>
      <c r="AD96">
        <v>-1.1101909182459999</v>
      </c>
      <c r="AE96">
        <v>-1.286</v>
      </c>
      <c r="AF96">
        <v>1.25967769352033</v>
      </c>
      <c r="AG96">
        <v>-1.1101909182459999</v>
      </c>
      <c r="AH96">
        <v>19.128138374001001</v>
      </c>
      <c r="AI96">
        <v>93.314538407272494</v>
      </c>
      <c r="AJ96">
        <v>86.232244424056802</v>
      </c>
      <c r="AK96">
        <v>19.201692358264602</v>
      </c>
      <c r="AL96">
        <v>79.285353804276895</v>
      </c>
      <c r="AM96">
        <v>94.110233717809706</v>
      </c>
      <c r="AN96">
        <v>1.0000000588289899</v>
      </c>
    </row>
    <row r="97" spans="1:40" x14ac:dyDescent="0.25">
      <c r="A97" t="str">
        <f>"20190304155313967"</f>
        <v>20190304155313967</v>
      </c>
      <c r="B97" t="str">
        <f>"1551685993955926"</f>
        <v>1551685993955926</v>
      </c>
      <c r="C97" t="s">
        <v>40</v>
      </c>
      <c r="D97">
        <v>7.6143489999999998</v>
      </c>
      <c r="E97">
        <v>0.54988990000000004</v>
      </c>
      <c r="F97" t="s">
        <v>46</v>
      </c>
      <c r="G97">
        <v>-453.6422</v>
      </c>
      <c r="H97" s="1">
        <v>-3.3780870000000002E-6</v>
      </c>
      <c r="I97">
        <v>365.84879999999998</v>
      </c>
      <c r="J97">
        <v>-473.82819999999998</v>
      </c>
      <c r="K97">
        <v>1.1098809999999999</v>
      </c>
      <c r="L97">
        <v>367.21469999999999</v>
      </c>
      <c r="M97">
        <v>0.99995909999999999</v>
      </c>
      <c r="N97">
        <v>-8.9599899999999993E-3</v>
      </c>
      <c r="O97">
        <v>-1.1733889999999999E-3</v>
      </c>
      <c r="P97">
        <v>0.98173860000000002</v>
      </c>
      <c r="Q97">
        <v>0.17759759999999999</v>
      </c>
      <c r="R97">
        <v>6.817877E-2</v>
      </c>
      <c r="S97">
        <v>3.10025</v>
      </c>
      <c r="T97">
        <v>-0.17014290000000001</v>
      </c>
      <c r="U97">
        <v>-0.20932010000000001</v>
      </c>
      <c r="V97">
        <v>-6.932141E-2</v>
      </c>
      <c r="W97">
        <v>0.18638950000000001</v>
      </c>
      <c r="X97">
        <v>0.98002730000000005</v>
      </c>
      <c r="Y97">
        <v>6.6078970000000001E-2</v>
      </c>
      <c r="Z97">
        <v>-2.0526559999999999E-3</v>
      </c>
      <c r="AA97">
        <v>0.99781229999999999</v>
      </c>
      <c r="AB97">
        <v>4</v>
      </c>
      <c r="AC97">
        <v>20.1859999999999</v>
      </c>
      <c r="AD97">
        <v>-1.10988437808699</v>
      </c>
      <c r="AE97">
        <v>-1.3659000000000101</v>
      </c>
      <c r="AF97">
        <v>1.33818502546653</v>
      </c>
      <c r="AG97">
        <v>-1.10988437808699</v>
      </c>
      <c r="AH97">
        <v>20.127019889345402</v>
      </c>
      <c r="AI97">
        <v>93.149382489870604</v>
      </c>
      <c r="AJ97">
        <v>86.196174293786896</v>
      </c>
      <c r="AK97">
        <v>20.201968025942701</v>
      </c>
      <c r="AL97">
        <v>79.257846005481099</v>
      </c>
      <c r="AM97">
        <v>94.0460300777778</v>
      </c>
      <c r="AN97">
        <v>1.0000000061699601</v>
      </c>
    </row>
    <row r="98" spans="1:40" x14ac:dyDescent="0.25">
      <c r="A98" t="str">
        <f>"20190304155314728"</f>
        <v>20190304155314728</v>
      </c>
      <c r="B98" t="str">
        <f>"1551685994725575"</f>
        <v>1551685994725575</v>
      </c>
      <c r="C98" t="s">
        <v>40</v>
      </c>
      <c r="D98">
        <v>4.6397009999999996</v>
      </c>
      <c r="E98">
        <v>0.54917469999999902</v>
      </c>
      <c r="F98" t="s">
        <v>46</v>
      </c>
      <c r="G98">
        <v>-451.0498</v>
      </c>
      <c r="H98" s="1">
        <v>-4.5285900000000003E-6</v>
      </c>
      <c r="I98">
        <v>365.63249999999999</v>
      </c>
      <c r="J98">
        <v>-472.21039999999999</v>
      </c>
      <c r="K98">
        <v>1.1102730000000001</v>
      </c>
      <c r="L98">
        <v>367.2115</v>
      </c>
      <c r="M98">
        <v>0.99995630000000002</v>
      </c>
      <c r="N98">
        <v>-9.1758989999999995E-3</v>
      </c>
      <c r="O98">
        <v>-1.8479989999999999E-3</v>
      </c>
      <c r="P98">
        <v>0.98202409999999996</v>
      </c>
      <c r="Q98">
        <v>0.18718360000000001</v>
      </c>
      <c r="R98">
        <v>2.4314820000000001E-2</v>
      </c>
      <c r="S98">
        <v>3.0980219999999998</v>
      </c>
      <c r="T98">
        <v>-0.15095159999999999</v>
      </c>
      <c r="U98">
        <v>-0.21517939999999999</v>
      </c>
      <c r="V98">
        <v>-2.612037E-2</v>
      </c>
      <c r="W98">
        <v>0.19618730000000001</v>
      </c>
      <c r="X98">
        <v>0.98021849999999999</v>
      </c>
      <c r="Y98">
        <v>6.7353220000000005E-2</v>
      </c>
      <c r="Z98">
        <v>-1.8746119999999999E-3</v>
      </c>
      <c r="AA98">
        <v>0.99772749999999999</v>
      </c>
      <c r="AB98">
        <v>5</v>
      </c>
      <c r="AC98">
        <v>21.160599999999899</v>
      </c>
      <c r="AD98">
        <v>-1.11027752859</v>
      </c>
      <c r="AE98">
        <v>-1.579</v>
      </c>
      <c r="AF98">
        <v>1.5356865498598999</v>
      </c>
      <c r="AG98">
        <v>-1.11027752859</v>
      </c>
      <c r="AH98">
        <v>21.105699600269499</v>
      </c>
      <c r="AI98">
        <v>93.003376631845697</v>
      </c>
      <c r="AJ98">
        <v>85.838395640534699</v>
      </c>
      <c r="AK98">
        <v>21.190601808035801</v>
      </c>
      <c r="AL98">
        <v>78.685909518897802</v>
      </c>
      <c r="AM98">
        <v>91.526427908125299</v>
      </c>
      <c r="AN98">
        <v>1.0000000190762299</v>
      </c>
    </row>
    <row r="99" spans="1:40" x14ac:dyDescent="0.25">
      <c r="A99" t="str">
        <f>"20190304155314749"</f>
        <v>20190304155314749</v>
      </c>
      <c r="B99" t="str">
        <f>"1551685994746072"</f>
        <v>1551685994746072</v>
      </c>
      <c r="C99" t="s">
        <v>40</v>
      </c>
      <c r="D99">
        <v>4.422104</v>
      </c>
      <c r="E99">
        <v>0.54861949999999904</v>
      </c>
      <c r="F99" t="s">
        <v>46</v>
      </c>
      <c r="G99">
        <v>-442.5872</v>
      </c>
      <c r="H99" s="1">
        <v>-4.5189949999999999E-6</v>
      </c>
      <c r="I99">
        <v>363.78449999999998</v>
      </c>
      <c r="J99">
        <v>-472.15120000000002</v>
      </c>
      <c r="K99">
        <v>1.1098669999999999</v>
      </c>
      <c r="L99">
        <v>367.21140000000003</v>
      </c>
      <c r="M99">
        <v>0.99996790000000002</v>
      </c>
      <c r="N99">
        <v>-7.8013719999999896E-3</v>
      </c>
      <c r="O99">
        <v>-1.874346E-3</v>
      </c>
      <c r="P99">
        <v>0.98187679999999999</v>
      </c>
      <c r="Q99">
        <v>0.18723809999999999</v>
      </c>
      <c r="R99">
        <v>2.9325960000000002E-2</v>
      </c>
      <c r="S99">
        <v>3.0858460000000001</v>
      </c>
      <c r="T99">
        <v>-0.1156577</v>
      </c>
      <c r="U99">
        <v>-0.3569946</v>
      </c>
      <c r="V99">
        <v>-3.1156070000000001E-2</v>
      </c>
      <c r="W99">
        <v>0.19489339999999999</v>
      </c>
      <c r="X99">
        <v>0.98032949999999996</v>
      </c>
      <c r="Y99">
        <v>0.1129652</v>
      </c>
      <c r="Z99">
        <v>-2.496079E-3</v>
      </c>
      <c r="AA99">
        <v>0.99359580000000003</v>
      </c>
      <c r="AB99">
        <v>6</v>
      </c>
      <c r="AC99">
        <v>29.564</v>
      </c>
      <c r="AD99">
        <v>-1.1098715189949999</v>
      </c>
      <c r="AE99">
        <v>-3.4269000000000398</v>
      </c>
      <c r="AF99">
        <v>3.36679704559893</v>
      </c>
      <c r="AG99">
        <v>-1.1098715189949999</v>
      </c>
      <c r="AH99">
        <v>29.529306075491199</v>
      </c>
      <c r="AI99">
        <v>92.138630320655295</v>
      </c>
      <c r="AJ99">
        <v>83.495484214716498</v>
      </c>
      <c r="AK99">
        <v>29.7413357876706</v>
      </c>
      <c r="AL99">
        <v>78.761503993210496</v>
      </c>
      <c r="AM99">
        <v>91.820317216070293</v>
      </c>
      <c r="AN99">
        <v>1.0000000333158201</v>
      </c>
    </row>
    <row r="100" spans="1:40" x14ac:dyDescent="0.25">
      <c r="A100" t="str">
        <f>"20190304155314771"</f>
        <v>20190304155314771</v>
      </c>
      <c r="B100" t="str">
        <f>"1551685994765579"</f>
        <v>1551685994765579</v>
      </c>
      <c r="C100" t="s">
        <v>40</v>
      </c>
      <c r="D100">
        <v>4.5047769999999998</v>
      </c>
      <c r="E100">
        <v>0.47804940000000001</v>
      </c>
      <c r="F100" t="s">
        <v>46</v>
      </c>
      <c r="G100">
        <v>-441.66899999999998</v>
      </c>
      <c r="H100" s="1">
        <v>-4.9359539999999998E-6</v>
      </c>
      <c r="I100">
        <v>363.88080000000002</v>
      </c>
      <c r="J100">
        <v>-472.0872</v>
      </c>
      <c r="K100">
        <v>1.109599</v>
      </c>
      <c r="L100">
        <v>367.21120000000002</v>
      </c>
      <c r="M100">
        <v>0.99997619999999998</v>
      </c>
      <c r="N100">
        <v>-6.6527579999999999E-3</v>
      </c>
      <c r="O100">
        <v>-1.9048769999999999E-3</v>
      </c>
      <c r="P100">
        <v>0.98166819999999999</v>
      </c>
      <c r="Q100">
        <v>0.18738270000000001</v>
      </c>
      <c r="R100">
        <v>3.486525E-2</v>
      </c>
      <c r="S100">
        <v>3.0868530000000001</v>
      </c>
      <c r="T100">
        <v>-0.1123939</v>
      </c>
      <c r="U100">
        <v>-0.33728029999999998</v>
      </c>
      <c r="V100">
        <v>-3.672371E-2</v>
      </c>
      <c r="W100">
        <v>0.1939111</v>
      </c>
      <c r="X100">
        <v>0.98033150000000002</v>
      </c>
      <c r="Y100">
        <v>0.10664129999999999</v>
      </c>
      <c r="Z100">
        <v>-2.2344639999999998E-3</v>
      </c>
      <c r="AA100">
        <v>0.99429509999999999</v>
      </c>
      <c r="AB100">
        <v>6</v>
      </c>
      <c r="AC100">
        <v>30.418199999999899</v>
      </c>
      <c r="AD100">
        <v>-1.109603935954</v>
      </c>
      <c r="AE100">
        <v>-3.3303999999999898</v>
      </c>
      <c r="AF100">
        <v>3.2681524492619101</v>
      </c>
      <c r="AG100">
        <v>-1.109603935954</v>
      </c>
      <c r="AH100">
        <v>30.384536223012098</v>
      </c>
      <c r="AI100">
        <v>92.079454820937201</v>
      </c>
      <c r="AJ100">
        <v>83.8608836188086</v>
      </c>
      <c r="AK100">
        <v>30.579929411524802</v>
      </c>
      <c r="AL100">
        <v>78.818879865729301</v>
      </c>
      <c r="AM100">
        <v>92.145325527434906</v>
      </c>
      <c r="AN100">
        <v>0.99999999773581205</v>
      </c>
    </row>
    <row r="101" spans="1:40" x14ac:dyDescent="0.25">
      <c r="A101" t="str">
        <f>"20190304155314793"</f>
        <v>20190304155314793</v>
      </c>
      <c r="B101" t="str">
        <f>"1551685994786075"</f>
        <v>1551685994786075</v>
      </c>
      <c r="C101" t="s">
        <v>40</v>
      </c>
      <c r="D101">
        <v>4.4120720000000002</v>
      </c>
      <c r="E101">
        <v>0.4807765</v>
      </c>
      <c r="F101" t="s">
        <v>46</v>
      </c>
      <c r="G101">
        <v>-361.15280000000001</v>
      </c>
      <c r="H101" s="1">
        <v>-5.051108E-6</v>
      </c>
      <c r="I101">
        <v>376.19740000000002</v>
      </c>
      <c r="J101">
        <v>-472.02370000000002</v>
      </c>
      <c r="K101">
        <v>1.1097410000000001</v>
      </c>
      <c r="L101">
        <v>367.21109999999999</v>
      </c>
      <c r="M101">
        <v>0.9999749</v>
      </c>
      <c r="N101">
        <v>-6.8105350000000004E-3</v>
      </c>
      <c r="O101">
        <v>-1.9336640000000001E-3</v>
      </c>
      <c r="P101">
        <v>0.98167649999999995</v>
      </c>
      <c r="Q101">
        <v>0.1863032</v>
      </c>
      <c r="R101">
        <v>4.002766E-2</v>
      </c>
      <c r="S101">
        <v>3.05307</v>
      </c>
      <c r="T101">
        <v>-3.053784E-2</v>
      </c>
      <c r="U101">
        <v>0.24731449999999999</v>
      </c>
      <c r="V101">
        <v>-4.1915059999999997E-2</v>
      </c>
      <c r="W101">
        <v>0.19298660000000001</v>
      </c>
      <c r="X101">
        <v>0.98030569999999895</v>
      </c>
      <c r="Y101">
        <v>-8.2661029999999996E-2</v>
      </c>
      <c r="Z101">
        <v>7.0083570000000004E-4</v>
      </c>
      <c r="AA101">
        <v>0.99657750000000001</v>
      </c>
      <c r="AB101">
        <v>6</v>
      </c>
      <c r="AC101">
        <v>110.87090000000001</v>
      </c>
      <c r="AD101">
        <v>-1.109746051108</v>
      </c>
      <c r="AE101">
        <v>8.9863000000000195</v>
      </c>
      <c r="AF101">
        <v>-9.1997595651614397</v>
      </c>
      <c r="AG101">
        <v>-1.109746051108</v>
      </c>
      <c r="AH101">
        <v>110.842283328768</v>
      </c>
      <c r="AI101">
        <v>90.571657118998203</v>
      </c>
      <c r="AJ101">
        <v>94.744597308124995</v>
      </c>
      <c r="AK101">
        <v>111.228948057103</v>
      </c>
      <c r="AL101">
        <v>78.872869494994106</v>
      </c>
      <c r="AM101">
        <v>92.448311943058897</v>
      </c>
      <c r="AN101">
        <v>0.99999998274342605</v>
      </c>
    </row>
    <row r="102" spans="1:40" x14ac:dyDescent="0.25">
      <c r="A102" t="str">
        <f>"20190304155314818"</f>
        <v>20190304155314818</v>
      </c>
      <c r="B102" t="str">
        <f>"1551685994806571"</f>
        <v>1551685994806571</v>
      </c>
      <c r="C102" t="s">
        <v>40</v>
      </c>
      <c r="D102">
        <v>4.4558400000000002</v>
      </c>
      <c r="E102">
        <v>0.48476180000000002</v>
      </c>
      <c r="F102" t="s">
        <v>47</v>
      </c>
      <c r="G102">
        <v>-431.85489999999999</v>
      </c>
      <c r="H102">
        <v>-0.05</v>
      </c>
      <c r="I102">
        <v>370.3347</v>
      </c>
      <c r="J102">
        <v>-471.96269999999998</v>
      </c>
      <c r="K102">
        <v>1.1102799999999999</v>
      </c>
      <c r="L102">
        <v>367.21100000000001</v>
      </c>
      <c r="M102">
        <v>0.99996189999999996</v>
      </c>
      <c r="N102">
        <v>-8.5178960000000005E-3</v>
      </c>
      <c r="O102">
        <v>-1.9583339999999999E-3</v>
      </c>
      <c r="P102">
        <v>0.98184689999999997</v>
      </c>
      <c r="Q102">
        <v>0.18445110000000001</v>
      </c>
      <c r="R102">
        <v>4.4208219999999999E-2</v>
      </c>
      <c r="S102">
        <v>3.0630489999999999</v>
      </c>
      <c r="T102">
        <v>-8.843529E-2</v>
      </c>
      <c r="U102">
        <v>0.2381897</v>
      </c>
      <c r="V102">
        <v>-4.6120979999999999E-2</v>
      </c>
      <c r="W102">
        <v>0.1928098</v>
      </c>
      <c r="X102">
        <v>0.98015169999999996</v>
      </c>
      <c r="Y102">
        <v>-7.9437530000000006E-2</v>
      </c>
      <c r="Z102">
        <v>1.523499E-3</v>
      </c>
      <c r="AA102">
        <v>0.99683869999999997</v>
      </c>
      <c r="AB102">
        <v>7</v>
      </c>
      <c r="AC102">
        <v>40.107799999999997</v>
      </c>
      <c r="AD102">
        <v>-1.16028</v>
      </c>
      <c r="AE102">
        <v>3.1236999999999799</v>
      </c>
      <c r="AF102">
        <v>-3.1995797707925</v>
      </c>
      <c r="AG102">
        <v>-1.16028</v>
      </c>
      <c r="AH102">
        <v>40.068275085758401</v>
      </c>
      <c r="AI102">
        <v>91.653422955274806</v>
      </c>
      <c r="AJ102">
        <v>94.565563327150002</v>
      </c>
      <c r="AK102">
        <v>40.2125630709617</v>
      </c>
      <c r="AL102">
        <v>78.883194145331899</v>
      </c>
      <c r="AM102">
        <v>92.694062304626996</v>
      </c>
      <c r="AN102">
        <v>1.00000005939254</v>
      </c>
    </row>
    <row r="103" spans="1:40" x14ac:dyDescent="0.25">
      <c r="A103" t="str">
        <f>"20190304155314838"</f>
        <v>20190304155314838</v>
      </c>
      <c r="B103" t="str">
        <f>"1551685994835851"</f>
        <v>1551685994835851</v>
      </c>
      <c r="C103" t="s">
        <v>40</v>
      </c>
      <c r="D103">
        <v>4.4695130000000001</v>
      </c>
      <c r="E103">
        <v>0.48825479999999999</v>
      </c>
      <c r="F103" t="s">
        <v>46</v>
      </c>
      <c r="G103">
        <v>-442.33839999999998</v>
      </c>
      <c r="H103" s="1">
        <v>-3.6558869999999999E-6</v>
      </c>
      <c r="I103">
        <v>369.3134</v>
      </c>
      <c r="J103">
        <v>-471.90839999999997</v>
      </c>
      <c r="K103">
        <v>1.110684</v>
      </c>
      <c r="L103">
        <v>367.21089999999998</v>
      </c>
      <c r="M103">
        <v>0.99994749999999999</v>
      </c>
      <c r="N103">
        <v>-1.005967E-2</v>
      </c>
      <c r="O103">
        <v>-1.977169E-3</v>
      </c>
      <c r="P103">
        <v>0.98201749999999999</v>
      </c>
      <c r="Q103">
        <v>0.18258759999999999</v>
      </c>
      <c r="R103">
        <v>4.7992300000000002E-2</v>
      </c>
      <c r="S103">
        <v>3.067291</v>
      </c>
      <c r="T103">
        <v>-0.11495850000000001</v>
      </c>
      <c r="U103">
        <v>0.21768190000000001</v>
      </c>
      <c r="V103">
        <v>-4.9925280000000002E-2</v>
      </c>
      <c r="W103">
        <v>0.1924584</v>
      </c>
      <c r="X103">
        <v>0.98003430000000002</v>
      </c>
      <c r="Y103">
        <v>-7.2697670000000006E-2</v>
      </c>
      <c r="Z103">
        <v>1.7805379999999999E-3</v>
      </c>
      <c r="AA103">
        <v>0.99735240000000003</v>
      </c>
      <c r="AB103">
        <v>6</v>
      </c>
      <c r="AC103">
        <v>29.57</v>
      </c>
      <c r="AD103">
        <v>-1.110687655887</v>
      </c>
      <c r="AE103">
        <v>2.10250000000002</v>
      </c>
      <c r="AF103">
        <v>-2.1579345222831399</v>
      </c>
      <c r="AG103">
        <v>-1.110687655887</v>
      </c>
      <c r="AH103">
        <v>29.524340062596899</v>
      </c>
      <c r="AI103">
        <v>92.148690046109294</v>
      </c>
      <c r="AJ103">
        <v>94.180316124169593</v>
      </c>
      <c r="AK103">
        <v>29.6239255434398</v>
      </c>
      <c r="AL103">
        <v>78.903711494359399</v>
      </c>
      <c r="AM103">
        <v>92.916262442324296</v>
      </c>
      <c r="AN103">
        <v>0.999999999245064</v>
      </c>
    </row>
    <row r="104" spans="1:40" x14ac:dyDescent="0.25">
      <c r="A104" t="str">
        <f>"20190304155314861"</f>
        <v>20190304155314861</v>
      </c>
      <c r="B104" t="str">
        <f>"1551685994855371"</f>
        <v>1551685994855371</v>
      </c>
      <c r="C104" t="s">
        <v>40</v>
      </c>
      <c r="D104">
        <v>4.7334779999999999</v>
      </c>
      <c r="E104">
        <v>0.48995450000000002</v>
      </c>
      <c r="F104" t="s">
        <v>46</v>
      </c>
      <c r="G104">
        <v>-443.85059999999999</v>
      </c>
      <c r="H104" s="1">
        <v>-2.9878969999999999E-6</v>
      </c>
      <c r="I104">
        <v>369.04950000000002</v>
      </c>
      <c r="J104">
        <v>-471.84829999999999</v>
      </c>
      <c r="K104">
        <v>1.1105039999999999</v>
      </c>
      <c r="L104">
        <v>367.21080000000001</v>
      </c>
      <c r="M104">
        <v>0.99995020000000001</v>
      </c>
      <c r="N104">
        <v>-9.7893770000000001E-3</v>
      </c>
      <c r="O104">
        <v>-1.9971619999999998E-3</v>
      </c>
      <c r="P104">
        <v>0.98187489999999999</v>
      </c>
      <c r="Q104">
        <v>0.18251790000000001</v>
      </c>
      <c r="R104">
        <v>5.108128E-2</v>
      </c>
      <c r="S104">
        <v>3.067688</v>
      </c>
      <c r="T104">
        <v>-0.1214364</v>
      </c>
      <c r="U104">
        <v>0.20101930000000001</v>
      </c>
      <c r="V104">
        <v>-5.3033900000000002E-2</v>
      </c>
      <c r="W104">
        <v>0.1921224</v>
      </c>
      <c r="X104">
        <v>0.97993699999999995</v>
      </c>
      <c r="Y104">
        <v>-6.7314139999999995E-2</v>
      </c>
      <c r="Z104">
        <v>1.7198129999999999E-3</v>
      </c>
      <c r="AA104">
        <v>0.99773040000000002</v>
      </c>
      <c r="AB104">
        <v>6</v>
      </c>
      <c r="AC104">
        <v>27.997699999999998</v>
      </c>
      <c r="AD104">
        <v>-1.110506987897</v>
      </c>
      <c r="AE104">
        <v>1.83870000000001</v>
      </c>
      <c r="AF104">
        <v>-1.8916516869262801</v>
      </c>
      <c r="AG104">
        <v>-1.110506987897</v>
      </c>
      <c r="AH104">
        <v>27.950187991801499</v>
      </c>
      <c r="AI104">
        <v>92.270071275868801</v>
      </c>
      <c r="AJ104">
        <v>93.871838985117805</v>
      </c>
      <c r="AK104">
        <v>28.036129915733099</v>
      </c>
      <c r="AL104">
        <v>78.9233297426902</v>
      </c>
      <c r="AM104">
        <v>93.097808530012202</v>
      </c>
      <c r="AN104">
        <v>1.0000000675499801</v>
      </c>
    </row>
    <row r="105" spans="1:40" x14ac:dyDescent="0.25">
      <c r="A105" t="str">
        <f>"20190304155314885"</f>
        <v>20190304155314885</v>
      </c>
      <c r="B105" t="str">
        <f>"1551685994875867"</f>
        <v>1551685994875867</v>
      </c>
      <c r="C105" t="s">
        <v>40</v>
      </c>
      <c r="D105">
        <v>4.4749889999999999</v>
      </c>
      <c r="E105">
        <v>0.49182140000000002</v>
      </c>
      <c r="F105" t="s">
        <v>46</v>
      </c>
      <c r="G105">
        <v>-442.12060000000002</v>
      </c>
      <c r="H105" s="1">
        <v>-3.7936610000000002E-6</v>
      </c>
      <c r="I105">
        <v>369.11720000000003</v>
      </c>
      <c r="J105">
        <v>-471.77859999999998</v>
      </c>
      <c r="K105">
        <v>1.110017</v>
      </c>
      <c r="L105">
        <v>367.2106</v>
      </c>
      <c r="M105">
        <v>0.99996390000000002</v>
      </c>
      <c r="N105">
        <v>-8.2606929999999995E-3</v>
      </c>
      <c r="O105">
        <v>-2.021484E-3</v>
      </c>
      <c r="P105">
        <v>0.981626</v>
      </c>
      <c r="Q105">
        <v>0.18313960000000001</v>
      </c>
      <c r="R105">
        <v>5.3578000000000001E-2</v>
      </c>
      <c r="S105">
        <v>3.0664370000000001</v>
      </c>
      <c r="T105">
        <v>-0.1145499</v>
      </c>
      <c r="U105">
        <v>0.19665530000000001</v>
      </c>
      <c r="V105">
        <v>-5.5553619999999998E-2</v>
      </c>
      <c r="W105">
        <v>0.191244</v>
      </c>
      <c r="X105">
        <v>0.97996910000000004</v>
      </c>
      <c r="Y105">
        <v>-6.5960489999999997E-2</v>
      </c>
      <c r="Z105">
        <v>1.561893E-3</v>
      </c>
      <c r="AA105">
        <v>0.99782099999999996</v>
      </c>
      <c r="AB105">
        <v>6</v>
      </c>
      <c r="AC105">
        <v>29.657999999999902</v>
      </c>
      <c r="AD105">
        <v>-1.110020793661</v>
      </c>
      <c r="AE105">
        <v>1.9066000000000201</v>
      </c>
      <c r="AF105">
        <v>-1.9638117180147301</v>
      </c>
      <c r="AG105">
        <v>-1.110020793661</v>
      </c>
      <c r="AH105">
        <v>29.612774032242299</v>
      </c>
      <c r="AI105">
        <v>92.141999525368405</v>
      </c>
      <c r="AJ105">
        <v>93.7940927318473</v>
      </c>
      <c r="AK105">
        <v>29.698570479247199</v>
      </c>
      <c r="AL105">
        <v>78.974607976051004</v>
      </c>
      <c r="AM105">
        <v>93.244576631548796</v>
      </c>
      <c r="AN105">
        <v>0.99999995459295599</v>
      </c>
    </row>
    <row r="106" spans="1:40" x14ac:dyDescent="0.25">
      <c r="A106" t="str">
        <f>"20190304155314908"</f>
        <v>20190304155314908</v>
      </c>
      <c r="B106" t="str">
        <f>"1551685994895387"</f>
        <v>1551685994895387</v>
      </c>
      <c r="C106" t="s">
        <v>40</v>
      </c>
      <c r="D106">
        <v>4.5293199999999896</v>
      </c>
      <c r="E106">
        <v>0.49323420000000001</v>
      </c>
      <c r="F106" t="s">
        <v>46</v>
      </c>
      <c r="G106">
        <v>-441.62909999999999</v>
      </c>
      <c r="H106" s="1">
        <v>-4.0338789999999997E-6</v>
      </c>
      <c r="I106">
        <v>369.07279999999997</v>
      </c>
      <c r="J106">
        <v>-471.7088</v>
      </c>
      <c r="K106">
        <v>1.1096820000000001</v>
      </c>
      <c r="L106">
        <v>367.21039999999999</v>
      </c>
      <c r="M106">
        <v>0.99997349999999996</v>
      </c>
      <c r="N106">
        <v>-6.9838629999999999E-3</v>
      </c>
      <c r="O106">
        <v>-2.0456889999999998E-3</v>
      </c>
      <c r="P106">
        <v>0.98147569999999995</v>
      </c>
      <c r="Q106">
        <v>0.1831419</v>
      </c>
      <c r="R106">
        <v>5.6256159999999999E-2</v>
      </c>
      <c r="S106">
        <v>3.0668950000000001</v>
      </c>
      <c r="T106">
        <v>-0.1129146</v>
      </c>
      <c r="U106">
        <v>0.1894226</v>
      </c>
      <c r="V106">
        <v>-5.82547E-2</v>
      </c>
      <c r="W106">
        <v>0.18999369999999999</v>
      </c>
      <c r="X106">
        <v>0.98005549999999997</v>
      </c>
      <c r="Y106">
        <v>-6.3635869999999997E-2</v>
      </c>
      <c r="Z106">
        <v>1.4534050000000001E-3</v>
      </c>
      <c r="AA106">
        <v>0.99797210000000003</v>
      </c>
      <c r="AB106">
        <v>7</v>
      </c>
      <c r="AC106">
        <v>30.079699999999999</v>
      </c>
      <c r="AD106">
        <v>-1.109686033879</v>
      </c>
      <c r="AE106">
        <v>1.8623999999999801</v>
      </c>
      <c r="AF106">
        <v>-1.921326406395</v>
      </c>
      <c r="AG106">
        <v>-1.109686033879</v>
      </c>
      <c r="AH106">
        <v>30.035105860069301</v>
      </c>
      <c r="AI106">
        <v>92.111592584362597</v>
      </c>
      <c r="AJ106">
        <v>93.660187014093907</v>
      </c>
      <c r="AK106">
        <v>30.116946762234502</v>
      </c>
      <c r="AL106">
        <v>79.047583457086006</v>
      </c>
      <c r="AM106">
        <v>93.401670466907404</v>
      </c>
      <c r="AN106">
        <v>0.99999999959601404</v>
      </c>
    </row>
    <row r="107" spans="1:40" x14ac:dyDescent="0.25">
      <c r="A107" t="str">
        <f>"20190304155314930"</f>
        <v>20190304155314930</v>
      </c>
      <c r="B107" t="str">
        <f>"1551685994925646"</f>
        <v>1551685994925646</v>
      </c>
      <c r="C107" t="s">
        <v>40</v>
      </c>
      <c r="D107">
        <v>4.4930440000000003</v>
      </c>
      <c r="E107">
        <v>0.4951218</v>
      </c>
      <c r="F107" t="s">
        <v>46</v>
      </c>
      <c r="G107">
        <v>-441.77800000000002</v>
      </c>
      <c r="H107" s="1">
        <v>-3.9717709999999997E-6</v>
      </c>
      <c r="I107">
        <v>369.02620000000002</v>
      </c>
      <c r="J107">
        <v>-471.637</v>
      </c>
      <c r="K107">
        <v>1.109505</v>
      </c>
      <c r="L107">
        <v>367.21030000000002</v>
      </c>
      <c r="M107">
        <v>0.99997959999999997</v>
      </c>
      <c r="N107">
        <v>-6.0567659999999999E-3</v>
      </c>
      <c r="O107">
        <v>-2.0692330000000002E-3</v>
      </c>
      <c r="P107">
        <v>0.98149410000000004</v>
      </c>
      <c r="Q107">
        <v>0.18260119999999999</v>
      </c>
      <c r="R107">
        <v>5.767369E-2</v>
      </c>
      <c r="S107">
        <v>3.0672000000000001</v>
      </c>
      <c r="T107">
        <v>-0.1137165</v>
      </c>
      <c r="U107">
        <v>0.1860657</v>
      </c>
      <c r="V107">
        <v>-5.9695560000000002E-2</v>
      </c>
      <c r="W107">
        <v>0.18854460000000001</v>
      </c>
      <c r="X107">
        <v>0.98024860000000003</v>
      </c>
      <c r="Y107">
        <v>-6.2566239999999995E-2</v>
      </c>
      <c r="Z107">
        <v>1.41219E-3</v>
      </c>
      <c r="AA107">
        <v>0.99803980000000003</v>
      </c>
      <c r="AB107">
        <v>7</v>
      </c>
      <c r="AC107">
        <v>29.858999999999899</v>
      </c>
      <c r="AD107">
        <v>-1.1095089717710001</v>
      </c>
      <c r="AE107">
        <v>1.8158999999999901</v>
      </c>
      <c r="AF107">
        <v>-1.8751029839642701</v>
      </c>
      <c r="AG107">
        <v>-1.1095089717710001</v>
      </c>
      <c r="AH107">
        <v>29.814164642097499</v>
      </c>
      <c r="AI107">
        <v>92.127031844974695</v>
      </c>
      <c r="AJ107">
        <v>93.598764842568798</v>
      </c>
      <c r="AK107">
        <v>29.893668805702202</v>
      </c>
      <c r="AL107">
        <v>79.132138797816907</v>
      </c>
      <c r="AM107">
        <v>93.484916818310097</v>
      </c>
      <c r="AN107">
        <v>0.99999997193741597</v>
      </c>
    </row>
    <row r="108" spans="1:40" x14ac:dyDescent="0.25">
      <c r="A108" t="str">
        <f>"20190304155314950"</f>
        <v>20190304155314950</v>
      </c>
      <c r="B108" t="str">
        <f>"1551685994946139"</f>
        <v>1551685994946139</v>
      </c>
      <c r="C108" t="s">
        <v>40</v>
      </c>
      <c r="D108">
        <v>4.5403710000000004</v>
      </c>
      <c r="E108">
        <v>0.49632290000000001</v>
      </c>
      <c r="F108" t="s">
        <v>46</v>
      </c>
      <c r="G108">
        <v>-441.9273</v>
      </c>
      <c r="H108" s="1">
        <v>-3.9233259999999996E-6</v>
      </c>
      <c r="I108">
        <v>368.90120000000002</v>
      </c>
      <c r="J108">
        <v>-471.57389999999998</v>
      </c>
      <c r="K108">
        <v>1.1094079999999999</v>
      </c>
      <c r="L108">
        <v>367.21019999999999</v>
      </c>
      <c r="M108">
        <v>0.99998310000000001</v>
      </c>
      <c r="N108">
        <v>-5.4123309999999899E-3</v>
      </c>
      <c r="O108">
        <v>-2.0866819999999999E-3</v>
      </c>
      <c r="P108">
        <v>0.98145340000000003</v>
      </c>
      <c r="Q108">
        <v>0.1824904</v>
      </c>
      <c r="R108">
        <v>5.8706790000000002E-2</v>
      </c>
      <c r="S108">
        <v>3.0676570000000001</v>
      </c>
      <c r="T108">
        <v>-0.114561999999999</v>
      </c>
      <c r="U108">
        <v>0.1745911</v>
      </c>
      <c r="V108">
        <v>-6.0746189999999999E-2</v>
      </c>
      <c r="W108">
        <v>0.18780179999999999</v>
      </c>
      <c r="X108">
        <v>0.9803267</v>
      </c>
      <c r="Y108">
        <v>-5.8856850000000002E-2</v>
      </c>
      <c r="Z108">
        <v>1.323765E-3</v>
      </c>
      <c r="AA108">
        <v>0.99826559999999998</v>
      </c>
      <c r="AB108">
        <v>7</v>
      </c>
      <c r="AC108">
        <v>29.6465999999999</v>
      </c>
      <c r="AD108">
        <v>-1.109411923326</v>
      </c>
      <c r="AE108">
        <v>1.69100000000003</v>
      </c>
      <c r="AF108">
        <v>-1.7504170122476801</v>
      </c>
      <c r="AG108">
        <v>-1.109411923326</v>
      </c>
      <c r="AH108">
        <v>29.601688591892302</v>
      </c>
      <c r="AI108">
        <v>92.142587222920596</v>
      </c>
      <c r="AJ108">
        <v>93.384092677825706</v>
      </c>
      <c r="AK108">
        <v>29.674142313194999</v>
      </c>
      <c r="AL108">
        <v>79.175472825027995</v>
      </c>
      <c r="AM108">
        <v>93.545813716754594</v>
      </c>
      <c r="AN108">
        <v>1.00000002720782</v>
      </c>
    </row>
    <row r="109" spans="1:40" x14ac:dyDescent="0.25">
      <c r="A109" t="str">
        <f>"20190304155314972"</f>
        <v>20190304155314972</v>
      </c>
      <c r="B109" t="str">
        <f>"1551685994965659"</f>
        <v>1551685994965659</v>
      </c>
      <c r="C109" t="s">
        <v>40</v>
      </c>
      <c r="D109">
        <v>4.5230819999999996</v>
      </c>
      <c r="E109">
        <v>0.49741010000000002</v>
      </c>
      <c r="F109" t="s">
        <v>46</v>
      </c>
      <c r="G109">
        <v>-441.40499999999997</v>
      </c>
      <c r="H109" s="1">
        <v>-4.1763129999999999E-6</v>
      </c>
      <c r="I109">
        <v>368.86689999999999</v>
      </c>
      <c r="J109">
        <v>-471.49939999999998</v>
      </c>
      <c r="K109">
        <v>1.109559</v>
      </c>
      <c r="L109">
        <v>367.21</v>
      </c>
      <c r="M109">
        <v>0.99998240000000005</v>
      </c>
      <c r="N109">
        <v>-5.5422580000000004E-3</v>
      </c>
      <c r="O109">
        <v>-2.104552E-3</v>
      </c>
      <c r="P109">
        <v>0.98165619999999998</v>
      </c>
      <c r="Q109">
        <v>0.18121989999999999</v>
      </c>
      <c r="R109">
        <v>5.9246849999999997E-2</v>
      </c>
      <c r="S109">
        <v>3.067596</v>
      </c>
      <c r="T109">
        <v>-0.11280610000000001</v>
      </c>
      <c r="U109">
        <v>0.168457</v>
      </c>
      <c r="V109">
        <v>-6.1304829999999998E-2</v>
      </c>
      <c r="W109">
        <v>0.18665979999999999</v>
      </c>
      <c r="X109">
        <v>0.98050999999999999</v>
      </c>
      <c r="Y109">
        <v>-5.6888519999999998E-2</v>
      </c>
      <c r="Z109">
        <v>1.268337E-3</v>
      </c>
      <c r="AA109">
        <v>0.99837969999999998</v>
      </c>
      <c r="AB109">
        <v>7</v>
      </c>
      <c r="AC109">
        <v>30.0944</v>
      </c>
      <c r="AD109">
        <v>-1.1095631763130001</v>
      </c>
      <c r="AE109">
        <v>1.6569</v>
      </c>
      <c r="AF109">
        <v>-1.71790435121095</v>
      </c>
      <c r="AG109">
        <v>-1.1095631763130001</v>
      </c>
      <c r="AH109">
        <v>30.050120950688701</v>
      </c>
      <c r="AI109">
        <v>92.111170537392795</v>
      </c>
      <c r="AJ109">
        <v>93.271921981390506</v>
      </c>
      <c r="AK109">
        <v>30.119629728022201</v>
      </c>
      <c r="AL109">
        <v>79.242082367069202</v>
      </c>
      <c r="AM109">
        <v>93.577670521597994</v>
      </c>
      <c r="AN109">
        <v>1.00000001160868</v>
      </c>
    </row>
    <row r="110" spans="1:40" x14ac:dyDescent="0.25">
      <c r="A110" t="str">
        <f>"20190304155314994"</f>
        <v>20190304155314994</v>
      </c>
      <c r="B110" t="str">
        <f>"1551685994986155"</f>
        <v>1551685994986155</v>
      </c>
      <c r="C110" t="s">
        <v>40</v>
      </c>
      <c r="D110">
        <v>4.5698699999999999</v>
      </c>
      <c r="E110">
        <v>0.49897370000000002</v>
      </c>
      <c r="F110" t="s">
        <v>46</v>
      </c>
      <c r="G110">
        <v>-441.76479999999998</v>
      </c>
      <c r="H110" s="1">
        <v>-4.0226579999999997E-6</v>
      </c>
      <c r="I110">
        <v>368.77429999999998</v>
      </c>
      <c r="J110">
        <v>-471.43110000000001</v>
      </c>
      <c r="K110">
        <v>1.1100219999999901</v>
      </c>
      <c r="L110">
        <v>367.20979999999997</v>
      </c>
      <c r="M110">
        <v>0.99997349999999996</v>
      </c>
      <c r="N110">
        <v>-6.9934539999999996E-3</v>
      </c>
      <c r="O110">
        <v>-2.1201919999999999E-3</v>
      </c>
      <c r="P110">
        <v>0.98216040000000004</v>
      </c>
      <c r="Q110">
        <v>0.178399799999999</v>
      </c>
      <c r="R110">
        <v>5.945288E-2</v>
      </c>
      <c r="S110">
        <v>3.0674739999999998</v>
      </c>
      <c r="T110">
        <v>-0.1144645</v>
      </c>
      <c r="U110">
        <v>0.16137699999999999</v>
      </c>
      <c r="V110">
        <v>-6.1527999999999999E-2</v>
      </c>
      <c r="W110">
        <v>0.1852656</v>
      </c>
      <c r="X110">
        <v>0.98076039999999998</v>
      </c>
      <c r="Y110">
        <v>-5.4607610000000001E-2</v>
      </c>
      <c r="Z110">
        <v>1.2731820000000001E-3</v>
      </c>
      <c r="AA110">
        <v>0.99850709999999998</v>
      </c>
      <c r="AB110">
        <v>7</v>
      </c>
      <c r="AC110">
        <v>29.6663</v>
      </c>
      <c r="AD110">
        <v>-1.1100260226580001</v>
      </c>
      <c r="AE110">
        <v>1.5645</v>
      </c>
      <c r="AF110">
        <v>-1.6251273324720801</v>
      </c>
      <c r="AG110">
        <v>-1.1100260226580001</v>
      </c>
      <c r="AH110">
        <v>29.621559932044399</v>
      </c>
      <c r="AI110">
        <v>92.142854537046304</v>
      </c>
      <c r="AJ110">
        <v>93.140269594245098</v>
      </c>
      <c r="AK110">
        <v>29.686865941446602</v>
      </c>
      <c r="AL110">
        <v>79.323382151684996</v>
      </c>
      <c r="AM110">
        <v>93.589746080677799</v>
      </c>
      <c r="AN110">
        <v>0.99999999976775999</v>
      </c>
    </row>
    <row r="111" spans="1:40" x14ac:dyDescent="0.25">
      <c r="A111" t="str">
        <f>"20190304155315017"</f>
        <v>20190304155315017</v>
      </c>
      <c r="B111" t="str">
        <f>"1551685995005678"</f>
        <v>1551685995005678</v>
      </c>
      <c r="C111" t="s">
        <v>40</v>
      </c>
      <c r="D111">
        <v>4.5523480000000003</v>
      </c>
      <c r="E111">
        <v>0.50002049999999998</v>
      </c>
      <c r="F111" t="s">
        <v>46</v>
      </c>
      <c r="G111">
        <v>-442.60759999999999</v>
      </c>
      <c r="H111" s="1">
        <v>-3.6525499999999999E-6</v>
      </c>
      <c r="I111">
        <v>368.61489999999998</v>
      </c>
      <c r="J111">
        <v>-471.36779999999999</v>
      </c>
      <c r="K111">
        <v>1.110471</v>
      </c>
      <c r="L111">
        <v>367.2097</v>
      </c>
      <c r="M111">
        <v>0.99996030000000002</v>
      </c>
      <c r="N111">
        <v>-8.6589919999999904E-3</v>
      </c>
      <c r="O111">
        <v>-2.1301559999999998E-3</v>
      </c>
      <c r="P111">
        <v>0.98272479999999995</v>
      </c>
      <c r="Q111">
        <v>0.1752841</v>
      </c>
      <c r="R111">
        <v>5.9393509999999997E-2</v>
      </c>
      <c r="S111">
        <v>3.0668950000000001</v>
      </c>
      <c r="T111">
        <v>-0.1181096</v>
      </c>
      <c r="U111">
        <v>0.14950559999999999</v>
      </c>
      <c r="V111">
        <v>-6.1481300000000003E-2</v>
      </c>
      <c r="W111">
        <v>0.18378739999999999</v>
      </c>
      <c r="X111">
        <v>0.98104139999999995</v>
      </c>
      <c r="Y111">
        <v>-5.0771040000000003E-2</v>
      </c>
      <c r="Z111">
        <v>1.2602589999999999E-3</v>
      </c>
      <c r="AA111">
        <v>0.99870950000000003</v>
      </c>
      <c r="AB111">
        <v>7</v>
      </c>
      <c r="AC111">
        <v>28.760200000000001</v>
      </c>
      <c r="AD111">
        <v>-1.11047465255</v>
      </c>
      <c r="AE111">
        <v>1.40519999999997</v>
      </c>
      <c r="AF111">
        <v>-1.46428498947013</v>
      </c>
      <c r="AG111">
        <v>-1.11047465255</v>
      </c>
      <c r="AH111">
        <v>28.714434418123499</v>
      </c>
      <c r="AI111">
        <v>92.2118275105083</v>
      </c>
      <c r="AJ111">
        <v>92.919254405413</v>
      </c>
      <c r="AK111">
        <v>28.773182452364601</v>
      </c>
      <c r="AL111">
        <v>79.409556543074302</v>
      </c>
      <c r="AM111">
        <v>93.586003813066398</v>
      </c>
      <c r="AN111">
        <v>0.99999999358120495</v>
      </c>
    </row>
    <row r="112" spans="1:40" x14ac:dyDescent="0.25">
      <c r="A112" t="str">
        <f>"20190304155315038"</f>
        <v>20190304155315038</v>
      </c>
      <c r="B112" t="str">
        <f>"1551685995035931"</f>
        <v>1551685995035931</v>
      </c>
      <c r="C112" t="s">
        <v>40</v>
      </c>
      <c r="D112">
        <v>4.4848150000000002</v>
      </c>
      <c r="E112">
        <v>0.51607320000000001</v>
      </c>
      <c r="F112" t="s">
        <v>46</v>
      </c>
      <c r="G112">
        <v>-444.07760000000002</v>
      </c>
      <c r="H112" s="1">
        <v>-2.984157E-6</v>
      </c>
      <c r="I112">
        <v>368.46550000000002</v>
      </c>
      <c r="J112">
        <v>-471.30009999999999</v>
      </c>
      <c r="K112">
        <v>1.1103829999999999</v>
      </c>
      <c r="L112">
        <v>367.20960000000002</v>
      </c>
      <c r="M112">
        <v>0.99995639999999997</v>
      </c>
      <c r="N112">
        <v>-9.0921370000000001E-3</v>
      </c>
      <c r="O112">
        <v>-2.1342050000000001E-3</v>
      </c>
      <c r="P112">
        <v>0.98295650000000001</v>
      </c>
      <c r="Q112">
        <v>0.1739436</v>
      </c>
      <c r="R112">
        <v>5.9502310000000003E-2</v>
      </c>
      <c r="S112">
        <v>3.0664980000000002</v>
      </c>
      <c r="T112">
        <v>-0.1247801</v>
      </c>
      <c r="U112">
        <v>0.141113299999999</v>
      </c>
      <c r="V112">
        <v>-6.159535E-2</v>
      </c>
      <c r="W112">
        <v>0.1828738</v>
      </c>
      <c r="X112">
        <v>0.98120499999999999</v>
      </c>
      <c r="Y112">
        <v>-4.8051389999999999E-2</v>
      </c>
      <c r="Z112">
        <v>1.262769E-3</v>
      </c>
      <c r="AA112">
        <v>0.99884410000000001</v>
      </c>
      <c r="AB112">
        <v>7</v>
      </c>
      <c r="AC112">
        <v>27.222499999999901</v>
      </c>
      <c r="AD112">
        <v>-1.1103859841570001</v>
      </c>
      <c r="AE112">
        <v>1.25589999999999</v>
      </c>
      <c r="AF112">
        <v>-1.3118200115915</v>
      </c>
      <c r="AG112">
        <v>-1.1103859841570001</v>
      </c>
      <c r="AH112">
        <v>27.174641353011499</v>
      </c>
      <c r="AI112">
        <v>92.337148859501099</v>
      </c>
      <c r="AJ112">
        <v>92.763732787186598</v>
      </c>
      <c r="AK112">
        <v>27.228936105573901</v>
      </c>
      <c r="AL112">
        <v>79.462804871148805</v>
      </c>
      <c r="AM112">
        <v>93.592041125622899</v>
      </c>
      <c r="AN112">
        <v>1.0000000329465299</v>
      </c>
    </row>
    <row r="113" spans="1:40" x14ac:dyDescent="0.25">
      <c r="A113" t="str">
        <f>"20190304155315062"</f>
        <v>20190304155315062</v>
      </c>
      <c r="B113" t="str">
        <f>"1551685995055451"</f>
        <v>1551685995055451</v>
      </c>
      <c r="C113" t="s">
        <v>40</v>
      </c>
      <c r="D113">
        <v>4.4984799999999998</v>
      </c>
      <c r="E113">
        <v>0.51842279999999996</v>
      </c>
      <c r="F113" t="s">
        <v>47</v>
      </c>
      <c r="G113">
        <v>-431.31540000000001</v>
      </c>
      <c r="H113">
        <v>-0.05</v>
      </c>
      <c r="I113">
        <v>367.41640000000001</v>
      </c>
      <c r="J113">
        <v>-471.226</v>
      </c>
      <c r="K113">
        <v>1.109882</v>
      </c>
      <c r="L113">
        <v>367.20929999999998</v>
      </c>
      <c r="M113">
        <v>0.99996370000000001</v>
      </c>
      <c r="N113">
        <v>-8.2492669999999994E-3</v>
      </c>
      <c r="O113">
        <v>-2.1362640000000001E-3</v>
      </c>
      <c r="P113">
        <v>0.98300390000000004</v>
      </c>
      <c r="Q113">
        <v>0.17364309999999999</v>
      </c>
      <c r="R113">
        <v>5.959499E-2</v>
      </c>
      <c r="S113">
        <v>3.0668329999999999</v>
      </c>
      <c r="T113">
        <v>-8.9001659999999996E-2</v>
      </c>
      <c r="U113">
        <v>1.586914E-2</v>
      </c>
      <c r="V113">
        <v>-6.1690330000000002E-2</v>
      </c>
      <c r="W113">
        <v>0.18174670000000001</v>
      </c>
      <c r="X113">
        <v>0.98140839999999996</v>
      </c>
      <c r="Y113">
        <v>-7.3062530000000004E-3</v>
      </c>
      <c r="Z113">
        <v>1.805001E-4</v>
      </c>
      <c r="AA113">
        <v>0.99997329999999995</v>
      </c>
      <c r="AB113">
        <v>6</v>
      </c>
      <c r="AC113">
        <v>39.910599999999903</v>
      </c>
      <c r="AD113">
        <v>-1.1598820000000001</v>
      </c>
      <c r="AE113">
        <v>0.20710000000002499</v>
      </c>
      <c r="AF113">
        <v>-0.29211529192312902</v>
      </c>
      <c r="AG113">
        <v>-1.1598820000000001</v>
      </c>
      <c r="AH113">
        <v>39.876387797542101</v>
      </c>
      <c r="AI113">
        <v>91.666044322546099</v>
      </c>
      <c r="AJ113">
        <v>90.419713893501296</v>
      </c>
      <c r="AK113">
        <v>39.8943224203353</v>
      </c>
      <c r="AL113">
        <v>79.528483343126993</v>
      </c>
      <c r="AM113">
        <v>93.596821866478095</v>
      </c>
      <c r="AN113">
        <v>1.00000000368347</v>
      </c>
    </row>
    <row r="114" spans="1:40" x14ac:dyDescent="0.25">
      <c r="A114" t="str">
        <f>"20190304155315085"</f>
        <v>20190304155315085</v>
      </c>
      <c r="B114" t="str">
        <f>"1551685995075948"</f>
        <v>1551685995075948</v>
      </c>
      <c r="C114" t="s">
        <v>40</v>
      </c>
      <c r="D114">
        <v>4.4520269999999904</v>
      </c>
      <c r="E114">
        <v>0.51857880000000001</v>
      </c>
      <c r="F114" t="s">
        <v>47</v>
      </c>
      <c r="G114">
        <v>-433.24889999999999</v>
      </c>
      <c r="H114">
        <v>-0.05</v>
      </c>
      <c r="I114">
        <v>367.173</v>
      </c>
      <c r="J114">
        <v>-471.14550000000003</v>
      </c>
      <c r="K114">
        <v>1.1094200000000001</v>
      </c>
      <c r="L114">
        <v>367.20920000000001</v>
      </c>
      <c r="M114">
        <v>0.99997159999999996</v>
      </c>
      <c r="N114">
        <v>-7.2270769999999897E-3</v>
      </c>
      <c r="O114">
        <v>-2.1386280000000001E-3</v>
      </c>
      <c r="P114">
        <v>0.9828711</v>
      </c>
      <c r="Q114">
        <v>0.1744513</v>
      </c>
      <c r="R114">
        <v>5.9424390000000001E-2</v>
      </c>
      <c r="S114">
        <v>3.0686040000000001</v>
      </c>
      <c r="T114">
        <v>-9.3720079999999997E-2</v>
      </c>
      <c r="U114">
        <v>-2.9296880000000002E-3</v>
      </c>
      <c r="V114">
        <v>-6.1521340000000001E-2</v>
      </c>
      <c r="W114">
        <v>0.18155070000000001</v>
      </c>
      <c r="X114">
        <v>0.98145530000000003</v>
      </c>
      <c r="Y114">
        <v>-1.1826930000000001E-3</v>
      </c>
      <c r="Z114" s="1">
        <v>7.2179810000000004E-5</v>
      </c>
      <c r="AA114">
        <v>0.99999930000000004</v>
      </c>
      <c r="AB114">
        <v>7</v>
      </c>
      <c r="AC114">
        <v>37.896599999999999</v>
      </c>
      <c r="AD114">
        <v>-1.1594199999999999</v>
      </c>
      <c r="AE114">
        <v>-3.6200000000007997E-2</v>
      </c>
      <c r="AF114">
        <v>-4.4806989279281798E-2</v>
      </c>
      <c r="AG114">
        <v>-1.1594199999999999</v>
      </c>
      <c r="AH114">
        <v>37.861152318238403</v>
      </c>
      <c r="AI114">
        <v>91.754016151601505</v>
      </c>
      <c r="AJ114">
        <v>90.067806974237797</v>
      </c>
      <c r="AK114">
        <v>37.878927087069599</v>
      </c>
      <c r="AL114">
        <v>79.539903465398496</v>
      </c>
      <c r="AM114">
        <v>93.586823792866994</v>
      </c>
      <c r="AN114">
        <v>1.00000001892198</v>
      </c>
    </row>
    <row r="115" spans="1:40" x14ac:dyDescent="0.25">
      <c r="A115" t="str">
        <f>"20190304155315109"</f>
        <v>20190304155315109</v>
      </c>
      <c r="B115" t="str">
        <f>"1551685995106202"</f>
        <v>1551685995106202</v>
      </c>
      <c r="C115" t="s">
        <v>40</v>
      </c>
      <c r="D115">
        <v>4.4277119999999996</v>
      </c>
      <c r="E115">
        <v>0.51839670000000004</v>
      </c>
      <c r="F115" t="s">
        <v>47</v>
      </c>
      <c r="G115">
        <v>-428.1463</v>
      </c>
      <c r="H115">
        <v>-0.05</v>
      </c>
      <c r="I115">
        <v>367.16379999999998</v>
      </c>
      <c r="J115">
        <v>-471.06650000000002</v>
      </c>
      <c r="K115">
        <v>1.1091279999999999</v>
      </c>
      <c r="L115">
        <v>367.209</v>
      </c>
      <c r="M115">
        <v>0.99997670000000005</v>
      </c>
      <c r="N115">
        <v>-6.4939369999999904E-3</v>
      </c>
      <c r="O115">
        <v>-2.1424349999999998E-3</v>
      </c>
      <c r="P115">
        <v>0.98300160000000003</v>
      </c>
      <c r="Q115">
        <v>0.17376629999999901</v>
      </c>
      <c r="R115">
        <v>5.9274569999999999E-2</v>
      </c>
      <c r="S115">
        <v>3.0671689999999998</v>
      </c>
      <c r="T115">
        <v>-8.2702399999999995E-2</v>
      </c>
      <c r="U115">
        <v>-3.2348630000000001E-3</v>
      </c>
      <c r="V115">
        <v>-6.1375510000000001E-2</v>
      </c>
      <c r="W115">
        <v>0.1801471</v>
      </c>
      <c r="X115">
        <v>0.98172300000000001</v>
      </c>
      <c r="Y115">
        <v>-1.0868690000000001E-3</v>
      </c>
      <c r="Z115" s="1">
        <v>6.20267E-5</v>
      </c>
      <c r="AA115">
        <v>0.99999939999999998</v>
      </c>
      <c r="AB115">
        <v>8</v>
      </c>
      <c r="AC115">
        <v>42.920200000000001</v>
      </c>
      <c r="AD115">
        <v>-1.1591279999999999</v>
      </c>
      <c r="AE115">
        <v>-4.52000000000225E-2</v>
      </c>
      <c r="AF115">
        <v>-4.6721697255418797E-2</v>
      </c>
      <c r="AG115">
        <v>-1.1591279999999999</v>
      </c>
      <c r="AH115">
        <v>42.888917096383501</v>
      </c>
      <c r="AI115">
        <v>91.548114167647697</v>
      </c>
      <c r="AJ115">
        <v>90.062416008300602</v>
      </c>
      <c r="AK115">
        <v>42.904603136934298</v>
      </c>
      <c r="AL115">
        <v>79.621671813996201</v>
      </c>
      <c r="AM115">
        <v>93.577370491619405</v>
      </c>
      <c r="AN115">
        <v>0.99999998979758498</v>
      </c>
    </row>
    <row r="116" spans="1:40" x14ac:dyDescent="0.25">
      <c r="A116" t="str">
        <f>"20190304155315130"</f>
        <v>20190304155315130</v>
      </c>
      <c r="B116" t="str">
        <f>"1551685995125724"</f>
        <v>1551685995125724</v>
      </c>
      <c r="C116" t="s">
        <v>40</v>
      </c>
      <c r="D116">
        <v>4.3685559999999999</v>
      </c>
      <c r="E116">
        <v>0.51836680000000002</v>
      </c>
      <c r="F116" t="s">
        <v>47</v>
      </c>
      <c r="G116">
        <v>-424.31490000000002</v>
      </c>
      <c r="H116">
        <v>-0.05</v>
      </c>
      <c r="I116">
        <v>367.19690000000003</v>
      </c>
      <c r="J116">
        <v>-470.99020000000002</v>
      </c>
      <c r="K116">
        <v>1.1089580000000001</v>
      </c>
      <c r="L116">
        <v>367.20890000000003</v>
      </c>
      <c r="M116">
        <v>0.99998019999999999</v>
      </c>
      <c r="N116">
        <v>-5.929017E-3</v>
      </c>
      <c r="O116">
        <v>-2.1477179999999998E-3</v>
      </c>
      <c r="P116">
        <v>0.98318910000000004</v>
      </c>
      <c r="Q116">
        <v>0.172731</v>
      </c>
      <c r="R116">
        <v>5.9190359999999997E-2</v>
      </c>
      <c r="S116">
        <v>3.0653990000000002</v>
      </c>
      <c r="T116">
        <v>-7.6001520000000003E-2</v>
      </c>
      <c r="U116">
        <v>-7.9345700000000002E-4</v>
      </c>
      <c r="V116">
        <v>-6.1296179999999999E-2</v>
      </c>
      <c r="W116">
        <v>0.1785582</v>
      </c>
      <c r="X116">
        <v>0.98201819999999895</v>
      </c>
      <c r="Y116">
        <v>-1.887812E-3</v>
      </c>
      <c r="Z116" s="1">
        <v>6.9504969999999896E-5</v>
      </c>
      <c r="AA116">
        <v>0.99999819999999995</v>
      </c>
      <c r="AB116">
        <v>8</v>
      </c>
      <c r="AC116">
        <v>46.675299999999901</v>
      </c>
      <c r="AD116">
        <v>-1.1589579999999999</v>
      </c>
      <c r="AE116">
        <v>-1.2000000000000399E-2</v>
      </c>
      <c r="AF116">
        <v>-8.81927889607758E-2</v>
      </c>
      <c r="AG116">
        <v>-1.1589579999999999</v>
      </c>
      <c r="AH116">
        <v>46.646458720553802</v>
      </c>
      <c r="AI116">
        <v>91.4232511243235</v>
      </c>
      <c r="AJ116">
        <v>90.108326949325303</v>
      </c>
      <c r="AK116">
        <v>46.6609373328711</v>
      </c>
      <c r="AL116">
        <v>79.714209697860596</v>
      </c>
      <c r="AM116">
        <v>93.571687389202594</v>
      </c>
      <c r="AN116">
        <v>0.99999999880053503</v>
      </c>
    </row>
    <row r="117" spans="1:40" x14ac:dyDescent="0.25">
      <c r="A117" t="str">
        <f>"20190304155315152"</f>
        <v>20190304155315152</v>
      </c>
      <c r="B117" t="str">
        <f>"1551685995145243"</f>
        <v>1551685995145243</v>
      </c>
      <c r="C117" t="s">
        <v>40</v>
      </c>
      <c r="D117">
        <v>4.3850069999999999</v>
      </c>
      <c r="E117">
        <v>0.51793900000000004</v>
      </c>
      <c r="F117" t="s">
        <v>47</v>
      </c>
      <c r="G117">
        <v>-425.21640000000002</v>
      </c>
      <c r="H117">
        <v>-0.05</v>
      </c>
      <c r="I117">
        <v>367.2029</v>
      </c>
      <c r="J117">
        <v>-470.91149999999999</v>
      </c>
      <c r="K117">
        <v>1.1088499999999999</v>
      </c>
      <c r="L117">
        <v>367.20859999999999</v>
      </c>
      <c r="M117">
        <v>0.99998310000000001</v>
      </c>
      <c r="N117">
        <v>-5.41041E-3</v>
      </c>
      <c r="O117">
        <v>-2.1540000000000001E-3</v>
      </c>
      <c r="P117">
        <v>0.98316999999999999</v>
      </c>
      <c r="Q117">
        <v>0.17278940000000001</v>
      </c>
      <c r="R117">
        <v>5.9335720000000002E-2</v>
      </c>
      <c r="S117">
        <v>3.0649109999999999</v>
      </c>
      <c r="T117">
        <v>-7.760119E-2</v>
      </c>
      <c r="U117">
        <v>-3.9672850000000001E-4</v>
      </c>
      <c r="V117">
        <v>-6.1447359999999999E-2</v>
      </c>
      <c r="W117">
        <v>0.17810780000000001</v>
      </c>
      <c r="X117">
        <v>0.98209049999999998</v>
      </c>
      <c r="Y117">
        <v>-2.0233759999999999E-3</v>
      </c>
      <c r="Z117" s="1">
        <v>7.3962019999999996E-5</v>
      </c>
      <c r="AA117">
        <v>0.99999800000000005</v>
      </c>
      <c r="AB117">
        <v>8</v>
      </c>
      <c r="AC117">
        <v>45.695099999999897</v>
      </c>
      <c r="AD117">
        <v>-1.1588499999999999</v>
      </c>
      <c r="AE117">
        <v>-5.6999999999902597E-3</v>
      </c>
      <c r="AF117">
        <v>-9.2669093198145605E-2</v>
      </c>
      <c r="AG117">
        <v>-1.1588499999999999</v>
      </c>
      <c r="AH117">
        <v>45.665636218210899</v>
      </c>
      <c r="AI117">
        <v>91.453671415534799</v>
      </c>
      <c r="AJ117">
        <v>90.116269936936604</v>
      </c>
      <c r="AK117">
        <v>45.680431829146599</v>
      </c>
      <c r="AL117">
        <v>79.740435702045801</v>
      </c>
      <c r="AM117">
        <v>93.580210755293606</v>
      </c>
      <c r="AN117">
        <v>0.99999995833102895</v>
      </c>
    </row>
    <row r="118" spans="1:40" x14ac:dyDescent="0.25">
      <c r="A118" t="str">
        <f>"20190304155315173"</f>
        <v>20190304155315173</v>
      </c>
      <c r="B118" t="str">
        <f>"1551685995165739"</f>
        <v>1551685995165739</v>
      </c>
      <c r="C118" t="s">
        <v>40</v>
      </c>
      <c r="D118">
        <v>4.3777019999999904</v>
      </c>
      <c r="E118">
        <v>0.51824899999999996</v>
      </c>
      <c r="F118" t="s">
        <v>47</v>
      </c>
      <c r="G118">
        <v>-424.77440000000001</v>
      </c>
      <c r="H118">
        <v>-0.05</v>
      </c>
      <c r="I118">
        <v>367.26420000000002</v>
      </c>
      <c r="J118">
        <v>-470.83179999999999</v>
      </c>
      <c r="K118">
        <v>1.1088070000000001</v>
      </c>
      <c r="L118">
        <v>367.20850000000002</v>
      </c>
      <c r="M118">
        <v>0.99998520000000002</v>
      </c>
      <c r="N118">
        <v>-5.0040400000000004E-3</v>
      </c>
      <c r="O118">
        <v>-2.1606939999999999E-3</v>
      </c>
      <c r="P118">
        <v>0.98309290000000005</v>
      </c>
      <c r="Q118">
        <v>0.1732417</v>
      </c>
      <c r="R118">
        <v>5.9296000000000001E-2</v>
      </c>
      <c r="S118">
        <v>3.064667</v>
      </c>
      <c r="T118">
        <v>-7.6976899999999904E-2</v>
      </c>
      <c r="U118">
        <v>3.692627E-3</v>
      </c>
      <c r="V118">
        <v>-6.1413049999999997E-2</v>
      </c>
      <c r="W118">
        <v>0.17816080000000001</v>
      </c>
      <c r="X118">
        <v>0.98208309999999999</v>
      </c>
      <c r="Y118">
        <v>-3.3639099999999999E-3</v>
      </c>
      <c r="Z118" s="1">
        <v>9.4109960000000002E-5</v>
      </c>
      <c r="AA118">
        <v>0.9999943</v>
      </c>
      <c r="AB118">
        <v>8</v>
      </c>
      <c r="AC118">
        <v>46.057399999999902</v>
      </c>
      <c r="AD118">
        <v>-1.1588069999999999</v>
      </c>
      <c r="AE118">
        <v>5.5700000000001602E-2</v>
      </c>
      <c r="AF118">
        <v>-0.155118863814592</v>
      </c>
      <c r="AG118">
        <v>-1.1588069999999999</v>
      </c>
      <c r="AH118">
        <v>46.028035109743499</v>
      </c>
      <c r="AI118">
        <v>91.442172166094693</v>
      </c>
      <c r="AJ118">
        <v>90.193091505017904</v>
      </c>
      <c r="AK118">
        <v>46.042881225971797</v>
      </c>
      <c r="AL118">
        <v>79.737350352870905</v>
      </c>
      <c r="AM118">
        <v>93.578243781188405</v>
      </c>
      <c r="AN118">
        <v>1.0000000243362701</v>
      </c>
    </row>
    <row r="119" spans="1:40" x14ac:dyDescent="0.25">
      <c r="A119" t="str">
        <f>"20190304155315195"</f>
        <v>20190304155315195</v>
      </c>
      <c r="B119" t="str">
        <f>"1551685995186236"</f>
        <v>1551685995186236</v>
      </c>
      <c r="C119" t="s">
        <v>40</v>
      </c>
      <c r="D119">
        <v>4.3976819999999996</v>
      </c>
      <c r="E119">
        <v>0.51852799999999999</v>
      </c>
      <c r="F119" t="s">
        <v>47</v>
      </c>
      <c r="G119">
        <v>-418.61219999999997</v>
      </c>
      <c r="H119">
        <v>-0.05</v>
      </c>
      <c r="I119">
        <v>367.24380000000002</v>
      </c>
      <c r="J119">
        <v>-470.74520000000001</v>
      </c>
      <c r="K119">
        <v>1.1088439999999999</v>
      </c>
      <c r="L119">
        <v>367.20830000000001</v>
      </c>
      <c r="M119">
        <v>0.99998620000000005</v>
      </c>
      <c r="N119">
        <v>-4.7879819999999997E-3</v>
      </c>
      <c r="O119">
        <v>-2.1680359999999999E-3</v>
      </c>
      <c r="P119">
        <v>0.98311789999999999</v>
      </c>
      <c r="Q119">
        <v>0.17338149999999999</v>
      </c>
      <c r="R119">
        <v>5.8466619999999997E-2</v>
      </c>
      <c r="S119">
        <v>3.0634769999999998</v>
      </c>
      <c r="T119">
        <v>-6.7981719999999995E-2</v>
      </c>
      <c r="U119">
        <v>2.0751950000000002E-3</v>
      </c>
      <c r="V119">
        <v>-6.0590579999999998E-2</v>
      </c>
      <c r="W119">
        <v>0.178089</v>
      </c>
      <c r="X119">
        <v>0.9821472</v>
      </c>
      <c r="Y119">
        <v>-2.844278E-3</v>
      </c>
      <c r="Z119" s="1">
        <v>7.6090529999999995E-5</v>
      </c>
      <c r="AA119">
        <v>0.99999590000000005</v>
      </c>
      <c r="AB119">
        <v>8</v>
      </c>
      <c r="AC119">
        <v>52.133000000000003</v>
      </c>
      <c r="AD119">
        <v>-1.158844</v>
      </c>
      <c r="AE119">
        <v>3.5500000000013097E-2</v>
      </c>
      <c r="AF119">
        <v>-0.14845407873580399</v>
      </c>
      <c r="AG119">
        <v>-1.158844</v>
      </c>
      <c r="AH119">
        <v>52.107053852103398</v>
      </c>
      <c r="AI119">
        <v>91.274024390524502</v>
      </c>
      <c r="AJ119">
        <v>90.163236424260504</v>
      </c>
      <c r="AK119">
        <v>52.120149838386197</v>
      </c>
      <c r="AL119">
        <v>79.741530965455894</v>
      </c>
      <c r="AM119">
        <v>93.5302145925518</v>
      </c>
      <c r="AN119">
        <v>1.0000000163867799</v>
      </c>
    </row>
    <row r="120" spans="1:40" x14ac:dyDescent="0.25">
      <c r="A120" t="str">
        <f>"20190304155315218"</f>
        <v>20190304155315218</v>
      </c>
      <c r="B120" t="str">
        <f>"1551685995215516"</f>
        <v>1551685995215516</v>
      </c>
      <c r="C120" t="s">
        <v>40</v>
      </c>
      <c r="D120">
        <v>4.3664040000000002</v>
      </c>
      <c r="E120">
        <v>0.51880029999999999</v>
      </c>
      <c r="F120" t="s">
        <v>47</v>
      </c>
      <c r="G120">
        <v>-411.18790000000001</v>
      </c>
      <c r="H120">
        <v>-0.05</v>
      </c>
      <c r="I120">
        <v>367.17910000000001</v>
      </c>
      <c r="J120">
        <v>-470.6635</v>
      </c>
      <c r="K120">
        <v>1.1089310000000001</v>
      </c>
      <c r="L120">
        <v>367.2081</v>
      </c>
      <c r="M120">
        <v>0.99998640000000005</v>
      </c>
      <c r="N120">
        <v>-4.7683409999999997E-3</v>
      </c>
      <c r="O120">
        <v>-2.1747889999999999E-3</v>
      </c>
      <c r="P120">
        <v>0.98318640000000002</v>
      </c>
      <c r="Q120">
        <v>0.17308889999999999</v>
      </c>
      <c r="R120">
        <v>5.8182909999999997E-2</v>
      </c>
      <c r="S120">
        <v>3.0621339999999999</v>
      </c>
      <c r="T120">
        <v>-5.9581879999999997E-2</v>
      </c>
      <c r="U120">
        <v>-1.495361E-3</v>
      </c>
      <c r="V120">
        <v>-6.0313510000000001E-2</v>
      </c>
      <c r="W120">
        <v>0.17777699999999999</v>
      </c>
      <c r="X120">
        <v>0.9822208</v>
      </c>
      <c r="Y120">
        <v>-1.68584299999999E-3</v>
      </c>
      <c r="Z120" s="1">
        <v>5.2362289999999998E-5</v>
      </c>
      <c r="AA120">
        <v>0.99999859999999896</v>
      </c>
      <c r="AB120">
        <v>8</v>
      </c>
      <c r="AC120">
        <v>59.475599999999901</v>
      </c>
      <c r="AD120">
        <v>-1.1589309999999999</v>
      </c>
      <c r="AE120">
        <v>-2.89999999999963E-2</v>
      </c>
      <c r="AF120">
        <v>-0.100310314928914</v>
      </c>
      <c r="AG120">
        <v>-1.1589309999999999</v>
      </c>
      <c r="AH120">
        <v>59.452948297278901</v>
      </c>
      <c r="AI120">
        <v>91.116737752813506</v>
      </c>
      <c r="AJ120">
        <v>90.096670600835793</v>
      </c>
      <c r="AK120">
        <v>59.4643274952384</v>
      </c>
      <c r="AL120">
        <v>79.759697383636706</v>
      </c>
      <c r="AM120">
        <v>93.513849431250193</v>
      </c>
      <c r="AN120">
        <v>1.00000004058507</v>
      </c>
    </row>
    <row r="121" spans="1:40" x14ac:dyDescent="0.25">
      <c r="A121" t="str">
        <f>"20190304155315239"</f>
        <v>20190304155315239</v>
      </c>
      <c r="B121" t="str">
        <f>"1551685995236011"</f>
        <v>1551685995236011</v>
      </c>
      <c r="C121" t="s">
        <v>40</v>
      </c>
      <c r="D121">
        <v>4.3470370000000003</v>
      </c>
      <c r="E121">
        <v>0.51880800000000005</v>
      </c>
      <c r="F121" t="s">
        <v>47</v>
      </c>
      <c r="G121">
        <v>-401.86470000000003</v>
      </c>
      <c r="H121">
        <v>-0.05</v>
      </c>
      <c r="I121">
        <v>367.13330000000002</v>
      </c>
      <c r="J121">
        <v>-470.58089999999999</v>
      </c>
      <c r="K121">
        <v>1.1090249999999999</v>
      </c>
      <c r="L121">
        <v>367.2079</v>
      </c>
      <c r="M121">
        <v>0.99998620000000005</v>
      </c>
      <c r="N121">
        <v>-4.798559E-3</v>
      </c>
      <c r="O121">
        <v>-2.1816600000000002E-3</v>
      </c>
      <c r="P121">
        <v>0.98316309999999996</v>
      </c>
      <c r="Q121">
        <v>0.17331830000000001</v>
      </c>
      <c r="R121">
        <v>5.7891159999999997E-2</v>
      </c>
      <c r="S121">
        <v>3.0605769999999999</v>
      </c>
      <c r="T121">
        <v>-5.1556110000000002E-2</v>
      </c>
      <c r="U121">
        <v>-3.326416E-3</v>
      </c>
      <c r="V121">
        <v>-6.0028209999999999E-2</v>
      </c>
      <c r="W121">
        <v>0.17803649999999999</v>
      </c>
      <c r="X121">
        <v>0.98219129999999999</v>
      </c>
      <c r="Y121">
        <v>-1.0944699999999999E-3</v>
      </c>
      <c r="Z121" s="1">
        <v>3.812338E-5</v>
      </c>
      <c r="AA121">
        <v>0.99999939999999998</v>
      </c>
      <c r="AB121">
        <v>8</v>
      </c>
      <c r="AC121">
        <v>68.716199999999901</v>
      </c>
      <c r="AD121">
        <v>-1.159025</v>
      </c>
      <c r="AE121">
        <v>-7.4599999999975297E-2</v>
      </c>
      <c r="AF121">
        <v>-7.5295853598058196E-2</v>
      </c>
      <c r="AG121">
        <v>-1.159025</v>
      </c>
      <c r="AH121">
        <v>68.696655714069905</v>
      </c>
      <c r="AI121">
        <v>90.966581274892505</v>
      </c>
      <c r="AJ121">
        <v>90.062799751364295</v>
      </c>
      <c r="AK121">
        <v>68.706473601209197</v>
      </c>
      <c r="AL121">
        <v>79.744588355183595</v>
      </c>
      <c r="AM121">
        <v>93.497374058543798</v>
      </c>
      <c r="AN121">
        <v>1.0000000655618699</v>
      </c>
    </row>
    <row r="122" spans="1:40" x14ac:dyDescent="0.25">
      <c r="A122" t="str">
        <f>"20190304155315263"</f>
        <v>20190304155315263</v>
      </c>
      <c r="B122" t="str">
        <f>"1551685995255531"</f>
        <v>1551685995255531</v>
      </c>
      <c r="C122" t="s">
        <v>40</v>
      </c>
      <c r="D122">
        <v>4.3650630000000001</v>
      </c>
      <c r="E122">
        <v>0.51892059999999995</v>
      </c>
      <c r="F122" t="s">
        <v>46</v>
      </c>
      <c r="G122">
        <v>-396.22050000000002</v>
      </c>
      <c r="H122" s="1">
        <v>-2.0476379999999999E-6</v>
      </c>
      <c r="I122">
        <v>367.11360000000002</v>
      </c>
      <c r="J122">
        <v>-470.49</v>
      </c>
      <c r="K122">
        <v>1.1091009999999999</v>
      </c>
      <c r="L122">
        <v>367.20760000000001</v>
      </c>
      <c r="M122">
        <v>0.99998629999999999</v>
      </c>
      <c r="N122">
        <v>-4.7814149999999998E-3</v>
      </c>
      <c r="O122">
        <v>-2.1894900000000001E-3</v>
      </c>
      <c r="P122">
        <v>0.9831569</v>
      </c>
      <c r="Q122">
        <v>0.17343810000000001</v>
      </c>
      <c r="R122">
        <v>5.7636850000000003E-2</v>
      </c>
      <c r="S122">
        <v>3.0596619999999999</v>
      </c>
      <c r="T122">
        <v>-4.5632359999999997E-2</v>
      </c>
      <c r="U122">
        <v>-3.8757319999999998E-3</v>
      </c>
      <c r="V122">
        <v>-5.9781210000000001E-2</v>
      </c>
      <c r="W122">
        <v>0.1781392</v>
      </c>
      <c r="X122">
        <v>0.9821877</v>
      </c>
      <c r="Y122">
        <v>-9.225495E-4</v>
      </c>
      <c r="Z122" s="1">
        <v>3.1268939999999997E-5</v>
      </c>
      <c r="AA122">
        <v>0.99999959999999999</v>
      </c>
      <c r="AB122">
        <v>9</v>
      </c>
      <c r="AC122">
        <v>74.269499999999994</v>
      </c>
      <c r="AD122">
        <v>-1.1091030476379999</v>
      </c>
      <c r="AE122">
        <v>-9.3999999999994005E-2</v>
      </c>
      <c r="AF122">
        <v>-6.8599092701105396E-2</v>
      </c>
      <c r="AG122">
        <v>-1.1091030476379999</v>
      </c>
      <c r="AH122">
        <v>74.252968721831195</v>
      </c>
      <c r="AI122">
        <v>90.855752602688</v>
      </c>
      <c r="AJ122">
        <v>90.052933067049494</v>
      </c>
      <c r="AK122">
        <v>74.2612831791307</v>
      </c>
      <c r="AL122">
        <v>79.738608045264797</v>
      </c>
      <c r="AM122">
        <v>93.483031536401896</v>
      </c>
      <c r="AN122">
        <v>1.00000002283849</v>
      </c>
    </row>
    <row r="123" spans="1:40" x14ac:dyDescent="0.25">
      <c r="A123" t="str">
        <f>"20190304155315286"</f>
        <v>20190304155315286</v>
      </c>
      <c r="B123" t="str">
        <f>"1551685995276027"</f>
        <v>1551685995276027</v>
      </c>
      <c r="C123" t="s">
        <v>40</v>
      </c>
      <c r="D123">
        <v>4.4422730000000001</v>
      </c>
      <c r="E123">
        <v>0.51898610000000001</v>
      </c>
      <c r="F123" t="s">
        <v>46</v>
      </c>
      <c r="G123">
        <v>-389.16149999999999</v>
      </c>
      <c r="H123" s="1">
        <v>-9.4748949999999996E-7</v>
      </c>
      <c r="I123">
        <v>367.07530000000003</v>
      </c>
      <c r="J123">
        <v>-470.39589999999998</v>
      </c>
      <c r="K123">
        <v>1.1091530000000001</v>
      </c>
      <c r="L123">
        <v>367.20740000000001</v>
      </c>
      <c r="M123">
        <v>0.99998659999999995</v>
      </c>
      <c r="N123">
        <v>-4.689553E-3</v>
      </c>
      <c r="O123">
        <v>-2.1982109999999998E-3</v>
      </c>
      <c r="P123">
        <v>0.98308269999999998</v>
      </c>
      <c r="Q123">
        <v>0.17403829999999901</v>
      </c>
      <c r="R123">
        <v>5.7087110000000003E-2</v>
      </c>
      <c r="S123">
        <v>3.059021</v>
      </c>
      <c r="T123">
        <v>-4.171681E-2</v>
      </c>
      <c r="U123">
        <v>-4.9743649999999997E-3</v>
      </c>
      <c r="V123">
        <v>-5.9239380000000001E-2</v>
      </c>
      <c r="W123">
        <v>0.17864920000000001</v>
      </c>
      <c r="X123">
        <v>0.9821278</v>
      </c>
      <c r="Y123">
        <v>-5.7194889999999995E-4</v>
      </c>
      <c r="Z123" s="1">
        <v>2.490879E-5</v>
      </c>
      <c r="AA123">
        <v>0.99999979999999999</v>
      </c>
      <c r="AB123">
        <v>9</v>
      </c>
      <c r="AC123">
        <v>81.234399999999994</v>
      </c>
      <c r="AD123">
        <v>-1.1091539474895</v>
      </c>
      <c r="AE123">
        <v>-0.13209999999997901</v>
      </c>
      <c r="AF123">
        <v>-4.6463970235567198E-2</v>
      </c>
      <c r="AG123">
        <v>-1.1091539474895</v>
      </c>
      <c r="AH123">
        <v>81.219352852446207</v>
      </c>
      <c r="AI123">
        <v>90.782398249704698</v>
      </c>
      <c r="AJ123">
        <v>90.032777767982594</v>
      </c>
      <c r="AK123">
        <v>81.226939245240104</v>
      </c>
      <c r="AL123">
        <v>79.708909843058393</v>
      </c>
      <c r="AM123">
        <v>93.451749571767905</v>
      </c>
      <c r="AN123">
        <v>0.99999992816812899</v>
      </c>
    </row>
    <row r="124" spans="1:40" x14ac:dyDescent="0.25">
      <c r="A124" t="str">
        <f>"20190304155315311"</f>
        <v>20190304155315311</v>
      </c>
      <c r="B124" t="str">
        <f>"1551685995305306"</f>
        <v>1551685995305306</v>
      </c>
      <c r="C124" t="s">
        <v>40</v>
      </c>
      <c r="D124">
        <v>4.3146719999999998</v>
      </c>
      <c r="E124">
        <v>0.53825319999999899</v>
      </c>
      <c r="F124" t="s">
        <v>46</v>
      </c>
      <c r="G124">
        <v>-381.7099</v>
      </c>
      <c r="H124" s="1">
        <v>-3.9994789999999996E-6</v>
      </c>
      <c r="I124">
        <v>367.01889999999997</v>
      </c>
      <c r="J124">
        <v>-470.29759999999999</v>
      </c>
      <c r="K124">
        <v>1.1091850000000001</v>
      </c>
      <c r="L124">
        <v>367.2072</v>
      </c>
      <c r="M124">
        <v>0.99998719999999996</v>
      </c>
      <c r="N124">
        <v>-4.5540889999999999E-3</v>
      </c>
      <c r="O124">
        <v>-2.2076690000000002E-3</v>
      </c>
      <c r="P124">
        <v>0.98305670000000001</v>
      </c>
      <c r="Q124">
        <v>0.17427970000000001</v>
      </c>
      <c r="R124">
        <v>5.6797930000000003E-2</v>
      </c>
      <c r="S124">
        <v>3.0587770000000001</v>
      </c>
      <c r="T124">
        <v>-3.8254740000000002E-2</v>
      </c>
      <c r="U124">
        <v>-6.5002439999999996E-3</v>
      </c>
      <c r="V124">
        <v>-5.8960020000000002E-2</v>
      </c>
      <c r="W124">
        <v>0.1787571</v>
      </c>
      <c r="X124">
        <v>0.98212500000000003</v>
      </c>
      <c r="Y124" s="1">
        <v>-8.2506309999999994E-5</v>
      </c>
      <c r="Z124" s="1">
        <v>1.825925E-5</v>
      </c>
      <c r="AA124">
        <v>1</v>
      </c>
      <c r="AB124">
        <v>9</v>
      </c>
      <c r="AC124">
        <v>88.587699999999899</v>
      </c>
      <c r="AD124">
        <v>-1.1091889994790001</v>
      </c>
      <c r="AE124">
        <v>-0.188300000000026</v>
      </c>
      <c r="AF124">
        <v>-7.2736644099657402E-3</v>
      </c>
      <c r="AG124">
        <v>-1.1091889994790001</v>
      </c>
      <c r="AH124">
        <v>88.574014097258498</v>
      </c>
      <c r="AI124">
        <v>90.717462418909406</v>
      </c>
      <c r="AJ124">
        <v>90.004705107650295</v>
      </c>
      <c r="AK124">
        <v>88.580959164168604</v>
      </c>
      <c r="AL124">
        <v>79.702626714258898</v>
      </c>
      <c r="AM124">
        <v>93.435520724067999</v>
      </c>
      <c r="AN124">
        <v>0.99999995019190402</v>
      </c>
    </row>
    <row r="125" spans="1:40" x14ac:dyDescent="0.25">
      <c r="A125" t="str">
        <f>"20190304155315331"</f>
        <v>20190304155315331</v>
      </c>
      <c r="B125" t="str">
        <f>"1551685995325803"</f>
        <v>1551685995325803</v>
      </c>
      <c r="C125" t="s">
        <v>40</v>
      </c>
      <c r="D125">
        <v>4.3759160000000001</v>
      </c>
      <c r="E125">
        <v>0.53963799999999995</v>
      </c>
      <c r="F125" t="s">
        <v>47</v>
      </c>
      <c r="G125">
        <v>-434.89819999999997</v>
      </c>
      <c r="H125">
        <v>-0.05</v>
      </c>
      <c r="I125">
        <v>365.33330000000001</v>
      </c>
      <c r="J125">
        <v>-470.21050000000002</v>
      </c>
      <c r="K125">
        <v>1.109202</v>
      </c>
      <c r="L125">
        <v>367.20699999999999</v>
      </c>
      <c r="M125">
        <v>0.99998799999999999</v>
      </c>
      <c r="N125">
        <v>-4.4154060000000002E-3</v>
      </c>
      <c r="O125">
        <v>-2.216296E-3</v>
      </c>
      <c r="P125">
        <v>0.98298169999999996</v>
      </c>
      <c r="Q125">
        <v>0.17482439999999999</v>
      </c>
      <c r="R125">
        <v>5.6425709999999997E-2</v>
      </c>
      <c r="S125">
        <v>3.0790410000000001</v>
      </c>
      <c r="T125">
        <v>-0.1008259</v>
      </c>
      <c r="U125">
        <v>-0.16299439999999901</v>
      </c>
      <c r="V125">
        <v>-5.8596389999999998E-2</v>
      </c>
      <c r="W125">
        <v>0.179165299999999</v>
      </c>
      <c r="X125">
        <v>0.98207239999999996</v>
      </c>
      <c r="Y125">
        <v>5.0619549999999999E-2</v>
      </c>
      <c r="Z125">
        <v>-8.771289E-4</v>
      </c>
      <c r="AA125">
        <v>0.99871759999999998</v>
      </c>
      <c r="AB125">
        <v>9</v>
      </c>
      <c r="AC125">
        <v>35.3123</v>
      </c>
      <c r="AD125">
        <v>-1.1592020000000001</v>
      </c>
      <c r="AE125">
        <v>-1.8736999999999799</v>
      </c>
      <c r="AF125">
        <v>1.7935048488266501</v>
      </c>
      <c r="AG125">
        <v>-1.1592020000000001</v>
      </c>
      <c r="AH125">
        <v>35.278455898010797</v>
      </c>
      <c r="AI125">
        <v>91.879558533752601</v>
      </c>
      <c r="AJ125">
        <v>87.089672353635805</v>
      </c>
      <c r="AK125">
        <v>35.343031271630601</v>
      </c>
      <c r="AL125">
        <v>79.678855014338396</v>
      </c>
      <c r="AM125">
        <v>93.414565219729198</v>
      </c>
      <c r="AN125">
        <v>0.99999997024344001</v>
      </c>
    </row>
    <row r="126" spans="1:40" x14ac:dyDescent="0.25">
      <c r="A126" t="str">
        <f>"20190304155315353"</f>
        <v>20190304155315353</v>
      </c>
      <c r="B126" t="str">
        <f>"1551685995345323"</f>
        <v>1551685995345323</v>
      </c>
      <c r="C126" t="s">
        <v>40</v>
      </c>
      <c r="D126">
        <v>4.3347889999999998</v>
      </c>
      <c r="E126">
        <v>0.5400954</v>
      </c>
      <c r="F126" t="s">
        <v>47</v>
      </c>
      <c r="G126">
        <v>-434.87290000000002</v>
      </c>
      <c r="H126">
        <v>-0.05</v>
      </c>
      <c r="I126">
        <v>365.19709999999998</v>
      </c>
      <c r="J126">
        <v>-470.12119999999999</v>
      </c>
      <c r="K126">
        <v>1.109219</v>
      </c>
      <c r="L126">
        <v>367.20679999999999</v>
      </c>
      <c r="M126">
        <v>0.99998860000000001</v>
      </c>
      <c r="N126">
        <v>-4.258731E-3</v>
      </c>
      <c r="O126">
        <v>-2.2247740000000001E-3</v>
      </c>
      <c r="P126">
        <v>0.98304409999999998</v>
      </c>
      <c r="Q126">
        <v>0.1747454</v>
      </c>
      <c r="R126">
        <v>5.5574190000000002E-2</v>
      </c>
      <c r="S126">
        <v>3.0799259999999999</v>
      </c>
      <c r="T126">
        <v>-0.1010326</v>
      </c>
      <c r="U126">
        <v>-0.17517089999999999</v>
      </c>
      <c r="V126">
        <v>-5.7753140000000001E-2</v>
      </c>
      <c r="W126">
        <v>0.1789326</v>
      </c>
      <c r="X126">
        <v>0.98216479999999995</v>
      </c>
      <c r="Y126">
        <v>5.4529790000000002E-2</v>
      </c>
      <c r="Z126">
        <v>-9.4623210000000001E-4</v>
      </c>
      <c r="AA126">
        <v>0.9985117</v>
      </c>
      <c r="AB126">
        <v>9</v>
      </c>
      <c r="AC126">
        <v>35.248299999999901</v>
      </c>
      <c r="AD126">
        <v>-1.159219</v>
      </c>
      <c r="AE126">
        <v>-2.0097</v>
      </c>
      <c r="AF126">
        <v>1.9291950264780999</v>
      </c>
      <c r="AG126">
        <v>-1.159219</v>
      </c>
      <c r="AH126">
        <v>35.214720160575297</v>
      </c>
      <c r="AI126">
        <v>91.882594617242702</v>
      </c>
      <c r="AJ126">
        <v>86.864255916957106</v>
      </c>
      <c r="AK126">
        <v>35.286571073536997</v>
      </c>
      <c r="AL126">
        <v>79.692407019646396</v>
      </c>
      <c r="AM126">
        <v>93.365224710523194</v>
      </c>
      <c r="AN126">
        <v>0.99999999744082901</v>
      </c>
    </row>
    <row r="127" spans="1:40" x14ac:dyDescent="0.25">
      <c r="A127" t="str">
        <f>"20190304155315375"</f>
        <v>20190304155315375</v>
      </c>
      <c r="B127" t="str">
        <f>"1551685995365820"</f>
        <v>1551685995365820</v>
      </c>
      <c r="C127" t="s">
        <v>40</v>
      </c>
      <c r="D127">
        <v>4.3874149999999998</v>
      </c>
      <c r="E127">
        <v>0.54029559999999999</v>
      </c>
      <c r="F127" t="s">
        <v>47</v>
      </c>
      <c r="G127">
        <v>-433.1617</v>
      </c>
      <c r="H127">
        <v>-0.05</v>
      </c>
      <c r="I127">
        <v>365.0462</v>
      </c>
      <c r="J127">
        <v>-470.02730000000003</v>
      </c>
      <c r="K127">
        <v>1.1092150000000001</v>
      </c>
      <c r="L127">
        <v>367.20650000000001</v>
      </c>
      <c r="M127">
        <v>0.99998929999999997</v>
      </c>
      <c r="N127">
        <v>-4.0819879999999999E-3</v>
      </c>
      <c r="O127">
        <v>-2.2338190000000002E-3</v>
      </c>
      <c r="P127">
        <v>0.98313459999999997</v>
      </c>
      <c r="Q127">
        <v>0.17432</v>
      </c>
      <c r="R127">
        <v>5.5312020000000003E-2</v>
      </c>
      <c r="S127">
        <v>3.0791019999999998</v>
      </c>
      <c r="T127">
        <v>-9.6574660000000007E-2</v>
      </c>
      <c r="U127">
        <v>-0.17999270000000001</v>
      </c>
      <c r="V127">
        <v>-5.7500030000000001E-2</v>
      </c>
      <c r="W127">
        <v>0.17833389999999999</v>
      </c>
      <c r="X127">
        <v>0.98228850000000001</v>
      </c>
      <c r="Y127">
        <v>5.6096180000000002E-2</v>
      </c>
      <c r="Z127">
        <v>-9.3249629999999999E-4</v>
      </c>
      <c r="AA127">
        <v>0.99842489999999995</v>
      </c>
      <c r="AB127">
        <v>9</v>
      </c>
      <c r="AC127">
        <v>36.865600000000001</v>
      </c>
      <c r="AD127">
        <v>-1.1592149999999899</v>
      </c>
      <c r="AE127">
        <v>-2.1602999999999999</v>
      </c>
      <c r="AF127">
        <v>2.07589734246808</v>
      </c>
      <c r="AG127">
        <v>-1.1592149999999899</v>
      </c>
      <c r="AH127">
        <v>36.834038849458402</v>
      </c>
      <c r="AI127">
        <v>91.7997235445592</v>
      </c>
      <c r="AJ127">
        <v>86.774329610403896</v>
      </c>
      <c r="AK127">
        <v>36.910696920487702</v>
      </c>
      <c r="AL127">
        <v>79.727270427473002</v>
      </c>
      <c r="AM127">
        <v>93.350088916651202</v>
      </c>
      <c r="AN127">
        <v>0.99999996528572899</v>
      </c>
    </row>
    <row r="128" spans="1:40" x14ac:dyDescent="0.25">
      <c r="A128" t="str">
        <f>"20190304155315397"</f>
        <v>20190304155315397</v>
      </c>
      <c r="B128" t="str">
        <f>"1551685995385339"</f>
        <v>1551685995385339</v>
      </c>
      <c r="C128" t="s">
        <v>40</v>
      </c>
      <c r="D128">
        <v>4.3863379999999896</v>
      </c>
      <c r="E128">
        <v>0.54029249999999995</v>
      </c>
      <c r="F128" t="s">
        <v>47</v>
      </c>
      <c r="G128">
        <v>-434.40809999999999</v>
      </c>
      <c r="H128">
        <v>-0.05</v>
      </c>
      <c r="I128">
        <v>365.09949999999998</v>
      </c>
      <c r="J128">
        <v>-469.92930000000001</v>
      </c>
      <c r="K128">
        <v>1.109213</v>
      </c>
      <c r="L128">
        <v>367.2063</v>
      </c>
      <c r="M128">
        <v>0.99999000000000005</v>
      </c>
      <c r="N128">
        <v>-3.8904550000000001E-3</v>
      </c>
      <c r="O128">
        <v>-2.2430879999999999E-3</v>
      </c>
      <c r="P128">
        <v>0.9833305</v>
      </c>
      <c r="Q128">
        <v>0.17328560000000001</v>
      </c>
      <c r="R128">
        <v>5.5076300000000002E-2</v>
      </c>
      <c r="S128">
        <v>3.0794679999999999</v>
      </c>
      <c r="T128">
        <v>-0.1002203</v>
      </c>
      <c r="U128">
        <v>-0.1821594</v>
      </c>
      <c r="V128">
        <v>-5.7273999999999999E-2</v>
      </c>
      <c r="W128">
        <v>0.17711150000000001</v>
      </c>
      <c r="X128">
        <v>0.98252280000000003</v>
      </c>
      <c r="Y128">
        <v>5.6777699999999903E-2</v>
      </c>
      <c r="Z128">
        <v>-9.6923189999999996E-4</v>
      </c>
      <c r="AA128">
        <v>0.99838640000000001</v>
      </c>
      <c r="AB128">
        <v>9</v>
      </c>
      <c r="AC128">
        <v>35.5212</v>
      </c>
      <c r="AD128">
        <v>-1.1592129999999901</v>
      </c>
      <c r="AE128">
        <v>-2.1068000000000202</v>
      </c>
      <c r="AF128">
        <v>2.0249678870451602</v>
      </c>
      <c r="AG128">
        <v>-1.1592129999999901</v>
      </c>
      <c r="AH128">
        <v>35.488173853523399</v>
      </c>
      <c r="AI128">
        <v>91.867852058620699</v>
      </c>
      <c r="AJ128">
        <v>86.734223595907295</v>
      </c>
      <c r="AK128">
        <v>35.564796543504002</v>
      </c>
      <c r="AL128">
        <v>79.7984413701395</v>
      </c>
      <c r="AM128">
        <v>93.336155730160897</v>
      </c>
      <c r="AN128">
        <v>0.99999992351404199</v>
      </c>
    </row>
    <row r="129" spans="1:40" x14ac:dyDescent="0.25">
      <c r="A129" t="str">
        <f>"20190304155315419"</f>
        <v>20190304155315419</v>
      </c>
      <c r="B129" t="str">
        <f>"1551685995415596"</f>
        <v>1551685995415596</v>
      </c>
      <c r="C129" t="s">
        <v>40</v>
      </c>
      <c r="D129">
        <v>4.3398750000000001</v>
      </c>
      <c r="E129">
        <v>0.5403</v>
      </c>
      <c r="F129" t="s">
        <v>47</v>
      </c>
      <c r="G129">
        <v>-436.53230000000002</v>
      </c>
      <c r="H129">
        <v>-0.05</v>
      </c>
      <c r="I129">
        <v>365.22379999999998</v>
      </c>
      <c r="J129">
        <v>-469.834</v>
      </c>
      <c r="K129">
        <v>1.1092029999999999</v>
      </c>
      <c r="L129">
        <v>367.20609999999999</v>
      </c>
      <c r="M129">
        <v>0.99999059999999995</v>
      </c>
      <c r="N129">
        <v>-3.70163E-3</v>
      </c>
      <c r="O129">
        <v>-2.2515489999999998E-3</v>
      </c>
      <c r="P129">
        <v>0.98349350000000002</v>
      </c>
      <c r="Q129">
        <v>0.17227410000000001</v>
      </c>
      <c r="R129">
        <v>5.5337520000000001E-2</v>
      </c>
      <c r="S129">
        <v>3.0799560000000001</v>
      </c>
      <c r="T129">
        <v>-0.1069058</v>
      </c>
      <c r="U129">
        <v>-0.18283079999999999</v>
      </c>
      <c r="V129">
        <v>-5.7544199999999997E-2</v>
      </c>
      <c r="W129">
        <v>0.17591519999999999</v>
      </c>
      <c r="X129">
        <v>0.98272199999999998</v>
      </c>
      <c r="Y129">
        <v>5.697265E-2</v>
      </c>
      <c r="Z129">
        <v>-1.02344E-3</v>
      </c>
      <c r="AA129">
        <v>0.99837520000000002</v>
      </c>
      <c r="AB129">
        <v>10</v>
      </c>
      <c r="AC129">
        <v>33.301699999999897</v>
      </c>
      <c r="AD129">
        <v>-1.159203</v>
      </c>
      <c r="AE129">
        <v>-1.9823</v>
      </c>
      <c r="AF129">
        <v>1.9050139431894799</v>
      </c>
      <c r="AG129">
        <v>-1.159203</v>
      </c>
      <c r="AH129">
        <v>33.265913701064399</v>
      </c>
      <c r="AI129">
        <v>91.992492065794806</v>
      </c>
      <c r="AJ129">
        <v>86.722465568193499</v>
      </c>
      <c r="AK129">
        <v>33.340573541641703</v>
      </c>
      <c r="AL129">
        <v>79.8680786291403</v>
      </c>
      <c r="AM129">
        <v>93.351180939994293</v>
      </c>
      <c r="AN129">
        <v>1.0000000109143301</v>
      </c>
    </row>
    <row r="130" spans="1:40" x14ac:dyDescent="0.25">
      <c r="A130" t="str">
        <f>"20190304155315443"</f>
        <v>20190304155315443</v>
      </c>
      <c r="B130" t="str">
        <f>"1551685995436091"</f>
        <v>1551685995436091</v>
      </c>
      <c r="C130" t="s">
        <v>40</v>
      </c>
      <c r="D130">
        <v>4.3361939999999999</v>
      </c>
      <c r="E130">
        <v>0.54028529999999997</v>
      </c>
      <c r="F130" t="s">
        <v>47</v>
      </c>
      <c r="G130">
        <v>-437.4083</v>
      </c>
      <c r="H130">
        <v>-0.05</v>
      </c>
      <c r="I130">
        <v>365.28730000000002</v>
      </c>
      <c r="J130">
        <v>-469.72359999999998</v>
      </c>
      <c r="K130">
        <v>1.109197</v>
      </c>
      <c r="L130">
        <v>367.20580000000001</v>
      </c>
      <c r="M130">
        <v>0.99999139999999997</v>
      </c>
      <c r="N130">
        <v>-3.4811690000000001E-3</v>
      </c>
      <c r="O130">
        <v>-2.261402E-3</v>
      </c>
      <c r="P130">
        <v>0.98352479999999998</v>
      </c>
      <c r="Q130">
        <v>0.17209449999999901</v>
      </c>
      <c r="R130">
        <v>5.5342700000000002E-2</v>
      </c>
      <c r="S130">
        <v>3.0799259999999999</v>
      </c>
      <c r="T130">
        <v>-0.1101058</v>
      </c>
      <c r="U130">
        <v>-0.182251</v>
      </c>
      <c r="V130">
        <v>-5.7559119999999998E-2</v>
      </c>
      <c r="W130">
        <v>0.17551949999999999</v>
      </c>
      <c r="X130">
        <v>0.98279190000000005</v>
      </c>
      <c r="Y130">
        <v>5.6774390000000001E-2</v>
      </c>
      <c r="Z130">
        <v>-1.0396769999999999E-3</v>
      </c>
      <c r="AA130">
        <v>0.99838649999999995</v>
      </c>
      <c r="AB130">
        <v>10</v>
      </c>
      <c r="AC130">
        <v>32.315299999999901</v>
      </c>
      <c r="AD130">
        <v>-1.159197</v>
      </c>
      <c r="AE130">
        <v>-1.9184999999999901</v>
      </c>
      <c r="AF130">
        <v>1.84305352753461</v>
      </c>
      <c r="AG130">
        <v>-1.159197</v>
      </c>
      <c r="AH130">
        <v>32.278167463997299</v>
      </c>
      <c r="AI130">
        <v>92.053421947764605</v>
      </c>
      <c r="AJ130">
        <v>86.732012410522103</v>
      </c>
      <c r="AK130">
        <v>32.3515174114603</v>
      </c>
      <c r="AL130">
        <v>79.891109129897799</v>
      </c>
      <c r="AM130">
        <v>93.3518099824758</v>
      </c>
      <c r="AN130">
        <v>1.0000000329405101</v>
      </c>
    </row>
    <row r="131" spans="1:40" x14ac:dyDescent="0.25">
      <c r="A131" t="str">
        <f>"20190304155315465"</f>
        <v>20190304155315465</v>
      </c>
      <c r="B131" t="str">
        <f>"1551685995455611"</f>
        <v>1551685995455611</v>
      </c>
      <c r="C131" t="s">
        <v>40</v>
      </c>
      <c r="D131">
        <v>4.3852279999999997</v>
      </c>
      <c r="E131">
        <v>0.54043719999999995</v>
      </c>
      <c r="F131" t="s">
        <v>47</v>
      </c>
      <c r="G131">
        <v>-438.53660000000002</v>
      </c>
      <c r="H131">
        <v>-0.05</v>
      </c>
      <c r="I131">
        <v>365.36320000000001</v>
      </c>
      <c r="J131">
        <v>-469.62549999999999</v>
      </c>
      <c r="K131">
        <v>1.1091839999999999</v>
      </c>
      <c r="L131">
        <v>367.2056</v>
      </c>
      <c r="M131">
        <v>0.9999922</v>
      </c>
      <c r="N131">
        <v>-3.2860910000000001E-3</v>
      </c>
      <c r="O131">
        <v>-2.2700099999999998E-3</v>
      </c>
      <c r="P131">
        <v>0.98345749999999998</v>
      </c>
      <c r="Q131">
        <v>0.1723952</v>
      </c>
      <c r="R131">
        <v>5.5601629999999999E-2</v>
      </c>
      <c r="S131">
        <v>3.0805359999999999</v>
      </c>
      <c r="T131">
        <v>-0.1145012</v>
      </c>
      <c r="U131">
        <v>-0.1820068</v>
      </c>
      <c r="V131">
        <v>-5.7826040000000002E-2</v>
      </c>
      <c r="W131">
        <v>0.1756279</v>
      </c>
      <c r="X131">
        <v>0.98275690000000004</v>
      </c>
      <c r="Y131">
        <v>5.6672609999999998E-2</v>
      </c>
      <c r="Z131">
        <v>-1.0683719999999999E-3</v>
      </c>
      <c r="AA131">
        <v>0.99839219999999895</v>
      </c>
      <c r="AB131">
        <v>10</v>
      </c>
      <c r="AC131">
        <v>31.088899999999899</v>
      </c>
      <c r="AD131">
        <v>-1.159184</v>
      </c>
      <c r="AE131">
        <v>-1.84239999999999</v>
      </c>
      <c r="AF131">
        <v>1.7693715042320599</v>
      </c>
      <c r="AG131">
        <v>-1.159184</v>
      </c>
      <c r="AH131">
        <v>31.049985905467</v>
      </c>
      <c r="AI131">
        <v>92.134561265331598</v>
      </c>
      <c r="AJ131">
        <v>86.738549234794107</v>
      </c>
      <c r="AK131">
        <v>31.1219537914242</v>
      </c>
      <c r="AL131">
        <v>79.8848006190738</v>
      </c>
      <c r="AM131">
        <v>93.367437358173603</v>
      </c>
      <c r="AN131">
        <v>1.0000000673290399</v>
      </c>
    </row>
    <row r="132" spans="1:40" x14ac:dyDescent="0.25">
      <c r="A132" t="str">
        <f>"20190304155315488"</f>
        <v>20190304155315488</v>
      </c>
      <c r="B132" t="str">
        <f>"1551685995485867"</f>
        <v>1551685995485867</v>
      </c>
      <c r="C132" t="s">
        <v>40</v>
      </c>
      <c r="D132">
        <v>4.42483</v>
      </c>
      <c r="E132">
        <v>0.54006469999999995</v>
      </c>
      <c r="F132" t="s">
        <v>46</v>
      </c>
      <c r="G132">
        <v>-440.27140000000003</v>
      </c>
      <c r="H132" s="1">
        <v>-5.3151869999999998E-6</v>
      </c>
      <c r="I132">
        <v>365.46749999999997</v>
      </c>
      <c r="J132">
        <v>-469.51280000000003</v>
      </c>
      <c r="K132">
        <v>1.1091679999999999</v>
      </c>
      <c r="L132">
        <v>367.20530000000002</v>
      </c>
      <c r="M132">
        <v>0.99999269999999996</v>
      </c>
      <c r="N132">
        <v>-3.0663069999999999E-3</v>
      </c>
      <c r="O132">
        <v>-2.2795519999999998E-3</v>
      </c>
      <c r="P132">
        <v>0.98347660000000003</v>
      </c>
      <c r="Q132">
        <v>0.17214070000000001</v>
      </c>
      <c r="R132">
        <v>5.6048439999999998E-2</v>
      </c>
      <c r="S132">
        <v>3.0811459999999999</v>
      </c>
      <c r="T132">
        <v>-0.1164255</v>
      </c>
      <c r="U132">
        <v>-0.18243409999999999</v>
      </c>
      <c r="V132">
        <v>-5.8282269999999997E-2</v>
      </c>
      <c r="W132">
        <v>0.17515749999999999</v>
      </c>
      <c r="X132">
        <v>0.98281379999999996</v>
      </c>
      <c r="Y132">
        <v>5.678826E-2</v>
      </c>
      <c r="Z132">
        <v>-1.0797210000000001E-3</v>
      </c>
      <c r="AA132">
        <v>0.99838570000000004</v>
      </c>
      <c r="AB132">
        <v>10</v>
      </c>
      <c r="AC132">
        <v>29.241399999999999</v>
      </c>
      <c r="AD132">
        <v>-1.109173315187</v>
      </c>
      <c r="AE132">
        <v>-1.73780000000004</v>
      </c>
      <c r="AF132">
        <v>1.6687453274906501</v>
      </c>
      <c r="AG132">
        <v>-1.109173315187</v>
      </c>
      <c r="AH132">
        <v>29.203415254071398</v>
      </c>
      <c r="AI132">
        <v>92.1715633357434</v>
      </c>
      <c r="AJ132">
        <v>86.729553649200994</v>
      </c>
      <c r="AK132">
        <v>29.272076095024001</v>
      </c>
      <c r="AL132">
        <v>79.912175923601396</v>
      </c>
      <c r="AM132">
        <v>93.393747526348406</v>
      </c>
      <c r="AN132">
        <v>0.99999996913652101</v>
      </c>
    </row>
    <row r="133" spans="1:40" x14ac:dyDescent="0.25">
      <c r="A133" t="str">
        <f>"20190304155315512"</f>
        <v>20190304155315512</v>
      </c>
      <c r="B133" t="str">
        <f>"1551685995505387"</f>
        <v>1551685995505387</v>
      </c>
      <c r="C133" t="s">
        <v>40</v>
      </c>
      <c r="D133">
        <v>4.3940799999999998</v>
      </c>
      <c r="E133">
        <v>0.53983919999999996</v>
      </c>
      <c r="F133" t="s">
        <v>46</v>
      </c>
      <c r="G133">
        <v>-440.08010000000002</v>
      </c>
      <c r="H133" s="1">
        <v>-5.3989839999999999E-6</v>
      </c>
      <c r="I133">
        <v>365.50470000000001</v>
      </c>
      <c r="J133">
        <v>-469.40030000000002</v>
      </c>
      <c r="K133">
        <v>1.109159</v>
      </c>
      <c r="L133">
        <v>367.20499999999998</v>
      </c>
      <c r="M133">
        <v>0.99999329999999997</v>
      </c>
      <c r="N133">
        <v>-2.855879E-3</v>
      </c>
      <c r="O133">
        <v>-2.2896069999999999E-3</v>
      </c>
      <c r="P133">
        <v>0.98340620000000001</v>
      </c>
      <c r="Q133">
        <v>0.17244129999999999</v>
      </c>
      <c r="R133">
        <v>5.6357230000000001E-2</v>
      </c>
      <c r="S133">
        <v>3.080902</v>
      </c>
      <c r="T133">
        <v>-0.1161041</v>
      </c>
      <c r="U133">
        <v>-0.178009</v>
      </c>
      <c r="V133">
        <v>-5.860042E-2</v>
      </c>
      <c r="W133">
        <v>0.1752514</v>
      </c>
      <c r="X133">
        <v>0.98277820000000005</v>
      </c>
      <c r="Y133">
        <v>5.5355309999999998E-2</v>
      </c>
      <c r="Z133">
        <v>-1.0412889999999999E-3</v>
      </c>
      <c r="AA133">
        <v>0.99846619999999997</v>
      </c>
      <c r="AB133">
        <v>10</v>
      </c>
      <c r="AC133">
        <v>29.3202</v>
      </c>
      <c r="AD133">
        <v>-1.1091643989839901</v>
      </c>
      <c r="AE133">
        <v>-1.7002999999999699</v>
      </c>
      <c r="AF133">
        <v>1.63083752929042</v>
      </c>
      <c r="AG133">
        <v>-1.1091643989839901</v>
      </c>
      <c r="AH133">
        <v>29.2822519579355</v>
      </c>
      <c r="AI133">
        <v>92.165881261436496</v>
      </c>
      <c r="AJ133">
        <v>86.812278082535002</v>
      </c>
      <c r="AK133">
        <v>29.348597180085701</v>
      </c>
      <c r="AL133">
        <v>79.906711907832999</v>
      </c>
      <c r="AM133">
        <v>93.412352899546505</v>
      </c>
      <c r="AN133">
        <v>1.0000000264106801</v>
      </c>
    </row>
    <row r="134" spans="1:40" x14ac:dyDescent="0.25">
      <c r="A134" t="str">
        <f>"20190304155315554"</f>
        <v>20190304155315554</v>
      </c>
      <c r="B134" t="str">
        <f>"1551685995545404"</f>
        <v>1551685995545404</v>
      </c>
      <c r="C134" t="s">
        <v>40</v>
      </c>
      <c r="D134">
        <v>4.5047009999999998</v>
      </c>
      <c r="E134">
        <v>0.54001669999999902</v>
      </c>
      <c r="F134" t="s">
        <v>47</v>
      </c>
      <c r="G134">
        <v>-438.6198</v>
      </c>
      <c r="H134">
        <v>-0.05</v>
      </c>
      <c r="I134">
        <v>365.45400000000001</v>
      </c>
      <c r="J134">
        <v>-469.19639999999998</v>
      </c>
      <c r="K134">
        <v>1.1091439999999999</v>
      </c>
      <c r="L134">
        <v>367.2045</v>
      </c>
      <c r="M134">
        <v>0.9999943</v>
      </c>
      <c r="N134">
        <v>-2.5061789999999999E-3</v>
      </c>
      <c r="O134">
        <v>-2.3083240000000001E-3</v>
      </c>
      <c r="P134">
        <v>0.98333519999999996</v>
      </c>
      <c r="Q134">
        <v>0.17283679999999901</v>
      </c>
      <c r="R134">
        <v>5.6387680000000003E-2</v>
      </c>
      <c r="S134">
        <v>3.0810240000000002</v>
      </c>
      <c r="T134">
        <v>-0.1160282</v>
      </c>
      <c r="U134">
        <v>-0.17526249999999999</v>
      </c>
      <c r="V134">
        <v>-5.864954E-2</v>
      </c>
      <c r="W134">
        <v>0.17530309999999999</v>
      </c>
      <c r="X134">
        <v>0.98276600000000003</v>
      </c>
      <c r="Y134">
        <v>5.4448299999999998E-2</v>
      </c>
      <c r="Z134">
        <v>-1.0113050000000001E-3</v>
      </c>
      <c r="AA134">
        <v>0.99851610000000002</v>
      </c>
      <c r="AB134">
        <v>11</v>
      </c>
      <c r="AC134">
        <v>30.5765999999999</v>
      </c>
      <c r="AD134">
        <v>-1.159144</v>
      </c>
      <c r="AE134">
        <v>-1.75049999999998</v>
      </c>
      <c r="AF134">
        <v>1.67751149408195</v>
      </c>
      <c r="AG134">
        <v>-1.159144</v>
      </c>
      <c r="AH134">
        <v>30.536817225958799</v>
      </c>
      <c r="AI134">
        <v>92.170571583696201</v>
      </c>
      <c r="AJ134">
        <v>86.855670333429799</v>
      </c>
      <c r="AK134">
        <v>30.604817691290499</v>
      </c>
      <c r="AL134">
        <v>79.9037026446494</v>
      </c>
      <c r="AM134">
        <v>93.415248727893697</v>
      </c>
      <c r="AN134">
        <v>0.99999997808390995</v>
      </c>
    </row>
    <row r="135" spans="1:40" x14ac:dyDescent="0.25">
      <c r="A135" t="str">
        <f>"20190304155315575"</f>
        <v>20190304155315575</v>
      </c>
      <c r="B135" t="str">
        <f>"1551685995565899"</f>
        <v>1551685995565899</v>
      </c>
      <c r="C135" t="s">
        <v>40</v>
      </c>
      <c r="D135">
        <v>4.3506869999999997</v>
      </c>
      <c r="E135">
        <v>0.53999449999999904</v>
      </c>
      <c r="F135" t="s">
        <v>47</v>
      </c>
      <c r="G135">
        <v>-437.7353</v>
      </c>
      <c r="H135">
        <v>-0.05</v>
      </c>
      <c r="I135">
        <v>365.39980000000003</v>
      </c>
      <c r="J135">
        <v>-469.08699999999999</v>
      </c>
      <c r="K135">
        <v>1.109132</v>
      </c>
      <c r="L135">
        <v>367.20429999999999</v>
      </c>
      <c r="M135">
        <v>0.99999459999999996</v>
      </c>
      <c r="N135">
        <v>-2.3373230000000001E-3</v>
      </c>
      <c r="O135">
        <v>-2.3178920000000002E-3</v>
      </c>
      <c r="P135">
        <v>0.98328099999999996</v>
      </c>
      <c r="Q135">
        <v>0.17309659999999999</v>
      </c>
      <c r="R135">
        <v>5.6534189999999998E-2</v>
      </c>
      <c r="S135">
        <v>3.0808719999999998</v>
      </c>
      <c r="T135">
        <v>-0.1135111</v>
      </c>
      <c r="U135">
        <v>-0.1767273</v>
      </c>
      <c r="V135">
        <v>-5.8805059999999999E-2</v>
      </c>
      <c r="W135">
        <v>0.17539689999999999</v>
      </c>
      <c r="X135">
        <v>0.98273999999999995</v>
      </c>
      <c r="Y135">
        <v>5.4916239999999998E-2</v>
      </c>
      <c r="Z135">
        <v>-9.9485590000000009E-4</v>
      </c>
      <c r="AA135">
        <v>0.99849049999999995</v>
      </c>
      <c r="AB135">
        <v>11</v>
      </c>
      <c r="AC135">
        <v>31.351699999999902</v>
      </c>
      <c r="AD135">
        <v>-1.1591320000000001</v>
      </c>
      <c r="AE135">
        <v>-1.80449999999996</v>
      </c>
      <c r="AF135">
        <v>1.72946885808109</v>
      </c>
      <c r="AG135">
        <v>-1.1591320000000001</v>
      </c>
      <c r="AH135">
        <v>31.313137150489499</v>
      </c>
      <c r="AI135">
        <v>92.116751600258894</v>
      </c>
      <c r="AJ135">
        <v>86.838684980471697</v>
      </c>
      <c r="AK135">
        <v>31.382275375279299</v>
      </c>
      <c r="AL135">
        <v>79.898244022058805</v>
      </c>
      <c r="AM135">
        <v>93.424373743947299</v>
      </c>
      <c r="AN135">
        <v>1.0000000076055999</v>
      </c>
    </row>
    <row r="136" spans="1:40" x14ac:dyDescent="0.25">
      <c r="A136" t="str">
        <f>"20190304155315598"</f>
        <v>20190304155315598</v>
      </c>
      <c r="B136" t="str">
        <f>"1551685995585419"</f>
        <v>1551685995585419</v>
      </c>
      <c r="C136" t="s">
        <v>40</v>
      </c>
      <c r="D136">
        <v>4.4802869999999997</v>
      </c>
      <c r="E136">
        <v>0.53997399999999995</v>
      </c>
      <c r="F136" t="s">
        <v>47</v>
      </c>
      <c r="G136">
        <v>-437.48500000000001</v>
      </c>
      <c r="H136">
        <v>-0.05</v>
      </c>
      <c r="I136">
        <v>365.39620000000002</v>
      </c>
      <c r="J136">
        <v>-468.97160000000002</v>
      </c>
      <c r="K136">
        <v>1.1091200000000001</v>
      </c>
      <c r="L136">
        <v>367.20400000000001</v>
      </c>
      <c r="M136">
        <v>0.99999490000000002</v>
      </c>
      <c r="N136">
        <v>-2.1726559999999998E-3</v>
      </c>
      <c r="O136">
        <v>-2.3280750000000002E-3</v>
      </c>
      <c r="P136">
        <v>0.98337110000000005</v>
      </c>
      <c r="Q136">
        <v>0.17255509999999999</v>
      </c>
      <c r="R136">
        <v>5.662234E-2</v>
      </c>
      <c r="S136">
        <v>3.080994</v>
      </c>
      <c r="T136">
        <v>-0.11300789999999999</v>
      </c>
      <c r="U136">
        <v>-0.1762695</v>
      </c>
      <c r="V136">
        <v>-5.8903919999999999E-2</v>
      </c>
      <c r="W136">
        <v>0.17469370000000001</v>
      </c>
      <c r="X136">
        <v>0.98285929999999999</v>
      </c>
      <c r="Y136">
        <v>5.4756569999999997E-2</v>
      </c>
      <c r="Z136">
        <v>-9.8236659999999991E-4</v>
      </c>
      <c r="AA136">
        <v>0.99849929999999998</v>
      </c>
      <c r="AB136">
        <v>11</v>
      </c>
      <c r="AC136">
        <v>31.486599999999999</v>
      </c>
      <c r="AD136">
        <v>-1.1591199999999999</v>
      </c>
      <c r="AE136">
        <v>-1.8077999999999801</v>
      </c>
      <c r="AF136">
        <v>1.73215204961026</v>
      </c>
      <c r="AG136">
        <v>-1.1591199999999999</v>
      </c>
      <c r="AH136">
        <v>31.448244561334899</v>
      </c>
      <c r="AI136">
        <v>92.107661663510598</v>
      </c>
      <c r="AJ136">
        <v>86.847365434402604</v>
      </c>
      <c r="AK136">
        <v>31.517233315868602</v>
      </c>
      <c r="AL136">
        <v>79.9391659790397</v>
      </c>
      <c r="AM136">
        <v>93.429701533042802</v>
      </c>
      <c r="AN136">
        <v>0.99999998210377306</v>
      </c>
    </row>
    <row r="137" spans="1:40" x14ac:dyDescent="0.25">
      <c r="A137" t="str">
        <f>"20190304155315620"</f>
        <v>20190304155315620</v>
      </c>
      <c r="B137" t="str">
        <f>"1551685995615675"</f>
        <v>1551685995615675</v>
      </c>
      <c r="C137" t="s">
        <v>40</v>
      </c>
      <c r="D137">
        <v>4.7523669999999996</v>
      </c>
      <c r="E137">
        <v>0.5423924</v>
      </c>
      <c r="F137" t="s">
        <v>47</v>
      </c>
      <c r="G137">
        <v>-437.1739</v>
      </c>
      <c r="H137">
        <v>-0.05</v>
      </c>
      <c r="I137">
        <v>365.38490000000002</v>
      </c>
      <c r="J137">
        <v>-468.85210000000001</v>
      </c>
      <c r="K137">
        <v>1.109102</v>
      </c>
      <c r="L137">
        <v>367.20370000000003</v>
      </c>
      <c r="M137">
        <v>0.99999530000000003</v>
      </c>
      <c r="N137">
        <v>-2.0153739999999999E-3</v>
      </c>
      <c r="O137">
        <v>-2.3386359999999998E-3</v>
      </c>
      <c r="P137">
        <v>0.98349359999999997</v>
      </c>
      <c r="Q137">
        <v>0.171992899999999</v>
      </c>
      <c r="R137">
        <v>5.620315E-2</v>
      </c>
      <c r="S137">
        <v>3.0806269999999998</v>
      </c>
      <c r="T137">
        <v>-0.11229790000000001</v>
      </c>
      <c r="U137">
        <v>-0.17623900000000001</v>
      </c>
      <c r="V137">
        <v>-5.8495279999999997E-2</v>
      </c>
      <c r="W137">
        <v>0.1739771</v>
      </c>
      <c r="X137">
        <v>0.98301079999999996</v>
      </c>
      <c r="Y137">
        <v>5.474358E-2</v>
      </c>
      <c r="Z137">
        <v>-9.7142249999999995E-4</v>
      </c>
      <c r="AA137">
        <v>0.99850000000000005</v>
      </c>
      <c r="AB137">
        <v>11</v>
      </c>
      <c r="AC137">
        <v>31.6782</v>
      </c>
      <c r="AD137">
        <v>-1.1591020000000001</v>
      </c>
      <c r="AE137">
        <v>-1.81880000000001</v>
      </c>
      <c r="AF137">
        <v>1.74238602433724</v>
      </c>
      <c r="AG137">
        <v>-1.1591020000000001</v>
      </c>
      <c r="AH137">
        <v>31.640145600669399</v>
      </c>
      <c r="AI137">
        <v>92.094858600122606</v>
      </c>
      <c r="AJ137">
        <v>86.847971734044805</v>
      </c>
      <c r="AK137">
        <v>31.709276878159301</v>
      </c>
      <c r="AL137">
        <v>79.980862654636297</v>
      </c>
      <c r="AM137">
        <v>93.405440846679397</v>
      </c>
      <c r="AN137">
        <v>0.99999998101166399</v>
      </c>
    </row>
    <row r="138" spans="1:40" x14ac:dyDescent="0.25">
      <c r="A138" t="str">
        <f>"20190304155315643"</f>
        <v>20190304155315643</v>
      </c>
      <c r="B138" t="str">
        <f>"1551685995636171"</f>
        <v>1551685995636171</v>
      </c>
      <c r="C138" t="s">
        <v>40</v>
      </c>
      <c r="D138">
        <v>4.7464700000000004</v>
      </c>
      <c r="E138">
        <v>0.54424890000000004</v>
      </c>
      <c r="F138" t="s">
        <v>46</v>
      </c>
      <c r="G138">
        <v>-442.81220000000002</v>
      </c>
      <c r="H138" s="1">
        <v>-4.1014420000000001E-6</v>
      </c>
      <c r="I138">
        <v>365.53890000000001</v>
      </c>
      <c r="J138">
        <v>-468.73379999999997</v>
      </c>
      <c r="K138">
        <v>1.109016</v>
      </c>
      <c r="L138">
        <v>367.20339999999999</v>
      </c>
      <c r="M138">
        <v>0.99999610000000005</v>
      </c>
      <c r="N138">
        <v>-1.6296780000000001E-3</v>
      </c>
      <c r="O138">
        <v>-2.3496010000000002E-3</v>
      </c>
      <c r="P138">
        <v>0.9835855</v>
      </c>
      <c r="Q138">
        <v>0.17143949999999999</v>
      </c>
      <c r="R138">
        <v>5.6287660000000003E-2</v>
      </c>
      <c r="S138">
        <v>3.084625</v>
      </c>
      <c r="T138">
        <v>-0.1313821</v>
      </c>
      <c r="U138">
        <v>-0.19720460000000001</v>
      </c>
      <c r="V138">
        <v>-5.8590360000000001E-2</v>
      </c>
      <c r="W138">
        <v>0.173045</v>
      </c>
      <c r="X138">
        <v>0.98316970000000004</v>
      </c>
      <c r="Y138">
        <v>6.1400610000000001E-2</v>
      </c>
      <c r="Z138">
        <v>-1.259685E-3</v>
      </c>
      <c r="AA138">
        <v>0.99811240000000001</v>
      </c>
      <c r="AB138">
        <v>12</v>
      </c>
      <c r="AC138">
        <v>25.921599999999899</v>
      </c>
      <c r="AD138">
        <v>-1.109020101442</v>
      </c>
      <c r="AE138">
        <v>-1.6644999999999699</v>
      </c>
      <c r="AF138">
        <v>1.60067201784386</v>
      </c>
      <c r="AG138">
        <v>-1.109020101442</v>
      </c>
      <c r="AH138">
        <v>25.878265293408301</v>
      </c>
      <c r="AI138">
        <v>92.449249575466695</v>
      </c>
      <c r="AJ138">
        <v>86.460541016910895</v>
      </c>
      <c r="AK138">
        <v>25.9514294614021</v>
      </c>
      <c r="AL138">
        <v>80.035091087163806</v>
      </c>
      <c r="AM138">
        <v>93.410413115731004</v>
      </c>
      <c r="AN138">
        <v>1.000000030654</v>
      </c>
    </row>
    <row r="139" spans="1:40" x14ac:dyDescent="0.25">
      <c r="A139" t="str">
        <f>"20190304155315664"</f>
        <v>20190304155315664</v>
      </c>
      <c r="B139" t="str">
        <f>"1551685995655692"</f>
        <v>1551685995655692</v>
      </c>
      <c r="C139" t="s">
        <v>40</v>
      </c>
      <c r="D139">
        <v>4.8185560000000001</v>
      </c>
      <c r="E139">
        <v>0.54556879999999996</v>
      </c>
      <c r="F139" t="s">
        <v>46</v>
      </c>
      <c r="G139">
        <v>-445.98610000000002</v>
      </c>
      <c r="H139" s="1">
        <v>-2.5838179999999998E-6</v>
      </c>
      <c r="I139">
        <v>365.63920000000002</v>
      </c>
      <c r="J139">
        <v>-468.61680000000001</v>
      </c>
      <c r="K139">
        <v>1.1088739999999999</v>
      </c>
      <c r="L139">
        <v>367.20310000000001</v>
      </c>
      <c r="M139">
        <v>0.99999629999999995</v>
      </c>
      <c r="N139">
        <v>-1.4219269999999999E-3</v>
      </c>
      <c r="O139">
        <v>-2.359571E-3</v>
      </c>
      <c r="P139">
        <v>0.98369410000000002</v>
      </c>
      <c r="Q139">
        <v>0.170813299999999</v>
      </c>
      <c r="R139">
        <v>5.6292759999999997E-2</v>
      </c>
      <c r="S139">
        <v>3.08847</v>
      </c>
      <c r="T139">
        <v>-0.1505725</v>
      </c>
      <c r="U139">
        <v>-0.2123718</v>
      </c>
      <c r="V139">
        <v>-5.8605570000000003E-2</v>
      </c>
      <c r="W139">
        <v>0.1722146</v>
      </c>
      <c r="X139">
        <v>0.98331460000000004</v>
      </c>
      <c r="Y139">
        <v>6.6168729999999995E-2</v>
      </c>
      <c r="Z139">
        <v>-1.545757E-3</v>
      </c>
      <c r="AA139">
        <v>0.99780729999999995</v>
      </c>
      <c r="AB139">
        <v>12</v>
      </c>
      <c r="AC139">
        <v>22.630699999999901</v>
      </c>
      <c r="AD139">
        <v>-1.1088765838179999</v>
      </c>
      <c r="AE139">
        <v>-1.5638999999999801</v>
      </c>
      <c r="AF139">
        <v>1.5068961723946701</v>
      </c>
      <c r="AG139">
        <v>-1.1088765838179999</v>
      </c>
      <c r="AH139">
        <v>22.580372038482398</v>
      </c>
      <c r="AI139">
        <v>92.8051921949464</v>
      </c>
      <c r="AJ139">
        <v>86.182039814384893</v>
      </c>
      <c r="AK139">
        <v>22.6577480070018</v>
      </c>
      <c r="AL139">
        <v>80.0833948082728</v>
      </c>
      <c r="AM139">
        <v>93.410794867652896</v>
      </c>
      <c r="AN139">
        <v>1.00000004193067</v>
      </c>
    </row>
    <row r="140" spans="1:40" x14ac:dyDescent="0.25">
      <c r="A140" t="str">
        <f>"20190304155315688"</f>
        <v>20190304155315688</v>
      </c>
      <c r="B140" t="str">
        <f>"1551685995685947"</f>
        <v>1551685995685947</v>
      </c>
      <c r="C140" t="s">
        <v>40</v>
      </c>
      <c r="D140">
        <v>4.8929869999999998</v>
      </c>
      <c r="E140">
        <v>0.54634559999999999</v>
      </c>
      <c r="F140" t="s">
        <v>46</v>
      </c>
      <c r="G140">
        <v>-448.02589999999998</v>
      </c>
      <c r="H140" s="1">
        <v>-1.780386E-6</v>
      </c>
      <c r="I140">
        <v>365.71480000000003</v>
      </c>
      <c r="J140">
        <v>-468.48270000000002</v>
      </c>
      <c r="K140">
        <v>1.1087530000000001</v>
      </c>
      <c r="L140">
        <v>367.20280000000002</v>
      </c>
      <c r="M140">
        <v>0.99999610000000005</v>
      </c>
      <c r="N140">
        <v>-1.41986E-3</v>
      </c>
      <c r="O140">
        <v>-2.3707759999999998E-3</v>
      </c>
      <c r="P140">
        <v>0.98387389999999997</v>
      </c>
      <c r="Q140">
        <v>0.16983579999999901</v>
      </c>
      <c r="R140">
        <v>5.6106660000000003E-2</v>
      </c>
      <c r="S140">
        <v>3.091431</v>
      </c>
      <c r="T140">
        <v>-0.16648199999999999</v>
      </c>
      <c r="U140">
        <v>-0.2234497</v>
      </c>
      <c r="V140">
        <v>-5.8430959999999997E-2</v>
      </c>
      <c r="W140">
        <v>0.1712352</v>
      </c>
      <c r="X140">
        <v>0.98349600000000004</v>
      </c>
      <c r="Y140">
        <v>6.9627699999999904E-2</v>
      </c>
      <c r="Z140">
        <v>-1.7965079999999901E-3</v>
      </c>
      <c r="AA140">
        <v>0.9975714</v>
      </c>
      <c r="AB140">
        <v>12</v>
      </c>
      <c r="AC140">
        <v>20.456800000000001</v>
      </c>
      <c r="AD140">
        <v>-1.1087547803860001</v>
      </c>
      <c r="AE140">
        <v>-1.48799999999999</v>
      </c>
      <c r="AF140">
        <v>1.43530309097714</v>
      </c>
      <c r="AG140">
        <v>-1.1087547803860001</v>
      </c>
      <c r="AH140">
        <v>20.400656265689001</v>
      </c>
      <c r="AI140">
        <v>93.103250446935405</v>
      </c>
      <c r="AJ140">
        <v>85.975545043796998</v>
      </c>
      <c r="AK140">
        <v>20.481118333645501</v>
      </c>
      <c r="AL140">
        <v>80.140356308910498</v>
      </c>
      <c r="AM140">
        <v>93.400030837662001</v>
      </c>
      <c r="AN140">
        <v>1.00000002641078</v>
      </c>
    </row>
    <row r="141" spans="1:40" x14ac:dyDescent="0.25">
      <c r="A141" t="str">
        <f>"20190304155315712"</f>
        <v>20190304155315712</v>
      </c>
      <c r="B141" t="str">
        <f>"1551685995705468"</f>
        <v>1551685995705468</v>
      </c>
      <c r="C141" t="s">
        <v>40</v>
      </c>
      <c r="D141">
        <v>4.8369039999999996</v>
      </c>
      <c r="E141">
        <v>0.5469347</v>
      </c>
      <c r="F141" t="s">
        <v>48</v>
      </c>
      <c r="G141">
        <v>-467.66969999999998</v>
      </c>
      <c r="H141">
        <v>1.0604480000000001</v>
      </c>
      <c r="I141">
        <v>367.1422</v>
      </c>
      <c r="J141">
        <v>-468.35359999999997</v>
      </c>
      <c r="K141">
        <v>1.108636</v>
      </c>
      <c r="L141">
        <v>367.20249999999999</v>
      </c>
      <c r="M141">
        <v>0.99999629999999995</v>
      </c>
      <c r="N141">
        <v>-1.3610370000000001E-3</v>
      </c>
      <c r="O141">
        <v>-2.3817019999999999E-3</v>
      </c>
      <c r="P141">
        <v>0.98418519999999998</v>
      </c>
      <c r="Q141">
        <v>0.16808989999999999</v>
      </c>
      <c r="R141">
        <v>5.5906770000000001E-2</v>
      </c>
      <c r="S141">
        <v>3.094055</v>
      </c>
      <c r="T141">
        <v>-0.1838129</v>
      </c>
      <c r="U141">
        <v>-0.23049929999999999</v>
      </c>
      <c r="V141">
        <v>-5.824257E-2</v>
      </c>
      <c r="W141">
        <v>0.16943179999999999</v>
      </c>
      <c r="X141">
        <v>0.98381940000000001</v>
      </c>
      <c r="Y141">
        <v>7.1791489999999999E-2</v>
      </c>
      <c r="Z141">
        <v>-2.0387209999999998E-3</v>
      </c>
      <c r="AA141">
        <v>0.99741760000000002</v>
      </c>
      <c r="AB141">
        <v>12</v>
      </c>
      <c r="AC141">
        <v>0.68389999999999396</v>
      </c>
      <c r="AD141">
        <v>-4.8187999999999898E-2</v>
      </c>
      <c r="AE141">
        <v>-6.0299999999983797E-2</v>
      </c>
      <c r="AF141">
        <v>5.83833619485725E-2</v>
      </c>
      <c r="AG141">
        <v>-4.8187999999999898E-2</v>
      </c>
      <c r="AH141">
        <v>0.68068833604725199</v>
      </c>
      <c r="AI141">
        <v>94.034622683591493</v>
      </c>
      <c r="AJ141">
        <v>85.097678206182806</v>
      </c>
      <c r="AK141">
        <v>0.68488488896105404</v>
      </c>
      <c r="AL141">
        <v>80.245215361380701</v>
      </c>
      <c r="AM141">
        <v>93.387982768123393</v>
      </c>
      <c r="AN141">
        <v>0.99999997181390199</v>
      </c>
    </row>
    <row r="142" spans="1:40" x14ac:dyDescent="0.25">
      <c r="A142" t="str">
        <f>"20190304155315733"</f>
        <v>20190304155315733</v>
      </c>
      <c r="B142" t="str">
        <f>"1551685995725964"</f>
        <v>1551685995725964</v>
      </c>
      <c r="C142" t="s">
        <v>40</v>
      </c>
      <c r="D142">
        <v>4.8214069999999998</v>
      </c>
      <c r="E142">
        <v>0.54762429999999995</v>
      </c>
      <c r="F142" t="s">
        <v>48</v>
      </c>
      <c r="G142">
        <v>-467.56200000000001</v>
      </c>
      <c r="H142">
        <v>1.057221</v>
      </c>
      <c r="I142">
        <v>367.14150000000001</v>
      </c>
      <c r="J142">
        <v>-468.23230000000001</v>
      </c>
      <c r="K142">
        <v>1.108525</v>
      </c>
      <c r="L142">
        <v>367.2022</v>
      </c>
      <c r="M142">
        <v>0.99999649999999995</v>
      </c>
      <c r="N142">
        <v>-1.1745060000000001E-3</v>
      </c>
      <c r="O142">
        <v>-2.3925470000000001E-3</v>
      </c>
      <c r="P142">
        <v>0.98438530000000002</v>
      </c>
      <c r="Q142">
        <v>0.16712379999999999</v>
      </c>
      <c r="R142">
        <v>5.5278630000000002E-2</v>
      </c>
      <c r="S142">
        <v>3.096069</v>
      </c>
      <c r="T142">
        <v>-0.2014995</v>
      </c>
      <c r="U142">
        <v>-0.23626710000000001</v>
      </c>
      <c r="V142">
        <v>-5.7625450000000002E-2</v>
      </c>
      <c r="W142">
        <v>0.16828270000000001</v>
      </c>
      <c r="X142">
        <v>0.98405299999999996</v>
      </c>
      <c r="Y142">
        <v>7.3552240000000005E-2</v>
      </c>
      <c r="Z142">
        <v>-2.2782739999999998E-3</v>
      </c>
      <c r="AA142">
        <v>0.99728879999999998</v>
      </c>
      <c r="AB142">
        <v>12</v>
      </c>
      <c r="AC142">
        <v>0.67030000000005396</v>
      </c>
      <c r="AD142">
        <v>-5.1304000000000002E-2</v>
      </c>
      <c r="AE142">
        <v>-6.0699999999996999E-2</v>
      </c>
      <c r="AF142">
        <v>5.8754703943663701E-2</v>
      </c>
      <c r="AG142">
        <v>-5.1304000000000002E-2</v>
      </c>
      <c r="AH142">
        <v>0.66657017100351601</v>
      </c>
      <c r="AI142">
        <v>94.384282908099706</v>
      </c>
      <c r="AJ142">
        <v>84.9626930340917</v>
      </c>
      <c r="AK142">
        <v>0.67111847577246997</v>
      </c>
      <c r="AL142">
        <v>80.312013729501203</v>
      </c>
      <c r="AM142">
        <v>93.351373123200901</v>
      </c>
      <c r="AN142">
        <v>1.0000000332079899</v>
      </c>
    </row>
    <row r="143" spans="1:40" x14ac:dyDescent="0.25">
      <c r="A143" t="str">
        <f>"20190304155315754"</f>
        <v>20190304155315754</v>
      </c>
      <c r="B143" t="str">
        <f>"1551685995745484"</f>
        <v>1551685995745484</v>
      </c>
      <c r="C143" t="s">
        <v>40</v>
      </c>
      <c r="D143">
        <v>4.9077590000000004</v>
      </c>
      <c r="E143">
        <v>0.5485892</v>
      </c>
      <c r="F143" t="s">
        <v>48</v>
      </c>
      <c r="G143">
        <v>-467.4502</v>
      </c>
      <c r="H143">
        <v>1.0541020000000001</v>
      </c>
      <c r="I143">
        <v>367.14049999999997</v>
      </c>
      <c r="J143">
        <v>-468.11259999999999</v>
      </c>
      <c r="K143">
        <v>1.1084339999999999</v>
      </c>
      <c r="L143">
        <v>367.20190000000002</v>
      </c>
      <c r="M143">
        <v>0.99999680000000002</v>
      </c>
      <c r="N143">
        <v>-9.5853059999999996E-4</v>
      </c>
      <c r="O143">
        <v>-2.4033940000000001E-3</v>
      </c>
      <c r="P143">
        <v>0.98448780000000002</v>
      </c>
      <c r="Q143">
        <v>0.16661579999999901</v>
      </c>
      <c r="R143">
        <v>5.4983610000000002E-2</v>
      </c>
      <c r="S143">
        <v>3.0979000000000001</v>
      </c>
      <c r="T143">
        <v>-0.21569430000000001</v>
      </c>
      <c r="U143">
        <v>-0.24407960000000001</v>
      </c>
      <c r="V143">
        <v>-5.734119E-2</v>
      </c>
      <c r="W143">
        <v>0.16756209999999999</v>
      </c>
      <c r="X143">
        <v>0.98419259999999997</v>
      </c>
      <c r="Y143">
        <v>7.5969410000000001E-2</v>
      </c>
      <c r="Z143">
        <v>-2.5093849999999998E-3</v>
      </c>
      <c r="AA143">
        <v>0.99710699999999997</v>
      </c>
      <c r="AB143">
        <v>13</v>
      </c>
      <c r="AC143">
        <v>0.662399999999991</v>
      </c>
      <c r="AD143">
        <v>-5.4331999999999797E-2</v>
      </c>
      <c r="AE143">
        <v>-6.14000000000487E-2</v>
      </c>
      <c r="AF143">
        <v>5.9411512399560398E-2</v>
      </c>
      <c r="AG143">
        <v>-5.4331999999999797E-2</v>
      </c>
      <c r="AH143">
        <v>0.65815546152941595</v>
      </c>
      <c r="AI143">
        <v>94.700151281600299</v>
      </c>
      <c r="AJ143">
        <v>84.841905890295607</v>
      </c>
      <c r="AK143">
        <v>0.66306131358314202</v>
      </c>
      <c r="AL143">
        <v>80.353896158361394</v>
      </c>
      <c r="AM143">
        <v>93.334406614183806</v>
      </c>
      <c r="AN143">
        <v>1.0000000716608901</v>
      </c>
    </row>
    <row r="144" spans="1:40" x14ac:dyDescent="0.25">
      <c r="A144" t="str">
        <f>"20190304155315777"</f>
        <v>20190304155315777</v>
      </c>
      <c r="B144" t="str">
        <f>"1551685995765979"</f>
        <v>1551685995765979</v>
      </c>
      <c r="C144" t="s">
        <v>40</v>
      </c>
      <c r="D144">
        <v>4.8770069999999999</v>
      </c>
      <c r="E144">
        <v>0.54980739999999995</v>
      </c>
      <c r="F144" t="s">
        <v>48</v>
      </c>
      <c r="G144">
        <v>-467.33629999999999</v>
      </c>
      <c r="H144">
        <v>1.051094</v>
      </c>
      <c r="I144">
        <v>367.13819999999998</v>
      </c>
      <c r="J144">
        <v>-467.97430000000003</v>
      </c>
      <c r="K144">
        <v>1.108387</v>
      </c>
      <c r="L144">
        <v>367.20150000000001</v>
      </c>
      <c r="M144">
        <v>0.99999680000000002</v>
      </c>
      <c r="N144">
        <v>-7.8899179999999903E-4</v>
      </c>
      <c r="O144">
        <v>-2.4159519999999999E-3</v>
      </c>
      <c r="P144">
        <v>0.98457939999999999</v>
      </c>
      <c r="Q144">
        <v>0.16624340000000001</v>
      </c>
      <c r="R144">
        <v>5.4467130000000002E-2</v>
      </c>
      <c r="S144">
        <v>3.1001590000000001</v>
      </c>
      <c r="T144">
        <v>-0.22922229999999999</v>
      </c>
      <c r="U144">
        <v>-0.25277709999999998</v>
      </c>
      <c r="V144">
        <v>-5.6837730000000003E-2</v>
      </c>
      <c r="W144">
        <v>0.16702330000000001</v>
      </c>
      <c r="X144">
        <v>0.98431329999999995</v>
      </c>
      <c r="Y144">
        <v>7.8649780000000002E-2</v>
      </c>
      <c r="Z144">
        <v>-2.7538160000000001E-3</v>
      </c>
      <c r="AA144">
        <v>0.99689850000000002</v>
      </c>
      <c r="AB144">
        <v>13</v>
      </c>
      <c r="AC144">
        <v>0.63800000000003299</v>
      </c>
      <c r="AD144">
        <v>-5.7292999999999997E-2</v>
      </c>
      <c r="AE144">
        <v>-6.3300000000026502E-2</v>
      </c>
      <c r="AF144">
        <v>6.1269166419383903E-2</v>
      </c>
      <c r="AG144">
        <v>-5.7292999999999997E-2</v>
      </c>
      <c r="AH144">
        <v>0.633095421270783</v>
      </c>
      <c r="AI144">
        <v>95.147072262523295</v>
      </c>
      <c r="AJ144">
        <v>84.472292398105793</v>
      </c>
      <c r="AK144">
        <v>0.63862838258000698</v>
      </c>
      <c r="AL144">
        <v>80.385207618546005</v>
      </c>
      <c r="AM144">
        <v>93.304791067143896</v>
      </c>
      <c r="AN144">
        <v>0.99999999142566598</v>
      </c>
    </row>
    <row r="145" spans="1:40" x14ac:dyDescent="0.25">
      <c r="A145" t="str">
        <f>"20190304155315798"</f>
        <v>20190304155315798</v>
      </c>
      <c r="B145" t="str">
        <f>"1551685995795261"</f>
        <v>1551685995795261</v>
      </c>
      <c r="C145" t="s">
        <v>40</v>
      </c>
      <c r="D145">
        <v>4.8011299999999997</v>
      </c>
      <c r="E145">
        <v>0.55075779999999996</v>
      </c>
      <c r="F145" t="s">
        <v>48</v>
      </c>
      <c r="G145">
        <v>-467.21890000000002</v>
      </c>
      <c r="H145">
        <v>1.049614</v>
      </c>
      <c r="I145">
        <v>367.137</v>
      </c>
      <c r="J145">
        <v>-467.84809999999999</v>
      </c>
      <c r="K145">
        <v>1.1083959999999999</v>
      </c>
      <c r="L145">
        <v>367.20119999999997</v>
      </c>
      <c r="M145">
        <v>0.99999680000000002</v>
      </c>
      <c r="N145">
        <v>-7.2828319999999999E-4</v>
      </c>
      <c r="O145">
        <v>-2.4268940000000002E-3</v>
      </c>
      <c r="P145">
        <v>0.98472020000000005</v>
      </c>
      <c r="Q145">
        <v>0.16553989999999999</v>
      </c>
      <c r="R145">
        <v>5.4063590000000002E-2</v>
      </c>
      <c r="S145">
        <v>3.1022949999999998</v>
      </c>
      <c r="T145">
        <v>-0.24147360000000001</v>
      </c>
      <c r="U145">
        <v>-0.2640381</v>
      </c>
      <c r="V145">
        <v>-5.6444750000000002E-2</v>
      </c>
      <c r="W145">
        <v>0.16625970000000001</v>
      </c>
      <c r="X145">
        <v>0.98446520000000004</v>
      </c>
      <c r="Y145">
        <v>8.2143729999999998E-2</v>
      </c>
      <c r="Z145">
        <v>-3.029852E-3</v>
      </c>
      <c r="AA145">
        <v>0.9966159</v>
      </c>
      <c r="AB145">
        <v>13</v>
      </c>
      <c r="AC145">
        <v>0.62919999999996801</v>
      </c>
      <c r="AD145">
        <v>-5.87819999999998E-2</v>
      </c>
      <c r="AE145">
        <v>-6.4200000000027999E-2</v>
      </c>
      <c r="AF145">
        <v>6.2136077378960403E-2</v>
      </c>
      <c r="AG145">
        <v>-5.87819999999998E-2</v>
      </c>
      <c r="AH145">
        <v>0.62396415108768899</v>
      </c>
      <c r="AI145">
        <v>95.355465337292799</v>
      </c>
      <c r="AJ145">
        <v>84.313076774852107</v>
      </c>
      <c r="AK145">
        <v>0.62979955341253202</v>
      </c>
      <c r="AL145">
        <v>80.429579315755603</v>
      </c>
      <c r="AM145">
        <v>93.281486341060301</v>
      </c>
      <c r="AN145">
        <v>1.0000000138288401</v>
      </c>
    </row>
    <row r="146" spans="1:40" x14ac:dyDescent="0.25">
      <c r="A146" t="str">
        <f>"20190304155315823"</f>
        <v>20190304155315823</v>
      </c>
      <c r="B146" t="str">
        <f>"1551685995815756"</f>
        <v>1551685995815756</v>
      </c>
      <c r="C146" t="s">
        <v>40</v>
      </c>
      <c r="D146">
        <v>4.8322409999999998</v>
      </c>
      <c r="E146">
        <v>0.55156680000000002</v>
      </c>
      <c r="F146" t="s">
        <v>48</v>
      </c>
      <c r="G146">
        <v>-467.10050000000001</v>
      </c>
      <c r="H146">
        <v>1.047186</v>
      </c>
      <c r="I146">
        <v>367.13529999999997</v>
      </c>
      <c r="J146">
        <v>-467.69779999999997</v>
      </c>
      <c r="K146">
        <v>1.108433</v>
      </c>
      <c r="L146">
        <v>367.20080000000002</v>
      </c>
      <c r="M146">
        <v>0.99999680000000002</v>
      </c>
      <c r="N146">
        <v>-7.0353829999999997E-4</v>
      </c>
      <c r="O146">
        <v>-2.4390449999999999E-3</v>
      </c>
      <c r="P146">
        <v>0.98468420000000001</v>
      </c>
      <c r="Q146">
        <v>0.16571720000000001</v>
      </c>
      <c r="R146">
        <v>5.4178370000000003E-2</v>
      </c>
      <c r="S146">
        <v>3.1043400000000001</v>
      </c>
      <c r="T146">
        <v>-0.25418560000000001</v>
      </c>
      <c r="U146">
        <v>-0.27346799999999999</v>
      </c>
      <c r="V146">
        <v>-5.6571419999999997E-2</v>
      </c>
      <c r="W146">
        <v>0.16641300000000001</v>
      </c>
      <c r="X146">
        <v>0.98443199999999997</v>
      </c>
      <c r="Y146">
        <v>8.5045540000000003E-2</v>
      </c>
      <c r="Z146">
        <v>-3.3020409999999999E-3</v>
      </c>
      <c r="AA146">
        <v>0.99637160000000002</v>
      </c>
      <c r="AB146">
        <v>13</v>
      </c>
      <c r="AC146">
        <v>0.59729999999996097</v>
      </c>
      <c r="AD146">
        <v>-6.1247000000000003E-2</v>
      </c>
      <c r="AE146">
        <v>-6.5500000000042705E-2</v>
      </c>
      <c r="AF146">
        <v>6.3384432859405204E-2</v>
      </c>
      <c r="AG146">
        <v>-6.1247000000000003E-2</v>
      </c>
      <c r="AH146">
        <v>0.59131453857910099</v>
      </c>
      <c r="AI146">
        <v>95.880031078614095</v>
      </c>
      <c r="AJ146">
        <v>83.881689271468204</v>
      </c>
      <c r="AK146">
        <v>0.59784752644208805</v>
      </c>
      <c r="AL146">
        <v>80.420671526907995</v>
      </c>
      <c r="AM146">
        <v>93.288944985744294</v>
      </c>
      <c r="AN146">
        <v>0.99999998737690798</v>
      </c>
    </row>
    <row r="147" spans="1:40" x14ac:dyDescent="0.25">
      <c r="A147" t="str">
        <f>"20190304155315843"</f>
        <v>20190304155315843</v>
      </c>
      <c r="B147" t="str">
        <f>"1551685995835276"</f>
        <v>1551685995835276</v>
      </c>
      <c r="C147" t="s">
        <v>40</v>
      </c>
      <c r="D147">
        <v>4.750902</v>
      </c>
      <c r="E147">
        <v>0.55201880000000003</v>
      </c>
      <c r="F147" t="s">
        <v>48</v>
      </c>
      <c r="G147">
        <v>-466.86070000000001</v>
      </c>
      <c r="H147">
        <v>1.037952</v>
      </c>
      <c r="I147">
        <v>367.12540000000001</v>
      </c>
      <c r="J147">
        <v>-467.57670000000002</v>
      </c>
      <c r="K147">
        <v>1.1084620000000001</v>
      </c>
      <c r="L147">
        <v>367.20049999999998</v>
      </c>
      <c r="M147">
        <v>0.99999680000000002</v>
      </c>
      <c r="N147">
        <v>-6.8080789999999897E-4</v>
      </c>
      <c r="O147">
        <v>-2.449288E-3</v>
      </c>
      <c r="P147">
        <v>0.98474450000000002</v>
      </c>
      <c r="Q147">
        <v>0.16542860000000001</v>
      </c>
      <c r="R147">
        <v>5.3960099999999997E-2</v>
      </c>
      <c r="S147">
        <v>3.1060490000000001</v>
      </c>
      <c r="T147">
        <v>-0.26155440000000002</v>
      </c>
      <c r="U147">
        <v>-0.27920529999999999</v>
      </c>
      <c r="V147">
        <v>-5.6363650000000001E-2</v>
      </c>
      <c r="W147">
        <v>0.16610179999999999</v>
      </c>
      <c r="X147">
        <v>0.9844965</v>
      </c>
      <c r="Y147">
        <v>8.6791400000000005E-2</v>
      </c>
      <c r="Z147">
        <v>-3.4663620000000002E-3</v>
      </c>
      <c r="AA147">
        <v>0.99622049999999995</v>
      </c>
      <c r="AB147">
        <v>14</v>
      </c>
      <c r="AC147">
        <v>0.71600000000000796</v>
      </c>
      <c r="AD147">
        <v>-7.0510000000000003E-2</v>
      </c>
      <c r="AE147">
        <v>-7.5099999999963502E-2</v>
      </c>
      <c r="AF147">
        <v>7.2649209860078306E-2</v>
      </c>
      <c r="AG147">
        <v>-7.0510000000000003E-2</v>
      </c>
      <c r="AH147">
        <v>0.70937722208227205</v>
      </c>
      <c r="AI147">
        <v>95.6470419545807</v>
      </c>
      <c r="AJ147">
        <v>84.152573111292696</v>
      </c>
      <c r="AK147">
        <v>0.71656514777266</v>
      </c>
      <c r="AL147">
        <v>80.438753888146906</v>
      </c>
      <c r="AM147">
        <v>93.276677820869494</v>
      </c>
      <c r="AN147">
        <v>1.0000000137584</v>
      </c>
    </row>
    <row r="148" spans="1:40" x14ac:dyDescent="0.25">
      <c r="A148" t="str">
        <f>"20190304155315877"</f>
        <v>20190304155315877</v>
      </c>
      <c r="B148" t="str">
        <f>"1551685995865535"</f>
        <v>1551685995865535</v>
      </c>
      <c r="C148" t="s">
        <v>40</v>
      </c>
      <c r="D148">
        <v>4.8955380000000002</v>
      </c>
      <c r="E148">
        <v>0.55298309999999995</v>
      </c>
      <c r="F148" t="s">
        <v>48</v>
      </c>
      <c r="G148">
        <v>-466.7373</v>
      </c>
      <c r="H148">
        <v>1.035231</v>
      </c>
      <c r="I148">
        <v>367.12389999999999</v>
      </c>
      <c r="J148">
        <v>-467.36290000000002</v>
      </c>
      <c r="K148">
        <v>1.1085149999999999</v>
      </c>
      <c r="L148">
        <v>367.2</v>
      </c>
      <c r="M148">
        <v>0.99999680000000002</v>
      </c>
      <c r="N148">
        <v>-6.2229180000000002E-4</v>
      </c>
      <c r="O148">
        <v>-2.4683410000000002E-3</v>
      </c>
      <c r="P148">
        <v>0.98493370000000002</v>
      </c>
      <c r="Q148">
        <v>0.16433889999999901</v>
      </c>
      <c r="R148">
        <v>5.3836099999999998E-2</v>
      </c>
      <c r="S148">
        <v>3.1075439999999999</v>
      </c>
      <c r="T148">
        <v>-0.27121000000000001</v>
      </c>
      <c r="U148">
        <v>-0.28280640000000001</v>
      </c>
      <c r="V148">
        <v>-5.6258679999999998E-2</v>
      </c>
      <c r="W148">
        <v>0.16495479999999901</v>
      </c>
      <c r="X148">
        <v>0.98469530000000005</v>
      </c>
      <c r="Y148">
        <v>8.7849010000000005E-2</v>
      </c>
      <c r="Z148">
        <v>-3.6327859999999998E-3</v>
      </c>
      <c r="AA148">
        <v>0.99612719999999999</v>
      </c>
      <c r="AB148">
        <v>14</v>
      </c>
      <c r="AC148">
        <v>0.62560000000001903</v>
      </c>
      <c r="AD148">
        <v>-7.3283999999999905E-2</v>
      </c>
      <c r="AE148">
        <v>-7.6099999999996698E-2</v>
      </c>
      <c r="AF148">
        <v>7.3560872884730705E-2</v>
      </c>
      <c r="AG148">
        <v>-7.3283999999999905E-2</v>
      </c>
      <c r="AH148">
        <v>0.61743686308607304</v>
      </c>
      <c r="AI148">
        <v>96.721711533976205</v>
      </c>
      <c r="AJ148">
        <v>83.205857189490303</v>
      </c>
      <c r="AK148">
        <v>0.62610704082699198</v>
      </c>
      <c r="AL148">
        <v>80.505391083812697</v>
      </c>
      <c r="AM148">
        <v>93.269929826742001</v>
      </c>
      <c r="AN148">
        <v>0.999999979480236</v>
      </c>
    </row>
    <row r="149" spans="1:40" x14ac:dyDescent="0.25">
      <c r="A149" t="str">
        <f>"20190304155315900"</f>
        <v>20190304155315900</v>
      </c>
      <c r="B149" t="str">
        <f>"1551685995895788"</f>
        <v>1551685995895788</v>
      </c>
      <c r="C149" t="s">
        <v>40</v>
      </c>
      <c r="D149">
        <v>4.9426589999999999</v>
      </c>
      <c r="E149">
        <v>0.55336509999999905</v>
      </c>
      <c r="F149" t="s">
        <v>48</v>
      </c>
      <c r="G149">
        <v>-466.60910000000001</v>
      </c>
      <c r="H149">
        <v>1.0389269999999999</v>
      </c>
      <c r="I149">
        <v>367.12880000000001</v>
      </c>
      <c r="J149">
        <v>-467.2149</v>
      </c>
      <c r="K149">
        <v>1.1085469999999999</v>
      </c>
      <c r="L149">
        <v>367.19959999999998</v>
      </c>
      <c r="M149">
        <v>0.99999680000000002</v>
      </c>
      <c r="N149">
        <v>-5.8693190000000004E-4</v>
      </c>
      <c r="O149">
        <v>-2.481324E-3</v>
      </c>
      <c r="P149">
        <v>0.98500869999999996</v>
      </c>
      <c r="Q149">
        <v>0.1639012</v>
      </c>
      <c r="R149">
        <v>5.3797640000000001E-2</v>
      </c>
      <c r="S149">
        <v>3.1098020000000002</v>
      </c>
      <c r="T149">
        <v>-0.28740969999999999</v>
      </c>
      <c r="U149">
        <v>-0.291626</v>
      </c>
      <c r="V149">
        <v>-5.6233129999999999E-2</v>
      </c>
      <c r="W149">
        <v>0.16448170000000001</v>
      </c>
      <c r="X149">
        <v>0.98477590000000004</v>
      </c>
      <c r="Y149">
        <v>9.0521480000000001E-2</v>
      </c>
      <c r="Z149">
        <v>-3.9648460000000002E-3</v>
      </c>
      <c r="AA149">
        <v>0.99588659999999996</v>
      </c>
      <c r="AB149">
        <v>14</v>
      </c>
      <c r="AC149">
        <v>0.60579999999998702</v>
      </c>
      <c r="AD149">
        <v>-6.9620000000000001E-2</v>
      </c>
      <c r="AE149">
        <v>-7.0799999999962795E-2</v>
      </c>
      <c r="AF149">
        <v>6.8405329035479107E-2</v>
      </c>
      <c r="AG149">
        <v>-6.9620000000000001E-2</v>
      </c>
      <c r="AH149">
        <v>0.598180005598411</v>
      </c>
      <c r="AI149">
        <v>96.595974426044094</v>
      </c>
      <c r="AJ149">
        <v>83.476236710437306</v>
      </c>
      <c r="AK149">
        <v>0.60609038314278496</v>
      </c>
      <c r="AL149">
        <v>80.532873146268102</v>
      </c>
      <c r="AM149">
        <v>93.268181071846897</v>
      </c>
      <c r="AN149">
        <v>0.99999998388264799</v>
      </c>
    </row>
    <row r="150" spans="1:40" x14ac:dyDescent="0.25">
      <c r="A150" t="str">
        <f>"20190304155315924"</f>
        <v>20190304155315924</v>
      </c>
      <c r="B150" t="str">
        <f>"1551685995916284"</f>
        <v>1551685995916284</v>
      </c>
      <c r="C150" t="s">
        <v>40</v>
      </c>
      <c r="D150">
        <v>4.8936710000000003</v>
      </c>
      <c r="E150">
        <v>0.55363879999999999</v>
      </c>
      <c r="F150" t="s">
        <v>48</v>
      </c>
      <c r="G150">
        <v>-466.48149999999998</v>
      </c>
      <c r="H150">
        <v>1.0378000000000001</v>
      </c>
      <c r="I150">
        <v>367.12979999999999</v>
      </c>
      <c r="J150">
        <v>-467.06349999999998</v>
      </c>
      <c r="K150">
        <v>1.108579</v>
      </c>
      <c r="L150">
        <v>367.19920000000002</v>
      </c>
      <c r="M150">
        <v>0.99999669999999896</v>
      </c>
      <c r="N150">
        <v>-5.5910189999999998E-4</v>
      </c>
      <c r="O150">
        <v>-2.494666E-3</v>
      </c>
      <c r="P150">
        <v>0.98511680000000001</v>
      </c>
      <c r="Q150">
        <v>0.1633117</v>
      </c>
      <c r="R150">
        <v>5.3612849999999997E-2</v>
      </c>
      <c r="S150">
        <v>3.111694</v>
      </c>
      <c r="T150">
        <v>-0.3001952</v>
      </c>
      <c r="U150">
        <v>-0.29519649999999997</v>
      </c>
      <c r="V150">
        <v>-5.6061920000000001E-2</v>
      </c>
      <c r="W150">
        <v>0.1638655</v>
      </c>
      <c r="X150">
        <v>0.9848884</v>
      </c>
      <c r="Y150">
        <v>9.1546649999999993E-2</v>
      </c>
      <c r="Z150">
        <v>-4.1834009999999998E-3</v>
      </c>
      <c r="AA150">
        <v>0.99579200000000001</v>
      </c>
      <c r="AB150">
        <v>14</v>
      </c>
      <c r="AC150">
        <v>0.58199999999999297</v>
      </c>
      <c r="AD150">
        <v>-7.0778999999999898E-2</v>
      </c>
      <c r="AE150">
        <v>-6.9400000000030104E-2</v>
      </c>
      <c r="AF150">
        <v>6.6971281490194795E-2</v>
      </c>
      <c r="AG150">
        <v>-7.0778999999999898E-2</v>
      </c>
      <c r="AH150">
        <v>0.57380384179798105</v>
      </c>
      <c r="AI150">
        <v>96.985001222240399</v>
      </c>
      <c r="AJ150">
        <v>83.342865902372907</v>
      </c>
      <c r="AK150">
        <v>0.58201861503525898</v>
      </c>
      <c r="AL150">
        <v>80.5686646025231</v>
      </c>
      <c r="AM150">
        <v>93.257880711247296</v>
      </c>
      <c r="AN150">
        <v>1.0000000007094401</v>
      </c>
    </row>
    <row r="151" spans="1:40" x14ac:dyDescent="0.25">
      <c r="A151" t="str">
        <f>"20190304155315945"</f>
        <v>20190304155315945</v>
      </c>
      <c r="B151" t="str">
        <f>"1551685995935804"</f>
        <v>1551685995935804</v>
      </c>
      <c r="C151" t="s">
        <v>40</v>
      </c>
      <c r="D151">
        <v>4.8651150000000003</v>
      </c>
      <c r="E151">
        <v>0.55370810000000004</v>
      </c>
      <c r="F151" t="s">
        <v>48</v>
      </c>
      <c r="G151">
        <v>-466.22609999999997</v>
      </c>
      <c r="H151">
        <v>1.025207</v>
      </c>
      <c r="I151">
        <v>367.11880000000002</v>
      </c>
      <c r="J151">
        <v>-466.91770000000002</v>
      </c>
      <c r="K151">
        <v>1.1086020000000001</v>
      </c>
      <c r="L151">
        <v>367.19880000000001</v>
      </c>
      <c r="M151">
        <v>0.99999689999999997</v>
      </c>
      <c r="N151">
        <v>-5.3475980000000005E-4</v>
      </c>
      <c r="O151">
        <v>-2.5071759999999998E-3</v>
      </c>
      <c r="P151">
        <v>0.98516729999999997</v>
      </c>
      <c r="Q151">
        <v>0.16304009999999999</v>
      </c>
      <c r="R151">
        <v>5.3510309999999998E-2</v>
      </c>
      <c r="S151">
        <v>3.112946</v>
      </c>
      <c r="T151">
        <v>-0.31008920000000001</v>
      </c>
      <c r="U151">
        <v>-0.2976685</v>
      </c>
      <c r="V151">
        <v>-5.5971729999999997E-2</v>
      </c>
      <c r="W151">
        <v>0.16356960000000001</v>
      </c>
      <c r="X151">
        <v>0.98494269999999995</v>
      </c>
      <c r="Y151">
        <v>9.2249789999999998E-2</v>
      </c>
      <c r="Z151">
        <v>-4.3504930000000004E-3</v>
      </c>
      <c r="AA151">
        <v>0.99572640000000001</v>
      </c>
      <c r="AB151">
        <v>15</v>
      </c>
      <c r="AC151">
        <v>0.69160000000004995</v>
      </c>
      <c r="AD151">
        <v>-8.3395000000000094E-2</v>
      </c>
      <c r="AE151">
        <v>-7.9999999999984001E-2</v>
      </c>
      <c r="AF151">
        <v>7.7158696985889605E-2</v>
      </c>
      <c r="AG151">
        <v>-8.3395000000000094E-2</v>
      </c>
      <c r="AH151">
        <v>0.682012742393592</v>
      </c>
      <c r="AI151">
        <v>96.927632964644104</v>
      </c>
      <c r="AJ151">
        <v>83.545355275535698</v>
      </c>
      <c r="AK151">
        <v>0.69141128956127795</v>
      </c>
      <c r="AL151">
        <v>80.585850161030805</v>
      </c>
      <c r="AM151">
        <v>93.252471901641897</v>
      </c>
      <c r="AN151">
        <v>0.99999998544332103</v>
      </c>
    </row>
    <row r="152" spans="1:40" x14ac:dyDescent="0.25">
      <c r="A152" t="str">
        <f>"20190304155316057"</f>
        <v>20190304155316057</v>
      </c>
      <c r="B152" t="str">
        <f>"1551685996046092"</f>
        <v>1551685996046092</v>
      </c>
      <c r="C152" t="s">
        <v>40</v>
      </c>
      <c r="D152">
        <v>4.1946529999999997</v>
      </c>
      <c r="E152">
        <v>0.55385799999999996</v>
      </c>
      <c r="F152" t="s">
        <v>48</v>
      </c>
      <c r="G152">
        <v>-466.09309999999999</v>
      </c>
      <c r="H152">
        <v>1.024672</v>
      </c>
      <c r="I152">
        <v>367.11939999999998</v>
      </c>
      <c r="J152">
        <v>-466.1472</v>
      </c>
      <c r="K152">
        <v>1.1087340000000001</v>
      </c>
      <c r="L152">
        <v>367.19670000000002</v>
      </c>
      <c r="M152">
        <v>0.99999669999999896</v>
      </c>
      <c r="N152">
        <v>-4.2084920000000001E-4</v>
      </c>
      <c r="O152">
        <v>-2.5746190000000002E-3</v>
      </c>
      <c r="P152">
        <v>0.98478100000000002</v>
      </c>
      <c r="Q152">
        <v>0.16523299999999999</v>
      </c>
      <c r="R152">
        <v>5.389766E-2</v>
      </c>
      <c r="S152">
        <v>3.1137999999999999</v>
      </c>
      <c r="T152">
        <v>-0.3171409</v>
      </c>
      <c r="U152">
        <v>-0.29858400000000002</v>
      </c>
      <c r="V152">
        <v>-5.6424790000000002E-2</v>
      </c>
      <c r="W152">
        <v>0.16565079999999999</v>
      </c>
      <c r="X152">
        <v>0.98456900000000003</v>
      </c>
      <c r="Y152">
        <v>9.242686E-2</v>
      </c>
      <c r="Z152">
        <v>-4.443715E-3</v>
      </c>
      <c r="AA152">
        <v>0.99570950000000003</v>
      </c>
      <c r="AB152">
        <v>15</v>
      </c>
      <c r="AC152">
        <v>5.4100000000005297E-2</v>
      </c>
      <c r="AD152">
        <v>-8.4061999999999998E-2</v>
      </c>
      <c r="AE152">
        <v>-7.7300000000036506E-2</v>
      </c>
      <c r="AF152">
        <v>4.3015264421596401E-2</v>
      </c>
      <c r="AG152">
        <v>-8.4061999999999998E-2</v>
      </c>
      <c r="AH152">
        <v>3.0270413104764901E-2</v>
      </c>
      <c r="AI152">
        <v>147.96530035338699</v>
      </c>
      <c r="AJ152">
        <v>35.134560274456597</v>
      </c>
      <c r="AK152">
        <v>9.9161639391414799E-2</v>
      </c>
      <c r="AL152">
        <v>80.464957449069104</v>
      </c>
      <c r="AM152">
        <v>93.2799833963998</v>
      </c>
      <c r="AN152">
        <v>1.0000000301140901</v>
      </c>
    </row>
    <row r="153" spans="1:40" x14ac:dyDescent="0.25">
      <c r="A153" t="str">
        <f>"20190304155316079"</f>
        <v>20190304155316079</v>
      </c>
      <c r="B153" t="str">
        <f>"1551685996075372"</f>
        <v>1551685996075372</v>
      </c>
      <c r="C153" t="s">
        <v>40</v>
      </c>
      <c r="D153">
        <v>4.618328</v>
      </c>
      <c r="E153">
        <v>0.51964089999999996</v>
      </c>
      <c r="F153" t="s">
        <v>48</v>
      </c>
      <c r="G153">
        <v>-465.39690000000002</v>
      </c>
      <c r="H153">
        <v>1.033893</v>
      </c>
      <c r="I153">
        <v>367.12479999999999</v>
      </c>
      <c r="J153">
        <v>-465.99489999999997</v>
      </c>
      <c r="K153">
        <v>1.108749</v>
      </c>
      <c r="L153">
        <v>367.19630000000001</v>
      </c>
      <c r="M153">
        <v>0.99999660000000001</v>
      </c>
      <c r="N153">
        <v>-4.0679989999999999E-4</v>
      </c>
      <c r="O153">
        <v>-2.5878479999999998E-3</v>
      </c>
      <c r="P153">
        <v>0.98464169999999995</v>
      </c>
      <c r="Q153">
        <v>0.16594929999999999</v>
      </c>
      <c r="R153">
        <v>5.4236180000000002E-2</v>
      </c>
      <c r="S153">
        <v>3.1148380000000002</v>
      </c>
      <c r="T153">
        <v>-0.31081199999999998</v>
      </c>
      <c r="U153">
        <v>-0.29779050000000001</v>
      </c>
      <c r="V153">
        <v>-5.6775260000000001E-2</v>
      </c>
      <c r="W153">
        <v>0.1663529</v>
      </c>
      <c r="X153">
        <v>0.98443040000000004</v>
      </c>
      <c r="Y153">
        <v>9.215081E-2</v>
      </c>
      <c r="Z153">
        <v>-4.3387429999999999E-3</v>
      </c>
      <c r="AA153">
        <v>0.99573560000000005</v>
      </c>
      <c r="AB153">
        <v>16</v>
      </c>
      <c r="AC153">
        <v>0.59799999999995601</v>
      </c>
      <c r="AD153">
        <v>-7.4856000000000006E-2</v>
      </c>
      <c r="AE153">
        <v>-7.1500000000014496E-2</v>
      </c>
      <c r="AF153">
        <v>6.8888011196482399E-2</v>
      </c>
      <c r="AG153">
        <v>-7.4856000000000006E-2</v>
      </c>
      <c r="AH153">
        <v>0.58908258841414696</v>
      </c>
      <c r="AI153">
        <v>97.193386194359206</v>
      </c>
      <c r="AJ153">
        <v>83.330058369902503</v>
      </c>
      <c r="AK153">
        <v>0.59780203645966101</v>
      </c>
      <c r="AL153">
        <v>80.424163463048401</v>
      </c>
      <c r="AM153">
        <v>93.300775016976402</v>
      </c>
      <c r="AN153">
        <v>0.99999996496531796</v>
      </c>
    </row>
    <row r="154" spans="1:40" x14ac:dyDescent="0.25">
      <c r="A154" t="str">
        <f>"20190304155316102"</f>
        <v>20190304155316102</v>
      </c>
      <c r="B154" t="str">
        <f>"1551685996095869"</f>
        <v>1551685996095869</v>
      </c>
      <c r="C154" t="s">
        <v>40</v>
      </c>
      <c r="D154">
        <v>4.6410799999999997</v>
      </c>
      <c r="E154">
        <v>0.5269509</v>
      </c>
      <c r="F154" t="s">
        <v>46</v>
      </c>
      <c r="G154">
        <v>-279.86</v>
      </c>
      <c r="H154" s="1">
        <v>-8.8273330000000002E-7</v>
      </c>
      <c r="I154">
        <v>366.42540000000002</v>
      </c>
      <c r="J154">
        <v>-465.8295</v>
      </c>
      <c r="K154">
        <v>1.1087640000000001</v>
      </c>
      <c r="L154">
        <v>367.19589999999999</v>
      </c>
      <c r="M154">
        <v>0.99999660000000001</v>
      </c>
      <c r="N154">
        <v>-3.9443669999999998E-4</v>
      </c>
      <c r="O154">
        <v>-2.6020309999999999E-3</v>
      </c>
      <c r="P154">
        <v>0.98456319999999997</v>
      </c>
      <c r="Q154">
        <v>0.16634869999999999</v>
      </c>
      <c r="R154">
        <v>5.4441679999999999E-2</v>
      </c>
      <c r="S154">
        <v>3.0506289999999998</v>
      </c>
      <c r="T154">
        <v>-1.8171670000000001E-2</v>
      </c>
      <c r="U154">
        <v>-1.2634279999999999E-2</v>
      </c>
      <c r="V154">
        <v>-5.6994919999999998E-2</v>
      </c>
      <c r="W154">
        <v>0.16673979999999999</v>
      </c>
      <c r="X154">
        <v>0.98435229999999996</v>
      </c>
      <c r="Y154">
        <v>1.5394860000000001E-3</v>
      </c>
      <c r="Z154" s="1">
        <v>9.5842590000000002E-6</v>
      </c>
      <c r="AA154">
        <v>0.99999879999999997</v>
      </c>
      <c r="AB154">
        <v>16</v>
      </c>
      <c r="AC154">
        <v>185.96950000000001</v>
      </c>
      <c r="AD154">
        <v>-1.1087648827333001</v>
      </c>
      <c r="AE154">
        <v>-0.77049999999996899</v>
      </c>
      <c r="AF154">
        <v>0.28658879344018801</v>
      </c>
      <c r="AG154">
        <v>-1.1087648827333001</v>
      </c>
      <c r="AH154">
        <v>185.964265060044</v>
      </c>
      <c r="AI154">
        <v>90.341607136434007</v>
      </c>
      <c r="AJ154">
        <v>89.911701770685397</v>
      </c>
      <c r="AK154">
        <v>185.96779122209301</v>
      </c>
      <c r="AL154">
        <v>80.401682232881001</v>
      </c>
      <c r="AM154">
        <v>93.313779426343899</v>
      </c>
      <c r="AN154">
        <v>1.00000001616256</v>
      </c>
    </row>
    <row r="155" spans="1:40" x14ac:dyDescent="0.25">
      <c r="A155" t="str">
        <f>"20190304155316125"</f>
        <v>20190304155316125</v>
      </c>
      <c r="B155" t="str">
        <f>"1551685996115388"</f>
        <v>1551685996115388</v>
      </c>
      <c r="C155" t="s">
        <v>40</v>
      </c>
      <c r="D155">
        <v>4.4512929999999997</v>
      </c>
      <c r="E155">
        <v>0.52646470000000001</v>
      </c>
      <c r="F155" t="s">
        <v>41</v>
      </c>
      <c r="G155">
        <v>-158.19499999999999</v>
      </c>
      <c r="H155">
        <v>0.50466060000000001</v>
      </c>
      <c r="I155">
        <v>360.19740000000002</v>
      </c>
      <c r="J155">
        <v>-465.65620000000001</v>
      </c>
      <c r="K155">
        <v>1.10877</v>
      </c>
      <c r="L155">
        <v>367.19540000000001</v>
      </c>
      <c r="M155">
        <v>0.99999660000000001</v>
      </c>
      <c r="N155">
        <v>-3.8539210000000001E-4</v>
      </c>
      <c r="O155">
        <v>-2.6162149999999999E-3</v>
      </c>
      <c r="P155">
        <v>0.9845777</v>
      </c>
      <c r="Q155">
        <v>0.1661174</v>
      </c>
      <c r="R155">
        <v>5.4880680000000001E-2</v>
      </c>
      <c r="S155">
        <v>3.0518489999999998</v>
      </c>
      <c r="T155">
        <v>-5.9920549999999996E-3</v>
      </c>
      <c r="U155">
        <v>-6.9427489999999994E-2</v>
      </c>
      <c r="V155">
        <v>-5.744788E-2</v>
      </c>
      <c r="W155">
        <v>0.16650000000000001</v>
      </c>
      <c r="X155">
        <v>0.98436650000000003</v>
      </c>
      <c r="Y155">
        <v>2.0127780000000001E-2</v>
      </c>
      <c r="Z155" s="1">
        <v>-1.9508229999999999E-5</v>
      </c>
      <c r="AA155">
        <v>0.99979739999999995</v>
      </c>
      <c r="AB155">
        <v>16</v>
      </c>
      <c r="AC155">
        <v>307.46120000000002</v>
      </c>
      <c r="AD155">
        <v>-0.60410940000000002</v>
      </c>
      <c r="AE155">
        <v>-6.9979999999999896</v>
      </c>
      <c r="AF155">
        <v>6.1935675670758696</v>
      </c>
      <c r="AG155">
        <v>-0.60410940000000002</v>
      </c>
      <c r="AH155">
        <v>307.47726962837697</v>
      </c>
      <c r="AI155">
        <v>90.112547683936398</v>
      </c>
      <c r="AJ155">
        <v>88.846037306716795</v>
      </c>
      <c r="AK155">
        <v>307.54023568550701</v>
      </c>
      <c r="AL155">
        <v>80.415615979178796</v>
      </c>
      <c r="AM155">
        <v>93.340007810957601</v>
      </c>
      <c r="AN155">
        <v>0.99999995761937099</v>
      </c>
    </row>
    <row r="156" spans="1:40" x14ac:dyDescent="0.25">
      <c r="A156" t="str">
        <f>"20190304155316146"</f>
        <v>20190304155316146</v>
      </c>
      <c r="B156" t="str">
        <f>"1551685996135883"</f>
        <v>1551685996135883</v>
      </c>
      <c r="C156" t="s">
        <v>40</v>
      </c>
      <c r="D156">
        <v>4.611345</v>
      </c>
      <c r="E156">
        <v>0.52770059999999996</v>
      </c>
      <c r="F156" t="s">
        <v>41</v>
      </c>
      <c r="G156">
        <v>-158.19499999999999</v>
      </c>
      <c r="H156">
        <v>1.4612179999999999</v>
      </c>
      <c r="I156">
        <v>360.72879999999998</v>
      </c>
      <c r="J156">
        <v>-465.4966</v>
      </c>
      <c r="K156">
        <v>1.1087739999999999</v>
      </c>
      <c r="L156">
        <v>367.19499999999999</v>
      </c>
      <c r="M156">
        <v>0.99999649999999995</v>
      </c>
      <c r="N156">
        <v>-3.8064920000000001E-4</v>
      </c>
      <c r="O156">
        <v>-2.6284920000000001E-3</v>
      </c>
      <c r="P156">
        <v>0.98457220000000001</v>
      </c>
      <c r="Q156">
        <v>0.16598109999999999</v>
      </c>
      <c r="R156">
        <v>5.5389639999999997E-2</v>
      </c>
      <c r="S156">
        <v>3.0499879999999999</v>
      </c>
      <c r="T156">
        <v>3.4971239999999999E-3</v>
      </c>
      <c r="U156">
        <v>-6.4147949999999995E-2</v>
      </c>
      <c r="V156">
        <v>-5.796888E-2</v>
      </c>
      <c r="W156">
        <v>0.16635849999999999</v>
      </c>
      <c r="X156">
        <v>0.98435989999999995</v>
      </c>
      <c r="Y156">
        <v>1.8399559999999999E-2</v>
      </c>
      <c r="Z156" s="1">
        <v>3.031135E-6</v>
      </c>
      <c r="AA156">
        <v>0.99983069999999996</v>
      </c>
      <c r="AB156">
        <v>16</v>
      </c>
      <c r="AC156">
        <v>307.30160000000001</v>
      </c>
      <c r="AD156">
        <v>0.35244399999999998</v>
      </c>
      <c r="AE156">
        <v>-6.4662000000000104</v>
      </c>
      <c r="AF156">
        <v>5.6584303889400998</v>
      </c>
      <c r="AG156">
        <v>0.35244399999999998</v>
      </c>
      <c r="AH156">
        <v>307.3171307257</v>
      </c>
      <c r="AI156">
        <v>89.934301993730102</v>
      </c>
      <c r="AJ156">
        <v>88.945169278430697</v>
      </c>
      <c r="AK156">
        <v>307.369420874485</v>
      </c>
      <c r="AL156">
        <v>80.423838190394406</v>
      </c>
      <c r="AM156">
        <v>93.370251678091094</v>
      </c>
      <c r="AN156">
        <v>0.99999997714935696</v>
      </c>
    </row>
    <row r="157" spans="1:40" x14ac:dyDescent="0.25">
      <c r="A157" t="str">
        <f>"20190304155316170"</f>
        <v>20190304155316170</v>
      </c>
      <c r="B157" t="str">
        <f>"1551685996166139"</f>
        <v>1551685996166139</v>
      </c>
      <c r="C157" t="s">
        <v>40</v>
      </c>
      <c r="D157">
        <v>4.534656</v>
      </c>
      <c r="E157">
        <v>0.52879509999999996</v>
      </c>
      <c r="F157" t="s">
        <v>41</v>
      </c>
      <c r="G157">
        <v>-158.19499999999999</v>
      </c>
      <c r="H157">
        <v>0.96064850000000002</v>
      </c>
      <c r="I157">
        <v>359.81889999999999</v>
      </c>
      <c r="J157">
        <v>-465.32729999999998</v>
      </c>
      <c r="K157">
        <v>1.108781</v>
      </c>
      <c r="L157">
        <v>367.19450000000001</v>
      </c>
      <c r="M157">
        <v>0.99999649999999995</v>
      </c>
      <c r="N157">
        <v>-3.8154699999999998E-4</v>
      </c>
      <c r="O157">
        <v>-2.6413669999999999E-3</v>
      </c>
      <c r="P157">
        <v>0.98459569999999996</v>
      </c>
      <c r="Q157">
        <v>0.16563020000000001</v>
      </c>
      <c r="R157">
        <v>5.6021050000000003E-2</v>
      </c>
      <c r="S157">
        <v>3.0514220000000001</v>
      </c>
      <c r="T157">
        <v>-1.4699699999999999E-3</v>
      </c>
      <c r="U157">
        <v>-7.3242189999999999E-2</v>
      </c>
      <c r="V157">
        <v>-5.8613070000000003E-2</v>
      </c>
      <c r="W157">
        <v>0.16600909999999999</v>
      </c>
      <c r="X157">
        <v>0.98438079999999994</v>
      </c>
      <c r="Y157">
        <v>2.1355039999999999E-2</v>
      </c>
      <c r="Z157" s="1">
        <v>-8.9529619999999999E-6</v>
      </c>
      <c r="AA157">
        <v>0.99977199999999999</v>
      </c>
      <c r="AB157">
        <v>17</v>
      </c>
      <c r="AC157">
        <v>307.13229999999999</v>
      </c>
      <c r="AD157">
        <v>-0.1481325</v>
      </c>
      <c r="AE157">
        <v>-7.3756000000000101</v>
      </c>
      <c r="AF157">
        <v>6.5643236134652101</v>
      </c>
      <c r="AG157">
        <v>-0.1481325</v>
      </c>
      <c r="AH157">
        <v>307.15063885280699</v>
      </c>
      <c r="AI157">
        <v>90.027626277452995</v>
      </c>
      <c r="AJ157">
        <v>88.775679603851202</v>
      </c>
      <c r="AK157">
        <v>307.22081185269201</v>
      </c>
      <c r="AL157">
        <v>80.444140202904194</v>
      </c>
      <c r="AM157">
        <v>93.407544278478497</v>
      </c>
      <c r="AN157">
        <v>1.0000000363331301</v>
      </c>
    </row>
    <row r="158" spans="1:40" x14ac:dyDescent="0.25">
      <c r="A158" t="str">
        <f>"20190304155316200"</f>
        <v>20190304155316200</v>
      </c>
      <c r="B158" t="str">
        <f>"1551685996195420"</f>
        <v>1551685996195420</v>
      </c>
      <c r="C158" t="s">
        <v>40</v>
      </c>
      <c r="D158">
        <v>4.5923879999999997</v>
      </c>
      <c r="E158">
        <v>0.5281941</v>
      </c>
      <c r="F158" t="s">
        <v>41</v>
      </c>
      <c r="G158">
        <v>-158.19499999999999</v>
      </c>
      <c r="H158">
        <v>1.6890459999999901</v>
      </c>
      <c r="I158">
        <v>359.16579999999999</v>
      </c>
      <c r="J158">
        <v>-465.08879999999999</v>
      </c>
      <c r="K158">
        <v>1.1087849999999999</v>
      </c>
      <c r="L158">
        <v>367.19380000000001</v>
      </c>
      <c r="M158">
        <v>0.99999649999999995</v>
      </c>
      <c r="N158">
        <v>-3.9311659999999998E-4</v>
      </c>
      <c r="O158">
        <v>-2.6563889999999999E-3</v>
      </c>
      <c r="P158">
        <v>0.9845526</v>
      </c>
      <c r="Q158">
        <v>0.16567229999999999</v>
      </c>
      <c r="R158">
        <v>5.6649779999999997E-2</v>
      </c>
      <c r="S158">
        <v>3.0504760000000002</v>
      </c>
      <c r="T158">
        <v>5.764127E-3</v>
      </c>
      <c r="U158">
        <v>-7.9742430000000003E-2</v>
      </c>
      <c r="V158">
        <v>-5.9257459999999998E-2</v>
      </c>
      <c r="W158">
        <v>0.16606179999999901</v>
      </c>
      <c r="X158">
        <v>0.98433329999999997</v>
      </c>
      <c r="Y158">
        <v>2.3476449999999999E-2</v>
      </c>
      <c r="Z158" s="1">
        <v>1.14986E-5</v>
      </c>
      <c r="AA158">
        <v>0.99972439999999996</v>
      </c>
      <c r="AB158">
        <v>17</v>
      </c>
      <c r="AC158">
        <v>306.8938</v>
      </c>
      <c r="AD158">
        <v>0.58026099999999903</v>
      </c>
      <c r="AE158">
        <v>-8.0280000000000094</v>
      </c>
      <c r="AF158">
        <v>7.2127166165569099</v>
      </c>
      <c r="AG158">
        <v>0.58026099999999903</v>
      </c>
      <c r="AH158">
        <v>306.912946255777</v>
      </c>
      <c r="AI158">
        <v>89.891704504216193</v>
      </c>
      <c r="AJ158">
        <v>88.653748003437997</v>
      </c>
      <c r="AK158">
        <v>306.998235439913</v>
      </c>
      <c r="AL158">
        <v>80.441077928813101</v>
      </c>
      <c r="AM158">
        <v>93.445082804935595</v>
      </c>
      <c r="AN158">
        <v>1.0000000067368899</v>
      </c>
    </row>
    <row r="159" spans="1:40" x14ac:dyDescent="0.25">
      <c r="A159" t="str">
        <f>"20190304155316224"</f>
        <v>20190304155316224</v>
      </c>
      <c r="B159" t="str">
        <f>"1551685996215916"</f>
        <v>1551685996215916</v>
      </c>
      <c r="C159" t="s">
        <v>40</v>
      </c>
      <c r="D159">
        <v>4.6124150000000004</v>
      </c>
      <c r="E159">
        <v>0.52818880000000001</v>
      </c>
      <c r="F159" t="s">
        <v>41</v>
      </c>
      <c r="G159">
        <v>-158.19499999999999</v>
      </c>
      <c r="H159">
        <v>2.0915319999999999</v>
      </c>
      <c r="I159">
        <v>359.88170000000002</v>
      </c>
      <c r="J159">
        <v>-464.90210000000002</v>
      </c>
      <c r="K159">
        <v>1.108795</v>
      </c>
      <c r="L159">
        <v>367.1934</v>
      </c>
      <c r="M159">
        <v>0.99999640000000001</v>
      </c>
      <c r="N159">
        <v>-4.092737E-4</v>
      </c>
      <c r="O159">
        <v>-2.6629480000000001E-3</v>
      </c>
      <c r="P159">
        <v>0.98466189999999998</v>
      </c>
      <c r="Q159">
        <v>0.1650172</v>
      </c>
      <c r="R159">
        <v>5.6660219999999997E-2</v>
      </c>
      <c r="S159">
        <v>3.049652</v>
      </c>
      <c r="T159">
        <v>9.7665789999999992E-3</v>
      </c>
      <c r="U159">
        <v>-7.2662350000000001E-2</v>
      </c>
      <c r="V159">
        <v>-5.9275179999999997E-2</v>
      </c>
      <c r="W159">
        <v>0.16542270000000001</v>
      </c>
      <c r="X159">
        <v>0.98443979999999998</v>
      </c>
      <c r="Y159">
        <v>2.1157329999999998E-2</v>
      </c>
      <c r="Z159" s="1">
        <v>1.992675E-5</v>
      </c>
      <c r="AA159">
        <v>0.9997762</v>
      </c>
      <c r="AB159">
        <v>17</v>
      </c>
      <c r="AC159">
        <v>306.70710000000003</v>
      </c>
      <c r="AD159">
        <v>0.98273699999999997</v>
      </c>
      <c r="AE159">
        <v>-7.3116999999999699</v>
      </c>
      <c r="AF159">
        <v>6.4948623300042998</v>
      </c>
      <c r="AG159">
        <v>0.98273699999999997</v>
      </c>
      <c r="AH159">
        <v>306.72233599188701</v>
      </c>
      <c r="AI159">
        <v>89.816466347285996</v>
      </c>
      <c r="AJ159">
        <v>88.786940001823893</v>
      </c>
      <c r="AK159">
        <v>306.79266680450002</v>
      </c>
      <c r="AL159">
        <v>80.478208850836893</v>
      </c>
      <c r="AM159">
        <v>93.445738606264001</v>
      </c>
      <c r="AN159">
        <v>0.99999996823168003</v>
      </c>
    </row>
    <row r="160" spans="1:40" x14ac:dyDescent="0.25">
      <c r="A160" t="str">
        <f>"20190304155316245"</f>
        <v>20190304155316245</v>
      </c>
      <c r="B160" t="str">
        <f>"1551685996235436"</f>
        <v>1551685996235436</v>
      </c>
      <c r="C160" t="s">
        <v>40</v>
      </c>
      <c r="D160">
        <v>4.6726929999999998</v>
      </c>
      <c r="E160">
        <v>0.52795340000000002</v>
      </c>
      <c r="F160" t="s">
        <v>41</v>
      </c>
      <c r="G160">
        <v>-158.19499999999999</v>
      </c>
      <c r="H160">
        <v>1.881588</v>
      </c>
      <c r="I160">
        <v>359.88560000000001</v>
      </c>
      <c r="J160">
        <v>-464.73719999999997</v>
      </c>
      <c r="K160">
        <v>1.1088100000000001</v>
      </c>
      <c r="L160">
        <v>367.19290000000001</v>
      </c>
      <c r="M160">
        <v>0.99999640000000001</v>
      </c>
      <c r="N160">
        <v>-4.2676090000000002E-4</v>
      </c>
      <c r="O160">
        <v>-2.665812E-3</v>
      </c>
      <c r="P160">
        <v>0.98467729999999998</v>
      </c>
      <c r="Q160">
        <v>0.1649004</v>
      </c>
      <c r="R160">
        <v>5.6737740000000002E-2</v>
      </c>
      <c r="S160">
        <v>3.0496219999999998</v>
      </c>
      <c r="T160">
        <v>7.6848269999999896E-3</v>
      </c>
      <c r="U160">
        <v>-7.2662350000000001E-2</v>
      </c>
      <c r="V160">
        <v>-5.935646E-2</v>
      </c>
      <c r="W160">
        <v>0.165323</v>
      </c>
      <c r="X160">
        <v>0.98445170000000004</v>
      </c>
      <c r="Y160">
        <v>2.1154739999999998E-2</v>
      </c>
      <c r="Z160" s="1">
        <v>1.42815899999999E-5</v>
      </c>
      <c r="AA160">
        <v>0.9997762</v>
      </c>
      <c r="AB160">
        <v>17</v>
      </c>
      <c r="AC160">
        <v>306.54219999999998</v>
      </c>
      <c r="AD160">
        <v>0.77277799999999996</v>
      </c>
      <c r="AE160">
        <v>-7.3072999999999899</v>
      </c>
      <c r="AF160">
        <v>6.4900488995395902</v>
      </c>
      <c r="AG160">
        <v>0.77277799999999996</v>
      </c>
      <c r="AH160">
        <v>306.55864352374101</v>
      </c>
      <c r="AI160">
        <v>89.855600531710905</v>
      </c>
      <c r="AJ160">
        <v>88.787191686791999</v>
      </c>
      <c r="AK160">
        <v>306.62830893391401</v>
      </c>
      <c r="AL160">
        <v>80.484001456597895</v>
      </c>
      <c r="AM160">
        <v>93.450410496137394</v>
      </c>
      <c r="AN160">
        <v>1.00000001665281</v>
      </c>
    </row>
    <row r="161" spans="1:40" x14ac:dyDescent="0.25">
      <c r="A161" t="str">
        <f>"20190304155316268"</f>
        <v>20190304155316268</v>
      </c>
      <c r="B161" t="str">
        <f>"1551685996265694"</f>
        <v>1551685996265694</v>
      </c>
      <c r="C161" t="s">
        <v>40</v>
      </c>
      <c r="D161">
        <v>4.6044119999999999</v>
      </c>
      <c r="E161">
        <v>0.52782969999999996</v>
      </c>
      <c r="F161" t="s">
        <v>41</v>
      </c>
      <c r="G161">
        <v>-158.19499999999999</v>
      </c>
      <c r="H161">
        <v>1.9222760000000001</v>
      </c>
      <c r="I161">
        <v>360.09719999999999</v>
      </c>
      <c r="J161">
        <v>-464.55040000000002</v>
      </c>
      <c r="K161">
        <v>1.1088169999999999</v>
      </c>
      <c r="L161">
        <v>367.19240000000002</v>
      </c>
      <c r="M161">
        <v>0.99999649999999995</v>
      </c>
      <c r="N161">
        <v>-4.4911279999999999E-4</v>
      </c>
      <c r="O161">
        <v>-2.6662930000000001E-3</v>
      </c>
      <c r="P161">
        <v>0.98470259999999998</v>
      </c>
      <c r="Q161">
        <v>0.164720799999999</v>
      </c>
      <c r="R161">
        <v>5.6815839999999999E-2</v>
      </c>
      <c r="S161">
        <v>3.0494379999999999</v>
      </c>
      <c r="T161">
        <v>8.0931189999999993E-3</v>
      </c>
      <c r="U161">
        <v>-7.0587159999999996E-2</v>
      </c>
      <c r="V161">
        <v>-5.9435509999999997E-2</v>
      </c>
      <c r="W161">
        <v>0.16516500000000001</v>
      </c>
      <c r="X161">
        <v>0.98447340000000005</v>
      </c>
      <c r="Y161">
        <v>2.0475690000000001E-2</v>
      </c>
      <c r="Z161" s="1">
        <v>1.4296130000000001E-5</v>
      </c>
      <c r="AA161">
        <v>0.99979039999999997</v>
      </c>
      <c r="AB161">
        <v>18</v>
      </c>
      <c r="AC161">
        <v>306.35539999999997</v>
      </c>
      <c r="AD161">
        <v>0.81345899999999904</v>
      </c>
      <c r="AE161">
        <v>-7.0952000000000304</v>
      </c>
      <c r="AF161">
        <v>6.2782973242487703</v>
      </c>
      <c r="AG161">
        <v>0.81345899999999904</v>
      </c>
      <c r="AH161">
        <v>306.371070007936</v>
      </c>
      <c r="AI161">
        <v>89.847903802158001</v>
      </c>
      <c r="AJ161">
        <v>88.826032764228998</v>
      </c>
      <c r="AK161">
        <v>306.43647183493601</v>
      </c>
      <c r="AL161">
        <v>80.493179890623693</v>
      </c>
      <c r="AM161">
        <v>93.454918603269405</v>
      </c>
      <c r="AN161">
        <v>0.99999996619075904</v>
      </c>
    </row>
    <row r="162" spans="1:40" x14ac:dyDescent="0.25">
      <c r="A162" t="str">
        <f>"20190304155316290"</f>
        <v>20190304155316290</v>
      </c>
      <c r="B162" t="str">
        <f>"1551685996286188"</f>
        <v>1551685996286188</v>
      </c>
      <c r="C162" t="s">
        <v>40</v>
      </c>
      <c r="D162">
        <v>4.5671200000000001</v>
      </c>
      <c r="E162">
        <v>0.52728830000000004</v>
      </c>
      <c r="F162" t="s">
        <v>41</v>
      </c>
      <c r="G162">
        <v>-158.19499999999999</v>
      </c>
      <c r="H162">
        <v>1.7924209999999901</v>
      </c>
      <c r="I162">
        <v>360.24509999999998</v>
      </c>
      <c r="J162">
        <v>-464.38310000000001</v>
      </c>
      <c r="K162">
        <v>1.1088260000000001</v>
      </c>
      <c r="L162">
        <v>367.19200000000001</v>
      </c>
      <c r="M162">
        <v>0.99999640000000001</v>
      </c>
      <c r="N162">
        <v>-4.7068830000000002E-4</v>
      </c>
      <c r="O162">
        <v>-2.664867E-3</v>
      </c>
      <c r="P162">
        <v>0.98468460000000002</v>
      </c>
      <c r="Q162">
        <v>0.16485610000000001</v>
      </c>
      <c r="R162">
        <v>5.6735710000000002E-2</v>
      </c>
      <c r="S162">
        <v>3.0494379999999999</v>
      </c>
      <c r="T162">
        <v>6.8054200000000004E-3</v>
      </c>
      <c r="U162">
        <v>-6.9152829999999998E-2</v>
      </c>
      <c r="V162">
        <v>-5.9355079999999998E-2</v>
      </c>
      <c r="W162">
        <v>0.1653212</v>
      </c>
      <c r="X162">
        <v>0.98445210000000005</v>
      </c>
      <c r="Y162">
        <v>2.000712E-2</v>
      </c>
      <c r="Z162" s="1">
        <v>1.041232E-5</v>
      </c>
      <c r="AA162">
        <v>0.99979980000000002</v>
      </c>
      <c r="AB162">
        <v>18</v>
      </c>
      <c r="AC162">
        <v>306.18810000000002</v>
      </c>
      <c r="AD162">
        <v>0.68359499999999895</v>
      </c>
      <c r="AE162">
        <v>-6.9468999999999701</v>
      </c>
      <c r="AF162">
        <v>6.1308941858492103</v>
      </c>
      <c r="AG162">
        <v>0.68359499999999895</v>
      </c>
      <c r="AH162">
        <v>306.20399987661398</v>
      </c>
      <c r="AI162">
        <v>89.872114032220196</v>
      </c>
      <c r="AJ162">
        <v>88.852962626055998</v>
      </c>
      <c r="AK162">
        <v>306.26613378902999</v>
      </c>
      <c r="AL162">
        <v>80.484106165186404</v>
      </c>
      <c r="AM162">
        <v>93.450329071543507</v>
      </c>
      <c r="AN162">
        <v>1.0000000309428201</v>
      </c>
    </row>
    <row r="163" spans="1:40" x14ac:dyDescent="0.25">
      <c r="A163" t="str">
        <f>"20190304155316313"</f>
        <v>20190304155316313</v>
      </c>
      <c r="B163" t="str">
        <f>"1551685996305708"</f>
        <v>1551685996305708</v>
      </c>
      <c r="C163" t="s">
        <v>40</v>
      </c>
      <c r="D163">
        <v>4.5648239999999998</v>
      </c>
      <c r="E163">
        <v>0.52736539999999998</v>
      </c>
      <c r="F163" t="s">
        <v>41</v>
      </c>
      <c r="G163">
        <v>-158.19499999999999</v>
      </c>
      <c r="H163">
        <v>1.967992</v>
      </c>
      <c r="I163">
        <v>360.64879999999999</v>
      </c>
      <c r="J163">
        <v>-464.18990000000002</v>
      </c>
      <c r="K163">
        <v>1.1088370000000001</v>
      </c>
      <c r="L163">
        <v>367.19139999999999</v>
      </c>
      <c r="M163">
        <v>0.99999640000000001</v>
      </c>
      <c r="N163">
        <v>-4.9755090000000001E-4</v>
      </c>
      <c r="O163">
        <v>-2.6628469999999999E-3</v>
      </c>
      <c r="P163">
        <v>0.98457059999999996</v>
      </c>
      <c r="Q163">
        <v>0.16548280000000001</v>
      </c>
      <c r="R163">
        <v>5.6886520000000003E-2</v>
      </c>
      <c r="S163">
        <v>3.04895</v>
      </c>
      <c r="T163">
        <v>8.5562469999999995E-3</v>
      </c>
      <c r="U163">
        <v>-6.5155030000000003E-2</v>
      </c>
      <c r="V163">
        <v>-5.9503359999999998E-2</v>
      </c>
      <c r="W163">
        <v>0.16597429999999999</v>
      </c>
      <c r="X163">
        <v>0.98433320000000002</v>
      </c>
      <c r="Y163">
        <v>1.8702429999999999E-2</v>
      </c>
      <c r="Z163" s="1">
        <v>1.2789389999999999E-5</v>
      </c>
      <c r="AA163">
        <v>0.99982510000000002</v>
      </c>
      <c r="AB163">
        <v>18</v>
      </c>
      <c r="AC163">
        <v>305.99489999999997</v>
      </c>
      <c r="AD163">
        <v>0.859154999999999</v>
      </c>
      <c r="AE163">
        <v>-6.5425999999999904</v>
      </c>
      <c r="AF163">
        <v>5.7277140246473399</v>
      </c>
      <c r="AG163">
        <v>0.859154999999999</v>
      </c>
      <c r="AH163">
        <v>306.00882578063499</v>
      </c>
      <c r="AI163">
        <v>89.839164098287597</v>
      </c>
      <c r="AJ163">
        <v>88.927692616371502</v>
      </c>
      <c r="AK163">
        <v>306.06363114702998</v>
      </c>
      <c r="AL163">
        <v>80.446161635299106</v>
      </c>
      <c r="AM163">
        <v>93.459344529872595</v>
      </c>
      <c r="AN163">
        <v>0.99999998336700902</v>
      </c>
    </row>
    <row r="164" spans="1:40" x14ac:dyDescent="0.25">
      <c r="A164" t="str">
        <f>"20190304155316336"</f>
        <v>20190304155316336</v>
      </c>
      <c r="B164" t="str">
        <f>"1551685996326204"</f>
        <v>1551685996326204</v>
      </c>
      <c r="C164" t="s">
        <v>40</v>
      </c>
      <c r="D164">
        <v>4.5935519999999999</v>
      </c>
      <c r="E164">
        <v>0.5274683</v>
      </c>
      <c r="F164" t="s">
        <v>41</v>
      </c>
      <c r="G164">
        <v>-158.19499999999999</v>
      </c>
      <c r="H164">
        <v>2.0752959999999998</v>
      </c>
      <c r="I164">
        <v>360.64679999999998</v>
      </c>
      <c r="J164">
        <v>-464.00099999999998</v>
      </c>
      <c r="K164">
        <v>1.1088439999999999</v>
      </c>
      <c r="L164">
        <v>367.1909</v>
      </c>
      <c r="M164">
        <v>0.99999640000000001</v>
      </c>
      <c r="N164">
        <v>-5.2669149999999998E-4</v>
      </c>
      <c r="O164">
        <v>-2.6602319999999998E-3</v>
      </c>
      <c r="P164">
        <v>0.98444969999999998</v>
      </c>
      <c r="Q164">
        <v>0.16615099999999999</v>
      </c>
      <c r="R164">
        <v>5.7034590000000003E-2</v>
      </c>
      <c r="S164">
        <v>3.0491640000000002</v>
      </c>
      <c r="T164">
        <v>9.6313949999999992E-3</v>
      </c>
      <c r="U164">
        <v>-6.5216060000000006E-2</v>
      </c>
      <c r="V164">
        <v>-5.9648319999999998E-2</v>
      </c>
      <c r="W164">
        <v>0.16667119999999999</v>
      </c>
      <c r="X164">
        <v>0.98420669999999999</v>
      </c>
      <c r="Y164">
        <v>1.8723529999999999E-2</v>
      </c>
      <c r="Z164" s="1">
        <v>1.48334299999999E-5</v>
      </c>
      <c r="AA164">
        <v>0.99982470000000001</v>
      </c>
      <c r="AB164">
        <v>18</v>
      </c>
      <c r="AC164">
        <v>305.80599999999998</v>
      </c>
      <c r="AD164">
        <v>0.96645199999999998</v>
      </c>
      <c r="AE164">
        <v>-6.54410000000001</v>
      </c>
      <c r="AF164">
        <v>5.7305046783452402</v>
      </c>
      <c r="AG164">
        <v>0.96645199999999998</v>
      </c>
      <c r="AH164">
        <v>305.81927369931702</v>
      </c>
      <c r="AI164">
        <v>89.8189658979</v>
      </c>
      <c r="AJ164">
        <v>88.926505486557204</v>
      </c>
      <c r="AK164">
        <v>305.87448549905997</v>
      </c>
      <c r="AL164">
        <v>80.405668538092797</v>
      </c>
      <c r="AM164">
        <v>93.468196144965702</v>
      </c>
      <c r="AN164">
        <v>1.0000000196565699</v>
      </c>
    </row>
    <row r="165" spans="1:40" x14ac:dyDescent="0.25">
      <c r="A165" t="str">
        <f>"20190304155316357"</f>
        <v>20190304155316357</v>
      </c>
      <c r="B165" t="str">
        <f>"1551685996345724"</f>
        <v>1551685996345724</v>
      </c>
      <c r="C165" t="s">
        <v>40</v>
      </c>
      <c r="D165">
        <v>4.5258510000000003</v>
      </c>
      <c r="E165">
        <v>0.52743930000000006</v>
      </c>
      <c r="F165" t="s">
        <v>41</v>
      </c>
      <c r="G165">
        <v>-158.19499999999999</v>
      </c>
      <c r="H165">
        <v>2.2191719999999999</v>
      </c>
      <c r="I165">
        <v>360.60789999999997</v>
      </c>
      <c r="J165">
        <v>-463.8229</v>
      </c>
      <c r="K165">
        <v>1.108849</v>
      </c>
      <c r="L165">
        <v>367.19049999999999</v>
      </c>
      <c r="M165">
        <v>0.99999640000000001</v>
      </c>
      <c r="N165">
        <v>-5.5659899999999996E-4</v>
      </c>
      <c r="O165">
        <v>-2.6577380000000002E-3</v>
      </c>
      <c r="P165">
        <v>0.98433320000000002</v>
      </c>
      <c r="Q165">
        <v>0.16658310000000001</v>
      </c>
      <c r="R165">
        <v>5.7780669999999999E-2</v>
      </c>
      <c r="S165">
        <v>3.049347</v>
      </c>
      <c r="T165">
        <v>1.1072520000000001E-2</v>
      </c>
      <c r="U165">
        <v>-6.5643309999999996E-2</v>
      </c>
      <c r="V165">
        <v>-6.0391599999999997E-2</v>
      </c>
      <c r="W165">
        <v>0.1671329</v>
      </c>
      <c r="X165">
        <v>0.98408309999999999</v>
      </c>
      <c r="Y165">
        <v>1.8864740000000001E-2</v>
      </c>
      <c r="Z165" s="1">
        <v>1.78668E-5</v>
      </c>
      <c r="AA165">
        <v>0.99982199999999999</v>
      </c>
      <c r="AB165">
        <v>18</v>
      </c>
      <c r="AC165">
        <v>305.62790000000001</v>
      </c>
      <c r="AD165">
        <v>1.1103229999999999</v>
      </c>
      <c r="AE165">
        <v>-6.58260000000001</v>
      </c>
      <c r="AF165">
        <v>5.7702216916564399</v>
      </c>
      <c r="AG165">
        <v>1.1103229999999999</v>
      </c>
      <c r="AH165">
        <v>305.64028340069899</v>
      </c>
      <c r="AI165">
        <v>89.791895206944304</v>
      </c>
      <c r="AJ165">
        <v>88.918434194099703</v>
      </c>
      <c r="AK165">
        <v>305.69676333385502</v>
      </c>
      <c r="AL165">
        <v>80.378839039820804</v>
      </c>
      <c r="AM165">
        <v>93.511745919581102</v>
      </c>
      <c r="AN165">
        <v>1.00000004965928</v>
      </c>
    </row>
    <row r="166" spans="1:40" x14ac:dyDescent="0.25">
      <c r="A166" t="str">
        <f>"20190304155316379"</f>
        <v>20190304155316379</v>
      </c>
      <c r="B166" t="str">
        <f>"1551685996375635"</f>
        <v>1551685996375635</v>
      </c>
      <c r="C166" t="s">
        <v>40</v>
      </c>
      <c r="D166">
        <v>4.4849139999999998</v>
      </c>
      <c r="E166">
        <v>0.52737239999999996</v>
      </c>
      <c r="F166" t="s">
        <v>41</v>
      </c>
      <c r="G166">
        <v>-158.19499999999999</v>
      </c>
      <c r="H166">
        <v>2.3473299999999999</v>
      </c>
      <c r="I166">
        <v>360.86829999999998</v>
      </c>
      <c r="J166">
        <v>-463.64260000000002</v>
      </c>
      <c r="K166">
        <v>1.1088549999999999</v>
      </c>
      <c r="L166">
        <v>367.19</v>
      </c>
      <c r="M166">
        <v>0.99999629999999995</v>
      </c>
      <c r="N166">
        <v>-5.8914809999999998E-4</v>
      </c>
      <c r="O166">
        <v>-2.6552450000000001E-3</v>
      </c>
      <c r="P166">
        <v>0.98432030000000004</v>
      </c>
      <c r="Q166">
        <v>0.16648470000000001</v>
      </c>
      <c r="R166">
        <v>5.8279520000000001E-2</v>
      </c>
      <c r="S166">
        <v>3.0493769999999998</v>
      </c>
      <c r="T166">
        <v>1.2357709999999999E-2</v>
      </c>
      <c r="U166">
        <v>-6.3079830000000003E-2</v>
      </c>
      <c r="V166">
        <v>-6.0887799999999999E-2</v>
      </c>
      <c r="W166">
        <v>0.16706660000000001</v>
      </c>
      <c r="X166">
        <v>0.98406369999999999</v>
      </c>
      <c r="Y166">
        <v>1.802687E-2</v>
      </c>
      <c r="Z166" s="1">
        <v>1.8889009999999999E-5</v>
      </c>
      <c r="AA166">
        <v>0.99983750000000005</v>
      </c>
      <c r="AB166">
        <v>18</v>
      </c>
      <c r="AC166">
        <v>305.44760000000002</v>
      </c>
      <c r="AD166">
        <v>1.238475</v>
      </c>
      <c r="AE166">
        <v>-6.3217000000000203</v>
      </c>
      <c r="AF166">
        <v>5.5105488059985301</v>
      </c>
      <c r="AG166">
        <v>1.238475</v>
      </c>
      <c r="AH166">
        <v>305.45828933500701</v>
      </c>
      <c r="AI166">
        <v>89.767734383770403</v>
      </c>
      <c r="AJ166">
        <v>88.966481004458601</v>
      </c>
      <c r="AK166">
        <v>305.510501442975</v>
      </c>
      <c r="AL166">
        <v>80.3826911415605</v>
      </c>
      <c r="AM166">
        <v>93.540596262190206</v>
      </c>
      <c r="AN166">
        <v>0.99999996934104396</v>
      </c>
    </row>
    <row r="167" spans="1:40" x14ac:dyDescent="0.25">
      <c r="A167" t="str">
        <f>"20190304155316401"</f>
        <v>20190304155316401</v>
      </c>
      <c r="B167" t="str">
        <f>"1551685996396133"</f>
        <v>1551685996396133</v>
      </c>
      <c r="C167" t="s">
        <v>40</v>
      </c>
      <c r="D167">
        <v>4.5051459999999999</v>
      </c>
      <c r="E167">
        <v>0.52726249999999997</v>
      </c>
      <c r="F167" t="s">
        <v>41</v>
      </c>
      <c r="G167">
        <v>-158.19499999999999</v>
      </c>
      <c r="H167">
        <v>2.143065</v>
      </c>
      <c r="I167">
        <v>361.00360000000001</v>
      </c>
      <c r="J167">
        <v>-463.44779999999997</v>
      </c>
      <c r="K167">
        <v>1.1088549999999999</v>
      </c>
      <c r="L167">
        <v>367.18950000000001</v>
      </c>
      <c r="M167">
        <v>0.9999962</v>
      </c>
      <c r="N167">
        <v>-6.2577529999999996E-4</v>
      </c>
      <c r="O167">
        <v>-2.6535880000000001E-3</v>
      </c>
      <c r="P167">
        <v>0.98425130000000005</v>
      </c>
      <c r="Q167">
        <v>0.16662489999999999</v>
      </c>
      <c r="R167">
        <v>5.9039099999999997E-2</v>
      </c>
      <c r="S167">
        <v>3.0496829999999999</v>
      </c>
      <c r="T167">
        <v>1.0326739999999999E-2</v>
      </c>
      <c r="U167">
        <v>-6.1767580000000002E-2</v>
      </c>
      <c r="V167">
        <v>-6.1645140000000001E-2</v>
      </c>
      <c r="W167">
        <v>0.16724330000000001</v>
      </c>
      <c r="X167">
        <v>0.98398660000000004</v>
      </c>
      <c r="Y167">
        <v>1.7596440000000001E-2</v>
      </c>
      <c r="Z167" s="1">
        <v>1.363797E-5</v>
      </c>
      <c r="AA167">
        <v>0.99984510000000004</v>
      </c>
      <c r="AB167">
        <v>19</v>
      </c>
      <c r="AC167">
        <v>305.25279999999998</v>
      </c>
      <c r="AD167">
        <v>1.0342100000000001</v>
      </c>
      <c r="AE167">
        <v>-6.1859000000000002</v>
      </c>
      <c r="AF167">
        <v>5.3758011449742398</v>
      </c>
      <c r="AG167">
        <v>1.0342100000000001</v>
      </c>
      <c r="AH167">
        <v>305.26463746210197</v>
      </c>
      <c r="AI167">
        <v>89.805917724821299</v>
      </c>
      <c r="AJ167">
        <v>88.991108550166601</v>
      </c>
      <c r="AK167">
        <v>305.313720152146</v>
      </c>
      <c r="AL167">
        <v>80.372423159744002</v>
      </c>
      <c r="AM167">
        <v>93.584801231465093</v>
      </c>
      <c r="AN167">
        <v>1.0000000368300299</v>
      </c>
    </row>
    <row r="168" spans="1:40" x14ac:dyDescent="0.25">
      <c r="A168" t="str">
        <f>"20190304155316424"</f>
        <v>20190304155316424</v>
      </c>
      <c r="B168" t="str">
        <f>"1551685996415652"</f>
        <v>1551685996415652</v>
      </c>
      <c r="C168" t="s">
        <v>40</v>
      </c>
      <c r="D168">
        <v>4.5815380000000001</v>
      </c>
      <c r="E168">
        <v>0.52725419999999901</v>
      </c>
      <c r="F168" t="s">
        <v>41</v>
      </c>
      <c r="G168">
        <v>-158.19499999999999</v>
      </c>
      <c r="H168">
        <v>2.2091630000000002</v>
      </c>
      <c r="I168">
        <v>361.3612</v>
      </c>
      <c r="J168">
        <v>-463.25959999999998</v>
      </c>
      <c r="K168">
        <v>1.108859</v>
      </c>
      <c r="L168">
        <v>367.18900000000002</v>
      </c>
      <c r="M168">
        <v>0.99999640000000001</v>
      </c>
      <c r="N168">
        <v>-6.6181910000000005E-4</v>
      </c>
      <c r="O168">
        <v>-2.6521700000000001E-3</v>
      </c>
      <c r="P168">
        <v>0.9841936</v>
      </c>
      <c r="Q168">
        <v>0.16664670000000001</v>
      </c>
      <c r="R168">
        <v>5.9935799999999997E-2</v>
      </c>
      <c r="S168">
        <v>3.0496219999999998</v>
      </c>
      <c r="T168">
        <v>1.099348E-2</v>
      </c>
      <c r="U168">
        <v>-5.8227540000000001E-2</v>
      </c>
      <c r="V168">
        <v>-6.2540199999999893E-2</v>
      </c>
      <c r="W168">
        <v>0.16730020000000001</v>
      </c>
      <c r="X168">
        <v>0.98392040000000003</v>
      </c>
      <c r="Y168">
        <v>1.6438069999999999E-2</v>
      </c>
      <c r="Z168" s="1">
        <v>1.287086E-5</v>
      </c>
      <c r="AA168">
        <v>0.99986489999999995</v>
      </c>
      <c r="AB168">
        <v>19</v>
      </c>
      <c r="AC168">
        <v>305.06459999999998</v>
      </c>
      <c r="AD168">
        <v>1.1003039999999999</v>
      </c>
      <c r="AE168">
        <v>-5.8278000000000203</v>
      </c>
      <c r="AF168">
        <v>5.0186309930143898</v>
      </c>
      <c r="AG168">
        <v>1.1003039999999999</v>
      </c>
      <c r="AH168">
        <v>305.07501614914497</v>
      </c>
      <c r="AI168">
        <v>89.793382052713994</v>
      </c>
      <c r="AJ168">
        <v>89.057541832721995</v>
      </c>
      <c r="AK168">
        <v>305.11827674581798</v>
      </c>
      <c r="AL168">
        <v>80.369116020155701</v>
      </c>
      <c r="AM168">
        <v>93.636956288461406</v>
      </c>
      <c r="AN168">
        <v>0.99999999353612001</v>
      </c>
    </row>
    <row r="169" spans="1:40" x14ac:dyDescent="0.25">
      <c r="A169" t="str">
        <f>"20190304155316446"</f>
        <v>20190304155316446</v>
      </c>
      <c r="B169" t="str">
        <f>"1551685996436147"</f>
        <v>1551685996436147</v>
      </c>
      <c r="C169" t="s">
        <v>40</v>
      </c>
      <c r="D169">
        <v>4.5019489999999998</v>
      </c>
      <c r="E169">
        <v>0.52717019999999903</v>
      </c>
      <c r="F169" t="s">
        <v>41</v>
      </c>
      <c r="G169">
        <v>-158.19499999999999</v>
      </c>
      <c r="H169">
        <v>2.1516519999999999</v>
      </c>
      <c r="I169">
        <v>361.64550000000003</v>
      </c>
      <c r="J169">
        <v>-463.06169999999997</v>
      </c>
      <c r="K169">
        <v>1.1088610000000001</v>
      </c>
      <c r="L169">
        <v>367.1884</v>
      </c>
      <c r="M169">
        <v>0.99999629999999995</v>
      </c>
      <c r="N169">
        <v>-7.0037110000000001E-4</v>
      </c>
      <c r="O169">
        <v>-2.650992E-3</v>
      </c>
      <c r="P169">
        <v>0.9841548</v>
      </c>
      <c r="Q169">
        <v>0.16665460000000001</v>
      </c>
      <c r="R169">
        <v>6.0547379999999998E-2</v>
      </c>
      <c r="S169">
        <v>3.0498050000000001</v>
      </c>
      <c r="T169">
        <v>1.042593E-2</v>
      </c>
      <c r="U169">
        <v>-5.5419919999999998E-2</v>
      </c>
      <c r="V169">
        <v>-6.315055E-2</v>
      </c>
      <c r="W169">
        <v>0.16734579999999999</v>
      </c>
      <c r="X169">
        <v>0.98387369999999996</v>
      </c>
      <c r="Y169">
        <v>1.5517960000000001E-2</v>
      </c>
      <c r="Z169" s="1">
        <v>1.016936E-5</v>
      </c>
      <c r="AA169">
        <v>0.99987959999999998</v>
      </c>
      <c r="AB169">
        <v>19</v>
      </c>
      <c r="AC169">
        <v>304.86669999999998</v>
      </c>
      <c r="AD169">
        <v>1.04279099999999</v>
      </c>
      <c r="AE169">
        <v>-5.5428999999999702</v>
      </c>
      <c r="AF169">
        <v>4.73462581431688</v>
      </c>
      <c r="AG169">
        <v>1.04279099999999</v>
      </c>
      <c r="AH169">
        <v>304.87675713263701</v>
      </c>
      <c r="AI169">
        <v>89.804051684602896</v>
      </c>
      <c r="AJ169">
        <v>89.110288777842598</v>
      </c>
      <c r="AK169">
        <v>304.91530157468998</v>
      </c>
      <c r="AL169">
        <v>80.366466357803802</v>
      </c>
      <c r="AM169">
        <v>93.672527689101699</v>
      </c>
      <c r="AN169">
        <v>1.00000003314731</v>
      </c>
    </row>
    <row r="170" spans="1:40" x14ac:dyDescent="0.25">
      <c r="A170" t="str">
        <f>"20190304155316470"</f>
        <v>20190304155316470</v>
      </c>
      <c r="B170" t="str">
        <f>"1551685996466404"</f>
        <v>1551685996466404</v>
      </c>
      <c r="C170" t="s">
        <v>40</v>
      </c>
      <c r="D170">
        <v>4.5224479999999998</v>
      </c>
      <c r="E170">
        <v>0.52713599999999905</v>
      </c>
      <c r="F170" t="s">
        <v>41</v>
      </c>
      <c r="G170">
        <v>-158.19499999999999</v>
      </c>
      <c r="H170">
        <v>2.1290969999999998</v>
      </c>
      <c r="I170">
        <v>361.91699999999997</v>
      </c>
      <c r="J170">
        <v>-462.85840000000002</v>
      </c>
      <c r="K170">
        <v>1.1088610000000001</v>
      </c>
      <c r="L170">
        <v>367.18790000000001</v>
      </c>
      <c r="M170">
        <v>0.99999629999999995</v>
      </c>
      <c r="N170">
        <v>-7.4244759999999904E-4</v>
      </c>
      <c r="O170">
        <v>-2.6501739999999999E-3</v>
      </c>
      <c r="P170">
        <v>0.98414299999999999</v>
      </c>
      <c r="Q170">
        <v>0.16651550000000001</v>
      </c>
      <c r="R170">
        <v>6.1117169999999998E-2</v>
      </c>
      <c r="S170">
        <v>3.0497740000000002</v>
      </c>
      <c r="T170">
        <v>1.0206939999999999E-2</v>
      </c>
      <c r="U170">
        <v>-5.2734379999999997E-2</v>
      </c>
      <c r="V170">
        <v>-6.3718810000000001E-2</v>
      </c>
      <c r="W170">
        <v>0.16724849999999999</v>
      </c>
      <c r="X170">
        <v>0.98385359999999999</v>
      </c>
      <c r="Y170">
        <v>1.4638780000000001E-2</v>
      </c>
      <c r="Z170" s="1">
        <v>8.2235440000000005E-6</v>
      </c>
      <c r="AA170">
        <v>0.99989280000000003</v>
      </c>
      <c r="AB170">
        <v>19</v>
      </c>
      <c r="AC170">
        <v>304.66340000000002</v>
      </c>
      <c r="AD170">
        <v>1.0202359999999999</v>
      </c>
      <c r="AE170">
        <v>-5.2709000000000401</v>
      </c>
      <c r="AF170">
        <v>4.4634202787926203</v>
      </c>
      <c r="AG170">
        <v>1.0202359999999999</v>
      </c>
      <c r="AH170">
        <v>304.67288333194301</v>
      </c>
      <c r="AI170">
        <v>89.808159078483698</v>
      </c>
      <c r="AJ170">
        <v>89.160683916045599</v>
      </c>
      <c r="AK170">
        <v>304.70728386417102</v>
      </c>
      <c r="AL170">
        <v>80.372120868517698</v>
      </c>
      <c r="AM170">
        <v>93.705558745404105</v>
      </c>
      <c r="AN170">
        <v>1.0000000268665099</v>
      </c>
    </row>
    <row r="171" spans="1:40" x14ac:dyDescent="0.25">
      <c r="A171" t="str">
        <f>"20190304155316493"</f>
        <v>20190304155316493</v>
      </c>
      <c r="B171" t="str">
        <f>"1551685996485698"</f>
        <v>1551685996485698</v>
      </c>
      <c r="C171" t="s">
        <v>40</v>
      </c>
      <c r="D171">
        <v>4.4672559999999999</v>
      </c>
      <c r="E171">
        <v>0.52725059999999901</v>
      </c>
      <c r="F171" t="s">
        <v>41</v>
      </c>
      <c r="G171">
        <v>-158.19499999999999</v>
      </c>
      <c r="H171">
        <v>2.121543</v>
      </c>
      <c r="I171">
        <v>362.16989999999998</v>
      </c>
      <c r="J171">
        <v>-462.65170000000001</v>
      </c>
      <c r="K171">
        <v>1.10886</v>
      </c>
      <c r="L171">
        <v>367.18740000000003</v>
      </c>
      <c r="M171">
        <v>0.9999962</v>
      </c>
      <c r="N171">
        <v>-7.8818629999999996E-4</v>
      </c>
      <c r="O171">
        <v>-2.6495960000000002E-3</v>
      </c>
      <c r="P171">
        <v>0.98401400000000006</v>
      </c>
      <c r="Q171">
        <v>0.16704639999999901</v>
      </c>
      <c r="R171">
        <v>6.1738870000000001E-2</v>
      </c>
      <c r="S171">
        <v>3.049744</v>
      </c>
      <c r="T171">
        <v>1.0138029999999999E-2</v>
      </c>
      <c r="U171">
        <v>-5.0231930000000001E-2</v>
      </c>
      <c r="V171">
        <v>-6.4339179999999996E-2</v>
      </c>
      <c r="W171">
        <v>0.16782439999999901</v>
      </c>
      <c r="X171">
        <v>0.98371509999999995</v>
      </c>
      <c r="Y171">
        <v>1.3819299999999901E-2</v>
      </c>
      <c r="Z171" s="1">
        <v>6.625725E-6</v>
      </c>
      <c r="AA171">
        <v>0.99990449999999997</v>
      </c>
      <c r="AB171">
        <v>20</v>
      </c>
      <c r="AC171">
        <v>304.45670000000001</v>
      </c>
      <c r="AD171">
        <v>1.012683</v>
      </c>
      <c r="AE171">
        <v>-5.01750000000004</v>
      </c>
      <c r="AF171">
        <v>4.2107483260187699</v>
      </c>
      <c r="AG171">
        <v>1.012683</v>
      </c>
      <c r="AH171">
        <v>304.46555808495998</v>
      </c>
      <c r="AI171">
        <v>89.809447412630604</v>
      </c>
      <c r="AJ171">
        <v>89.207651829959701</v>
      </c>
      <c r="AK171">
        <v>304.49635792289803</v>
      </c>
      <c r="AL171">
        <v>80.338650694398297</v>
      </c>
      <c r="AM171">
        <v>93.742059577116706</v>
      </c>
      <c r="AN171">
        <v>0.99999997864322099</v>
      </c>
    </row>
    <row r="172" spans="1:40" x14ac:dyDescent="0.25">
      <c r="A172" t="str">
        <f>"20190304155316514"</f>
        <v>20190304155316514</v>
      </c>
      <c r="B172" t="str">
        <f>"1551685996506195"</f>
        <v>1551685996506195</v>
      </c>
      <c r="C172" t="s">
        <v>40</v>
      </c>
      <c r="D172">
        <v>4.4324000000000003</v>
      </c>
      <c r="E172">
        <v>0.52737719999999999</v>
      </c>
      <c r="F172" t="s">
        <v>41</v>
      </c>
      <c r="G172">
        <v>-158.19499999999999</v>
      </c>
      <c r="H172">
        <v>2.2470400000000001</v>
      </c>
      <c r="I172">
        <v>362.26119999999997</v>
      </c>
      <c r="J172">
        <v>-462.46249999999998</v>
      </c>
      <c r="K172">
        <v>1.108862</v>
      </c>
      <c r="L172">
        <v>367.18689999999998</v>
      </c>
      <c r="M172">
        <v>0.99999640000000001</v>
      </c>
      <c r="N172">
        <v>-8.3182880000000001E-4</v>
      </c>
      <c r="O172">
        <v>-2.6490189999999999E-3</v>
      </c>
      <c r="P172">
        <v>0.98404409999999998</v>
      </c>
      <c r="Q172">
        <v>0.16676769999999999</v>
      </c>
      <c r="R172">
        <v>6.2019600000000001E-2</v>
      </c>
      <c r="S172">
        <v>3.0498349999999999</v>
      </c>
      <c r="T172">
        <v>1.140237E-2</v>
      </c>
      <c r="U172">
        <v>-4.9346920000000002E-2</v>
      </c>
      <c r="V172">
        <v>-6.4619969999999999E-2</v>
      </c>
      <c r="W172">
        <v>0.16758890000000001</v>
      </c>
      <c r="X172">
        <v>0.98373690000000003</v>
      </c>
      <c r="Y172">
        <v>1.3529299999999999E-2</v>
      </c>
      <c r="Z172" s="1">
        <v>7.555249E-6</v>
      </c>
      <c r="AA172">
        <v>0.99990840000000003</v>
      </c>
      <c r="AB172">
        <v>20</v>
      </c>
      <c r="AC172">
        <v>304.26749999999998</v>
      </c>
      <c r="AD172">
        <v>1.1381779999999999</v>
      </c>
      <c r="AE172">
        <v>-4.9257</v>
      </c>
      <c r="AF172">
        <v>4.1196146247469096</v>
      </c>
      <c r="AG172">
        <v>1.1381779999999999</v>
      </c>
      <c r="AH172">
        <v>304.27522411154399</v>
      </c>
      <c r="AI172">
        <v>89.785698899142702</v>
      </c>
      <c r="AJ172">
        <v>89.224313740695806</v>
      </c>
      <c r="AK172">
        <v>304.30523932713697</v>
      </c>
      <c r="AL172">
        <v>80.352338241506899</v>
      </c>
      <c r="AM172">
        <v>93.758260976548101</v>
      </c>
      <c r="AN172">
        <v>1.0000000341738</v>
      </c>
    </row>
    <row r="173" spans="1:40" x14ac:dyDescent="0.25">
      <c r="A173" t="str">
        <f>"20190304155316538"</f>
        <v>20190304155316538</v>
      </c>
      <c r="B173" t="str">
        <f>"1551685996525714"</f>
        <v>1551685996525714</v>
      </c>
      <c r="C173" t="s">
        <v>40</v>
      </c>
      <c r="D173">
        <v>4.453335</v>
      </c>
      <c r="E173">
        <v>0.52750129999999995</v>
      </c>
      <c r="F173" t="s">
        <v>41</v>
      </c>
      <c r="G173">
        <v>-158.19499999999999</v>
      </c>
      <c r="H173">
        <v>2.1827589999999999</v>
      </c>
      <c r="I173">
        <v>362.27620000000002</v>
      </c>
      <c r="J173">
        <v>-462.25049999999999</v>
      </c>
      <c r="K173">
        <v>1.1088559999999901</v>
      </c>
      <c r="L173">
        <v>367.18630000000002</v>
      </c>
      <c r="M173">
        <v>0.99999610000000005</v>
      </c>
      <c r="N173">
        <v>-8.8123110000000004E-4</v>
      </c>
      <c r="O173">
        <v>-2.6480869999999999E-3</v>
      </c>
      <c r="P173">
        <v>0.98392800000000002</v>
      </c>
      <c r="Q173">
        <v>0.1673616</v>
      </c>
      <c r="R173">
        <v>6.2254829999999997E-2</v>
      </c>
      <c r="S173">
        <v>3.049957</v>
      </c>
      <c r="T173">
        <v>1.076555E-2</v>
      </c>
      <c r="U173">
        <v>-4.9224850000000001E-2</v>
      </c>
      <c r="V173">
        <v>-6.4853400000000005E-2</v>
      </c>
      <c r="W173">
        <v>0.16823099999999999</v>
      </c>
      <c r="X173">
        <v>0.98361189999999998</v>
      </c>
      <c r="Y173">
        <v>1.3489589999999999E-2</v>
      </c>
      <c r="Z173" s="1">
        <v>6.1818190000000001E-6</v>
      </c>
      <c r="AA173">
        <v>0.99990900000000005</v>
      </c>
      <c r="AB173">
        <v>20</v>
      </c>
      <c r="AC173">
        <v>304.05549999999999</v>
      </c>
      <c r="AD173">
        <v>1.0739030000000001</v>
      </c>
      <c r="AE173">
        <v>-4.9100999999999999</v>
      </c>
      <c r="AF173">
        <v>4.1048658573944499</v>
      </c>
      <c r="AG173">
        <v>1.0739030000000001</v>
      </c>
      <c r="AH173">
        <v>304.06364423652002</v>
      </c>
      <c r="AI173">
        <v>89.7976599678328</v>
      </c>
      <c r="AJ173">
        <v>89.226552706360494</v>
      </c>
      <c r="AK173">
        <v>304.09324710975397</v>
      </c>
      <c r="AL173">
        <v>80.315018451761901</v>
      </c>
      <c r="AM173">
        <v>93.772275961257904</v>
      </c>
      <c r="AN173">
        <v>1.00000000133708</v>
      </c>
    </row>
    <row r="174" spans="1:40" x14ac:dyDescent="0.25">
      <c r="A174" t="str">
        <f>"20190304155316558"</f>
        <v>20190304155316558</v>
      </c>
      <c r="B174" t="str">
        <f>"1551685996555971"</f>
        <v>1551685996555971</v>
      </c>
      <c r="C174" t="s">
        <v>40</v>
      </c>
      <c r="D174">
        <v>4.4684019999999904</v>
      </c>
      <c r="E174">
        <v>0.52777600000000002</v>
      </c>
      <c r="F174" t="s">
        <v>41</v>
      </c>
      <c r="G174">
        <v>-158.19499999999999</v>
      </c>
      <c r="H174">
        <v>2.3600650000000001</v>
      </c>
      <c r="I174">
        <v>362.23349999999999</v>
      </c>
      <c r="J174">
        <v>-462.05459999999999</v>
      </c>
      <c r="K174">
        <v>1.108859</v>
      </c>
      <c r="L174">
        <v>367.18579999999997</v>
      </c>
      <c r="M174">
        <v>0.999996</v>
      </c>
      <c r="N174">
        <v>-9.2674999999999995E-4</v>
      </c>
      <c r="O174">
        <v>-2.647632E-3</v>
      </c>
      <c r="P174">
        <v>0.98389210000000005</v>
      </c>
      <c r="Q174">
        <v>0.16758960000000001</v>
      </c>
      <c r="R174">
        <v>6.2212330000000003E-2</v>
      </c>
      <c r="S174">
        <v>3.0500180000000001</v>
      </c>
      <c r="T174">
        <v>1.25519E-2</v>
      </c>
      <c r="U174">
        <v>-4.9682619999999997E-2</v>
      </c>
      <c r="V174">
        <v>-6.4810939999999997E-2</v>
      </c>
      <c r="W174">
        <v>0.1685036</v>
      </c>
      <c r="X174">
        <v>0.983568</v>
      </c>
      <c r="Y174">
        <v>1.3639729999999999E-2</v>
      </c>
      <c r="Z174" s="1">
        <v>8.3947929999999904E-6</v>
      </c>
      <c r="AA174">
        <v>0.99990699999999999</v>
      </c>
      <c r="AB174">
        <v>20</v>
      </c>
      <c r="AC174">
        <v>303.8596</v>
      </c>
      <c r="AD174">
        <v>1.251206</v>
      </c>
      <c r="AE174">
        <v>-4.9522999999999797</v>
      </c>
      <c r="AF174">
        <v>4.1477035356491996</v>
      </c>
      <c r="AG174">
        <v>1.251206</v>
      </c>
      <c r="AH174">
        <v>303.86649599705902</v>
      </c>
      <c r="AI174">
        <v>89.764101203789906</v>
      </c>
      <c r="AJ174">
        <v>89.217975153632594</v>
      </c>
      <c r="AK174">
        <v>303.89737799231602</v>
      </c>
      <c r="AL174">
        <v>80.299173076637501</v>
      </c>
      <c r="AM174">
        <v>93.769981122681202</v>
      </c>
      <c r="AN174">
        <v>0.99999996589032103</v>
      </c>
    </row>
    <row r="175" spans="1:40" x14ac:dyDescent="0.25">
      <c r="A175" t="str">
        <f>"20190304155316581"</f>
        <v>20190304155316581</v>
      </c>
      <c r="B175" t="str">
        <f>"1551685996576182"</f>
        <v>1551685996576182</v>
      </c>
      <c r="C175" t="s">
        <v>40</v>
      </c>
      <c r="D175">
        <v>4.3954110000000002</v>
      </c>
      <c r="E175">
        <v>0.52775090000000002</v>
      </c>
      <c r="F175" t="s">
        <v>41</v>
      </c>
      <c r="G175">
        <v>-158.19499999999999</v>
      </c>
      <c r="H175">
        <v>2.4927100000000002</v>
      </c>
      <c r="I175">
        <v>361.9991</v>
      </c>
      <c r="J175">
        <v>-461.85559999999998</v>
      </c>
      <c r="K175">
        <v>1.1088639999999901</v>
      </c>
      <c r="L175">
        <v>367.18520000000001</v>
      </c>
      <c r="M175">
        <v>0.99999610000000005</v>
      </c>
      <c r="N175">
        <v>-9.7214630000000001E-4</v>
      </c>
      <c r="O175">
        <v>-2.6469390000000001E-3</v>
      </c>
      <c r="P175">
        <v>0.98379459999999996</v>
      </c>
      <c r="Q175">
        <v>0.16809460000000001</v>
      </c>
      <c r="R175">
        <v>6.2389739999999999E-2</v>
      </c>
      <c r="S175">
        <v>3.0501100000000001</v>
      </c>
      <c r="T175">
        <v>1.3891819999999999E-2</v>
      </c>
      <c r="U175">
        <v>-5.2062990000000003E-2</v>
      </c>
      <c r="V175">
        <v>-6.4987180000000005E-2</v>
      </c>
      <c r="W175">
        <v>0.1690535</v>
      </c>
      <c r="X175">
        <v>0.98346199999999995</v>
      </c>
      <c r="Y175">
        <v>1.442004E-2</v>
      </c>
      <c r="Z175" s="1">
        <v>1.119839E-5</v>
      </c>
      <c r="AA175">
        <v>0.99989600000000001</v>
      </c>
      <c r="AB175">
        <v>20</v>
      </c>
      <c r="AC175">
        <v>303.66059999999999</v>
      </c>
      <c r="AD175">
        <v>1.3838459999999999</v>
      </c>
      <c r="AE175">
        <v>-5.1860999999999997</v>
      </c>
      <c r="AF175">
        <v>4.3822194441991904</v>
      </c>
      <c r="AG175">
        <v>1.3838459999999999</v>
      </c>
      <c r="AH175">
        <v>303.66695875265401</v>
      </c>
      <c r="AI175">
        <v>89.738925393314403</v>
      </c>
      <c r="AJ175">
        <v>89.173221701130103</v>
      </c>
      <c r="AK175">
        <v>303.70172985199599</v>
      </c>
      <c r="AL175">
        <v>80.267207514401605</v>
      </c>
      <c r="AM175">
        <v>93.780609383803593</v>
      </c>
      <c r="AN175">
        <v>0.99999996243529998</v>
      </c>
    </row>
    <row r="176" spans="1:40" x14ac:dyDescent="0.25">
      <c r="A176" t="str">
        <f>"20190304155316602"</f>
        <v>20190304155316602</v>
      </c>
      <c r="B176" t="str">
        <f>"1551685996595702"</f>
        <v>1551685996595702</v>
      </c>
      <c r="C176" t="s">
        <v>40</v>
      </c>
      <c r="D176">
        <v>4.3098599999999996</v>
      </c>
      <c r="E176">
        <v>0.52783789999999997</v>
      </c>
      <c r="F176" t="s">
        <v>41</v>
      </c>
      <c r="G176">
        <v>-158.19499999999999</v>
      </c>
      <c r="H176">
        <v>2.7298789999999999</v>
      </c>
      <c r="I176">
        <v>362.10480000000001</v>
      </c>
      <c r="J176">
        <v>-461.65570000000002</v>
      </c>
      <c r="K176">
        <v>1.108876</v>
      </c>
      <c r="L176">
        <v>367.18470000000002</v>
      </c>
      <c r="M176">
        <v>0.99999610000000005</v>
      </c>
      <c r="N176">
        <v>-1.019198E-3</v>
      </c>
      <c r="O176">
        <v>-2.6461290000000001E-3</v>
      </c>
      <c r="P176">
        <v>0.98371299999999995</v>
      </c>
      <c r="Q176">
        <v>0.16861709999999999</v>
      </c>
      <c r="R176">
        <v>6.2267740000000002E-2</v>
      </c>
      <c r="S176">
        <v>3.0498050000000001</v>
      </c>
      <c r="T176">
        <v>1.6281489999999999E-2</v>
      </c>
      <c r="U176">
        <v>-5.1025389999999997E-2</v>
      </c>
      <c r="V176">
        <v>-6.4864450000000004E-2</v>
      </c>
      <c r="W176">
        <v>0.1696221</v>
      </c>
      <c r="X176">
        <v>0.98337220000000003</v>
      </c>
      <c r="Y176">
        <v>1.408244E-2</v>
      </c>
      <c r="Z176" s="1">
        <v>1.3587949999999999E-5</v>
      </c>
      <c r="AA176">
        <v>0.99990080000000003</v>
      </c>
      <c r="AB176">
        <v>20</v>
      </c>
      <c r="AC176">
        <v>303.46069999999997</v>
      </c>
      <c r="AD176">
        <v>1.621003</v>
      </c>
      <c r="AE176">
        <v>-5.0799000000000003</v>
      </c>
      <c r="AF176">
        <v>4.2767637371987304</v>
      </c>
      <c r="AG176">
        <v>1.621003</v>
      </c>
      <c r="AH176">
        <v>303.46442302820998</v>
      </c>
      <c r="AI176">
        <v>89.693978870944605</v>
      </c>
      <c r="AJ176">
        <v>89.192576551187202</v>
      </c>
      <c r="AK176">
        <v>303.49888698747202</v>
      </c>
      <c r="AL176">
        <v>80.234151805142403</v>
      </c>
      <c r="AM176">
        <v>93.773833844410206</v>
      </c>
      <c r="AN176">
        <v>0.99999996870752506</v>
      </c>
    </row>
    <row r="177" spans="1:40" x14ac:dyDescent="0.25">
      <c r="A177" t="str">
        <f>"20190304155316624"</f>
        <v>20190304155316624</v>
      </c>
      <c r="B177" t="str">
        <f>"1551685996616199"</f>
        <v>1551685996616199</v>
      </c>
      <c r="C177" t="s">
        <v>40</v>
      </c>
      <c r="D177">
        <v>4.4152290000000001</v>
      </c>
      <c r="E177">
        <v>0.528059099999999</v>
      </c>
      <c r="F177" t="s">
        <v>41</v>
      </c>
      <c r="G177">
        <v>-158.19499999999999</v>
      </c>
      <c r="H177">
        <v>2.9836490000000002</v>
      </c>
      <c r="I177">
        <v>362.08609999999999</v>
      </c>
      <c r="J177">
        <v>-461.44110000000001</v>
      </c>
      <c r="K177">
        <v>1.1088800000000001</v>
      </c>
      <c r="L177">
        <v>367.18419999999998</v>
      </c>
      <c r="M177">
        <v>0.999996</v>
      </c>
      <c r="N177">
        <v>-1.0724179999999999E-3</v>
      </c>
      <c r="O177">
        <v>-2.645442E-3</v>
      </c>
      <c r="P177">
        <v>0.98378989999999999</v>
      </c>
      <c r="Q177">
        <v>0.16808090000000001</v>
      </c>
      <c r="R177">
        <v>6.2502360000000007E-2</v>
      </c>
      <c r="S177">
        <v>3.0496829999999999</v>
      </c>
      <c r="T177">
        <v>1.8841739999999999E-2</v>
      </c>
      <c r="U177">
        <v>-5.1239010000000001E-2</v>
      </c>
      <c r="V177">
        <v>-6.5098320000000001E-2</v>
      </c>
      <c r="W177">
        <v>0.16913810000000001</v>
      </c>
      <c r="X177">
        <v>0.98344019999999999</v>
      </c>
      <c r="Y177">
        <v>1.415377E-2</v>
      </c>
      <c r="Z177" s="1">
        <v>1.69497499999999E-5</v>
      </c>
      <c r="AA177">
        <v>0.99989980000000001</v>
      </c>
      <c r="AB177">
        <v>21</v>
      </c>
      <c r="AC177">
        <v>303.24610000000001</v>
      </c>
      <c r="AD177">
        <v>1.8747689999999999</v>
      </c>
      <c r="AE177">
        <v>-5.0980999999999801</v>
      </c>
      <c r="AF177">
        <v>4.2956976491214798</v>
      </c>
      <c r="AG177">
        <v>1.8747689999999999</v>
      </c>
      <c r="AH177">
        <v>303.24693841125799</v>
      </c>
      <c r="AI177">
        <v>89.645819318263705</v>
      </c>
      <c r="AJ177">
        <v>89.188420877042105</v>
      </c>
      <c r="AK177">
        <v>303.28315718631302</v>
      </c>
      <c r="AL177">
        <v>80.262290404842105</v>
      </c>
      <c r="AM177">
        <v>93.787139824627801</v>
      </c>
      <c r="AN177">
        <v>1.0000000575572301</v>
      </c>
    </row>
    <row r="178" spans="1:40" x14ac:dyDescent="0.25">
      <c r="A178" t="str">
        <f>"20190304155316647"</f>
        <v>20190304155316647</v>
      </c>
      <c r="B178" t="str">
        <f>"1551685996635718"</f>
        <v>1551685996635718</v>
      </c>
      <c r="C178" t="s">
        <v>40</v>
      </c>
      <c r="D178">
        <v>4.2517069999999997</v>
      </c>
      <c r="E178">
        <v>0.52812130000000002</v>
      </c>
      <c r="F178" t="s">
        <v>41</v>
      </c>
      <c r="G178">
        <v>-158.19499999999999</v>
      </c>
      <c r="H178">
        <v>2.865996</v>
      </c>
      <c r="I178">
        <v>361.98919999999998</v>
      </c>
      <c r="J178">
        <v>-461.23050000000001</v>
      </c>
      <c r="K178">
        <v>1.1088800000000001</v>
      </c>
      <c r="L178">
        <v>367.18360000000001</v>
      </c>
      <c r="M178">
        <v>0.999996</v>
      </c>
      <c r="N178">
        <v>-1.126036E-3</v>
      </c>
      <c r="O178">
        <v>-2.6448769999999999E-3</v>
      </c>
      <c r="P178">
        <v>0.9838171</v>
      </c>
      <c r="Q178">
        <v>0.1678568</v>
      </c>
      <c r="R178">
        <v>6.2674380000000002E-2</v>
      </c>
      <c r="S178">
        <v>3.049744</v>
      </c>
      <c r="T178">
        <v>1.7672179999999999E-2</v>
      </c>
      <c r="U178">
        <v>-5.2246090000000002E-2</v>
      </c>
      <c r="V178">
        <v>-6.5269530000000006E-2</v>
      </c>
      <c r="W178">
        <v>0.16896700000000001</v>
      </c>
      <c r="X178">
        <v>0.98345819999999995</v>
      </c>
      <c r="Y178">
        <v>1.448411E-2</v>
      </c>
      <c r="Z178" s="1">
        <v>1.5503469999999999E-5</v>
      </c>
      <c r="AA178">
        <v>0.99989510000000004</v>
      </c>
      <c r="AB178">
        <v>21</v>
      </c>
      <c r="AC178">
        <v>303.03550000000001</v>
      </c>
      <c r="AD178">
        <v>1.7571159999999999</v>
      </c>
      <c r="AE178">
        <v>-5.1944000000000301</v>
      </c>
      <c r="AF178">
        <v>4.3927421587380699</v>
      </c>
      <c r="AG178">
        <v>1.7571159999999999</v>
      </c>
      <c r="AH178">
        <v>303.03799310642302</v>
      </c>
      <c r="AI178">
        <v>89.6678184590684</v>
      </c>
      <c r="AJ178">
        <v>89.169516807552299</v>
      </c>
      <c r="AK178">
        <v>303.07492292546999</v>
      </c>
      <c r="AL178">
        <v>80.272236255727606</v>
      </c>
      <c r="AM178">
        <v>93.7970016919827</v>
      </c>
      <c r="AN178">
        <v>0.99999999489132996</v>
      </c>
    </row>
    <row r="179" spans="1:40" x14ac:dyDescent="0.25">
      <c r="A179" t="str">
        <f>"20190304155316670"</f>
        <v>20190304155316670</v>
      </c>
      <c r="B179" t="str">
        <f>"1551685996665973"</f>
        <v>1551685996665973</v>
      </c>
      <c r="C179" t="s">
        <v>40</v>
      </c>
      <c r="D179">
        <v>4.2183159999999997</v>
      </c>
      <c r="E179">
        <v>0.52818100000000001</v>
      </c>
      <c r="F179" t="s">
        <v>41</v>
      </c>
      <c r="G179">
        <v>-158.19499999999999</v>
      </c>
      <c r="H179">
        <v>2.8977469999999999</v>
      </c>
      <c r="I179">
        <v>361.9769</v>
      </c>
      <c r="J179">
        <v>-461.00970000000001</v>
      </c>
      <c r="K179">
        <v>1.108887</v>
      </c>
      <c r="L179">
        <v>367.18299999999999</v>
      </c>
      <c r="M179">
        <v>0.99999590000000005</v>
      </c>
      <c r="N179">
        <v>-1.183337E-3</v>
      </c>
      <c r="O179">
        <v>-2.6441949999999998E-3</v>
      </c>
      <c r="P179">
        <v>0.98383089999999995</v>
      </c>
      <c r="Q179">
        <v>0.167746799999999</v>
      </c>
      <c r="R179">
        <v>6.2754550000000006E-2</v>
      </c>
      <c r="S179">
        <v>3.049652</v>
      </c>
      <c r="T179">
        <v>1.8003459999999999E-2</v>
      </c>
      <c r="U179">
        <v>-5.2398680000000003E-2</v>
      </c>
      <c r="V179">
        <v>-6.5349859999999996E-2</v>
      </c>
      <c r="W179">
        <v>0.16891339999999999</v>
      </c>
      <c r="X179">
        <v>0.98346210000000001</v>
      </c>
      <c r="Y179">
        <v>1.4535319999999999E-2</v>
      </c>
      <c r="Z179" s="1">
        <v>1.556271E-5</v>
      </c>
      <c r="AA179">
        <v>0.99989439999999996</v>
      </c>
      <c r="AB179">
        <v>21</v>
      </c>
      <c r="AC179">
        <v>302.81470000000002</v>
      </c>
      <c r="AD179">
        <v>1.7888599999999999</v>
      </c>
      <c r="AE179">
        <v>-5.2061000000000401</v>
      </c>
      <c r="AF179">
        <v>4.4052265130974098</v>
      </c>
      <c r="AG179">
        <v>1.7888599999999999</v>
      </c>
      <c r="AH179">
        <v>302.81684280663097</v>
      </c>
      <c r="AI179">
        <v>89.661570698446894</v>
      </c>
      <c r="AJ179">
        <v>89.166548723797007</v>
      </c>
      <c r="AK179">
        <v>302.85416676695598</v>
      </c>
      <c r="AL179">
        <v>80.275352357125897</v>
      </c>
      <c r="AM179">
        <v>93.801646097388598</v>
      </c>
      <c r="AN179">
        <v>1.0000000215189899</v>
      </c>
    </row>
    <row r="180" spans="1:40" x14ac:dyDescent="0.25">
      <c r="A180" t="str">
        <f>"20190304155316693"</f>
        <v>20190304155316693</v>
      </c>
      <c r="B180" t="str">
        <f>"1551685996686194"</f>
        <v>1551685996686194</v>
      </c>
      <c r="C180" t="s">
        <v>40</v>
      </c>
      <c r="D180">
        <v>4.2129209999999997</v>
      </c>
      <c r="E180">
        <v>0.52818949999999998</v>
      </c>
      <c r="F180" t="s">
        <v>41</v>
      </c>
      <c r="G180">
        <v>-158.19499999999999</v>
      </c>
      <c r="H180">
        <v>2.9407649999999999</v>
      </c>
      <c r="I180">
        <v>361.99200000000002</v>
      </c>
      <c r="J180">
        <v>-460.79289999999997</v>
      </c>
      <c r="K180">
        <v>1.1088910000000001</v>
      </c>
      <c r="L180">
        <v>367.18239999999997</v>
      </c>
      <c r="M180">
        <v>0.99999579999999999</v>
      </c>
      <c r="N180">
        <v>-1.2420389999999999E-3</v>
      </c>
      <c r="O180">
        <v>-2.6435170000000002E-3</v>
      </c>
      <c r="P180">
        <v>0.98392460000000004</v>
      </c>
      <c r="Q180">
        <v>0.16721240000000001</v>
      </c>
      <c r="R180">
        <v>6.2712299999999999E-2</v>
      </c>
      <c r="S180">
        <v>3.0495000000000001</v>
      </c>
      <c r="T180">
        <v>1.8448829999999999E-2</v>
      </c>
      <c r="U180">
        <v>-5.2276610000000001E-2</v>
      </c>
      <c r="V180">
        <v>-6.5306959999999997E-2</v>
      </c>
      <c r="W180">
        <v>0.1684368</v>
      </c>
      <c r="X180">
        <v>0.9835467</v>
      </c>
      <c r="Y180">
        <v>1.449684E-2</v>
      </c>
      <c r="Z180" s="1">
        <v>1.55698499999999E-5</v>
      </c>
      <c r="AA180">
        <v>0.99989490000000003</v>
      </c>
      <c r="AB180">
        <v>21</v>
      </c>
      <c r="AC180">
        <v>302.59789999999998</v>
      </c>
      <c r="AD180">
        <v>1.831874</v>
      </c>
      <c r="AE180">
        <v>-5.1904000000000101</v>
      </c>
      <c r="AF180">
        <v>4.3902977550543802</v>
      </c>
      <c r="AG180">
        <v>1.831874</v>
      </c>
      <c r="AH180">
        <v>302.59947697627501</v>
      </c>
      <c r="AI180">
        <v>89.653184060489707</v>
      </c>
      <c r="AJ180">
        <v>89.168776209327007</v>
      </c>
      <c r="AK180">
        <v>302.63686811597302</v>
      </c>
      <c r="AL180">
        <v>80.303056589071801</v>
      </c>
      <c r="AM180">
        <v>93.798831926267695</v>
      </c>
      <c r="AN180">
        <v>1.00000003284978</v>
      </c>
    </row>
    <row r="181" spans="1:40" x14ac:dyDescent="0.25">
      <c r="A181" t="str">
        <f>"20190304155316715"</f>
        <v>20190304155316715</v>
      </c>
      <c r="B181" t="str">
        <f>"1551685996705715"</f>
        <v>1551685996705715</v>
      </c>
      <c r="C181" t="s">
        <v>40</v>
      </c>
      <c r="D181">
        <v>4.2279140000000002</v>
      </c>
      <c r="E181">
        <v>0.5280977</v>
      </c>
      <c r="F181" t="s">
        <v>41</v>
      </c>
      <c r="G181">
        <v>-158.19499999999999</v>
      </c>
      <c r="H181">
        <v>2.7709350000000001</v>
      </c>
      <c r="I181">
        <v>362.0102</v>
      </c>
      <c r="J181">
        <v>-460.5754</v>
      </c>
      <c r="K181">
        <v>1.1088960000000001</v>
      </c>
      <c r="L181">
        <v>367.18180000000001</v>
      </c>
      <c r="M181">
        <v>0.99999579999999999</v>
      </c>
      <c r="N181">
        <v>-1.30324E-3</v>
      </c>
      <c r="O181">
        <v>-2.6429610000000001E-3</v>
      </c>
      <c r="P181">
        <v>0.98393739999999996</v>
      </c>
      <c r="Q181">
        <v>0.1670586</v>
      </c>
      <c r="R181">
        <v>6.291911E-2</v>
      </c>
      <c r="S181">
        <v>3.0494690000000002</v>
      </c>
      <c r="T181">
        <v>1.6750339999999999E-2</v>
      </c>
      <c r="U181">
        <v>-5.212402E-2</v>
      </c>
      <c r="V181">
        <v>-6.5512970000000004E-2</v>
      </c>
      <c r="W181">
        <v>0.1683433</v>
      </c>
      <c r="X181">
        <v>0.98354900000000001</v>
      </c>
      <c r="Y181">
        <v>1.444758E-2</v>
      </c>
      <c r="Z181" s="1">
        <v>1.2300750000000001E-5</v>
      </c>
      <c r="AA181">
        <v>0.9998956</v>
      </c>
      <c r="AB181">
        <v>21</v>
      </c>
      <c r="AC181">
        <v>302.38040000000001</v>
      </c>
      <c r="AD181">
        <v>1.6620389999999901</v>
      </c>
      <c r="AE181">
        <v>-5.1716000000000104</v>
      </c>
      <c r="AF181">
        <v>4.3722697127534298</v>
      </c>
      <c r="AG181">
        <v>1.6620389999999901</v>
      </c>
      <c r="AH181">
        <v>302.38387938395198</v>
      </c>
      <c r="AI181">
        <v>89.685112485393205</v>
      </c>
      <c r="AJ181">
        <v>89.171598877183797</v>
      </c>
      <c r="AK181">
        <v>302.42005493579097</v>
      </c>
      <c r="AL181">
        <v>80.308491279782601</v>
      </c>
      <c r="AM181">
        <v>93.810771155811494</v>
      </c>
      <c r="AN181">
        <v>1.00000002564705</v>
      </c>
    </row>
    <row r="182" spans="1:40" x14ac:dyDescent="0.25">
      <c r="A182" t="str">
        <f>"20190304155316738"</f>
        <v>20190304155316738</v>
      </c>
      <c r="B182" t="str">
        <f>"1551685996735971"</f>
        <v>1551685996735971</v>
      </c>
      <c r="C182" t="s">
        <v>40</v>
      </c>
      <c r="D182">
        <v>4.2026719999999997</v>
      </c>
      <c r="E182">
        <v>0.52812079999999995</v>
      </c>
      <c r="F182" t="s">
        <v>41</v>
      </c>
      <c r="G182">
        <v>-158.19499999999999</v>
      </c>
      <c r="H182">
        <v>2.5260500000000001</v>
      </c>
      <c r="I182">
        <v>362.15910000000002</v>
      </c>
      <c r="J182">
        <v>-460.34339999999997</v>
      </c>
      <c r="K182">
        <v>1.1088960000000001</v>
      </c>
      <c r="L182">
        <v>367.18119999999999</v>
      </c>
      <c r="M182">
        <v>0.99999550000000004</v>
      </c>
      <c r="N182">
        <v>-1.3711299999999999E-3</v>
      </c>
      <c r="O182">
        <v>-2.642054E-3</v>
      </c>
      <c r="P182">
        <v>0.98399639999999999</v>
      </c>
      <c r="Q182">
        <v>0.1665711</v>
      </c>
      <c r="R182">
        <v>6.3287640000000006E-2</v>
      </c>
      <c r="S182">
        <v>3.0498050000000001</v>
      </c>
      <c r="T182">
        <v>1.429427E-2</v>
      </c>
      <c r="U182">
        <v>-5.0659179999999998E-2</v>
      </c>
      <c r="V182">
        <v>-6.5881239999999994E-2</v>
      </c>
      <c r="W182">
        <v>0.16792260000000001</v>
      </c>
      <c r="X182">
        <v>0.98359629999999998</v>
      </c>
      <c r="Y182">
        <v>1.396653E-2</v>
      </c>
      <c r="Z182" s="1">
        <v>7.1475770000000004E-6</v>
      </c>
      <c r="AA182">
        <v>0.99990250000000003</v>
      </c>
      <c r="AB182">
        <v>22</v>
      </c>
      <c r="AC182">
        <v>302.14839999999998</v>
      </c>
      <c r="AD182">
        <v>1.417154</v>
      </c>
      <c r="AE182">
        <v>-5.02209999999996</v>
      </c>
      <c r="AF182">
        <v>4.2236963873598903</v>
      </c>
      <c r="AG182">
        <v>1.417154</v>
      </c>
      <c r="AH182">
        <v>302.15396899822099</v>
      </c>
      <c r="AI182">
        <v>89.731301176240393</v>
      </c>
      <c r="AJ182">
        <v>89.199136065721206</v>
      </c>
      <c r="AK182">
        <v>302.18681129064902</v>
      </c>
      <c r="AL182">
        <v>80.332943551740499</v>
      </c>
      <c r="AM182">
        <v>93.831945373235996</v>
      </c>
      <c r="AN182">
        <v>1.0000000093741901</v>
      </c>
    </row>
    <row r="183" spans="1:40" x14ac:dyDescent="0.25">
      <c r="A183" t="str">
        <f>"20190304155316761"</f>
        <v>20190304155316761</v>
      </c>
      <c r="B183" t="str">
        <f>"1551685996755492"</f>
        <v>1551685996755492</v>
      </c>
      <c r="C183" t="s">
        <v>40</v>
      </c>
      <c r="D183">
        <v>4.2087050000000001</v>
      </c>
      <c r="E183">
        <v>0.52809459999999997</v>
      </c>
      <c r="F183" t="s">
        <v>41</v>
      </c>
      <c r="G183">
        <v>-158.19499999999999</v>
      </c>
      <c r="H183">
        <v>2.0696340000000002</v>
      </c>
      <c r="I183">
        <v>362.23579999999998</v>
      </c>
      <c r="J183">
        <v>-460.12880000000001</v>
      </c>
      <c r="K183">
        <v>1.108903</v>
      </c>
      <c r="L183">
        <v>367.1807</v>
      </c>
      <c r="M183">
        <v>0.99999550000000004</v>
      </c>
      <c r="N183">
        <v>-1.4365210000000001E-3</v>
      </c>
      <c r="O183">
        <v>-2.641624E-3</v>
      </c>
      <c r="P183">
        <v>0.98400900000000002</v>
      </c>
      <c r="Q183">
        <v>0.1663529</v>
      </c>
      <c r="R183">
        <v>6.3665890000000003E-2</v>
      </c>
      <c r="S183">
        <v>3.050354</v>
      </c>
      <c r="T183">
        <v>9.7000599999999999E-3</v>
      </c>
      <c r="U183">
        <v>-4.9926760000000001E-2</v>
      </c>
      <c r="V183">
        <v>-6.6259139999999994E-2</v>
      </c>
      <c r="W183">
        <v>0.1677689</v>
      </c>
      <c r="X183">
        <v>0.98359719999999995</v>
      </c>
      <c r="Y183">
        <v>1.3724E-2</v>
      </c>
      <c r="Z183" s="1">
        <v>-2.327688E-7</v>
      </c>
      <c r="AA183">
        <v>0.99990579999999996</v>
      </c>
      <c r="AB183">
        <v>22</v>
      </c>
      <c r="AC183">
        <v>301.93380000000002</v>
      </c>
      <c r="AD183">
        <v>0.960731</v>
      </c>
      <c r="AE183">
        <v>-4.9449000000000103</v>
      </c>
      <c r="AF183">
        <v>4.14724438980718</v>
      </c>
      <c r="AG183">
        <v>0.960731</v>
      </c>
      <c r="AH183">
        <v>301.94275285613298</v>
      </c>
      <c r="AI183">
        <v>89.817712285867103</v>
      </c>
      <c r="AJ183">
        <v>89.213080437197704</v>
      </c>
      <c r="AK183">
        <v>301.97276142464</v>
      </c>
      <c r="AL183">
        <v>80.3418771832647</v>
      </c>
      <c r="AM183">
        <v>93.853856150670794</v>
      </c>
      <c r="AN183">
        <v>1.0000000646442899</v>
      </c>
    </row>
    <row r="184" spans="1:40" x14ac:dyDescent="0.25">
      <c r="A184" t="str">
        <f>"20190304155316782"</f>
        <v>20190304155316782</v>
      </c>
      <c r="B184" t="str">
        <f>"1551685996775987"</f>
        <v>1551685996775987</v>
      </c>
      <c r="C184" t="s">
        <v>40</v>
      </c>
      <c r="D184">
        <v>4.2949390000000003</v>
      </c>
      <c r="E184">
        <v>0.52809609999999996</v>
      </c>
      <c r="F184" t="s">
        <v>41</v>
      </c>
      <c r="G184">
        <v>-158.19499999999999</v>
      </c>
      <c r="H184">
        <v>1.8347789999999999</v>
      </c>
      <c r="I184">
        <v>362.37220000000002</v>
      </c>
      <c r="J184">
        <v>-459.91750000000002</v>
      </c>
      <c r="K184">
        <v>1.108914</v>
      </c>
      <c r="L184">
        <v>367.18009999999998</v>
      </c>
      <c r="M184">
        <v>0.99999539999999998</v>
      </c>
      <c r="N184">
        <v>-1.504685E-3</v>
      </c>
      <c r="O184">
        <v>-2.6408410000000001E-3</v>
      </c>
      <c r="P184">
        <v>0.98396430000000001</v>
      </c>
      <c r="Q184">
        <v>0.1666175</v>
      </c>
      <c r="R184">
        <v>6.3664559999999995E-2</v>
      </c>
      <c r="S184">
        <v>3.050659</v>
      </c>
      <c r="T184">
        <v>7.334948E-3</v>
      </c>
      <c r="U184">
        <v>-4.8583979999999999E-2</v>
      </c>
      <c r="V184">
        <v>-6.6256750000000003E-2</v>
      </c>
      <c r="W184">
        <v>0.16810029999999901</v>
      </c>
      <c r="X184">
        <v>0.98354070000000005</v>
      </c>
      <c r="Y184">
        <v>1.328316E-2</v>
      </c>
      <c r="Z184" s="1">
        <v>-4.3488109999999999E-6</v>
      </c>
      <c r="AA184">
        <v>0.99991180000000002</v>
      </c>
      <c r="AB184">
        <v>22</v>
      </c>
      <c r="AC184">
        <v>301.72250000000003</v>
      </c>
      <c r="AD184">
        <v>0.72586499999999998</v>
      </c>
      <c r="AE184">
        <v>-4.8078999999999601</v>
      </c>
      <c r="AF184">
        <v>4.0110579908592197</v>
      </c>
      <c r="AG184">
        <v>0.72586499999999998</v>
      </c>
      <c r="AH184">
        <v>301.732398942511</v>
      </c>
      <c r="AI184">
        <v>89.862178384828198</v>
      </c>
      <c r="AJ184">
        <v>89.238387527727497</v>
      </c>
      <c r="AK184">
        <v>301.759931133686</v>
      </c>
      <c r="AL184">
        <v>80.322615068625893</v>
      </c>
      <c r="AM184">
        <v>93.853938270709193</v>
      </c>
      <c r="AN184">
        <v>0.99999998816857105</v>
      </c>
    </row>
    <row r="185" spans="1:40" x14ac:dyDescent="0.25">
      <c r="A185" t="str">
        <f>"20190304155316803"</f>
        <v>20190304155316803</v>
      </c>
      <c r="B185" t="str">
        <f>"1551685996795508"</f>
        <v>1551685996795508</v>
      </c>
      <c r="C185" t="s">
        <v>40</v>
      </c>
      <c r="D185">
        <v>4.2371610000000004</v>
      </c>
      <c r="E185">
        <v>0.52804770000000001</v>
      </c>
      <c r="F185" t="s">
        <v>41</v>
      </c>
      <c r="G185">
        <v>-158.19499999999999</v>
      </c>
      <c r="H185">
        <v>1.721241</v>
      </c>
      <c r="I185">
        <v>362.38760000000002</v>
      </c>
      <c r="J185">
        <v>-459.70150000000001</v>
      </c>
      <c r="K185">
        <v>1.1089209999999901</v>
      </c>
      <c r="L185">
        <v>367.17959999999999</v>
      </c>
      <c r="M185">
        <v>0.99999539999999998</v>
      </c>
      <c r="N185">
        <v>-1.5774090000000001E-3</v>
      </c>
      <c r="O185">
        <v>-2.640421E-3</v>
      </c>
      <c r="P185">
        <v>0.98396030000000001</v>
      </c>
      <c r="Q185">
        <v>0.16652639999999999</v>
      </c>
      <c r="R185">
        <v>6.3963880000000001E-2</v>
      </c>
      <c r="S185">
        <v>3.0509949999999999</v>
      </c>
      <c r="T185">
        <v>6.1926840000000004E-3</v>
      </c>
      <c r="U185">
        <v>-4.8461909999999997E-2</v>
      </c>
      <c r="V185">
        <v>-6.6555249999999996E-2</v>
      </c>
      <c r="W185">
        <v>0.1680806</v>
      </c>
      <c r="X185">
        <v>0.98352390000000001</v>
      </c>
      <c r="Y185">
        <v>1.324183E-2</v>
      </c>
      <c r="Z185" s="1">
        <v>-6.5305099999999901E-6</v>
      </c>
      <c r="AA185">
        <v>0.99991229999999998</v>
      </c>
      <c r="AB185">
        <v>22</v>
      </c>
      <c r="AC185">
        <v>301.50650000000002</v>
      </c>
      <c r="AD185">
        <v>0.61231999999999998</v>
      </c>
      <c r="AE185">
        <v>-4.7919999999999696</v>
      </c>
      <c r="AF185">
        <v>3.9958618378106201</v>
      </c>
      <c r="AG185">
        <v>0.61231999999999998</v>
      </c>
      <c r="AH185">
        <v>301.51685861240998</v>
      </c>
      <c r="AI185">
        <v>89.883654190268899</v>
      </c>
      <c r="AJ185">
        <v>89.240730292638702</v>
      </c>
      <c r="AK185">
        <v>301.54395678757197</v>
      </c>
      <c r="AL185">
        <v>80.323759964863498</v>
      </c>
      <c r="AM185">
        <v>93.871314287445301</v>
      </c>
      <c r="AN185">
        <v>0.99999997563506504</v>
      </c>
    </row>
    <row r="186" spans="1:40" x14ac:dyDescent="0.25">
      <c r="A186" t="str">
        <f>"20190304155316827"</f>
        <v>20190304155316827</v>
      </c>
      <c r="B186" t="str">
        <f>"1551685996816003"</f>
        <v>1551685996816003</v>
      </c>
      <c r="C186" t="s">
        <v>40</v>
      </c>
      <c r="D186">
        <v>4.2098199999999997</v>
      </c>
      <c r="E186">
        <v>0.52805159999999995</v>
      </c>
      <c r="F186" t="s">
        <v>41</v>
      </c>
      <c r="G186">
        <v>-158.19499999999999</v>
      </c>
      <c r="H186">
        <v>1.547758</v>
      </c>
      <c r="I186">
        <v>362.52050000000003</v>
      </c>
      <c r="J186">
        <v>-459.4563</v>
      </c>
      <c r="K186">
        <v>1.1089290000000001</v>
      </c>
      <c r="L186">
        <v>367.1789</v>
      </c>
      <c r="M186">
        <v>0.99999510000000003</v>
      </c>
      <c r="N186">
        <v>-1.661631E-3</v>
      </c>
      <c r="O186">
        <v>-2.6392989999999999E-3</v>
      </c>
      <c r="P186">
        <v>0.9839388</v>
      </c>
      <c r="Q186">
        <v>0.16668729999999901</v>
      </c>
      <c r="R186">
        <v>6.387226E-2</v>
      </c>
      <c r="S186">
        <v>3.0512079999999999</v>
      </c>
      <c r="T186">
        <v>4.4418569999999996E-3</v>
      </c>
      <c r="U186">
        <v>-4.7149660000000003E-2</v>
      </c>
      <c r="V186">
        <v>-6.6462869999999993E-2</v>
      </c>
      <c r="W186">
        <v>0.168324</v>
      </c>
      <c r="X186">
        <v>0.98348860000000005</v>
      </c>
      <c r="Y186">
        <v>1.2811909999999999E-2</v>
      </c>
      <c r="Z186" s="1">
        <v>-9.5472010000000001E-6</v>
      </c>
      <c r="AA186">
        <v>0.99991790000000003</v>
      </c>
      <c r="AB186">
        <v>22</v>
      </c>
      <c r="AC186">
        <v>301.26130000000001</v>
      </c>
      <c r="AD186">
        <v>0.43882899999999903</v>
      </c>
      <c r="AE186">
        <v>-4.6583999999999701</v>
      </c>
      <c r="AF186">
        <v>3.86325580532122</v>
      </c>
      <c r="AG186">
        <v>0.43882899999999903</v>
      </c>
      <c r="AH186">
        <v>301.27190655996401</v>
      </c>
      <c r="AI186">
        <v>89.916550583106201</v>
      </c>
      <c r="AJ186">
        <v>89.265327709409107</v>
      </c>
      <c r="AK186">
        <v>301.29699467234002</v>
      </c>
      <c r="AL186">
        <v>80.309613375869503</v>
      </c>
      <c r="AM186">
        <v>93.866095471033802</v>
      </c>
      <c r="AN186">
        <v>1.00000005419729</v>
      </c>
    </row>
    <row r="187" spans="1:40" x14ac:dyDescent="0.25">
      <c r="A187" t="str">
        <f>"20190304155316849"</f>
        <v>20190304155316849</v>
      </c>
      <c r="B187" t="str">
        <f>"1551685996846259"</f>
        <v>1551685996846259</v>
      </c>
      <c r="C187" t="s">
        <v>40</v>
      </c>
      <c r="D187">
        <v>4.228453</v>
      </c>
      <c r="E187">
        <v>0.52807809999999999</v>
      </c>
      <c r="F187" t="s">
        <v>41</v>
      </c>
      <c r="G187">
        <v>-158.19499999999999</v>
      </c>
      <c r="H187">
        <v>1.45756</v>
      </c>
      <c r="I187">
        <v>362.44560000000001</v>
      </c>
      <c r="J187">
        <v>-459.23660000000001</v>
      </c>
      <c r="K187">
        <v>1.108938</v>
      </c>
      <c r="L187">
        <v>367.17829999999998</v>
      </c>
      <c r="M187">
        <v>0.99999510000000003</v>
      </c>
      <c r="N187">
        <v>-1.7391100000000001E-3</v>
      </c>
      <c r="O187">
        <v>-2.638413E-3</v>
      </c>
      <c r="P187">
        <v>0.98388339999999996</v>
      </c>
      <c r="Q187">
        <v>0.1670035</v>
      </c>
      <c r="R187">
        <v>6.3900869999999999E-2</v>
      </c>
      <c r="S187">
        <v>3.0514830000000002</v>
      </c>
      <c r="T187">
        <v>3.5321710000000002E-3</v>
      </c>
      <c r="U187">
        <v>-4.7943119999999999E-2</v>
      </c>
      <c r="V187">
        <v>-6.648975E-2</v>
      </c>
      <c r="W187">
        <v>0.16871649999999999</v>
      </c>
      <c r="X187">
        <v>0.9834195</v>
      </c>
      <c r="Y187">
        <v>1.3071350000000001E-2</v>
      </c>
      <c r="Z187" s="1">
        <v>-1.1444269999999999E-5</v>
      </c>
      <c r="AA187">
        <v>0.99991459999999999</v>
      </c>
      <c r="AB187">
        <v>23</v>
      </c>
      <c r="AC187">
        <v>301.04160000000002</v>
      </c>
      <c r="AD187">
        <v>0.34862199999999999</v>
      </c>
      <c r="AE187">
        <v>-4.7326999999999604</v>
      </c>
      <c r="AF187">
        <v>3.9384050484459898</v>
      </c>
      <c r="AG187">
        <v>0.34862199999999999</v>
      </c>
      <c r="AH187">
        <v>301.05263538360703</v>
      </c>
      <c r="AI187">
        <v>89.933656613661498</v>
      </c>
      <c r="AJ187">
        <v>89.250492807060098</v>
      </c>
      <c r="AK187">
        <v>301.07859745096403</v>
      </c>
      <c r="AL187">
        <v>80.286798238368803</v>
      </c>
      <c r="AM187">
        <v>93.867925251911302</v>
      </c>
      <c r="AN187">
        <v>1.00000002860378</v>
      </c>
    </row>
    <row r="188" spans="1:40" x14ac:dyDescent="0.25">
      <c r="A188" t="str">
        <f>"20190304155316882"</f>
        <v>20190304155316882</v>
      </c>
      <c r="B188" t="str">
        <f>"1551685996875539"</f>
        <v>1551685996875539</v>
      </c>
      <c r="C188" t="s">
        <v>40</v>
      </c>
      <c r="D188">
        <v>4.2448129999999997</v>
      </c>
      <c r="E188">
        <v>0.52814459999999996</v>
      </c>
      <c r="F188" t="s">
        <v>41</v>
      </c>
      <c r="G188">
        <v>-158.19499999999999</v>
      </c>
      <c r="H188">
        <v>1.355062</v>
      </c>
      <c r="I188">
        <v>362.428</v>
      </c>
      <c r="J188">
        <v>-458.89420000000001</v>
      </c>
      <c r="K188">
        <v>1.108954</v>
      </c>
      <c r="L188">
        <v>367.17739999999998</v>
      </c>
      <c r="M188">
        <v>0.99999490000000002</v>
      </c>
      <c r="N188">
        <v>-1.8638439999999999E-3</v>
      </c>
      <c r="O188">
        <v>-2.637454E-3</v>
      </c>
      <c r="P188">
        <v>0.9839715</v>
      </c>
      <c r="Q188">
        <v>0.16656860000000001</v>
      </c>
      <c r="R188">
        <v>6.3680210000000001E-2</v>
      </c>
      <c r="S188">
        <v>3.0518489999999998</v>
      </c>
      <c r="T188">
        <v>2.496004E-3</v>
      </c>
      <c r="U188">
        <v>-4.8156740000000003E-2</v>
      </c>
      <c r="V188">
        <v>-6.6268720000000003E-2</v>
      </c>
      <c r="W188">
        <v>0.16840439999999901</v>
      </c>
      <c r="X188">
        <v>0.98348789999999997</v>
      </c>
      <c r="Y188">
        <v>1.314039E-2</v>
      </c>
      <c r="Z188" s="1">
        <v>-1.394585E-5</v>
      </c>
      <c r="AA188">
        <v>0.99991359999999996</v>
      </c>
      <c r="AB188">
        <v>23</v>
      </c>
      <c r="AC188">
        <v>300.69920000000002</v>
      </c>
      <c r="AD188">
        <v>0.24610799999999999</v>
      </c>
      <c r="AE188">
        <v>-4.7493999999999197</v>
      </c>
      <c r="AF188">
        <v>3.9562992374517401</v>
      </c>
      <c r="AG188">
        <v>0.24610799999999999</v>
      </c>
      <c r="AH188">
        <v>300.710479097703</v>
      </c>
      <c r="AI188">
        <v>89.953111955508902</v>
      </c>
      <c r="AJ188">
        <v>89.246231219071106</v>
      </c>
      <c r="AK188">
        <v>300.73660421035203</v>
      </c>
      <c r="AL188">
        <v>80.304939722543807</v>
      </c>
      <c r="AM188">
        <v>93.854838745379695</v>
      </c>
      <c r="AN188">
        <v>1.0000000173181001</v>
      </c>
    </row>
    <row r="189" spans="1:40" x14ac:dyDescent="0.25">
      <c r="A189" t="str">
        <f>"20190304155316903"</f>
        <v>20190304155316903</v>
      </c>
      <c r="B189" t="str">
        <f>"1551685996896035"</f>
        <v>1551685996896035</v>
      </c>
      <c r="C189" t="s">
        <v>40</v>
      </c>
      <c r="D189">
        <v>4.2844300000000004</v>
      </c>
      <c r="E189">
        <v>0.52823739999999997</v>
      </c>
      <c r="F189" t="s">
        <v>41</v>
      </c>
      <c r="G189">
        <v>-158.19499999999999</v>
      </c>
      <c r="H189">
        <v>0.99775510000000001</v>
      </c>
      <c r="I189">
        <v>362.38499999999999</v>
      </c>
      <c r="J189">
        <v>-458.6721</v>
      </c>
      <c r="K189">
        <v>1.1089549999999999</v>
      </c>
      <c r="L189">
        <v>367.17680000000001</v>
      </c>
      <c r="M189">
        <v>0.99999459999999996</v>
      </c>
      <c r="N189">
        <v>-1.947306E-3</v>
      </c>
      <c r="O189">
        <v>-2.636701E-3</v>
      </c>
      <c r="P189">
        <v>0.98399329999999996</v>
      </c>
      <c r="Q189">
        <v>0.16638120000000001</v>
      </c>
      <c r="R189">
        <v>6.3831949999999998E-2</v>
      </c>
      <c r="S189">
        <v>3.0522459999999998</v>
      </c>
      <c r="T189">
        <v>-1.1278389999999901E-3</v>
      </c>
      <c r="U189">
        <v>-4.8645019999999997E-2</v>
      </c>
      <c r="V189">
        <v>-6.6420019999999996E-2</v>
      </c>
      <c r="W189">
        <v>0.16829910000000001</v>
      </c>
      <c r="X189">
        <v>0.98349569999999997</v>
      </c>
      <c r="Y189">
        <v>1.3299E-2</v>
      </c>
      <c r="Z189" s="1">
        <v>-1.956631E-5</v>
      </c>
      <c r="AA189">
        <v>0.99991149999999995</v>
      </c>
      <c r="AB189">
        <v>23</v>
      </c>
      <c r="AC189">
        <v>300.47710000000001</v>
      </c>
      <c r="AD189">
        <v>-0.1111999</v>
      </c>
      <c r="AE189">
        <v>-4.7918000000000198</v>
      </c>
      <c r="AF189">
        <v>3.99951300123749</v>
      </c>
      <c r="AG189">
        <v>-0.1111999</v>
      </c>
      <c r="AH189">
        <v>300.48864893132401</v>
      </c>
      <c r="AI189">
        <v>90.021201201444896</v>
      </c>
      <c r="AJ189">
        <v>89.237436471597505</v>
      </c>
      <c r="AK189">
        <v>300.51528514575898</v>
      </c>
      <c r="AL189">
        <v>80.311060148492899</v>
      </c>
      <c r="AM189">
        <v>93.863582662663106</v>
      </c>
      <c r="AN189">
        <v>0.99999999901805003</v>
      </c>
    </row>
    <row r="190" spans="1:40" x14ac:dyDescent="0.25">
      <c r="A190" t="str">
        <f>"20190304155316928"</f>
        <v>20190304155316928</v>
      </c>
      <c r="B190" t="str">
        <f>"1551685996926291"</f>
        <v>1551685996926291</v>
      </c>
      <c r="C190" t="s">
        <v>40</v>
      </c>
      <c r="D190">
        <v>4.28294</v>
      </c>
      <c r="E190">
        <v>0.52832159999999995</v>
      </c>
      <c r="F190" t="s">
        <v>41</v>
      </c>
      <c r="G190">
        <v>-158.19499999999999</v>
      </c>
      <c r="H190">
        <v>0.81225539999999996</v>
      </c>
      <c r="I190">
        <v>362.31029999999998</v>
      </c>
      <c r="J190">
        <v>-458.41629999999998</v>
      </c>
      <c r="K190">
        <v>1.1089629999999999</v>
      </c>
      <c r="L190">
        <v>367.17610000000002</v>
      </c>
      <c r="M190">
        <v>0.99999450000000001</v>
      </c>
      <c r="N190">
        <v>-2.0439170000000001E-3</v>
      </c>
      <c r="O190">
        <v>-2.6359640000000002E-3</v>
      </c>
      <c r="P190">
        <v>0.98406309999999997</v>
      </c>
      <c r="Q190">
        <v>0.16599739999999999</v>
      </c>
      <c r="R190">
        <v>6.375372E-2</v>
      </c>
      <c r="S190">
        <v>3.052521</v>
      </c>
      <c r="T190">
        <v>-3.013253E-3</v>
      </c>
      <c r="U190">
        <v>-4.943848E-2</v>
      </c>
      <c r="V190">
        <v>-6.6341239999999996E-2</v>
      </c>
      <c r="W190">
        <v>0.16801099999999999</v>
      </c>
      <c r="X190">
        <v>0.98355029999999999</v>
      </c>
      <c r="Y190">
        <v>1.355813E-2</v>
      </c>
      <c r="Z190" s="1">
        <v>-2.3333710000000001E-5</v>
      </c>
      <c r="AA190">
        <v>0.99990809999999997</v>
      </c>
      <c r="AB190">
        <v>23</v>
      </c>
      <c r="AC190">
        <v>300.22129999999999</v>
      </c>
      <c r="AD190">
        <v>-0.29670760000000002</v>
      </c>
      <c r="AE190">
        <v>-4.8658000000000303</v>
      </c>
      <c r="AF190">
        <v>4.07440497479553</v>
      </c>
      <c r="AG190">
        <v>-0.29670760000000002</v>
      </c>
      <c r="AH190">
        <v>300.23278990957903</v>
      </c>
      <c r="AI190">
        <v>90.056617808096902</v>
      </c>
      <c r="AJ190">
        <v>89.222497050717294</v>
      </c>
      <c r="AK190">
        <v>300.26058174223903</v>
      </c>
      <c r="AL190">
        <v>80.327805755431299</v>
      </c>
      <c r="AM190">
        <v>93.858800388424299</v>
      </c>
      <c r="AN190">
        <v>1.0000000244379099</v>
      </c>
    </row>
    <row r="191" spans="1:40" x14ac:dyDescent="0.25">
      <c r="A191" t="str">
        <f>"20190304155316950"</f>
        <v>20190304155316950</v>
      </c>
      <c r="B191" t="str">
        <f>"1551685996945811"</f>
        <v>1551685996945811</v>
      </c>
      <c r="C191" t="s">
        <v>40</v>
      </c>
      <c r="D191">
        <v>4.3211459999999997</v>
      </c>
      <c r="E191">
        <v>0.52833109999999905</v>
      </c>
      <c r="F191" t="s">
        <v>41</v>
      </c>
      <c r="G191">
        <v>-158.19499999999999</v>
      </c>
      <c r="H191">
        <v>0.50030850000000004</v>
      </c>
      <c r="I191">
        <v>362.19139999999999</v>
      </c>
      <c r="J191">
        <v>-458.1825</v>
      </c>
      <c r="K191">
        <v>1.1089719999999901</v>
      </c>
      <c r="L191">
        <v>367.1755</v>
      </c>
      <c r="M191">
        <v>0.99999420000000006</v>
      </c>
      <c r="N191">
        <v>-2.13269E-3</v>
      </c>
      <c r="O191">
        <v>-2.6353430000000001E-3</v>
      </c>
      <c r="P191">
        <v>0.98415810000000004</v>
      </c>
      <c r="Q191">
        <v>0.16544449999999999</v>
      </c>
      <c r="R191">
        <v>6.3727389999999995E-2</v>
      </c>
      <c r="S191">
        <v>3.0529480000000002</v>
      </c>
      <c r="T191">
        <v>-6.1885119999999898E-3</v>
      </c>
      <c r="U191">
        <v>-5.0689699999999997E-2</v>
      </c>
      <c r="V191">
        <v>-6.6314699999999893E-2</v>
      </c>
      <c r="W191">
        <v>0.1675451</v>
      </c>
      <c r="X191">
        <v>0.98363160000000005</v>
      </c>
      <c r="Y191">
        <v>1.396614E-2</v>
      </c>
      <c r="Z191" s="1">
        <v>-2.932634E-5</v>
      </c>
      <c r="AA191">
        <v>0.99990250000000003</v>
      </c>
      <c r="AB191">
        <v>23</v>
      </c>
      <c r="AC191">
        <v>299.98750000000001</v>
      </c>
      <c r="AD191">
        <v>-0.60866349999999902</v>
      </c>
      <c r="AE191">
        <v>-4.9841000000000104</v>
      </c>
      <c r="AF191">
        <v>4.1934936357255603</v>
      </c>
      <c r="AG191">
        <v>-0.60866349999999902</v>
      </c>
      <c r="AH191">
        <v>299.99835846592299</v>
      </c>
      <c r="AI191">
        <v>90.116235286885697</v>
      </c>
      <c r="AJ191">
        <v>89.199149486600405</v>
      </c>
      <c r="AK191">
        <v>300.02828357069501</v>
      </c>
      <c r="AL191">
        <v>80.354884062174094</v>
      </c>
      <c r="AM191">
        <v>93.8569434739928</v>
      </c>
      <c r="AN191">
        <v>1.0000000622443199</v>
      </c>
    </row>
    <row r="192" spans="1:40" x14ac:dyDescent="0.25">
      <c r="A192" t="str">
        <f>"20190304155316972"</f>
        <v>20190304155316972</v>
      </c>
      <c r="B192" t="str">
        <f>"1551685996966307"</f>
        <v>1551685996966307</v>
      </c>
      <c r="C192" t="s">
        <v>40</v>
      </c>
      <c r="D192">
        <v>4.4111129999999896</v>
      </c>
      <c r="E192">
        <v>0.52838099999999999</v>
      </c>
      <c r="F192" t="s">
        <v>41</v>
      </c>
      <c r="G192">
        <v>-158.19499999999999</v>
      </c>
      <c r="H192">
        <v>0.2487917</v>
      </c>
      <c r="I192">
        <v>362.23970000000003</v>
      </c>
      <c r="J192">
        <v>-457.95139999999998</v>
      </c>
      <c r="K192">
        <v>1.108981</v>
      </c>
      <c r="L192">
        <v>367.17489999999998</v>
      </c>
      <c r="M192">
        <v>0.99999400000000005</v>
      </c>
      <c r="N192">
        <v>-2.220367E-3</v>
      </c>
      <c r="O192">
        <v>-2.6346049999999999E-3</v>
      </c>
      <c r="P192">
        <v>0.98422180000000004</v>
      </c>
      <c r="Q192">
        <v>0.1651328</v>
      </c>
      <c r="R192">
        <v>6.3550410000000002E-2</v>
      </c>
      <c r="S192">
        <v>3.0529790000000001</v>
      </c>
      <c r="T192">
        <v>-8.7531810000000005E-3</v>
      </c>
      <c r="U192">
        <v>-5.0231930000000001E-2</v>
      </c>
      <c r="V192">
        <v>-6.6136689999999998E-2</v>
      </c>
      <c r="W192">
        <v>0.16732</v>
      </c>
      <c r="X192">
        <v>0.9836819</v>
      </c>
      <c r="Y192">
        <v>1.3816780000000001E-2</v>
      </c>
      <c r="Z192" s="1">
        <v>-3.344225E-5</v>
      </c>
      <c r="AA192">
        <v>0.99990460000000003</v>
      </c>
      <c r="AB192">
        <v>24</v>
      </c>
      <c r="AC192">
        <v>299.75639999999999</v>
      </c>
      <c r="AD192">
        <v>-0.86018930000000005</v>
      </c>
      <c r="AE192">
        <v>-4.9351999999999503</v>
      </c>
      <c r="AF192">
        <v>4.1454070369157003</v>
      </c>
      <c r="AG192">
        <v>-0.86018930000000005</v>
      </c>
      <c r="AH192">
        <v>299.76589416994801</v>
      </c>
      <c r="AI192">
        <v>90.164396184868806</v>
      </c>
      <c r="AJ192">
        <v>89.207717777453198</v>
      </c>
      <c r="AK192">
        <v>299.79578988478499</v>
      </c>
      <c r="AL192">
        <v>80.367966012566797</v>
      </c>
      <c r="AM192">
        <v>93.846425215578904</v>
      </c>
      <c r="AN192">
        <v>1.00000006227588</v>
      </c>
    </row>
    <row r="193" spans="1:40" x14ac:dyDescent="0.25">
      <c r="A193" t="str">
        <f>"20190304155316993"</f>
        <v>20190304155316993</v>
      </c>
      <c r="B193" t="str">
        <f>"1551685996985828"</f>
        <v>1551685996985828</v>
      </c>
      <c r="C193" t="s">
        <v>40</v>
      </c>
      <c r="D193">
        <v>4.4374750000000001</v>
      </c>
      <c r="E193">
        <v>0.52844729999999995</v>
      </c>
      <c r="F193" t="s">
        <v>45</v>
      </c>
      <c r="G193">
        <v>-177.67619999999999</v>
      </c>
      <c r="H193">
        <v>7.998798E-2</v>
      </c>
      <c r="I193">
        <v>362.46589999999998</v>
      </c>
      <c r="J193">
        <v>-457.72660000000002</v>
      </c>
      <c r="K193">
        <v>1.108992</v>
      </c>
      <c r="L193">
        <v>367.17430000000002</v>
      </c>
      <c r="M193">
        <v>0.99999389999999999</v>
      </c>
      <c r="N193">
        <v>-2.3052509999999999E-3</v>
      </c>
      <c r="O193">
        <v>-2.633748E-3</v>
      </c>
      <c r="P193">
        <v>0.98425770000000001</v>
      </c>
      <c r="Q193">
        <v>0.16480999999999901</v>
      </c>
      <c r="R193">
        <v>6.383142E-2</v>
      </c>
      <c r="S193">
        <v>3.0532840000000001</v>
      </c>
      <c r="T193">
        <v>-1.1209729999999999E-2</v>
      </c>
      <c r="U193">
        <v>-5.130005E-2</v>
      </c>
      <c r="V193">
        <v>-6.6417550000000006E-2</v>
      </c>
      <c r="W193">
        <v>0.1670807</v>
      </c>
      <c r="X193">
        <v>0.98370360000000001</v>
      </c>
      <c r="Y193">
        <v>1.416563E-2</v>
      </c>
      <c r="Z193" s="1">
        <v>-3.8733019999999998E-5</v>
      </c>
      <c r="AA193">
        <v>0.99989969999999995</v>
      </c>
      <c r="AB193">
        <v>24</v>
      </c>
      <c r="AC193">
        <v>280.05040000000002</v>
      </c>
      <c r="AD193">
        <v>-1.0290040199999999</v>
      </c>
      <c r="AE193">
        <v>-4.7084000000000401</v>
      </c>
      <c r="AF193">
        <v>3.9707459543222501</v>
      </c>
      <c r="AG193">
        <v>-1.0290040199999999</v>
      </c>
      <c r="AH193">
        <v>280.05804950333601</v>
      </c>
      <c r="AI193">
        <v>90.210497063979403</v>
      </c>
      <c r="AJ193">
        <v>89.187697899956504</v>
      </c>
      <c r="AK193">
        <v>280.08808750876898</v>
      </c>
      <c r="AL193">
        <v>80.381872167853103</v>
      </c>
      <c r="AM193">
        <v>93.862625377144795</v>
      </c>
      <c r="AN193">
        <v>1.0000000119567201</v>
      </c>
    </row>
    <row r="194" spans="1:40" x14ac:dyDescent="0.25">
      <c r="A194" t="str">
        <f>"20190304155317016"</f>
        <v>20190304155317016</v>
      </c>
      <c r="B194" t="str">
        <f>"1551685997006324"</f>
        <v>1551685997006324</v>
      </c>
      <c r="C194" t="s">
        <v>40</v>
      </c>
      <c r="D194">
        <v>4.4016699999999904</v>
      </c>
      <c r="E194">
        <v>0.53301790000000004</v>
      </c>
      <c r="F194" t="s">
        <v>46</v>
      </c>
      <c r="G194">
        <v>-215.44030000000001</v>
      </c>
      <c r="H194" s="1">
        <v>-3.2641089999999998E-6</v>
      </c>
      <c r="I194">
        <v>363.12819999999999</v>
      </c>
      <c r="J194">
        <v>-457.48050000000001</v>
      </c>
      <c r="K194">
        <v>1.1089990000000001</v>
      </c>
      <c r="L194">
        <v>367.1737</v>
      </c>
      <c r="M194">
        <v>0.99999380000000004</v>
      </c>
      <c r="N194">
        <v>-2.4000129999999999E-3</v>
      </c>
      <c r="O194">
        <v>-2.6299230000000002E-3</v>
      </c>
      <c r="P194">
        <v>0.98433740000000003</v>
      </c>
      <c r="Q194">
        <v>0.16437170000000001</v>
      </c>
      <c r="R194">
        <v>6.3735130000000001E-2</v>
      </c>
      <c r="S194">
        <v>3.0536189999999999</v>
      </c>
      <c r="T194">
        <v>-1.397705E-2</v>
      </c>
      <c r="U194">
        <v>-5.0994869999999998E-2</v>
      </c>
      <c r="V194">
        <v>-6.6317829999999994E-2</v>
      </c>
      <c r="W194">
        <v>0.1667351</v>
      </c>
      <c r="X194">
        <v>0.98376889999999995</v>
      </c>
      <c r="Y194">
        <v>1.4067649999999999E-2</v>
      </c>
      <c r="Z194" s="1">
        <v>-4.3350180000000002E-5</v>
      </c>
      <c r="AA194">
        <v>0.99990109999999999</v>
      </c>
      <c r="AB194">
        <v>24</v>
      </c>
      <c r="AC194">
        <v>242.0402</v>
      </c>
      <c r="AD194">
        <v>-1.109002264109</v>
      </c>
      <c r="AE194">
        <v>-4.0454999999999997</v>
      </c>
      <c r="AF194">
        <v>3.40886563054559</v>
      </c>
      <c r="AG194">
        <v>-1.109002264109</v>
      </c>
      <c r="AH194">
        <v>242.04492233218801</v>
      </c>
      <c r="AI194">
        <v>90.262490133645301</v>
      </c>
      <c r="AJ194">
        <v>89.193122087182104</v>
      </c>
      <c r="AK194">
        <v>242.07146605435301</v>
      </c>
      <c r="AL194">
        <v>80.401954689505899</v>
      </c>
      <c r="AM194">
        <v>93.8565882729051</v>
      </c>
      <c r="AN194">
        <v>0.99999994837756301</v>
      </c>
    </row>
    <row r="195" spans="1:40" x14ac:dyDescent="0.25">
      <c r="A195" t="str">
        <f>"20190304155317038"</f>
        <v>20190304155317038</v>
      </c>
      <c r="B195" t="str">
        <f>"1551685997035603"</f>
        <v>1551685997035603</v>
      </c>
      <c r="C195" t="s">
        <v>40</v>
      </c>
      <c r="D195">
        <v>4.3673869999999999</v>
      </c>
      <c r="E195">
        <v>0.53047500000000003</v>
      </c>
      <c r="F195" t="s">
        <v>47</v>
      </c>
      <c r="G195">
        <v>-425.21100000000001</v>
      </c>
      <c r="H195">
        <v>-0.05</v>
      </c>
      <c r="I195">
        <v>366.22030000000001</v>
      </c>
      <c r="J195">
        <v>-457.23719999999997</v>
      </c>
      <c r="K195">
        <v>1.1090089999999999</v>
      </c>
      <c r="L195">
        <v>367.17309999999998</v>
      </c>
      <c r="M195">
        <v>0.99999360000000004</v>
      </c>
      <c r="N195">
        <v>-2.4982519999999999E-3</v>
      </c>
      <c r="O195">
        <v>-2.6200199999999998E-3</v>
      </c>
      <c r="P195">
        <v>0.98437240000000004</v>
      </c>
      <c r="Q195">
        <v>0.16414500000000001</v>
      </c>
      <c r="R195">
        <v>6.3778710000000002E-2</v>
      </c>
      <c r="S195">
        <v>3.0720209999999999</v>
      </c>
      <c r="T195">
        <v>-0.11033560000000001</v>
      </c>
      <c r="U195">
        <v>-9.0759279999999998E-2</v>
      </c>
      <c r="V195">
        <v>-6.6353560000000006E-2</v>
      </c>
      <c r="W195">
        <v>0.1666049</v>
      </c>
      <c r="X195">
        <v>0.98378860000000001</v>
      </c>
      <c r="Y195">
        <v>2.6894890000000001E-2</v>
      </c>
      <c r="Z195">
        <v>-4.2882800000000002E-4</v>
      </c>
      <c r="AA195">
        <v>0.99963820000000003</v>
      </c>
      <c r="AB195">
        <v>24</v>
      </c>
      <c r="AC195">
        <v>32.026199999999903</v>
      </c>
      <c r="AD195">
        <v>-1.159009</v>
      </c>
      <c r="AE195">
        <v>-0.95279999999996801</v>
      </c>
      <c r="AF195">
        <v>0.86775173037979703</v>
      </c>
      <c r="AG195">
        <v>-1.159009</v>
      </c>
      <c r="AH195">
        <v>31.986731334968798</v>
      </c>
      <c r="AI195">
        <v>92.074388094901195</v>
      </c>
      <c r="AJ195">
        <v>88.446033143675393</v>
      </c>
      <c r="AK195">
        <v>32.019482763204202</v>
      </c>
      <c r="AL195">
        <v>80.409520910160893</v>
      </c>
      <c r="AM195">
        <v>93.858582773564606</v>
      </c>
      <c r="AN195">
        <v>0.99999999855932098</v>
      </c>
    </row>
    <row r="196" spans="1:40" x14ac:dyDescent="0.25">
      <c r="A196" t="str">
        <f>"20190304155317061"</f>
        <v>20190304155317061</v>
      </c>
      <c r="B196" t="str">
        <f>"1551685997056100"</f>
        <v>1551685997056100</v>
      </c>
      <c r="C196" t="s">
        <v>40</v>
      </c>
      <c r="D196">
        <v>4.3550199999999997</v>
      </c>
      <c r="E196">
        <v>0.53072299999999994</v>
      </c>
      <c r="F196" t="s">
        <v>47</v>
      </c>
      <c r="G196">
        <v>-415.75470000000001</v>
      </c>
      <c r="H196">
        <v>-0.05</v>
      </c>
      <c r="I196">
        <v>366.23509999999999</v>
      </c>
      <c r="J196">
        <v>-456.98599999999999</v>
      </c>
      <c r="K196">
        <v>1.1090279999999999</v>
      </c>
      <c r="L196">
        <v>367.17250000000001</v>
      </c>
      <c r="M196">
        <v>0.99999340000000003</v>
      </c>
      <c r="N196">
        <v>-2.604164E-3</v>
      </c>
      <c r="O196">
        <v>-2.5997490000000002E-3</v>
      </c>
      <c r="P196">
        <v>0.98449920000000002</v>
      </c>
      <c r="Q196">
        <v>0.16345789999999999</v>
      </c>
      <c r="R196">
        <v>6.3585450000000002E-2</v>
      </c>
      <c r="S196">
        <v>3.0664060000000002</v>
      </c>
      <c r="T196">
        <v>-8.5674410000000006E-2</v>
      </c>
      <c r="U196">
        <v>-6.9335939999999999E-2</v>
      </c>
      <c r="V196">
        <v>-6.6143430000000003E-2</v>
      </c>
      <c r="W196">
        <v>0.16602140000000001</v>
      </c>
      <c r="X196">
        <v>0.98390140000000004</v>
      </c>
      <c r="Y196">
        <v>1.9998829999999999E-2</v>
      </c>
      <c r="Z196">
        <v>-2.3949529999999999E-4</v>
      </c>
      <c r="AA196">
        <v>0.99980000000000002</v>
      </c>
      <c r="AB196">
        <v>24</v>
      </c>
      <c r="AC196">
        <v>41.231299999999898</v>
      </c>
      <c r="AD196">
        <v>-1.1590279999999999</v>
      </c>
      <c r="AE196">
        <v>-0.93740000000002499</v>
      </c>
      <c r="AF196">
        <v>0.82955028888406701</v>
      </c>
      <c r="AG196">
        <v>-1.1590279999999999</v>
      </c>
      <c r="AH196">
        <v>41.201057662118302</v>
      </c>
      <c r="AI196">
        <v>91.6110377247321</v>
      </c>
      <c r="AJ196">
        <v>88.846551227644696</v>
      </c>
      <c r="AK196">
        <v>41.225703778877701</v>
      </c>
      <c r="AL196">
        <v>80.443425310629394</v>
      </c>
      <c r="AM196">
        <v>93.845960412490498</v>
      </c>
      <c r="AN196">
        <v>1.0000000117560399</v>
      </c>
    </row>
    <row r="197" spans="1:40" x14ac:dyDescent="0.25">
      <c r="A197" t="str">
        <f>"20190304155317084"</f>
        <v>20190304155317084</v>
      </c>
      <c r="B197" t="str">
        <f>"1551685997075619"</f>
        <v>1551685997075619</v>
      </c>
      <c r="C197" t="s">
        <v>40</v>
      </c>
      <c r="D197">
        <v>4.4467540000000003</v>
      </c>
      <c r="E197">
        <v>0.53175620000000001</v>
      </c>
      <c r="F197" t="s">
        <v>47</v>
      </c>
      <c r="G197">
        <v>-415.47629999999998</v>
      </c>
      <c r="H197">
        <v>-0.05</v>
      </c>
      <c r="I197">
        <v>366.20650000000001</v>
      </c>
      <c r="J197">
        <v>-456.74509999999998</v>
      </c>
      <c r="K197">
        <v>1.109048</v>
      </c>
      <c r="L197">
        <v>367.17180000000002</v>
      </c>
      <c r="M197">
        <v>0.99999309999999997</v>
      </c>
      <c r="N197">
        <v>-2.7087080000000002E-3</v>
      </c>
      <c r="O197">
        <v>-2.5649269999999998E-3</v>
      </c>
      <c r="P197">
        <v>0.98450800000000005</v>
      </c>
      <c r="Q197">
        <v>0.16322220000000001</v>
      </c>
      <c r="R197">
        <v>6.4051499999999997E-2</v>
      </c>
      <c r="S197">
        <v>3.0661010000000002</v>
      </c>
      <c r="T197">
        <v>-8.5611220000000002E-2</v>
      </c>
      <c r="U197">
        <v>-7.13501E-2</v>
      </c>
      <c r="V197">
        <v>-6.6579410000000006E-2</v>
      </c>
      <c r="W197">
        <v>0.1658869</v>
      </c>
      <c r="X197">
        <v>0.98389459999999995</v>
      </c>
      <c r="Y197">
        <v>2.069199E-2</v>
      </c>
      <c r="Z197">
        <v>-2.5217030000000001E-4</v>
      </c>
      <c r="AA197">
        <v>0.99978579999999995</v>
      </c>
      <c r="AB197">
        <v>24</v>
      </c>
      <c r="AC197">
        <v>41.268799999999999</v>
      </c>
      <c r="AD197">
        <v>-1.1590479999999901</v>
      </c>
      <c r="AE197">
        <v>-0.96530000000001304</v>
      </c>
      <c r="AF197">
        <v>0.858767969431947</v>
      </c>
      <c r="AG197">
        <v>-1.1590479999999901</v>
      </c>
      <c r="AH197">
        <v>41.238629517045801</v>
      </c>
      <c r="AI197">
        <v>91.609575738078206</v>
      </c>
      <c r="AJ197">
        <v>88.807024622647702</v>
      </c>
      <c r="AK197">
        <v>41.263851482087702</v>
      </c>
      <c r="AL197">
        <v>80.451239192628904</v>
      </c>
      <c r="AM197">
        <v>93.871260647158493</v>
      </c>
      <c r="AN197">
        <v>0.99999993266835596</v>
      </c>
    </row>
    <row r="198" spans="1:40" x14ac:dyDescent="0.25">
      <c r="A198" t="str">
        <f>"20190304155317104"</f>
        <v>20190304155317104</v>
      </c>
      <c r="B198" t="str">
        <f>"1551685997096116"</f>
        <v>1551685997096116</v>
      </c>
      <c r="C198" t="s">
        <v>40</v>
      </c>
      <c r="D198">
        <v>4.3232540000000004</v>
      </c>
      <c r="E198">
        <v>0.53135189999999999</v>
      </c>
      <c r="F198" t="s">
        <v>47</v>
      </c>
      <c r="G198">
        <v>-416.41410000000002</v>
      </c>
      <c r="H198">
        <v>-0.05</v>
      </c>
      <c r="I198">
        <v>366.14319999999998</v>
      </c>
      <c r="J198">
        <v>-456.5034</v>
      </c>
      <c r="K198">
        <v>1.1090709999999999</v>
      </c>
      <c r="L198">
        <v>367.17129999999997</v>
      </c>
      <c r="M198">
        <v>0.99999300000000002</v>
      </c>
      <c r="N198">
        <v>-2.8143759999999999E-3</v>
      </c>
      <c r="O198">
        <v>-2.513412E-3</v>
      </c>
      <c r="P198">
        <v>0.98457059999999996</v>
      </c>
      <c r="Q198">
        <v>0.16271179999999999</v>
      </c>
      <c r="R198">
        <v>6.4389589999999997E-2</v>
      </c>
      <c r="S198">
        <v>3.0668950000000001</v>
      </c>
      <c r="T198">
        <v>-8.8137629999999995E-2</v>
      </c>
      <c r="U198">
        <v>-7.8216549999999996E-2</v>
      </c>
      <c r="V198">
        <v>-6.6871639999999996E-2</v>
      </c>
      <c r="W198">
        <v>0.16547819999999999</v>
      </c>
      <c r="X198">
        <v>0.98394360000000003</v>
      </c>
      <c r="Y198">
        <v>2.2972969999999999E-2</v>
      </c>
      <c r="Z198">
        <v>-2.9718840000000002E-4</v>
      </c>
      <c r="AA198">
        <v>0.99973610000000002</v>
      </c>
      <c r="AB198">
        <v>25</v>
      </c>
      <c r="AC198">
        <v>40.089299999999902</v>
      </c>
      <c r="AD198">
        <v>-1.159071</v>
      </c>
      <c r="AE198">
        <v>-1.02809999999999</v>
      </c>
      <c r="AF198">
        <v>0.92656141849781204</v>
      </c>
      <c r="AG198">
        <v>-1.159071</v>
      </c>
      <c r="AH198">
        <v>40.058294021813701</v>
      </c>
      <c r="AI198">
        <v>91.656925520147496</v>
      </c>
      <c r="AJ198">
        <v>88.674966183886795</v>
      </c>
      <c r="AK198">
        <v>40.085769065634402</v>
      </c>
      <c r="AL198">
        <v>80.474984124390602</v>
      </c>
      <c r="AM198">
        <v>93.888007321398803</v>
      </c>
      <c r="AN198">
        <v>0.99999992944624205</v>
      </c>
    </row>
    <row r="199" spans="1:40" x14ac:dyDescent="0.25">
      <c r="A199" t="str">
        <f>"20190304155317128"</f>
        <v>20190304155317128</v>
      </c>
      <c r="B199" t="str">
        <f>"1551685997115636"</f>
        <v>1551685997115636</v>
      </c>
      <c r="C199" t="s">
        <v>40</v>
      </c>
      <c r="D199">
        <v>4.3936630000000001</v>
      </c>
      <c r="E199">
        <v>0.53117159999999997</v>
      </c>
      <c r="F199" t="s">
        <v>47</v>
      </c>
      <c r="G199">
        <v>-416.58159999999998</v>
      </c>
      <c r="H199">
        <v>-0.05</v>
      </c>
      <c r="I199">
        <v>366.21030000000002</v>
      </c>
      <c r="J199">
        <v>-456.2527</v>
      </c>
      <c r="K199">
        <v>1.109092</v>
      </c>
      <c r="L199">
        <v>367.17070000000001</v>
      </c>
      <c r="M199">
        <v>0.99999280000000002</v>
      </c>
      <c r="N199">
        <v>-2.9225879999999998E-3</v>
      </c>
      <c r="O199">
        <v>-2.443902E-3</v>
      </c>
      <c r="P199">
        <v>0.98451120000000003</v>
      </c>
      <c r="Q199">
        <v>0.16305120000000001</v>
      </c>
      <c r="R199">
        <v>6.4437090000000002E-2</v>
      </c>
      <c r="S199">
        <v>3.0665589999999998</v>
      </c>
      <c r="T199">
        <v>-8.9033009999999996E-2</v>
      </c>
      <c r="U199">
        <v>-7.3822020000000002E-2</v>
      </c>
      <c r="V199">
        <v>-6.6856260000000001E-2</v>
      </c>
      <c r="W199">
        <v>0.16592209999999999</v>
      </c>
      <c r="X199">
        <v>0.98387000000000002</v>
      </c>
      <c r="Y199">
        <v>2.1613810000000001E-2</v>
      </c>
      <c r="Z199">
        <v>-2.81458E-4</v>
      </c>
      <c r="AA199">
        <v>0.9997663</v>
      </c>
      <c r="AB199">
        <v>25</v>
      </c>
      <c r="AC199">
        <v>39.671100000000003</v>
      </c>
      <c r="AD199">
        <v>-1.159092</v>
      </c>
      <c r="AE199">
        <v>-0.96039999999999204</v>
      </c>
      <c r="AF199">
        <v>0.86270841038721402</v>
      </c>
      <c r="AG199">
        <v>-1.159092</v>
      </c>
      <c r="AH199">
        <v>39.639509631147597</v>
      </c>
      <c r="AI199">
        <v>91.674502357928702</v>
      </c>
      <c r="AJ199">
        <v>88.753219977003994</v>
      </c>
      <c r="AK199">
        <v>39.665835222060501</v>
      </c>
      <c r="AL199">
        <v>80.449195072063006</v>
      </c>
      <c r="AM199">
        <v>93.887405739609207</v>
      </c>
      <c r="AN199">
        <v>1.0000000398347899</v>
      </c>
    </row>
    <row r="200" spans="1:40" x14ac:dyDescent="0.25">
      <c r="A200" t="str">
        <f>"20190304155317151"</f>
        <v>20190304155317151</v>
      </c>
      <c r="B200" t="str">
        <f>"1551685997145891"</f>
        <v>1551685997145891</v>
      </c>
      <c r="C200" t="s">
        <v>40</v>
      </c>
      <c r="D200">
        <v>4.6514519999999999</v>
      </c>
      <c r="E200">
        <v>0.53049849999999998</v>
      </c>
      <c r="F200" t="s">
        <v>47</v>
      </c>
      <c r="G200">
        <v>-414.36660000000001</v>
      </c>
      <c r="H200">
        <v>-0.05</v>
      </c>
      <c r="I200">
        <v>366.18430000000001</v>
      </c>
      <c r="J200">
        <v>-455.99419999999998</v>
      </c>
      <c r="K200">
        <v>1.1091139999999999</v>
      </c>
      <c r="L200">
        <v>367.17020000000002</v>
      </c>
      <c r="M200">
        <v>0.99999260000000001</v>
      </c>
      <c r="N200">
        <v>-3.0331149999999999E-3</v>
      </c>
      <c r="O200">
        <v>-2.3565169999999998E-3</v>
      </c>
      <c r="P200">
        <v>0.98446049999999996</v>
      </c>
      <c r="Q200">
        <v>0.1630809</v>
      </c>
      <c r="R200">
        <v>6.5135109999999996E-2</v>
      </c>
      <c r="S200">
        <v>3.0659179999999999</v>
      </c>
      <c r="T200">
        <v>-8.4841490000000006E-2</v>
      </c>
      <c r="U200">
        <v>-7.2204589999999999E-2</v>
      </c>
      <c r="V200">
        <v>-6.7473019999999995E-2</v>
      </c>
      <c r="W200">
        <v>0.1660585</v>
      </c>
      <c r="X200">
        <v>0.98380480000000003</v>
      </c>
      <c r="Y200">
        <v>2.1179980000000001E-2</v>
      </c>
      <c r="Z200">
        <v>-2.6704320000000003E-4</v>
      </c>
      <c r="AA200">
        <v>0.99977559999999999</v>
      </c>
      <c r="AB200">
        <v>25</v>
      </c>
      <c r="AC200">
        <v>41.627599999999902</v>
      </c>
      <c r="AD200">
        <v>-1.159114</v>
      </c>
      <c r="AE200">
        <v>-0.98590000000001499</v>
      </c>
      <c r="AF200">
        <v>0.88711323731008096</v>
      </c>
      <c r="AG200">
        <v>-1.159114</v>
      </c>
      <c r="AH200">
        <v>41.597573730477698</v>
      </c>
      <c r="AI200">
        <v>91.595767928970901</v>
      </c>
      <c r="AJ200">
        <v>88.778290740017198</v>
      </c>
      <c r="AK200">
        <v>41.623174499590199</v>
      </c>
      <c r="AL200">
        <v>80.441269208168507</v>
      </c>
      <c r="AM200">
        <v>93.923415409695806</v>
      </c>
      <c r="AN200">
        <v>0.999999959176604</v>
      </c>
    </row>
    <row r="201" spans="1:40" x14ac:dyDescent="0.25">
      <c r="A201" t="str">
        <f>"20190304155317175"</f>
        <v>20190304155317175</v>
      </c>
      <c r="B201" t="str">
        <f>"1551685997165411"</f>
        <v>1551685997165411</v>
      </c>
      <c r="C201" t="s">
        <v>40</v>
      </c>
      <c r="D201">
        <v>4.478288</v>
      </c>
      <c r="E201">
        <v>0.5308524</v>
      </c>
      <c r="F201" t="s">
        <v>47</v>
      </c>
      <c r="G201">
        <v>-412.10300000000001</v>
      </c>
      <c r="H201">
        <v>-0.05</v>
      </c>
      <c r="I201">
        <v>366.24849999999998</v>
      </c>
      <c r="J201">
        <v>-455.73239999999998</v>
      </c>
      <c r="K201">
        <v>1.109129</v>
      </c>
      <c r="L201">
        <v>367.16969999999998</v>
      </c>
      <c r="M201">
        <v>0.99999249999999995</v>
      </c>
      <c r="N201">
        <v>-3.1426650000000002E-3</v>
      </c>
      <c r="O201">
        <v>-2.2523320000000001E-3</v>
      </c>
      <c r="P201">
        <v>0.98438789999999998</v>
      </c>
      <c r="Q201">
        <v>0.1632006</v>
      </c>
      <c r="R201">
        <v>6.5922729999999999E-2</v>
      </c>
      <c r="S201">
        <v>3.0650019999999998</v>
      </c>
      <c r="T201">
        <v>-8.0942990000000006E-2</v>
      </c>
      <c r="U201">
        <v>-6.4361570000000007E-2</v>
      </c>
      <c r="V201">
        <v>-6.8161849999999996E-2</v>
      </c>
      <c r="W201">
        <v>0.16628370000000001</v>
      </c>
      <c r="X201">
        <v>0.98371929999999996</v>
      </c>
      <c r="Y201">
        <v>1.8735640000000001E-2</v>
      </c>
      <c r="Z201">
        <v>-2.2438389999999999E-4</v>
      </c>
      <c r="AA201">
        <v>0.9998245</v>
      </c>
      <c r="AB201">
        <v>25</v>
      </c>
      <c r="AC201">
        <v>43.629399999999897</v>
      </c>
      <c r="AD201">
        <v>-1.1591290000000001</v>
      </c>
      <c r="AE201">
        <v>-0.92119999999999802</v>
      </c>
      <c r="AF201">
        <v>0.82234909521286603</v>
      </c>
      <c r="AG201">
        <v>-1.1591290000000001</v>
      </c>
      <c r="AH201">
        <v>43.600602940755998</v>
      </c>
      <c r="AI201">
        <v>91.522588087794105</v>
      </c>
      <c r="AJ201">
        <v>88.919474883951906</v>
      </c>
      <c r="AK201">
        <v>43.623759751659399</v>
      </c>
      <c r="AL201">
        <v>80.428184516638893</v>
      </c>
      <c r="AM201">
        <v>93.963685806658702</v>
      </c>
      <c r="AN201">
        <v>0.99999998393680101</v>
      </c>
    </row>
    <row r="202" spans="1:40" x14ac:dyDescent="0.25">
      <c r="A202" t="str">
        <f>"20190304155317194"</f>
        <v>20190304155317194</v>
      </c>
      <c r="B202" t="str">
        <f>"1551685997185908"</f>
        <v>1551685997185908</v>
      </c>
      <c r="C202" t="s">
        <v>40</v>
      </c>
      <c r="D202">
        <v>4.5320869999999998</v>
      </c>
      <c r="E202">
        <v>0.53099439999999998</v>
      </c>
      <c r="F202" t="s">
        <v>47</v>
      </c>
      <c r="G202">
        <v>-411.81540000000001</v>
      </c>
      <c r="H202">
        <v>-0.05</v>
      </c>
      <c r="I202">
        <v>366.23320000000001</v>
      </c>
      <c r="J202">
        <v>-455.49979999999999</v>
      </c>
      <c r="K202">
        <v>1.1091409999999999</v>
      </c>
      <c r="L202">
        <v>367.16930000000002</v>
      </c>
      <c r="M202">
        <v>0.99999249999999995</v>
      </c>
      <c r="N202">
        <v>-3.2363130000000002E-3</v>
      </c>
      <c r="O202">
        <v>-2.1492099999999999E-3</v>
      </c>
      <c r="P202">
        <v>0.98440090000000002</v>
      </c>
      <c r="Q202">
        <v>0.16284270000000001</v>
      </c>
      <c r="R202">
        <v>6.6612679999999994E-2</v>
      </c>
      <c r="S202">
        <v>3.0653380000000001</v>
      </c>
      <c r="T202">
        <v>-8.0905320000000003E-2</v>
      </c>
      <c r="U202">
        <v>-6.536865E-2</v>
      </c>
      <c r="V202">
        <v>-6.8754129999999997E-2</v>
      </c>
      <c r="W202">
        <v>0.16601659999999999</v>
      </c>
      <c r="X202">
        <v>0.98372320000000002</v>
      </c>
      <c r="Y202">
        <v>1.9164560000000001E-2</v>
      </c>
      <c r="Z202">
        <v>-2.3410419999999999E-4</v>
      </c>
      <c r="AA202">
        <v>0.99981629999999999</v>
      </c>
      <c r="AB202">
        <v>25</v>
      </c>
      <c r="AC202">
        <v>43.684399999999897</v>
      </c>
      <c r="AD202">
        <v>-1.159141</v>
      </c>
      <c r="AE202">
        <v>-0.93610000000001004</v>
      </c>
      <c r="AF202">
        <v>0.841618109891489</v>
      </c>
      <c r="AG202">
        <v>-1.159141</v>
      </c>
      <c r="AH202">
        <v>43.655588231714802</v>
      </c>
      <c r="AI202">
        <v>91.520674886229003</v>
      </c>
      <c r="AJ202">
        <v>88.895555072782699</v>
      </c>
      <c r="AK202">
        <v>43.679083240812403</v>
      </c>
      <c r="AL202">
        <v>80.443703971914402</v>
      </c>
      <c r="AM202">
        <v>93.998000523329395</v>
      </c>
      <c r="AN202">
        <v>0.999999988042928</v>
      </c>
    </row>
    <row r="203" spans="1:40" x14ac:dyDescent="0.25">
      <c r="A203" t="str">
        <f>"20190304155317218"</f>
        <v>20190304155317218</v>
      </c>
      <c r="B203" t="str">
        <f>"1551685997205428"</f>
        <v>1551685997205428</v>
      </c>
      <c r="C203" t="s">
        <v>40</v>
      </c>
      <c r="D203">
        <v>4.4406730000000003</v>
      </c>
      <c r="E203">
        <v>0.5311304</v>
      </c>
      <c r="F203" t="s">
        <v>47</v>
      </c>
      <c r="G203">
        <v>-413.18819999999999</v>
      </c>
      <c r="H203">
        <v>-0.05</v>
      </c>
      <c r="I203">
        <v>366.2835</v>
      </c>
      <c r="J203">
        <v>-455.24509999999998</v>
      </c>
      <c r="K203">
        <v>1.109162</v>
      </c>
      <c r="L203">
        <v>367.16879999999998</v>
      </c>
      <c r="M203">
        <v>0.9999924</v>
      </c>
      <c r="N203">
        <v>-3.335597E-3</v>
      </c>
      <c r="O203">
        <v>-2.0283430000000002E-3</v>
      </c>
      <c r="P203">
        <v>0.98438289999999995</v>
      </c>
      <c r="Q203">
        <v>0.1626425</v>
      </c>
      <c r="R203">
        <v>6.7364300000000002E-2</v>
      </c>
      <c r="S203">
        <v>3.0657649999999999</v>
      </c>
      <c r="T203">
        <v>-8.3987829999999999E-2</v>
      </c>
      <c r="U203">
        <v>-6.4178470000000001E-2</v>
      </c>
      <c r="V203">
        <v>-6.9389080000000006E-2</v>
      </c>
      <c r="W203">
        <v>0.1659127</v>
      </c>
      <c r="X203">
        <v>0.98369620000000002</v>
      </c>
      <c r="Y203">
        <v>1.8894009999999999E-2</v>
      </c>
      <c r="Z203">
        <v>-2.4146270000000001E-4</v>
      </c>
      <c r="AA203">
        <v>0.99982150000000003</v>
      </c>
      <c r="AB203">
        <v>25</v>
      </c>
      <c r="AC203">
        <v>42.056899999999899</v>
      </c>
      <c r="AD203">
        <v>-1.159162</v>
      </c>
      <c r="AE203">
        <v>-0.885299999999972</v>
      </c>
      <c r="AF203">
        <v>0.79938490319505695</v>
      </c>
      <c r="AG203">
        <v>-1.159162</v>
      </c>
      <c r="AH203">
        <v>42.026697729747298</v>
      </c>
      <c r="AI203">
        <v>91.579621006225196</v>
      </c>
      <c r="AJ203">
        <v>88.910315078812204</v>
      </c>
      <c r="AK203">
        <v>42.050279366886997</v>
      </c>
      <c r="AL203">
        <v>80.449741235064394</v>
      </c>
      <c r="AM203">
        <v>94.034911374740403</v>
      </c>
      <c r="AN203">
        <v>1.00000004116948</v>
      </c>
    </row>
    <row r="204" spans="1:40" x14ac:dyDescent="0.25">
      <c r="A204" t="str">
        <f>"20190304155317238"</f>
        <v>20190304155317238</v>
      </c>
      <c r="B204" t="str">
        <f>"1551685997235683"</f>
        <v>1551685997235683</v>
      </c>
      <c r="C204" t="s">
        <v>40</v>
      </c>
      <c r="D204">
        <v>4.4698099999999998</v>
      </c>
      <c r="E204">
        <v>0.53111260000000005</v>
      </c>
      <c r="F204" t="s">
        <v>47</v>
      </c>
      <c r="G204">
        <v>-414.01319999999998</v>
      </c>
      <c r="H204">
        <v>-0.05</v>
      </c>
      <c r="I204">
        <v>366.32209999999998</v>
      </c>
      <c r="J204">
        <v>-454.9975</v>
      </c>
      <c r="K204">
        <v>1.1091789999999999</v>
      </c>
      <c r="L204">
        <v>367.16840000000002</v>
      </c>
      <c r="M204">
        <v>0.9999924</v>
      </c>
      <c r="N204">
        <v>-3.4301280000000002E-3</v>
      </c>
      <c r="O204">
        <v>-1.9053360000000001E-3</v>
      </c>
      <c r="P204">
        <v>0.98435349999999999</v>
      </c>
      <c r="Q204">
        <v>0.1626252</v>
      </c>
      <c r="R204">
        <v>6.7836750000000001E-2</v>
      </c>
      <c r="S204">
        <v>3.0661619999999998</v>
      </c>
      <c r="T204">
        <v>-8.6199639999999994E-2</v>
      </c>
      <c r="U204">
        <v>-6.2957760000000001E-2</v>
      </c>
      <c r="V204">
        <v>-6.9742310000000002E-2</v>
      </c>
      <c r="W204">
        <v>0.165988</v>
      </c>
      <c r="X204">
        <v>0.98365849999999999</v>
      </c>
      <c r="Y204">
        <v>1.8616110000000002E-2</v>
      </c>
      <c r="Z204">
        <v>-2.4652350000000002E-4</v>
      </c>
      <c r="AA204">
        <v>0.99982669999999996</v>
      </c>
      <c r="AB204">
        <v>25</v>
      </c>
      <c r="AC204">
        <v>40.984299999999998</v>
      </c>
      <c r="AD204">
        <v>-1.159179</v>
      </c>
      <c r="AE204">
        <v>-0.84630000000004202</v>
      </c>
      <c r="AF204">
        <v>0.767595369241305</v>
      </c>
      <c r="AG204">
        <v>-1.159179</v>
      </c>
      <c r="AH204">
        <v>40.953091403524503</v>
      </c>
      <c r="AI204">
        <v>91.621042020177399</v>
      </c>
      <c r="AJ204">
        <v>88.9262147398791</v>
      </c>
      <c r="AK204">
        <v>40.976683542111502</v>
      </c>
      <c r="AL204">
        <v>80.445366046088907</v>
      </c>
      <c r="AM204">
        <v>94.055537925356504</v>
      </c>
      <c r="AN204">
        <v>1.0000000252851899</v>
      </c>
    </row>
    <row r="205" spans="1:40" x14ac:dyDescent="0.25">
      <c r="A205" t="str">
        <f>"20190304155317262"</f>
        <v>20190304155317262</v>
      </c>
      <c r="B205" t="str">
        <f>"1551685997256179"</f>
        <v>1551685997256179</v>
      </c>
      <c r="C205" t="s">
        <v>40</v>
      </c>
      <c r="D205">
        <v>4.4484269999999997</v>
      </c>
      <c r="E205">
        <v>0.53114490000000003</v>
      </c>
      <c r="F205" t="s">
        <v>47</v>
      </c>
      <c r="G205">
        <v>-414.529</v>
      </c>
      <c r="H205">
        <v>-0.05</v>
      </c>
      <c r="I205">
        <v>366.36040000000003</v>
      </c>
      <c r="J205">
        <v>-454.73559999999998</v>
      </c>
      <c r="K205">
        <v>1.1091850000000001</v>
      </c>
      <c r="L205">
        <v>367.16800000000001</v>
      </c>
      <c r="M205">
        <v>0.99999229999999995</v>
      </c>
      <c r="N205">
        <v>-3.5271830000000001E-3</v>
      </c>
      <c r="O205">
        <v>-1.7723299999999999E-3</v>
      </c>
      <c r="P205">
        <v>0.98425980000000002</v>
      </c>
      <c r="Q205">
        <v>0.16288920000000001</v>
      </c>
      <c r="R205">
        <v>6.8557339999999994E-2</v>
      </c>
      <c r="S205">
        <v>3.0664060000000002</v>
      </c>
      <c r="T205">
        <v>-8.7834239999999994E-2</v>
      </c>
      <c r="U205">
        <v>-6.1218259999999997E-2</v>
      </c>
      <c r="V205">
        <v>-7.0332270000000002E-2</v>
      </c>
      <c r="W205">
        <v>0.16634679999999999</v>
      </c>
      <c r="X205">
        <v>0.98355590000000004</v>
      </c>
      <c r="Y205">
        <v>1.818036E-2</v>
      </c>
      <c r="Z205">
        <v>-2.4787220000000002E-4</v>
      </c>
      <c r="AA205">
        <v>0.99983469999999997</v>
      </c>
      <c r="AB205">
        <v>25</v>
      </c>
      <c r="AC205">
        <v>40.206599999999902</v>
      </c>
      <c r="AD205">
        <v>-1.1591849999999999</v>
      </c>
      <c r="AE205">
        <v>-0.807599999999979</v>
      </c>
      <c r="AF205">
        <v>0.73572763382646</v>
      </c>
      <c r="AG205">
        <v>-1.1591849999999999</v>
      </c>
      <c r="AH205">
        <v>40.174588138498102</v>
      </c>
      <c r="AI205">
        <v>91.652459028529094</v>
      </c>
      <c r="AJ205">
        <v>88.950844832310196</v>
      </c>
      <c r="AK205">
        <v>40.198041458674901</v>
      </c>
      <c r="AL205">
        <v>80.424518701165695</v>
      </c>
      <c r="AM205">
        <v>94.090153541360905</v>
      </c>
      <c r="AN205">
        <v>1.0000000472492001</v>
      </c>
    </row>
    <row r="206" spans="1:40" x14ac:dyDescent="0.25">
      <c r="A206" t="str">
        <f>"20190304155317285"</f>
        <v>20190304155317285</v>
      </c>
      <c r="B206" t="str">
        <f>"1551685997275700"</f>
        <v>1551685997275700</v>
      </c>
      <c r="C206" t="s">
        <v>40</v>
      </c>
      <c r="D206">
        <v>4.4382429999999999</v>
      </c>
      <c r="E206">
        <v>0.53110999999999997</v>
      </c>
      <c r="F206" t="s">
        <v>47</v>
      </c>
      <c r="G206">
        <v>-413.56560000000002</v>
      </c>
      <c r="H206">
        <v>-0.05</v>
      </c>
      <c r="I206">
        <v>366.3768</v>
      </c>
      <c r="J206">
        <v>-454.47539999999998</v>
      </c>
      <c r="K206">
        <v>1.1091979999999999</v>
      </c>
      <c r="L206">
        <v>367.16770000000002</v>
      </c>
      <c r="M206">
        <v>0.99999229999999995</v>
      </c>
      <c r="N206">
        <v>-3.6187699999999999E-3</v>
      </c>
      <c r="O206">
        <v>-1.6392049999999999E-3</v>
      </c>
      <c r="P206">
        <v>0.98423419999999895</v>
      </c>
      <c r="Q206">
        <v>0.16254440000000001</v>
      </c>
      <c r="R206">
        <v>6.9731589999999996E-2</v>
      </c>
      <c r="S206">
        <v>3.066376</v>
      </c>
      <c r="T206">
        <v>-8.6337090000000005E-2</v>
      </c>
      <c r="U206">
        <v>-5.892944E-2</v>
      </c>
      <c r="V206">
        <v>-7.1375569999999999E-2</v>
      </c>
      <c r="W206">
        <v>0.1660914</v>
      </c>
      <c r="X206">
        <v>0.98352379999999995</v>
      </c>
      <c r="Y206">
        <v>1.75681E-2</v>
      </c>
      <c r="Z206">
        <v>-2.3884049999999999E-4</v>
      </c>
      <c r="AA206">
        <v>0.9998456</v>
      </c>
      <c r="AB206">
        <v>26</v>
      </c>
      <c r="AC206">
        <v>40.909799999999898</v>
      </c>
      <c r="AD206">
        <v>-1.159198</v>
      </c>
      <c r="AE206">
        <v>-0.79090000000002103</v>
      </c>
      <c r="AF206">
        <v>0.72325847640445395</v>
      </c>
      <c r="AG206">
        <v>-1.159198</v>
      </c>
      <c r="AH206">
        <v>40.8782326918789</v>
      </c>
      <c r="AI206">
        <v>91.624066635654998</v>
      </c>
      <c r="AJ206">
        <v>88.986371666328594</v>
      </c>
      <c r="AK206">
        <v>40.901060509946298</v>
      </c>
      <c r="AL206">
        <v>80.439357495828801</v>
      </c>
      <c r="AM206">
        <v>94.150750851844705</v>
      </c>
      <c r="AN206">
        <v>0.99999994515661095</v>
      </c>
    </row>
    <row r="207" spans="1:40" x14ac:dyDescent="0.25">
      <c r="A207" t="str">
        <f>"20190304155317305"</f>
        <v>20190304155317305</v>
      </c>
      <c r="B207" t="str">
        <f>"1551685997296195"</f>
        <v>1551685997296195</v>
      </c>
      <c r="C207" t="s">
        <v>40</v>
      </c>
      <c r="D207">
        <v>4.5003190000000002</v>
      </c>
      <c r="E207">
        <v>0.53119090000000002</v>
      </c>
      <c r="F207" t="s">
        <v>47</v>
      </c>
      <c r="G207">
        <v>-413.81700000000001</v>
      </c>
      <c r="H207">
        <v>-0.05</v>
      </c>
      <c r="I207">
        <v>366.44060000000002</v>
      </c>
      <c r="J207">
        <v>-454.2167</v>
      </c>
      <c r="K207">
        <v>1.1092089999999999</v>
      </c>
      <c r="L207">
        <v>367.16739999999999</v>
      </c>
      <c r="M207">
        <v>0.99999210000000005</v>
      </c>
      <c r="N207">
        <v>-3.7044970000000002E-3</v>
      </c>
      <c r="O207">
        <v>-1.5065530000000001E-3</v>
      </c>
      <c r="P207">
        <v>0.98415169999999996</v>
      </c>
      <c r="Q207">
        <v>0.1627972</v>
      </c>
      <c r="R207">
        <v>7.0303420000000005E-2</v>
      </c>
      <c r="S207">
        <v>3.0664060000000002</v>
      </c>
      <c r="T207">
        <v>-8.742511E-2</v>
      </c>
      <c r="U207">
        <v>-5.4840090000000001E-2</v>
      </c>
      <c r="V207">
        <v>-7.1817430000000002E-2</v>
      </c>
      <c r="W207">
        <v>0.1664281</v>
      </c>
      <c r="X207">
        <v>0.98343480000000005</v>
      </c>
      <c r="Y207">
        <v>1.6367900000000001E-2</v>
      </c>
      <c r="Z207">
        <v>-2.2622960000000001E-4</v>
      </c>
      <c r="AA207">
        <v>0.99986600000000003</v>
      </c>
      <c r="AB207">
        <v>26</v>
      </c>
      <c r="AC207">
        <v>40.399700000000003</v>
      </c>
      <c r="AD207">
        <v>-1.1592089999999999</v>
      </c>
      <c r="AE207">
        <v>-0.72679999999996803</v>
      </c>
      <c r="AF207">
        <v>0.66538682698701501</v>
      </c>
      <c r="AG207">
        <v>-1.1592089999999999</v>
      </c>
      <c r="AH207">
        <v>40.367524596063298</v>
      </c>
      <c r="AI207">
        <v>91.644651803387703</v>
      </c>
      <c r="AJ207">
        <v>89.055666524834905</v>
      </c>
      <c r="AK207">
        <v>40.389646534093202</v>
      </c>
      <c r="AL207">
        <v>80.419794544931307</v>
      </c>
      <c r="AM207">
        <v>94.176732606785095</v>
      </c>
      <c r="AN207">
        <v>1.00000003078622</v>
      </c>
    </row>
    <row r="208" spans="1:40" x14ac:dyDescent="0.25">
      <c r="A208" t="str">
        <f>"20190304155317328"</f>
        <v>20190304155317328</v>
      </c>
      <c r="B208" t="str">
        <f>"1551685997325475"</f>
        <v>1551685997325475</v>
      </c>
      <c r="C208" t="s">
        <v>40</v>
      </c>
      <c r="D208">
        <v>4.5499450000000001</v>
      </c>
      <c r="E208">
        <v>0.53100819999999904</v>
      </c>
      <c r="F208" t="s">
        <v>47</v>
      </c>
      <c r="G208">
        <v>-413.21980000000002</v>
      </c>
      <c r="H208">
        <v>-0.05</v>
      </c>
      <c r="I208">
        <v>366.45549999999997</v>
      </c>
      <c r="J208">
        <v>-453.95979999999997</v>
      </c>
      <c r="K208">
        <v>1.109219</v>
      </c>
      <c r="L208">
        <v>367.16719999999998</v>
      </c>
      <c r="M208">
        <v>0.99999199999999999</v>
      </c>
      <c r="N208">
        <v>-3.785002E-3</v>
      </c>
      <c r="O208">
        <v>-1.375802E-3</v>
      </c>
      <c r="P208">
        <v>0.98408499999999999</v>
      </c>
      <c r="Q208">
        <v>0.16290579999999999</v>
      </c>
      <c r="R208">
        <v>7.0982980000000001E-2</v>
      </c>
      <c r="S208">
        <v>3.0664669999999998</v>
      </c>
      <c r="T208">
        <v>-8.67058E-2</v>
      </c>
      <c r="U208">
        <v>-5.3253170000000002E-2</v>
      </c>
      <c r="V208">
        <v>-7.23689E-2</v>
      </c>
      <c r="W208">
        <v>0.16661570000000001</v>
      </c>
      <c r="X208">
        <v>0.98336259999999998</v>
      </c>
      <c r="Y208">
        <v>1.5981229999999999E-2</v>
      </c>
      <c r="Z208">
        <v>-2.224455E-4</v>
      </c>
      <c r="AA208">
        <v>0.99987230000000005</v>
      </c>
      <c r="AB208">
        <v>26</v>
      </c>
      <c r="AC208">
        <v>40.739999999999903</v>
      </c>
      <c r="AD208">
        <v>-1.159219</v>
      </c>
      <c r="AE208">
        <v>-0.71170000000000699</v>
      </c>
      <c r="AF208">
        <v>0.65511851294814105</v>
      </c>
      <c r="AG208">
        <v>-1.159219</v>
      </c>
      <c r="AH208">
        <v>40.707992073584798</v>
      </c>
      <c r="AI208">
        <v>91.630928384396896</v>
      </c>
      <c r="AJ208">
        <v>89.078011858556593</v>
      </c>
      <c r="AK208">
        <v>40.729762921222701</v>
      </c>
      <c r="AL208">
        <v>80.408893611034799</v>
      </c>
      <c r="AM208">
        <v>94.208997894222705</v>
      </c>
      <c r="AN208">
        <v>1.0000000261262201</v>
      </c>
    </row>
    <row r="209" spans="1:40" x14ac:dyDescent="0.25">
      <c r="A209" t="str">
        <f>"20190304155317352"</f>
        <v>20190304155317352</v>
      </c>
      <c r="B209" t="str">
        <f>"1551685997345971"</f>
        <v>1551685997345971</v>
      </c>
      <c r="C209" t="s">
        <v>40</v>
      </c>
      <c r="D209">
        <v>4.7710220000000003</v>
      </c>
      <c r="E209">
        <v>0.50430810000000004</v>
      </c>
      <c r="F209" t="s">
        <v>47</v>
      </c>
      <c r="G209">
        <v>-413.24970000000002</v>
      </c>
      <c r="H209">
        <v>-0.05</v>
      </c>
      <c r="I209">
        <v>366.51010000000002</v>
      </c>
      <c r="J209">
        <v>-453.67489999999998</v>
      </c>
      <c r="K209">
        <v>1.1092280000000001</v>
      </c>
      <c r="L209">
        <v>367.1669</v>
      </c>
      <c r="M209">
        <v>0.99999170000000004</v>
      </c>
      <c r="N209">
        <v>-3.8702739999999999E-3</v>
      </c>
      <c r="O209">
        <v>-1.2315920000000001E-3</v>
      </c>
      <c r="P209">
        <v>0.98392520000000006</v>
      </c>
      <c r="Q209">
        <v>0.1634641</v>
      </c>
      <c r="R209">
        <v>7.1908109999999997E-2</v>
      </c>
      <c r="S209">
        <v>3.0665589999999998</v>
      </c>
      <c r="T209">
        <v>-8.7320209999999995E-2</v>
      </c>
      <c r="U209">
        <v>-4.9499509999999997E-2</v>
      </c>
      <c r="V209">
        <v>-7.3151869999999994E-2</v>
      </c>
      <c r="W209">
        <v>0.16725699999999999</v>
      </c>
      <c r="X209">
        <v>0.98319579999999995</v>
      </c>
      <c r="Y209">
        <v>1.4901670000000001E-2</v>
      </c>
      <c r="Z209">
        <v>-2.1065649999999999E-4</v>
      </c>
      <c r="AA209">
        <v>0.99988900000000003</v>
      </c>
      <c r="AB209">
        <v>26</v>
      </c>
      <c r="AC209">
        <v>40.425199999999897</v>
      </c>
      <c r="AD209">
        <v>-1.1592279999999999</v>
      </c>
      <c r="AE209">
        <v>-0.65679999999997496</v>
      </c>
      <c r="AF209">
        <v>0.60651316577820502</v>
      </c>
      <c r="AG209">
        <v>-1.1592279999999999</v>
      </c>
      <c r="AH209">
        <v>40.392771810203698</v>
      </c>
      <c r="AI209">
        <v>91.643689281576499</v>
      </c>
      <c r="AJ209">
        <v>89.139746252473302</v>
      </c>
      <c r="AK209">
        <v>40.413954054106597</v>
      </c>
      <c r="AL209">
        <v>80.371627030174594</v>
      </c>
      <c r="AM209">
        <v>94.2550884746138</v>
      </c>
      <c r="AN209">
        <v>1.00000004063556</v>
      </c>
    </row>
    <row r="210" spans="1:40" x14ac:dyDescent="0.25">
      <c r="A210" t="str">
        <f>"20190304155317377"</f>
        <v>20190304155317377</v>
      </c>
      <c r="B210" t="str">
        <f>"1551685997365492"</f>
        <v>1551685997365492</v>
      </c>
      <c r="C210" t="s">
        <v>40</v>
      </c>
      <c r="D210">
        <v>4.5827739999999997</v>
      </c>
      <c r="E210">
        <v>0.48396810000000001</v>
      </c>
      <c r="F210" t="s">
        <v>47</v>
      </c>
      <c r="G210">
        <v>-429.2704</v>
      </c>
      <c r="H210">
        <v>-0.05</v>
      </c>
      <c r="I210">
        <v>368.47629999999998</v>
      </c>
      <c r="J210">
        <v>-453.39519999999999</v>
      </c>
      <c r="K210">
        <v>1.1092439999999999</v>
      </c>
      <c r="L210">
        <v>367.16669999999999</v>
      </c>
      <c r="M210">
        <v>0.99999179999999999</v>
      </c>
      <c r="N210">
        <v>-3.9529279999999997E-3</v>
      </c>
      <c r="O210">
        <v>-1.0915530000000001E-3</v>
      </c>
      <c r="P210">
        <v>0.98362570000000005</v>
      </c>
      <c r="Q210">
        <v>0.16498160000000001</v>
      </c>
      <c r="R210">
        <v>7.2539489999999998E-2</v>
      </c>
      <c r="S210">
        <v>3.0611269999999999</v>
      </c>
      <c r="T210">
        <v>-0.14540549999999999</v>
      </c>
      <c r="U210">
        <v>0.16424559999999999</v>
      </c>
      <c r="V210">
        <v>-7.3645829999999995E-2</v>
      </c>
      <c r="W210">
        <v>0.16885420000000001</v>
      </c>
      <c r="X210">
        <v>0.98288580000000003</v>
      </c>
      <c r="Y210">
        <v>-5.4600639999999999E-2</v>
      </c>
      <c r="Z210">
        <v>1.4506569999999999E-3</v>
      </c>
      <c r="AA210">
        <v>0.99850720000000004</v>
      </c>
      <c r="AB210">
        <v>26</v>
      </c>
      <c r="AC210">
        <v>24.1248</v>
      </c>
      <c r="AD210">
        <v>-1.1592439999999999</v>
      </c>
      <c r="AE210">
        <v>1.3095999999999799</v>
      </c>
      <c r="AF210">
        <v>-1.33286438810163</v>
      </c>
      <c r="AG210">
        <v>-1.1592439999999999</v>
      </c>
      <c r="AH210">
        <v>24.067946722785599</v>
      </c>
      <c r="AI210">
        <v>92.753334819142793</v>
      </c>
      <c r="AJ210">
        <v>93.169758470084005</v>
      </c>
      <c r="AK210">
        <v>24.132683928221699</v>
      </c>
      <c r="AL210">
        <v>80.278793217469399</v>
      </c>
      <c r="AM210">
        <v>94.285060521555394</v>
      </c>
      <c r="AN210">
        <v>0.99999997248783401</v>
      </c>
    </row>
    <row r="211" spans="1:40" x14ac:dyDescent="0.25">
      <c r="A211" t="str">
        <f>"20190304155317395"</f>
        <v>20190304155317395</v>
      </c>
      <c r="B211" t="str">
        <f>"1551685997385988"</f>
        <v>1551685997385988</v>
      </c>
      <c r="C211" t="s">
        <v>40</v>
      </c>
      <c r="D211">
        <v>4.9251170000000002</v>
      </c>
      <c r="E211">
        <v>0.48731059999999998</v>
      </c>
      <c r="F211" t="s">
        <v>47</v>
      </c>
      <c r="G211">
        <v>-400.04669999999999</v>
      </c>
      <c r="H211">
        <v>-0.05</v>
      </c>
      <c r="I211">
        <v>372.97320000000002</v>
      </c>
      <c r="J211">
        <v>-453.16399999999999</v>
      </c>
      <c r="K211">
        <v>1.109251</v>
      </c>
      <c r="L211">
        <v>367.16660000000002</v>
      </c>
      <c r="M211">
        <v>0.99999150000000003</v>
      </c>
      <c r="N211">
        <v>-4.0201580000000002E-3</v>
      </c>
      <c r="O211">
        <v>-9.7604449999999998E-4</v>
      </c>
      <c r="P211">
        <v>0.98351489999999997</v>
      </c>
      <c r="Q211">
        <v>0.1652612</v>
      </c>
      <c r="R211">
        <v>7.3399060000000002E-2</v>
      </c>
      <c r="S211">
        <v>3.036591</v>
      </c>
      <c r="T211">
        <v>-6.5984009999999996E-2</v>
      </c>
      <c r="U211">
        <v>0.3305054</v>
      </c>
      <c r="V211">
        <v>-7.4392150000000004E-2</v>
      </c>
      <c r="W211">
        <v>0.16919870000000001</v>
      </c>
      <c r="X211">
        <v>0.98277040000000004</v>
      </c>
      <c r="Y211">
        <v>-0.1091418</v>
      </c>
      <c r="Z211">
        <v>1.4194699999999999E-3</v>
      </c>
      <c r="AA211">
        <v>0.99402520000000005</v>
      </c>
      <c r="AB211">
        <v>26</v>
      </c>
      <c r="AC211">
        <v>53.1173</v>
      </c>
      <c r="AD211">
        <v>-1.159251</v>
      </c>
      <c r="AE211">
        <v>5.8066000000000004</v>
      </c>
      <c r="AF211">
        <v>-5.8556863560126402</v>
      </c>
      <c r="AG211">
        <v>-1.159251</v>
      </c>
      <c r="AH211">
        <v>53.086620449768802</v>
      </c>
      <c r="AI211">
        <v>91.243428297282506</v>
      </c>
      <c r="AJ211">
        <v>96.294528685555093</v>
      </c>
      <c r="AK211">
        <v>53.421177414568497</v>
      </c>
      <c r="AL211">
        <v>80.258767191395094</v>
      </c>
      <c r="AM211">
        <v>94.328827041417696</v>
      </c>
      <c r="AN211">
        <v>1.0000000255897299</v>
      </c>
    </row>
    <row r="212" spans="1:40" x14ac:dyDescent="0.25">
      <c r="A212" t="str">
        <f>"20190304155317428"</f>
        <v>20190304155317428</v>
      </c>
      <c r="B212" t="str">
        <f>"1551685997426004"</f>
        <v>1551685997426004</v>
      </c>
      <c r="C212" t="s">
        <v>40</v>
      </c>
      <c r="D212">
        <v>4.5910339999999996</v>
      </c>
      <c r="E212">
        <v>0.48959940000000002</v>
      </c>
      <c r="F212" t="s">
        <v>46</v>
      </c>
      <c r="G212">
        <v>-398.89</v>
      </c>
      <c r="H212" s="1">
        <v>-1.2639840000000001E-6</v>
      </c>
      <c r="I212">
        <v>372.64330000000001</v>
      </c>
      <c r="J212">
        <v>-452.7704</v>
      </c>
      <c r="K212">
        <v>1.109262</v>
      </c>
      <c r="L212">
        <v>367.16640000000001</v>
      </c>
      <c r="M212">
        <v>0.99999119999999997</v>
      </c>
      <c r="N212">
        <v>-4.134558E-3</v>
      </c>
      <c r="O212">
        <v>-7.8016179999999997E-4</v>
      </c>
      <c r="P212">
        <v>0.98343530000000001</v>
      </c>
      <c r="Q212">
        <v>0.16527359999999999</v>
      </c>
      <c r="R212">
        <v>7.4430830000000003E-2</v>
      </c>
      <c r="S212">
        <v>3.0378419999999999</v>
      </c>
      <c r="T212">
        <v>-6.2087299999999998E-2</v>
      </c>
      <c r="U212">
        <v>0.30654910000000002</v>
      </c>
      <c r="V212">
        <v>-7.523167E-2</v>
      </c>
      <c r="W212">
        <v>0.16932329999999901</v>
      </c>
      <c r="X212">
        <v>0.98268500000000003</v>
      </c>
      <c r="Y212">
        <v>-0.1011512</v>
      </c>
      <c r="Z212">
        <v>1.253288E-3</v>
      </c>
      <c r="AA212">
        <v>0.99487029999999999</v>
      </c>
      <c r="AB212">
        <v>26</v>
      </c>
      <c r="AC212">
        <v>53.880400000000002</v>
      </c>
      <c r="AD212">
        <v>-1.1092632639840001</v>
      </c>
      <c r="AE212">
        <v>5.4768999999999997</v>
      </c>
      <c r="AF212">
        <v>-5.5166198378158198</v>
      </c>
      <c r="AG212">
        <v>-1.1092632639840001</v>
      </c>
      <c r="AH212">
        <v>53.853518557956697</v>
      </c>
      <c r="AI212">
        <v>91.173858257892306</v>
      </c>
      <c r="AJ212">
        <v>95.848835243956003</v>
      </c>
      <c r="AK212">
        <v>54.146699072944401</v>
      </c>
      <c r="AL212">
        <v>80.251523337109603</v>
      </c>
      <c r="AM212">
        <v>94.377868239522499</v>
      </c>
      <c r="AN212">
        <v>0.99999999665943895</v>
      </c>
    </row>
    <row r="213" spans="1:40" x14ac:dyDescent="0.25">
      <c r="A213" t="str">
        <f>"20190304155317453"</f>
        <v>20190304155317453</v>
      </c>
      <c r="B213" t="str">
        <f>"1551685997445524"</f>
        <v>1551685997445524</v>
      </c>
      <c r="C213" t="s">
        <v>40</v>
      </c>
      <c r="D213">
        <v>4.8320930000000004</v>
      </c>
      <c r="E213">
        <v>0.48979919999999999</v>
      </c>
      <c r="F213" t="s">
        <v>47</v>
      </c>
      <c r="G213">
        <v>-406.6191</v>
      </c>
      <c r="H213">
        <v>-0.05</v>
      </c>
      <c r="I213">
        <v>371.57679999999999</v>
      </c>
      <c r="J213">
        <v>-452.47</v>
      </c>
      <c r="K213">
        <v>1.109275</v>
      </c>
      <c r="L213">
        <v>367.16640000000001</v>
      </c>
      <c r="M213">
        <v>0.99999079999999996</v>
      </c>
      <c r="N213">
        <v>-4.2222889999999997E-3</v>
      </c>
      <c r="O213">
        <v>-6.3072520000000002E-4</v>
      </c>
      <c r="P213">
        <v>0.98328599999999999</v>
      </c>
      <c r="Q213">
        <v>0.1658066</v>
      </c>
      <c r="R213">
        <v>7.521158E-2</v>
      </c>
      <c r="S213">
        <v>3.0414119999999998</v>
      </c>
      <c r="T213">
        <v>-7.6396469999999994E-2</v>
      </c>
      <c r="U213">
        <v>0.2906494</v>
      </c>
      <c r="V213">
        <v>-7.5865879999999997E-2</v>
      </c>
      <c r="W213">
        <v>0.1699417</v>
      </c>
      <c r="X213">
        <v>0.98252949999999994</v>
      </c>
      <c r="Y213">
        <v>-9.5723290000000003E-2</v>
      </c>
      <c r="Z213">
        <v>1.415035E-3</v>
      </c>
      <c r="AA213">
        <v>0.99540700000000004</v>
      </c>
      <c r="AB213">
        <v>27</v>
      </c>
      <c r="AC213">
        <v>45.850900000000003</v>
      </c>
      <c r="AD213">
        <v>-1.1592750000000001</v>
      </c>
      <c r="AE213">
        <v>4.4103999999999797</v>
      </c>
      <c r="AF213">
        <v>-4.4365086210231199</v>
      </c>
      <c r="AG213">
        <v>-1.1592750000000001</v>
      </c>
      <c r="AH213">
        <v>45.819087340640699</v>
      </c>
      <c r="AI213">
        <v>91.442595341919997</v>
      </c>
      <c r="AJ213">
        <v>95.530517644536502</v>
      </c>
      <c r="AK213">
        <v>46.047967294977298</v>
      </c>
      <c r="AL213">
        <v>80.215570765670904</v>
      </c>
      <c r="AM213">
        <v>94.415324709937707</v>
      </c>
      <c r="AN213">
        <v>1.0000000157586499</v>
      </c>
    </row>
    <row r="214" spans="1:40" x14ac:dyDescent="0.25">
      <c r="A214" t="str">
        <f>"20190304155317474"</f>
        <v>20190304155317474</v>
      </c>
      <c r="B214" t="str">
        <f>"1551685997466020"</f>
        <v>1551685997466020</v>
      </c>
      <c r="C214" t="s">
        <v>40</v>
      </c>
      <c r="D214">
        <v>4.5685129999999896</v>
      </c>
      <c r="E214">
        <v>0.48915540000000002</v>
      </c>
      <c r="F214" t="s">
        <v>47</v>
      </c>
      <c r="G214">
        <v>-404.87990000000002</v>
      </c>
      <c r="H214">
        <v>-0.05</v>
      </c>
      <c r="I214">
        <v>371.72890000000001</v>
      </c>
      <c r="J214">
        <v>-452.21960000000001</v>
      </c>
      <c r="K214">
        <v>1.109283</v>
      </c>
      <c r="L214">
        <v>367.16640000000001</v>
      </c>
      <c r="M214">
        <v>0.99999079999999996</v>
      </c>
      <c r="N214">
        <v>-4.2938739999999996E-3</v>
      </c>
      <c r="O214">
        <v>-5.0641279999999998E-4</v>
      </c>
      <c r="P214">
        <v>0.9832187</v>
      </c>
      <c r="Q214">
        <v>0.1660809</v>
      </c>
      <c r="R214">
        <v>7.5487509999999994E-2</v>
      </c>
      <c r="S214">
        <v>3.0411990000000002</v>
      </c>
      <c r="T214">
        <v>-7.4082369999999995E-2</v>
      </c>
      <c r="U214">
        <v>0.29156490000000002</v>
      </c>
      <c r="V214">
        <v>-7.6019649999999994E-2</v>
      </c>
      <c r="W214">
        <v>0.17028560000000001</v>
      </c>
      <c r="X214">
        <v>0.9824581</v>
      </c>
      <c r="Y214">
        <v>-9.5904920000000005E-2</v>
      </c>
      <c r="Z214">
        <v>1.3818050000000001E-3</v>
      </c>
      <c r="AA214">
        <v>0.99538950000000004</v>
      </c>
      <c r="AB214">
        <v>27</v>
      </c>
      <c r="AC214">
        <v>47.339699999999901</v>
      </c>
      <c r="AD214">
        <v>-1.1592830000000001</v>
      </c>
      <c r="AE214">
        <v>4.5625</v>
      </c>
      <c r="AF214">
        <v>-4.5837495247073701</v>
      </c>
      <c r="AG214">
        <v>-1.1592830000000001</v>
      </c>
      <c r="AH214">
        <v>47.309273532589003</v>
      </c>
      <c r="AI214">
        <v>91.397174876072299</v>
      </c>
      <c r="AJ214">
        <v>95.534058558199902</v>
      </c>
      <c r="AK214">
        <v>47.544947775349101</v>
      </c>
      <c r="AL214">
        <v>80.1955755969487</v>
      </c>
      <c r="AM214">
        <v>94.424558741704999</v>
      </c>
      <c r="AN214">
        <v>1.0000000455045399</v>
      </c>
    </row>
    <row r="215" spans="1:40" x14ac:dyDescent="0.25">
      <c r="A215" t="str">
        <f>"20190304155317497"</f>
        <v>20190304155317497</v>
      </c>
      <c r="B215" t="str">
        <f>"1551685997485540"</f>
        <v>1551685997485540</v>
      </c>
      <c r="C215" t="s">
        <v>40</v>
      </c>
      <c r="D215">
        <v>4.5821800000000001</v>
      </c>
      <c r="E215">
        <v>0.48883320000000002</v>
      </c>
      <c r="F215" t="s">
        <v>47</v>
      </c>
      <c r="G215">
        <v>-403.28579999999999</v>
      </c>
      <c r="H215">
        <v>-0.05</v>
      </c>
      <c r="I215">
        <v>371.95949999999999</v>
      </c>
      <c r="J215">
        <v>-451.94580000000002</v>
      </c>
      <c r="K215">
        <v>1.1092900000000001</v>
      </c>
      <c r="L215">
        <v>367.16640000000001</v>
      </c>
      <c r="M215">
        <v>0.9999905</v>
      </c>
      <c r="N215">
        <v>-4.3695979999999997E-3</v>
      </c>
      <c r="O215">
        <v>-3.7030910000000002E-4</v>
      </c>
      <c r="P215">
        <v>0.98317960000000004</v>
      </c>
      <c r="Q215">
        <v>0.16622000000000001</v>
      </c>
      <c r="R215">
        <v>7.5691069999999999E-2</v>
      </c>
      <c r="S215">
        <v>3.0404969999999998</v>
      </c>
      <c r="T215">
        <v>-7.2031970000000001E-2</v>
      </c>
      <c r="U215">
        <v>0.297821</v>
      </c>
      <c r="V215">
        <v>-7.6090370000000004E-2</v>
      </c>
      <c r="W215">
        <v>0.17049890000000001</v>
      </c>
      <c r="X215">
        <v>0.98241559999999994</v>
      </c>
      <c r="Y215">
        <v>-9.7821130000000006E-2</v>
      </c>
      <c r="Z215">
        <v>1.3772089999999999E-3</v>
      </c>
      <c r="AA215">
        <v>0.99520310000000001</v>
      </c>
      <c r="AB215">
        <v>27</v>
      </c>
      <c r="AC215">
        <v>48.66</v>
      </c>
      <c r="AD215">
        <v>-1.1592899999999999</v>
      </c>
      <c r="AE215">
        <v>4.7930999999999804</v>
      </c>
      <c r="AF215">
        <v>-4.8084160666566698</v>
      </c>
      <c r="AG215">
        <v>-1.1592899999999999</v>
      </c>
      <c r="AH215">
        <v>48.630884227148201</v>
      </c>
      <c r="AI215">
        <v>91.358965695095407</v>
      </c>
      <c r="AJ215">
        <v>95.646810122120201</v>
      </c>
      <c r="AK215">
        <v>48.881772871781997</v>
      </c>
      <c r="AL215">
        <v>80.183172736297905</v>
      </c>
      <c r="AM215">
        <v>94.428849303311793</v>
      </c>
      <c r="AN215">
        <v>1.0000000152156501</v>
      </c>
    </row>
    <row r="216" spans="1:40" x14ac:dyDescent="0.25">
      <c r="A216" t="str">
        <f>"20190304155317517"</f>
        <v>20190304155317517</v>
      </c>
      <c r="B216" t="str">
        <f>"1551685997515796"</f>
        <v>1551685997515796</v>
      </c>
      <c r="C216" t="s">
        <v>40</v>
      </c>
      <c r="D216">
        <v>4.5744730000000002</v>
      </c>
      <c r="E216">
        <v>0.48848029999999998</v>
      </c>
      <c r="F216" t="s">
        <v>47</v>
      </c>
      <c r="G216">
        <v>-400.93340000000001</v>
      </c>
      <c r="H216">
        <v>-0.05</v>
      </c>
      <c r="I216">
        <v>372.22160000000002</v>
      </c>
      <c r="J216">
        <v>-451.68950000000001</v>
      </c>
      <c r="K216">
        <v>1.1092959999999901</v>
      </c>
      <c r="L216">
        <v>367.16640000000001</v>
      </c>
      <c r="M216">
        <v>0.99999020000000005</v>
      </c>
      <c r="N216">
        <v>-4.437641E-3</v>
      </c>
      <c r="O216">
        <v>-2.428943E-4</v>
      </c>
      <c r="P216">
        <v>0.98318419999999895</v>
      </c>
      <c r="Q216">
        <v>0.16629479999999999</v>
      </c>
      <c r="R216">
        <v>7.5465690000000002E-2</v>
      </c>
      <c r="S216">
        <v>3.0397949999999998</v>
      </c>
      <c r="T216">
        <v>-6.9081310000000007E-2</v>
      </c>
      <c r="U216">
        <v>0.30123899999999998</v>
      </c>
      <c r="V216">
        <v>-7.5739929999999997E-2</v>
      </c>
      <c r="W216">
        <v>0.17064079999999901</v>
      </c>
      <c r="X216">
        <v>0.98241800000000001</v>
      </c>
      <c r="Y216">
        <v>-9.8826860000000002E-2</v>
      </c>
      <c r="Z216">
        <v>1.344345E-3</v>
      </c>
      <c r="AA216">
        <v>0.99510370000000004</v>
      </c>
      <c r="AB216">
        <v>27</v>
      </c>
      <c r="AC216">
        <v>50.756100000000004</v>
      </c>
      <c r="AD216">
        <v>-1.1592960000000001</v>
      </c>
      <c r="AE216">
        <v>5.0552000000000099</v>
      </c>
      <c r="AF216">
        <v>-5.0649119803517699</v>
      </c>
      <c r="AG216">
        <v>-1.1592960000000001</v>
      </c>
      <c r="AH216">
        <v>50.728665937095499</v>
      </c>
      <c r="AI216">
        <v>91.302670978809402</v>
      </c>
      <c r="AJ216">
        <v>95.7016975705709</v>
      </c>
      <c r="AK216">
        <v>50.994066795478801</v>
      </c>
      <c r="AL216">
        <v>80.174921131826096</v>
      </c>
      <c r="AM216">
        <v>94.408521768066706</v>
      </c>
      <c r="AN216">
        <v>0.99999997317252198</v>
      </c>
    </row>
    <row r="217" spans="1:40" x14ac:dyDescent="0.25">
      <c r="A217" t="str">
        <f>"20190304155317542"</f>
        <v>20190304155317542</v>
      </c>
      <c r="B217" t="str">
        <f>"1551685997535315"</f>
        <v>1551685997535315</v>
      </c>
      <c r="C217" t="s">
        <v>40</v>
      </c>
      <c r="D217">
        <v>4.7306220000000003</v>
      </c>
      <c r="E217">
        <v>0.48865969999999997</v>
      </c>
      <c r="F217" t="s">
        <v>47</v>
      </c>
      <c r="G217">
        <v>-398.52760000000001</v>
      </c>
      <c r="H217">
        <v>-0.05</v>
      </c>
      <c r="I217">
        <v>372.47840000000002</v>
      </c>
      <c r="J217">
        <v>-451.39870000000002</v>
      </c>
      <c r="K217">
        <v>1.109307</v>
      </c>
      <c r="L217">
        <v>367.16649999999998</v>
      </c>
      <c r="M217">
        <v>0.99998989999999999</v>
      </c>
      <c r="N217">
        <v>-4.5111739999999997E-3</v>
      </c>
      <c r="O217" s="1">
        <v>-9.8446090000000005E-5</v>
      </c>
      <c r="P217">
        <v>0.98312809999999995</v>
      </c>
      <c r="Q217">
        <v>0.16676729999999901</v>
      </c>
      <c r="R217">
        <v>7.5153709999999999E-2</v>
      </c>
      <c r="S217">
        <v>3.039215</v>
      </c>
      <c r="T217">
        <v>-6.6275840000000003E-2</v>
      </c>
      <c r="U217">
        <v>0.30368040000000002</v>
      </c>
      <c r="V217">
        <v>-7.5286279999999997E-2</v>
      </c>
      <c r="W217">
        <v>0.1711849</v>
      </c>
      <c r="X217">
        <v>0.98235819999999996</v>
      </c>
      <c r="Y217">
        <v>-9.9495219999999995E-2</v>
      </c>
      <c r="Z217">
        <v>1.3087280000000001E-3</v>
      </c>
      <c r="AA217">
        <v>0.99503719999999996</v>
      </c>
      <c r="AB217">
        <v>27</v>
      </c>
      <c r="AC217">
        <v>52.871099999999998</v>
      </c>
      <c r="AD217">
        <v>-1.1593069999999901</v>
      </c>
      <c r="AE217">
        <v>5.3119000000000298</v>
      </c>
      <c r="AF217">
        <v>-5.31457529165026</v>
      </c>
      <c r="AG217">
        <v>-1.1593069999999901</v>
      </c>
      <c r="AH217">
        <v>52.845422874791602</v>
      </c>
      <c r="AI217">
        <v>91.250430512653907</v>
      </c>
      <c r="AJ217">
        <v>95.742831143739195</v>
      </c>
      <c r="AK217">
        <v>53.124640441761301</v>
      </c>
      <c r="AL217">
        <v>80.143280851951005</v>
      </c>
      <c r="AM217">
        <v>94.382485484151701</v>
      </c>
      <c r="AN217">
        <v>0.99999996352574305</v>
      </c>
    </row>
    <row r="218" spans="1:40" x14ac:dyDescent="0.25">
      <c r="A218" t="str">
        <f>"20190304155317564"</f>
        <v>20190304155317564</v>
      </c>
      <c r="B218" t="str">
        <f>"1551685997555812"</f>
        <v>1551685997555812</v>
      </c>
      <c r="C218" t="s">
        <v>40</v>
      </c>
      <c r="D218">
        <v>4.5646060000000004</v>
      </c>
      <c r="E218">
        <v>0.48841659999999998</v>
      </c>
      <c r="F218" t="s">
        <v>47</v>
      </c>
      <c r="G218">
        <v>-398.73899999999998</v>
      </c>
      <c r="H218">
        <v>-0.05</v>
      </c>
      <c r="I218">
        <v>372.3845</v>
      </c>
      <c r="J218">
        <v>-451.11959999999999</v>
      </c>
      <c r="K218">
        <v>1.1093150000000001</v>
      </c>
      <c r="L218">
        <v>367.16660000000002</v>
      </c>
      <c r="M218">
        <v>0.99998960000000003</v>
      </c>
      <c r="N218">
        <v>-4.5777049999999996E-3</v>
      </c>
      <c r="O218" s="1">
        <v>3.9756419999999999E-5</v>
      </c>
      <c r="P218">
        <v>0.98297420000000002</v>
      </c>
      <c r="Q218">
        <v>0.167717</v>
      </c>
      <c r="R218">
        <v>7.505175E-2</v>
      </c>
      <c r="S218">
        <v>3.0397949999999998</v>
      </c>
      <c r="T218">
        <v>-6.6921229999999998E-2</v>
      </c>
      <c r="U218">
        <v>0.30120849999999999</v>
      </c>
      <c r="V218">
        <v>-7.5048909999999996E-2</v>
      </c>
      <c r="W218">
        <v>0.17219909999999999</v>
      </c>
      <c r="X218">
        <v>0.98219909999999999</v>
      </c>
      <c r="Y218">
        <v>-9.8537379999999994E-2</v>
      </c>
      <c r="Z218">
        <v>1.307304E-3</v>
      </c>
      <c r="AA218">
        <v>0.99513249999999998</v>
      </c>
      <c r="AB218">
        <v>27</v>
      </c>
      <c r="AC218">
        <v>52.380599999999902</v>
      </c>
      <c r="AD218">
        <v>-1.1593149999999901</v>
      </c>
      <c r="AE218">
        <v>5.2178999999999798</v>
      </c>
      <c r="AF218">
        <v>-5.2132888782728903</v>
      </c>
      <c r="AG218">
        <v>-1.1593149999999901</v>
      </c>
      <c r="AH218">
        <v>52.355413165395198</v>
      </c>
      <c r="AI218">
        <v>91.2622627838482</v>
      </c>
      <c r="AJ218">
        <v>95.686481010470203</v>
      </c>
      <c r="AK218">
        <v>52.627100242335104</v>
      </c>
      <c r="AL218">
        <v>80.084295645714604</v>
      </c>
      <c r="AM218">
        <v>94.369426449657098</v>
      </c>
      <c r="AN218">
        <v>0.99999997048690303</v>
      </c>
    </row>
    <row r="219" spans="1:40" x14ac:dyDescent="0.25">
      <c r="A219" t="str">
        <f>"20190304155317587"</f>
        <v>20190304155317587</v>
      </c>
      <c r="B219" t="str">
        <f>"1551685997576308"</f>
        <v>1551685997576308</v>
      </c>
      <c r="C219" t="s">
        <v>40</v>
      </c>
      <c r="D219">
        <v>4.5420299999999996</v>
      </c>
      <c r="E219">
        <v>0.48818879999999998</v>
      </c>
      <c r="F219" t="s">
        <v>46</v>
      </c>
      <c r="G219">
        <v>-397.83760000000001</v>
      </c>
      <c r="H219" s="1">
        <v>-1.6725929999999999E-6</v>
      </c>
      <c r="I219">
        <v>372.48230000000001</v>
      </c>
      <c r="J219">
        <v>-450.83839999999998</v>
      </c>
      <c r="K219">
        <v>1.1093230000000001</v>
      </c>
      <c r="L219">
        <v>367.16680000000002</v>
      </c>
      <c r="M219">
        <v>0.99998929999999997</v>
      </c>
      <c r="N219">
        <v>-4.6416410000000002E-3</v>
      </c>
      <c r="O219">
        <v>1.7855979999999901E-4</v>
      </c>
      <c r="P219">
        <v>0.98287740000000001</v>
      </c>
      <c r="Q219">
        <v>0.1685161</v>
      </c>
      <c r="R219">
        <v>7.4528220000000006E-2</v>
      </c>
      <c r="S219">
        <v>3.039612</v>
      </c>
      <c r="T219">
        <v>-6.3283800000000001E-2</v>
      </c>
      <c r="U219">
        <v>0.3032532</v>
      </c>
      <c r="V219">
        <v>-7.4389759999999999E-2</v>
      </c>
      <c r="W219">
        <v>0.17306050000000001</v>
      </c>
      <c r="X219">
        <v>0.98209789999999997</v>
      </c>
      <c r="Y219">
        <v>-9.9070560000000002E-2</v>
      </c>
      <c r="Z219">
        <v>1.25629E-3</v>
      </c>
      <c r="AA219">
        <v>0.99507959999999995</v>
      </c>
      <c r="AB219">
        <v>28</v>
      </c>
      <c r="AC219">
        <v>53.000799999999899</v>
      </c>
      <c r="AD219">
        <v>-1.1093246725929999</v>
      </c>
      <c r="AE219">
        <v>5.3154999999999797</v>
      </c>
      <c r="AF219">
        <v>-5.3037356835836897</v>
      </c>
      <c r="AG219">
        <v>-1.1093246725929999</v>
      </c>
      <c r="AH219">
        <v>52.978770526517401</v>
      </c>
      <c r="AI219">
        <v>91.193578961458897</v>
      </c>
      <c r="AJ219">
        <v>95.716866361085295</v>
      </c>
      <c r="AK219">
        <v>53.2551437884824</v>
      </c>
      <c r="AL219">
        <v>80.034189382976294</v>
      </c>
      <c r="AM219">
        <v>94.331641326707896</v>
      </c>
      <c r="AN219">
        <v>1.0000000291187501</v>
      </c>
    </row>
    <row r="220" spans="1:40" x14ac:dyDescent="0.25">
      <c r="A220" t="str">
        <f>"20190304155317608"</f>
        <v>20190304155317608</v>
      </c>
      <c r="B220" t="str">
        <f>"1551685997605589"</f>
        <v>1551685997605589</v>
      </c>
      <c r="C220" t="s">
        <v>40</v>
      </c>
      <c r="D220">
        <v>4.5689650000000004</v>
      </c>
      <c r="E220">
        <v>0.4879753</v>
      </c>
      <c r="F220" t="s">
        <v>46</v>
      </c>
      <c r="G220">
        <v>-396.04480000000001</v>
      </c>
      <c r="H220" s="1">
        <v>-2.4814949999999999E-6</v>
      </c>
      <c r="I220">
        <v>372.6318</v>
      </c>
      <c r="J220">
        <v>-450.57729999999998</v>
      </c>
      <c r="K220">
        <v>1.109326</v>
      </c>
      <c r="L220">
        <v>367.16699999999997</v>
      </c>
      <c r="M220">
        <v>0.99998909999999996</v>
      </c>
      <c r="N220">
        <v>-4.6982839999999996E-3</v>
      </c>
      <c r="O220">
        <v>3.078984E-4</v>
      </c>
      <c r="P220">
        <v>0.98278880000000002</v>
      </c>
      <c r="Q220">
        <v>0.1689465</v>
      </c>
      <c r="R220">
        <v>7.4722369999999996E-2</v>
      </c>
      <c r="S220">
        <v>3.039825</v>
      </c>
      <c r="T220">
        <v>-6.154275E-2</v>
      </c>
      <c r="U220">
        <v>0.30319210000000002</v>
      </c>
      <c r="V220">
        <v>-7.4456820000000007E-2</v>
      </c>
      <c r="W220">
        <v>0.17354610000000001</v>
      </c>
      <c r="X220">
        <v>0.98200710000000002</v>
      </c>
      <c r="Y220">
        <v>-9.891643E-2</v>
      </c>
      <c r="Z220">
        <v>1.2269259999999999E-3</v>
      </c>
      <c r="AA220">
        <v>0.99509499999999995</v>
      </c>
      <c r="AB220">
        <v>28</v>
      </c>
      <c r="AC220">
        <v>54.532499999999899</v>
      </c>
      <c r="AD220">
        <v>-1.109328481495</v>
      </c>
      <c r="AE220">
        <v>5.4648000000000199</v>
      </c>
      <c r="AF220">
        <v>-5.4457779337801204</v>
      </c>
      <c r="AG220">
        <v>-1.109328481495</v>
      </c>
      <c r="AH220">
        <v>54.511846330467201</v>
      </c>
      <c r="AI220">
        <v>91.160048457782693</v>
      </c>
      <c r="AJ220">
        <v>95.704966527108397</v>
      </c>
      <c r="AK220">
        <v>54.794420312111797</v>
      </c>
      <c r="AL220">
        <v>80.0059388467688</v>
      </c>
      <c r="AM220">
        <v>94.335930632024599</v>
      </c>
      <c r="AN220">
        <v>1.00000000566006</v>
      </c>
    </row>
    <row r="221" spans="1:40" x14ac:dyDescent="0.25">
      <c r="A221" t="str">
        <f>"20190304155317630"</f>
        <v>20190304155317630</v>
      </c>
      <c r="B221" t="str">
        <f>"1551685997626084"</f>
        <v>1551685997626084</v>
      </c>
      <c r="C221" t="s">
        <v>40</v>
      </c>
      <c r="D221">
        <v>4.5635500000000002</v>
      </c>
      <c r="E221">
        <v>0.48777209999999899</v>
      </c>
      <c r="F221" t="s">
        <v>46</v>
      </c>
      <c r="G221">
        <v>-394.46039999999999</v>
      </c>
      <c r="H221" s="1">
        <v>-3.2090469999999999E-6</v>
      </c>
      <c r="I221">
        <v>372.81169999999997</v>
      </c>
      <c r="J221">
        <v>-450.29730000000001</v>
      </c>
      <c r="K221">
        <v>1.1093309999999901</v>
      </c>
      <c r="L221">
        <v>367.16719999999998</v>
      </c>
      <c r="M221">
        <v>0.99998860000000001</v>
      </c>
      <c r="N221">
        <v>-4.7562569999999998E-3</v>
      </c>
      <c r="O221">
        <v>4.4700650000000002E-4</v>
      </c>
      <c r="P221">
        <v>0.98279229999999995</v>
      </c>
      <c r="Q221">
        <v>0.16915229999999901</v>
      </c>
      <c r="R221">
        <v>7.4210200000000004E-2</v>
      </c>
      <c r="S221">
        <v>3.0396420000000002</v>
      </c>
      <c r="T221">
        <v>-6.0088040000000002E-2</v>
      </c>
      <c r="U221">
        <v>0.30575560000000002</v>
      </c>
      <c r="V221">
        <v>-7.3808550000000001E-2</v>
      </c>
      <c r="W221">
        <v>0.17380860000000001</v>
      </c>
      <c r="X221">
        <v>0.98200960000000004</v>
      </c>
      <c r="Y221">
        <v>-9.9615620000000002E-2</v>
      </c>
      <c r="Z221">
        <v>1.2128659999999999E-3</v>
      </c>
      <c r="AA221">
        <v>0.9950253</v>
      </c>
      <c r="AB221">
        <v>28</v>
      </c>
      <c r="AC221">
        <v>55.8369</v>
      </c>
      <c r="AD221">
        <v>-1.10933420904699</v>
      </c>
      <c r="AE221">
        <v>5.6444999999999901</v>
      </c>
      <c r="AF221">
        <v>-5.6173448825256402</v>
      </c>
      <c r="AG221">
        <v>-1.10933420904699</v>
      </c>
      <c r="AH221">
        <v>55.817608469861099</v>
      </c>
      <c r="AI221">
        <v>91.132841188445198</v>
      </c>
      <c r="AJ221">
        <v>95.746755580634996</v>
      </c>
      <c r="AK221">
        <v>56.110521305823802</v>
      </c>
      <c r="AL221">
        <v>79.990666478345005</v>
      </c>
      <c r="AM221">
        <v>94.298310370365897</v>
      </c>
      <c r="AN221">
        <v>0.99999999298961095</v>
      </c>
    </row>
    <row r="222" spans="1:40" x14ac:dyDescent="0.25">
      <c r="A222" t="str">
        <f>"20190304155317652"</f>
        <v>20190304155317652</v>
      </c>
      <c r="B222" t="str">
        <f>"1551685997645603"</f>
        <v>1551685997645603</v>
      </c>
      <c r="C222" t="s">
        <v>40</v>
      </c>
      <c r="D222">
        <v>4.7216969999999998</v>
      </c>
      <c r="E222">
        <v>0.48739070000000001</v>
      </c>
      <c r="F222" t="s">
        <v>46</v>
      </c>
      <c r="G222">
        <v>-393.63940000000002</v>
      </c>
      <c r="H222" s="1">
        <v>-3.5781749999999998E-6</v>
      </c>
      <c r="I222">
        <v>372.87529999999998</v>
      </c>
      <c r="J222">
        <v>-450.01979999999998</v>
      </c>
      <c r="K222">
        <v>1.1093360000000001</v>
      </c>
      <c r="L222">
        <v>367.16739999999999</v>
      </c>
      <c r="M222">
        <v>0.9999884</v>
      </c>
      <c r="N222">
        <v>-4.8112540000000001E-3</v>
      </c>
      <c r="O222">
        <v>5.8439180000000002E-4</v>
      </c>
      <c r="P222">
        <v>0.98279090000000002</v>
      </c>
      <c r="Q222">
        <v>0.169341299999999</v>
      </c>
      <c r="R222">
        <v>7.3796730000000005E-2</v>
      </c>
      <c r="S222">
        <v>3.0396730000000001</v>
      </c>
      <c r="T222">
        <v>-5.9515239999999997E-2</v>
      </c>
      <c r="U222">
        <v>0.30624390000000001</v>
      </c>
      <c r="V222">
        <v>-7.3260279999999997E-2</v>
      </c>
      <c r="W222">
        <v>0.17405229999999999</v>
      </c>
      <c r="X222">
        <v>0.98200750000000003</v>
      </c>
      <c r="Y222">
        <v>-9.9636520000000006E-2</v>
      </c>
      <c r="Z222">
        <v>1.204576E-3</v>
      </c>
      <c r="AA222">
        <v>0.9950232</v>
      </c>
      <c r="AB222">
        <v>28</v>
      </c>
      <c r="AC222">
        <v>56.380399999999902</v>
      </c>
      <c r="AD222">
        <v>-1.109339578175</v>
      </c>
      <c r="AE222">
        <v>5.7078999999999898</v>
      </c>
      <c r="AF222">
        <v>-5.6727765040923002</v>
      </c>
      <c r="AG222">
        <v>-1.109339578175</v>
      </c>
      <c r="AH222">
        <v>56.362127166924097</v>
      </c>
      <c r="AI222">
        <v>91.121903710716097</v>
      </c>
      <c r="AJ222">
        <v>95.747392229632894</v>
      </c>
      <c r="AK222">
        <v>56.657747981592202</v>
      </c>
      <c r="AL222">
        <v>79.976487458222806</v>
      </c>
      <c r="AM222">
        <v>94.266508778804905</v>
      </c>
      <c r="AN222">
        <v>1.0000000009086001</v>
      </c>
    </row>
    <row r="223" spans="1:40" x14ac:dyDescent="0.25">
      <c r="A223" t="str">
        <f>"20190304155317674"</f>
        <v>20190304155317674</v>
      </c>
      <c r="B223" t="str">
        <f>"1551685997666100"</f>
        <v>1551685997666100</v>
      </c>
      <c r="C223" t="s">
        <v>40</v>
      </c>
      <c r="D223">
        <v>4.5935589999999999</v>
      </c>
      <c r="E223">
        <v>0.4876837</v>
      </c>
      <c r="F223" t="s">
        <v>46</v>
      </c>
      <c r="G223">
        <v>-394.44009999999997</v>
      </c>
      <c r="H223" s="1">
        <v>-3.2142180000000001E-6</v>
      </c>
      <c r="I223">
        <v>372.79840000000002</v>
      </c>
      <c r="J223">
        <v>-449.74360000000001</v>
      </c>
      <c r="K223">
        <v>1.109345</v>
      </c>
      <c r="L223">
        <v>367.1678</v>
      </c>
      <c r="M223">
        <v>0.99998810000000005</v>
      </c>
      <c r="N223">
        <v>-4.8638020000000004E-3</v>
      </c>
      <c r="O223">
        <v>7.2231979999999997E-4</v>
      </c>
      <c r="P223">
        <v>0.98282720000000001</v>
      </c>
      <c r="Q223">
        <v>0.16911470000000001</v>
      </c>
      <c r="R223">
        <v>7.3835440000000002E-2</v>
      </c>
      <c r="S223">
        <v>3.0398559999999999</v>
      </c>
      <c r="T223">
        <v>-6.0673709999999999E-2</v>
      </c>
      <c r="U223">
        <v>0.30798340000000002</v>
      </c>
      <c r="V223">
        <v>-7.316425E-2</v>
      </c>
      <c r="W223">
        <v>0.17387710000000001</v>
      </c>
      <c r="X223">
        <v>0.98204570000000002</v>
      </c>
      <c r="Y223">
        <v>-0.1000559</v>
      </c>
      <c r="Z223">
        <v>1.2289849999999999E-3</v>
      </c>
      <c r="AA223">
        <v>0.99498109999999995</v>
      </c>
      <c r="AB223">
        <v>28</v>
      </c>
      <c r="AC223">
        <v>55.3035</v>
      </c>
      <c r="AD223">
        <v>-1.109348214218</v>
      </c>
      <c r="AE223">
        <v>5.63060000000001</v>
      </c>
      <c r="AF223">
        <v>-5.5884256825041803</v>
      </c>
      <c r="AG223">
        <v>-1.109348214218</v>
      </c>
      <c r="AH223">
        <v>55.285535446534801</v>
      </c>
      <c r="AI223">
        <v>91.1437044530592</v>
      </c>
      <c r="AJ223">
        <v>95.7720213352314</v>
      </c>
      <c r="AK223">
        <v>55.578337368792504</v>
      </c>
      <c r="AL223">
        <v>79.986681155534498</v>
      </c>
      <c r="AM223">
        <v>94.260771691589497</v>
      </c>
      <c r="AN223">
        <v>1.00000000513548</v>
      </c>
    </row>
    <row r="224" spans="1:40" x14ac:dyDescent="0.25">
      <c r="A224" t="str">
        <f>"20190304155317698"</f>
        <v>20190304155317698</v>
      </c>
      <c r="B224" t="str">
        <f>"1551685997696357"</f>
        <v>1551685997696357</v>
      </c>
      <c r="C224" t="s">
        <v>40</v>
      </c>
      <c r="D224">
        <v>4.6165019999999997</v>
      </c>
      <c r="E224">
        <v>0.53193649999999904</v>
      </c>
      <c r="F224" t="s">
        <v>46</v>
      </c>
      <c r="G224">
        <v>-396.39060000000001</v>
      </c>
      <c r="H224" s="1">
        <v>-2.304986E-6</v>
      </c>
      <c r="I224">
        <v>372.52609999999999</v>
      </c>
      <c r="J224">
        <v>-449.44760000000002</v>
      </c>
      <c r="K224">
        <v>1.109351</v>
      </c>
      <c r="L224">
        <v>367.16820000000001</v>
      </c>
      <c r="M224">
        <v>0.99998770000000003</v>
      </c>
      <c r="N224">
        <v>-4.9204169999999998E-3</v>
      </c>
      <c r="O224">
        <v>8.7198579999999998E-4</v>
      </c>
      <c r="P224">
        <v>0.98285020000000001</v>
      </c>
      <c r="Q224">
        <v>0.16899620000000001</v>
      </c>
      <c r="R224">
        <v>7.3797740000000001E-2</v>
      </c>
      <c r="S224">
        <v>3.0404049999999998</v>
      </c>
      <c r="T224">
        <v>-6.3217880000000004E-2</v>
      </c>
      <c r="U224">
        <v>0.30535889999999999</v>
      </c>
      <c r="V224">
        <v>-7.2980100000000006E-2</v>
      </c>
      <c r="W224">
        <v>0.1738142</v>
      </c>
      <c r="X224">
        <v>0.98207049999999996</v>
      </c>
      <c r="Y224">
        <v>-9.903708E-2</v>
      </c>
      <c r="Z224">
        <v>1.2574179999999999E-3</v>
      </c>
      <c r="AA224">
        <v>0.99508300000000005</v>
      </c>
      <c r="AB224">
        <v>28</v>
      </c>
      <c r="AC224">
        <v>53.057000000000002</v>
      </c>
      <c r="AD224">
        <v>-1.109353304986</v>
      </c>
      <c r="AE224">
        <v>5.3578999999999697</v>
      </c>
      <c r="AF224">
        <v>-5.30933478854406</v>
      </c>
      <c r="AG224">
        <v>-1.109353304986</v>
      </c>
      <c r="AH224">
        <v>53.038698822952199</v>
      </c>
      <c r="AI224">
        <v>91.192262384068599</v>
      </c>
      <c r="AJ224">
        <v>95.716438166650505</v>
      </c>
      <c r="AK224">
        <v>53.315319313345199</v>
      </c>
      <c r="AL224">
        <v>79.990340420567804</v>
      </c>
      <c r="AM224">
        <v>94.249979998002004</v>
      </c>
      <c r="AN224">
        <v>0.99999996904394906</v>
      </c>
    </row>
    <row r="225" spans="1:40" x14ac:dyDescent="0.25">
      <c r="A225" t="str">
        <f>"20190304155317719"</f>
        <v>20190304155317719</v>
      </c>
      <c r="B225" t="str">
        <f>"1551685997715876"</f>
        <v>1551685997715876</v>
      </c>
      <c r="C225" t="s">
        <v>40</v>
      </c>
      <c r="D225">
        <v>4.5084910000000002</v>
      </c>
      <c r="E225">
        <v>0.53474540000000004</v>
      </c>
      <c r="F225" t="s">
        <v>47</v>
      </c>
      <c r="G225">
        <v>-411.07760000000002</v>
      </c>
      <c r="H225">
        <v>-0.05</v>
      </c>
      <c r="I225">
        <v>366.5643</v>
      </c>
      <c r="J225">
        <v>-449.17270000000002</v>
      </c>
      <c r="K225">
        <v>1.1093630000000001</v>
      </c>
      <c r="L225">
        <v>367.16849999999999</v>
      </c>
      <c r="M225">
        <v>0.99998710000000002</v>
      </c>
      <c r="N225">
        <v>-4.9748609999999997E-3</v>
      </c>
      <c r="O225">
        <v>1.014926E-3</v>
      </c>
      <c r="P225">
        <v>0.98291130000000004</v>
      </c>
      <c r="Q225">
        <v>0.168709</v>
      </c>
      <c r="R225">
        <v>7.3638800000000004E-2</v>
      </c>
      <c r="S225">
        <v>3.0719599999999998</v>
      </c>
      <c r="T225">
        <v>-9.2819330000000005E-2</v>
      </c>
      <c r="U225">
        <v>-4.8339840000000002E-2</v>
      </c>
      <c r="V225">
        <v>-7.2681579999999996E-2</v>
      </c>
      <c r="W225">
        <v>0.17357990000000001</v>
      </c>
      <c r="X225">
        <v>0.98213410000000001</v>
      </c>
      <c r="Y225">
        <v>1.6739469999999999E-2</v>
      </c>
      <c r="Z225">
        <v>-3.2007980000000002E-4</v>
      </c>
      <c r="AA225">
        <v>0.99985979999999997</v>
      </c>
      <c r="AB225">
        <v>28</v>
      </c>
      <c r="AC225">
        <v>38.095100000000002</v>
      </c>
      <c r="AD225">
        <v>-1.1593629999999999</v>
      </c>
      <c r="AE225">
        <v>-0.60419999999999097</v>
      </c>
      <c r="AF225">
        <v>0.64226916069786399</v>
      </c>
      <c r="AG225">
        <v>-1.1593629999999999</v>
      </c>
      <c r="AH225">
        <v>38.059225899160502</v>
      </c>
      <c r="AI225">
        <v>91.744560544599395</v>
      </c>
      <c r="AJ225">
        <v>89.033195797534006</v>
      </c>
      <c r="AK225">
        <v>38.0822965206128</v>
      </c>
      <c r="AL225">
        <v>80.003972267027805</v>
      </c>
      <c r="AM225">
        <v>94.232385961604606</v>
      </c>
      <c r="AN225">
        <v>0.99999999206905799</v>
      </c>
    </row>
    <row r="226" spans="1:40" x14ac:dyDescent="0.25">
      <c r="A226" t="str">
        <f>"20190304155317742"</f>
        <v>20190304155317742</v>
      </c>
      <c r="B226" t="str">
        <f>"1551685997735396"</f>
        <v>1551685997735396</v>
      </c>
      <c r="C226" t="s">
        <v>40</v>
      </c>
      <c r="D226">
        <v>4.5072679999999998</v>
      </c>
      <c r="E226">
        <v>0.53627069999999999</v>
      </c>
      <c r="F226" t="s">
        <v>47</v>
      </c>
      <c r="G226">
        <v>-407.83170000000001</v>
      </c>
      <c r="H226">
        <v>-0.05</v>
      </c>
      <c r="I226">
        <v>366.226</v>
      </c>
      <c r="J226">
        <v>-448.88690000000003</v>
      </c>
      <c r="K226">
        <v>1.109369</v>
      </c>
      <c r="L226">
        <v>367.16899999999998</v>
      </c>
      <c r="M226">
        <v>0.99998670000000001</v>
      </c>
      <c r="N226">
        <v>-5.0353100000000003E-3</v>
      </c>
      <c r="O226">
        <v>1.169006E-3</v>
      </c>
      <c r="P226">
        <v>0.98307840000000002</v>
      </c>
      <c r="Q226">
        <v>0.16768239999999901</v>
      </c>
      <c r="R226">
        <v>7.3754219999999995E-2</v>
      </c>
      <c r="S226">
        <v>3.0722049999999999</v>
      </c>
      <c r="T226">
        <v>-8.6156730000000001E-2</v>
      </c>
      <c r="U226">
        <v>-7.0037840000000004E-2</v>
      </c>
      <c r="V226">
        <v>-7.2647260000000005E-2</v>
      </c>
      <c r="W226">
        <v>0.1726134</v>
      </c>
      <c r="X226">
        <v>0.98230700000000004</v>
      </c>
      <c r="Y226">
        <v>2.3948629999999999E-2</v>
      </c>
      <c r="Z226">
        <v>-4.229023E-4</v>
      </c>
      <c r="AA226">
        <v>0.99971310000000002</v>
      </c>
      <c r="AB226">
        <v>28</v>
      </c>
      <c r="AC226">
        <v>41.055199999999999</v>
      </c>
      <c r="AD226">
        <v>-1.1593690000000001</v>
      </c>
      <c r="AE226">
        <v>-0.94300000000004003</v>
      </c>
      <c r="AF226">
        <v>0.99020450762661605</v>
      </c>
      <c r="AG226">
        <v>-1.1593690000000001</v>
      </c>
      <c r="AH226">
        <v>41.021374046711998</v>
      </c>
      <c r="AI226">
        <v>91.618423201011097</v>
      </c>
      <c r="AJ226">
        <v>88.617220291403697</v>
      </c>
      <c r="AK226">
        <v>41.049698782394699</v>
      </c>
      <c r="AL226">
        <v>80.060197710699299</v>
      </c>
      <c r="AM226">
        <v>94.229652793011198</v>
      </c>
      <c r="AN226">
        <v>1.0000000262470301</v>
      </c>
    </row>
    <row r="227" spans="1:40" x14ac:dyDescent="0.25">
      <c r="A227" t="str">
        <f>"20190304155317764"</f>
        <v>20190304155317764</v>
      </c>
      <c r="B227" t="str">
        <f>"1551685997755892"</f>
        <v>1551685997755892</v>
      </c>
      <c r="C227" t="s">
        <v>40</v>
      </c>
      <c r="D227">
        <v>4.6159999999999997</v>
      </c>
      <c r="E227">
        <v>0.53752900000000003</v>
      </c>
      <c r="F227" t="s">
        <v>47</v>
      </c>
      <c r="G227">
        <v>-405.86649999999997</v>
      </c>
      <c r="H227">
        <v>-0.05</v>
      </c>
      <c r="I227">
        <v>366.0274</v>
      </c>
      <c r="J227">
        <v>-448.59719999999999</v>
      </c>
      <c r="K227">
        <v>1.109378</v>
      </c>
      <c r="L227">
        <v>367.16950000000003</v>
      </c>
      <c r="M227">
        <v>0.99998609999999999</v>
      </c>
      <c r="N227">
        <v>-5.0997450000000001E-3</v>
      </c>
      <c r="O227">
        <v>1.3351859999999999E-3</v>
      </c>
      <c r="P227">
        <v>0.98311570000000004</v>
      </c>
      <c r="Q227">
        <v>0.16740360000000001</v>
      </c>
      <c r="R227">
        <v>7.3887099999999997E-2</v>
      </c>
      <c r="S227">
        <v>3.071869</v>
      </c>
      <c r="T227">
        <v>-8.2784769999999994E-2</v>
      </c>
      <c r="U227">
        <v>-8.151245E-2</v>
      </c>
      <c r="V227">
        <v>-7.2619630000000004E-2</v>
      </c>
      <c r="W227">
        <v>0.17239640000000001</v>
      </c>
      <c r="X227">
        <v>0.98234710000000003</v>
      </c>
      <c r="Y227">
        <v>2.7848169999999998E-2</v>
      </c>
      <c r="Z227">
        <v>-4.753108E-4</v>
      </c>
      <c r="AA227">
        <v>0.99961199999999995</v>
      </c>
      <c r="AB227">
        <v>29</v>
      </c>
      <c r="AC227">
        <v>42.730699999999999</v>
      </c>
      <c r="AD227">
        <v>-1.159378</v>
      </c>
      <c r="AE227">
        <v>-1.1421000000000201</v>
      </c>
      <c r="AF227">
        <v>1.19827167090449</v>
      </c>
      <c r="AG227">
        <v>-1.159378</v>
      </c>
      <c r="AH227">
        <v>42.697727207815397</v>
      </c>
      <c r="AI227">
        <v>91.554767153621995</v>
      </c>
      <c r="AJ227">
        <v>88.392469618831797</v>
      </c>
      <c r="AK227">
        <v>42.730269377306698</v>
      </c>
      <c r="AL227">
        <v>80.072819628931896</v>
      </c>
      <c r="AM227">
        <v>94.227877994233197</v>
      </c>
      <c r="AN227">
        <v>0.99999997713635302</v>
      </c>
    </row>
    <row r="228" spans="1:40" x14ac:dyDescent="0.25">
      <c r="A228" t="str">
        <f>"20190304155317789"</f>
        <v>20190304155317789</v>
      </c>
      <c r="B228" t="str">
        <f>"1551685997786148"</f>
        <v>1551685997786148</v>
      </c>
      <c r="C228" t="s">
        <v>40</v>
      </c>
      <c r="D228">
        <v>4.5232419999999998</v>
      </c>
      <c r="E228">
        <v>0.53875059999999997</v>
      </c>
      <c r="F228" t="s">
        <v>47</v>
      </c>
      <c r="G228">
        <v>-407.55709999999999</v>
      </c>
      <c r="H228">
        <v>-0.05</v>
      </c>
      <c r="I228">
        <v>365.95699999999999</v>
      </c>
      <c r="J228">
        <v>-448.29140000000001</v>
      </c>
      <c r="K228">
        <v>1.1093959999999901</v>
      </c>
      <c r="L228">
        <v>367.17</v>
      </c>
      <c r="M228">
        <v>0.99998560000000003</v>
      </c>
      <c r="N228">
        <v>-5.1698930000000001E-3</v>
      </c>
      <c r="O228">
        <v>1.5193590000000001E-3</v>
      </c>
      <c r="P228">
        <v>0.98322030000000005</v>
      </c>
      <c r="Q228">
        <v>0.16706579999999999</v>
      </c>
      <c r="R228">
        <v>7.3261510000000002E-2</v>
      </c>
      <c r="S228">
        <v>3.0731510000000002</v>
      </c>
      <c r="T228">
        <v>-8.6816190000000001E-2</v>
      </c>
      <c r="U228">
        <v>-9.0789789999999995E-2</v>
      </c>
      <c r="V228">
        <v>-7.1816409999999997E-2</v>
      </c>
      <c r="W228">
        <v>0.172126799999999</v>
      </c>
      <c r="X228">
        <v>0.98245349999999998</v>
      </c>
      <c r="Y228">
        <v>3.1033660000000001E-2</v>
      </c>
      <c r="Z228">
        <v>-5.5347549999999995E-4</v>
      </c>
      <c r="AA228">
        <v>0.99951820000000002</v>
      </c>
      <c r="AB228">
        <v>29</v>
      </c>
      <c r="AC228">
        <v>40.734299999999998</v>
      </c>
      <c r="AD228">
        <v>-1.1593960000000001</v>
      </c>
      <c r="AE228">
        <v>-1.2130000000000201</v>
      </c>
      <c r="AF228">
        <v>1.2738583960174099</v>
      </c>
      <c r="AG228">
        <v>-1.1593960000000001</v>
      </c>
      <c r="AH228">
        <v>40.699468209481601</v>
      </c>
      <c r="AI228">
        <v>91.630931626265493</v>
      </c>
      <c r="AJ228">
        <v>88.207276568392302</v>
      </c>
      <c r="AK228">
        <v>40.735900957662999</v>
      </c>
      <c r="AL228">
        <v>80.088501776394097</v>
      </c>
      <c r="AM228">
        <v>94.180830480247707</v>
      </c>
      <c r="AN228">
        <v>1.0000000558428801</v>
      </c>
    </row>
    <row r="229" spans="1:40" x14ac:dyDescent="0.25">
      <c r="A229" t="str">
        <f>"20190304155317808"</f>
        <v>20190304155317808</v>
      </c>
      <c r="B229" t="str">
        <f>"1551685997805668"</f>
        <v>1551685997805668</v>
      </c>
      <c r="C229" t="s">
        <v>40</v>
      </c>
      <c r="D229">
        <v>4.4333030000000004</v>
      </c>
      <c r="E229">
        <v>0.53887450000000003</v>
      </c>
      <c r="F229" t="s">
        <v>47</v>
      </c>
      <c r="G229">
        <v>-410.55869999999999</v>
      </c>
      <c r="H229">
        <v>-0.05</v>
      </c>
      <c r="I229">
        <v>365.91550000000001</v>
      </c>
      <c r="J229">
        <v>-448.02960000000002</v>
      </c>
      <c r="K229">
        <v>1.10941</v>
      </c>
      <c r="L229">
        <v>367.17059999999998</v>
      </c>
      <c r="M229">
        <v>0.99998500000000001</v>
      </c>
      <c r="N229">
        <v>-5.234135E-3</v>
      </c>
      <c r="O229">
        <v>1.6851829999999901E-3</v>
      </c>
      <c r="P229">
        <v>0.98328110000000002</v>
      </c>
      <c r="Q229">
        <v>0.1668876</v>
      </c>
      <c r="R229">
        <v>7.2849079999999997E-2</v>
      </c>
      <c r="S229">
        <v>3.0748600000000001</v>
      </c>
      <c r="T229">
        <v>-9.4479919999999995E-2</v>
      </c>
      <c r="U229">
        <v>-0.1022339</v>
      </c>
      <c r="V229">
        <v>-7.1243520000000005E-2</v>
      </c>
      <c r="W229">
        <v>0.1720112</v>
      </c>
      <c r="X229">
        <v>0.98251540000000004</v>
      </c>
      <c r="Y229">
        <v>3.4894380000000003E-2</v>
      </c>
      <c r="Z229">
        <v>-6.7012739999999999E-4</v>
      </c>
      <c r="AA229">
        <v>0.99939080000000002</v>
      </c>
      <c r="AB229">
        <v>29</v>
      </c>
      <c r="AC229">
        <v>37.4709</v>
      </c>
      <c r="AD229">
        <v>-1.1594100000000001</v>
      </c>
      <c r="AE229">
        <v>-1.2550999999999699</v>
      </c>
      <c r="AF229">
        <v>1.31698495266715</v>
      </c>
      <c r="AG229">
        <v>-1.1594100000000001</v>
      </c>
      <c r="AH229">
        <v>37.432934188417498</v>
      </c>
      <c r="AI229">
        <v>91.772958358201606</v>
      </c>
      <c r="AJ229">
        <v>87.985021208594006</v>
      </c>
      <c r="AK229">
        <v>37.474034248637402</v>
      </c>
      <c r="AL229">
        <v>80.095224910275505</v>
      </c>
      <c r="AM229">
        <v>94.147335845362505</v>
      </c>
      <c r="AN229">
        <v>1.0000000016522901</v>
      </c>
    </row>
    <row r="230" spans="1:40" x14ac:dyDescent="0.25">
      <c r="A230" t="str">
        <f>"20190304155317832"</f>
        <v>20190304155317832</v>
      </c>
      <c r="B230" t="str">
        <f>"1551685997826164"</f>
        <v>1551685997826164</v>
      </c>
      <c r="C230" t="s">
        <v>40</v>
      </c>
      <c r="D230">
        <v>4.5053570000000001</v>
      </c>
      <c r="E230">
        <v>0.53906589999999999</v>
      </c>
      <c r="F230" t="s">
        <v>47</v>
      </c>
      <c r="G230">
        <v>-410.80029999999999</v>
      </c>
      <c r="H230">
        <v>-0.05</v>
      </c>
      <c r="I230">
        <v>365.90629999999999</v>
      </c>
      <c r="J230">
        <v>-447.72800000000001</v>
      </c>
      <c r="K230">
        <v>1.109429</v>
      </c>
      <c r="L230">
        <v>367.17129999999997</v>
      </c>
      <c r="M230">
        <v>0.99998419999999999</v>
      </c>
      <c r="N230">
        <v>-5.3208589999999998E-3</v>
      </c>
      <c r="O230">
        <v>1.8877989999999999E-3</v>
      </c>
      <c r="P230">
        <v>0.98328170000000004</v>
      </c>
      <c r="Q230">
        <v>0.166958</v>
      </c>
      <c r="R230">
        <v>7.267912E-2</v>
      </c>
      <c r="S230">
        <v>3.0749819999999999</v>
      </c>
      <c r="T230">
        <v>-9.5762249999999993E-2</v>
      </c>
      <c r="U230">
        <v>-0.1044312</v>
      </c>
      <c r="V230">
        <v>-7.0878479999999994E-2</v>
      </c>
      <c r="W230">
        <v>0.17216579999999901</v>
      </c>
      <c r="X230">
        <v>0.98251469999999996</v>
      </c>
      <c r="Y230">
        <v>3.5807730000000003E-2</v>
      </c>
      <c r="Z230">
        <v>-7.0131229999999896E-4</v>
      </c>
      <c r="AA230">
        <v>0.99935850000000004</v>
      </c>
      <c r="AB230">
        <v>29</v>
      </c>
      <c r="AC230">
        <v>36.927700000000002</v>
      </c>
      <c r="AD230">
        <v>-1.159429</v>
      </c>
      <c r="AE230">
        <v>-1.2649999999999799</v>
      </c>
      <c r="AF230">
        <v>1.33339789042537</v>
      </c>
      <c r="AG230">
        <v>-1.159429</v>
      </c>
      <c r="AH230">
        <v>36.8889240395009</v>
      </c>
      <c r="AI230">
        <v>91.799055302250295</v>
      </c>
      <c r="AJ230">
        <v>87.929871178653499</v>
      </c>
      <c r="AK230">
        <v>36.931219074548601</v>
      </c>
      <c r="AL230">
        <v>80.086232604244501</v>
      </c>
      <c r="AM230">
        <v>94.126162096186206</v>
      </c>
      <c r="AN230">
        <v>0.99999997866641899</v>
      </c>
    </row>
    <row r="231" spans="1:40" x14ac:dyDescent="0.25">
      <c r="A231" t="str">
        <f>"20190304155317854"</f>
        <v>20190304155317854</v>
      </c>
      <c r="B231" t="str">
        <f>"1551685997845684"</f>
        <v>1551685997845684</v>
      </c>
      <c r="C231" t="s">
        <v>40</v>
      </c>
      <c r="D231">
        <v>4.4687479999999997</v>
      </c>
      <c r="E231">
        <v>0.53912740000000003</v>
      </c>
      <c r="F231" t="s">
        <v>47</v>
      </c>
      <c r="G231">
        <v>-410.21170000000001</v>
      </c>
      <c r="H231">
        <v>-0.05</v>
      </c>
      <c r="I231">
        <v>365.87079999999997</v>
      </c>
      <c r="J231">
        <v>-447.4418</v>
      </c>
      <c r="K231">
        <v>1.1094569999999999</v>
      </c>
      <c r="L231">
        <v>367.1721</v>
      </c>
      <c r="M231">
        <v>0.99998310000000001</v>
      </c>
      <c r="N231">
        <v>-5.4221699999999996E-3</v>
      </c>
      <c r="O231">
        <v>2.091748E-3</v>
      </c>
      <c r="P231">
        <v>0.98333199999999998</v>
      </c>
      <c r="Q231">
        <v>0.16675029999999999</v>
      </c>
      <c r="R231">
        <v>7.2472239999999993E-2</v>
      </c>
      <c r="S231">
        <v>3.0749819999999999</v>
      </c>
      <c r="T231">
        <v>-9.503114E-2</v>
      </c>
      <c r="U231">
        <v>-0.1065979</v>
      </c>
      <c r="V231">
        <v>-7.0474599999999998E-2</v>
      </c>
      <c r="W231">
        <v>0.17205580000000001</v>
      </c>
      <c r="X231">
        <v>0.98256299999999996</v>
      </c>
      <c r="Y231">
        <v>3.6714570000000002E-2</v>
      </c>
      <c r="Z231">
        <v>-7.1988839999999896E-4</v>
      </c>
      <c r="AA231">
        <v>0.99932549999999998</v>
      </c>
      <c r="AB231">
        <v>29</v>
      </c>
      <c r="AC231">
        <v>37.230099999999901</v>
      </c>
      <c r="AD231">
        <v>-1.159457</v>
      </c>
      <c r="AE231">
        <v>-1.3013000000000201</v>
      </c>
      <c r="AF231">
        <v>1.3778395687307601</v>
      </c>
      <c r="AG231">
        <v>-1.159457</v>
      </c>
      <c r="AH231">
        <v>37.191269224284603</v>
      </c>
      <c r="AI231">
        <v>91.784423772538105</v>
      </c>
      <c r="AJ231">
        <v>87.8783110609305</v>
      </c>
      <c r="AK231">
        <v>37.234839719343903</v>
      </c>
      <c r="AL231">
        <v>80.092630409634594</v>
      </c>
      <c r="AM231">
        <v>94.102529911501705</v>
      </c>
      <c r="AN231">
        <v>0.99999995826389898</v>
      </c>
    </row>
    <row r="232" spans="1:40" x14ac:dyDescent="0.25">
      <c r="A232" t="str">
        <f>"20190304155317875"</f>
        <v>20190304155317875</v>
      </c>
      <c r="B232" t="str">
        <f>"1551685997866180"</f>
        <v>1551685997866180</v>
      </c>
      <c r="C232" t="s">
        <v>40</v>
      </c>
      <c r="D232">
        <v>4.4659079999999998</v>
      </c>
      <c r="E232">
        <v>0.539213099999999</v>
      </c>
      <c r="F232" t="s">
        <v>47</v>
      </c>
      <c r="G232">
        <v>-408.83120000000002</v>
      </c>
      <c r="H232">
        <v>-0.05</v>
      </c>
      <c r="I232">
        <v>365.82409999999999</v>
      </c>
      <c r="J232">
        <v>-447.15890000000002</v>
      </c>
      <c r="K232">
        <v>1.1094889999999999</v>
      </c>
      <c r="L232">
        <v>367.17290000000003</v>
      </c>
      <c r="M232">
        <v>0.99998209999999998</v>
      </c>
      <c r="N232">
        <v>-5.5437960000000001E-3</v>
      </c>
      <c r="O232">
        <v>2.3027910000000002E-3</v>
      </c>
      <c r="P232">
        <v>0.98349790000000004</v>
      </c>
      <c r="Q232">
        <v>0.16578909999999999</v>
      </c>
      <c r="R232">
        <v>7.2430659999999994E-2</v>
      </c>
      <c r="S232">
        <v>3.0744319999999998</v>
      </c>
      <c r="T232">
        <v>-9.2323539999999996E-2</v>
      </c>
      <c r="U232">
        <v>-0.1073303</v>
      </c>
      <c r="V232">
        <v>-7.0228780000000005E-2</v>
      </c>
      <c r="W232">
        <v>0.17121400000000001</v>
      </c>
      <c r="X232">
        <v>0.98272760000000003</v>
      </c>
      <c r="Y232">
        <v>3.7170170000000002E-2</v>
      </c>
      <c r="Z232">
        <v>-7.1725179999999997E-4</v>
      </c>
      <c r="AA232">
        <v>0.99930870000000005</v>
      </c>
      <c r="AB232">
        <v>29</v>
      </c>
      <c r="AC232">
        <v>38.327699999999901</v>
      </c>
      <c r="AD232">
        <v>-1.159489</v>
      </c>
      <c r="AE232">
        <v>-1.34880000000003</v>
      </c>
      <c r="AF232">
        <v>1.4357461075256099</v>
      </c>
      <c r="AG232">
        <v>-1.159489</v>
      </c>
      <c r="AH232">
        <v>38.2894937869901</v>
      </c>
      <c r="AI232">
        <v>91.733293173722799</v>
      </c>
      <c r="AJ232">
        <v>87.852578807541306</v>
      </c>
      <c r="AK232">
        <v>38.3339420890984</v>
      </c>
      <c r="AL232">
        <v>80.141588182445204</v>
      </c>
      <c r="AM232">
        <v>94.087586190753498</v>
      </c>
      <c r="AN232">
        <v>0.99999992556902095</v>
      </c>
    </row>
    <row r="233" spans="1:40" x14ac:dyDescent="0.25">
      <c r="A233" t="str">
        <f>"20190304155317898"</f>
        <v>20190304155317898</v>
      </c>
      <c r="B233" t="str">
        <f>"1551685997895688"</f>
        <v>1551685997895688</v>
      </c>
      <c r="C233" t="s">
        <v>40</v>
      </c>
      <c r="D233">
        <v>4.5353599999999998</v>
      </c>
      <c r="E233">
        <v>0.53906899999999902</v>
      </c>
      <c r="F233" t="s">
        <v>47</v>
      </c>
      <c r="G233">
        <v>-408.57510000000002</v>
      </c>
      <c r="H233">
        <v>-0.05</v>
      </c>
      <c r="I233">
        <v>365.81560000000002</v>
      </c>
      <c r="J233">
        <v>-446.86160000000001</v>
      </c>
      <c r="K233">
        <v>1.109523</v>
      </c>
      <c r="L233">
        <v>367.17380000000003</v>
      </c>
      <c r="M233">
        <v>0.9999806</v>
      </c>
      <c r="N233">
        <v>-5.6974410000000001E-3</v>
      </c>
      <c r="O233">
        <v>2.5340060000000001E-3</v>
      </c>
      <c r="P233">
        <v>0.98351469999999996</v>
      </c>
      <c r="Q233">
        <v>0.16551260000000001</v>
      </c>
      <c r="R233">
        <v>7.2833410000000001E-2</v>
      </c>
      <c r="S233">
        <v>3.0738829999999999</v>
      </c>
      <c r="T233">
        <v>-9.2373849999999993E-2</v>
      </c>
      <c r="U233">
        <v>-0.10812380000000001</v>
      </c>
      <c r="V233">
        <v>-7.0407949999999997E-2</v>
      </c>
      <c r="W233">
        <v>0.17108670000000001</v>
      </c>
      <c r="X233">
        <v>0.98273699999999997</v>
      </c>
      <c r="Y233">
        <v>3.7664669999999997E-2</v>
      </c>
      <c r="Z233">
        <v>-7.3467029999999998E-4</v>
      </c>
      <c r="AA233">
        <v>0.99929020000000002</v>
      </c>
      <c r="AB233">
        <v>29</v>
      </c>
      <c r="AC233">
        <v>38.286499999999897</v>
      </c>
      <c r="AD233">
        <v>-1.1595229999999901</v>
      </c>
      <c r="AE233">
        <v>-1.3582000000000101</v>
      </c>
      <c r="AF233">
        <v>1.4538835943436501</v>
      </c>
      <c r="AG233">
        <v>-1.1595229999999901</v>
      </c>
      <c r="AH233">
        <v>38.247898180011802</v>
      </c>
      <c r="AI233">
        <v>91.735194205005598</v>
      </c>
      <c r="AJ233">
        <v>87.823114177364303</v>
      </c>
      <c r="AK233">
        <v>38.2930801357371</v>
      </c>
      <c r="AL233">
        <v>80.148991656715197</v>
      </c>
      <c r="AM233">
        <v>94.097940029057497</v>
      </c>
      <c r="AN233">
        <v>0.99999997475454505</v>
      </c>
    </row>
    <row r="234" spans="1:40" x14ac:dyDescent="0.25">
      <c r="A234" t="str">
        <f>"20190304155317921"</f>
        <v>20190304155317921</v>
      </c>
      <c r="B234" t="str">
        <f>"1551685997916184"</f>
        <v>1551685997916184</v>
      </c>
      <c r="C234" t="s">
        <v>40</v>
      </c>
      <c r="D234">
        <v>4.4463929999999996</v>
      </c>
      <c r="E234">
        <v>0.53913129999999998</v>
      </c>
      <c r="F234" t="s">
        <v>47</v>
      </c>
      <c r="G234">
        <v>-407.80970000000002</v>
      </c>
      <c r="H234">
        <v>-0.05</v>
      </c>
      <c r="I234">
        <v>365.83210000000003</v>
      </c>
      <c r="J234">
        <v>-446.56950000000001</v>
      </c>
      <c r="K234">
        <v>1.1095600000000001</v>
      </c>
      <c r="L234">
        <v>367.17469999999997</v>
      </c>
      <c r="M234">
        <v>0.99997899999999995</v>
      </c>
      <c r="N234">
        <v>-5.8754139999999998E-3</v>
      </c>
      <c r="O234">
        <v>2.7687689999999999E-3</v>
      </c>
      <c r="P234">
        <v>0.98358310000000004</v>
      </c>
      <c r="Q234">
        <v>0.16502620000000001</v>
      </c>
      <c r="R234">
        <v>7.3011930000000003E-2</v>
      </c>
      <c r="S234">
        <v>3.0734560000000002</v>
      </c>
      <c r="T234">
        <v>-9.1256619999999997E-2</v>
      </c>
      <c r="U234">
        <v>-0.1055908</v>
      </c>
      <c r="V234">
        <v>-7.0358390000000007E-2</v>
      </c>
      <c r="W234">
        <v>0.1707747</v>
      </c>
      <c r="X234">
        <v>0.98279479999999997</v>
      </c>
      <c r="Y234">
        <v>3.7082179999999999E-2</v>
      </c>
      <c r="Z234">
        <v>-7.2514289999999902E-4</v>
      </c>
      <c r="AA234">
        <v>0.99931199999999998</v>
      </c>
      <c r="AB234">
        <v>29</v>
      </c>
      <c r="AC234">
        <v>38.759799999999899</v>
      </c>
      <c r="AD234">
        <v>-1.1595599999999999</v>
      </c>
      <c r="AE234">
        <v>-1.3425999999999401</v>
      </c>
      <c r="AF234">
        <v>1.4486186675735799</v>
      </c>
      <c r="AG234">
        <v>-1.1595599999999999</v>
      </c>
      <c r="AH234">
        <v>38.721319935506202</v>
      </c>
      <c r="AI234">
        <v>91.714085198756294</v>
      </c>
      <c r="AJ234">
        <v>87.857484044784798</v>
      </c>
      <c r="AK234">
        <v>38.765754126361003</v>
      </c>
      <c r="AL234">
        <v>80.167134808436501</v>
      </c>
      <c r="AM234">
        <v>94.094825295748393</v>
      </c>
      <c r="AN234">
        <v>0.99999996005526004</v>
      </c>
    </row>
    <row r="235" spans="1:40" x14ac:dyDescent="0.25">
      <c r="A235" t="str">
        <f>"20190304155317942"</f>
        <v>20190304155317942</v>
      </c>
      <c r="B235" t="str">
        <f>"1551685997935704"</f>
        <v>1551685997935704</v>
      </c>
      <c r="C235" t="s">
        <v>40</v>
      </c>
      <c r="D235">
        <v>4.4478689999999999</v>
      </c>
      <c r="E235">
        <v>0.53912789999999999</v>
      </c>
      <c r="F235" t="s">
        <v>47</v>
      </c>
      <c r="G235">
        <v>-407.7235</v>
      </c>
      <c r="H235">
        <v>-0.05</v>
      </c>
      <c r="I235">
        <v>365.83440000000002</v>
      </c>
      <c r="J235">
        <v>-446.28519999999997</v>
      </c>
      <c r="K235">
        <v>1.109594</v>
      </c>
      <c r="L235">
        <v>367.17579999999998</v>
      </c>
      <c r="M235">
        <v>0.99997720000000001</v>
      </c>
      <c r="N235">
        <v>-6.0717499999999999E-3</v>
      </c>
      <c r="O235">
        <v>3.0014289999999999E-3</v>
      </c>
      <c r="P235">
        <v>0.98371710000000001</v>
      </c>
      <c r="Q235">
        <v>0.16409270000000001</v>
      </c>
      <c r="R235">
        <v>7.3310260000000002E-2</v>
      </c>
      <c r="S235">
        <v>3.073334</v>
      </c>
      <c r="T235">
        <v>-9.1739650000000006E-2</v>
      </c>
      <c r="U235">
        <v>-0.10604860000000001</v>
      </c>
      <c r="V235">
        <v>-7.0428930000000001E-2</v>
      </c>
      <c r="W235">
        <v>0.1700342</v>
      </c>
      <c r="X235">
        <v>0.98291810000000002</v>
      </c>
      <c r="Y235">
        <v>3.7464160000000003E-2</v>
      </c>
      <c r="Z235">
        <v>-7.4400009999999904E-4</v>
      </c>
      <c r="AA235">
        <v>0.99929769999999896</v>
      </c>
      <c r="AB235">
        <v>29</v>
      </c>
      <c r="AC235">
        <v>38.561699999999902</v>
      </c>
      <c r="AD235">
        <v>-1.159594</v>
      </c>
      <c r="AE235">
        <v>-1.34139999999996</v>
      </c>
      <c r="AF235">
        <v>1.45582141098923</v>
      </c>
      <c r="AG235">
        <v>-1.159594</v>
      </c>
      <c r="AH235">
        <v>38.5227071660711</v>
      </c>
      <c r="AI235">
        <v>91.722943178933804</v>
      </c>
      <c r="AJ235">
        <v>87.835750563405398</v>
      </c>
      <c r="AK235">
        <v>38.567642417295801</v>
      </c>
      <c r="AL235">
        <v>80.210191759341001</v>
      </c>
      <c r="AM235">
        <v>94.098404277224802</v>
      </c>
      <c r="AN235">
        <v>0.99999992732909404</v>
      </c>
    </row>
    <row r="236" spans="1:40" x14ac:dyDescent="0.25">
      <c r="A236" t="str">
        <f>"20190304155317967"</f>
        <v>20190304155317967</v>
      </c>
      <c r="B236" t="str">
        <f>"1551685997956200"</f>
        <v>1551685997956200</v>
      </c>
      <c r="C236" t="s">
        <v>40</v>
      </c>
      <c r="D236">
        <v>4.4489700000000001</v>
      </c>
      <c r="E236">
        <v>0.53925610000000002</v>
      </c>
      <c r="F236" t="s">
        <v>47</v>
      </c>
      <c r="G236">
        <v>-408.53809999999999</v>
      </c>
      <c r="H236">
        <v>-0.05</v>
      </c>
      <c r="I236">
        <v>365.88600000000002</v>
      </c>
      <c r="J236">
        <v>-445.9624</v>
      </c>
      <c r="K236">
        <v>1.1096330000000001</v>
      </c>
      <c r="L236">
        <v>367.17700000000002</v>
      </c>
      <c r="M236">
        <v>0.99997469999999999</v>
      </c>
      <c r="N236">
        <v>-6.3138909999999899E-3</v>
      </c>
      <c r="O236">
        <v>3.270224E-3</v>
      </c>
      <c r="P236">
        <v>0.98388180000000003</v>
      </c>
      <c r="Q236">
        <v>0.1630529</v>
      </c>
      <c r="R236">
        <v>7.3418520000000001E-2</v>
      </c>
      <c r="S236">
        <v>3.073242</v>
      </c>
      <c r="T236">
        <v>-9.4410060000000004E-2</v>
      </c>
      <c r="U236">
        <v>-0.10501099999999999</v>
      </c>
      <c r="V236">
        <v>-7.0273790000000003E-2</v>
      </c>
      <c r="W236">
        <v>0.16923299999999999</v>
      </c>
      <c r="X236">
        <v>0.98306749999999998</v>
      </c>
      <c r="Y236">
        <v>3.7395499999999998E-2</v>
      </c>
      <c r="Z236">
        <v>-7.7198899999999897E-4</v>
      </c>
      <c r="AA236">
        <v>0.99930019999999997</v>
      </c>
      <c r="AB236">
        <v>29</v>
      </c>
      <c r="AC236">
        <v>37.424300000000002</v>
      </c>
      <c r="AD236">
        <v>-1.1596329999999999</v>
      </c>
      <c r="AE236">
        <v>-1.2909999999999899</v>
      </c>
      <c r="AF236">
        <v>1.4120272525823001</v>
      </c>
      <c r="AG236">
        <v>-1.1596329999999999</v>
      </c>
      <c r="AH236">
        <v>37.3840267631453</v>
      </c>
      <c r="AI236">
        <v>91.775450267653596</v>
      </c>
      <c r="AJ236">
        <v>87.836916757825094</v>
      </c>
      <c r="AK236">
        <v>37.428652482881198</v>
      </c>
      <c r="AL236">
        <v>80.256772562225294</v>
      </c>
      <c r="AM236">
        <v>94.088787651308905</v>
      </c>
      <c r="AN236">
        <v>0.99999996170310601</v>
      </c>
    </row>
    <row r="237" spans="1:40" x14ac:dyDescent="0.25">
      <c r="A237" t="str">
        <f>"20190304155317988"</f>
        <v>20190304155317988</v>
      </c>
      <c r="B237" t="str">
        <f>"1551685997985479"</f>
        <v>1551685997985479</v>
      </c>
      <c r="C237" t="s">
        <v>40</v>
      </c>
      <c r="D237">
        <v>4.4127660000000004</v>
      </c>
      <c r="E237">
        <v>0.53933160000000002</v>
      </c>
      <c r="F237" t="s">
        <v>47</v>
      </c>
      <c r="G237">
        <v>-408.84989999999999</v>
      </c>
      <c r="H237">
        <v>-0.05</v>
      </c>
      <c r="I237">
        <v>365.90019999999998</v>
      </c>
      <c r="J237">
        <v>-445.67230000000001</v>
      </c>
      <c r="K237">
        <v>1.1096629999999901</v>
      </c>
      <c r="L237">
        <v>367.1782</v>
      </c>
      <c r="M237">
        <v>0.99997259999999999</v>
      </c>
      <c r="N237">
        <v>-6.5352569999999896E-3</v>
      </c>
      <c r="O237">
        <v>3.5127600000000002E-3</v>
      </c>
      <c r="P237">
        <v>0.98391960000000001</v>
      </c>
      <c r="Q237">
        <v>0.16257170000000001</v>
      </c>
      <c r="R237">
        <v>7.3980420000000005E-2</v>
      </c>
      <c r="S237">
        <v>3.072937</v>
      </c>
      <c r="T237">
        <v>-9.6018199999999998E-2</v>
      </c>
      <c r="U237">
        <v>-0.105712899999999</v>
      </c>
      <c r="V237">
        <v>-7.0597190000000004E-2</v>
      </c>
      <c r="W237">
        <v>0.16896929999999999</v>
      </c>
      <c r="X237">
        <v>0.98308969999999996</v>
      </c>
      <c r="Y237">
        <v>3.7868079999999998E-2</v>
      </c>
      <c r="Z237">
        <v>-8.0187229999999904E-4</v>
      </c>
      <c r="AA237">
        <v>0.99928240000000002</v>
      </c>
      <c r="AB237">
        <v>29</v>
      </c>
      <c r="AC237">
        <v>36.822400000000002</v>
      </c>
      <c r="AD237">
        <v>-1.1596630000000001</v>
      </c>
      <c r="AE237">
        <v>-1.27800000000002</v>
      </c>
      <c r="AF237">
        <v>1.40595032170618</v>
      </c>
      <c r="AG237">
        <v>-1.1596630000000001</v>
      </c>
      <c r="AH237">
        <v>36.781246367303197</v>
      </c>
      <c r="AI237">
        <v>91.804543317355595</v>
      </c>
      <c r="AJ237">
        <v>87.810954539971803</v>
      </c>
      <c r="AK237">
        <v>36.8263709712609</v>
      </c>
      <c r="AL237">
        <v>80.272102337101998</v>
      </c>
      <c r="AM237">
        <v>94.107447556085106</v>
      </c>
      <c r="AN237">
        <v>0.99999997291223697</v>
      </c>
    </row>
    <row r="238" spans="1:40" x14ac:dyDescent="0.25">
      <c r="A238" t="str">
        <f>"20190304155318010"</f>
        <v>20190304155318010</v>
      </c>
      <c r="B238" t="str">
        <f>"1551685998005976"</f>
        <v>1551685998005976</v>
      </c>
      <c r="C238" t="s">
        <v>40</v>
      </c>
      <c r="D238">
        <v>4.4339069999999996</v>
      </c>
      <c r="E238">
        <v>0.53936890000000004</v>
      </c>
      <c r="F238" t="s">
        <v>47</v>
      </c>
      <c r="G238">
        <v>-408.94060000000002</v>
      </c>
      <c r="H238">
        <v>-0.05</v>
      </c>
      <c r="I238">
        <v>365.92880000000002</v>
      </c>
      <c r="J238">
        <v>-445.37740000000002</v>
      </c>
      <c r="K238">
        <v>1.109694</v>
      </c>
      <c r="L238">
        <v>367.17939999999999</v>
      </c>
      <c r="M238">
        <v>0.99997020000000003</v>
      </c>
      <c r="N238">
        <v>-6.7578530000000003E-3</v>
      </c>
      <c r="O238">
        <v>3.7602690000000001E-3</v>
      </c>
      <c r="P238">
        <v>0.98399219999999998</v>
      </c>
      <c r="Q238">
        <v>0.16221650000000001</v>
      </c>
      <c r="R238">
        <v>7.3793369999999997E-2</v>
      </c>
      <c r="S238">
        <v>3.072937</v>
      </c>
      <c r="T238">
        <v>-9.7016329999999998E-2</v>
      </c>
      <c r="U238">
        <v>-0.104522699999999</v>
      </c>
      <c r="V238">
        <v>-7.0167110000000005E-2</v>
      </c>
      <c r="W238">
        <v>0.1688335</v>
      </c>
      <c r="X238">
        <v>0.98314389999999996</v>
      </c>
      <c r="Y238">
        <v>3.7728270000000001E-2</v>
      </c>
      <c r="Z238">
        <v>-8.1605640000000004E-4</v>
      </c>
      <c r="AA238">
        <v>0.9992877</v>
      </c>
      <c r="AB238">
        <v>30</v>
      </c>
      <c r="AC238">
        <v>36.436799999999998</v>
      </c>
      <c r="AD238">
        <v>-1.159694</v>
      </c>
      <c r="AE238">
        <v>-1.25059999999996</v>
      </c>
      <c r="AF238">
        <v>1.3862038796148799</v>
      </c>
      <c r="AG238">
        <v>-1.159694</v>
      </c>
      <c r="AH238">
        <v>36.395015178451601</v>
      </c>
      <c r="AI238">
        <v>91.823738853272204</v>
      </c>
      <c r="AJ238">
        <v>87.8187875766112</v>
      </c>
      <c r="AK238">
        <v>36.439862530053801</v>
      </c>
      <c r="AL238">
        <v>80.279997287429396</v>
      </c>
      <c r="AM238">
        <v>94.082285434896207</v>
      </c>
      <c r="AN238">
        <v>1.0000000510775999</v>
      </c>
    </row>
    <row r="239" spans="1:40" x14ac:dyDescent="0.25">
      <c r="A239" t="str">
        <f>"20190304155318032"</f>
        <v>20190304155318032</v>
      </c>
      <c r="B239" t="str">
        <f>"1551685998025496"</f>
        <v>1551685998025496</v>
      </c>
      <c r="C239" t="s">
        <v>40</v>
      </c>
      <c r="D239">
        <v>4.4116249999999999</v>
      </c>
      <c r="E239">
        <v>0.5393521</v>
      </c>
      <c r="F239" t="s">
        <v>47</v>
      </c>
      <c r="G239">
        <v>-408.798</v>
      </c>
      <c r="H239">
        <v>-0.05</v>
      </c>
      <c r="I239">
        <v>365.92649999999998</v>
      </c>
      <c r="J239">
        <v>-445.09719999999999</v>
      </c>
      <c r="K239">
        <v>1.1097170000000001</v>
      </c>
      <c r="L239">
        <v>367.18079999999998</v>
      </c>
      <c r="M239">
        <v>0.99996779999999996</v>
      </c>
      <c r="N239">
        <v>-6.966313E-3</v>
      </c>
      <c r="O239">
        <v>3.9955210000000001E-3</v>
      </c>
      <c r="P239">
        <v>0.98405410000000004</v>
      </c>
      <c r="Q239">
        <v>0.1620007</v>
      </c>
      <c r="R239">
        <v>7.3440149999999996E-2</v>
      </c>
      <c r="S239">
        <v>3.0727540000000002</v>
      </c>
      <c r="T239">
        <v>-9.7417000000000004E-2</v>
      </c>
      <c r="U239">
        <v>-0.1052551</v>
      </c>
      <c r="V239">
        <v>-6.9582619999999998E-2</v>
      </c>
      <c r="W239">
        <v>0.16882320000000001</v>
      </c>
      <c r="X239">
        <v>0.98318709999999998</v>
      </c>
      <c r="Y239">
        <v>3.8202640000000003E-2</v>
      </c>
      <c r="Z239">
        <v>-8.3718059999999996E-4</v>
      </c>
      <c r="AA239">
        <v>0.99926970000000004</v>
      </c>
      <c r="AB239">
        <v>30</v>
      </c>
      <c r="AC239">
        <v>36.2991999999999</v>
      </c>
      <c r="AD239">
        <v>-1.1597170000000001</v>
      </c>
      <c r="AE239">
        <v>-1.2543</v>
      </c>
      <c r="AF239">
        <v>1.3979025396012399</v>
      </c>
      <c r="AG239">
        <v>-1.1597170000000001</v>
      </c>
      <c r="AH239">
        <v>36.256934213292503</v>
      </c>
      <c r="AI239">
        <v>91.830683206675999</v>
      </c>
      <c r="AJ239">
        <v>87.792028872883904</v>
      </c>
      <c r="AK239">
        <v>36.302401484988998</v>
      </c>
      <c r="AL239">
        <v>80.280594975149697</v>
      </c>
      <c r="AM239">
        <v>94.048216366203604</v>
      </c>
      <c r="AN239">
        <v>0.99999994373535495</v>
      </c>
    </row>
    <row r="240" spans="1:40" x14ac:dyDescent="0.25">
      <c r="A240" t="str">
        <f>"20190304155318054"</f>
        <v>20190304155318054</v>
      </c>
      <c r="B240" t="str">
        <f>"1551685998045992"</f>
        <v>1551685998045992</v>
      </c>
      <c r="C240" t="s">
        <v>40</v>
      </c>
      <c r="D240">
        <v>4.4200980000000003</v>
      </c>
      <c r="E240">
        <v>0.53932950000000002</v>
      </c>
      <c r="F240" t="s">
        <v>47</v>
      </c>
      <c r="G240">
        <v>-408.59519999999998</v>
      </c>
      <c r="H240">
        <v>-0.05</v>
      </c>
      <c r="I240">
        <v>365.91829999999999</v>
      </c>
      <c r="J240">
        <v>-444.79770000000002</v>
      </c>
      <c r="K240">
        <v>1.1097379999999999</v>
      </c>
      <c r="L240">
        <v>367.18220000000002</v>
      </c>
      <c r="M240">
        <v>0.9999652</v>
      </c>
      <c r="N240">
        <v>-7.1870689999999999E-3</v>
      </c>
      <c r="O240">
        <v>4.2478159999999997E-3</v>
      </c>
      <c r="P240">
        <v>0.98413890000000004</v>
      </c>
      <c r="Q240">
        <v>0.16162739999999901</v>
      </c>
      <c r="R240">
        <v>7.3125060000000006E-2</v>
      </c>
      <c r="S240">
        <v>3.07254</v>
      </c>
      <c r="T240">
        <v>-9.7618579999999996E-2</v>
      </c>
      <c r="U240">
        <v>-0.1062622</v>
      </c>
      <c r="V240">
        <v>-6.9019540000000004E-2</v>
      </c>
      <c r="W240">
        <v>0.1686676</v>
      </c>
      <c r="X240">
        <v>0.9832535</v>
      </c>
      <c r="Y240">
        <v>3.8783640000000001E-2</v>
      </c>
      <c r="Z240">
        <v>-8.5959299999999997E-4</v>
      </c>
      <c r="AA240">
        <v>0.99924729999999995</v>
      </c>
      <c r="AB240">
        <v>30</v>
      </c>
      <c r="AC240">
        <v>36.202500000000001</v>
      </c>
      <c r="AD240">
        <v>-1.1597379999999999</v>
      </c>
      <c r="AE240">
        <v>-1.26390000000003</v>
      </c>
      <c r="AF240">
        <v>1.4162225255824501</v>
      </c>
      <c r="AG240">
        <v>-1.1597379999999999</v>
      </c>
      <c r="AH240">
        <v>36.159741548711303</v>
      </c>
      <c r="AI240">
        <v>91.835590261259398</v>
      </c>
      <c r="AJ240">
        <v>87.757115563711196</v>
      </c>
      <c r="AK240">
        <v>36.206043519559103</v>
      </c>
      <c r="AL240">
        <v>80.289639974790504</v>
      </c>
      <c r="AM240">
        <v>94.015294499445702</v>
      </c>
      <c r="AN240">
        <v>0.99999995072690895</v>
      </c>
    </row>
    <row r="241" spans="1:40" x14ac:dyDescent="0.25">
      <c r="A241" t="str">
        <f>"20190304155318078"</f>
        <v>20190304155318078</v>
      </c>
      <c r="B241" t="str">
        <f>"1551685998076248"</f>
        <v>1551685998076248</v>
      </c>
      <c r="C241" t="s">
        <v>40</v>
      </c>
      <c r="D241">
        <v>4.5470050000000004</v>
      </c>
      <c r="E241">
        <v>0.53937330000000006</v>
      </c>
      <c r="F241" t="s">
        <v>47</v>
      </c>
      <c r="G241">
        <v>-408.54880000000003</v>
      </c>
      <c r="H241">
        <v>-0.05</v>
      </c>
      <c r="I241">
        <v>365.91559999999998</v>
      </c>
      <c r="J241">
        <v>-444.48020000000002</v>
      </c>
      <c r="K241">
        <v>1.109766</v>
      </c>
      <c r="L241">
        <v>367.18389999999999</v>
      </c>
      <c r="M241">
        <v>0.99996240000000003</v>
      </c>
      <c r="N241">
        <v>-7.4168910000000001E-3</v>
      </c>
      <c r="O241">
        <v>4.5154959999999999E-3</v>
      </c>
      <c r="P241">
        <v>0.98410520000000001</v>
      </c>
      <c r="Q241">
        <v>0.16169810000000001</v>
      </c>
      <c r="R241">
        <v>7.3421319999999998E-2</v>
      </c>
      <c r="S241">
        <v>3.072479</v>
      </c>
      <c r="T241">
        <v>-9.8300219999999994E-2</v>
      </c>
      <c r="U241">
        <v>-0.10736080000000001</v>
      </c>
      <c r="V241">
        <v>-6.9053020000000007E-2</v>
      </c>
      <c r="W241">
        <v>0.16896420000000001</v>
      </c>
      <c r="X241">
        <v>0.98320030000000003</v>
      </c>
      <c r="Y241">
        <v>3.940776E-2</v>
      </c>
      <c r="Z241">
        <v>-8.8719759999999895E-4</v>
      </c>
      <c r="AA241">
        <v>0.99922279999999997</v>
      </c>
      <c r="AB241">
        <v>30</v>
      </c>
      <c r="AC241">
        <v>35.931399999999996</v>
      </c>
      <c r="AD241">
        <v>-1.1597660000000001</v>
      </c>
      <c r="AE241">
        <v>-1.26830000000001</v>
      </c>
      <c r="AF241">
        <v>1.42905264636604</v>
      </c>
      <c r="AG241">
        <v>-1.1597660000000001</v>
      </c>
      <c r="AH241">
        <v>35.887964248558298</v>
      </c>
      <c r="AI241">
        <v>91.849478405361396</v>
      </c>
      <c r="AJ241">
        <v>87.719696504177406</v>
      </c>
      <c r="AK241">
        <v>35.9351252474044</v>
      </c>
      <c r="AL241">
        <v>80.272399321767693</v>
      </c>
      <c r="AM241">
        <v>94.017452519981305</v>
      </c>
      <c r="AN241">
        <v>1.0000000251864201</v>
      </c>
    </row>
    <row r="242" spans="1:40" x14ac:dyDescent="0.25">
      <c r="A242" t="str">
        <f>"20190304155318098"</f>
        <v>20190304155318098</v>
      </c>
      <c r="B242" t="str">
        <f>"1551685998095768"</f>
        <v>1551685998095768</v>
      </c>
      <c r="C242" t="s">
        <v>40</v>
      </c>
      <c r="D242">
        <v>4.7951050000000004</v>
      </c>
      <c r="E242">
        <v>0.56468430000000003</v>
      </c>
      <c r="F242" t="s">
        <v>47</v>
      </c>
      <c r="G242">
        <v>-408.38909999999998</v>
      </c>
      <c r="H242">
        <v>-0.05</v>
      </c>
      <c r="I242">
        <v>365.9307</v>
      </c>
      <c r="J242">
        <v>-444.20519999999999</v>
      </c>
      <c r="K242">
        <v>1.1097919999999999</v>
      </c>
      <c r="L242">
        <v>367.18529999999998</v>
      </c>
      <c r="M242">
        <v>0.99995979999999995</v>
      </c>
      <c r="N242">
        <v>-7.6106780000000001E-3</v>
      </c>
      <c r="O242">
        <v>4.7478109999999898E-3</v>
      </c>
      <c r="P242">
        <v>0.98402889999999998</v>
      </c>
      <c r="Q242">
        <v>0.1620606</v>
      </c>
      <c r="R242">
        <v>7.3645790000000003E-2</v>
      </c>
      <c r="S242">
        <v>3.0726010000000001</v>
      </c>
      <c r="T242">
        <v>-9.8736290000000004E-2</v>
      </c>
      <c r="U242">
        <v>-0.10668950000000001</v>
      </c>
      <c r="V242">
        <v>-6.9050130000000001E-2</v>
      </c>
      <c r="W242">
        <v>0.16951640000000001</v>
      </c>
      <c r="X242">
        <v>0.98310540000000002</v>
      </c>
      <c r="Y242">
        <v>3.9420049999999998E-2</v>
      </c>
      <c r="Z242">
        <v>-8.9948800000000005E-4</v>
      </c>
      <c r="AA242">
        <v>0.99922230000000001</v>
      </c>
      <c r="AB242">
        <v>30</v>
      </c>
      <c r="AC242">
        <v>35.816099999999999</v>
      </c>
      <c r="AD242">
        <v>-1.1597919999999999</v>
      </c>
      <c r="AE242">
        <v>-1.25459999999998</v>
      </c>
      <c r="AF242">
        <v>1.42314838849009</v>
      </c>
      <c r="AG242">
        <v>-1.1597919999999999</v>
      </c>
      <c r="AH242">
        <v>35.772275219760303</v>
      </c>
      <c r="AI242">
        <v>91.8554997612232</v>
      </c>
      <c r="AJ242">
        <v>87.721771463071093</v>
      </c>
      <c r="AK242">
        <v>35.8193543104451</v>
      </c>
      <c r="AL242">
        <v>80.240297062307803</v>
      </c>
      <c r="AM242">
        <v>94.017671454538103</v>
      </c>
      <c r="AN242">
        <v>0.99999997891556802</v>
      </c>
    </row>
    <row r="243" spans="1:40" x14ac:dyDescent="0.25">
      <c r="A243" t="str">
        <f>"20190304155318121"</f>
        <v>20190304155318121</v>
      </c>
      <c r="B243" t="str">
        <f>"1551685998116264"</f>
        <v>1551685998116264</v>
      </c>
      <c r="C243" t="s">
        <v>40</v>
      </c>
      <c r="D243">
        <v>4.6212369999999998</v>
      </c>
      <c r="E243">
        <v>0.56876780000000005</v>
      </c>
      <c r="F243" t="s">
        <v>47</v>
      </c>
      <c r="G243">
        <v>-411.31869999999998</v>
      </c>
      <c r="H243">
        <v>-0.05</v>
      </c>
      <c r="I243">
        <v>363.91</v>
      </c>
      <c r="J243">
        <v>-443.91320000000002</v>
      </c>
      <c r="K243">
        <v>1.1098159999999999</v>
      </c>
      <c r="L243">
        <v>367.18700000000001</v>
      </c>
      <c r="M243">
        <v>0.99995699999999998</v>
      </c>
      <c r="N243">
        <v>-7.8104999999999997E-3</v>
      </c>
      <c r="O243">
        <v>4.9951020000000004E-3</v>
      </c>
      <c r="P243">
        <v>0.9840506</v>
      </c>
      <c r="Q243">
        <v>0.16205349999999999</v>
      </c>
      <c r="R243">
        <v>7.3369580000000004E-2</v>
      </c>
      <c r="S243">
        <v>3.089661</v>
      </c>
      <c r="T243">
        <v>-0.10896169999999999</v>
      </c>
      <c r="U243">
        <v>-0.3077087</v>
      </c>
      <c r="V243">
        <v>-6.853033E-2</v>
      </c>
      <c r="W243">
        <v>0.16970579999999999</v>
      </c>
      <c r="X243">
        <v>0.98310909999999996</v>
      </c>
      <c r="Y243">
        <v>0.103992</v>
      </c>
      <c r="Z243">
        <v>-2.3726820000000001E-3</v>
      </c>
      <c r="AA243">
        <v>0.99457530000000005</v>
      </c>
      <c r="AB243">
        <v>30</v>
      </c>
      <c r="AC243">
        <v>32.594499999999996</v>
      </c>
      <c r="AD243">
        <v>-1.159816</v>
      </c>
      <c r="AE243">
        <v>-3.27699999999993</v>
      </c>
      <c r="AF243">
        <v>3.4354706002843902</v>
      </c>
      <c r="AG243">
        <v>-1.159816</v>
      </c>
      <c r="AH243">
        <v>32.5369390808223</v>
      </c>
      <c r="AI243">
        <v>92.030232288737906</v>
      </c>
      <c r="AJ243">
        <v>83.972655731496005</v>
      </c>
      <c r="AK243">
        <v>32.738357260993098</v>
      </c>
      <c r="AL243">
        <v>80.229285744719306</v>
      </c>
      <c r="AM243">
        <v>93.987509944085204</v>
      </c>
      <c r="AN243">
        <v>0.99999998359317899</v>
      </c>
    </row>
    <row r="244" spans="1:40" x14ac:dyDescent="0.25">
      <c r="A244" t="str">
        <f>"20190304155318143"</f>
        <v>20190304155318143</v>
      </c>
      <c r="B244" t="str">
        <f>"1551685998135784"</f>
        <v>1551685998135784</v>
      </c>
      <c r="C244" t="s">
        <v>40</v>
      </c>
      <c r="D244">
        <v>4.5729300000000004</v>
      </c>
      <c r="E244">
        <v>0.57259099999999996</v>
      </c>
      <c r="F244" t="s">
        <v>48</v>
      </c>
      <c r="G244">
        <v>-443.16469999999998</v>
      </c>
      <c r="H244">
        <v>1.0545800000000001</v>
      </c>
      <c r="I244">
        <v>367.10410000000002</v>
      </c>
      <c r="J244">
        <v>-443.60969999999998</v>
      </c>
      <c r="K244">
        <v>1.109829</v>
      </c>
      <c r="L244">
        <v>367.18880000000001</v>
      </c>
      <c r="M244">
        <v>0.99995420000000002</v>
      </c>
      <c r="N244">
        <v>-8.0112050000000004E-3</v>
      </c>
      <c r="O244">
        <v>5.2517869999999999E-3</v>
      </c>
      <c r="P244">
        <v>0.98412409999999995</v>
      </c>
      <c r="Q244">
        <v>0.1615694</v>
      </c>
      <c r="R244">
        <v>7.3452879999999998E-2</v>
      </c>
      <c r="S244">
        <v>3.1120909999999999</v>
      </c>
      <c r="T244">
        <v>-0.23006199999999999</v>
      </c>
      <c r="U244">
        <v>-0.34304810000000002</v>
      </c>
      <c r="V244">
        <v>-6.8361210000000006E-2</v>
      </c>
      <c r="W244">
        <v>0.16941999999999999</v>
      </c>
      <c r="X244">
        <v>0.98317019999999999</v>
      </c>
      <c r="Y244">
        <v>0.1144323</v>
      </c>
      <c r="Z244">
        <v>-5.0163730000000002E-3</v>
      </c>
      <c r="AA244">
        <v>0.99341840000000003</v>
      </c>
      <c r="AB244">
        <v>30</v>
      </c>
      <c r="AC244">
        <v>0.44499999999999301</v>
      </c>
      <c r="AD244">
        <v>-5.5249000000000298E-2</v>
      </c>
      <c r="AE244">
        <v>-8.4699999999997999E-2</v>
      </c>
      <c r="AF244">
        <v>8.5760220309638299E-2</v>
      </c>
      <c r="AG244">
        <v>-5.5249000000000298E-2</v>
      </c>
      <c r="AH244">
        <v>0.43803303411841699</v>
      </c>
      <c r="AI244">
        <v>97.056164887379097</v>
      </c>
      <c r="AJ244">
        <v>78.922477548761293</v>
      </c>
      <c r="AK244">
        <v>0.44975571854901902</v>
      </c>
      <c r="AL244">
        <v>80.245901812354504</v>
      </c>
      <c r="AM244">
        <v>93.977454740041196</v>
      </c>
      <c r="AN244">
        <v>1.00000001680035</v>
      </c>
    </row>
    <row r="245" spans="1:40" x14ac:dyDescent="0.25">
      <c r="A245" t="str">
        <f>"20190304155318166"</f>
        <v>20190304155318166</v>
      </c>
      <c r="B245" t="str">
        <f>"1551685998156280"</f>
        <v>1551685998156280</v>
      </c>
      <c r="C245" t="s">
        <v>40</v>
      </c>
      <c r="D245">
        <v>4.6977510000000002</v>
      </c>
      <c r="E245">
        <v>0.57835419999999904</v>
      </c>
      <c r="F245" t="s">
        <v>48</v>
      </c>
      <c r="G245">
        <v>-442.64909999999998</v>
      </c>
      <c r="H245">
        <v>1.017981</v>
      </c>
      <c r="I245">
        <v>367.07279999999997</v>
      </c>
      <c r="J245">
        <v>-443.30149999999998</v>
      </c>
      <c r="K245">
        <v>1.109845</v>
      </c>
      <c r="L245">
        <v>367.19069999999999</v>
      </c>
      <c r="M245">
        <v>0.99995109999999998</v>
      </c>
      <c r="N245">
        <v>-8.2074139999999997E-3</v>
      </c>
      <c r="O245">
        <v>5.5128180000000001E-3</v>
      </c>
      <c r="P245">
        <v>0.98418740000000005</v>
      </c>
      <c r="Q245">
        <v>0.1608687</v>
      </c>
      <c r="R245">
        <v>7.4137380000000003E-2</v>
      </c>
      <c r="S245">
        <v>3.1255489999999999</v>
      </c>
      <c r="T245">
        <v>-0.2991819</v>
      </c>
      <c r="U245">
        <v>-0.3756409</v>
      </c>
      <c r="V245">
        <v>-6.8788279999999993E-2</v>
      </c>
      <c r="W245">
        <v>0.16891300000000001</v>
      </c>
      <c r="X245">
        <v>0.98322759999999998</v>
      </c>
      <c r="Y245">
        <v>0.124168</v>
      </c>
      <c r="Z245">
        <v>-6.9004009999999996E-3</v>
      </c>
      <c r="AA245">
        <v>0.99223720000000004</v>
      </c>
      <c r="AB245">
        <v>30</v>
      </c>
      <c r="AC245">
        <v>0.65239999999999998</v>
      </c>
      <c r="AD245">
        <v>-9.1863999999999904E-2</v>
      </c>
      <c r="AE245">
        <v>-0.11790000000002</v>
      </c>
      <c r="AF245">
        <v>0.11920610972452</v>
      </c>
      <c r="AG245">
        <v>-9.1863999999999904E-2</v>
      </c>
      <c r="AH245">
        <v>0.63946229259585297</v>
      </c>
      <c r="AI245">
        <v>98.038453387999795</v>
      </c>
      <c r="AJ245">
        <v>79.440346496189605</v>
      </c>
      <c r="AK245">
        <v>0.65693311283843703</v>
      </c>
      <c r="AL245">
        <v>80.275375115643399</v>
      </c>
      <c r="AM245">
        <v>94.001989532527304</v>
      </c>
      <c r="AN245">
        <v>0.99999997121805795</v>
      </c>
    </row>
    <row r="246" spans="1:40" x14ac:dyDescent="0.25">
      <c r="A246" t="str">
        <f>"20190304155318189"</f>
        <v>20190304155318189</v>
      </c>
      <c r="B246" t="str">
        <f>"1551685998185560"</f>
        <v>1551685998185560</v>
      </c>
      <c r="C246" t="s">
        <v>40</v>
      </c>
      <c r="D246">
        <v>4.6812690000000003</v>
      </c>
      <c r="E246">
        <v>0.57611990000000002</v>
      </c>
      <c r="F246" t="s">
        <v>48</v>
      </c>
      <c r="G246">
        <v>-442.38560000000001</v>
      </c>
      <c r="H246">
        <v>1.0074719999999999</v>
      </c>
      <c r="I246">
        <v>367.0677</v>
      </c>
      <c r="J246">
        <v>-442.98970000000003</v>
      </c>
      <c r="K246">
        <v>1.1098650000000001</v>
      </c>
      <c r="L246">
        <v>367.1927</v>
      </c>
      <c r="M246">
        <v>0.99994810000000001</v>
      </c>
      <c r="N246">
        <v>-8.3969419999999993E-3</v>
      </c>
      <c r="O246">
        <v>5.7771919999999996E-3</v>
      </c>
      <c r="P246">
        <v>0.98420050000000003</v>
      </c>
      <c r="Q246">
        <v>0.16063450000000001</v>
      </c>
      <c r="R246">
        <v>7.4471800000000005E-2</v>
      </c>
      <c r="S246">
        <v>3.1372070000000001</v>
      </c>
      <c r="T246">
        <v>-0.35064709999999899</v>
      </c>
      <c r="U246">
        <v>-0.42098999999999998</v>
      </c>
      <c r="V246">
        <v>-6.8862450000000006E-2</v>
      </c>
      <c r="W246">
        <v>0.16886499999999999</v>
      </c>
      <c r="X246">
        <v>0.98323070000000001</v>
      </c>
      <c r="Y246">
        <v>0.1377864</v>
      </c>
      <c r="Z246">
        <v>-8.8181500000000003E-3</v>
      </c>
      <c r="AA246">
        <v>0.99042269999999999</v>
      </c>
      <c r="AB246">
        <v>30</v>
      </c>
      <c r="AC246">
        <v>0.60410000000001596</v>
      </c>
      <c r="AD246">
        <v>-0.102392999999999</v>
      </c>
      <c r="AE246">
        <v>-0.125</v>
      </c>
      <c r="AF246">
        <v>0.12504314940361899</v>
      </c>
      <c r="AG246">
        <v>-0.102392999999999</v>
      </c>
      <c r="AH246">
        <v>0.58719086876704996</v>
      </c>
      <c r="AI246">
        <v>99.678861108875907</v>
      </c>
      <c r="AJ246">
        <v>77.978354109628896</v>
      </c>
      <c r="AK246">
        <v>0.60902646249993098</v>
      </c>
      <c r="AL246">
        <v>80.278165847974904</v>
      </c>
      <c r="AM246">
        <v>94.006277987858397</v>
      </c>
      <c r="AN246">
        <v>1.00000001733374</v>
      </c>
    </row>
    <row r="247" spans="1:40" x14ac:dyDescent="0.25">
      <c r="A247" t="str">
        <f>"20190304155318212"</f>
        <v>20190304155318212</v>
      </c>
      <c r="B247" t="str">
        <f>"1551685998206057"</f>
        <v>1551685998206057</v>
      </c>
      <c r="C247" t="s">
        <v>40</v>
      </c>
      <c r="D247">
        <v>4.7034459999999996</v>
      </c>
      <c r="E247">
        <v>0.57802310000000001</v>
      </c>
      <c r="F247" t="s">
        <v>48</v>
      </c>
      <c r="G247">
        <v>-442.1198</v>
      </c>
      <c r="H247">
        <v>1.00207</v>
      </c>
      <c r="I247">
        <v>367.0806</v>
      </c>
      <c r="J247">
        <v>-442.68220000000002</v>
      </c>
      <c r="K247">
        <v>1.1098859999999999</v>
      </c>
      <c r="L247">
        <v>367.19470000000001</v>
      </c>
      <c r="M247">
        <v>0.99994510000000003</v>
      </c>
      <c r="N247">
        <v>-8.5784940000000007E-3</v>
      </c>
      <c r="O247">
        <v>6.0375289999999998E-3</v>
      </c>
      <c r="P247">
        <v>0.9842206</v>
      </c>
      <c r="Q247">
        <v>0.16018949999999901</v>
      </c>
      <c r="R247">
        <v>7.516196E-2</v>
      </c>
      <c r="S247">
        <v>3.142242</v>
      </c>
      <c r="T247">
        <v>-0.3896424</v>
      </c>
      <c r="U247">
        <v>-0.40280149999999998</v>
      </c>
      <c r="V247">
        <v>-6.9296529999999995E-2</v>
      </c>
      <c r="W247">
        <v>0.16859849999999901</v>
      </c>
      <c r="X247">
        <v>0.98324590000000001</v>
      </c>
      <c r="Y247">
        <v>0.13203039999999999</v>
      </c>
      <c r="Z247">
        <v>-9.3842709999999996E-3</v>
      </c>
      <c r="AA247">
        <v>0.9912012</v>
      </c>
      <c r="AB247">
        <v>30</v>
      </c>
      <c r="AC247">
        <v>0.56240000000002499</v>
      </c>
      <c r="AD247">
        <v>-0.107816</v>
      </c>
      <c r="AE247">
        <v>-0.114100000000007</v>
      </c>
      <c r="AF247">
        <v>0.113487592059278</v>
      </c>
      <c r="AG247">
        <v>-0.107816</v>
      </c>
      <c r="AH247">
        <v>0.54254957294949602</v>
      </c>
      <c r="AI247">
        <v>101.007228665412</v>
      </c>
      <c r="AJ247">
        <v>78.185522623155805</v>
      </c>
      <c r="AK247">
        <v>0.56468023032074799</v>
      </c>
      <c r="AL247">
        <v>80.293656938633902</v>
      </c>
      <c r="AM247">
        <v>94.031386757433097</v>
      </c>
      <c r="AN247">
        <v>0.99999998156954994</v>
      </c>
    </row>
    <row r="248" spans="1:40" x14ac:dyDescent="0.25">
      <c r="A248" t="str">
        <f>"20190304155318233"</f>
        <v>20190304155318233</v>
      </c>
      <c r="B248" t="str">
        <f>"1551685998225576"</f>
        <v>1551685998225576</v>
      </c>
      <c r="C248" t="s">
        <v>40</v>
      </c>
      <c r="D248">
        <v>4.8273590000000004</v>
      </c>
      <c r="E248">
        <v>0.5792214</v>
      </c>
      <c r="F248" t="s">
        <v>48</v>
      </c>
      <c r="G248">
        <v>-441.85120000000001</v>
      </c>
      <c r="H248">
        <v>1.0012460000000001</v>
      </c>
      <c r="I248">
        <v>367.08510000000001</v>
      </c>
      <c r="J248">
        <v>-442.4083</v>
      </c>
      <c r="K248">
        <v>1.1099030000000001</v>
      </c>
      <c r="L248">
        <v>367.19659999999999</v>
      </c>
      <c r="M248">
        <v>0.9999422</v>
      </c>
      <c r="N248">
        <v>-8.7370629999999998E-3</v>
      </c>
      <c r="O248">
        <v>6.2691550000000002E-3</v>
      </c>
      <c r="P248">
        <v>0.98421729999999996</v>
      </c>
      <c r="Q248">
        <v>0.1599206</v>
      </c>
      <c r="R248">
        <v>7.5774889999999998E-2</v>
      </c>
      <c r="S248">
        <v>3.14682</v>
      </c>
      <c r="T248">
        <v>-0.411302</v>
      </c>
      <c r="U248">
        <v>-0.41561890000000001</v>
      </c>
      <c r="V248">
        <v>-6.9681409999999999E-2</v>
      </c>
      <c r="W248">
        <v>0.16848529999999901</v>
      </c>
      <c r="X248">
        <v>0.9832381</v>
      </c>
      <c r="Y248">
        <v>0.13589200000000001</v>
      </c>
      <c r="Z248">
        <v>-1.0162529999999999E-2</v>
      </c>
      <c r="AA248">
        <v>0.99067150000000004</v>
      </c>
      <c r="AB248">
        <v>30</v>
      </c>
      <c r="AC248">
        <v>0.55709999999999105</v>
      </c>
      <c r="AD248">
        <v>-0.108657</v>
      </c>
      <c r="AE248">
        <v>-0.11149999999997801</v>
      </c>
      <c r="AF248">
        <v>0.11093304270161</v>
      </c>
      <c r="AG248">
        <v>-0.108657</v>
      </c>
      <c r="AH248">
        <v>0.53675776270106901</v>
      </c>
      <c r="AI248">
        <v>101.213078278956</v>
      </c>
      <c r="AJ248">
        <v>78.322944297148297</v>
      </c>
      <c r="AK248">
        <v>0.55876773299099403</v>
      </c>
      <c r="AL248">
        <v>80.300236918965297</v>
      </c>
      <c r="AM248">
        <v>94.053735101660294</v>
      </c>
      <c r="AN248">
        <v>0.99999997825364295</v>
      </c>
    </row>
    <row r="249" spans="1:40" x14ac:dyDescent="0.25">
      <c r="A249" t="str">
        <f>"20190304155318255"</f>
        <v>20190304155318255</v>
      </c>
      <c r="B249" t="str">
        <f>"1551685998246072"</f>
        <v>1551685998246072</v>
      </c>
      <c r="C249" t="s">
        <v>40</v>
      </c>
      <c r="D249">
        <v>4.7013939999999996</v>
      </c>
      <c r="E249">
        <v>0.57927720000000005</v>
      </c>
      <c r="F249" t="s">
        <v>48</v>
      </c>
      <c r="G249">
        <v>-441.58330000000001</v>
      </c>
      <c r="H249">
        <v>0.99814219999999998</v>
      </c>
      <c r="I249">
        <v>367.08510000000001</v>
      </c>
      <c r="J249">
        <v>-442.09949999999998</v>
      </c>
      <c r="K249">
        <v>1.1099220000000001</v>
      </c>
      <c r="L249">
        <v>367.19880000000001</v>
      </c>
      <c r="M249">
        <v>0.99993900000000002</v>
      </c>
      <c r="N249">
        <v>-8.9123640000000007E-3</v>
      </c>
      <c r="O249">
        <v>6.5303779999999999E-3</v>
      </c>
      <c r="P249">
        <v>0.98424690000000004</v>
      </c>
      <c r="Q249">
        <v>0.15965550000000001</v>
      </c>
      <c r="R249">
        <v>7.5950580000000004E-2</v>
      </c>
      <c r="S249">
        <v>3.1501459999999999</v>
      </c>
      <c r="T249">
        <v>-0.42693950000000003</v>
      </c>
      <c r="U249">
        <v>-0.4239502</v>
      </c>
      <c r="V249">
        <v>-6.9599999999999995E-2</v>
      </c>
      <c r="W249">
        <v>0.16839309999999999</v>
      </c>
      <c r="X249">
        <v>0.98325969999999996</v>
      </c>
      <c r="Y249">
        <v>0.13846939999999999</v>
      </c>
      <c r="Z249">
        <v>-1.074164E-2</v>
      </c>
      <c r="AA249">
        <v>0.99030850000000004</v>
      </c>
      <c r="AB249">
        <v>30</v>
      </c>
      <c r="AC249">
        <v>0.51619999999996902</v>
      </c>
      <c r="AD249">
        <v>-0.111779799999999</v>
      </c>
      <c r="AE249">
        <v>-0.113699999999994</v>
      </c>
      <c r="AF249">
        <v>0.11205732730679099</v>
      </c>
      <c r="AG249">
        <v>-0.111779799999999</v>
      </c>
      <c r="AH249">
        <v>0.49338172665978203</v>
      </c>
      <c r="AI249">
        <v>102.458333933643</v>
      </c>
      <c r="AJ249">
        <v>77.204003189150001</v>
      </c>
      <c r="AK249">
        <v>0.51814775546456804</v>
      </c>
      <c r="AL249">
        <v>80.305596540719307</v>
      </c>
      <c r="AM249">
        <v>94.0489261622144</v>
      </c>
      <c r="AN249">
        <v>1.0000000168858401</v>
      </c>
    </row>
    <row r="250" spans="1:40" x14ac:dyDescent="0.25">
      <c r="A250" t="str">
        <f>"20190304155318278"</f>
        <v>20190304155318278</v>
      </c>
      <c r="B250" t="str">
        <f>"1551685998275352"</f>
        <v>1551685998275352</v>
      </c>
      <c r="C250" t="s">
        <v>40</v>
      </c>
      <c r="D250">
        <v>4.8484800000000003</v>
      </c>
      <c r="E250">
        <v>0.57930389999999998</v>
      </c>
      <c r="F250" t="s">
        <v>48</v>
      </c>
      <c r="G250">
        <v>-441.31189999999998</v>
      </c>
      <c r="H250">
        <v>1.0022869999999999</v>
      </c>
      <c r="I250">
        <v>367.0926</v>
      </c>
      <c r="J250">
        <v>-441.7946</v>
      </c>
      <c r="K250">
        <v>1.1099349999999999</v>
      </c>
      <c r="L250">
        <v>367.2011</v>
      </c>
      <c r="M250">
        <v>0.99993589999999999</v>
      </c>
      <c r="N250">
        <v>-9.0814079999999991E-3</v>
      </c>
      <c r="O250">
        <v>6.7880379999999997E-3</v>
      </c>
      <c r="P250">
        <v>0.98421110000000001</v>
      </c>
      <c r="Q250">
        <v>0.1600299</v>
      </c>
      <c r="R250">
        <v>7.5626020000000002E-2</v>
      </c>
      <c r="S250">
        <v>3.150604</v>
      </c>
      <c r="T250">
        <v>-0.4306103</v>
      </c>
      <c r="U250">
        <v>-0.4242554</v>
      </c>
      <c r="V250">
        <v>-6.9021979999999997E-2</v>
      </c>
      <c r="W250">
        <v>0.16893359999999999</v>
      </c>
      <c r="X250">
        <v>0.98320770000000002</v>
      </c>
      <c r="Y250">
        <v>0.1387707</v>
      </c>
      <c r="Z250">
        <v>-1.0891959999999999E-2</v>
      </c>
      <c r="AA250">
        <v>0.9902647</v>
      </c>
      <c r="AB250">
        <v>30</v>
      </c>
      <c r="AC250">
        <v>0.482700000000022</v>
      </c>
      <c r="AD250">
        <v>-0.10764799999999899</v>
      </c>
      <c r="AE250">
        <v>-0.10849999999999201</v>
      </c>
      <c r="AF250">
        <v>0.106721748244027</v>
      </c>
      <c r="AG250">
        <v>-0.10764799999999899</v>
      </c>
      <c r="AH250">
        <v>0.460166903078991</v>
      </c>
      <c r="AI250">
        <v>102.837575965726</v>
      </c>
      <c r="AJ250">
        <v>76.942817440561299</v>
      </c>
      <c r="AK250">
        <v>0.48449066259482398</v>
      </c>
      <c r="AL250">
        <v>80.274177779622306</v>
      </c>
      <c r="AM250">
        <v>94.015622421064293</v>
      </c>
      <c r="AN250">
        <v>0.99999998813568503</v>
      </c>
    </row>
    <row r="251" spans="1:40" x14ac:dyDescent="0.25">
      <c r="A251" t="str">
        <f>"20190304155318300"</f>
        <v>20190304155318300</v>
      </c>
      <c r="B251" t="str">
        <f>"1551685998295620"</f>
        <v>1551685998295620</v>
      </c>
      <c r="C251" t="s">
        <v>40</v>
      </c>
      <c r="D251">
        <v>4.7969489999999997</v>
      </c>
      <c r="E251">
        <v>0.58008890000000002</v>
      </c>
      <c r="F251" t="s">
        <v>48</v>
      </c>
      <c r="G251">
        <v>-441.03989999999999</v>
      </c>
      <c r="H251">
        <v>1.0067950000000001</v>
      </c>
      <c r="I251">
        <v>367.09870000000001</v>
      </c>
      <c r="J251">
        <v>-441.50510000000003</v>
      </c>
      <c r="K251">
        <v>1.1099570000000001</v>
      </c>
      <c r="L251">
        <v>367.20330000000001</v>
      </c>
      <c r="M251">
        <v>0.99993279999999995</v>
      </c>
      <c r="N251">
        <v>-9.2356239999999996E-3</v>
      </c>
      <c r="O251">
        <v>7.0318639999999996E-3</v>
      </c>
      <c r="P251">
        <v>0.98418799999999995</v>
      </c>
      <c r="Q251">
        <v>0.16044020000000001</v>
      </c>
      <c r="R251">
        <v>7.5055350000000007E-2</v>
      </c>
      <c r="S251">
        <v>3.150909</v>
      </c>
      <c r="T251">
        <v>-0.43081259999999999</v>
      </c>
      <c r="U251">
        <v>-0.42599490000000001</v>
      </c>
      <c r="V251">
        <v>-6.8212170000000003E-2</v>
      </c>
      <c r="W251">
        <v>0.1694957</v>
      </c>
      <c r="X251">
        <v>0.98316749999999997</v>
      </c>
      <c r="Y251">
        <v>0.1395247</v>
      </c>
      <c r="Z251">
        <v>-1.09906E-2</v>
      </c>
      <c r="AA251">
        <v>0.99015759999999997</v>
      </c>
      <c r="AB251">
        <v>30</v>
      </c>
      <c r="AC251">
        <v>0.46520000000003803</v>
      </c>
      <c r="AD251">
        <v>-0.103161999999999</v>
      </c>
      <c r="AE251">
        <v>-0.104600000000004</v>
      </c>
      <c r="AF251">
        <v>0.103045210516114</v>
      </c>
      <c r="AG251">
        <v>-0.103161999999999</v>
      </c>
      <c r="AH251">
        <v>0.44368400355881399</v>
      </c>
      <c r="AI251">
        <v>102.761304214734</v>
      </c>
      <c r="AJ251">
        <v>76.924906241203502</v>
      </c>
      <c r="AK251">
        <v>0.46702913042795102</v>
      </c>
      <c r="AL251">
        <v>80.241500833192802</v>
      </c>
      <c r="AM251">
        <v>93.968821764213899</v>
      </c>
      <c r="AN251">
        <v>1.0000000127554201</v>
      </c>
    </row>
    <row r="252" spans="1:40" x14ac:dyDescent="0.25">
      <c r="A252" t="str">
        <f>"20190304155318321"</f>
        <v>20190304155318321</v>
      </c>
      <c r="B252" t="str">
        <f>"1551685998316116"</f>
        <v>1551685998316116</v>
      </c>
      <c r="C252" t="s">
        <v>40</v>
      </c>
      <c r="D252">
        <v>4.7437379999999996</v>
      </c>
      <c r="E252">
        <v>0.58087440000000001</v>
      </c>
      <c r="F252" t="s">
        <v>48</v>
      </c>
      <c r="G252">
        <v>-440.7688</v>
      </c>
      <c r="H252">
        <v>1.009107</v>
      </c>
      <c r="I252">
        <v>367.10160000000002</v>
      </c>
      <c r="J252">
        <v>-441.2099</v>
      </c>
      <c r="K252">
        <v>1.10998</v>
      </c>
      <c r="L252">
        <v>367.2056</v>
      </c>
      <c r="M252">
        <v>0.99992950000000003</v>
      </c>
      <c r="N252">
        <v>-9.3819279999999994E-3</v>
      </c>
      <c r="O252">
        <v>7.2801250000000001E-3</v>
      </c>
      <c r="P252">
        <v>0.98413349999999999</v>
      </c>
      <c r="Q252">
        <v>0.16104749999999901</v>
      </c>
      <c r="R252">
        <v>7.4465219999999999E-2</v>
      </c>
      <c r="S252">
        <v>3.1517029999999999</v>
      </c>
      <c r="T252">
        <v>-0.43195719999999999</v>
      </c>
      <c r="U252">
        <v>-0.4335022</v>
      </c>
      <c r="V252">
        <v>-6.7378190000000004E-2</v>
      </c>
      <c r="W252">
        <v>0.1702466</v>
      </c>
      <c r="X252">
        <v>0.98309519999999995</v>
      </c>
      <c r="Y252">
        <v>0.14201859999999999</v>
      </c>
      <c r="Z252">
        <v>-1.1235729999999999E-2</v>
      </c>
      <c r="AA252">
        <v>0.98980020000000002</v>
      </c>
      <c r="AB252">
        <v>30</v>
      </c>
      <c r="AC252">
        <v>0.44110000000000499</v>
      </c>
      <c r="AD252">
        <v>-0.100873</v>
      </c>
      <c r="AE252">
        <v>-0.10399999999998499</v>
      </c>
      <c r="AF252">
        <v>0.102147950783887</v>
      </c>
      <c r="AG252">
        <v>-0.100873</v>
      </c>
      <c r="AH252">
        <v>0.41954566850411801</v>
      </c>
      <c r="AI252">
        <v>103.149028015228</v>
      </c>
      <c r="AJ252">
        <v>76.316276635265993</v>
      </c>
      <c r="AK252">
        <v>0.44342770993580799</v>
      </c>
      <c r="AL252">
        <v>80.197842286699895</v>
      </c>
      <c r="AM252">
        <v>93.920737572299899</v>
      </c>
      <c r="AN252">
        <v>0.99999994878113596</v>
      </c>
    </row>
    <row r="253" spans="1:40" x14ac:dyDescent="0.25">
      <c r="A253" t="str">
        <f>"20190304155318344"</f>
        <v>20190304155318344</v>
      </c>
      <c r="B253" t="str">
        <f>"1551685998335636"</f>
        <v>1551685998335636</v>
      </c>
      <c r="C253" t="s">
        <v>40</v>
      </c>
      <c r="D253">
        <v>4.8866500000000004</v>
      </c>
      <c r="E253">
        <v>0.58192279999999996</v>
      </c>
      <c r="F253" t="s">
        <v>48</v>
      </c>
      <c r="G253">
        <v>-440.24020000000002</v>
      </c>
      <c r="H253">
        <v>0.97665570000000002</v>
      </c>
      <c r="I253">
        <v>367.06950000000001</v>
      </c>
      <c r="J253">
        <v>-440.89670000000001</v>
      </c>
      <c r="K253">
        <v>1.1097809999999999</v>
      </c>
      <c r="L253">
        <v>367.20819999999998</v>
      </c>
      <c r="M253">
        <v>0.99993310000000002</v>
      </c>
      <c r="N253">
        <v>-8.7711999999999998E-3</v>
      </c>
      <c r="O253">
        <v>7.5556649999999996E-3</v>
      </c>
      <c r="P253">
        <v>0.98395060000000001</v>
      </c>
      <c r="Q253">
        <v>0.16226460000000001</v>
      </c>
      <c r="R253">
        <v>7.4238609999999997E-2</v>
      </c>
      <c r="S253">
        <v>3.1527099999999999</v>
      </c>
      <c r="T253">
        <v>-0.43359419999999999</v>
      </c>
      <c r="U253">
        <v>-0.44177250000000001</v>
      </c>
      <c r="V253">
        <v>-6.6881079999999996E-2</v>
      </c>
      <c r="W253">
        <v>0.1708626</v>
      </c>
      <c r="X253">
        <v>0.98302230000000002</v>
      </c>
      <c r="Y253">
        <v>0.14476249999999999</v>
      </c>
      <c r="Z253">
        <v>-1.1465360000000001E-2</v>
      </c>
      <c r="AA253">
        <v>0.98939999999999995</v>
      </c>
      <c r="AB253">
        <v>30</v>
      </c>
      <c r="AC253">
        <v>0.65649999999999398</v>
      </c>
      <c r="AD253">
        <v>-0.1331253</v>
      </c>
      <c r="AE253">
        <v>-0.13869999999997101</v>
      </c>
      <c r="AF253">
        <v>0.13821594764130099</v>
      </c>
      <c r="AG253">
        <v>-0.1331253</v>
      </c>
      <c r="AH253">
        <v>0.63061060103010702</v>
      </c>
      <c r="AI253">
        <v>101.651665530448</v>
      </c>
      <c r="AJ253">
        <v>77.6375140431105</v>
      </c>
      <c r="AK253">
        <v>0.65916289626618496</v>
      </c>
      <c r="AL253">
        <v>80.162023528678105</v>
      </c>
      <c r="AM253">
        <v>93.892187694504997</v>
      </c>
      <c r="AN253">
        <v>0.99999997461900703</v>
      </c>
    </row>
    <row r="254" spans="1:40" x14ac:dyDescent="0.25">
      <c r="A254" t="str">
        <f>"20190304155318366"</f>
        <v>20190304155318366</v>
      </c>
      <c r="B254" t="str">
        <f>"1551685998356140"</f>
        <v>1551685998356140</v>
      </c>
      <c r="C254" t="s">
        <v>40</v>
      </c>
      <c r="D254">
        <v>4.8463440000000002</v>
      </c>
      <c r="E254">
        <v>0.58309829999999996</v>
      </c>
      <c r="F254" t="s">
        <v>48</v>
      </c>
      <c r="G254">
        <v>-439.96350000000001</v>
      </c>
      <c r="H254">
        <v>0.98151359999999999</v>
      </c>
      <c r="I254">
        <v>367.07420000000002</v>
      </c>
      <c r="J254">
        <v>-440.59370000000001</v>
      </c>
      <c r="K254">
        <v>1.109491</v>
      </c>
      <c r="L254">
        <v>367.21069999999997</v>
      </c>
      <c r="M254">
        <v>0.99993500000000002</v>
      </c>
      <c r="N254">
        <v>-8.3137639999999995E-3</v>
      </c>
      <c r="O254">
        <v>7.8223879999999996E-3</v>
      </c>
      <c r="P254">
        <v>0.98381640000000004</v>
      </c>
      <c r="Q254">
        <v>0.1633752</v>
      </c>
      <c r="R254">
        <v>7.3581569999999999E-2</v>
      </c>
      <c r="S254">
        <v>3.15448</v>
      </c>
      <c r="T254">
        <v>-0.43381370000000002</v>
      </c>
      <c r="U254">
        <v>-0.45123289999999999</v>
      </c>
      <c r="V254">
        <v>-6.5961649999999997E-2</v>
      </c>
      <c r="W254">
        <v>0.17152310000000001</v>
      </c>
      <c r="X254">
        <v>0.98296939999999999</v>
      </c>
      <c r="Y254">
        <v>0.14783099999999999</v>
      </c>
      <c r="Z254">
        <v>-1.168867E-2</v>
      </c>
      <c r="AA254">
        <v>0.98894360000000003</v>
      </c>
      <c r="AB254">
        <v>31</v>
      </c>
      <c r="AC254">
        <v>0.63020000000000198</v>
      </c>
      <c r="AD254">
        <v>-0.12797739999999899</v>
      </c>
      <c r="AE254">
        <v>-0.13649999999995499</v>
      </c>
      <c r="AF254">
        <v>0.136065872864257</v>
      </c>
      <c r="AG254">
        <v>-0.12797739999999899</v>
      </c>
      <c r="AH254">
        <v>0.60527062804112397</v>
      </c>
      <c r="AI254">
        <v>101.656040898957</v>
      </c>
      <c r="AJ254">
        <v>77.330430641899397</v>
      </c>
      <c r="AK254">
        <v>0.63343876565803003</v>
      </c>
      <c r="AL254">
        <v>80.1236126510275</v>
      </c>
      <c r="AM254">
        <v>93.839047942603997</v>
      </c>
      <c r="AN254">
        <v>0.99999997722034595</v>
      </c>
    </row>
    <row r="255" spans="1:40" x14ac:dyDescent="0.25">
      <c r="A255" t="str">
        <f>"20190304155318391"</f>
        <v>20190304155318391</v>
      </c>
      <c r="B255" t="str">
        <f>"1551685998385625"</f>
        <v>1551685998385625</v>
      </c>
      <c r="C255" t="s">
        <v>40</v>
      </c>
      <c r="D255">
        <v>4.7401470000000003</v>
      </c>
      <c r="E255">
        <v>0.58504250000000002</v>
      </c>
      <c r="F255" t="s">
        <v>48</v>
      </c>
      <c r="G255">
        <v>-439.68650000000002</v>
      </c>
      <c r="H255">
        <v>0.98506899999999997</v>
      </c>
      <c r="I255">
        <v>367.07749999999999</v>
      </c>
      <c r="J255">
        <v>-440.26330000000002</v>
      </c>
      <c r="K255">
        <v>1.109078</v>
      </c>
      <c r="L255">
        <v>367.21350000000001</v>
      </c>
      <c r="M255">
        <v>0.99993220000000005</v>
      </c>
      <c r="N255">
        <v>-8.3522089999999993E-3</v>
      </c>
      <c r="O255">
        <v>8.1132349999999999E-3</v>
      </c>
      <c r="P255">
        <v>0.9837745</v>
      </c>
      <c r="Q255">
        <v>0.1638009</v>
      </c>
      <c r="R255">
        <v>7.3190409999999997E-2</v>
      </c>
      <c r="S255">
        <v>3.155853</v>
      </c>
      <c r="T255">
        <v>-0.43295600000000001</v>
      </c>
      <c r="U255">
        <v>-0.46249390000000001</v>
      </c>
      <c r="V255">
        <v>-6.5285560000000006E-2</v>
      </c>
      <c r="W255">
        <v>0.17198629999999901</v>
      </c>
      <c r="X255">
        <v>0.98293359999999996</v>
      </c>
      <c r="Y255">
        <v>0.15148320000000001</v>
      </c>
      <c r="Z255">
        <v>-1.196264E-2</v>
      </c>
      <c r="AA255">
        <v>0.98838749999999997</v>
      </c>
      <c r="AB255">
        <v>31</v>
      </c>
      <c r="AC255">
        <v>0.57679999999999099</v>
      </c>
      <c r="AD255">
        <v>-0.124008999999999</v>
      </c>
      <c r="AE255">
        <v>-0.13600000000002399</v>
      </c>
      <c r="AF255">
        <v>0.134773869334993</v>
      </c>
      <c r="AG255">
        <v>-0.124008999999999</v>
      </c>
      <c r="AH255">
        <v>0.55152709006039702</v>
      </c>
      <c r="AI255">
        <v>102.32103016491</v>
      </c>
      <c r="AJ255">
        <v>76.268031662361196</v>
      </c>
      <c r="AK255">
        <v>0.58114056733893205</v>
      </c>
      <c r="AL255">
        <v>80.096672910283502</v>
      </c>
      <c r="AM255">
        <v>93.799952546431996</v>
      </c>
      <c r="AN255">
        <v>0.99999997687058095</v>
      </c>
    </row>
    <row r="256" spans="1:40" x14ac:dyDescent="0.25">
      <c r="A256" t="str">
        <f>"20190304155318414"</f>
        <v>20190304155318414</v>
      </c>
      <c r="B256" t="str">
        <f>"1551685998406122"</f>
        <v>1551685998406122</v>
      </c>
      <c r="C256" t="s">
        <v>40</v>
      </c>
      <c r="D256">
        <v>4.6650029999999996</v>
      </c>
      <c r="E256">
        <v>0.58654459999999997</v>
      </c>
      <c r="F256" t="s">
        <v>48</v>
      </c>
      <c r="G256">
        <v>-439.40769999999998</v>
      </c>
      <c r="H256">
        <v>0.99111680000000002</v>
      </c>
      <c r="I256">
        <v>367.08359999999999</v>
      </c>
      <c r="J256">
        <v>-439.93329999999997</v>
      </c>
      <c r="K256">
        <v>1.108481</v>
      </c>
      <c r="L256">
        <v>367.2165</v>
      </c>
      <c r="M256">
        <v>0.99992510000000001</v>
      </c>
      <c r="N256">
        <v>-8.9074540000000004E-3</v>
      </c>
      <c r="O256">
        <v>8.3989149999999999E-3</v>
      </c>
      <c r="P256">
        <v>0.98389389999999999</v>
      </c>
      <c r="Q256">
        <v>0.163193</v>
      </c>
      <c r="R256">
        <v>7.2946789999999997E-2</v>
      </c>
      <c r="S256">
        <v>3.157562</v>
      </c>
      <c r="T256">
        <v>-0.43544569999999999</v>
      </c>
      <c r="U256">
        <v>-0.47860720000000001</v>
      </c>
      <c r="V256">
        <v>-6.4762719999999996E-2</v>
      </c>
      <c r="W256">
        <v>0.1719243</v>
      </c>
      <c r="X256">
        <v>0.98297909999999999</v>
      </c>
      <c r="Y256">
        <v>0.1565492</v>
      </c>
      <c r="Z256">
        <v>-1.2460590000000001E-2</v>
      </c>
      <c r="AA256">
        <v>0.98759160000000001</v>
      </c>
      <c r="AB256">
        <v>31</v>
      </c>
      <c r="AC256">
        <v>0.52559999999999696</v>
      </c>
      <c r="AD256">
        <v>-0.1173642</v>
      </c>
      <c r="AE256">
        <v>-0.13290000000000601</v>
      </c>
      <c r="AF256">
        <v>0.131163045582119</v>
      </c>
      <c r="AG256">
        <v>-0.1173642</v>
      </c>
      <c r="AH256">
        <v>0.500986633125721</v>
      </c>
      <c r="AI256">
        <v>102.769126629669</v>
      </c>
      <c r="AJ256">
        <v>75.328716260911804</v>
      </c>
      <c r="AK256">
        <v>0.53100443175049195</v>
      </c>
      <c r="AL256">
        <v>80.100279622326497</v>
      </c>
      <c r="AM256">
        <v>93.769434702900696</v>
      </c>
      <c r="AN256">
        <v>1.0000000429345399</v>
      </c>
    </row>
    <row r="257" spans="1:40" x14ac:dyDescent="0.25">
      <c r="A257" t="str">
        <f>"20190304155318434"</f>
        <v>20190304155318434</v>
      </c>
      <c r="B257" t="str">
        <f>"1551685998425641"</f>
        <v>1551685998425641</v>
      </c>
      <c r="C257" t="s">
        <v>40</v>
      </c>
      <c r="D257">
        <v>4.6302110000000001</v>
      </c>
      <c r="E257">
        <v>0.58790980000000004</v>
      </c>
      <c r="F257" t="s">
        <v>48</v>
      </c>
      <c r="G257">
        <v>-439.1284</v>
      </c>
      <c r="H257">
        <v>0.99691680000000005</v>
      </c>
      <c r="I257">
        <v>367.09089999999998</v>
      </c>
      <c r="J257">
        <v>-439.66550000000001</v>
      </c>
      <c r="K257">
        <v>1.1078159999999999</v>
      </c>
      <c r="L257">
        <v>367.21890000000002</v>
      </c>
      <c r="M257">
        <v>0.99991589999999997</v>
      </c>
      <c r="N257">
        <v>-9.703138E-3</v>
      </c>
      <c r="O257">
        <v>8.6109059999999998E-3</v>
      </c>
      <c r="P257">
        <v>0.98401369999999999</v>
      </c>
      <c r="Q257">
        <v>0.16241349999999999</v>
      </c>
      <c r="R257">
        <v>7.3068560000000005E-2</v>
      </c>
      <c r="S257">
        <v>3.1582029999999999</v>
      </c>
      <c r="T257">
        <v>-0.43786530000000001</v>
      </c>
      <c r="U257">
        <v>-0.49176029999999998</v>
      </c>
      <c r="V257">
        <v>-6.4680189999999999E-2</v>
      </c>
      <c r="W257">
        <v>0.1719271</v>
      </c>
      <c r="X257">
        <v>0.98298399999999997</v>
      </c>
      <c r="Y257">
        <v>0.16067919999999999</v>
      </c>
      <c r="Z257">
        <v>-1.2906880000000001E-2</v>
      </c>
      <c r="AA257">
        <v>0.98692230000000003</v>
      </c>
      <c r="AB257">
        <v>31</v>
      </c>
      <c r="AC257">
        <v>0.53710000000000901</v>
      </c>
      <c r="AD257">
        <v>-0.110899199999999</v>
      </c>
      <c r="AE257">
        <v>-0.128000000000042</v>
      </c>
      <c r="AF257">
        <v>0.12747770290253399</v>
      </c>
      <c r="AG257">
        <v>-0.110899199999999</v>
      </c>
      <c r="AH257">
        <v>0.51519396073408497</v>
      </c>
      <c r="AI257">
        <v>101.802453605339</v>
      </c>
      <c r="AJ257">
        <v>76.102086735980905</v>
      </c>
      <c r="AK257">
        <v>0.54219370567613701</v>
      </c>
      <c r="AL257">
        <v>80.100116334671995</v>
      </c>
      <c r="AM257">
        <v>93.764626255470901</v>
      </c>
      <c r="AN257">
        <v>0.99999999947442297</v>
      </c>
    </row>
    <row r="258" spans="1:40" x14ac:dyDescent="0.25">
      <c r="A258" t="str">
        <f>"20190304155318458"</f>
        <v>20190304155318458</v>
      </c>
      <c r="B258" t="str">
        <f>"1551685998455897"</f>
        <v>1551685998455897</v>
      </c>
      <c r="C258" t="s">
        <v>40</v>
      </c>
      <c r="D258">
        <v>4.6116440000000001</v>
      </c>
      <c r="E258">
        <v>0.58924319999999997</v>
      </c>
      <c r="F258" t="s">
        <v>48</v>
      </c>
      <c r="G258">
        <v>-438.85239999999999</v>
      </c>
      <c r="H258">
        <v>0.99429009999999995</v>
      </c>
      <c r="I258">
        <v>367.08909999999997</v>
      </c>
      <c r="J258">
        <v>-439.3306</v>
      </c>
      <c r="K258">
        <v>1.1068</v>
      </c>
      <c r="L258">
        <v>367.22210000000001</v>
      </c>
      <c r="M258">
        <v>0.99989709999999998</v>
      </c>
      <c r="N258">
        <v>-1.130872E-2</v>
      </c>
      <c r="O258">
        <v>8.8458259999999993E-3</v>
      </c>
      <c r="P258">
        <v>0.9843094</v>
      </c>
      <c r="Q258">
        <v>0.1604372</v>
      </c>
      <c r="R258">
        <v>7.3454099999999994E-2</v>
      </c>
      <c r="S258">
        <v>3.1588750000000001</v>
      </c>
      <c r="T258">
        <v>-0.44131680000000001</v>
      </c>
      <c r="U258">
        <v>-0.50241089999999999</v>
      </c>
      <c r="V258">
        <v>-6.4837560000000002E-2</v>
      </c>
      <c r="W258">
        <v>0.17152970000000001</v>
      </c>
      <c r="X258">
        <v>0.98304309999999995</v>
      </c>
      <c r="Y258">
        <v>0.16404869999999999</v>
      </c>
      <c r="Z258">
        <v>-1.339546E-2</v>
      </c>
      <c r="AA258">
        <v>0.9863613</v>
      </c>
      <c r="AB258">
        <v>31</v>
      </c>
      <c r="AC258">
        <v>0.478200000000015</v>
      </c>
      <c r="AD258">
        <v>-0.1125099</v>
      </c>
      <c r="AE258">
        <v>-0.133000000000038</v>
      </c>
      <c r="AF258">
        <v>0.13051892709855201</v>
      </c>
      <c r="AG258">
        <v>-0.1125099</v>
      </c>
      <c r="AH258">
        <v>0.45369342867963203</v>
      </c>
      <c r="AI258">
        <v>103.40473175197801</v>
      </c>
      <c r="AJ258">
        <v>73.950484448495999</v>
      </c>
      <c r="AK258">
        <v>0.485315768501341</v>
      </c>
      <c r="AL258">
        <v>80.123229454533799</v>
      </c>
      <c r="AM258">
        <v>93.773533115470002</v>
      </c>
      <c r="AN258">
        <v>1.00000004181322</v>
      </c>
    </row>
    <row r="259" spans="1:40" x14ac:dyDescent="0.25">
      <c r="A259" t="str">
        <f>"20190304155318480"</f>
        <v>20190304155318480</v>
      </c>
      <c r="B259" t="str">
        <f>"1551685998475417"</f>
        <v>1551685998475417</v>
      </c>
      <c r="C259" t="s">
        <v>40</v>
      </c>
      <c r="D259">
        <v>4.8777790000000003</v>
      </c>
      <c r="E259">
        <v>0.59049050000000003</v>
      </c>
      <c r="F259" t="s">
        <v>48</v>
      </c>
      <c r="G259">
        <v>-438.57350000000002</v>
      </c>
      <c r="H259">
        <v>0.99925280000000005</v>
      </c>
      <c r="I259">
        <v>367.09890000000001</v>
      </c>
      <c r="J259">
        <v>-439.0256</v>
      </c>
      <c r="K259">
        <v>1.1057049999999999</v>
      </c>
      <c r="L259">
        <v>367.22500000000002</v>
      </c>
      <c r="M259">
        <v>0.99986980000000003</v>
      </c>
      <c r="N259">
        <v>-1.3357030000000001E-2</v>
      </c>
      <c r="O259">
        <v>9.0605979999999996E-3</v>
      </c>
      <c r="P259">
        <v>0.98456719999999998</v>
      </c>
      <c r="Q259">
        <v>0.1587655</v>
      </c>
      <c r="R259">
        <v>7.3628949999999999E-2</v>
      </c>
      <c r="S259">
        <v>3.1592099999999999</v>
      </c>
      <c r="T259">
        <v>-0.44902520000000001</v>
      </c>
      <c r="U259">
        <v>-0.51220699999999997</v>
      </c>
      <c r="V259">
        <v>-6.4799380000000004E-2</v>
      </c>
      <c r="W259">
        <v>0.171875</v>
      </c>
      <c r="X259">
        <v>0.98298529999999995</v>
      </c>
      <c r="Y259">
        <v>0.16711089999999901</v>
      </c>
      <c r="Z259">
        <v>-1.402402E-2</v>
      </c>
      <c r="AA259">
        <v>0.9858384</v>
      </c>
      <c r="AB259">
        <v>31</v>
      </c>
      <c r="AC259">
        <v>0.45209999999997302</v>
      </c>
      <c r="AD259">
        <v>-0.106452199999999</v>
      </c>
      <c r="AE259">
        <v>-0.12610000000000801</v>
      </c>
      <c r="AF259">
        <v>0.12382204253415301</v>
      </c>
      <c r="AG259">
        <v>-0.106452199999999</v>
      </c>
      <c r="AH259">
        <v>0.428877226108277</v>
      </c>
      <c r="AI259">
        <v>103.41289297691699</v>
      </c>
      <c r="AJ259">
        <v>73.895931479450198</v>
      </c>
      <c r="AK259">
        <v>0.458911368541356</v>
      </c>
      <c r="AL259">
        <v>80.103146933498607</v>
      </c>
      <c r="AM259">
        <v>93.771538576723003</v>
      </c>
      <c r="AN259">
        <v>1.00000003764473</v>
      </c>
    </row>
    <row r="260" spans="1:40" x14ac:dyDescent="0.25">
      <c r="A260" t="str">
        <f>"20190304155318503"</f>
        <v>20190304155318503</v>
      </c>
      <c r="B260" t="str">
        <f>"1551685998496227"</f>
        <v>1551685998496227</v>
      </c>
      <c r="C260" t="s">
        <v>40</v>
      </c>
      <c r="D260">
        <v>4.6723589999999904</v>
      </c>
      <c r="E260">
        <v>0.59111950000000002</v>
      </c>
      <c r="F260" t="s">
        <v>48</v>
      </c>
      <c r="G260">
        <v>-438.29680000000002</v>
      </c>
      <c r="H260">
        <v>1.000672</v>
      </c>
      <c r="I260">
        <v>367.10449999999997</v>
      </c>
      <c r="J260">
        <v>-438.72359999999998</v>
      </c>
      <c r="K260">
        <v>1.1044350000000001</v>
      </c>
      <c r="L260">
        <v>367.22800000000001</v>
      </c>
      <c r="M260">
        <v>0.99983529999999998</v>
      </c>
      <c r="N260">
        <v>-1.559081E-2</v>
      </c>
      <c r="O260">
        <v>9.2962259999999994E-3</v>
      </c>
      <c r="P260">
        <v>0.984927</v>
      </c>
      <c r="Q260">
        <v>0.156305</v>
      </c>
      <c r="R260">
        <v>7.4079930000000002E-2</v>
      </c>
      <c r="S260">
        <v>3.1595149999999999</v>
      </c>
      <c r="T260">
        <v>-0.45559919999999998</v>
      </c>
      <c r="U260">
        <v>-0.52081299999999997</v>
      </c>
      <c r="V260">
        <v>-6.5012810000000004E-2</v>
      </c>
      <c r="W260">
        <v>0.1716162</v>
      </c>
      <c r="X260">
        <v>0.98301640000000001</v>
      </c>
      <c r="Y260">
        <v>0.16983480000000001</v>
      </c>
      <c r="Z260">
        <v>-1.46236E-2</v>
      </c>
      <c r="AA260">
        <v>0.98536400000000002</v>
      </c>
      <c r="AB260">
        <v>31</v>
      </c>
      <c r="AC260">
        <v>0.42679999999995699</v>
      </c>
      <c r="AD260">
        <v>-0.10376299999999999</v>
      </c>
      <c r="AE260">
        <v>-0.123500000000035</v>
      </c>
      <c r="AF260">
        <v>0.120870501217246</v>
      </c>
      <c r="AG260">
        <v>-0.10376299999999999</v>
      </c>
      <c r="AH260">
        <v>0.40361991578762302</v>
      </c>
      <c r="AI260">
        <v>103.83519948522201</v>
      </c>
      <c r="AJ260">
        <v>73.328821812036495</v>
      </c>
      <c r="AK260">
        <v>0.43391874199429997</v>
      </c>
      <c r="AL260">
        <v>80.118198495500593</v>
      </c>
      <c r="AM260">
        <v>93.783805514429005</v>
      </c>
      <c r="AN260">
        <v>1.0000000141177401</v>
      </c>
    </row>
    <row r="261" spans="1:40" x14ac:dyDescent="0.25">
      <c r="A261" t="str">
        <f>"20190304155318524"</f>
        <v>20190304155318524</v>
      </c>
      <c r="B261" t="str">
        <f>"1551685998515747"</f>
        <v>1551685998515747</v>
      </c>
      <c r="C261" t="s">
        <v>40</v>
      </c>
      <c r="D261">
        <v>4.6664979999999998</v>
      </c>
      <c r="E261">
        <v>0.59231149999999999</v>
      </c>
      <c r="F261" t="s">
        <v>48</v>
      </c>
      <c r="G261">
        <v>-437.76190000000003</v>
      </c>
      <c r="H261">
        <v>0.96339960000000002</v>
      </c>
      <c r="I261">
        <v>367.06740000000002</v>
      </c>
      <c r="J261">
        <v>-438.42599999999999</v>
      </c>
      <c r="K261">
        <v>1.1029370000000001</v>
      </c>
      <c r="L261">
        <v>367.23099999999999</v>
      </c>
      <c r="M261">
        <v>0.99980400000000003</v>
      </c>
      <c r="N261">
        <v>-1.733912E-2</v>
      </c>
      <c r="O261">
        <v>9.5610060000000004E-3</v>
      </c>
      <c r="P261">
        <v>0.98519999999999996</v>
      </c>
      <c r="Q261">
        <v>0.1545029</v>
      </c>
      <c r="R261">
        <v>7.4228550000000004E-2</v>
      </c>
      <c r="S261">
        <v>3.1589360000000002</v>
      </c>
      <c r="T261">
        <v>-0.46361409999999997</v>
      </c>
      <c r="U261">
        <v>-0.52490230000000004</v>
      </c>
      <c r="V261">
        <v>-6.4894629999999995E-2</v>
      </c>
      <c r="W261">
        <v>0.17153959999999999</v>
      </c>
      <c r="X261">
        <v>0.98303759999999996</v>
      </c>
      <c r="Y261">
        <v>0.17126079999999999</v>
      </c>
      <c r="Z261">
        <v>-1.514299E-2</v>
      </c>
      <c r="AA261">
        <v>0.98510929999999997</v>
      </c>
      <c r="AB261">
        <v>31</v>
      </c>
      <c r="AC261">
        <v>0.66409999999996205</v>
      </c>
      <c r="AD261">
        <v>-0.13953740000000001</v>
      </c>
      <c r="AE261">
        <v>-0.16359999999997399</v>
      </c>
      <c r="AF261">
        <v>0.16315215873882999</v>
      </c>
      <c r="AG261">
        <v>-0.13953740000000001</v>
      </c>
      <c r="AH261">
        <v>0.63603205834973997</v>
      </c>
      <c r="AI261">
        <v>101.9972956086</v>
      </c>
      <c r="AJ261">
        <v>75.612941000680706</v>
      </c>
      <c r="AK261">
        <v>0.67128689257910201</v>
      </c>
      <c r="AL261">
        <v>80.122653626393699</v>
      </c>
      <c r="AM261">
        <v>93.776866038937001</v>
      </c>
      <c r="AN261">
        <v>1.0000000351923699</v>
      </c>
    </row>
    <row r="262" spans="1:40" x14ac:dyDescent="0.25">
      <c r="A262" t="str">
        <f>"20190304155318546"</f>
        <v>20190304155318546</v>
      </c>
      <c r="B262" t="str">
        <f>"1551685998536243"</f>
        <v>1551685998536243</v>
      </c>
      <c r="C262" t="s">
        <v>40</v>
      </c>
      <c r="D262">
        <v>4.644183</v>
      </c>
      <c r="E262">
        <v>0.59341100000000002</v>
      </c>
      <c r="F262" t="s">
        <v>48</v>
      </c>
      <c r="G262">
        <v>-437.48540000000003</v>
      </c>
      <c r="H262">
        <v>0.96291590000000005</v>
      </c>
      <c r="I262">
        <v>367.07170000000002</v>
      </c>
      <c r="J262">
        <v>-438.12299999999999</v>
      </c>
      <c r="K262">
        <v>1.1011879999999901</v>
      </c>
      <c r="L262">
        <v>367.23410000000001</v>
      </c>
      <c r="M262">
        <v>0.99977640000000001</v>
      </c>
      <c r="N262">
        <v>-1.8728539999999998E-2</v>
      </c>
      <c r="O262">
        <v>9.8314909999999995E-3</v>
      </c>
      <c r="P262">
        <v>0.98543449999999999</v>
      </c>
      <c r="Q262">
        <v>0.15300759999999999</v>
      </c>
      <c r="R262">
        <v>7.4214139999999998E-2</v>
      </c>
      <c r="S262">
        <v>3.1590579999999999</v>
      </c>
      <c r="T262">
        <v>-0.47031640000000002</v>
      </c>
      <c r="U262">
        <v>-0.53417969999999904</v>
      </c>
      <c r="V262">
        <v>-6.4610109999999998E-2</v>
      </c>
      <c r="W262">
        <v>0.17141600000000001</v>
      </c>
      <c r="X262">
        <v>0.98307789999999995</v>
      </c>
      <c r="Y262">
        <v>0.17422399999999999</v>
      </c>
      <c r="Z262">
        <v>-1.572546E-2</v>
      </c>
      <c r="AA262">
        <v>0.98458049999999997</v>
      </c>
      <c r="AB262">
        <v>31</v>
      </c>
      <c r="AC262">
        <v>0.63760000000002004</v>
      </c>
      <c r="AD262">
        <v>-0.13827209999999901</v>
      </c>
      <c r="AE262">
        <v>-0.162399999999991</v>
      </c>
      <c r="AF262">
        <v>0.16152799190589001</v>
      </c>
      <c r="AG262">
        <v>-0.13827209999999901</v>
      </c>
      <c r="AH262">
        <v>0.60907282169800503</v>
      </c>
      <c r="AI262">
        <v>102.376538525489</v>
      </c>
      <c r="AJ262">
        <v>75.146901036868698</v>
      </c>
      <c r="AK262">
        <v>0.64512027400999405</v>
      </c>
      <c r="AL262">
        <v>80.129841848963906</v>
      </c>
      <c r="AM262">
        <v>93.760200886451202</v>
      </c>
      <c r="AN262">
        <v>1.0000000344193101</v>
      </c>
    </row>
    <row r="263" spans="1:40" x14ac:dyDescent="0.25">
      <c r="A263" t="str">
        <f>"20190304155318568"</f>
        <v>20190304155318568</v>
      </c>
      <c r="B263" t="str">
        <f>"1551685998565523"</f>
        <v>1551685998565523</v>
      </c>
      <c r="C263" t="s">
        <v>40</v>
      </c>
      <c r="D263">
        <v>4.596489</v>
      </c>
      <c r="E263">
        <v>0.59456509999999996</v>
      </c>
      <c r="F263" t="s">
        <v>48</v>
      </c>
      <c r="G263">
        <v>-437.20839999999998</v>
      </c>
      <c r="H263">
        <v>0.96362420000000004</v>
      </c>
      <c r="I263">
        <v>367.07600000000002</v>
      </c>
      <c r="J263">
        <v>-437.81819999999999</v>
      </c>
      <c r="K263">
        <v>1.099253</v>
      </c>
      <c r="L263">
        <v>367.23739999999998</v>
      </c>
      <c r="M263">
        <v>0.99975150000000002</v>
      </c>
      <c r="N263">
        <v>-1.988788E-2</v>
      </c>
      <c r="O263">
        <v>1.008303E-2</v>
      </c>
      <c r="P263">
        <v>0.98557070000000002</v>
      </c>
      <c r="Q263">
        <v>0.1522828</v>
      </c>
      <c r="R263">
        <v>7.3895950000000002E-2</v>
      </c>
      <c r="S263">
        <v>3.159119</v>
      </c>
      <c r="T263">
        <v>-0.47554600000000002</v>
      </c>
      <c r="U263">
        <v>-0.54333500000000001</v>
      </c>
      <c r="V263">
        <v>-6.4045649999999996E-2</v>
      </c>
      <c r="W263">
        <v>0.17183319999999999</v>
      </c>
      <c r="X263">
        <v>0.98304190000000002</v>
      </c>
      <c r="Y263">
        <v>0.17714340000000001</v>
      </c>
      <c r="Z263">
        <v>-1.6249199999999998E-2</v>
      </c>
      <c r="AA263">
        <v>0.98405089999999995</v>
      </c>
      <c r="AB263">
        <v>31</v>
      </c>
      <c r="AC263">
        <v>0.609800000000007</v>
      </c>
      <c r="AD263">
        <v>-0.13562879999999899</v>
      </c>
      <c r="AE263">
        <v>-0.161400000000014</v>
      </c>
      <c r="AF263">
        <v>0.16013844802228799</v>
      </c>
      <c r="AG263">
        <v>-0.13562879999999899</v>
      </c>
      <c r="AH263">
        <v>0.58126922316375496</v>
      </c>
      <c r="AI263">
        <v>102.67773645460299</v>
      </c>
      <c r="AJ263">
        <v>74.597230485469197</v>
      </c>
      <c r="AK263">
        <v>0.61799142689993802</v>
      </c>
      <c r="AL263">
        <v>80.105577045858396</v>
      </c>
      <c r="AM263">
        <v>93.727579388755004</v>
      </c>
      <c r="AN263">
        <v>0.99999993553088395</v>
      </c>
    </row>
    <row r="264" spans="1:40" x14ac:dyDescent="0.25">
      <c r="A264" t="str">
        <f>"20190304155318593"</f>
        <v>20190304155318593</v>
      </c>
      <c r="B264" t="str">
        <f>"1551685998586313"</f>
        <v>1551685998586313</v>
      </c>
      <c r="C264" t="s">
        <v>40</v>
      </c>
      <c r="D264">
        <v>4.6054130000000004</v>
      </c>
      <c r="E264">
        <v>0.5952345</v>
      </c>
      <c r="F264" t="s">
        <v>48</v>
      </c>
      <c r="G264">
        <v>-436.9316</v>
      </c>
      <c r="H264">
        <v>0.96465480000000003</v>
      </c>
      <c r="I264">
        <v>367.0822</v>
      </c>
      <c r="J264">
        <v>-437.48840000000001</v>
      </c>
      <c r="K264">
        <v>1.096946</v>
      </c>
      <c r="L264">
        <v>367.24099999999999</v>
      </c>
      <c r="M264">
        <v>0.99972919999999998</v>
      </c>
      <c r="N264">
        <v>-2.0857870000000001E-2</v>
      </c>
      <c r="O264">
        <v>1.0335769999999999E-2</v>
      </c>
      <c r="P264">
        <v>0.98565210000000003</v>
      </c>
      <c r="Q264">
        <v>0.15190629999999999</v>
      </c>
      <c r="R264">
        <v>7.3583330000000002E-2</v>
      </c>
      <c r="S264">
        <v>3.1594540000000002</v>
      </c>
      <c r="T264">
        <v>-0.47966039999999999</v>
      </c>
      <c r="U264">
        <v>-0.55261229999999995</v>
      </c>
      <c r="V264">
        <v>-6.3488829999999996E-2</v>
      </c>
      <c r="W264">
        <v>0.17240999999999901</v>
      </c>
      <c r="X264">
        <v>0.98297710000000005</v>
      </c>
      <c r="Y264">
        <v>0.1800919</v>
      </c>
      <c r="Z264">
        <v>-1.6732449999999999E-2</v>
      </c>
      <c r="AA264">
        <v>0.98350749999999998</v>
      </c>
      <c r="AB264">
        <v>31</v>
      </c>
      <c r="AC264">
        <v>0.55680000000000895</v>
      </c>
      <c r="AD264">
        <v>-0.132291199999999</v>
      </c>
      <c r="AE264">
        <v>-0.15879999999998501</v>
      </c>
      <c r="AF264">
        <v>0.15638390303753499</v>
      </c>
      <c r="AG264">
        <v>-0.132291199999999</v>
      </c>
      <c r="AH264">
        <v>0.52758659416753895</v>
      </c>
      <c r="AI264">
        <v>103.517881726368</v>
      </c>
      <c r="AJ264">
        <v>73.489454110989499</v>
      </c>
      <c r="AK264">
        <v>0.56595450441885897</v>
      </c>
      <c r="AL264">
        <v>80.072028884584796</v>
      </c>
      <c r="AM264">
        <v>93.695504509374203</v>
      </c>
      <c r="AN264">
        <v>1.00000000937958</v>
      </c>
    </row>
    <row r="265" spans="1:40" x14ac:dyDescent="0.25">
      <c r="A265" t="str">
        <f>"20190304155318614"</f>
        <v>20190304155318614</v>
      </c>
      <c r="B265" t="str">
        <f>"1551685998605833"</f>
        <v>1551685998605833</v>
      </c>
      <c r="C265" t="s">
        <v>40</v>
      </c>
      <c r="D265">
        <v>4.573245</v>
      </c>
      <c r="E265">
        <v>0.59605280000000005</v>
      </c>
      <c r="F265" t="s">
        <v>48</v>
      </c>
      <c r="G265">
        <v>-436.6533</v>
      </c>
      <c r="H265">
        <v>0.9697403</v>
      </c>
      <c r="I265">
        <v>367.09269999999998</v>
      </c>
      <c r="J265">
        <v>-437.18849999999998</v>
      </c>
      <c r="K265">
        <v>1.094651</v>
      </c>
      <c r="L265">
        <v>367.24439999999998</v>
      </c>
      <c r="M265">
        <v>0.99971529999999997</v>
      </c>
      <c r="N265">
        <v>-2.139659E-2</v>
      </c>
      <c r="O265">
        <v>1.056321E-2</v>
      </c>
      <c r="P265">
        <v>0.98575029999999997</v>
      </c>
      <c r="Q265">
        <v>0.15132909999999999</v>
      </c>
      <c r="R265">
        <v>7.3457110000000006E-2</v>
      </c>
      <c r="S265">
        <v>3.1596069999999998</v>
      </c>
      <c r="T265">
        <v>-0.4816201</v>
      </c>
      <c r="U265">
        <v>-0.55853269999999899</v>
      </c>
      <c r="V265">
        <v>-6.3142039999999997E-2</v>
      </c>
      <c r="W265">
        <v>0.1723635</v>
      </c>
      <c r="X265">
        <v>0.98300759999999998</v>
      </c>
      <c r="Y265">
        <v>0.18204400000000001</v>
      </c>
      <c r="Z265">
        <v>-1.7031689999999999E-2</v>
      </c>
      <c r="AA265">
        <v>0.98314290000000004</v>
      </c>
      <c r="AB265">
        <v>31</v>
      </c>
      <c r="AC265">
        <v>0.53519999999997403</v>
      </c>
      <c r="AD265">
        <v>-0.1249107</v>
      </c>
      <c r="AE265">
        <v>-0.151700000000005</v>
      </c>
      <c r="AF265">
        <v>0.14979360664854299</v>
      </c>
      <c r="AG265">
        <v>-0.1249107</v>
      </c>
      <c r="AH265">
        <v>0.50795598805882702</v>
      </c>
      <c r="AI265">
        <v>103.27158827431001</v>
      </c>
      <c r="AJ265">
        <v>73.5694830825488</v>
      </c>
      <c r="AK265">
        <v>0.54411404445399802</v>
      </c>
      <c r="AL265">
        <v>80.074733711562004</v>
      </c>
      <c r="AM265">
        <v>93.675260604305805</v>
      </c>
      <c r="AN265">
        <v>1.00000001750268</v>
      </c>
    </row>
    <row r="266" spans="1:40" x14ac:dyDescent="0.25">
      <c r="A266" t="str">
        <f>"20190304155318637"</f>
        <v>20190304155318637</v>
      </c>
      <c r="B266" t="str">
        <f>"1551685998626329"</f>
        <v>1551685998626329</v>
      </c>
      <c r="C266" t="s">
        <v>40</v>
      </c>
      <c r="D266">
        <v>4.5759840000000001</v>
      </c>
      <c r="E266">
        <v>0.59666409999999903</v>
      </c>
      <c r="F266" t="s">
        <v>48</v>
      </c>
      <c r="G266">
        <v>-436.37700000000001</v>
      </c>
      <c r="H266">
        <v>0.9704102</v>
      </c>
      <c r="I266">
        <v>367.09879999999998</v>
      </c>
      <c r="J266">
        <v>-436.86669999999998</v>
      </c>
      <c r="K266">
        <v>1.09199</v>
      </c>
      <c r="L266">
        <v>367.24810000000002</v>
      </c>
      <c r="M266">
        <v>0.9997085</v>
      </c>
      <c r="N266">
        <v>-2.158235E-2</v>
      </c>
      <c r="O266">
        <v>1.0816330000000001E-2</v>
      </c>
      <c r="P266">
        <v>0.98578860000000001</v>
      </c>
      <c r="Q266">
        <v>0.15112990000000001</v>
      </c>
      <c r="R266">
        <v>7.3351959999999994E-2</v>
      </c>
      <c r="S266">
        <v>3.159821</v>
      </c>
      <c r="T266">
        <v>-0.48373850000000002</v>
      </c>
      <c r="U266">
        <v>-0.56619259999999905</v>
      </c>
      <c r="V266">
        <v>-6.2788780000000002E-2</v>
      </c>
      <c r="W266">
        <v>0.17234749999999999</v>
      </c>
      <c r="X266">
        <v>0.98303300000000005</v>
      </c>
      <c r="Y266">
        <v>0.18453549999999999</v>
      </c>
      <c r="Z266">
        <v>-1.735801E-2</v>
      </c>
      <c r="AA266">
        <v>0.98267260000000001</v>
      </c>
      <c r="AB266">
        <v>31</v>
      </c>
      <c r="AC266">
        <v>0.489700000000027</v>
      </c>
      <c r="AD266">
        <v>-0.1215798</v>
      </c>
      <c r="AE266">
        <v>-0.14930000000003901</v>
      </c>
      <c r="AF266">
        <v>0.14633622486540199</v>
      </c>
      <c r="AG266">
        <v>-0.1215798</v>
      </c>
      <c r="AH266">
        <v>0.46200032387287099</v>
      </c>
      <c r="AI266">
        <v>104.08344386787</v>
      </c>
      <c r="AJ266">
        <v>72.424669822349699</v>
      </c>
      <c r="AK266">
        <v>0.49964010821243698</v>
      </c>
      <c r="AL266">
        <v>80.075664049390696</v>
      </c>
      <c r="AM266">
        <v>93.654660377892398</v>
      </c>
      <c r="AN266">
        <v>0.99999998536956902</v>
      </c>
    </row>
    <row r="267" spans="1:40" x14ac:dyDescent="0.25">
      <c r="A267" t="str">
        <f>"20190304155318658"</f>
        <v>20190304155318658</v>
      </c>
      <c r="B267" t="str">
        <f>"1551685998655610"</f>
        <v>1551685998655610</v>
      </c>
      <c r="C267" t="s">
        <v>40</v>
      </c>
      <c r="D267">
        <v>4.2809030000000003</v>
      </c>
      <c r="E267">
        <v>0.59770599999999996</v>
      </c>
      <c r="F267" t="s">
        <v>48</v>
      </c>
      <c r="G267">
        <v>-436.0994</v>
      </c>
      <c r="H267">
        <v>0.97433890000000001</v>
      </c>
      <c r="I267">
        <v>367.10879999999997</v>
      </c>
      <c r="J267">
        <v>-436.58030000000002</v>
      </c>
      <c r="K267">
        <v>1.0894919999999999</v>
      </c>
      <c r="L267">
        <v>367.25139999999999</v>
      </c>
      <c r="M267">
        <v>0.99970749999999997</v>
      </c>
      <c r="N267">
        <v>-2.15231E-2</v>
      </c>
      <c r="O267">
        <v>1.10279E-2</v>
      </c>
      <c r="P267">
        <v>0.98570849999999999</v>
      </c>
      <c r="Q267">
        <v>0.15166160000000001</v>
      </c>
      <c r="R267">
        <v>7.3331709999999994E-2</v>
      </c>
      <c r="S267">
        <v>3.160034</v>
      </c>
      <c r="T267">
        <v>-0.48482720000000001</v>
      </c>
      <c r="U267">
        <v>-0.57135009999999997</v>
      </c>
      <c r="V267">
        <v>-6.2561809999999995E-2</v>
      </c>
      <c r="W267">
        <v>0.17281959999999999</v>
      </c>
      <c r="X267">
        <v>0.98296459999999997</v>
      </c>
      <c r="Y267">
        <v>0.18625240000000001</v>
      </c>
      <c r="Z267">
        <v>-1.7561050000000002E-2</v>
      </c>
      <c r="AA267">
        <v>0.98234500000000002</v>
      </c>
      <c r="AB267">
        <v>31</v>
      </c>
      <c r="AC267">
        <v>0.48090000000001898</v>
      </c>
      <c r="AD267">
        <v>-0.115153099999999</v>
      </c>
      <c r="AE267">
        <v>-0.14260000000001499</v>
      </c>
      <c r="AF267">
        <v>0.14049144700327401</v>
      </c>
      <c r="AG267">
        <v>-0.115153099999999</v>
      </c>
      <c r="AH267">
        <v>0.45530170129487502</v>
      </c>
      <c r="AI267">
        <v>103.58629538625701</v>
      </c>
      <c r="AJ267">
        <v>72.851458326507895</v>
      </c>
      <c r="AK267">
        <v>0.49020171595241502</v>
      </c>
      <c r="AL267">
        <v>80.048202792053701</v>
      </c>
      <c r="AM267">
        <v>93.641737770061894</v>
      </c>
      <c r="AN267">
        <v>0.99999999953389795</v>
      </c>
    </row>
    <row r="268" spans="1:40" x14ac:dyDescent="0.25">
      <c r="A268" t="str">
        <f>"20190304155318680"</f>
        <v>20190304155318680</v>
      </c>
      <c r="B268" t="str">
        <f>"1551685998676105"</f>
        <v>1551685998676105</v>
      </c>
      <c r="C268" t="s">
        <v>40</v>
      </c>
      <c r="D268">
        <v>4.2101839999999999</v>
      </c>
      <c r="E268">
        <v>0.57565469999999996</v>
      </c>
      <c r="F268" t="s">
        <v>48</v>
      </c>
      <c r="G268">
        <v>-435.82409999999999</v>
      </c>
      <c r="H268">
        <v>0.97395849999999995</v>
      </c>
      <c r="I268">
        <v>367.11279999999999</v>
      </c>
      <c r="J268">
        <v>-436.28989999999999</v>
      </c>
      <c r="K268">
        <v>1.0869009999999999</v>
      </c>
      <c r="L268">
        <v>367.25490000000002</v>
      </c>
      <c r="M268">
        <v>0.99970870000000001</v>
      </c>
      <c r="N268">
        <v>-2.1361809999999998E-2</v>
      </c>
      <c r="O268">
        <v>1.124236E-2</v>
      </c>
      <c r="P268">
        <v>0.98556429999999995</v>
      </c>
      <c r="Q268">
        <v>0.1525176</v>
      </c>
      <c r="R268">
        <v>7.3496889999999995E-2</v>
      </c>
      <c r="S268">
        <v>3.1609189999999998</v>
      </c>
      <c r="T268">
        <v>-0.48287639999999998</v>
      </c>
      <c r="U268">
        <v>-0.57943730000000004</v>
      </c>
      <c r="V268">
        <v>-6.2515139999999997E-2</v>
      </c>
      <c r="W268">
        <v>0.17351459999999999</v>
      </c>
      <c r="X268">
        <v>0.98284510000000003</v>
      </c>
      <c r="Y268">
        <v>0.18883539999999999</v>
      </c>
      <c r="Z268">
        <v>-1.7727799999999998E-2</v>
      </c>
      <c r="AA268">
        <v>0.98184870000000002</v>
      </c>
      <c r="AB268">
        <v>31</v>
      </c>
      <c r="AC268">
        <v>0.46580000000000099</v>
      </c>
      <c r="AD268">
        <v>-0.1129425</v>
      </c>
      <c r="AE268">
        <v>-0.14210000000002701</v>
      </c>
      <c r="AF268">
        <v>0.13980912204853599</v>
      </c>
      <c r="AG268">
        <v>-0.1129425</v>
      </c>
      <c r="AH268">
        <v>0.44048091958949098</v>
      </c>
      <c r="AI268">
        <v>103.73344063154001</v>
      </c>
      <c r="AJ268">
        <v>72.390505236634596</v>
      </c>
      <c r="AK268">
        <v>0.47573736392744698</v>
      </c>
      <c r="AL268">
        <v>80.007771156539206</v>
      </c>
      <c r="AM268">
        <v>93.639469666013795</v>
      </c>
      <c r="AN268">
        <v>0.99999997486819403</v>
      </c>
    </row>
    <row r="269" spans="1:40" x14ac:dyDescent="0.25">
      <c r="A269" t="str">
        <f>"20190304155318702"</f>
        <v>20190304155318702</v>
      </c>
      <c r="B269" t="str">
        <f>"1551685998695625"</f>
        <v>1551685998695625</v>
      </c>
      <c r="C269" t="s">
        <v>40</v>
      </c>
      <c r="D269">
        <v>4.425395</v>
      </c>
      <c r="E269">
        <v>0.55914949999999997</v>
      </c>
      <c r="F269" t="s">
        <v>47</v>
      </c>
      <c r="G269">
        <v>-412.92290000000003</v>
      </c>
      <c r="H269">
        <v>-0.05</v>
      </c>
      <c r="I269">
        <v>364.26929999999999</v>
      </c>
      <c r="J269">
        <v>-435.98570000000001</v>
      </c>
      <c r="K269">
        <v>1.0841689999999999</v>
      </c>
      <c r="L269">
        <v>367.2586</v>
      </c>
      <c r="M269">
        <v>0.99971239999999995</v>
      </c>
      <c r="N269">
        <v>-2.105779E-2</v>
      </c>
      <c r="O269">
        <v>1.148426E-2</v>
      </c>
      <c r="P269">
        <v>0.98536809999999997</v>
      </c>
      <c r="Q269">
        <v>0.1537135</v>
      </c>
      <c r="R269">
        <v>7.3635469999999995E-2</v>
      </c>
      <c r="S269">
        <v>3.0967709999999999</v>
      </c>
      <c r="T269">
        <v>-0.15067049999999901</v>
      </c>
      <c r="U269">
        <v>-0.39566040000000002</v>
      </c>
      <c r="V269">
        <v>-6.2413280000000002E-2</v>
      </c>
      <c r="W269">
        <v>0.17440910000000001</v>
      </c>
      <c r="X269">
        <v>0.98269329999999999</v>
      </c>
      <c r="Y269">
        <v>0.1378857</v>
      </c>
      <c r="Z269">
        <v>-5.11336E-3</v>
      </c>
      <c r="AA269">
        <v>0.99043490000000001</v>
      </c>
      <c r="AB269">
        <v>31</v>
      </c>
      <c r="AC269">
        <v>23.0627999999999</v>
      </c>
      <c r="AD269">
        <v>-1.134169</v>
      </c>
      <c r="AE269">
        <v>-2.9893000000000098</v>
      </c>
      <c r="AF269">
        <v>3.24629949360305</v>
      </c>
      <c r="AG269">
        <v>-1.134169</v>
      </c>
      <c r="AH269">
        <v>22.9723022090763</v>
      </c>
      <c r="AI269">
        <v>92.798702159094404</v>
      </c>
      <c r="AJ269">
        <v>81.956584155758705</v>
      </c>
      <c r="AK269">
        <v>23.2282472112698</v>
      </c>
      <c r="AL269">
        <v>79.955727150608894</v>
      </c>
      <c r="AM269">
        <v>93.634115323766494</v>
      </c>
      <c r="AN269">
        <v>1.0000000367740201</v>
      </c>
    </row>
    <row r="270" spans="1:40" x14ac:dyDescent="0.25">
      <c r="A270" t="str">
        <f>"20190304155318724"</f>
        <v>20190304155318724</v>
      </c>
      <c r="B270" t="str">
        <f>"1551685998716122"</f>
        <v>1551685998716122</v>
      </c>
      <c r="C270" t="s">
        <v>40</v>
      </c>
      <c r="D270">
        <v>4.4293500000000003</v>
      </c>
      <c r="E270">
        <v>0.55249759999999903</v>
      </c>
      <c r="F270" t="s">
        <v>46</v>
      </c>
      <c r="G270">
        <v>-392.32139999999998</v>
      </c>
      <c r="H270" s="1">
        <v>-4.3538160000000002E-6</v>
      </c>
      <c r="I270">
        <v>363.54250000000002</v>
      </c>
      <c r="J270">
        <v>-435.67250000000001</v>
      </c>
      <c r="K270">
        <v>1.08141</v>
      </c>
      <c r="L270">
        <v>367.26249999999999</v>
      </c>
      <c r="M270">
        <v>0.99971989999999999</v>
      </c>
      <c r="N270">
        <v>-2.0549020000000001E-2</v>
      </c>
      <c r="O270">
        <v>1.1750790000000001E-2</v>
      </c>
      <c r="P270">
        <v>0.98525339999999995</v>
      </c>
      <c r="Q270">
        <v>0.1543813</v>
      </c>
      <c r="R270">
        <v>7.3771509999999998E-2</v>
      </c>
      <c r="S270">
        <v>3.0759889999999999</v>
      </c>
      <c r="T270">
        <v>-7.6375719999999994E-2</v>
      </c>
      <c r="U270">
        <v>-0.26177979999999901</v>
      </c>
      <c r="V270">
        <v>-6.2283949999999998E-2</v>
      </c>
      <c r="W270">
        <v>0.174576799999999</v>
      </c>
      <c r="X270">
        <v>0.98267170000000004</v>
      </c>
      <c r="Y270">
        <v>9.6448590000000001E-2</v>
      </c>
      <c r="Z270">
        <v>-2.2383849999999999E-3</v>
      </c>
      <c r="AA270">
        <v>0.99533550000000004</v>
      </c>
      <c r="AB270">
        <v>31</v>
      </c>
      <c r="AC270">
        <v>43.351100000000002</v>
      </c>
      <c r="AD270">
        <v>-1.0814143538159999</v>
      </c>
      <c r="AE270">
        <v>-3.7199999999999598</v>
      </c>
      <c r="AF270">
        <v>4.2266493313713998</v>
      </c>
      <c r="AG270">
        <v>-1.0814143538159999</v>
      </c>
      <c r="AH270">
        <v>43.277649636599399</v>
      </c>
      <c r="AI270">
        <v>91.424623852195097</v>
      </c>
      <c r="AJ270">
        <v>84.421980018799005</v>
      </c>
      <c r="AK270">
        <v>43.496999662543097</v>
      </c>
      <c r="AL270">
        <v>79.945968667946502</v>
      </c>
      <c r="AM270">
        <v>93.626684494257404</v>
      </c>
      <c r="AN270">
        <v>1.0000000097533599</v>
      </c>
    </row>
    <row r="271" spans="1:40" x14ac:dyDescent="0.25">
      <c r="A271" t="str">
        <f>"20190304155318746"</f>
        <v>20190304155318746</v>
      </c>
      <c r="B271" t="str">
        <f>"1551685998735641"</f>
        <v>1551685998735641</v>
      </c>
      <c r="C271" t="s">
        <v>40</v>
      </c>
      <c r="D271">
        <v>4.4500029999999997</v>
      </c>
      <c r="E271">
        <v>0.54984509999999998</v>
      </c>
      <c r="F271" t="s">
        <v>46</v>
      </c>
      <c r="G271">
        <v>-336.726</v>
      </c>
      <c r="H271" s="1">
        <v>-3.511816E-6</v>
      </c>
      <c r="I271">
        <v>360.55279999999999</v>
      </c>
      <c r="J271">
        <v>-435.37799999999999</v>
      </c>
      <c r="K271">
        <v>1.0789329999999999</v>
      </c>
      <c r="L271">
        <v>367.26620000000003</v>
      </c>
      <c r="M271">
        <v>0.99972919999999998</v>
      </c>
      <c r="N271">
        <v>-1.9945009999999999E-2</v>
      </c>
      <c r="O271">
        <v>1.200068E-2</v>
      </c>
      <c r="P271">
        <v>0.98516649999999995</v>
      </c>
      <c r="Q271">
        <v>0.1547367</v>
      </c>
      <c r="R271">
        <v>7.4189569999999996E-2</v>
      </c>
      <c r="S271">
        <v>3.0657040000000002</v>
      </c>
      <c r="T271">
        <v>-3.3505920000000002E-2</v>
      </c>
      <c r="U271">
        <v>-0.20788570000000001</v>
      </c>
      <c r="V271">
        <v>-6.2453920000000003E-2</v>
      </c>
      <c r="W271">
        <v>0.174337299999999</v>
      </c>
      <c r="X271">
        <v>0.9827034</v>
      </c>
      <c r="Y271">
        <v>7.9611520000000005E-2</v>
      </c>
      <c r="Z271">
        <v>-1.1214459999999999E-3</v>
      </c>
      <c r="AA271">
        <v>0.99682530000000003</v>
      </c>
      <c r="AB271">
        <v>31</v>
      </c>
      <c r="AC271">
        <v>98.652000000000001</v>
      </c>
      <c r="AD271">
        <v>-1.0789365118159999</v>
      </c>
      <c r="AE271">
        <v>-6.7134000000000302</v>
      </c>
      <c r="AF271">
        <v>7.8961027024477497</v>
      </c>
      <c r="AG271">
        <v>-1.0789365118159999</v>
      </c>
      <c r="AH271">
        <v>98.552577913595101</v>
      </c>
      <c r="AI271">
        <v>90.6252357609402</v>
      </c>
      <c r="AJ271">
        <v>85.4192065061373</v>
      </c>
      <c r="AK271">
        <v>98.874279543768907</v>
      </c>
      <c r="AL271">
        <v>79.959904410804597</v>
      </c>
      <c r="AM271">
        <v>93.636438032074693</v>
      </c>
      <c r="AN271">
        <v>0.99999997933310703</v>
      </c>
    </row>
    <row r="272" spans="1:40" x14ac:dyDescent="0.25">
      <c r="A272" t="str">
        <f>"20190304155318769"</f>
        <v>20190304155318769</v>
      </c>
      <c r="B272" t="str">
        <f>"1551685998765897"</f>
        <v>1551685998765897</v>
      </c>
      <c r="C272" t="s">
        <v>40</v>
      </c>
      <c r="D272">
        <v>4.4494109999999996</v>
      </c>
      <c r="E272">
        <v>0.54761510000000002</v>
      </c>
      <c r="F272" t="s">
        <v>46</v>
      </c>
      <c r="G272">
        <v>-255.43020000000001</v>
      </c>
      <c r="H272">
        <v>7.9986860000000007E-2</v>
      </c>
      <c r="I272">
        <v>356.3809</v>
      </c>
      <c r="J272">
        <v>-435.06459999999998</v>
      </c>
      <c r="K272">
        <v>1.0764830000000001</v>
      </c>
      <c r="L272">
        <v>367.27019999999999</v>
      </c>
      <c r="M272">
        <v>0.99973999999999996</v>
      </c>
      <c r="N272">
        <v>-1.9233190000000001E-2</v>
      </c>
      <c r="O272">
        <v>1.2258089999999999E-2</v>
      </c>
      <c r="P272">
        <v>0.98496950000000005</v>
      </c>
      <c r="Q272">
        <v>0.1558321</v>
      </c>
      <c r="R272">
        <v>7.4509599999999995E-2</v>
      </c>
      <c r="S272">
        <v>3.061798</v>
      </c>
      <c r="T272">
        <v>-1.6996979999999998E-2</v>
      </c>
      <c r="U272">
        <v>-0.18521119999999999</v>
      </c>
      <c r="V272">
        <v>-6.2521660000000007E-2</v>
      </c>
      <c r="W272">
        <v>0.17472979999999999</v>
      </c>
      <c r="X272">
        <v>0.98262939999999999</v>
      </c>
      <c r="Y272">
        <v>7.2607920000000006E-2</v>
      </c>
      <c r="Z272">
        <v>-7.3275100000000002E-4</v>
      </c>
      <c r="AA272">
        <v>0.99736029999999998</v>
      </c>
      <c r="AB272">
        <v>31</v>
      </c>
      <c r="AC272">
        <v>179.634399999999</v>
      </c>
      <c r="AD272">
        <v>-0.99649613999999997</v>
      </c>
      <c r="AE272">
        <v>-10.889299999999899</v>
      </c>
      <c r="AF272">
        <v>13.090461948215999</v>
      </c>
      <c r="AG272">
        <v>-0.99649613999999997</v>
      </c>
      <c r="AH272">
        <v>179.48188879675999</v>
      </c>
      <c r="AI272">
        <v>90.317264248451195</v>
      </c>
      <c r="AJ272">
        <v>85.828534362828194</v>
      </c>
      <c r="AK272">
        <v>179.96138920509301</v>
      </c>
      <c r="AL272">
        <v>79.937065467468997</v>
      </c>
      <c r="AM272">
        <v>93.640645068792793</v>
      </c>
      <c r="AN272">
        <v>0.99999999936077699</v>
      </c>
    </row>
    <row r="273" spans="1:40" x14ac:dyDescent="0.25">
      <c r="A273" t="str">
        <f>"20190304155318793"</f>
        <v>20190304155318793</v>
      </c>
      <c r="B273" t="str">
        <f>"1551685998786393"</f>
        <v>1551685998786393</v>
      </c>
      <c r="C273" t="s">
        <v>40</v>
      </c>
      <c r="D273">
        <v>4.2421689999999996</v>
      </c>
      <c r="E273">
        <v>0.54705859999999995</v>
      </c>
      <c r="F273" t="s">
        <v>41</v>
      </c>
      <c r="G273">
        <v>-158.78319999999999</v>
      </c>
      <c r="H273">
        <v>0.57989499999999905</v>
      </c>
      <c r="I273">
        <v>352.25799999999998</v>
      </c>
      <c r="J273">
        <v>-434.74189999999999</v>
      </c>
      <c r="K273">
        <v>1.074184</v>
      </c>
      <c r="L273">
        <v>367.27440000000001</v>
      </c>
      <c r="M273">
        <v>0.9997509</v>
      </c>
      <c r="N273">
        <v>-1.8487449999999999E-2</v>
      </c>
      <c r="O273">
        <v>1.2512489999999999E-2</v>
      </c>
      <c r="P273">
        <v>0.98468920000000004</v>
      </c>
      <c r="Q273">
        <v>0.1574082</v>
      </c>
      <c r="R273">
        <v>7.4898690000000004E-2</v>
      </c>
      <c r="S273">
        <v>3.0592350000000001</v>
      </c>
      <c r="T273">
        <v>-5.497694E-3</v>
      </c>
      <c r="U273">
        <v>-0.16622919999999999</v>
      </c>
      <c r="V273">
        <v>-6.2662090000000004E-2</v>
      </c>
      <c r="W273">
        <v>0.17556869999999999</v>
      </c>
      <c r="X273">
        <v>0.98247090000000004</v>
      </c>
      <c r="Y273">
        <v>6.6745830000000006E-2</v>
      </c>
      <c r="Z273">
        <v>-4.6873370000000001E-4</v>
      </c>
      <c r="AA273">
        <v>0.99776989999999999</v>
      </c>
      <c r="AB273">
        <v>31</v>
      </c>
      <c r="AC273">
        <v>275.95870000000002</v>
      </c>
      <c r="AD273">
        <v>-0.49428899999999998</v>
      </c>
      <c r="AE273">
        <v>-15.0163999999999</v>
      </c>
      <c r="AF273">
        <v>18.468685316041402</v>
      </c>
      <c r="AG273">
        <v>-0.49428899999999998</v>
      </c>
      <c r="AH273">
        <v>275.74828267182397</v>
      </c>
      <c r="AI273">
        <v>90.102475107706894</v>
      </c>
      <c r="AJ273">
        <v>86.168245635506494</v>
      </c>
      <c r="AK273">
        <v>276.36651760909598</v>
      </c>
      <c r="AL273">
        <v>79.888245250437905</v>
      </c>
      <c r="AM273">
        <v>93.649387323682404</v>
      </c>
      <c r="AN273">
        <v>0.999999987644834</v>
      </c>
    </row>
    <row r="274" spans="1:40" x14ac:dyDescent="0.25">
      <c r="A274" t="str">
        <f>"20190304155318815"</f>
        <v>20190304155318815</v>
      </c>
      <c r="B274" t="str">
        <f>"1551685998805914"</f>
        <v>1551685998805914</v>
      </c>
      <c r="C274" t="s">
        <v>40</v>
      </c>
      <c r="D274">
        <v>4.5061260000000001</v>
      </c>
      <c r="E274">
        <v>0.54622299999999901</v>
      </c>
      <c r="F274" t="s">
        <v>41</v>
      </c>
      <c r="G274">
        <v>-158.78319999999999</v>
      </c>
      <c r="H274">
        <v>0.65466020000000003</v>
      </c>
      <c r="I274">
        <v>352.76319999999998</v>
      </c>
      <c r="J274">
        <v>-434.4436</v>
      </c>
      <c r="K274">
        <v>1.072271</v>
      </c>
      <c r="L274">
        <v>367.27839999999998</v>
      </c>
      <c r="M274">
        <v>0.99976010000000004</v>
      </c>
      <c r="N274">
        <v>-1.782005E-2</v>
      </c>
      <c r="O274">
        <v>1.2737999999999999E-2</v>
      </c>
      <c r="P274">
        <v>0.98440919999999998</v>
      </c>
      <c r="Q274">
        <v>0.1589207</v>
      </c>
      <c r="R274">
        <v>7.5384389999999996E-2</v>
      </c>
      <c r="S274">
        <v>3.0596009999999998</v>
      </c>
      <c r="T274">
        <v>-4.6503539999999998E-3</v>
      </c>
      <c r="U274">
        <v>-0.1608887</v>
      </c>
      <c r="V274">
        <v>-6.2925930000000005E-2</v>
      </c>
      <c r="W274">
        <v>0.17642160000000001</v>
      </c>
      <c r="X274">
        <v>0.98230119999999999</v>
      </c>
      <c r="Y274">
        <v>6.5227859999999999E-2</v>
      </c>
      <c r="Z274">
        <v>-4.2367799999999998E-4</v>
      </c>
      <c r="AA274">
        <v>0.99787029999999999</v>
      </c>
      <c r="AB274">
        <v>31</v>
      </c>
      <c r="AC274">
        <v>275.66039999999998</v>
      </c>
      <c r="AD274">
        <v>-0.4176108</v>
      </c>
      <c r="AE274">
        <v>-14.515199999999901</v>
      </c>
      <c r="AF274">
        <v>18.025900439978699</v>
      </c>
      <c r="AG274">
        <v>-0.4176108</v>
      </c>
      <c r="AH274">
        <v>275.45247371582002</v>
      </c>
      <c r="AI274">
        <v>90.086680097549305</v>
      </c>
      <c r="AJ274">
        <v>86.25584248461</v>
      </c>
      <c r="AK274">
        <v>276.04197644854099</v>
      </c>
      <c r="AL274">
        <v>79.838602429860401</v>
      </c>
      <c r="AM274">
        <v>93.6653427374834</v>
      </c>
      <c r="AN274">
        <v>0.99999995056718105</v>
      </c>
    </row>
    <row r="275" spans="1:40" x14ac:dyDescent="0.25">
      <c r="A275" t="str">
        <f>"20190304155318837"</f>
        <v>20190304155318837</v>
      </c>
      <c r="B275" t="str">
        <f>"1551685998826409"</f>
        <v>1551685998826409</v>
      </c>
      <c r="C275" t="s">
        <v>40</v>
      </c>
      <c r="D275">
        <v>4.4662230000000003</v>
      </c>
      <c r="E275">
        <v>0.54560430000000004</v>
      </c>
      <c r="F275" t="s">
        <v>44</v>
      </c>
      <c r="G275">
        <v>-249.6935</v>
      </c>
      <c r="H275">
        <v>1.1407419999999999</v>
      </c>
      <c r="I275">
        <v>358.06650000000002</v>
      </c>
      <c r="J275">
        <v>-434.13679999999999</v>
      </c>
      <c r="K275">
        <v>1.0705199999999999</v>
      </c>
      <c r="L275">
        <v>367.2826</v>
      </c>
      <c r="M275">
        <v>0.99976860000000001</v>
      </c>
      <c r="N275">
        <v>-1.717436E-2</v>
      </c>
      <c r="O275">
        <v>1.295838E-2</v>
      </c>
      <c r="P275">
        <v>0.98411979999999999</v>
      </c>
      <c r="Q275">
        <v>0.16029599999999999</v>
      </c>
      <c r="R275">
        <v>7.6245460000000001E-2</v>
      </c>
      <c r="S275">
        <v>3.0589900000000001</v>
      </c>
      <c r="T275">
        <v>1.1351110000000001E-3</v>
      </c>
      <c r="U275">
        <v>-0.15252689999999999</v>
      </c>
      <c r="V275">
        <v>-6.3567970000000001E-2</v>
      </c>
      <c r="W275">
        <v>0.17715939999999999</v>
      </c>
      <c r="X275">
        <v>0.98212710000000003</v>
      </c>
      <c r="Y275">
        <v>6.2738169999999996E-2</v>
      </c>
      <c r="Z275">
        <v>-3.0026230000000003E-4</v>
      </c>
      <c r="AA275">
        <v>0.99802990000000003</v>
      </c>
      <c r="AB275">
        <v>31</v>
      </c>
      <c r="AC275">
        <v>184.44329999999999</v>
      </c>
      <c r="AD275">
        <v>7.0221999999999701E-2</v>
      </c>
      <c r="AE275">
        <v>-9.2160999999999795</v>
      </c>
      <c r="AF275">
        <v>11.605763057840299</v>
      </c>
      <c r="AG275">
        <v>7.0221999999999701E-2</v>
      </c>
      <c r="AH275">
        <v>184.30833897490601</v>
      </c>
      <c r="AI275">
        <v>89.978213297341199</v>
      </c>
      <c r="AJ275">
        <v>86.396883374612699</v>
      </c>
      <c r="AK275">
        <v>184.673394085268</v>
      </c>
      <c r="AL275">
        <v>79.795653492694299</v>
      </c>
      <c r="AM275">
        <v>93.703291645962906</v>
      </c>
      <c r="AN275">
        <v>0.999999990186345</v>
      </c>
    </row>
    <row r="276" spans="1:40" x14ac:dyDescent="0.25">
      <c r="A276" t="str">
        <f>"20190304155318857"</f>
        <v>20190304155318857</v>
      </c>
      <c r="B276" t="str">
        <f>"1551685998845929"</f>
        <v>1551685998845929</v>
      </c>
      <c r="C276" t="s">
        <v>40</v>
      </c>
      <c r="D276">
        <v>4.4383299999999997</v>
      </c>
      <c r="E276">
        <v>0.54513619999999996</v>
      </c>
      <c r="F276" t="s">
        <v>41</v>
      </c>
      <c r="G276">
        <v>-169.2955</v>
      </c>
      <c r="H276">
        <v>1.3934340000000001</v>
      </c>
      <c r="I276">
        <v>354.73779999999999</v>
      </c>
      <c r="J276">
        <v>-433.86070000000001</v>
      </c>
      <c r="K276">
        <v>1.069129</v>
      </c>
      <c r="L276">
        <v>367.28640000000001</v>
      </c>
      <c r="M276">
        <v>0.99977519999999998</v>
      </c>
      <c r="N276">
        <v>-1.6638940000000001E-2</v>
      </c>
      <c r="O276">
        <v>1.3142890000000001E-2</v>
      </c>
      <c r="P276">
        <v>0.98377380000000003</v>
      </c>
      <c r="Q276">
        <v>0.16241659999999999</v>
      </c>
      <c r="R276">
        <v>7.6225479999999998E-2</v>
      </c>
      <c r="S276">
        <v>3.059021</v>
      </c>
      <c r="T276">
        <v>3.7307740000000001E-3</v>
      </c>
      <c r="U276">
        <v>-0.14489749999999901</v>
      </c>
      <c r="V276">
        <v>-6.3364920000000005E-2</v>
      </c>
      <c r="W276">
        <v>0.17875060000000001</v>
      </c>
      <c r="X276">
        <v>0.9818519</v>
      </c>
      <c r="Y276">
        <v>6.0438600000000002E-2</v>
      </c>
      <c r="Z276">
        <v>-2.3171269999999999E-4</v>
      </c>
      <c r="AA276">
        <v>0.9981719</v>
      </c>
      <c r="AB276">
        <v>31</v>
      </c>
      <c r="AC276">
        <v>264.5652</v>
      </c>
      <c r="AD276">
        <v>0.32430500000000001</v>
      </c>
      <c r="AE276">
        <v>-12.5486</v>
      </c>
      <c r="AF276">
        <v>16.025124516436701</v>
      </c>
      <c r="AG276">
        <v>0.32430500000000001</v>
      </c>
      <c r="AH276">
        <v>264.37699871630201</v>
      </c>
      <c r="AI276">
        <v>89.929845420646998</v>
      </c>
      <c r="AJ276">
        <v>86.531279268170593</v>
      </c>
      <c r="AK276">
        <v>264.862430781981</v>
      </c>
      <c r="AL276">
        <v>79.703005978836501</v>
      </c>
      <c r="AM276">
        <v>93.692527097843197</v>
      </c>
      <c r="AN276">
        <v>1.00000002181028</v>
      </c>
    </row>
    <row r="277" spans="1:40" x14ac:dyDescent="0.25">
      <c r="A277" t="str">
        <f>"20190304155318906"</f>
        <v>20190304155318906</v>
      </c>
      <c r="B277" t="str">
        <f>"1551685998895706"</f>
        <v>1551685998895706</v>
      </c>
      <c r="C277" t="s">
        <v>40</v>
      </c>
      <c r="D277">
        <v>4.5741129999999997</v>
      </c>
      <c r="E277">
        <v>0.54427899999999996</v>
      </c>
      <c r="F277" t="s">
        <v>41</v>
      </c>
      <c r="G277">
        <v>-169.2955</v>
      </c>
      <c r="H277">
        <v>1.9115439999999999</v>
      </c>
      <c r="I277">
        <v>355.0573</v>
      </c>
      <c r="J277">
        <v>-433.19639999999998</v>
      </c>
      <c r="K277">
        <v>1.0664229999999999</v>
      </c>
      <c r="L277">
        <v>367.29559999999998</v>
      </c>
      <c r="M277">
        <v>0.99978789999999995</v>
      </c>
      <c r="N277">
        <v>-1.554087E-2</v>
      </c>
      <c r="O277">
        <v>1.351246E-2</v>
      </c>
      <c r="P277">
        <v>0.98331060000000003</v>
      </c>
      <c r="Q277">
        <v>0.16519339999999999</v>
      </c>
      <c r="R277">
        <v>7.6232240000000007E-2</v>
      </c>
      <c r="S277">
        <v>3.0588069999999998</v>
      </c>
      <c r="T277">
        <v>9.7407099999999996E-3</v>
      </c>
      <c r="U277">
        <v>-0.14138789999999901</v>
      </c>
      <c r="V277">
        <v>-6.2995789999999996E-2</v>
      </c>
      <c r="W277">
        <v>0.1804491</v>
      </c>
      <c r="X277">
        <v>0.98156489999999996</v>
      </c>
      <c r="Y277">
        <v>5.9668199999999998E-2</v>
      </c>
      <c r="Z277">
        <v>-1.160728E-4</v>
      </c>
      <c r="AA277">
        <v>0.99821819999999895</v>
      </c>
      <c r="AB277">
        <v>31</v>
      </c>
      <c r="AC277">
        <v>263.90089999999998</v>
      </c>
      <c r="AD277">
        <v>0.84512099999999901</v>
      </c>
      <c r="AE277">
        <v>-12.238299999999899</v>
      </c>
      <c r="AF277">
        <v>15.803401824471599</v>
      </c>
      <c r="AG277">
        <v>0.84512099999999901</v>
      </c>
      <c r="AH277">
        <v>263.70871252461802</v>
      </c>
      <c r="AI277">
        <v>89.816710696431798</v>
      </c>
      <c r="AJ277">
        <v>86.570509141741596</v>
      </c>
      <c r="AK277">
        <v>264.18316903262797</v>
      </c>
      <c r="AL277">
        <v>79.604080305251799</v>
      </c>
      <c r="AM277">
        <v>93.672145862396107</v>
      </c>
      <c r="AN277">
        <v>1.00000000008027</v>
      </c>
    </row>
    <row r="278" spans="1:40" x14ac:dyDescent="0.25">
      <c r="A278" t="str">
        <f>"20190304155318924"</f>
        <v>20190304155318924</v>
      </c>
      <c r="B278" t="str">
        <f>"1551685998916202"</f>
        <v>1551685998916202</v>
      </c>
      <c r="C278" t="s">
        <v>40</v>
      </c>
      <c r="D278">
        <v>4.4993150000000002</v>
      </c>
      <c r="E278">
        <v>0.54352849999999997</v>
      </c>
      <c r="F278" t="s">
        <v>41</v>
      </c>
      <c r="G278">
        <v>-169.2955</v>
      </c>
      <c r="H278">
        <v>2.459857</v>
      </c>
      <c r="I278">
        <v>355.6678</v>
      </c>
      <c r="J278">
        <v>-432.93849999999998</v>
      </c>
      <c r="K278">
        <v>1.0655809999999999</v>
      </c>
      <c r="L278">
        <v>367.29930000000002</v>
      </c>
      <c r="M278">
        <v>0.99979189999999996</v>
      </c>
      <c r="N278">
        <v>-1.5183739999999999E-2</v>
      </c>
      <c r="O278">
        <v>1.3630430000000001E-2</v>
      </c>
      <c r="P278">
        <v>0.98314539999999995</v>
      </c>
      <c r="Q278">
        <v>0.16618810000000001</v>
      </c>
      <c r="R278">
        <v>7.6203170000000001E-2</v>
      </c>
      <c r="S278">
        <v>3.0585939999999998</v>
      </c>
      <c r="T278">
        <v>1.6150830000000001E-2</v>
      </c>
      <c r="U278">
        <v>-0.13476560000000001</v>
      </c>
      <c r="V278">
        <v>-6.2847349999999996E-2</v>
      </c>
      <c r="W278">
        <v>0.18109259999999999</v>
      </c>
      <c r="X278">
        <v>0.98145590000000005</v>
      </c>
      <c r="Y278">
        <v>5.7631950000000001E-2</v>
      </c>
      <c r="Z278" s="1">
        <v>-6.8791559999999998E-6</v>
      </c>
      <c r="AA278">
        <v>0.9983379</v>
      </c>
      <c r="AB278">
        <v>31</v>
      </c>
      <c r="AC278">
        <v>263.64299999999997</v>
      </c>
      <c r="AD278">
        <v>1.3942760000000001</v>
      </c>
      <c r="AE278">
        <v>-11.631500000000001</v>
      </c>
      <c r="AF278">
        <v>15.2239756897328</v>
      </c>
      <c r="AG278">
        <v>1.3942760000000001</v>
      </c>
      <c r="AH278">
        <v>263.452587683454</v>
      </c>
      <c r="AI278">
        <v>89.697280101100304</v>
      </c>
      <c r="AJ278">
        <v>86.692761346839205</v>
      </c>
      <c r="AK278">
        <v>263.89577374121399</v>
      </c>
      <c r="AL278">
        <v>79.566592888058295</v>
      </c>
      <c r="AM278">
        <v>93.663922361664106</v>
      </c>
      <c r="AN278">
        <v>1.0000000014107899</v>
      </c>
    </row>
    <row r="279" spans="1:40" x14ac:dyDescent="0.25">
      <c r="A279" t="str">
        <f>"20190304155318948"</f>
        <v>20190304155318948</v>
      </c>
      <c r="B279" t="str">
        <f>"1551685998945481"</f>
        <v>1551685998945481</v>
      </c>
      <c r="C279" t="s">
        <v>40</v>
      </c>
      <c r="D279">
        <v>4.4710150000000004</v>
      </c>
      <c r="E279">
        <v>0.5430933</v>
      </c>
      <c r="F279" t="s">
        <v>41</v>
      </c>
      <c r="G279">
        <v>-169.2955</v>
      </c>
      <c r="H279">
        <v>2.4322859999999999</v>
      </c>
      <c r="I279">
        <v>356.15960000000001</v>
      </c>
      <c r="J279">
        <v>-432.62639999999999</v>
      </c>
      <c r="K279">
        <v>1.0647120000000001</v>
      </c>
      <c r="L279">
        <v>367.30360000000002</v>
      </c>
      <c r="M279">
        <v>0.99979600000000002</v>
      </c>
      <c r="N279">
        <v>-1.480094E-2</v>
      </c>
      <c r="O279">
        <v>1.3756289999999999E-2</v>
      </c>
      <c r="P279">
        <v>0.98307169999999999</v>
      </c>
      <c r="Q279">
        <v>0.16659370000000001</v>
      </c>
      <c r="R279">
        <v>7.6268499999999906E-2</v>
      </c>
      <c r="S279">
        <v>3.0587770000000001</v>
      </c>
      <c r="T279">
        <v>1.585746E-2</v>
      </c>
      <c r="U279">
        <v>-0.12924189999999999</v>
      </c>
      <c r="V279">
        <v>-6.2783340000000007E-2</v>
      </c>
      <c r="W279">
        <v>0.18112349999999999</v>
      </c>
      <c r="X279">
        <v>0.9814543</v>
      </c>
      <c r="Y279">
        <v>5.5955350000000001E-2</v>
      </c>
      <c r="Z279" s="1">
        <v>5.4779229999999899E-6</v>
      </c>
      <c r="AA279">
        <v>0.99843329999999997</v>
      </c>
      <c r="AB279">
        <v>31</v>
      </c>
      <c r="AC279">
        <v>263.33089999999999</v>
      </c>
      <c r="AD279">
        <v>1.3675739999999901</v>
      </c>
      <c r="AE279">
        <v>-11.144</v>
      </c>
      <c r="AF279">
        <v>14.7654002209346</v>
      </c>
      <c r="AG279">
        <v>1.3675739999999901</v>
      </c>
      <c r="AH279">
        <v>263.14557609978402</v>
      </c>
      <c r="AI279">
        <v>89.702702750369198</v>
      </c>
      <c r="AJ279">
        <v>86.788435737196494</v>
      </c>
      <c r="AK279">
        <v>263.563050375459</v>
      </c>
      <c r="AL279">
        <v>79.564792732600395</v>
      </c>
      <c r="AM279">
        <v>93.660206758554295</v>
      </c>
      <c r="AN279">
        <v>1.0000000065111401</v>
      </c>
    </row>
    <row r="280" spans="1:40" x14ac:dyDescent="0.25">
      <c r="A280" t="str">
        <f>"20190304155318969"</f>
        <v>20190304155318969</v>
      </c>
      <c r="B280" t="str">
        <f>"1551685998965977"</f>
        <v>1551685998965977</v>
      </c>
      <c r="C280" t="s">
        <v>40</v>
      </c>
      <c r="D280">
        <v>4.4290539999999998</v>
      </c>
      <c r="E280">
        <v>0.54275139999999999</v>
      </c>
      <c r="F280" t="s">
        <v>41</v>
      </c>
      <c r="G280">
        <v>-169.2955</v>
      </c>
      <c r="H280">
        <v>2.4290759999999998</v>
      </c>
      <c r="I280">
        <v>356.48700000000002</v>
      </c>
      <c r="J280">
        <v>-432.32990000000001</v>
      </c>
      <c r="K280">
        <v>1.0640039999999999</v>
      </c>
      <c r="L280">
        <v>367.30779999999999</v>
      </c>
      <c r="M280">
        <v>0.9997992</v>
      </c>
      <c r="N280">
        <v>-1.4485049999999999E-2</v>
      </c>
      <c r="O280">
        <v>1.385544E-2</v>
      </c>
      <c r="P280">
        <v>0.98297409999999996</v>
      </c>
      <c r="Q280">
        <v>0.167245799999999</v>
      </c>
      <c r="R280">
        <v>7.6100619999999994E-2</v>
      </c>
      <c r="S280">
        <v>3.058716</v>
      </c>
      <c r="T280">
        <v>1.584876E-2</v>
      </c>
      <c r="U280">
        <v>-0.1256409</v>
      </c>
      <c r="V280">
        <v>-6.2513020000000002E-2</v>
      </c>
      <c r="W280">
        <v>0.18146670000000001</v>
      </c>
      <c r="X280">
        <v>0.98140810000000001</v>
      </c>
      <c r="Y280">
        <v>5.4881659999999999E-2</v>
      </c>
      <c r="Z280" s="1">
        <v>1.6831439999999999E-5</v>
      </c>
      <c r="AA280">
        <v>0.99849279999999996</v>
      </c>
      <c r="AB280">
        <v>31</v>
      </c>
      <c r="AC280">
        <v>263.03440000000001</v>
      </c>
      <c r="AD280">
        <v>1.3650719999999901</v>
      </c>
      <c r="AE280">
        <v>-10.8208</v>
      </c>
      <c r="AF280">
        <v>14.464211494547101</v>
      </c>
      <c r="AG280">
        <v>1.3650719999999901</v>
      </c>
      <c r="AH280">
        <v>262.85213559911199</v>
      </c>
      <c r="AI280">
        <v>89.702897542453798</v>
      </c>
      <c r="AJ280">
        <v>86.850307898068394</v>
      </c>
      <c r="AK280">
        <v>263.253341906115</v>
      </c>
      <c r="AL280">
        <v>79.544796875003797</v>
      </c>
      <c r="AM280">
        <v>93.644661037681303</v>
      </c>
      <c r="AN280">
        <v>0.99999994981200802</v>
      </c>
    </row>
    <row r="281" spans="1:40" x14ac:dyDescent="0.25">
      <c r="A281" t="str">
        <f>"20190304155318993"</f>
        <v>20190304155318993</v>
      </c>
      <c r="B281" t="str">
        <f>"1551685998986474"</f>
        <v>1551685998986474</v>
      </c>
      <c r="C281" t="s">
        <v>40</v>
      </c>
      <c r="D281">
        <v>4.4614799999999999</v>
      </c>
      <c r="E281">
        <v>0.54259119999999905</v>
      </c>
      <c r="F281" t="s">
        <v>41</v>
      </c>
      <c r="G281">
        <v>-166.92769999999999</v>
      </c>
      <c r="H281">
        <v>2.5111210000000002</v>
      </c>
      <c r="I281">
        <v>356.61509999999998</v>
      </c>
      <c r="J281">
        <v>-432.01339999999999</v>
      </c>
      <c r="K281">
        <v>1.0633589999999999</v>
      </c>
      <c r="L281">
        <v>367.31240000000003</v>
      </c>
      <c r="M281">
        <v>0.99980219999999997</v>
      </c>
      <c r="N281">
        <v>-1.4195320000000001E-2</v>
      </c>
      <c r="O281">
        <v>1.393989E-2</v>
      </c>
      <c r="P281">
        <v>0.98291450000000002</v>
      </c>
      <c r="Q281">
        <v>0.1675991</v>
      </c>
      <c r="R281">
        <v>7.6091859999999997E-2</v>
      </c>
      <c r="S281">
        <v>3.0586549999999999</v>
      </c>
      <c r="T281">
        <v>1.6678450000000001E-2</v>
      </c>
      <c r="U281">
        <v>-0.12323000000000001</v>
      </c>
      <c r="V281">
        <v>-6.241439E-2</v>
      </c>
      <c r="W281">
        <v>0.18153759999999999</v>
      </c>
      <c r="X281">
        <v>0.98140130000000003</v>
      </c>
      <c r="Y281">
        <v>5.4180970000000002E-2</v>
      </c>
      <c r="Z281" s="1">
        <v>3.6712150000000001E-5</v>
      </c>
      <c r="AA281">
        <v>0.9985311</v>
      </c>
      <c r="AB281">
        <v>31</v>
      </c>
      <c r="AC281">
        <v>265.08569999999997</v>
      </c>
      <c r="AD281">
        <v>1.44776199999999</v>
      </c>
      <c r="AE281">
        <v>-10.6973</v>
      </c>
      <c r="AF281">
        <v>14.391469192230799</v>
      </c>
      <c r="AG281">
        <v>1.44776199999999</v>
      </c>
      <c r="AH281">
        <v>264.90291494035699</v>
      </c>
      <c r="AI281">
        <v>89.687328137919394</v>
      </c>
      <c r="AJ281">
        <v>86.890329988370695</v>
      </c>
      <c r="AK281">
        <v>265.29750233316798</v>
      </c>
      <c r="AL281">
        <v>79.540666353589302</v>
      </c>
      <c r="AM281">
        <v>93.638951277906997</v>
      </c>
      <c r="AN281">
        <v>0.99999998396726097</v>
      </c>
    </row>
    <row r="282" spans="1:40" x14ac:dyDescent="0.25">
      <c r="A282" t="str">
        <f>"20190304155319016"</f>
        <v>20190304155319016</v>
      </c>
      <c r="B282" t="str">
        <f>"1551685999005994"</f>
        <v>1551685999005994</v>
      </c>
      <c r="C282" t="s">
        <v>40</v>
      </c>
      <c r="D282">
        <v>4.4562330000000001</v>
      </c>
      <c r="E282">
        <v>0.54237100000000005</v>
      </c>
      <c r="F282" t="s">
        <v>41</v>
      </c>
      <c r="G282">
        <v>-158.19499999999999</v>
      </c>
      <c r="H282">
        <v>2.6195460000000002</v>
      </c>
      <c r="I282">
        <v>356.3734</v>
      </c>
      <c r="J282">
        <v>-431.6986</v>
      </c>
      <c r="K282">
        <v>1.0628070000000001</v>
      </c>
      <c r="L282">
        <v>367.3168</v>
      </c>
      <c r="M282">
        <v>0.99980460000000004</v>
      </c>
      <c r="N282">
        <v>-1.395383E-2</v>
      </c>
      <c r="O282">
        <v>1.400524E-2</v>
      </c>
      <c r="P282">
        <v>0.98289789999999999</v>
      </c>
      <c r="Q282">
        <v>0.16775100000000001</v>
      </c>
      <c r="R282">
        <v>7.596812E-2</v>
      </c>
      <c r="S282">
        <v>3.0586549999999999</v>
      </c>
      <c r="T282">
        <v>1.7384170000000001E-2</v>
      </c>
      <c r="U282">
        <v>-0.12219240000000001</v>
      </c>
      <c r="V282">
        <v>-6.2218799999999998E-2</v>
      </c>
      <c r="W282">
        <v>0.18145459999999999</v>
      </c>
      <c r="X282">
        <v>0.98142910000000005</v>
      </c>
      <c r="Y282">
        <v>5.3907959999999998E-2</v>
      </c>
      <c r="Z282" s="1">
        <v>5.1773620000000003E-5</v>
      </c>
      <c r="AA282">
        <v>0.99854589999999999</v>
      </c>
      <c r="AB282">
        <v>31</v>
      </c>
      <c r="AC282">
        <v>273.50360000000001</v>
      </c>
      <c r="AD282">
        <v>1.5567389999999901</v>
      </c>
      <c r="AE282">
        <v>-10.943399999999899</v>
      </c>
      <c r="AF282">
        <v>14.772705003327999</v>
      </c>
      <c r="AG282">
        <v>1.5567389999999901</v>
      </c>
      <c r="AH282">
        <v>273.31464974626999</v>
      </c>
      <c r="AI282">
        <v>89.674135244601999</v>
      </c>
      <c r="AJ282">
        <v>86.906163472963797</v>
      </c>
      <c r="AK282">
        <v>273.71801916453302</v>
      </c>
      <c r="AL282">
        <v>79.545502543222099</v>
      </c>
      <c r="AM282">
        <v>93.627475795239803</v>
      </c>
      <c r="AN282">
        <v>1.0000000146307</v>
      </c>
    </row>
    <row r="283" spans="1:40" x14ac:dyDescent="0.25">
      <c r="A283" t="str">
        <f>"20190304155319039"</f>
        <v>20190304155319039</v>
      </c>
      <c r="B283" t="str">
        <f>"1551685999036250"</f>
        <v>1551685999036250</v>
      </c>
      <c r="C283" t="s">
        <v>40</v>
      </c>
      <c r="D283">
        <v>4.4576760000000002</v>
      </c>
      <c r="E283">
        <v>0.54212090000000002</v>
      </c>
      <c r="F283" t="s">
        <v>41</v>
      </c>
      <c r="G283">
        <v>-158.19499999999999</v>
      </c>
      <c r="H283">
        <v>2.6134240000000002</v>
      </c>
      <c r="I283">
        <v>356.50470000000001</v>
      </c>
      <c r="J283">
        <v>-431.38139999999999</v>
      </c>
      <c r="K283">
        <v>1.06236</v>
      </c>
      <c r="L283">
        <v>367.32139999999998</v>
      </c>
      <c r="M283">
        <v>0.99980659999999999</v>
      </c>
      <c r="N283">
        <v>-1.375651E-2</v>
      </c>
      <c r="O283">
        <v>1.4057770000000001E-2</v>
      </c>
      <c r="P283">
        <v>0.98282530000000001</v>
      </c>
      <c r="Q283">
        <v>0.1681301</v>
      </c>
      <c r="R283">
        <v>7.6072000000000001E-2</v>
      </c>
      <c r="S283">
        <v>3.0585629999999999</v>
      </c>
      <c r="T283">
        <v>1.734138E-2</v>
      </c>
      <c r="U283">
        <v>-0.12091059999999999</v>
      </c>
      <c r="V283">
        <v>-6.226624E-2</v>
      </c>
      <c r="W283">
        <v>0.1816412</v>
      </c>
      <c r="X283">
        <v>0.98139149999999997</v>
      </c>
      <c r="Y283">
        <v>5.3543790000000001E-2</v>
      </c>
      <c r="Z283" s="1">
        <v>5.6267190000000002E-5</v>
      </c>
      <c r="AA283">
        <v>0.99856549999999999</v>
      </c>
      <c r="AB283">
        <v>31</v>
      </c>
      <c r="AC283">
        <v>273.18639999999999</v>
      </c>
      <c r="AD283">
        <v>1.551064</v>
      </c>
      <c r="AE283">
        <v>-10.8166999999999</v>
      </c>
      <c r="AF283">
        <v>14.655914052263199</v>
      </c>
      <c r="AG283">
        <v>1.551064</v>
      </c>
      <c r="AH283">
        <v>272.99854021654397</v>
      </c>
      <c r="AI283">
        <v>89.674940822783299</v>
      </c>
      <c r="AJ283">
        <v>86.927028628684596</v>
      </c>
      <c r="AK283">
        <v>273.39605808534202</v>
      </c>
      <c r="AL283">
        <v>79.534629724388907</v>
      </c>
      <c r="AM283">
        <v>93.630372958120304</v>
      </c>
      <c r="AN283">
        <v>0.99999994322671204</v>
      </c>
    </row>
    <row r="284" spans="1:40" x14ac:dyDescent="0.25">
      <c r="A284" t="str">
        <f>"20190304155319060"</f>
        <v>20190304155319060</v>
      </c>
      <c r="B284" t="str">
        <f>"1551685999055769"</f>
        <v>1551685999055769</v>
      </c>
      <c r="C284" t="s">
        <v>40</v>
      </c>
      <c r="D284">
        <v>4.4347580000000004</v>
      </c>
      <c r="E284">
        <v>0.54192779999999996</v>
      </c>
      <c r="F284" t="s">
        <v>41</v>
      </c>
      <c r="G284">
        <v>-158.19499999999999</v>
      </c>
      <c r="H284">
        <v>2.6304210000000001</v>
      </c>
      <c r="I284">
        <v>356.68310000000002</v>
      </c>
      <c r="J284">
        <v>-431.09690000000001</v>
      </c>
      <c r="K284">
        <v>1.062028</v>
      </c>
      <c r="L284">
        <v>367.3254</v>
      </c>
      <c r="M284">
        <v>0.99980800000000003</v>
      </c>
      <c r="N284">
        <v>-1.3616319999999999E-2</v>
      </c>
      <c r="O284">
        <v>1.409446E-2</v>
      </c>
      <c r="P284">
        <v>0.98274740000000005</v>
      </c>
      <c r="Q284">
        <v>0.1687612</v>
      </c>
      <c r="R284">
        <v>7.5679319999999994E-2</v>
      </c>
      <c r="S284">
        <v>3.0586850000000001</v>
      </c>
      <c r="T284">
        <v>1.75575E-2</v>
      </c>
      <c r="U284">
        <v>-0.1191101</v>
      </c>
      <c r="V284">
        <v>-6.1836049999999997E-2</v>
      </c>
      <c r="W284">
        <v>0.1821345</v>
      </c>
      <c r="X284">
        <v>0.98132739999999996</v>
      </c>
      <c r="Y284">
        <v>5.2991900000000002E-2</v>
      </c>
      <c r="Z284" s="1">
        <v>6.3821440000000001E-5</v>
      </c>
      <c r="AA284">
        <v>0.99859489999999995</v>
      </c>
      <c r="AB284">
        <v>31</v>
      </c>
      <c r="AC284">
        <v>272.90190000000001</v>
      </c>
      <c r="AD284">
        <v>1.5683929999999999</v>
      </c>
      <c r="AE284">
        <v>-10.642299999999899</v>
      </c>
      <c r="AF284">
        <v>14.487526251963599</v>
      </c>
      <c r="AG284">
        <v>1.5683929999999999</v>
      </c>
      <c r="AH284">
        <v>272.71578187951098</v>
      </c>
      <c r="AI284">
        <v>89.670958602966195</v>
      </c>
      <c r="AJ284">
        <v>86.959125060809896</v>
      </c>
      <c r="AK284">
        <v>273.10482595453499</v>
      </c>
      <c r="AL284">
        <v>79.505887593614702</v>
      </c>
      <c r="AM284">
        <v>93.605592411491898</v>
      </c>
      <c r="AN284">
        <v>1.0000000695803</v>
      </c>
    </row>
    <row r="285" spans="1:40" x14ac:dyDescent="0.25">
      <c r="A285" t="str">
        <f>"20190304155319083"</f>
        <v>20190304155319083</v>
      </c>
      <c r="B285" t="str">
        <f>"1551685999076266"</f>
        <v>1551685999076266</v>
      </c>
      <c r="C285" t="s">
        <v>40</v>
      </c>
      <c r="D285">
        <v>4.4230489999999998</v>
      </c>
      <c r="E285">
        <v>0.54177900000000001</v>
      </c>
      <c r="F285" t="s">
        <v>41</v>
      </c>
      <c r="G285">
        <v>-158.19499999999999</v>
      </c>
      <c r="H285">
        <v>2.7165509999999999</v>
      </c>
      <c r="I285">
        <v>356.77140000000003</v>
      </c>
      <c r="J285">
        <v>-430.79</v>
      </c>
      <c r="K285">
        <v>1.061731</v>
      </c>
      <c r="L285">
        <v>367.32979999999998</v>
      </c>
      <c r="M285">
        <v>0.99980910000000001</v>
      </c>
      <c r="N285">
        <v>-1.3498E-2</v>
      </c>
      <c r="O285">
        <v>1.4132179999999999E-2</v>
      </c>
      <c r="P285">
        <v>0.98257919999999999</v>
      </c>
      <c r="Q285">
        <v>0.16961119999999999</v>
      </c>
      <c r="R285">
        <v>7.5964180000000006E-2</v>
      </c>
      <c r="S285">
        <v>3.0585939999999998</v>
      </c>
      <c r="T285">
        <v>1.854432E-2</v>
      </c>
      <c r="U285">
        <v>-0.11828610000000001</v>
      </c>
      <c r="V285">
        <v>-6.208342E-2</v>
      </c>
      <c r="W285">
        <v>0.18286730000000001</v>
      </c>
      <c r="X285">
        <v>0.98117540000000003</v>
      </c>
      <c r="Y285">
        <v>5.276202E-2</v>
      </c>
      <c r="Z285" s="1">
        <v>7.9985419999999895E-5</v>
      </c>
      <c r="AA285">
        <v>0.99860709999999997</v>
      </c>
      <c r="AB285">
        <v>31</v>
      </c>
      <c r="AC285">
        <v>272.59500000000003</v>
      </c>
      <c r="AD285">
        <v>1.65482</v>
      </c>
      <c r="AE285">
        <v>-10.558399999999899</v>
      </c>
      <c r="AF285">
        <v>14.409527477878999</v>
      </c>
      <c r="AG285">
        <v>1.65482</v>
      </c>
      <c r="AH285">
        <v>272.40852188807099</v>
      </c>
      <c r="AI285">
        <v>89.652431321620398</v>
      </c>
      <c r="AJ285">
        <v>86.972061075986602</v>
      </c>
      <c r="AK285">
        <v>272.79438357233801</v>
      </c>
      <c r="AL285">
        <v>79.463183149362393</v>
      </c>
      <c r="AM285">
        <v>93.620537309443705</v>
      </c>
      <c r="AN285">
        <v>0.99999998300667303</v>
      </c>
    </row>
    <row r="286" spans="1:40" x14ac:dyDescent="0.25">
      <c r="A286" t="str">
        <f>"20190304155319104"</f>
        <v>20190304155319104</v>
      </c>
      <c r="B286" t="str">
        <f>"1551685999095786"</f>
        <v>1551685999095786</v>
      </c>
      <c r="C286" t="s">
        <v>40</v>
      </c>
      <c r="D286">
        <v>4.428909</v>
      </c>
      <c r="E286">
        <v>0.54160819999999998</v>
      </c>
      <c r="F286" t="s">
        <v>41</v>
      </c>
      <c r="G286">
        <v>-158.19499999999999</v>
      </c>
      <c r="H286">
        <v>2.915257</v>
      </c>
      <c r="I286">
        <v>356.98079999999999</v>
      </c>
      <c r="J286">
        <v>-430.49250000000001</v>
      </c>
      <c r="K286">
        <v>1.0614950000000001</v>
      </c>
      <c r="L286">
        <v>367.33409999999998</v>
      </c>
      <c r="M286">
        <v>0.99980959999999997</v>
      </c>
      <c r="N286">
        <v>-1.341349E-2</v>
      </c>
      <c r="O286">
        <v>1.4173170000000001E-2</v>
      </c>
      <c r="P286">
        <v>0.98239849999999995</v>
      </c>
      <c r="Q286">
        <v>0.1705631</v>
      </c>
      <c r="R286">
        <v>7.6167090000000007E-2</v>
      </c>
      <c r="S286">
        <v>3.0585939999999998</v>
      </c>
      <c r="T286">
        <v>2.0798090000000002E-2</v>
      </c>
      <c r="U286">
        <v>-0.1161194</v>
      </c>
      <c r="V286">
        <v>-6.2245809999999999E-2</v>
      </c>
      <c r="W286">
        <v>0.18373490000000001</v>
      </c>
      <c r="X286">
        <v>0.98100299999999996</v>
      </c>
      <c r="Y286">
        <v>5.2096339999999998E-2</v>
      </c>
      <c r="Z286">
        <v>1.139058E-4</v>
      </c>
      <c r="AA286">
        <v>0.99864200000000003</v>
      </c>
      <c r="AB286">
        <v>31</v>
      </c>
      <c r="AC286">
        <v>272.29750000000001</v>
      </c>
      <c r="AD286">
        <v>1.8537619999999999</v>
      </c>
      <c r="AE286">
        <v>-10.3532999999999</v>
      </c>
      <c r="AF286">
        <v>14.211268106048401</v>
      </c>
      <c r="AG286">
        <v>1.8537619999999999</v>
      </c>
      <c r="AH286">
        <v>272.11079874921802</v>
      </c>
      <c r="AI286">
        <v>89.610208239334199</v>
      </c>
      <c r="AJ286">
        <v>87.010384755245695</v>
      </c>
      <c r="AK286">
        <v>272.48795087245998</v>
      </c>
      <c r="AL286">
        <v>79.412616432196302</v>
      </c>
      <c r="AM286">
        <v>93.630618388905205</v>
      </c>
      <c r="AN286">
        <v>0.99999997017478204</v>
      </c>
    </row>
    <row r="287" spans="1:40" x14ac:dyDescent="0.25">
      <c r="A287" t="str">
        <f>"20190304155319128"</f>
        <v>20190304155319128</v>
      </c>
      <c r="B287" t="str">
        <f>"1551685999126042"</f>
        <v>1551685999126042</v>
      </c>
      <c r="C287" t="s">
        <v>40</v>
      </c>
      <c r="D287">
        <v>4.386412</v>
      </c>
      <c r="E287">
        <v>0.54138739999999996</v>
      </c>
      <c r="F287" t="s">
        <v>41</v>
      </c>
      <c r="G287">
        <v>-158.19499999999999</v>
      </c>
      <c r="H287">
        <v>3.1430539999999998</v>
      </c>
      <c r="I287">
        <v>357.12130000000002</v>
      </c>
      <c r="J287">
        <v>-430.16230000000002</v>
      </c>
      <c r="K287">
        <v>1.061277</v>
      </c>
      <c r="L287">
        <v>367.33879999999999</v>
      </c>
      <c r="M287">
        <v>0.99980990000000003</v>
      </c>
      <c r="N287">
        <v>-1.334452E-2</v>
      </c>
      <c r="O287">
        <v>1.422142E-2</v>
      </c>
      <c r="P287">
        <v>0.98212270000000002</v>
      </c>
      <c r="Q287">
        <v>0.17193919999999999</v>
      </c>
      <c r="R287">
        <v>7.6628840000000004E-2</v>
      </c>
      <c r="S287">
        <v>3.0585939999999998</v>
      </c>
      <c r="T287">
        <v>2.3382190000000001E-2</v>
      </c>
      <c r="U287">
        <v>-0.1147156</v>
      </c>
      <c r="V287">
        <v>-6.2661960000000003E-2</v>
      </c>
      <c r="W287">
        <v>0.1850397</v>
      </c>
      <c r="X287">
        <v>0.98073120000000003</v>
      </c>
      <c r="Y287">
        <v>5.1686530000000001E-2</v>
      </c>
      <c r="Z287">
        <v>1.5088229999999999E-4</v>
      </c>
      <c r="AA287">
        <v>0.99866339999999998</v>
      </c>
      <c r="AB287">
        <v>31</v>
      </c>
      <c r="AC287">
        <v>271.96730000000002</v>
      </c>
      <c r="AD287">
        <v>2.0817770000000002</v>
      </c>
      <c r="AE287">
        <v>-10.2174999999999</v>
      </c>
      <c r="AF287">
        <v>14.0837478117232</v>
      </c>
      <c r="AG287">
        <v>2.0817770000000002</v>
      </c>
      <c r="AH287">
        <v>271.77856941414399</v>
      </c>
      <c r="AI287">
        <v>89.561720843017994</v>
      </c>
      <c r="AJ287">
        <v>87.033547717738799</v>
      </c>
      <c r="AK287">
        <v>272.15120161538999</v>
      </c>
      <c r="AL287">
        <v>79.336552449984197</v>
      </c>
      <c r="AM287">
        <v>93.655835796282503</v>
      </c>
      <c r="AN287">
        <v>0.99999994923028401</v>
      </c>
    </row>
    <row r="288" spans="1:40" x14ac:dyDescent="0.25">
      <c r="A288" t="str">
        <f>"20190304155319147"</f>
        <v>20190304155319147</v>
      </c>
      <c r="B288" t="str">
        <f>"1551685999135802"</f>
        <v>1551685999135802</v>
      </c>
      <c r="C288" t="s">
        <v>40</v>
      </c>
      <c r="D288">
        <v>4.4408979999999998</v>
      </c>
      <c r="E288">
        <v>0.5413173</v>
      </c>
      <c r="F288" t="s">
        <v>41</v>
      </c>
      <c r="G288">
        <v>-158.19499999999999</v>
      </c>
      <c r="H288">
        <v>3.4098419999999998</v>
      </c>
      <c r="I288">
        <v>357.44540000000001</v>
      </c>
      <c r="J288">
        <v>-429.89929999999998</v>
      </c>
      <c r="K288">
        <v>1.061137</v>
      </c>
      <c r="L288">
        <v>367.3426</v>
      </c>
      <c r="M288">
        <v>0.99980999999999998</v>
      </c>
      <c r="N288">
        <v>-1.330433E-2</v>
      </c>
      <c r="O288">
        <v>1.4259320000000001E-2</v>
      </c>
      <c r="P288">
        <v>0.98195580000000005</v>
      </c>
      <c r="Q288">
        <v>0.17275199999999999</v>
      </c>
      <c r="R288">
        <v>7.694028E-2</v>
      </c>
      <c r="S288">
        <v>3.0586850000000001</v>
      </c>
      <c r="T288">
        <v>2.6414159999999999E-2</v>
      </c>
      <c r="U288">
        <v>-0.11126709999999999</v>
      </c>
      <c r="V288">
        <v>-6.293696E-2</v>
      </c>
      <c r="W288">
        <v>0.18581139999999999</v>
      </c>
      <c r="X288">
        <v>0.98056779999999999</v>
      </c>
      <c r="Y288">
        <v>5.0598440000000001E-2</v>
      </c>
      <c r="Z288">
        <v>1.944328E-4</v>
      </c>
      <c r="AA288">
        <v>0.99871900000000002</v>
      </c>
      <c r="AB288">
        <v>31</v>
      </c>
      <c r="AC288">
        <v>271.70429999999999</v>
      </c>
      <c r="AD288">
        <v>2.3487049999999998</v>
      </c>
      <c r="AE288">
        <v>-9.8971999999999891</v>
      </c>
      <c r="AF288">
        <v>13.7698267749059</v>
      </c>
      <c r="AG288">
        <v>2.3487049999999998</v>
      </c>
      <c r="AH288">
        <v>271.51526933386202</v>
      </c>
      <c r="AI288">
        <v>89.505019306719603</v>
      </c>
      <c r="AJ288">
        <v>87.096746673157995</v>
      </c>
      <c r="AK288">
        <v>271.87435705860099</v>
      </c>
      <c r="AL288">
        <v>79.291558346646397</v>
      </c>
      <c r="AM288">
        <v>93.672446294516803</v>
      </c>
      <c r="AN288">
        <v>1.00000007385041</v>
      </c>
    </row>
    <row r="289" spans="1:40" x14ac:dyDescent="0.25">
      <c r="A289" t="str">
        <f>"20190304155319170"</f>
        <v>20190304155319170</v>
      </c>
      <c r="B289" t="str">
        <f>"1551685999166058"</f>
        <v>1551685999166058</v>
      </c>
      <c r="C289" t="s">
        <v>40</v>
      </c>
      <c r="D289">
        <v>4.3461689999999997</v>
      </c>
      <c r="E289">
        <v>0.5411454</v>
      </c>
      <c r="F289" t="s">
        <v>41</v>
      </c>
      <c r="G289">
        <v>-158.19499999999999</v>
      </c>
      <c r="H289">
        <v>3.5851419999999998</v>
      </c>
      <c r="I289">
        <v>357.60239999999999</v>
      </c>
      <c r="J289">
        <v>-429.58859999999999</v>
      </c>
      <c r="K289">
        <v>1.0610010000000001</v>
      </c>
      <c r="L289">
        <v>367.34710000000001</v>
      </c>
      <c r="M289">
        <v>0.99980979999999997</v>
      </c>
      <c r="N289">
        <v>-1.3271359999999999E-2</v>
      </c>
      <c r="O289">
        <v>1.4301680000000001E-2</v>
      </c>
      <c r="P289">
        <v>0.98188909999999996</v>
      </c>
      <c r="Q289">
        <v>0.17299410000000001</v>
      </c>
      <c r="R289">
        <v>7.7247769999999993E-2</v>
      </c>
      <c r="S289">
        <v>3.0586850000000001</v>
      </c>
      <c r="T289">
        <v>2.8414729999999999E-2</v>
      </c>
      <c r="U289">
        <v>-0.1096497</v>
      </c>
      <c r="V289">
        <v>-6.3204199999999905E-2</v>
      </c>
      <c r="W289">
        <v>0.18602089999999999</v>
      </c>
      <c r="X289">
        <v>0.98051080000000002</v>
      </c>
      <c r="Y289">
        <v>5.0112999999999998E-2</v>
      </c>
      <c r="Z289">
        <v>2.2259220000000001E-4</v>
      </c>
      <c r="AA289">
        <v>0.99874350000000001</v>
      </c>
      <c r="AB289">
        <v>31</v>
      </c>
      <c r="AC289">
        <v>271.39359999999999</v>
      </c>
      <c r="AD289">
        <v>2.5241410000000002</v>
      </c>
      <c r="AE289">
        <v>-9.7447000000000195</v>
      </c>
      <c r="AF289">
        <v>13.624251870106299</v>
      </c>
      <c r="AG289">
        <v>2.5241410000000002</v>
      </c>
      <c r="AH289">
        <v>271.20303120638101</v>
      </c>
      <c r="AI289">
        <v>89.467423653607398</v>
      </c>
      <c r="AJ289">
        <v>87.124086535613998</v>
      </c>
      <c r="AK289">
        <v>271.556763241753</v>
      </c>
      <c r="AL289">
        <v>79.279340958987703</v>
      </c>
      <c r="AM289">
        <v>93.688210922261703</v>
      </c>
      <c r="AN289">
        <v>0.99999998752554498</v>
      </c>
    </row>
    <row r="290" spans="1:40" x14ac:dyDescent="0.25">
      <c r="A290" t="str">
        <f>"20190304155319194"</f>
        <v>20190304155319194</v>
      </c>
      <c r="B290" t="str">
        <f>"1551685999185578"</f>
        <v>1551685999185578</v>
      </c>
      <c r="C290" t="s">
        <v>40</v>
      </c>
      <c r="D290">
        <v>4.3919810000000004</v>
      </c>
      <c r="E290">
        <v>0.54108880000000004</v>
      </c>
      <c r="F290" t="s">
        <v>41</v>
      </c>
      <c r="G290">
        <v>-158.19499999999999</v>
      </c>
      <c r="H290">
        <v>3.5833029999999999</v>
      </c>
      <c r="I290">
        <v>357.79430000000002</v>
      </c>
      <c r="J290">
        <v>-429.27409999999998</v>
      </c>
      <c r="K290">
        <v>1.0608879999999901</v>
      </c>
      <c r="L290">
        <v>367.35160000000002</v>
      </c>
      <c r="M290">
        <v>0.99980939999999996</v>
      </c>
      <c r="N290">
        <v>-1.3251000000000001E-2</v>
      </c>
      <c r="O290">
        <v>1.434349E-2</v>
      </c>
      <c r="P290">
        <v>0.98190710000000003</v>
      </c>
      <c r="Q290">
        <v>0.1726694</v>
      </c>
      <c r="R290">
        <v>7.7743019999999996E-2</v>
      </c>
      <c r="S290">
        <v>3.0587770000000001</v>
      </c>
      <c r="T290">
        <v>2.8428910000000002E-2</v>
      </c>
      <c r="U290">
        <v>-0.107666</v>
      </c>
      <c r="V290">
        <v>-6.3658190000000003E-2</v>
      </c>
      <c r="W290">
        <v>0.18567649999999999</v>
      </c>
      <c r="X290">
        <v>0.98054669999999999</v>
      </c>
      <c r="Y290">
        <v>4.9506790000000002E-2</v>
      </c>
      <c r="Z290">
        <v>2.251373E-4</v>
      </c>
      <c r="AA290">
        <v>0.99877380000000004</v>
      </c>
      <c r="AB290">
        <v>30</v>
      </c>
      <c r="AC290">
        <v>271.07909999999998</v>
      </c>
      <c r="AD290">
        <v>2.5224150000000001</v>
      </c>
      <c r="AE290">
        <v>-9.5572999999999908</v>
      </c>
      <c r="AF290">
        <v>13.443715519634999</v>
      </c>
      <c r="AG290">
        <v>2.5224150000000001</v>
      </c>
      <c r="AH290">
        <v>270.89068542259901</v>
      </c>
      <c r="AI290">
        <v>89.467158035051099</v>
      </c>
      <c r="AJ290">
        <v>87.158866049543704</v>
      </c>
      <c r="AK290">
        <v>271.235800574206</v>
      </c>
      <c r="AL290">
        <v>79.299423407692402</v>
      </c>
      <c r="AM290">
        <v>93.714493474993702</v>
      </c>
      <c r="AN290">
        <v>0.99999997934360696</v>
      </c>
    </row>
    <row r="291" spans="1:40" x14ac:dyDescent="0.25">
      <c r="A291" t="str">
        <f>"20190304155319217"</f>
        <v>20190304155319217</v>
      </c>
      <c r="B291" t="str">
        <f>"1551685999206074"</f>
        <v>1551685999206074</v>
      </c>
      <c r="C291" t="s">
        <v>40</v>
      </c>
      <c r="D291">
        <v>4.3208440000000001</v>
      </c>
      <c r="E291">
        <v>0.54118339999999998</v>
      </c>
      <c r="F291" t="s">
        <v>41</v>
      </c>
      <c r="G291">
        <v>-158.19499999999999</v>
      </c>
      <c r="H291">
        <v>3.4359320000000002</v>
      </c>
      <c r="I291">
        <v>357.98070000000001</v>
      </c>
      <c r="J291">
        <v>-428.95659999999998</v>
      </c>
      <c r="K291">
        <v>1.0607819999999999</v>
      </c>
      <c r="L291">
        <v>367.35629999999998</v>
      </c>
      <c r="M291">
        <v>0.9998089</v>
      </c>
      <c r="N291">
        <v>-1.323947E-2</v>
      </c>
      <c r="O291">
        <v>1.438596E-2</v>
      </c>
      <c r="P291">
        <v>0.98188140000000002</v>
      </c>
      <c r="Q291">
        <v>0.17279269999999999</v>
      </c>
      <c r="R291">
        <v>7.7792449999999999E-2</v>
      </c>
      <c r="S291">
        <v>3.0588989999999998</v>
      </c>
      <c r="T291">
        <v>2.6801350000000002E-2</v>
      </c>
      <c r="U291">
        <v>-0.1057434</v>
      </c>
      <c r="V291">
        <v>-6.3666630000000002E-2</v>
      </c>
      <c r="W291">
        <v>0.18578800000000001</v>
      </c>
      <c r="X291">
        <v>0.98052510000000004</v>
      </c>
      <c r="Y291">
        <v>4.8921020000000003E-2</v>
      </c>
      <c r="Z291">
        <v>2.06706E-4</v>
      </c>
      <c r="AA291">
        <v>0.99880259999999998</v>
      </c>
      <c r="AB291">
        <v>30</v>
      </c>
      <c r="AC291">
        <v>270.76159999999999</v>
      </c>
      <c r="AD291">
        <v>2.3751500000000001</v>
      </c>
      <c r="AE291">
        <v>-9.3755999999999595</v>
      </c>
      <c r="AF291">
        <v>13.2691166013944</v>
      </c>
      <c r="AG291">
        <v>2.3751500000000001</v>
      </c>
      <c r="AH291">
        <v>270.57789096690999</v>
      </c>
      <c r="AI291">
        <v>89.497670542928105</v>
      </c>
      <c r="AJ291">
        <v>87.192469060554899</v>
      </c>
      <c r="AK291">
        <v>270.91346565463499</v>
      </c>
      <c r="AL291">
        <v>79.292922527318098</v>
      </c>
      <c r="AM291">
        <v>93.715066183282602</v>
      </c>
      <c r="AN291">
        <v>1.00000004622478</v>
      </c>
    </row>
    <row r="292" spans="1:40" x14ac:dyDescent="0.25">
      <c r="A292" t="str">
        <f>"20190304155319238"</f>
        <v>20190304155319238</v>
      </c>
      <c r="B292" t="str">
        <f>"1551685999236330"</f>
        <v>1551685999236330</v>
      </c>
      <c r="C292" t="s">
        <v>40</v>
      </c>
      <c r="D292">
        <v>4.2614140000000003</v>
      </c>
      <c r="E292">
        <v>0.56974199999999997</v>
      </c>
      <c r="F292" t="s">
        <v>41</v>
      </c>
      <c r="G292">
        <v>-158.19499999999999</v>
      </c>
      <c r="H292">
        <v>3.3943439999999998</v>
      </c>
      <c r="I292">
        <v>357.96460000000002</v>
      </c>
      <c r="J292">
        <v>-428.65989999999999</v>
      </c>
      <c r="K292">
        <v>1.060711</v>
      </c>
      <c r="L292">
        <v>367.36059999999998</v>
      </c>
      <c r="M292">
        <v>0.99980840000000004</v>
      </c>
      <c r="N292">
        <v>-1.323599E-2</v>
      </c>
      <c r="O292">
        <v>1.442681E-2</v>
      </c>
      <c r="P292">
        <v>0.98185770000000006</v>
      </c>
      <c r="Q292">
        <v>0.17289779999999999</v>
      </c>
      <c r="R292">
        <v>7.7857979999999993E-2</v>
      </c>
      <c r="S292">
        <v>3.0591430000000002</v>
      </c>
      <c r="T292">
        <v>2.6366230000000001E-2</v>
      </c>
      <c r="U292">
        <v>-0.1061096</v>
      </c>
      <c r="V292">
        <v>-6.3692509999999994E-2</v>
      </c>
      <c r="W292">
        <v>0.1858892</v>
      </c>
      <c r="X292">
        <v>0.98050420000000005</v>
      </c>
      <c r="Y292">
        <v>4.9078549999999999E-2</v>
      </c>
      <c r="Z292">
        <v>2.0171739999999999E-4</v>
      </c>
      <c r="AA292">
        <v>0.99879490000000004</v>
      </c>
      <c r="AB292">
        <v>30</v>
      </c>
      <c r="AC292">
        <v>270.4649</v>
      </c>
      <c r="AD292">
        <v>2.3336329999999998</v>
      </c>
      <c r="AE292">
        <v>-9.3959999999999493</v>
      </c>
      <c r="AF292">
        <v>13.296320549196</v>
      </c>
      <c r="AG292">
        <v>2.3336329999999998</v>
      </c>
      <c r="AH292">
        <v>270.281083941492</v>
      </c>
      <c r="AI292">
        <v>89.505912471996396</v>
      </c>
      <c r="AJ292">
        <v>87.183637974384794</v>
      </c>
      <c r="AK292">
        <v>270.61800073112897</v>
      </c>
      <c r="AL292">
        <v>79.287020988307603</v>
      </c>
      <c r="AM292">
        <v>93.716651096473797</v>
      </c>
      <c r="AN292">
        <v>1.0000000083621901</v>
      </c>
    </row>
    <row r="293" spans="1:40" x14ac:dyDescent="0.25">
      <c r="A293" t="str">
        <f>"20190304155319259"</f>
        <v>20190304155319259</v>
      </c>
      <c r="B293" t="str">
        <f>"1551685999255850"</f>
        <v>1551685999255850</v>
      </c>
      <c r="C293" t="s">
        <v>40</v>
      </c>
      <c r="D293">
        <v>4.4234589999999896</v>
      </c>
      <c r="E293">
        <v>0.57059589999999905</v>
      </c>
      <c r="F293" t="s">
        <v>49</v>
      </c>
      <c r="G293">
        <v>-168.4034</v>
      </c>
      <c r="H293">
        <v>9.8420159999999992</v>
      </c>
      <c r="I293">
        <v>339.24079999999998</v>
      </c>
      <c r="J293">
        <v>-428.3682</v>
      </c>
      <c r="K293">
        <v>1.0606450000000001</v>
      </c>
      <c r="L293">
        <v>367.3648</v>
      </c>
      <c r="M293">
        <v>0.99980769999999997</v>
      </c>
      <c r="N293">
        <v>-1.323857E-2</v>
      </c>
      <c r="O293">
        <v>1.4468150000000001E-2</v>
      </c>
      <c r="P293">
        <v>0.98187579999999997</v>
      </c>
      <c r="Q293">
        <v>0.17273160000000001</v>
      </c>
      <c r="R293">
        <v>7.7999949999999998E-2</v>
      </c>
      <c r="S293">
        <v>3.0634459999999999</v>
      </c>
      <c r="T293">
        <v>0.1033636</v>
      </c>
      <c r="U293">
        <v>-0.3309937</v>
      </c>
      <c r="V293">
        <v>-6.3793169999999996E-2</v>
      </c>
      <c r="W293">
        <v>0.18572569999999999</v>
      </c>
      <c r="X293">
        <v>0.98052870000000003</v>
      </c>
      <c r="Y293">
        <v>0.1217382</v>
      </c>
      <c r="Z293">
        <v>1.9164970000000001E-3</v>
      </c>
      <c r="AA293">
        <v>0.99256040000000001</v>
      </c>
      <c r="AB293">
        <v>30</v>
      </c>
      <c r="AC293">
        <v>259.96480000000003</v>
      </c>
      <c r="AD293">
        <v>8.781371</v>
      </c>
      <c r="AE293">
        <v>-28.123999999999999</v>
      </c>
      <c r="AF293">
        <v>31.846677563242899</v>
      </c>
      <c r="AG293">
        <v>8.781371</v>
      </c>
      <c r="AH293">
        <v>259.23827129992799</v>
      </c>
      <c r="AI293">
        <v>88.0743839121957</v>
      </c>
      <c r="AJ293">
        <v>82.9964683369856</v>
      </c>
      <c r="AK293">
        <v>261.334660263486</v>
      </c>
      <c r="AL293">
        <v>79.296555513778301</v>
      </c>
      <c r="AM293">
        <v>93.722415659284195</v>
      </c>
      <c r="AN293">
        <v>1.00000006785141</v>
      </c>
    </row>
    <row r="294" spans="1:40" x14ac:dyDescent="0.25">
      <c r="A294" t="str">
        <f>"20190304155319283"</f>
        <v>20190304155319283</v>
      </c>
      <c r="B294" t="str">
        <f>"1551685999276346"</f>
        <v>1551685999276346</v>
      </c>
      <c r="C294" t="s">
        <v>40</v>
      </c>
      <c r="D294">
        <v>4.2568599999999996</v>
      </c>
      <c r="E294">
        <v>0.57119889999999995</v>
      </c>
      <c r="F294" t="s">
        <v>49</v>
      </c>
      <c r="G294">
        <v>-168.40350000000001</v>
      </c>
      <c r="H294">
        <v>10.333589999999999</v>
      </c>
      <c r="I294">
        <v>338.73599999999999</v>
      </c>
      <c r="J294">
        <v>-428.05970000000002</v>
      </c>
      <c r="K294">
        <v>1.0605960000000001</v>
      </c>
      <c r="L294">
        <v>367.36930000000001</v>
      </c>
      <c r="M294">
        <v>0.999807</v>
      </c>
      <c r="N294">
        <v>-1.3248640000000001E-2</v>
      </c>
      <c r="O294">
        <v>1.45092E-2</v>
      </c>
      <c r="P294">
        <v>0.9819542</v>
      </c>
      <c r="Q294">
        <v>0.17226179999999999</v>
      </c>
      <c r="R294">
        <v>7.8051510000000004E-2</v>
      </c>
      <c r="S294">
        <v>3.0629580000000001</v>
      </c>
      <c r="T294">
        <v>0.1092558</v>
      </c>
      <c r="U294">
        <v>-0.33731080000000002</v>
      </c>
      <c r="V294">
        <v>-6.3803009999999993E-2</v>
      </c>
      <c r="W294">
        <v>0.18526690000000001</v>
      </c>
      <c r="X294">
        <v>0.98061480000000001</v>
      </c>
      <c r="Y294">
        <v>0.12381</v>
      </c>
      <c r="Z294">
        <v>2.0854300000000001E-3</v>
      </c>
      <c r="AA294">
        <v>0.99230370000000001</v>
      </c>
      <c r="AB294">
        <v>30</v>
      </c>
      <c r="AC294">
        <v>259.65620000000001</v>
      </c>
      <c r="AD294">
        <v>9.2729940000000006</v>
      </c>
      <c r="AE294">
        <v>-28.633299999999998</v>
      </c>
      <c r="AF294">
        <v>32.357247420759002</v>
      </c>
      <c r="AG294">
        <v>9.2729940000000006</v>
      </c>
      <c r="AH294">
        <v>258.88716514958298</v>
      </c>
      <c r="AI294">
        <v>87.964442475765097</v>
      </c>
      <c r="AJ294">
        <v>82.875778639609806</v>
      </c>
      <c r="AK294">
        <v>261.06616815964497</v>
      </c>
      <c r="AL294">
        <v>79.323306542768506</v>
      </c>
      <c r="AM294">
        <v>93.722662254750702</v>
      </c>
      <c r="AN294">
        <v>1.00000001714985</v>
      </c>
    </row>
    <row r="295" spans="1:40" x14ac:dyDescent="0.25">
      <c r="A295" t="str">
        <f>"20190304155319305"</f>
        <v>20190304155319305</v>
      </c>
      <c r="B295" t="str">
        <f>"1551685999295866"</f>
        <v>1551685999295866</v>
      </c>
      <c r="C295" t="s">
        <v>40</v>
      </c>
      <c r="D295">
        <v>4.2895260000000004</v>
      </c>
      <c r="E295">
        <v>0.5721678</v>
      </c>
      <c r="F295" t="s">
        <v>49</v>
      </c>
      <c r="G295">
        <v>-168.4034</v>
      </c>
      <c r="H295">
        <v>10.17329</v>
      </c>
      <c r="I295">
        <v>338.39870000000002</v>
      </c>
      <c r="J295">
        <v>-427.76</v>
      </c>
      <c r="K295">
        <v>1.060559</v>
      </c>
      <c r="L295">
        <v>367.37369999999999</v>
      </c>
      <c r="M295">
        <v>0.99980619999999998</v>
      </c>
      <c r="N295">
        <v>-1.326723E-2</v>
      </c>
      <c r="O295">
        <v>1.4546709999999999E-2</v>
      </c>
      <c r="P295">
        <v>0.98203470000000004</v>
      </c>
      <c r="Q295">
        <v>0.17200170000000001</v>
      </c>
      <c r="R295">
        <v>7.7611360000000004E-2</v>
      </c>
      <c r="S295">
        <v>3.0634459999999999</v>
      </c>
      <c r="T295">
        <v>0.10751239999999999</v>
      </c>
      <c r="U295">
        <v>-0.34179690000000001</v>
      </c>
      <c r="V295">
        <v>-6.3324290000000005E-2</v>
      </c>
      <c r="W295">
        <v>0.18502660000000001</v>
      </c>
      <c r="X295">
        <v>0.98069119999999999</v>
      </c>
      <c r="Y295">
        <v>0.1252672</v>
      </c>
      <c r="Z295">
        <v>2.0581050000000002E-3</v>
      </c>
      <c r="AA295">
        <v>0.99212089999999997</v>
      </c>
      <c r="AB295">
        <v>30</v>
      </c>
      <c r="AC295">
        <v>259.35660000000001</v>
      </c>
      <c r="AD295">
        <v>9.1127310000000001</v>
      </c>
      <c r="AE295">
        <v>-28.974999999999898</v>
      </c>
      <c r="AF295">
        <v>32.705172980594497</v>
      </c>
      <c r="AG295">
        <v>9.1127310000000001</v>
      </c>
      <c r="AH295">
        <v>258.59231965695</v>
      </c>
      <c r="AI295">
        <v>87.997683216346104</v>
      </c>
      <c r="AJ295">
        <v>82.791851095931804</v>
      </c>
      <c r="AK295">
        <v>260.81153730525602</v>
      </c>
      <c r="AL295">
        <v>79.337316966737404</v>
      </c>
      <c r="AM295">
        <v>93.6945213873488</v>
      </c>
      <c r="AN295">
        <v>1.0000000190845</v>
      </c>
    </row>
    <row r="296" spans="1:40" x14ac:dyDescent="0.25">
      <c r="A296" t="str">
        <f>"20190304155319328"</f>
        <v>20190304155319328</v>
      </c>
      <c r="B296" t="str">
        <f>"1551685999316362"</f>
        <v>1551685999316362</v>
      </c>
      <c r="C296" t="s">
        <v>40</v>
      </c>
      <c r="D296">
        <v>4.4359029999999997</v>
      </c>
      <c r="E296">
        <v>0.57207010000000003</v>
      </c>
      <c r="F296" t="s">
        <v>49</v>
      </c>
      <c r="G296">
        <v>-168.40350000000001</v>
      </c>
      <c r="H296">
        <v>10.49235</v>
      </c>
      <c r="I296">
        <v>337.68889999999999</v>
      </c>
      <c r="J296">
        <v>-427.45330000000001</v>
      </c>
      <c r="K296">
        <v>1.0605279999999999</v>
      </c>
      <c r="L296">
        <v>367.37819999999999</v>
      </c>
      <c r="M296">
        <v>0.99980550000000001</v>
      </c>
      <c r="N296">
        <v>-1.329261E-2</v>
      </c>
      <c r="O296">
        <v>1.458197E-2</v>
      </c>
      <c r="P296">
        <v>0.98206059999999995</v>
      </c>
      <c r="Q296">
        <v>0.17183479999999901</v>
      </c>
      <c r="R296">
        <v>7.7653420000000001E-2</v>
      </c>
      <c r="S296">
        <v>3.0630799999999998</v>
      </c>
      <c r="T296">
        <v>0.1113924</v>
      </c>
      <c r="U296">
        <v>-0.35058590000000001</v>
      </c>
      <c r="V296">
        <v>-6.3329739999999995E-2</v>
      </c>
      <c r="W296">
        <v>0.18488550000000001</v>
      </c>
      <c r="X296">
        <v>0.98071739999999996</v>
      </c>
      <c r="Y296">
        <v>0.12811900000000001</v>
      </c>
      <c r="Z296">
        <v>2.1883319999999999E-3</v>
      </c>
      <c r="AA296">
        <v>0.99175639999999998</v>
      </c>
      <c r="AB296">
        <v>30</v>
      </c>
      <c r="AC296">
        <v>259.0498</v>
      </c>
      <c r="AD296">
        <v>9.4318220000000004</v>
      </c>
      <c r="AE296">
        <v>-29.689299999999999</v>
      </c>
      <c r="AF296">
        <v>33.420203609677301</v>
      </c>
      <c r="AG296">
        <v>9.4318220000000004</v>
      </c>
      <c r="AH296">
        <v>258.25137649376001</v>
      </c>
      <c r="AI296">
        <v>87.925662771170593</v>
      </c>
      <c r="AJ296">
        <v>82.626356436399007</v>
      </c>
      <c r="AK296">
        <v>260.57559888921702</v>
      </c>
      <c r="AL296">
        <v>79.345542710164196</v>
      </c>
      <c r="AM296">
        <v>93.694740040578296</v>
      </c>
      <c r="AN296">
        <v>0.99999996137073799</v>
      </c>
    </row>
    <row r="297" spans="1:40" x14ac:dyDescent="0.25">
      <c r="A297" t="str">
        <f>"20190304155319348"</f>
        <v>20190304155319348</v>
      </c>
      <c r="B297" t="str">
        <f>"1551685999345643"</f>
        <v>1551685999345643</v>
      </c>
      <c r="C297" t="s">
        <v>40</v>
      </c>
      <c r="D297">
        <v>4.3032979999999998</v>
      </c>
      <c r="E297">
        <v>0.57227640000000002</v>
      </c>
      <c r="F297" t="s">
        <v>49</v>
      </c>
      <c r="G297">
        <v>-168.40350000000001</v>
      </c>
      <c r="H297">
        <v>10.50385</v>
      </c>
      <c r="I297">
        <v>337.7971</v>
      </c>
      <c r="J297">
        <v>-427.16669999999999</v>
      </c>
      <c r="K297">
        <v>1.0605020000000001</v>
      </c>
      <c r="L297">
        <v>367.38249999999999</v>
      </c>
      <c r="M297">
        <v>0.99980460000000004</v>
      </c>
      <c r="N297">
        <v>-1.332238E-2</v>
      </c>
      <c r="O297">
        <v>1.461086E-2</v>
      </c>
      <c r="P297">
        <v>0.98203669999999998</v>
      </c>
      <c r="Q297">
        <v>0.1720352</v>
      </c>
      <c r="R297">
        <v>7.7512440000000002E-2</v>
      </c>
      <c r="S297">
        <v>3.0629580000000001</v>
      </c>
      <c r="T297">
        <v>0.111656199999999</v>
      </c>
      <c r="U297">
        <v>-0.34976200000000002</v>
      </c>
      <c r="V297">
        <v>-6.3159549999999995E-2</v>
      </c>
      <c r="W297">
        <v>0.1851151</v>
      </c>
      <c r="X297">
        <v>0.98068509999999998</v>
      </c>
      <c r="Y297">
        <v>0.12788849999999999</v>
      </c>
      <c r="Z297">
        <v>2.1925540000000002E-3</v>
      </c>
      <c r="AA297">
        <v>0.9917861</v>
      </c>
      <c r="AB297">
        <v>30</v>
      </c>
      <c r="AC297">
        <v>258.76319999999998</v>
      </c>
      <c r="AD297">
        <v>9.4433480000000003</v>
      </c>
      <c r="AE297">
        <v>-29.5854</v>
      </c>
      <c r="AF297">
        <v>33.3195262818911</v>
      </c>
      <c r="AG297">
        <v>9.4433480000000003</v>
      </c>
      <c r="AH297">
        <v>257.964137397792</v>
      </c>
      <c r="AI297">
        <v>87.920754514710794</v>
      </c>
      <c r="AJ297">
        <v>82.640229670031104</v>
      </c>
      <c r="AK297">
        <v>260.27843521215101</v>
      </c>
      <c r="AL297">
        <v>79.332156919163594</v>
      </c>
      <c r="AM297">
        <v>93.684959355544905</v>
      </c>
      <c r="AN297">
        <v>0.99999999718311094</v>
      </c>
    </row>
    <row r="298" spans="1:40" x14ac:dyDescent="0.25">
      <c r="A298" t="str">
        <f>"20190304155319371"</f>
        <v>20190304155319371</v>
      </c>
      <c r="B298" t="str">
        <f>"1551685999366138"</f>
        <v>1551685999366138</v>
      </c>
      <c r="C298" t="s">
        <v>40</v>
      </c>
      <c r="D298">
        <v>4.2385219999999997</v>
      </c>
      <c r="E298">
        <v>0.57245219999999997</v>
      </c>
      <c r="F298" t="s">
        <v>49</v>
      </c>
      <c r="G298">
        <v>-168.40360000000001</v>
      </c>
      <c r="H298">
        <v>10.511939999999999</v>
      </c>
      <c r="I298">
        <v>337.63670000000002</v>
      </c>
      <c r="J298">
        <v>-426.85059999999999</v>
      </c>
      <c r="K298">
        <v>1.060468</v>
      </c>
      <c r="L298">
        <v>367.38709999999998</v>
      </c>
      <c r="M298">
        <v>0.99980369999999996</v>
      </c>
      <c r="N298">
        <v>-1.3363720000000001E-2</v>
      </c>
      <c r="O298">
        <v>1.4635769999999999E-2</v>
      </c>
      <c r="P298">
        <v>0.9820622</v>
      </c>
      <c r="Q298">
        <v>0.1719242</v>
      </c>
      <c r="R298">
        <v>7.7437450000000005E-2</v>
      </c>
      <c r="S298">
        <v>3.0630799999999998</v>
      </c>
      <c r="T298">
        <v>0.1118804</v>
      </c>
      <c r="U298">
        <v>-0.35211179999999997</v>
      </c>
      <c r="V298">
        <v>-6.3057050000000003E-2</v>
      </c>
      <c r="W298">
        <v>0.18504580000000001</v>
      </c>
      <c r="X298">
        <v>0.98070480000000004</v>
      </c>
      <c r="Y298">
        <v>0.1286591</v>
      </c>
      <c r="Z298">
        <v>2.2060399999999998E-3</v>
      </c>
      <c r="AA298">
        <v>0.99168639999999997</v>
      </c>
      <c r="AB298">
        <v>30</v>
      </c>
      <c r="AC298">
        <v>258.447</v>
      </c>
      <c r="AD298">
        <v>9.4514720000000008</v>
      </c>
      <c r="AE298">
        <v>-29.7503999999999</v>
      </c>
      <c r="AF298">
        <v>33.485923264487802</v>
      </c>
      <c r="AG298">
        <v>9.4514720000000008</v>
      </c>
      <c r="AH298">
        <v>257.643791899723</v>
      </c>
      <c r="AI298">
        <v>87.916596048721203</v>
      </c>
      <c r="AJ298">
        <v>82.594787013398005</v>
      </c>
      <c r="AK298">
        <v>259.98261650408398</v>
      </c>
      <c r="AL298">
        <v>79.336197591091207</v>
      </c>
      <c r="AM298">
        <v>93.678921868495493</v>
      </c>
      <c r="AN298">
        <v>1.0000000221976899</v>
      </c>
    </row>
    <row r="299" spans="1:40" x14ac:dyDescent="0.25">
      <c r="A299" t="str">
        <f>"20190304155319393"</f>
        <v>20190304155319393</v>
      </c>
      <c r="B299" t="str">
        <f>"1551685999385658"</f>
        <v>1551685999385658</v>
      </c>
      <c r="C299" t="s">
        <v>40</v>
      </c>
      <c r="D299">
        <v>4.362044</v>
      </c>
      <c r="E299">
        <v>0.57267139999999905</v>
      </c>
      <c r="F299" t="s">
        <v>49</v>
      </c>
      <c r="G299">
        <v>-168.40350000000001</v>
      </c>
      <c r="H299">
        <v>10.18934</v>
      </c>
      <c r="I299">
        <v>337.55549999999999</v>
      </c>
      <c r="J299">
        <v>-426.56729999999999</v>
      </c>
      <c r="K299">
        <v>1.060451</v>
      </c>
      <c r="L299">
        <v>367.3913</v>
      </c>
      <c r="M299">
        <v>0.99980279999999999</v>
      </c>
      <c r="N299">
        <v>-1.3408639999999999E-2</v>
      </c>
      <c r="O299">
        <v>1.465093E-2</v>
      </c>
      <c r="P299">
        <v>0.98208260000000003</v>
      </c>
      <c r="Q299">
        <v>0.17162939999999999</v>
      </c>
      <c r="R299">
        <v>7.7828999999999995E-2</v>
      </c>
      <c r="S299">
        <v>3.0637509999999999</v>
      </c>
      <c r="T299">
        <v>0.1082178</v>
      </c>
      <c r="U299">
        <v>-0.3536377</v>
      </c>
      <c r="V299">
        <v>-6.3430899999999998E-2</v>
      </c>
      <c r="W299">
        <v>0.1847965</v>
      </c>
      <c r="X299">
        <v>0.98072769999999998</v>
      </c>
      <c r="Y299">
        <v>0.12914210000000001</v>
      </c>
      <c r="Z299">
        <v>2.1150650000000002E-3</v>
      </c>
      <c r="AA299">
        <v>0.99162380000000006</v>
      </c>
      <c r="AB299">
        <v>30</v>
      </c>
      <c r="AC299">
        <v>258.16379999999998</v>
      </c>
      <c r="AD299">
        <v>9.1288889999999991</v>
      </c>
      <c r="AE299">
        <v>-29.835799999999999</v>
      </c>
      <c r="AF299">
        <v>33.573849738102197</v>
      </c>
      <c r="AG299">
        <v>9.1288889999999991</v>
      </c>
      <c r="AH299">
        <v>257.38133957156901</v>
      </c>
      <c r="AI299">
        <v>87.985715942888305</v>
      </c>
      <c r="AJ299">
        <v>82.568073123199397</v>
      </c>
      <c r="AK299">
        <v>259.72234012550098</v>
      </c>
      <c r="AL299">
        <v>79.350732114284895</v>
      </c>
      <c r="AM299">
        <v>93.700586703400603</v>
      </c>
      <c r="AN299">
        <v>1.00000002351717</v>
      </c>
    </row>
    <row r="300" spans="1:40" x14ac:dyDescent="0.25">
      <c r="A300" t="str">
        <f>"20190304155319418"</f>
        <v>20190304155319418</v>
      </c>
      <c r="B300" t="str">
        <f>"1551685999415915"</f>
        <v>1551685999415915</v>
      </c>
      <c r="C300" t="s">
        <v>40</v>
      </c>
      <c r="D300">
        <v>4.3795809999999999</v>
      </c>
      <c r="E300">
        <v>0.57283640000000002</v>
      </c>
      <c r="F300" t="s">
        <v>49</v>
      </c>
      <c r="G300">
        <v>-168.4034</v>
      </c>
      <c r="H300">
        <v>10.118040000000001</v>
      </c>
      <c r="I300">
        <v>337.5487</v>
      </c>
      <c r="J300">
        <v>-426.22930000000002</v>
      </c>
      <c r="K300">
        <v>1.060443</v>
      </c>
      <c r="L300">
        <v>367.39620000000002</v>
      </c>
      <c r="M300">
        <v>0.99980179999999996</v>
      </c>
      <c r="N300">
        <v>-1.3471749999999999E-2</v>
      </c>
      <c r="O300">
        <v>1.4662079999999999E-2</v>
      </c>
      <c r="P300">
        <v>0.98207219999999995</v>
      </c>
      <c r="Q300">
        <v>0.17150070000000001</v>
      </c>
      <c r="R300">
        <v>7.8243660000000007E-2</v>
      </c>
      <c r="S300">
        <v>3.0640260000000001</v>
      </c>
      <c r="T300">
        <v>0.10750029999999999</v>
      </c>
      <c r="U300">
        <v>-0.35418699999999997</v>
      </c>
      <c r="V300">
        <v>-6.3832009999999995E-2</v>
      </c>
      <c r="W300">
        <v>0.18473039999999999</v>
      </c>
      <c r="X300">
        <v>0.98071410000000003</v>
      </c>
      <c r="Y300">
        <v>0.1293195</v>
      </c>
      <c r="Z300">
        <v>2.095581E-3</v>
      </c>
      <c r="AA300">
        <v>0.99160079999999995</v>
      </c>
      <c r="AB300">
        <v>30</v>
      </c>
      <c r="AC300">
        <v>257.82589999999999</v>
      </c>
      <c r="AD300">
        <v>9.0575969999999995</v>
      </c>
      <c r="AE300">
        <v>-29.8475</v>
      </c>
      <c r="AF300">
        <v>33.583997816890196</v>
      </c>
      <c r="AG300">
        <v>9.0575969999999995</v>
      </c>
      <c r="AH300">
        <v>257.04747067536198</v>
      </c>
      <c r="AI300">
        <v>87.998893542065503</v>
      </c>
      <c r="AJ300">
        <v>82.556304154337596</v>
      </c>
      <c r="AK300">
        <v>259.39029888062601</v>
      </c>
      <c r="AL300">
        <v>79.354585416853098</v>
      </c>
      <c r="AM300">
        <v>93.723973493550005</v>
      </c>
      <c r="AN300">
        <v>0.99999999606180501</v>
      </c>
    </row>
    <row r="301" spans="1:40" x14ac:dyDescent="0.25">
      <c r="A301" t="str">
        <f>"20190304155319441"</f>
        <v>20190304155319441</v>
      </c>
      <c r="B301" t="str">
        <f>"1551685999435434"</f>
        <v>1551685999435434</v>
      </c>
      <c r="C301" t="s">
        <v>40</v>
      </c>
      <c r="D301">
        <v>4.4157169999999999</v>
      </c>
      <c r="E301">
        <v>0.57284309999999905</v>
      </c>
      <c r="F301" t="s">
        <v>49</v>
      </c>
      <c r="G301">
        <v>-168.4034</v>
      </c>
      <c r="H301">
        <v>10.07414</v>
      </c>
      <c r="I301">
        <v>337.56740000000002</v>
      </c>
      <c r="J301">
        <v>-425.9255</v>
      </c>
      <c r="K301">
        <v>1.0604370000000001</v>
      </c>
      <c r="L301">
        <v>367.40069999999997</v>
      </c>
      <c r="M301">
        <v>0.99980089999999999</v>
      </c>
      <c r="N301">
        <v>-1.3540190000000001E-2</v>
      </c>
      <c r="O301">
        <v>1.466744E-2</v>
      </c>
      <c r="P301">
        <v>0.98211959999999998</v>
      </c>
      <c r="Q301">
        <v>0.17107</v>
      </c>
      <c r="R301">
        <v>7.8590430000000003E-2</v>
      </c>
      <c r="S301">
        <v>3.0643310000000001</v>
      </c>
      <c r="T301">
        <v>0.1071303</v>
      </c>
      <c r="U301">
        <v>-0.35452270000000002</v>
      </c>
      <c r="V301">
        <v>-6.4170809999999995E-2</v>
      </c>
      <c r="W301">
        <v>0.18436810000000001</v>
      </c>
      <c r="X301">
        <v>0.98076019999999997</v>
      </c>
      <c r="Y301">
        <v>0.12942139999999999</v>
      </c>
      <c r="Z301">
        <v>2.083648E-3</v>
      </c>
      <c r="AA301">
        <v>0.99158749999999996</v>
      </c>
      <c r="AB301">
        <v>30</v>
      </c>
      <c r="AC301">
        <v>257.52210000000002</v>
      </c>
      <c r="AD301">
        <v>9.0137029999999996</v>
      </c>
      <c r="AE301">
        <v>-29.833299999999898</v>
      </c>
      <c r="AF301">
        <v>33.5670468698817</v>
      </c>
      <c r="AG301">
        <v>9.0137029999999996</v>
      </c>
      <c r="AH301">
        <v>256.7463955737</v>
      </c>
      <c r="AI301">
        <v>88.0062722295241</v>
      </c>
      <c r="AJ301">
        <v>82.551392507557793</v>
      </c>
      <c r="AK301">
        <v>259.08821879318299</v>
      </c>
      <c r="AL301">
        <v>79.375706828346694</v>
      </c>
      <c r="AM301">
        <v>93.743507630162597</v>
      </c>
      <c r="AN301">
        <v>1.00000002952885</v>
      </c>
    </row>
    <row r="302" spans="1:40" x14ac:dyDescent="0.25">
      <c r="A302" t="str">
        <f>"20190304155319464"</f>
        <v>20190304155319464</v>
      </c>
      <c r="B302" t="str">
        <f>"1551685999455930"</f>
        <v>1551685999455930</v>
      </c>
      <c r="C302" t="s">
        <v>40</v>
      </c>
      <c r="D302">
        <v>4.3905580000000004</v>
      </c>
      <c r="E302">
        <v>0.57301429999999998</v>
      </c>
      <c r="F302" t="s">
        <v>49</v>
      </c>
      <c r="G302">
        <v>-168.4033</v>
      </c>
      <c r="H302">
        <v>9.7366869999999999</v>
      </c>
      <c r="I302">
        <v>337.73039999999997</v>
      </c>
      <c r="J302">
        <v>-425.62040000000002</v>
      </c>
      <c r="K302">
        <v>1.060435</v>
      </c>
      <c r="L302">
        <v>367.40519999999998</v>
      </c>
      <c r="M302">
        <v>0.99979969999999996</v>
      </c>
      <c r="N302">
        <v>-1.3621629999999999E-2</v>
      </c>
      <c r="O302">
        <v>1.466951E-2</v>
      </c>
      <c r="P302">
        <v>0.98213830000000002</v>
      </c>
      <c r="Q302">
        <v>0.17073469999999999</v>
      </c>
      <c r="R302">
        <v>7.9083619999999993E-2</v>
      </c>
      <c r="S302">
        <v>3.06488</v>
      </c>
      <c r="T302">
        <v>0.1032598</v>
      </c>
      <c r="U302">
        <v>-0.35311890000000001</v>
      </c>
      <c r="V302">
        <v>-6.4660300000000004E-2</v>
      </c>
      <c r="W302">
        <v>0.18411359999999999</v>
      </c>
      <c r="X302">
        <v>0.98077579999999998</v>
      </c>
      <c r="Y302">
        <v>0.12896060000000001</v>
      </c>
      <c r="Z302">
        <v>1.9748629999999999E-3</v>
      </c>
      <c r="AA302">
        <v>0.99164779999999997</v>
      </c>
      <c r="AB302">
        <v>30</v>
      </c>
      <c r="AC302">
        <v>257.21710000000002</v>
      </c>
      <c r="AD302">
        <v>8.6762519999999999</v>
      </c>
      <c r="AE302">
        <v>-29.674800000000001</v>
      </c>
      <c r="AF302">
        <v>33.407693013407297</v>
      </c>
      <c r="AG302">
        <v>8.6762519999999999</v>
      </c>
      <c r="AH302">
        <v>256.46608905310001</v>
      </c>
      <c r="AI302">
        <v>88.078641785111799</v>
      </c>
      <c r="AJ302">
        <v>82.578346709535495</v>
      </c>
      <c r="AK302">
        <v>258.77829533297103</v>
      </c>
      <c r="AL302">
        <v>79.3905419467673</v>
      </c>
      <c r="AM302">
        <v>93.771920870899606</v>
      </c>
      <c r="AN302">
        <v>0.99999997098334403</v>
      </c>
    </row>
    <row r="303" spans="1:40" x14ac:dyDescent="0.25">
      <c r="A303" t="str">
        <f>"20190304155319485"</f>
        <v>20190304155319485</v>
      </c>
      <c r="B303" t="str">
        <f>"1551685999475450"</f>
        <v>1551685999475450</v>
      </c>
      <c r="C303" t="s">
        <v>40</v>
      </c>
      <c r="D303">
        <v>4.3314510000000004</v>
      </c>
      <c r="E303">
        <v>0.57303709999999997</v>
      </c>
      <c r="F303" t="s">
        <v>49</v>
      </c>
      <c r="G303">
        <v>-168.4033</v>
      </c>
      <c r="H303">
        <v>9.6750869999999995</v>
      </c>
      <c r="I303">
        <v>337.75760000000002</v>
      </c>
      <c r="J303">
        <v>-425.3415</v>
      </c>
      <c r="K303">
        <v>1.0604340000000001</v>
      </c>
      <c r="L303">
        <v>367.40929999999997</v>
      </c>
      <c r="M303">
        <v>0.99979850000000003</v>
      </c>
      <c r="N303">
        <v>-1.370674E-2</v>
      </c>
      <c r="O303">
        <v>1.466902E-2</v>
      </c>
      <c r="P303">
        <v>0.98220229999999997</v>
      </c>
      <c r="Q303">
        <v>0.17029629999999901</v>
      </c>
      <c r="R303">
        <v>7.9234260000000001E-2</v>
      </c>
      <c r="S303">
        <v>3.0651860000000002</v>
      </c>
      <c r="T303">
        <v>0.1026585</v>
      </c>
      <c r="U303">
        <v>-0.353302</v>
      </c>
      <c r="V303">
        <v>-6.4809660000000005E-2</v>
      </c>
      <c r="W303">
        <v>0.1837598</v>
      </c>
      <c r="X303">
        <v>0.98083229999999999</v>
      </c>
      <c r="Y303">
        <v>0.12900829999999999</v>
      </c>
      <c r="Z303">
        <v>1.9553090000000001E-3</v>
      </c>
      <c r="AA303">
        <v>0.99164160000000001</v>
      </c>
      <c r="AB303">
        <v>30</v>
      </c>
      <c r="AC303">
        <v>256.93819999999999</v>
      </c>
      <c r="AD303">
        <v>8.6146529999999899</v>
      </c>
      <c r="AE303">
        <v>-29.651699999999899</v>
      </c>
      <c r="AF303">
        <v>33.380863129920598</v>
      </c>
      <c r="AG303">
        <v>8.6146529999999899</v>
      </c>
      <c r="AH303">
        <v>256.19133872096597</v>
      </c>
      <c r="AI303">
        <v>88.0902369207775</v>
      </c>
      <c r="AJ303">
        <v>82.576376398134101</v>
      </c>
      <c r="AK303">
        <v>258.50047641203702</v>
      </c>
      <c r="AL303">
        <v>79.411165143743403</v>
      </c>
      <c r="AM303">
        <v>93.780391313328394</v>
      </c>
      <c r="AN303">
        <v>0.99999997842432198</v>
      </c>
    </row>
    <row r="304" spans="1:40" x14ac:dyDescent="0.25">
      <c r="A304" t="str">
        <f>"20190304155319507"</f>
        <v>20190304155319507</v>
      </c>
      <c r="B304" t="str">
        <f>"1551685999495946"</f>
        <v>1551685999495946</v>
      </c>
      <c r="C304" t="s">
        <v>40</v>
      </c>
      <c r="D304">
        <v>4.387912</v>
      </c>
      <c r="E304">
        <v>0.57319160000000002</v>
      </c>
      <c r="F304" t="s">
        <v>49</v>
      </c>
      <c r="G304">
        <v>-168.4032</v>
      </c>
      <c r="H304">
        <v>9.5872010000000003</v>
      </c>
      <c r="I304">
        <v>337.80459999999999</v>
      </c>
      <c r="J304">
        <v>-425.02600000000001</v>
      </c>
      <c r="K304">
        <v>1.060441</v>
      </c>
      <c r="L304">
        <v>367.41390000000001</v>
      </c>
      <c r="M304">
        <v>0.99979720000000005</v>
      </c>
      <c r="N304">
        <v>-1.38111E-2</v>
      </c>
      <c r="O304">
        <v>1.466716E-2</v>
      </c>
      <c r="P304">
        <v>0.98226930000000001</v>
      </c>
      <c r="Q304">
        <v>0.1698818</v>
      </c>
      <c r="R304">
        <v>7.9293559999999999E-2</v>
      </c>
      <c r="S304">
        <v>3.0652469999999998</v>
      </c>
      <c r="T304">
        <v>0.1017236</v>
      </c>
      <c r="U304">
        <v>-0.35317989999999999</v>
      </c>
      <c r="V304">
        <v>-6.4870070000000002E-2</v>
      </c>
      <c r="W304">
        <v>0.183449</v>
      </c>
      <c r="X304">
        <v>0.98088649999999999</v>
      </c>
      <c r="Y304">
        <v>0.12896659999999999</v>
      </c>
      <c r="Z304">
        <v>1.9255019999999999E-3</v>
      </c>
      <c r="AA304">
        <v>0.9916471</v>
      </c>
      <c r="AB304">
        <v>30</v>
      </c>
      <c r="AC304">
        <v>256.62279999999998</v>
      </c>
      <c r="AD304">
        <v>8.5267599999999995</v>
      </c>
      <c r="AE304">
        <v>-29.609300000000001</v>
      </c>
      <c r="AF304">
        <v>33.334082411594402</v>
      </c>
      <c r="AG304">
        <v>8.5267599999999995</v>
      </c>
      <c r="AH304">
        <v>255.882076553438</v>
      </c>
      <c r="AI304">
        <v>88.107418403862994</v>
      </c>
      <c r="AJ304">
        <v>82.577804228608599</v>
      </c>
      <c r="AK304">
        <v>258.18501851892898</v>
      </c>
      <c r="AL304">
        <v>79.429280795564395</v>
      </c>
      <c r="AM304">
        <v>93.783696360681105</v>
      </c>
      <c r="AN304">
        <v>0.99999999373252701</v>
      </c>
    </row>
    <row r="305" spans="1:40" x14ac:dyDescent="0.25">
      <c r="A305" t="str">
        <f>"20190304155319528"</f>
        <v>20190304155319528</v>
      </c>
      <c r="B305" t="str">
        <f>"1551685999515466"</f>
        <v>1551685999515466</v>
      </c>
      <c r="C305" t="s">
        <v>40</v>
      </c>
      <c r="D305">
        <v>4.3293739999999996</v>
      </c>
      <c r="E305">
        <v>0.57313819999999904</v>
      </c>
      <c r="F305" t="s">
        <v>49</v>
      </c>
      <c r="G305">
        <v>-168.4032</v>
      </c>
      <c r="H305">
        <v>9.494294</v>
      </c>
      <c r="I305">
        <v>337.75709999999998</v>
      </c>
      <c r="J305">
        <v>-424.75639999999999</v>
      </c>
      <c r="K305">
        <v>1.060446</v>
      </c>
      <c r="L305">
        <v>367.41789999999997</v>
      </c>
      <c r="M305">
        <v>0.99979589999999996</v>
      </c>
      <c r="N305">
        <v>-1.390836E-2</v>
      </c>
      <c r="O305">
        <v>1.466509E-2</v>
      </c>
      <c r="P305">
        <v>0.98231349999999995</v>
      </c>
      <c r="Q305">
        <v>0.16962539999999901</v>
      </c>
      <c r="R305">
        <v>7.9294580000000003E-2</v>
      </c>
      <c r="S305">
        <v>3.0653380000000001</v>
      </c>
      <c r="T305">
        <v>0.1007417</v>
      </c>
      <c r="U305">
        <v>-0.35424800000000001</v>
      </c>
      <c r="V305">
        <v>-6.4872040000000006E-2</v>
      </c>
      <c r="W305">
        <v>0.1832887</v>
      </c>
      <c r="X305">
        <v>0.98091629999999996</v>
      </c>
      <c r="Y305">
        <v>0.12930349999999999</v>
      </c>
      <c r="Z305">
        <v>1.898304E-3</v>
      </c>
      <c r="AA305">
        <v>0.99160329999999997</v>
      </c>
      <c r="AB305">
        <v>30</v>
      </c>
      <c r="AC305">
        <v>256.35320000000002</v>
      </c>
      <c r="AD305">
        <v>8.4338479999999993</v>
      </c>
      <c r="AE305">
        <v>-29.660799999999899</v>
      </c>
      <c r="AF305">
        <v>33.3817615076076</v>
      </c>
      <c r="AG305">
        <v>8.4338479999999993</v>
      </c>
      <c r="AH305">
        <v>255.617589792747</v>
      </c>
      <c r="AI305">
        <v>88.126167820668798</v>
      </c>
      <c r="AJ305">
        <v>82.559702117570396</v>
      </c>
      <c r="AK305">
        <v>257.92600490235799</v>
      </c>
      <c r="AL305">
        <v>79.438623348282107</v>
      </c>
      <c r="AM305">
        <v>93.783696314335799</v>
      </c>
      <c r="AN305">
        <v>0.99999995836356903</v>
      </c>
    </row>
    <row r="306" spans="1:40" x14ac:dyDescent="0.25">
      <c r="A306" t="str">
        <f>"20190304155319551"</f>
        <v>20190304155319551</v>
      </c>
      <c r="B306" t="str">
        <f>"1551685999545722"</f>
        <v>1551685999545722</v>
      </c>
      <c r="C306" t="s">
        <v>40</v>
      </c>
      <c r="D306">
        <v>4.3618730000000001</v>
      </c>
      <c r="E306">
        <v>0.573345199999999</v>
      </c>
      <c r="F306" t="s">
        <v>49</v>
      </c>
      <c r="G306">
        <v>-168.4032</v>
      </c>
      <c r="H306">
        <v>9.4172940000000001</v>
      </c>
      <c r="I306">
        <v>337.81799999999998</v>
      </c>
      <c r="J306">
        <v>-424.44900000000001</v>
      </c>
      <c r="K306">
        <v>1.0604629999999999</v>
      </c>
      <c r="L306">
        <v>367.42239999999998</v>
      </c>
      <c r="M306">
        <v>0.99979419999999997</v>
      </c>
      <c r="N306">
        <v>-1.4032499999999899E-2</v>
      </c>
      <c r="O306">
        <v>1.4657299999999899E-2</v>
      </c>
      <c r="P306">
        <v>0.98234650000000001</v>
      </c>
      <c r="Q306">
        <v>0.16926189999999999</v>
      </c>
      <c r="R306">
        <v>7.9662060000000007E-2</v>
      </c>
      <c r="S306">
        <v>3.065369</v>
      </c>
      <c r="T306">
        <v>9.99279E-2</v>
      </c>
      <c r="U306">
        <v>-0.3539429</v>
      </c>
      <c r="V306">
        <v>-6.5245460000000005E-2</v>
      </c>
      <c r="W306">
        <v>0.18304770000000001</v>
      </c>
      <c r="X306">
        <v>0.98093660000000005</v>
      </c>
      <c r="Y306">
        <v>0.1291986</v>
      </c>
      <c r="Z306">
        <v>1.869763E-3</v>
      </c>
      <c r="AA306">
        <v>0.99161699999999997</v>
      </c>
      <c r="AB306">
        <v>30</v>
      </c>
      <c r="AC306">
        <v>256.04579999999999</v>
      </c>
      <c r="AD306">
        <v>8.3568309999999997</v>
      </c>
      <c r="AE306">
        <v>-29.604399999999899</v>
      </c>
      <c r="AF306">
        <v>33.319503373135902</v>
      </c>
      <c r="AG306">
        <v>8.3568309999999997</v>
      </c>
      <c r="AH306">
        <v>255.31594068788201</v>
      </c>
      <c r="AI306">
        <v>88.141053926698405</v>
      </c>
      <c r="AJ306">
        <v>82.564747297721397</v>
      </c>
      <c r="AK306">
        <v>257.61648918253098</v>
      </c>
      <c r="AL306">
        <v>79.452669943916803</v>
      </c>
      <c r="AM306">
        <v>93.805333903292905</v>
      </c>
      <c r="AN306">
        <v>1.0000000218727301</v>
      </c>
    </row>
    <row r="307" spans="1:40" x14ac:dyDescent="0.25">
      <c r="A307" t="str">
        <f>"20190304155319572"</f>
        <v>20190304155319572</v>
      </c>
      <c r="B307" t="str">
        <f>"1551685999566218"</f>
        <v>1551685999566218</v>
      </c>
      <c r="C307" t="s">
        <v>40</v>
      </c>
      <c r="D307">
        <v>4.4354680000000002</v>
      </c>
      <c r="E307">
        <v>0.57343080000000002</v>
      </c>
      <c r="F307" t="s">
        <v>49</v>
      </c>
      <c r="G307">
        <v>-168.4032</v>
      </c>
      <c r="H307">
        <v>9.3079280000000004</v>
      </c>
      <c r="I307">
        <v>337.81450000000001</v>
      </c>
      <c r="J307">
        <v>-424.16419999999999</v>
      </c>
      <c r="K307">
        <v>1.0604789999999999</v>
      </c>
      <c r="L307">
        <v>367.42649999999998</v>
      </c>
      <c r="M307">
        <v>0.99979280000000004</v>
      </c>
      <c r="N307">
        <v>-1.4155060000000001E-2</v>
      </c>
      <c r="O307">
        <v>1.464093E-2</v>
      </c>
      <c r="P307">
        <v>0.98233009999999998</v>
      </c>
      <c r="Q307">
        <v>0.1694262</v>
      </c>
      <c r="R307">
        <v>7.9514329999999994E-2</v>
      </c>
      <c r="S307">
        <v>3.0656129999999999</v>
      </c>
      <c r="T307">
        <v>9.8746180000000003E-2</v>
      </c>
      <c r="U307">
        <v>-0.35449219999999998</v>
      </c>
      <c r="V307">
        <v>-6.5111440000000007E-2</v>
      </c>
      <c r="W307">
        <v>0.1833332</v>
      </c>
      <c r="X307">
        <v>0.98089219999999999</v>
      </c>
      <c r="Y307">
        <v>0.1293503</v>
      </c>
      <c r="Z307">
        <v>1.833547E-3</v>
      </c>
      <c r="AA307">
        <v>0.99159719999999996</v>
      </c>
      <c r="AB307">
        <v>30</v>
      </c>
      <c r="AC307">
        <v>255.761</v>
      </c>
      <c r="AD307">
        <v>8.2474489999999996</v>
      </c>
      <c r="AE307">
        <v>-29.611999999999899</v>
      </c>
      <c r="AF307">
        <v>33.319589773879102</v>
      </c>
      <c r="AG307">
        <v>8.2474489999999996</v>
      </c>
      <c r="AH307">
        <v>255.038296874054</v>
      </c>
      <c r="AI307">
        <v>88.163406486968199</v>
      </c>
      <c r="AJ307">
        <v>82.556724644022694</v>
      </c>
      <c r="AK307">
        <v>257.33780979507299</v>
      </c>
      <c r="AL307">
        <v>79.4360305553421</v>
      </c>
      <c r="AM307">
        <v>93.797711695174897</v>
      </c>
      <c r="AN307">
        <v>1.0000000349309699</v>
      </c>
    </row>
    <row r="308" spans="1:40" x14ac:dyDescent="0.25">
      <c r="A308" t="str">
        <f>"20190304155319595"</f>
        <v>20190304155319595</v>
      </c>
      <c r="B308" t="str">
        <f>"1551685999585741"</f>
        <v>1551685999585741</v>
      </c>
      <c r="C308" t="s">
        <v>40</v>
      </c>
      <c r="D308">
        <v>4.6649779999999996</v>
      </c>
      <c r="E308">
        <v>0.54350019999999999</v>
      </c>
      <c r="F308" t="s">
        <v>49</v>
      </c>
      <c r="G308">
        <v>-168.4032</v>
      </c>
      <c r="H308">
        <v>9.3456130000000002</v>
      </c>
      <c r="I308">
        <v>337.75990000000002</v>
      </c>
      <c r="J308">
        <v>-423.8571</v>
      </c>
      <c r="K308">
        <v>1.060484</v>
      </c>
      <c r="L308">
        <v>367.43099999999998</v>
      </c>
      <c r="M308">
        <v>0.99979119999999999</v>
      </c>
      <c r="N308">
        <v>-1.4289619999999999E-2</v>
      </c>
      <c r="O308">
        <v>1.4608950000000001E-2</v>
      </c>
      <c r="P308">
        <v>0.98229060000000001</v>
      </c>
      <c r="Q308">
        <v>0.16977220000000001</v>
      </c>
      <c r="R308">
        <v>7.9262579999999999E-2</v>
      </c>
      <c r="S308">
        <v>3.0656129999999999</v>
      </c>
      <c r="T308">
        <v>9.9307660000000006E-2</v>
      </c>
      <c r="U308">
        <v>-0.35559079999999998</v>
      </c>
      <c r="V308">
        <v>-6.4886639999999995E-2</v>
      </c>
      <c r="W308">
        <v>0.18381230000000001</v>
      </c>
      <c r="X308">
        <v>0.98081739999999995</v>
      </c>
      <c r="Y308">
        <v>0.1296687</v>
      </c>
      <c r="Z308">
        <v>1.8425340000000001E-3</v>
      </c>
      <c r="AA308">
        <v>0.99155559999999998</v>
      </c>
      <c r="AB308">
        <v>30</v>
      </c>
      <c r="AC308">
        <v>255.4539</v>
      </c>
      <c r="AD308">
        <v>8.2851289999999995</v>
      </c>
      <c r="AE308">
        <v>-29.6710999999999</v>
      </c>
      <c r="AF308">
        <v>33.365597176948</v>
      </c>
      <c r="AG308">
        <v>8.2851289999999995</v>
      </c>
      <c r="AH308">
        <v>254.728743644796</v>
      </c>
      <c r="AI308">
        <v>88.152861510780994</v>
      </c>
      <c r="AJ308">
        <v>82.537606918649303</v>
      </c>
      <c r="AK308">
        <v>257.03820586904499</v>
      </c>
      <c r="AL308">
        <v>79.408105273206303</v>
      </c>
      <c r="AM308">
        <v>93.784925895364097</v>
      </c>
      <c r="AN308">
        <v>1.0000000049122599</v>
      </c>
    </row>
    <row r="309" spans="1:40" x14ac:dyDescent="0.25">
      <c r="A309" t="str">
        <f>"20190304155319619"</f>
        <v>20190304155319619</v>
      </c>
      <c r="B309" t="str">
        <f>"1551685999615994"</f>
        <v>1551685999615994</v>
      </c>
      <c r="C309" t="s">
        <v>40</v>
      </c>
      <c r="D309">
        <v>4.5430029999999997</v>
      </c>
      <c r="E309">
        <v>0.53778689999999996</v>
      </c>
      <c r="F309" t="s">
        <v>47</v>
      </c>
      <c r="G309">
        <v>-297.96929999999998</v>
      </c>
      <c r="H309">
        <v>-0.05</v>
      </c>
      <c r="I309">
        <v>362.4443</v>
      </c>
      <c r="J309">
        <v>-423.53870000000001</v>
      </c>
      <c r="K309">
        <v>1.0604849999999999</v>
      </c>
      <c r="L309">
        <v>367.43560000000002</v>
      </c>
      <c r="M309">
        <v>0.99979010000000001</v>
      </c>
      <c r="N309">
        <v>-1.4424569999999999E-2</v>
      </c>
      <c r="O309">
        <v>1.455734E-2</v>
      </c>
      <c r="P309">
        <v>0.98236820000000002</v>
      </c>
      <c r="Q309">
        <v>0.16927679999999901</v>
      </c>
      <c r="R309">
        <v>7.9363470000000005E-2</v>
      </c>
      <c r="S309">
        <v>3.0685120000000001</v>
      </c>
      <c r="T309">
        <v>-2.7068020000000002E-2</v>
      </c>
      <c r="U309">
        <v>-0.12155150000000001</v>
      </c>
      <c r="V309">
        <v>-6.5030459999999998E-2</v>
      </c>
      <c r="W309">
        <v>0.1834527</v>
      </c>
      <c r="X309">
        <v>0.98087519999999995</v>
      </c>
      <c r="Y309">
        <v>5.4118949999999999E-2</v>
      </c>
      <c r="Z309">
        <v>-5.475756E-4</v>
      </c>
      <c r="AA309">
        <v>0.99853429999999999</v>
      </c>
      <c r="AB309">
        <v>30</v>
      </c>
      <c r="AC309">
        <v>125.5694</v>
      </c>
      <c r="AD309">
        <v>-1.1104849999999999</v>
      </c>
      <c r="AE309">
        <v>-4.9913000000000203</v>
      </c>
      <c r="AF309">
        <v>6.8183850144460703</v>
      </c>
      <c r="AG309">
        <v>-1.1104849999999999</v>
      </c>
      <c r="AH309">
        <v>125.47362612447699</v>
      </c>
      <c r="AI309">
        <v>90.506327238535604</v>
      </c>
      <c r="AJ309">
        <v>86.889538966973006</v>
      </c>
      <c r="AK309">
        <v>125.66365585946301</v>
      </c>
      <c r="AL309">
        <v>79.429065271600606</v>
      </c>
      <c r="AM309">
        <v>93.793067771125806</v>
      </c>
      <c r="AN309">
        <v>1.00000000592007</v>
      </c>
    </row>
    <row r="310" spans="1:40" x14ac:dyDescent="0.25">
      <c r="A310" t="str">
        <f>"20190304155319642"</f>
        <v>20190304155319642</v>
      </c>
      <c r="B310" t="str">
        <f>"1551685999635514"</f>
        <v>1551685999635514</v>
      </c>
      <c r="C310" t="s">
        <v>40</v>
      </c>
      <c r="D310">
        <v>4.5154379999999996</v>
      </c>
      <c r="E310">
        <v>0.53850030000000004</v>
      </c>
      <c r="F310" t="s">
        <v>41</v>
      </c>
      <c r="G310">
        <v>-158.19499999999999</v>
      </c>
      <c r="H310">
        <v>0.49964140000000001</v>
      </c>
      <c r="I310">
        <v>360.90690000000001</v>
      </c>
      <c r="J310">
        <v>-423.23809999999997</v>
      </c>
      <c r="K310">
        <v>1.060478</v>
      </c>
      <c r="L310">
        <v>367.43990000000002</v>
      </c>
      <c r="M310">
        <v>0.99978920000000004</v>
      </c>
      <c r="N310">
        <v>-1.4542609999999999E-2</v>
      </c>
      <c r="O310">
        <v>1.449159E-2</v>
      </c>
      <c r="P310">
        <v>0.98237790000000003</v>
      </c>
      <c r="Q310">
        <v>0.1693511</v>
      </c>
      <c r="R310">
        <v>7.9080590000000006E-2</v>
      </c>
      <c r="S310">
        <v>3.0610659999999998</v>
      </c>
      <c r="T310">
        <v>-6.4690109999999898E-3</v>
      </c>
      <c r="U310">
        <v>-7.5317380000000003E-2</v>
      </c>
      <c r="V310">
        <v>-6.4805450000000001E-2</v>
      </c>
      <c r="W310">
        <v>0.18364539999999999</v>
      </c>
      <c r="X310">
        <v>0.980854</v>
      </c>
      <c r="Y310">
        <v>3.9081860000000003E-2</v>
      </c>
      <c r="Z310">
        <v>-1.4542550000000001E-4</v>
      </c>
      <c r="AA310">
        <v>0.99923600000000001</v>
      </c>
      <c r="AB310">
        <v>30</v>
      </c>
      <c r="AC310">
        <v>265.04309999999998</v>
      </c>
      <c r="AD310">
        <v>-0.56083660000000002</v>
      </c>
      <c r="AE310">
        <v>-6.5330000000000101</v>
      </c>
      <c r="AF310">
        <v>10.373569685314701</v>
      </c>
      <c r="AG310">
        <v>-0.56083660000000002</v>
      </c>
      <c r="AH310">
        <v>264.91939326412501</v>
      </c>
      <c r="AI310">
        <v>90.121202584966696</v>
      </c>
      <c r="AJ310">
        <v>87.757588624478004</v>
      </c>
      <c r="AK310">
        <v>265.12300996545002</v>
      </c>
      <c r="AL310">
        <v>79.417833215834605</v>
      </c>
      <c r="AM310">
        <v>93.7800630653079</v>
      </c>
      <c r="AN310">
        <v>0.99999997430343102</v>
      </c>
    </row>
    <row r="311" spans="1:40" x14ac:dyDescent="0.25">
      <c r="A311" t="str">
        <f>"20190304155319662"</f>
        <v>20190304155319662</v>
      </c>
      <c r="B311" t="str">
        <f>"1551685999656010"</f>
        <v>1551685999656010</v>
      </c>
      <c r="C311" t="s">
        <v>40</v>
      </c>
      <c r="D311">
        <v>4.6325320000000003</v>
      </c>
      <c r="E311">
        <v>0.53808369999999905</v>
      </c>
      <c r="F311" t="s">
        <v>41</v>
      </c>
      <c r="G311">
        <v>-158.19499999999999</v>
      </c>
      <c r="H311">
        <v>0.13737769999999999</v>
      </c>
      <c r="I311">
        <v>360.36619999999999</v>
      </c>
      <c r="J311">
        <v>-422.96559999999999</v>
      </c>
      <c r="K311">
        <v>1.0604750000000001</v>
      </c>
      <c r="L311">
        <v>367.44380000000001</v>
      </c>
      <c r="M311">
        <v>0.99978889999999998</v>
      </c>
      <c r="N311">
        <v>-1.4639579999999999E-2</v>
      </c>
      <c r="O311">
        <v>1.441771E-2</v>
      </c>
      <c r="P311">
        <v>0.98243309999999995</v>
      </c>
      <c r="Q311">
        <v>0.16933309999999999</v>
      </c>
      <c r="R311">
        <v>7.8430890000000003E-2</v>
      </c>
      <c r="S311">
        <v>3.0621640000000001</v>
      </c>
      <c r="T311">
        <v>-1.066399E-2</v>
      </c>
      <c r="U311">
        <v>-8.1726069999999998E-2</v>
      </c>
      <c r="V311">
        <v>-6.4222650000000006E-2</v>
      </c>
      <c r="W311">
        <v>0.1837242</v>
      </c>
      <c r="X311">
        <v>0.98087760000000002</v>
      </c>
      <c r="Y311">
        <v>4.1088649999999997E-2</v>
      </c>
      <c r="Z311">
        <v>-2.1152860000000001E-4</v>
      </c>
      <c r="AA311">
        <v>0.99915549999999997</v>
      </c>
      <c r="AB311">
        <v>30</v>
      </c>
      <c r="AC311">
        <v>264.7706</v>
      </c>
      <c r="AD311">
        <v>-0.92309730000000001</v>
      </c>
      <c r="AE311">
        <v>-7.0776000000000101</v>
      </c>
      <c r="AF311">
        <v>10.8945266613533</v>
      </c>
      <c r="AG311">
        <v>-0.92309730000000001</v>
      </c>
      <c r="AH311">
        <v>264.63780559236801</v>
      </c>
      <c r="AI311">
        <v>90.199686526707296</v>
      </c>
      <c r="AJ311">
        <v>87.642596372647603</v>
      </c>
      <c r="AK311">
        <v>264.86357048213398</v>
      </c>
      <c r="AL311">
        <v>79.413240415397496</v>
      </c>
      <c r="AM311">
        <v>93.746076050827597</v>
      </c>
      <c r="AN311">
        <v>0.99999999831021102</v>
      </c>
    </row>
    <row r="312" spans="1:40" x14ac:dyDescent="0.25">
      <c r="A312" t="str">
        <f>"20190304155319685"</f>
        <v>20190304155319685</v>
      </c>
      <c r="B312" t="str">
        <f>"1551685999675530"</f>
        <v>1551685999675530</v>
      </c>
      <c r="C312" t="s">
        <v>40</v>
      </c>
      <c r="D312">
        <v>4.5647859999999998</v>
      </c>
      <c r="E312">
        <v>0.53801860000000001</v>
      </c>
      <c r="F312" t="s">
        <v>41</v>
      </c>
      <c r="G312">
        <v>-158.19499999999999</v>
      </c>
      <c r="H312">
        <v>0.63630959999999903</v>
      </c>
      <c r="I312">
        <v>360.52760000000001</v>
      </c>
      <c r="J312">
        <v>-422.6712</v>
      </c>
      <c r="K312">
        <v>1.0604690000000001</v>
      </c>
      <c r="L312">
        <v>367.4479</v>
      </c>
      <c r="M312">
        <v>0.99978889999999998</v>
      </c>
      <c r="N312">
        <v>-1.4733090000000001E-2</v>
      </c>
      <c r="O312">
        <v>1.432668E-2</v>
      </c>
      <c r="P312">
        <v>0.9825855</v>
      </c>
      <c r="Q312">
        <v>0.1686954</v>
      </c>
      <c r="R312">
        <v>7.7895809999999996E-2</v>
      </c>
      <c r="S312">
        <v>3.0609130000000002</v>
      </c>
      <c r="T312">
        <v>-4.9026010000000004E-3</v>
      </c>
      <c r="U312">
        <v>-7.9956050000000001E-2</v>
      </c>
      <c r="V312">
        <v>-6.3771309999999998E-2</v>
      </c>
      <c r="W312">
        <v>0.18318180000000001</v>
      </c>
      <c r="X312">
        <v>0.98100849999999995</v>
      </c>
      <c r="Y312">
        <v>4.0431630000000003E-2</v>
      </c>
      <c r="Z312">
        <v>-1.4217900000000001E-4</v>
      </c>
      <c r="AA312">
        <v>0.99918229999999997</v>
      </c>
      <c r="AB312">
        <v>30</v>
      </c>
      <c r="AC312">
        <v>264.47620000000001</v>
      </c>
      <c r="AD312">
        <v>-0.42415940000000002</v>
      </c>
      <c r="AE312">
        <v>-6.9202999999999903</v>
      </c>
      <c r="AF312">
        <v>10.709038954217201</v>
      </c>
      <c r="AG312">
        <v>-0.42415940000000002</v>
      </c>
      <c r="AH312">
        <v>264.34921521011</v>
      </c>
      <c r="AI312">
        <v>90.091858056934598</v>
      </c>
      <c r="AJ312">
        <v>87.680161802260102</v>
      </c>
      <c r="AK312">
        <v>264.56638299058397</v>
      </c>
      <c r="AL312">
        <v>79.444854352594206</v>
      </c>
      <c r="AM312">
        <v>93.719328824940305</v>
      </c>
      <c r="AN312">
        <v>1.0000000144512999</v>
      </c>
    </row>
    <row r="313" spans="1:40" x14ac:dyDescent="0.25">
      <c r="A313" t="str">
        <f>"20190304155319707"</f>
        <v>20190304155319707</v>
      </c>
      <c r="B313" t="str">
        <f>"1551685999696026"</f>
        <v>1551685999696026</v>
      </c>
      <c r="C313" t="s">
        <v>40</v>
      </c>
      <c r="D313">
        <v>4.4937930000000001</v>
      </c>
      <c r="E313">
        <v>0.53845799999999999</v>
      </c>
      <c r="F313" t="s">
        <v>41</v>
      </c>
      <c r="G313">
        <v>-158.19499999999999</v>
      </c>
      <c r="H313">
        <v>0.74825430000000004</v>
      </c>
      <c r="I313">
        <v>360.44290000000001</v>
      </c>
      <c r="J313">
        <v>-422.37299999999999</v>
      </c>
      <c r="K313">
        <v>1.0604709999999999</v>
      </c>
      <c r="L313">
        <v>367.45209999999997</v>
      </c>
      <c r="M313">
        <v>0.99978900000000004</v>
      </c>
      <c r="N313">
        <v>-1.481642E-2</v>
      </c>
      <c r="O313">
        <v>1.422635E-2</v>
      </c>
      <c r="P313">
        <v>0.98261209999999999</v>
      </c>
      <c r="Q313">
        <v>0.16867799999999999</v>
      </c>
      <c r="R313">
        <v>7.7596979999999996E-2</v>
      </c>
      <c r="S313">
        <v>3.0602109999999998</v>
      </c>
      <c r="T313">
        <v>-3.6115650000000002E-3</v>
      </c>
      <c r="U313">
        <v>-8.1054689999999999E-2</v>
      </c>
      <c r="V313">
        <v>-6.3568429999999995E-2</v>
      </c>
      <c r="W313">
        <v>0.1832474</v>
      </c>
      <c r="X313">
        <v>0.98100940000000003</v>
      </c>
      <c r="Y313">
        <v>4.0695889999999998E-2</v>
      </c>
      <c r="Z313">
        <v>-1.3159670000000001E-4</v>
      </c>
      <c r="AA313">
        <v>0.99917160000000005</v>
      </c>
      <c r="AB313">
        <v>30</v>
      </c>
      <c r="AC313">
        <v>264.178</v>
      </c>
      <c r="AD313">
        <v>-0.31221669999999901</v>
      </c>
      <c r="AE313">
        <v>-7.0091999999999599</v>
      </c>
      <c r="AF313">
        <v>10.767176842526499</v>
      </c>
      <c r="AG313">
        <v>-0.31221669999999901</v>
      </c>
      <c r="AH313">
        <v>264.05116457488703</v>
      </c>
      <c r="AI313">
        <v>90.067690809850404</v>
      </c>
      <c r="AJ313">
        <v>87.664951763619101</v>
      </c>
      <c r="AK313">
        <v>264.27078364772001</v>
      </c>
      <c r="AL313">
        <v>79.441030865789799</v>
      </c>
      <c r="AM313">
        <v>93.707525934614296</v>
      </c>
      <c r="AN313">
        <v>0.99999999889389202</v>
      </c>
    </row>
    <row r="314" spans="1:40" x14ac:dyDescent="0.25">
      <c r="A314" t="str">
        <f>"20190304155319729"</f>
        <v>20190304155319729</v>
      </c>
      <c r="B314" t="str">
        <f>"1551685999726282"</f>
        <v>1551685999726282</v>
      </c>
      <c r="C314" t="s">
        <v>40</v>
      </c>
      <c r="D314">
        <v>4.7024910000000002</v>
      </c>
      <c r="E314">
        <v>0.5380703</v>
      </c>
      <c r="F314" t="s">
        <v>41</v>
      </c>
      <c r="G314">
        <v>-158.19499999999999</v>
      </c>
      <c r="H314">
        <v>0.67552570000000001</v>
      </c>
      <c r="I314">
        <v>360.02390000000003</v>
      </c>
      <c r="J314">
        <v>-422.08569999999997</v>
      </c>
      <c r="K314">
        <v>1.0604690000000001</v>
      </c>
      <c r="L314">
        <v>367.45609999999999</v>
      </c>
      <c r="M314">
        <v>0.99978940000000005</v>
      </c>
      <c r="N314">
        <v>-1.4886659999999999E-2</v>
      </c>
      <c r="O314">
        <v>1.4124970000000001E-2</v>
      </c>
      <c r="P314">
        <v>0.98265029999999998</v>
      </c>
      <c r="Q314">
        <v>0.16857549999999999</v>
      </c>
      <c r="R314">
        <v>7.7334319999999998E-2</v>
      </c>
      <c r="S314">
        <v>3.060638</v>
      </c>
      <c r="T314">
        <v>-4.4587849999999998E-3</v>
      </c>
      <c r="U314">
        <v>-8.6059570000000002E-2</v>
      </c>
      <c r="V314">
        <v>-6.3403710000000002E-2</v>
      </c>
      <c r="W314">
        <v>0.18321419999999999</v>
      </c>
      <c r="X314">
        <v>0.98102630000000002</v>
      </c>
      <c r="Y314">
        <v>4.2223450000000003E-2</v>
      </c>
      <c r="Z314">
        <v>-1.5544849999999999E-4</v>
      </c>
      <c r="AA314">
        <v>0.9991082</v>
      </c>
      <c r="AB314">
        <v>29</v>
      </c>
      <c r="AC314">
        <v>263.89069999999998</v>
      </c>
      <c r="AD314">
        <v>-0.38494329999999999</v>
      </c>
      <c r="AE314">
        <v>-7.4321999999999599</v>
      </c>
      <c r="AF314">
        <v>11.1592960219352</v>
      </c>
      <c r="AG314">
        <v>-0.38494329999999999</v>
      </c>
      <c r="AH314">
        <v>263.75881576523898</v>
      </c>
      <c r="AI314">
        <v>90.083545632917904</v>
      </c>
      <c r="AJ314">
        <v>87.577334168368594</v>
      </c>
      <c r="AK314">
        <v>263.99505859566898</v>
      </c>
      <c r="AL314">
        <v>79.442966256273294</v>
      </c>
      <c r="AM314">
        <v>93.697882071127793</v>
      </c>
      <c r="AN314">
        <v>1.00000003740754</v>
      </c>
    </row>
    <row r="315" spans="1:40" x14ac:dyDescent="0.25">
      <c r="A315" t="str">
        <f>"20190304155319750"</f>
        <v>20190304155319750</v>
      </c>
      <c r="B315" t="str">
        <f>"1551685999745803"</f>
        <v>1551685999745803</v>
      </c>
      <c r="C315" t="s">
        <v>40</v>
      </c>
      <c r="D315">
        <v>4.5315839999999996</v>
      </c>
      <c r="E315">
        <v>0.53791009999999995</v>
      </c>
      <c r="F315" t="s">
        <v>41</v>
      </c>
      <c r="G315">
        <v>-158.19499999999999</v>
      </c>
      <c r="H315">
        <v>0.5793161</v>
      </c>
      <c r="I315">
        <v>360.25150000000002</v>
      </c>
      <c r="J315">
        <v>-421.80860000000001</v>
      </c>
      <c r="K315">
        <v>1.060468</v>
      </c>
      <c r="L315">
        <v>367.4599</v>
      </c>
      <c r="M315">
        <v>0.99978999999999996</v>
      </c>
      <c r="N315">
        <v>-1.494552E-2</v>
      </c>
      <c r="O315">
        <v>1.402422E-2</v>
      </c>
      <c r="P315">
        <v>0.98264859999999998</v>
      </c>
      <c r="Q315">
        <v>0.16851640000000001</v>
      </c>
      <c r="R315">
        <v>7.7486100000000002E-2</v>
      </c>
      <c r="S315">
        <v>3.0605159999999998</v>
      </c>
      <c r="T315">
        <v>-5.5792330000000003E-3</v>
      </c>
      <c r="U315">
        <v>-8.3557129999999993E-2</v>
      </c>
      <c r="V315">
        <v>-6.3653509999999996E-2</v>
      </c>
      <c r="W315">
        <v>0.18321319999999999</v>
      </c>
      <c r="X315">
        <v>0.9810103</v>
      </c>
      <c r="Y315">
        <v>4.130752E-2</v>
      </c>
      <c r="Z315">
        <v>-1.6239569999999999E-4</v>
      </c>
      <c r="AA315">
        <v>0.99914650000000005</v>
      </c>
      <c r="AB315">
        <v>29</v>
      </c>
      <c r="AC315">
        <v>263.61360000000002</v>
      </c>
      <c r="AD315">
        <v>-0.48115190000000002</v>
      </c>
      <c r="AE315">
        <v>-7.2083999999999797</v>
      </c>
      <c r="AF315">
        <v>10.905042550754899</v>
      </c>
      <c r="AG315">
        <v>-0.48115190000000002</v>
      </c>
      <c r="AH315">
        <v>263.48568873943799</v>
      </c>
      <c r="AI315">
        <v>90.104538360206803</v>
      </c>
      <c r="AJ315">
        <v>87.630017295023507</v>
      </c>
      <c r="AK315">
        <v>263.71169794053702</v>
      </c>
      <c r="AL315">
        <v>79.4430244311704</v>
      </c>
      <c r="AM315">
        <v>93.712470823944201</v>
      </c>
      <c r="AN315">
        <v>1.00000002734782</v>
      </c>
    </row>
    <row r="316" spans="1:40" x14ac:dyDescent="0.25">
      <c r="A316" t="str">
        <f>"20190304155319773"</f>
        <v>20190304155319773</v>
      </c>
      <c r="B316" t="str">
        <f>"1551685999766299"</f>
        <v>1551685999766299</v>
      </c>
      <c r="C316" t="s">
        <v>40</v>
      </c>
      <c r="D316">
        <v>4.6651150000000001</v>
      </c>
      <c r="E316">
        <v>0.53769639999999996</v>
      </c>
      <c r="F316" t="s">
        <v>41</v>
      </c>
      <c r="G316">
        <v>-158.19499999999999</v>
      </c>
      <c r="H316">
        <v>0.69592759999999998</v>
      </c>
      <c r="I316">
        <v>360.4092</v>
      </c>
      <c r="J316">
        <v>-421.5052</v>
      </c>
      <c r="K316">
        <v>1.06047</v>
      </c>
      <c r="L316">
        <v>367.46409999999997</v>
      </c>
      <c r="M316">
        <v>0.99979079999999998</v>
      </c>
      <c r="N316">
        <v>-1.500101E-2</v>
      </c>
      <c r="O316">
        <v>1.3912590000000001E-2</v>
      </c>
      <c r="P316">
        <v>0.98264949999999995</v>
      </c>
      <c r="Q316">
        <v>0.16830209999999901</v>
      </c>
      <c r="R316">
        <v>7.7938399999999894E-2</v>
      </c>
      <c r="S316">
        <v>3.0601500000000001</v>
      </c>
      <c r="T316">
        <v>-4.2307380000000004E-3</v>
      </c>
      <c r="U316">
        <v>-8.184814E-2</v>
      </c>
      <c r="V316">
        <v>-6.4213969999999995E-2</v>
      </c>
      <c r="W316">
        <v>0.1830543</v>
      </c>
      <c r="X316">
        <v>0.98100339999999997</v>
      </c>
      <c r="Y316">
        <v>4.0641730000000001E-2</v>
      </c>
      <c r="Z316">
        <v>-1.4355379999999999E-4</v>
      </c>
      <c r="AA316">
        <v>0.9991738</v>
      </c>
      <c r="AB316">
        <v>29</v>
      </c>
      <c r="AC316">
        <v>263.31020000000001</v>
      </c>
      <c r="AD316">
        <v>-0.36454239999999999</v>
      </c>
      <c r="AE316">
        <v>-7.0548999999999698</v>
      </c>
      <c r="AF316">
        <v>10.717935186593699</v>
      </c>
      <c r="AG316">
        <v>-0.36454239999999999</v>
      </c>
      <c r="AH316">
        <v>263.18604279449698</v>
      </c>
      <c r="AI316">
        <v>90.079295350792805</v>
      </c>
      <c r="AJ316">
        <v>87.667986849950097</v>
      </c>
      <c r="AK316">
        <v>263.40444215626297</v>
      </c>
      <c r="AL316">
        <v>79.452284960470394</v>
      </c>
      <c r="AM316">
        <v>93.745092241736103</v>
      </c>
      <c r="AN316">
        <v>0.99999999075160495</v>
      </c>
    </row>
    <row r="317" spans="1:40" x14ac:dyDescent="0.25">
      <c r="A317" t="str">
        <f>"20190304155319796"</f>
        <v>20190304155319796</v>
      </c>
      <c r="B317" t="str">
        <f>"1551685999785821"</f>
        <v>1551685999785821</v>
      </c>
      <c r="C317" t="s">
        <v>40</v>
      </c>
      <c r="D317">
        <v>4.5414719999999997</v>
      </c>
      <c r="E317">
        <v>0.53743739999999995</v>
      </c>
      <c r="F317" t="s">
        <v>41</v>
      </c>
      <c r="G317">
        <v>-158.19499999999999</v>
      </c>
      <c r="H317">
        <v>0.78246740000000004</v>
      </c>
      <c r="I317">
        <v>360.69639999999998</v>
      </c>
      <c r="J317">
        <v>-421.2081</v>
      </c>
      <c r="K317">
        <v>1.06047</v>
      </c>
      <c r="L317">
        <v>367.46800000000002</v>
      </c>
      <c r="M317">
        <v>0.9997916</v>
      </c>
      <c r="N317">
        <v>-1.504729E-2</v>
      </c>
      <c r="O317">
        <v>1.380289E-2</v>
      </c>
      <c r="P317">
        <v>0.98261160000000003</v>
      </c>
      <c r="Q317">
        <v>0.1683654</v>
      </c>
      <c r="R317">
        <v>7.8281100000000006E-2</v>
      </c>
      <c r="S317">
        <v>3.0597840000000001</v>
      </c>
      <c r="T317">
        <v>-3.2294989999999998E-3</v>
      </c>
      <c r="U317">
        <v>-7.86438E-2</v>
      </c>
      <c r="V317">
        <v>-6.4664509999999994E-2</v>
      </c>
      <c r="W317">
        <v>0.18316260000000001</v>
      </c>
      <c r="X317">
        <v>0.98095359999999998</v>
      </c>
      <c r="Y317">
        <v>3.9489690000000001E-2</v>
      </c>
      <c r="Z317">
        <v>-1.24906299999999E-4</v>
      </c>
      <c r="AA317">
        <v>0.99922</v>
      </c>
      <c r="AB317">
        <v>29</v>
      </c>
      <c r="AC317">
        <v>263.01310000000001</v>
      </c>
      <c r="AD317">
        <v>-0.27800259999999999</v>
      </c>
      <c r="AE317">
        <v>-6.7716000000000296</v>
      </c>
      <c r="AF317">
        <v>10.401694763945899</v>
      </c>
      <c r="AG317">
        <v>-0.27800259999999999</v>
      </c>
      <c r="AH317">
        <v>262.89426679479902</v>
      </c>
      <c r="AI317">
        <v>90.060541132491295</v>
      </c>
      <c r="AJ317">
        <v>87.734212635381496</v>
      </c>
      <c r="AK317">
        <v>263.10011032491599</v>
      </c>
      <c r="AL317">
        <v>79.445973221993995</v>
      </c>
      <c r="AM317">
        <v>93.771484009864494</v>
      </c>
      <c r="AN317">
        <v>1.00000000112263</v>
      </c>
    </row>
    <row r="318" spans="1:40" x14ac:dyDescent="0.25">
      <c r="A318" t="str">
        <f>"20190304155319820"</f>
        <v>20190304155319820</v>
      </c>
      <c r="B318" t="str">
        <f>"1551685999816074"</f>
        <v>1551685999816074</v>
      </c>
      <c r="C318" t="s">
        <v>40</v>
      </c>
      <c r="D318">
        <v>4.5436690000000004</v>
      </c>
      <c r="E318">
        <v>0.53747219999999996</v>
      </c>
      <c r="F318" t="s">
        <v>41</v>
      </c>
      <c r="G318">
        <v>-158.19499999999999</v>
      </c>
      <c r="H318">
        <v>0.72921939999999996</v>
      </c>
      <c r="I318">
        <v>360.99639999999999</v>
      </c>
      <c r="J318">
        <v>-420.8895</v>
      </c>
      <c r="K318">
        <v>1.0604769999999999</v>
      </c>
      <c r="L318">
        <v>367.47230000000002</v>
      </c>
      <c r="M318">
        <v>0.99979260000000003</v>
      </c>
      <c r="N318">
        <v>-1.508931E-2</v>
      </c>
      <c r="O318">
        <v>1.3685009999999999E-2</v>
      </c>
      <c r="P318">
        <v>0.982599</v>
      </c>
      <c r="Q318">
        <v>0.16840339999999901</v>
      </c>
      <c r="R318">
        <v>7.8356910000000002E-2</v>
      </c>
      <c r="S318">
        <v>3.0596920000000001</v>
      </c>
      <c r="T318">
        <v>-3.8524869999999999E-3</v>
      </c>
      <c r="U318">
        <v>-7.5286870000000006E-2</v>
      </c>
      <c r="V318">
        <v>-6.4855780000000002E-2</v>
      </c>
      <c r="W318">
        <v>0.1832423</v>
      </c>
      <c r="X318">
        <v>0.98092610000000002</v>
      </c>
      <c r="Y318">
        <v>3.8276999999999999E-2</v>
      </c>
      <c r="Z318">
        <v>-1.2369590000000001E-4</v>
      </c>
      <c r="AA318">
        <v>0.99926720000000002</v>
      </c>
      <c r="AB318">
        <v>29</v>
      </c>
      <c r="AC318">
        <v>262.69450000000001</v>
      </c>
      <c r="AD318">
        <v>-0.33125759999999999</v>
      </c>
      <c r="AE318">
        <v>-6.4759000000000198</v>
      </c>
      <c r="AF318">
        <v>10.070663245502301</v>
      </c>
      <c r="AG318">
        <v>-0.33125759999999999</v>
      </c>
      <c r="AH318">
        <v>262.58084448448102</v>
      </c>
      <c r="AI318">
        <v>90.072228075005597</v>
      </c>
      <c r="AJ318">
        <v>87.803633236746094</v>
      </c>
      <c r="AK318">
        <v>262.774100474124</v>
      </c>
      <c r="AL318">
        <v>79.441328259993099</v>
      </c>
      <c r="AM318">
        <v>93.782713012904296</v>
      </c>
      <c r="AN318">
        <v>1.00000001318495</v>
      </c>
    </row>
    <row r="319" spans="1:40" x14ac:dyDescent="0.25">
      <c r="A319" t="str">
        <f>"20190304155319844"</f>
        <v>20190304155319844</v>
      </c>
      <c r="B319" t="str">
        <f>"1551685999835595"</f>
        <v>1551685999835595</v>
      </c>
      <c r="C319" t="s">
        <v>40</v>
      </c>
      <c r="D319">
        <v>4.4960659999999999</v>
      </c>
      <c r="E319">
        <v>0.53730549999999999</v>
      </c>
      <c r="F319" t="s">
        <v>41</v>
      </c>
      <c r="G319">
        <v>-158.19499999999999</v>
      </c>
      <c r="H319">
        <v>0.81906509999999999</v>
      </c>
      <c r="I319">
        <v>360.97949999999997</v>
      </c>
      <c r="J319">
        <v>-420.59899999999999</v>
      </c>
      <c r="K319">
        <v>1.0604849999999999</v>
      </c>
      <c r="L319">
        <v>367.47620000000001</v>
      </c>
      <c r="M319">
        <v>0.99979359999999995</v>
      </c>
      <c r="N319">
        <v>-1.5120990000000001E-2</v>
      </c>
      <c r="O319">
        <v>1.3576919999999999E-2</v>
      </c>
      <c r="P319">
        <v>0.9826047</v>
      </c>
      <c r="Q319">
        <v>0.16853370000000001</v>
      </c>
      <c r="R319">
        <v>7.8003240000000001E-2</v>
      </c>
      <c r="S319">
        <v>3.059631</v>
      </c>
      <c r="T319">
        <v>-2.8107169999999999E-3</v>
      </c>
      <c r="U319">
        <v>-7.5622560000000005E-2</v>
      </c>
      <c r="V319">
        <v>-6.4607780000000004E-2</v>
      </c>
      <c r="W319">
        <v>0.1834035</v>
      </c>
      <c r="X319">
        <v>0.98091229999999996</v>
      </c>
      <c r="Y319">
        <v>3.827908E-2</v>
      </c>
      <c r="Z319">
        <v>-1.142475E-4</v>
      </c>
      <c r="AA319">
        <v>0.99926709999999996</v>
      </c>
      <c r="AB319">
        <v>29</v>
      </c>
      <c r="AC319">
        <v>262.404</v>
      </c>
      <c r="AD319">
        <v>-0.24141989999999999</v>
      </c>
      <c r="AE319">
        <v>-6.4967000000000299</v>
      </c>
      <c r="AF319">
        <v>10.0591376314275</v>
      </c>
      <c r="AG319">
        <v>-0.24141989999999999</v>
      </c>
      <c r="AH319">
        <v>262.29137139832397</v>
      </c>
      <c r="AI319">
        <v>90.052697792899906</v>
      </c>
      <c r="AJ319">
        <v>87.803725625314598</v>
      </c>
      <c r="AK319">
        <v>262.48430056570902</v>
      </c>
      <c r="AL319">
        <v>79.431932544199299</v>
      </c>
      <c r="AM319">
        <v>93.768343031149598</v>
      </c>
      <c r="AN319">
        <v>0.99999997467003299</v>
      </c>
    </row>
    <row r="320" spans="1:40" x14ac:dyDescent="0.25">
      <c r="A320" t="str">
        <f>"20190304155319864"</f>
        <v>20190304155319864</v>
      </c>
      <c r="B320" t="str">
        <f>"1551685999856091"</f>
        <v>1551685999856091</v>
      </c>
      <c r="C320" t="s">
        <v>40</v>
      </c>
      <c r="D320">
        <v>4.584689</v>
      </c>
      <c r="E320">
        <v>0.53724879999999997</v>
      </c>
      <c r="F320" t="s">
        <v>41</v>
      </c>
      <c r="G320">
        <v>-158.19499999999999</v>
      </c>
      <c r="H320">
        <v>0.49384689999999998</v>
      </c>
      <c r="I320">
        <v>360.99970000000002</v>
      </c>
      <c r="J320">
        <v>-420.32069999999999</v>
      </c>
      <c r="K320">
        <v>1.060487</v>
      </c>
      <c r="L320">
        <v>367.47980000000001</v>
      </c>
      <c r="M320">
        <v>0.99979470000000004</v>
      </c>
      <c r="N320">
        <v>-1.514632E-2</v>
      </c>
      <c r="O320">
        <v>1.347044E-2</v>
      </c>
      <c r="P320">
        <v>0.98250550000000003</v>
      </c>
      <c r="Q320">
        <v>0.1691484</v>
      </c>
      <c r="R320">
        <v>7.792164E-2</v>
      </c>
      <c r="S320">
        <v>3.0602420000000001</v>
      </c>
      <c r="T320">
        <v>-6.6072939999999997E-3</v>
      </c>
      <c r="U320">
        <v>-7.5531009999999996E-2</v>
      </c>
      <c r="V320">
        <v>-6.4631729999999998E-2</v>
      </c>
      <c r="W320">
        <v>0.18404100000000001</v>
      </c>
      <c r="X320">
        <v>0.98079130000000003</v>
      </c>
      <c r="Y320">
        <v>3.8137659999999997E-2</v>
      </c>
      <c r="Z320">
        <v>-1.551247E-4</v>
      </c>
      <c r="AA320">
        <v>0.99927250000000001</v>
      </c>
      <c r="AB320">
        <v>29</v>
      </c>
      <c r="AC320">
        <v>262.12569999999999</v>
      </c>
      <c r="AD320">
        <v>-0.56664009999999998</v>
      </c>
      <c r="AE320">
        <v>-6.4800999999999904</v>
      </c>
      <c r="AF320">
        <v>10.010818233629699</v>
      </c>
      <c r="AG320">
        <v>-0.56664009999999998</v>
      </c>
      <c r="AH320">
        <v>262.01338831686701</v>
      </c>
      <c r="AI320">
        <v>90.123819492271394</v>
      </c>
      <c r="AJ320">
        <v>87.811948541924394</v>
      </c>
      <c r="AK320">
        <v>262.205173900126</v>
      </c>
      <c r="AL320">
        <v>79.394773843275402</v>
      </c>
      <c r="AM320">
        <v>93.770199652885907</v>
      </c>
      <c r="AN320">
        <v>0.99999996217973997</v>
      </c>
    </row>
    <row r="321" spans="1:40" x14ac:dyDescent="0.25">
      <c r="A321" t="str">
        <f>"20190304155319885"</f>
        <v>20190304155319885</v>
      </c>
      <c r="B321" t="str">
        <f>"1551685999875614"</f>
        <v>1551685999875614</v>
      </c>
      <c r="C321" t="s">
        <v>40</v>
      </c>
      <c r="D321">
        <v>4.5784820000000002</v>
      </c>
      <c r="E321">
        <v>0.53717250000000005</v>
      </c>
      <c r="F321" t="s">
        <v>41</v>
      </c>
      <c r="G321">
        <v>-158.19499999999999</v>
      </c>
      <c r="H321">
        <v>0.68162780000000001</v>
      </c>
      <c r="I321">
        <v>361.05959999999999</v>
      </c>
      <c r="J321">
        <v>-420.048</v>
      </c>
      <c r="K321">
        <v>1.0604789999999999</v>
      </c>
      <c r="L321">
        <v>367.48340000000002</v>
      </c>
      <c r="M321">
        <v>0.99979569999999995</v>
      </c>
      <c r="N321">
        <v>-1.51672E-2</v>
      </c>
      <c r="O321">
        <v>1.336356E-2</v>
      </c>
      <c r="P321">
        <v>0.98238769999999997</v>
      </c>
      <c r="Q321">
        <v>0.16989199999999999</v>
      </c>
      <c r="R321">
        <v>7.7789430000000007E-2</v>
      </c>
      <c r="S321">
        <v>3.0600890000000001</v>
      </c>
      <c r="T321">
        <v>-4.4218299999999999E-3</v>
      </c>
      <c r="U321">
        <v>-7.4951169999999998E-2</v>
      </c>
      <c r="V321">
        <v>-6.4605480000000007E-2</v>
      </c>
      <c r="W321">
        <v>0.184804</v>
      </c>
      <c r="X321">
        <v>0.98064960000000001</v>
      </c>
      <c r="Y321">
        <v>3.784299E-2</v>
      </c>
      <c r="Z321">
        <v>-1.3102629999999901E-4</v>
      </c>
      <c r="AA321">
        <v>0.9992837</v>
      </c>
      <c r="AB321">
        <v>29</v>
      </c>
      <c r="AC321">
        <v>261.85300000000001</v>
      </c>
      <c r="AD321">
        <v>-0.3788512</v>
      </c>
      <c r="AE321">
        <v>-6.4238000000000204</v>
      </c>
      <c r="AF321">
        <v>9.9228962053838394</v>
      </c>
      <c r="AG321">
        <v>-0.3788512</v>
      </c>
      <c r="AH321">
        <v>261.74320982744598</v>
      </c>
      <c r="AI321">
        <v>90.082871215049707</v>
      </c>
      <c r="AJ321">
        <v>87.828910503600497</v>
      </c>
      <c r="AK321">
        <v>261.93150877301599</v>
      </c>
      <c r="AL321">
        <v>79.350294743104101</v>
      </c>
      <c r="AM321">
        <v>93.769215799013395</v>
      </c>
      <c r="AN321">
        <v>1.0000000122210899</v>
      </c>
    </row>
    <row r="322" spans="1:40" x14ac:dyDescent="0.25">
      <c r="A322" t="str">
        <f>"20190304155319906"</f>
        <v>20190304155319906</v>
      </c>
      <c r="B322" t="str">
        <f>"1551685999896106"</f>
        <v>1551685999896106</v>
      </c>
      <c r="C322" t="s">
        <v>40</v>
      </c>
      <c r="D322">
        <v>4.38028</v>
      </c>
      <c r="E322">
        <v>0.53673709999999997</v>
      </c>
      <c r="F322" t="s">
        <v>41</v>
      </c>
      <c r="G322">
        <v>-158.19499999999999</v>
      </c>
      <c r="H322">
        <v>0.90059279999999997</v>
      </c>
      <c r="I322">
        <v>361.03840000000002</v>
      </c>
      <c r="J322">
        <v>-419.76549999999997</v>
      </c>
      <c r="K322">
        <v>1.0604769999999999</v>
      </c>
      <c r="L322">
        <v>367.48700000000002</v>
      </c>
      <c r="M322">
        <v>0.99979689999999999</v>
      </c>
      <c r="N322">
        <v>-1.5184929999999999E-2</v>
      </c>
      <c r="O322">
        <v>1.3247800000000001E-2</v>
      </c>
      <c r="P322">
        <v>0.9822767</v>
      </c>
      <c r="Q322">
        <v>0.17057259999999999</v>
      </c>
      <c r="R322">
        <v>7.7700340000000007E-2</v>
      </c>
      <c r="S322">
        <v>3.060028</v>
      </c>
      <c r="T322">
        <v>-1.867414E-3</v>
      </c>
      <c r="U322">
        <v>-7.5317380000000003E-2</v>
      </c>
      <c r="V322">
        <v>-6.4630530000000005E-2</v>
      </c>
      <c r="W322">
        <v>0.18549979999999999</v>
      </c>
      <c r="X322">
        <v>0.98051659999999996</v>
      </c>
      <c r="Y322">
        <v>3.784742E-2</v>
      </c>
      <c r="Z322">
        <v>-1.059014E-4</v>
      </c>
      <c r="AA322">
        <v>0.99928360000000005</v>
      </c>
      <c r="AB322">
        <v>29</v>
      </c>
      <c r="AC322">
        <v>261.57049999999998</v>
      </c>
      <c r="AD322">
        <v>-0.1598842</v>
      </c>
      <c r="AE322">
        <v>-6.4485999999999404</v>
      </c>
      <c r="AF322">
        <v>9.9136636396703892</v>
      </c>
      <c r="AG322">
        <v>-0.1598842</v>
      </c>
      <c r="AH322">
        <v>261.46200308947999</v>
      </c>
      <c r="AI322">
        <v>90.035011247569102</v>
      </c>
      <c r="AJ322">
        <v>87.828597980695605</v>
      </c>
      <c r="AK322">
        <v>261.64992900683302</v>
      </c>
      <c r="AL322">
        <v>79.309727240638495</v>
      </c>
      <c r="AM322">
        <v>93.771183040692307</v>
      </c>
      <c r="AN322">
        <v>1.00000004204183</v>
      </c>
    </row>
    <row r="323" spans="1:40" x14ac:dyDescent="0.25">
      <c r="A323" t="str">
        <f>"20190304155319930"</f>
        <v>20190304155319930</v>
      </c>
      <c r="B323" t="str">
        <f>"1551685999926363"</f>
        <v>1551685999926363</v>
      </c>
      <c r="C323" t="s">
        <v>40</v>
      </c>
      <c r="D323">
        <v>4.4884219999999999</v>
      </c>
      <c r="E323">
        <v>0.53646839999999996</v>
      </c>
      <c r="F323" t="s">
        <v>41</v>
      </c>
      <c r="G323">
        <v>-158.19499999999999</v>
      </c>
      <c r="H323">
        <v>1.008683</v>
      </c>
      <c r="I323">
        <v>361.3929</v>
      </c>
      <c r="J323">
        <v>-419.47329999999999</v>
      </c>
      <c r="K323">
        <v>1.060476</v>
      </c>
      <c r="L323">
        <v>367.49079999999998</v>
      </c>
      <c r="M323">
        <v>0.99979839999999998</v>
      </c>
      <c r="N323">
        <v>-1.5199839999999999E-2</v>
      </c>
      <c r="O323">
        <v>1.3120339999999999E-2</v>
      </c>
      <c r="P323">
        <v>0.98231080000000004</v>
      </c>
      <c r="Q323">
        <v>0.17057809999999901</v>
      </c>
      <c r="R323">
        <v>7.7256229999999995E-2</v>
      </c>
      <c r="S323">
        <v>3.0598749999999999</v>
      </c>
      <c r="T323">
        <v>-6.0486790000000002E-4</v>
      </c>
      <c r="U323">
        <v>-7.1289060000000001E-2</v>
      </c>
      <c r="V323">
        <v>-6.4309060000000001E-2</v>
      </c>
      <c r="W323">
        <v>0.1855214</v>
      </c>
      <c r="X323">
        <v>0.98053360000000001</v>
      </c>
      <c r="Y323">
        <v>3.6406460000000002E-2</v>
      </c>
      <c r="Z323" s="1">
        <v>-8.3522809999999993E-5</v>
      </c>
      <c r="AA323">
        <v>0.99933709999999998</v>
      </c>
      <c r="AB323">
        <v>29</v>
      </c>
      <c r="AC323">
        <v>261.2783</v>
      </c>
      <c r="AD323">
        <v>-5.1792999999999902E-2</v>
      </c>
      <c r="AE323">
        <v>-6.0978999999999797</v>
      </c>
      <c r="AF323">
        <v>9.5258307933011093</v>
      </c>
      <c r="AG323">
        <v>-5.1792999999999902E-2</v>
      </c>
      <c r="AH323">
        <v>261.17577915642897</v>
      </c>
      <c r="AI323">
        <v>90.011354607398701</v>
      </c>
      <c r="AJ323">
        <v>87.911184262534903</v>
      </c>
      <c r="AK323">
        <v>261.34944375832401</v>
      </c>
      <c r="AL323">
        <v>79.308467258986298</v>
      </c>
      <c r="AM323">
        <v>93.752414161475002</v>
      </c>
      <c r="AN323">
        <v>0.99999999289250097</v>
      </c>
    </row>
    <row r="324" spans="1:40" x14ac:dyDescent="0.25">
      <c r="A324" t="str">
        <f>"20190304155319951"</f>
        <v>20190304155319951</v>
      </c>
      <c r="B324" t="str">
        <f>"1551685999945883"</f>
        <v>1551685999945883</v>
      </c>
      <c r="C324" t="s">
        <v>40</v>
      </c>
      <c r="D324">
        <v>4.6120089999999996</v>
      </c>
      <c r="E324">
        <v>0.53645559999999903</v>
      </c>
      <c r="F324" t="s">
        <v>41</v>
      </c>
      <c r="G324">
        <v>-158.19499999999999</v>
      </c>
      <c r="H324">
        <v>0.95691349999999997</v>
      </c>
      <c r="I324">
        <v>361.46589999999998</v>
      </c>
      <c r="J324">
        <v>-419.19499999999999</v>
      </c>
      <c r="K324">
        <v>1.060476</v>
      </c>
      <c r="L324">
        <v>367.49430000000001</v>
      </c>
      <c r="M324">
        <v>0.99980000000000002</v>
      </c>
      <c r="N324">
        <v>-1.5211239999999999E-2</v>
      </c>
      <c r="O324">
        <v>1.298881E-2</v>
      </c>
      <c r="P324">
        <v>0.98233380000000003</v>
      </c>
      <c r="Q324">
        <v>0.1703971</v>
      </c>
      <c r="R324">
        <v>7.7363979999999999E-2</v>
      </c>
      <c r="S324">
        <v>3.0597530000000002</v>
      </c>
      <c r="T324">
        <v>-1.2117619999999999E-3</v>
      </c>
      <c r="U324">
        <v>-7.0556640000000004E-2</v>
      </c>
      <c r="V324">
        <v>-6.4542589999999997E-2</v>
      </c>
      <c r="W324">
        <v>0.18535270000000001</v>
      </c>
      <c r="X324">
        <v>0.98055020000000004</v>
      </c>
      <c r="Y324">
        <v>3.6036840000000001E-2</v>
      </c>
      <c r="Z324" s="1">
        <v>-8.8855390000000002E-5</v>
      </c>
      <c r="AA324">
        <v>0.99935039999999997</v>
      </c>
      <c r="AB324">
        <v>29</v>
      </c>
      <c r="AC324">
        <v>261</v>
      </c>
      <c r="AD324">
        <v>-0.1035625</v>
      </c>
      <c r="AE324">
        <v>-6.0284000000000297</v>
      </c>
      <c r="AF324">
        <v>9.4183613129338806</v>
      </c>
      <c r="AG324">
        <v>-0.1035625</v>
      </c>
      <c r="AH324">
        <v>260.89962557727301</v>
      </c>
      <c r="AI324">
        <v>90.022728400955799</v>
      </c>
      <c r="AJ324">
        <v>87.932545427288005</v>
      </c>
      <c r="AK324">
        <v>261.06959011224097</v>
      </c>
      <c r="AL324">
        <v>79.318304081014503</v>
      </c>
      <c r="AM324">
        <v>93.765937851590394</v>
      </c>
      <c r="AN324">
        <v>1.0000000320206099</v>
      </c>
    </row>
    <row r="325" spans="1:40" x14ac:dyDescent="0.25">
      <c r="A325" t="str">
        <f>"20190304155319975"</f>
        <v>20190304155319975</v>
      </c>
      <c r="B325" t="str">
        <f>"1551685999966379"</f>
        <v>1551685999966379</v>
      </c>
      <c r="C325" t="s">
        <v>40</v>
      </c>
      <c r="D325">
        <v>4.6091340000000001</v>
      </c>
      <c r="E325">
        <v>0.53640840000000001</v>
      </c>
      <c r="F325" t="s">
        <v>41</v>
      </c>
      <c r="G325">
        <v>-158.19499999999999</v>
      </c>
      <c r="H325">
        <v>0.93963719999999995</v>
      </c>
      <c r="I325">
        <v>361.44200000000001</v>
      </c>
      <c r="J325">
        <v>-418.8931</v>
      </c>
      <c r="K325">
        <v>1.06047</v>
      </c>
      <c r="L325">
        <v>367.49799999999999</v>
      </c>
      <c r="M325">
        <v>0.99980190000000002</v>
      </c>
      <c r="N325">
        <v>-1.522096E-2</v>
      </c>
      <c r="O325">
        <v>1.2832629999999999E-2</v>
      </c>
      <c r="P325">
        <v>0.98235380000000005</v>
      </c>
      <c r="Q325">
        <v>0.1702342</v>
      </c>
      <c r="R325">
        <v>7.7469799999999894E-2</v>
      </c>
      <c r="S325">
        <v>3.0597840000000001</v>
      </c>
      <c r="T325">
        <v>-1.4156100000000001E-3</v>
      </c>
      <c r="U325">
        <v>-7.0953370000000002E-2</v>
      </c>
      <c r="V325">
        <v>-6.4796950000000006E-2</v>
      </c>
      <c r="W325">
        <v>0.1852018</v>
      </c>
      <c r="X325">
        <v>0.98056189999999999</v>
      </c>
      <c r="Y325">
        <v>3.6010010000000002E-2</v>
      </c>
      <c r="Z325" s="1">
        <v>-9.3064790000000003E-5</v>
      </c>
      <c r="AA325">
        <v>0.9993514</v>
      </c>
      <c r="AB325">
        <v>29</v>
      </c>
      <c r="AC325">
        <v>260.69810000000001</v>
      </c>
      <c r="AD325">
        <v>-0.1208328</v>
      </c>
      <c r="AE325">
        <v>-6.0560000000000898</v>
      </c>
      <c r="AF325">
        <v>9.40132874032229</v>
      </c>
      <c r="AG325">
        <v>-0.1208328</v>
      </c>
      <c r="AH325">
        <v>260.59884937659399</v>
      </c>
      <c r="AI325">
        <v>90.026549266096495</v>
      </c>
      <c r="AJ325">
        <v>87.933901239962907</v>
      </c>
      <c r="AK325">
        <v>260.76840276201699</v>
      </c>
      <c r="AL325">
        <v>79.327101951106798</v>
      </c>
      <c r="AM325">
        <v>93.780691335041197</v>
      </c>
      <c r="AN325">
        <v>0.99999999559207597</v>
      </c>
    </row>
    <row r="326" spans="1:40" x14ac:dyDescent="0.25">
      <c r="A326" t="str">
        <f>"20190304155319996"</f>
        <v>20190304155319996</v>
      </c>
      <c r="B326" t="str">
        <f>"1551685999985902"</f>
        <v>1551685999985902</v>
      </c>
      <c r="C326" t="s">
        <v>40</v>
      </c>
      <c r="D326">
        <v>4.5684329999999997</v>
      </c>
      <c r="E326">
        <v>0.5363253</v>
      </c>
      <c r="F326" t="s">
        <v>41</v>
      </c>
      <c r="G326">
        <v>-158.19499999999999</v>
      </c>
      <c r="H326">
        <v>0.88205859999999903</v>
      </c>
      <c r="I326">
        <v>361.52809999999999</v>
      </c>
      <c r="J326">
        <v>-418.60980000000001</v>
      </c>
      <c r="K326">
        <v>1.060459</v>
      </c>
      <c r="L326">
        <v>367.50150000000002</v>
      </c>
      <c r="M326">
        <v>0.99980380000000002</v>
      </c>
      <c r="N326">
        <v>-1.522774E-2</v>
      </c>
      <c r="O326">
        <v>1.2670249999999999E-2</v>
      </c>
      <c r="P326">
        <v>0.98245269999999996</v>
      </c>
      <c r="Q326">
        <v>0.16963249999999999</v>
      </c>
      <c r="R326">
        <v>7.7534439999999996E-2</v>
      </c>
      <c r="S326">
        <v>3.0597840000000001</v>
      </c>
      <c r="T326">
        <v>-2.0929569999999999E-3</v>
      </c>
      <c r="U326">
        <v>-7.0068359999999996E-2</v>
      </c>
      <c r="V326">
        <v>-6.5015180000000006E-2</v>
      </c>
      <c r="W326">
        <v>0.18460950000000001</v>
      </c>
      <c r="X326">
        <v>0.98065910000000001</v>
      </c>
      <c r="Y326">
        <v>3.5558800000000002E-2</v>
      </c>
      <c r="Z326" s="1">
        <v>-9.8695109999999997E-5</v>
      </c>
      <c r="AA326">
        <v>0.99936760000000002</v>
      </c>
      <c r="AB326">
        <v>29</v>
      </c>
      <c r="AC326">
        <v>260.41480000000001</v>
      </c>
      <c r="AD326">
        <v>-0.17840039999999999</v>
      </c>
      <c r="AE326">
        <v>-5.9734000000000202</v>
      </c>
      <c r="AF326">
        <v>9.2728191934274697</v>
      </c>
      <c r="AG326">
        <v>-0.17840039999999999</v>
      </c>
      <c r="AH326">
        <v>260.31807608663098</v>
      </c>
      <c r="AI326">
        <v>90.039240877172304</v>
      </c>
      <c r="AJ326">
        <v>87.959923221898293</v>
      </c>
      <c r="AK326">
        <v>260.48323888484998</v>
      </c>
      <c r="AL326">
        <v>79.361633269287694</v>
      </c>
      <c r="AM326">
        <v>93.793012339962502</v>
      </c>
      <c r="AN326">
        <v>0.99999995576674505</v>
      </c>
    </row>
    <row r="327" spans="1:40" x14ac:dyDescent="0.25">
      <c r="A327" t="str">
        <f>"20190304155320021"</f>
        <v>20190304155320021</v>
      </c>
      <c r="B327" t="str">
        <f>"1551686000016154"</f>
        <v>1551686000016154</v>
      </c>
      <c r="C327" t="s">
        <v>40</v>
      </c>
      <c r="D327">
        <v>4.5655260000000002</v>
      </c>
      <c r="E327">
        <v>0.53623489999999996</v>
      </c>
      <c r="F327" t="s">
        <v>41</v>
      </c>
      <c r="G327">
        <v>-158.19499999999999</v>
      </c>
      <c r="H327">
        <v>0.61099239999999999</v>
      </c>
      <c r="I327">
        <v>361.66820000000001</v>
      </c>
      <c r="J327">
        <v>-418.3116</v>
      </c>
      <c r="K327">
        <v>1.060449</v>
      </c>
      <c r="L327">
        <v>367.505</v>
      </c>
      <c r="M327">
        <v>0.99980599999999997</v>
      </c>
      <c r="N327">
        <v>-1.523301E-2</v>
      </c>
      <c r="O327">
        <v>1.248019E-2</v>
      </c>
      <c r="P327">
        <v>0.98254129999999995</v>
      </c>
      <c r="Q327">
        <v>0.16919589999999901</v>
      </c>
      <c r="R327">
        <v>7.7365459999999997E-2</v>
      </c>
      <c r="S327">
        <v>3.0599059999999998</v>
      </c>
      <c r="T327">
        <v>-5.2802559999999997E-3</v>
      </c>
      <c r="U327">
        <v>-6.8542480000000003E-2</v>
      </c>
      <c r="V327">
        <v>-6.5026589999999995E-2</v>
      </c>
      <c r="W327">
        <v>0.18418119999999999</v>
      </c>
      <c r="X327">
        <v>0.98073889999999997</v>
      </c>
      <c r="Y327">
        <v>3.4869690000000002E-2</v>
      </c>
      <c r="Z327">
        <v>-1.2715560000000001E-4</v>
      </c>
      <c r="AA327">
        <v>0.9993919</v>
      </c>
      <c r="AB327">
        <v>29</v>
      </c>
      <c r="AC327">
        <v>260.11660000000001</v>
      </c>
      <c r="AD327">
        <v>-0.44945659999999998</v>
      </c>
      <c r="AE327">
        <v>-5.8367999999999798</v>
      </c>
      <c r="AF327">
        <v>9.0829997793578396</v>
      </c>
      <c r="AG327">
        <v>-0.44945659999999998</v>
      </c>
      <c r="AH327">
        <v>260.02270847782898</v>
      </c>
      <c r="AI327">
        <v>90.098976907485493</v>
      </c>
      <c r="AJ327">
        <v>87.999382296492399</v>
      </c>
      <c r="AK327">
        <v>260.18169001752</v>
      </c>
      <c r="AL327">
        <v>79.386601469147195</v>
      </c>
      <c r="AM327">
        <v>93.793368280792507</v>
      </c>
      <c r="AN327">
        <v>0.99999998090683795</v>
      </c>
    </row>
    <row r="328" spans="1:40" x14ac:dyDescent="0.25">
      <c r="A328" t="str">
        <f>"20190304155320044"</f>
        <v>20190304155320044</v>
      </c>
      <c r="B328" t="str">
        <f>"1551686000035674"</f>
        <v>1551686000035674</v>
      </c>
      <c r="C328" t="s">
        <v>40</v>
      </c>
      <c r="D328">
        <v>4.5762809999999998</v>
      </c>
      <c r="E328">
        <v>0.53621209999999997</v>
      </c>
      <c r="F328" t="s">
        <v>41</v>
      </c>
      <c r="G328">
        <v>-158.19499999999999</v>
      </c>
      <c r="H328">
        <v>0.36104249999999999</v>
      </c>
      <c r="I328">
        <v>361.70979999999997</v>
      </c>
      <c r="J328">
        <v>-418.01280000000003</v>
      </c>
      <c r="K328">
        <v>1.0604359999999999</v>
      </c>
      <c r="L328">
        <v>367.50850000000003</v>
      </c>
      <c r="M328">
        <v>0.99980880000000005</v>
      </c>
      <c r="N328">
        <v>-1.523647E-2</v>
      </c>
      <c r="O328">
        <v>1.226825E-2</v>
      </c>
      <c r="P328">
        <v>0.9826049</v>
      </c>
      <c r="Q328">
        <v>0.1688607</v>
      </c>
      <c r="R328">
        <v>7.7290429999999993E-2</v>
      </c>
      <c r="S328">
        <v>3.0600890000000001</v>
      </c>
      <c r="T328">
        <v>-8.2269909999999995E-3</v>
      </c>
      <c r="U328">
        <v>-6.8176269999999997E-2</v>
      </c>
      <c r="V328">
        <v>-6.5152719999999997E-2</v>
      </c>
      <c r="W328">
        <v>0.1838526</v>
      </c>
      <c r="X328">
        <v>0.9807922</v>
      </c>
      <c r="Y328">
        <v>3.4536810000000001E-2</v>
      </c>
      <c r="Z328">
        <v>-1.556486E-4</v>
      </c>
      <c r="AA328">
        <v>0.99940340000000005</v>
      </c>
      <c r="AB328">
        <v>29</v>
      </c>
      <c r="AC328">
        <v>259.81779999999998</v>
      </c>
      <c r="AD328">
        <v>-0.6993935</v>
      </c>
      <c r="AE328">
        <v>-5.7987000000000499</v>
      </c>
      <c r="AF328">
        <v>8.9860777263018807</v>
      </c>
      <c r="AG328">
        <v>-0.6993935</v>
      </c>
      <c r="AH328">
        <v>259.72521293420601</v>
      </c>
      <c r="AI328">
        <v>90.154194642414296</v>
      </c>
      <c r="AJ328">
        <v>88.018447919094697</v>
      </c>
      <c r="AK328">
        <v>259.881559518735</v>
      </c>
      <c r="AL328">
        <v>79.405756140511102</v>
      </c>
      <c r="AM328">
        <v>93.800498671761304</v>
      </c>
      <c r="AN328">
        <v>0.99999999751549895</v>
      </c>
    </row>
    <row r="329" spans="1:40" x14ac:dyDescent="0.25">
      <c r="A329" t="str">
        <f>"20190304155320064"</f>
        <v>20190304155320064</v>
      </c>
      <c r="B329" t="str">
        <f>"1551686000056171"</f>
        <v>1551686000056171</v>
      </c>
      <c r="C329" t="s">
        <v>40</v>
      </c>
      <c r="D329">
        <v>4.6751630000000004</v>
      </c>
      <c r="E329">
        <v>0.53616390000000003</v>
      </c>
      <c r="F329" t="s">
        <v>41</v>
      </c>
      <c r="G329">
        <v>-158.19499999999999</v>
      </c>
      <c r="H329">
        <v>0.27310230000000002</v>
      </c>
      <c r="I329">
        <v>361.72250000000003</v>
      </c>
      <c r="J329">
        <v>-417.74450000000002</v>
      </c>
      <c r="K329">
        <v>1.060425</v>
      </c>
      <c r="L329">
        <v>367.51159999999999</v>
      </c>
      <c r="M329">
        <v>0.99981120000000001</v>
      </c>
      <c r="N329">
        <v>-1.523825E-2</v>
      </c>
      <c r="O329">
        <v>1.205992E-2</v>
      </c>
      <c r="P329">
        <v>0.98260800000000004</v>
      </c>
      <c r="Q329">
        <v>0.16905770000000001</v>
      </c>
      <c r="R329">
        <v>7.6820269999999996E-2</v>
      </c>
      <c r="S329">
        <v>3.060028</v>
      </c>
      <c r="T329">
        <v>-9.2718599999999998E-3</v>
      </c>
      <c r="U329">
        <v>-6.8145750000000005E-2</v>
      </c>
      <c r="V329">
        <v>-6.4881800000000003E-2</v>
      </c>
      <c r="W329">
        <v>0.1840532</v>
      </c>
      <c r="X329">
        <v>0.98077259999999999</v>
      </c>
      <c r="Y329">
        <v>3.4319000000000002E-2</v>
      </c>
      <c r="Z329">
        <v>-1.6629700000000001E-4</v>
      </c>
      <c r="AA329">
        <v>0.99941089999999999</v>
      </c>
      <c r="AB329">
        <v>29</v>
      </c>
      <c r="AC329">
        <v>259.54950000000002</v>
      </c>
      <c r="AD329">
        <v>-0.78732269999999904</v>
      </c>
      <c r="AE329">
        <v>-5.7890999999999604</v>
      </c>
      <c r="AF329">
        <v>8.9191064274395195</v>
      </c>
      <c r="AG329">
        <v>-0.78732269999999904</v>
      </c>
      <c r="AH329">
        <v>259.45840983215601</v>
      </c>
      <c r="AI329">
        <v>90.173760025123201</v>
      </c>
      <c r="AJ329">
        <v>88.031183476854807</v>
      </c>
      <c r="AK329">
        <v>259.61285940632598</v>
      </c>
      <c r="AL329">
        <v>79.3940637428759</v>
      </c>
      <c r="AM329">
        <v>93.784816765691502</v>
      </c>
      <c r="AN329">
        <v>1.0000000606561099</v>
      </c>
    </row>
    <row r="330" spans="1:40" x14ac:dyDescent="0.25">
      <c r="A330" t="str">
        <f>"20190304155320087"</f>
        <v>20190304155320087</v>
      </c>
      <c r="B330" t="str">
        <f>"1551686000075694"</f>
        <v>1551686000075694</v>
      </c>
      <c r="C330" t="s">
        <v>40</v>
      </c>
      <c r="D330">
        <v>4.5147130000000004</v>
      </c>
      <c r="E330">
        <v>0.53620330000000005</v>
      </c>
      <c r="F330" t="s">
        <v>41</v>
      </c>
      <c r="G330">
        <v>-158.19499999999999</v>
      </c>
      <c r="H330">
        <v>0.35446640000000001</v>
      </c>
      <c r="I330">
        <v>361.63560000000001</v>
      </c>
      <c r="J330">
        <v>-417.46379999999999</v>
      </c>
      <c r="K330">
        <v>1.060419</v>
      </c>
      <c r="L330">
        <v>367.5147</v>
      </c>
      <c r="M330">
        <v>0.99981410000000004</v>
      </c>
      <c r="N330">
        <v>-1.5238929999999999E-2</v>
      </c>
      <c r="O330">
        <v>1.182563E-2</v>
      </c>
      <c r="P330">
        <v>0.98264149999999995</v>
      </c>
      <c r="Q330">
        <v>0.16892560000000001</v>
      </c>
      <c r="R330">
        <v>7.668237E-2</v>
      </c>
      <c r="S330">
        <v>3.0599669999999999</v>
      </c>
      <c r="T330">
        <v>-8.3218809999999997E-3</v>
      </c>
      <c r="U330">
        <v>-6.9274899999999903E-2</v>
      </c>
      <c r="V330">
        <v>-6.4968499999999998E-2</v>
      </c>
      <c r="W330">
        <v>0.1839238</v>
      </c>
      <c r="X330">
        <v>0.98079110000000003</v>
      </c>
      <c r="Y330">
        <v>3.4453919999999999E-2</v>
      </c>
      <c r="Z330">
        <v>-1.6137829999999999E-4</v>
      </c>
      <c r="AA330">
        <v>0.99940629999999997</v>
      </c>
      <c r="AB330">
        <v>29</v>
      </c>
      <c r="AC330">
        <v>259.2688</v>
      </c>
      <c r="AD330">
        <v>-0.70595259999999904</v>
      </c>
      <c r="AE330">
        <v>-5.8790999999999896</v>
      </c>
      <c r="AF330">
        <v>8.9449950199327493</v>
      </c>
      <c r="AG330">
        <v>-0.70595259999999904</v>
      </c>
      <c r="AH330">
        <v>259.179213686737</v>
      </c>
      <c r="AI330">
        <v>90.155969053517694</v>
      </c>
      <c r="AJ330">
        <v>88.023347971342403</v>
      </c>
      <c r="AK330">
        <v>259.33448693194498</v>
      </c>
      <c r="AL330">
        <v>79.401606213349694</v>
      </c>
      <c r="AM330">
        <v>93.789788319413205</v>
      </c>
      <c r="AN330">
        <v>1.0000000260189399</v>
      </c>
    </row>
    <row r="331" spans="1:40" x14ac:dyDescent="0.25">
      <c r="A331" t="str">
        <f>"20190304155320108"</f>
        <v>20190304155320108</v>
      </c>
      <c r="B331" t="str">
        <f>"1551686000105816"</f>
        <v>1551686000105816</v>
      </c>
      <c r="C331" t="s">
        <v>40</v>
      </c>
      <c r="D331">
        <v>4.5553739999999996</v>
      </c>
      <c r="E331">
        <v>0.53625999999999996</v>
      </c>
      <c r="F331" t="s">
        <v>41</v>
      </c>
      <c r="G331">
        <v>-158.19499999999999</v>
      </c>
      <c r="H331">
        <v>0.18727160000000001</v>
      </c>
      <c r="I331">
        <v>361.57839999999999</v>
      </c>
      <c r="J331">
        <v>-417.18709999999999</v>
      </c>
      <c r="K331">
        <v>1.0604129999999901</v>
      </c>
      <c r="L331">
        <v>367.51769999999999</v>
      </c>
      <c r="M331">
        <v>0.99981699999999996</v>
      </c>
      <c r="N331">
        <v>-1.5238639999999999E-2</v>
      </c>
      <c r="O331">
        <v>1.1579010000000001E-2</v>
      </c>
      <c r="P331">
        <v>0.98263049999999996</v>
      </c>
      <c r="Q331">
        <v>0.16918800000000001</v>
      </c>
      <c r="R331">
        <v>7.6242489999999996E-2</v>
      </c>
      <c r="S331">
        <v>3.0602109999999998</v>
      </c>
      <c r="T331">
        <v>-1.030493E-2</v>
      </c>
      <c r="U331">
        <v>-7.0068359999999996E-2</v>
      </c>
      <c r="V331">
        <v>-6.4766030000000002E-2</v>
      </c>
      <c r="W331">
        <v>0.1841872</v>
      </c>
      <c r="X331">
        <v>0.98075500000000004</v>
      </c>
      <c r="Y331">
        <v>3.4464469999999997E-2</v>
      </c>
      <c r="Z331">
        <v>-1.832216E-4</v>
      </c>
      <c r="AA331">
        <v>0.99940589999999996</v>
      </c>
      <c r="AB331">
        <v>28</v>
      </c>
      <c r="AC331">
        <v>258.99209999999999</v>
      </c>
      <c r="AD331">
        <v>-0.87314139999999896</v>
      </c>
      <c r="AE331">
        <v>-5.9393000000000002</v>
      </c>
      <c r="AF331">
        <v>8.9380200946543091</v>
      </c>
      <c r="AG331">
        <v>-0.87314139999999896</v>
      </c>
      <c r="AH331">
        <v>258.90301314944003</v>
      </c>
      <c r="AI331">
        <v>90.193112247720606</v>
      </c>
      <c r="AJ331">
        <v>88.022782659710899</v>
      </c>
      <c r="AK331">
        <v>259.05872075067498</v>
      </c>
      <c r="AL331">
        <v>79.386251557690898</v>
      </c>
      <c r="AM331">
        <v>93.778150614315607</v>
      </c>
      <c r="AN331">
        <v>0.99999996665539903</v>
      </c>
    </row>
    <row r="332" spans="1:40" x14ac:dyDescent="0.25">
      <c r="A332" t="str">
        <f>"20190304155320131"</f>
        <v>20190304155320131</v>
      </c>
      <c r="B332" t="str">
        <f>"1551686000126314"</f>
        <v>1551686000126314</v>
      </c>
      <c r="C332" t="s">
        <v>40</v>
      </c>
      <c r="D332">
        <v>4.5420439999999997</v>
      </c>
      <c r="E332">
        <v>0.53626649999999998</v>
      </c>
      <c r="F332" t="s">
        <v>41</v>
      </c>
      <c r="G332">
        <v>-158.19499999999999</v>
      </c>
      <c r="H332">
        <v>0.35197879999999998</v>
      </c>
      <c r="I332">
        <v>361.4169</v>
      </c>
      <c r="J332">
        <v>-416.90199999999999</v>
      </c>
      <c r="K332">
        <v>1.0604009999999999</v>
      </c>
      <c r="L332">
        <v>367.52069999999998</v>
      </c>
      <c r="M332">
        <v>0.99982000000000004</v>
      </c>
      <c r="N332">
        <v>-1.523742E-2</v>
      </c>
      <c r="O332">
        <v>1.130712E-2</v>
      </c>
      <c r="P332">
        <v>0.98256509999999997</v>
      </c>
      <c r="Q332">
        <v>0.16980139999999999</v>
      </c>
      <c r="R332">
        <v>7.5720140000000005E-2</v>
      </c>
      <c r="S332">
        <v>3.060028</v>
      </c>
      <c r="T332">
        <v>-8.369207E-3</v>
      </c>
      <c r="U332">
        <v>-7.2082519999999997E-2</v>
      </c>
      <c r="V332">
        <v>-6.4505930000000003E-2</v>
      </c>
      <c r="W332">
        <v>0.1848002</v>
      </c>
      <c r="X332">
        <v>0.98065690000000005</v>
      </c>
      <c r="Y332">
        <v>3.4851680000000003E-2</v>
      </c>
      <c r="Z332">
        <v>-1.7187889999999999E-4</v>
      </c>
      <c r="AA332">
        <v>0.99939250000000002</v>
      </c>
      <c r="AB332">
        <v>28</v>
      </c>
      <c r="AC332">
        <v>258.70699999999999</v>
      </c>
      <c r="AD332">
        <v>-0.7084222</v>
      </c>
      <c r="AE332">
        <v>-6.1037999999999704</v>
      </c>
      <c r="AF332">
        <v>9.0289126943010896</v>
      </c>
      <c r="AG332">
        <v>-0.7084222</v>
      </c>
      <c r="AH332">
        <v>258.61949510092001</v>
      </c>
      <c r="AI332">
        <v>90.1568512350552</v>
      </c>
      <c r="AJ332">
        <v>88.000504303323694</v>
      </c>
      <c r="AK332">
        <v>258.77802528945398</v>
      </c>
      <c r="AL332">
        <v>79.3505166061381</v>
      </c>
      <c r="AM332">
        <v>93.763396617736902</v>
      </c>
      <c r="AN332">
        <v>1.0000000422213999</v>
      </c>
    </row>
    <row r="333" spans="1:40" x14ac:dyDescent="0.25">
      <c r="A333" t="str">
        <f>"20190304155320153"</f>
        <v>20190304155320153</v>
      </c>
      <c r="B333" t="str">
        <f>"1551686000145833"</f>
        <v>1551686000145833</v>
      </c>
      <c r="C333" t="s">
        <v>40</v>
      </c>
      <c r="D333">
        <v>4.5418849999999997</v>
      </c>
      <c r="E333">
        <v>0.53628439999999999</v>
      </c>
      <c r="F333" t="s">
        <v>41</v>
      </c>
      <c r="G333">
        <v>-158.19499999999999</v>
      </c>
      <c r="H333">
        <v>0.55709790000000003</v>
      </c>
      <c r="I333">
        <v>361.32569999999998</v>
      </c>
      <c r="J333">
        <v>-416.61799999999999</v>
      </c>
      <c r="K333">
        <v>1.0603929999999999</v>
      </c>
      <c r="L333">
        <v>367.52359999999999</v>
      </c>
      <c r="M333">
        <v>0.99982329999999997</v>
      </c>
      <c r="N333">
        <v>-1.5235449999999999E-2</v>
      </c>
      <c r="O333">
        <v>1.101705E-2</v>
      </c>
      <c r="P333">
        <v>0.98261229999999999</v>
      </c>
      <c r="Q333">
        <v>0.16963639999999999</v>
      </c>
      <c r="R333">
        <v>7.5475920000000002E-2</v>
      </c>
      <c r="S333">
        <v>3.0599059999999998</v>
      </c>
      <c r="T333">
        <v>-5.951881E-3</v>
      </c>
      <c r="U333">
        <v>-7.3272710000000005E-2</v>
      </c>
      <c r="V333">
        <v>-6.4540699999999895E-2</v>
      </c>
      <c r="W333">
        <v>0.1846353</v>
      </c>
      <c r="X333">
        <v>0.98068569999999999</v>
      </c>
      <c r="Y333">
        <v>3.4951370000000002E-2</v>
      </c>
      <c r="Z333">
        <v>-1.538864E-4</v>
      </c>
      <c r="AA333">
        <v>0.99938899999999997</v>
      </c>
      <c r="AB333">
        <v>28</v>
      </c>
      <c r="AC333">
        <v>258.423</v>
      </c>
      <c r="AD333">
        <v>-0.503295099999999</v>
      </c>
      <c r="AE333">
        <v>-6.1978999999999997</v>
      </c>
      <c r="AF333">
        <v>9.04487889657584</v>
      </c>
      <c r="AG333">
        <v>-0.503295099999999</v>
      </c>
      <c r="AH333">
        <v>258.33804297880999</v>
      </c>
      <c r="AI333">
        <v>90.111555348901007</v>
      </c>
      <c r="AJ333">
        <v>87.994790925930602</v>
      </c>
      <c r="AK333">
        <v>258.49682317261198</v>
      </c>
      <c r="AL333">
        <v>79.360130401762703</v>
      </c>
      <c r="AM333">
        <v>93.765309068602207</v>
      </c>
      <c r="AN333">
        <v>1.00000006907353</v>
      </c>
    </row>
    <row r="334" spans="1:40" x14ac:dyDescent="0.25">
      <c r="A334" t="str">
        <f>"20190304155320176"</f>
        <v>20190304155320176</v>
      </c>
      <c r="B334" t="str">
        <f>"1551686000166328"</f>
        <v>1551686000166328</v>
      </c>
      <c r="C334" t="s">
        <v>40</v>
      </c>
      <c r="D334">
        <v>4.4525560000000004</v>
      </c>
      <c r="E334">
        <v>0.53629069999999901</v>
      </c>
      <c r="F334" t="s">
        <v>41</v>
      </c>
      <c r="G334">
        <v>-158.19499999999999</v>
      </c>
      <c r="H334">
        <v>0.54609350000000001</v>
      </c>
      <c r="I334">
        <v>361.24250000000001</v>
      </c>
      <c r="J334">
        <v>-416.33440000000002</v>
      </c>
      <c r="K334">
        <v>1.0603769999999999</v>
      </c>
      <c r="L334">
        <v>367.52640000000002</v>
      </c>
      <c r="M334">
        <v>0.99982660000000001</v>
      </c>
      <c r="N334">
        <v>-1.5232829999999999E-2</v>
      </c>
      <c r="O334">
        <v>1.070866E-2</v>
      </c>
      <c r="P334">
        <v>0.98259739999999995</v>
      </c>
      <c r="Q334">
        <v>0.16989070000000001</v>
      </c>
      <c r="R334">
        <v>7.5095120000000001E-2</v>
      </c>
      <c r="S334">
        <v>3.0598450000000001</v>
      </c>
      <c r="T334">
        <v>-6.0884950000000002E-3</v>
      </c>
      <c r="U334">
        <v>-7.4371339999999994E-2</v>
      </c>
      <c r="V334">
        <v>-6.4456669999999994E-2</v>
      </c>
      <c r="W334">
        <v>0.18488879999999999</v>
      </c>
      <c r="X334">
        <v>0.98064340000000005</v>
      </c>
      <c r="Y334">
        <v>3.5002209999999999E-2</v>
      </c>
      <c r="Z334">
        <v>-1.5966590000000001E-4</v>
      </c>
      <c r="AA334">
        <v>0.99938720000000003</v>
      </c>
      <c r="AB334">
        <v>28</v>
      </c>
      <c r="AC334">
        <v>258.13940000000002</v>
      </c>
      <c r="AD334">
        <v>-0.5142835</v>
      </c>
      <c r="AE334">
        <v>-6.2839000000000098</v>
      </c>
      <c r="AF334">
        <v>9.0481516251814593</v>
      </c>
      <c r="AG334">
        <v>-0.5142835</v>
      </c>
      <c r="AH334">
        <v>258.05627140577002</v>
      </c>
      <c r="AI334">
        <v>90.114115184202106</v>
      </c>
      <c r="AJ334">
        <v>87.991877482733898</v>
      </c>
      <c r="AK334">
        <v>258.21536117589699</v>
      </c>
      <c r="AL334">
        <v>79.345350780121905</v>
      </c>
      <c r="AM334">
        <v>93.760582567387999</v>
      </c>
      <c r="AN334">
        <v>1.00000000431824</v>
      </c>
    </row>
    <row r="335" spans="1:40" x14ac:dyDescent="0.25">
      <c r="A335" t="str">
        <f>"20190304155320197"</f>
        <v>20190304155320197</v>
      </c>
      <c r="B335" t="str">
        <f>"1551686000185848"</f>
        <v>1551686000185848</v>
      </c>
      <c r="C335" t="s">
        <v>40</v>
      </c>
      <c r="D335">
        <v>4.7325900000000001</v>
      </c>
      <c r="E335">
        <v>0.53617019999999904</v>
      </c>
      <c r="F335" t="s">
        <v>41</v>
      </c>
      <c r="G335">
        <v>-158.19499999999999</v>
      </c>
      <c r="H335">
        <v>0.53895470000000001</v>
      </c>
      <c r="I335">
        <v>361.16750000000002</v>
      </c>
      <c r="J335">
        <v>-416.06420000000003</v>
      </c>
      <c r="K335">
        <v>1.0603670000000001</v>
      </c>
      <c r="L335">
        <v>367.529</v>
      </c>
      <c r="M335">
        <v>0.99983010000000005</v>
      </c>
      <c r="N335">
        <v>-1.522981E-2</v>
      </c>
      <c r="O335">
        <v>1.039502E-2</v>
      </c>
      <c r="P335">
        <v>0.98262349999999998</v>
      </c>
      <c r="Q335">
        <v>0.1699888</v>
      </c>
      <c r="R335">
        <v>7.4531479999999997E-2</v>
      </c>
      <c r="S335">
        <v>3.0599980000000002</v>
      </c>
      <c r="T335">
        <v>-6.1799289999999998E-3</v>
      </c>
      <c r="U335">
        <v>-7.5378420000000002E-2</v>
      </c>
      <c r="V335">
        <v>-6.4195039999999995E-2</v>
      </c>
      <c r="W335">
        <v>0.18498580000000001</v>
      </c>
      <c r="X335">
        <v>0.98064229999999997</v>
      </c>
      <c r="Y335">
        <v>3.5016249999999999E-2</v>
      </c>
      <c r="Z335">
        <v>-1.6475069999999999E-4</v>
      </c>
      <c r="AA335">
        <v>0.99938669999999996</v>
      </c>
      <c r="AB335">
        <v>28</v>
      </c>
      <c r="AC335">
        <v>257.86919999999998</v>
      </c>
      <c r="AD335">
        <v>-0.52141229999999905</v>
      </c>
      <c r="AE335">
        <v>-6.3614999999999702</v>
      </c>
      <c r="AF335">
        <v>9.0419853723015198</v>
      </c>
      <c r="AG335">
        <v>-0.52141229999999905</v>
      </c>
      <c r="AH335">
        <v>257.788075273424</v>
      </c>
      <c r="AI335">
        <v>90.115817317641202</v>
      </c>
      <c r="AJ335">
        <v>87.991158817929104</v>
      </c>
      <c r="AK335">
        <v>257.947128542722</v>
      </c>
      <c r="AL335">
        <v>79.339695868859295</v>
      </c>
      <c r="AM335">
        <v>93.745366064667607</v>
      </c>
      <c r="AN335">
        <v>1.0000000349557601</v>
      </c>
    </row>
    <row r="336" spans="1:40" x14ac:dyDescent="0.25">
      <c r="A336" t="str">
        <f>"20190304155320221"</f>
        <v>20190304155320221</v>
      </c>
      <c r="B336" t="str">
        <f>"1551686000215709"</f>
        <v>1551686000215709</v>
      </c>
      <c r="C336" t="s">
        <v>40</v>
      </c>
      <c r="D336">
        <v>4.513884</v>
      </c>
      <c r="E336">
        <v>0.53607869999999902</v>
      </c>
      <c r="F336" t="s">
        <v>41</v>
      </c>
      <c r="G336">
        <v>-158.19499999999999</v>
      </c>
      <c r="H336">
        <v>0.57881499999999997</v>
      </c>
      <c r="I336">
        <v>361.08909999999997</v>
      </c>
      <c r="J336">
        <v>-415.76350000000002</v>
      </c>
      <c r="K336">
        <v>1.0603560000000001</v>
      </c>
      <c r="L336">
        <v>367.5317</v>
      </c>
      <c r="M336">
        <v>0.99983379999999999</v>
      </c>
      <c r="N336">
        <v>-1.522595E-2</v>
      </c>
      <c r="O336">
        <v>1.0023890000000001E-2</v>
      </c>
      <c r="P336">
        <v>0.98264510000000005</v>
      </c>
      <c r="Q336">
        <v>0.16994809999999999</v>
      </c>
      <c r="R336">
        <v>7.4338829999999995E-2</v>
      </c>
      <c r="S336">
        <v>3.0598450000000001</v>
      </c>
      <c r="T336">
        <v>-5.7129859999999998E-3</v>
      </c>
      <c r="U336">
        <v>-7.6416020000000001E-2</v>
      </c>
      <c r="V336">
        <v>-6.4359659999999999E-2</v>
      </c>
      <c r="W336">
        <v>0.1849441</v>
      </c>
      <c r="X336">
        <v>0.98063929999999999</v>
      </c>
      <c r="Y336">
        <v>3.4985259999999997E-2</v>
      </c>
      <c r="Z336">
        <v>-1.651624E-4</v>
      </c>
      <c r="AA336">
        <v>0.99938780000000005</v>
      </c>
      <c r="AB336">
        <v>28</v>
      </c>
      <c r="AC336">
        <v>257.56849999999997</v>
      </c>
      <c r="AD336">
        <v>-0.481540999999999</v>
      </c>
      <c r="AE336">
        <v>-6.4426000000000201</v>
      </c>
      <c r="AF336">
        <v>9.0243824428163304</v>
      </c>
      <c r="AG336">
        <v>-0.481540999999999</v>
      </c>
      <c r="AH336">
        <v>257.49006980366499</v>
      </c>
      <c r="AI336">
        <v>90.107084927729304</v>
      </c>
      <c r="AJ336">
        <v>87.992747925746798</v>
      </c>
      <c r="AK336">
        <v>257.64861227591598</v>
      </c>
      <c r="AL336">
        <v>79.342126258719503</v>
      </c>
      <c r="AM336">
        <v>93.754954590828902</v>
      </c>
      <c r="AN336">
        <v>0.99999996133230695</v>
      </c>
    </row>
    <row r="337" spans="1:40" x14ac:dyDescent="0.25">
      <c r="A337" t="str">
        <f>"20190304155320244"</f>
        <v>20190304155320244</v>
      </c>
      <c r="B337" t="str">
        <f>"1551686000236205"</f>
        <v>1551686000236205</v>
      </c>
      <c r="C337" t="s">
        <v>40</v>
      </c>
      <c r="D337">
        <v>4.5652749999999997</v>
      </c>
      <c r="E337">
        <v>0.53605769999999997</v>
      </c>
      <c r="F337" t="s">
        <v>41</v>
      </c>
      <c r="G337">
        <v>-158.19499999999999</v>
      </c>
      <c r="H337">
        <v>0.53035690000000002</v>
      </c>
      <c r="I337">
        <v>361.12240000000003</v>
      </c>
      <c r="J337">
        <v>-415.48770000000002</v>
      </c>
      <c r="K337">
        <v>1.060343</v>
      </c>
      <c r="L337">
        <v>367.53399999999999</v>
      </c>
      <c r="M337">
        <v>0.99983750000000005</v>
      </c>
      <c r="N337">
        <v>-1.522198E-2</v>
      </c>
      <c r="O337">
        <v>9.6613270000000008E-3</v>
      </c>
      <c r="P337">
        <v>0.98273460000000001</v>
      </c>
      <c r="Q337">
        <v>0.16953199999999999</v>
      </c>
      <c r="R337">
        <v>7.410767E-2</v>
      </c>
      <c r="S337">
        <v>3.0598450000000001</v>
      </c>
      <c r="T337">
        <v>-6.2952040000000004E-3</v>
      </c>
      <c r="U337">
        <v>-7.6141360000000005E-2</v>
      </c>
      <c r="V337">
        <v>-6.4477960000000001E-2</v>
      </c>
      <c r="W337">
        <v>0.18452750000000001</v>
      </c>
      <c r="X337">
        <v>0.98070999999999997</v>
      </c>
      <c r="Y337">
        <v>3.45332E-2</v>
      </c>
      <c r="Z337">
        <v>-1.7123369999999999E-4</v>
      </c>
      <c r="AA337">
        <v>0.9994035</v>
      </c>
      <c r="AB337">
        <v>28</v>
      </c>
      <c r="AC337">
        <v>257.29270000000002</v>
      </c>
      <c r="AD337">
        <v>-0.52998610000000002</v>
      </c>
      <c r="AE337">
        <v>-6.41159999999996</v>
      </c>
      <c r="AF337">
        <v>8.8973398162746005</v>
      </c>
      <c r="AG337">
        <v>-0.52998610000000002</v>
      </c>
      <c r="AH337">
        <v>257.21764648850302</v>
      </c>
      <c r="AI337">
        <v>90.117984803295798</v>
      </c>
      <c r="AJ337">
        <v>88.018888466525993</v>
      </c>
      <c r="AK337">
        <v>257.37202879519901</v>
      </c>
      <c r="AL337">
        <v>79.366413642104504</v>
      </c>
      <c r="AM337">
        <v>93.761566387867504</v>
      </c>
      <c r="AN337">
        <v>0.99999995484100401</v>
      </c>
    </row>
    <row r="338" spans="1:40" x14ac:dyDescent="0.25">
      <c r="A338" t="str">
        <f>"20190304155320265"</f>
        <v>20190304155320265</v>
      </c>
      <c r="B338" t="str">
        <f>"1551686000255725"</f>
        <v>1551686000255725</v>
      </c>
      <c r="C338" t="s">
        <v>40</v>
      </c>
      <c r="D338">
        <v>4.5164799999999996</v>
      </c>
      <c r="E338">
        <v>0.53599300000000005</v>
      </c>
      <c r="F338" t="s">
        <v>41</v>
      </c>
      <c r="G338">
        <v>-158.19499999999999</v>
      </c>
      <c r="H338">
        <v>0.41392849999999998</v>
      </c>
      <c r="I338">
        <v>361.07749999999999</v>
      </c>
      <c r="J338">
        <v>-415.21100000000001</v>
      </c>
      <c r="K338">
        <v>1.0603340000000001</v>
      </c>
      <c r="L338">
        <v>367.53629999999998</v>
      </c>
      <c r="M338">
        <v>0.99984119999999999</v>
      </c>
      <c r="N338">
        <v>-1.5217629999999999E-2</v>
      </c>
      <c r="O338">
        <v>9.2812799999999994E-3</v>
      </c>
      <c r="P338">
        <v>0.98279519999999998</v>
      </c>
      <c r="Q338">
        <v>0.16949069999999999</v>
      </c>
      <c r="R338">
        <v>7.3393029999999998E-2</v>
      </c>
      <c r="S338">
        <v>3.0597840000000001</v>
      </c>
      <c r="T338">
        <v>-7.6862569999999898E-3</v>
      </c>
      <c r="U338">
        <v>-7.6782230000000007E-2</v>
      </c>
      <c r="V338">
        <v>-6.4130569999999998E-2</v>
      </c>
      <c r="W338">
        <v>0.18448390000000001</v>
      </c>
      <c r="X338">
        <v>0.98074099999999997</v>
      </c>
      <c r="Y338">
        <v>3.4362950000000003E-2</v>
      </c>
      <c r="Z338">
        <v>-1.867619E-4</v>
      </c>
      <c r="AA338">
        <v>0.9994094</v>
      </c>
      <c r="AB338">
        <v>28</v>
      </c>
      <c r="AC338">
        <v>257.015999999999</v>
      </c>
      <c r="AD338">
        <v>-0.64640549999999997</v>
      </c>
      <c r="AE338">
        <v>-6.4587999999999903</v>
      </c>
      <c r="AF338">
        <v>8.84417937665655</v>
      </c>
      <c r="AG338">
        <v>-0.64640549999999997</v>
      </c>
      <c r="AH338">
        <v>256.94335012289503</v>
      </c>
      <c r="AI338">
        <v>90.144056300339898</v>
      </c>
      <c r="AJ338">
        <v>88.028615376077596</v>
      </c>
      <c r="AK338">
        <v>257.09632926452502</v>
      </c>
      <c r="AL338">
        <v>79.368955584574906</v>
      </c>
      <c r="AM338">
        <v>93.7412398665642</v>
      </c>
      <c r="AN338">
        <v>0.99999997422436704</v>
      </c>
    </row>
    <row r="339" spans="1:40" x14ac:dyDescent="0.25">
      <c r="A339" t="str">
        <f>"20190304155320287"</f>
        <v>20190304155320287</v>
      </c>
      <c r="B339" t="str">
        <f>"1551686000276221"</f>
        <v>1551686000276221</v>
      </c>
      <c r="C339" t="s">
        <v>40</v>
      </c>
      <c r="D339">
        <v>4.4986819999999996</v>
      </c>
      <c r="E339">
        <v>0.53595470000000001</v>
      </c>
      <c r="F339" t="s">
        <v>41</v>
      </c>
      <c r="G339">
        <v>-158.19499999999999</v>
      </c>
      <c r="H339">
        <v>0.38111020000000001</v>
      </c>
      <c r="I339">
        <v>360.92779999999999</v>
      </c>
      <c r="J339">
        <v>-414.93470000000002</v>
      </c>
      <c r="K339">
        <v>1.060327</v>
      </c>
      <c r="L339">
        <v>367.5385</v>
      </c>
      <c r="M339">
        <v>0.99984479999999998</v>
      </c>
      <c r="N339">
        <v>-1.5212979999999999E-2</v>
      </c>
      <c r="O339">
        <v>8.8891339999999999E-3</v>
      </c>
      <c r="P339">
        <v>0.9828462</v>
      </c>
      <c r="Q339">
        <v>0.16940649999999999</v>
      </c>
      <c r="R339">
        <v>7.2904129999999998E-2</v>
      </c>
      <c r="S339">
        <v>3.0597840000000001</v>
      </c>
      <c r="T339">
        <v>-8.0851320000000001E-3</v>
      </c>
      <c r="U339">
        <v>-7.8674320000000006E-2</v>
      </c>
      <c r="V339">
        <v>-6.4023140000000006E-2</v>
      </c>
      <c r="W339">
        <v>0.18439720000000001</v>
      </c>
      <c r="X339">
        <v>0.98076430000000003</v>
      </c>
      <c r="Y339">
        <v>3.4588580000000001E-2</v>
      </c>
      <c r="Z339">
        <v>-1.971207E-4</v>
      </c>
      <c r="AA339">
        <v>0.9994016</v>
      </c>
      <c r="AB339">
        <v>28</v>
      </c>
      <c r="AC339">
        <v>256.73970000000003</v>
      </c>
      <c r="AD339">
        <v>-0.67921679999999995</v>
      </c>
      <c r="AE339">
        <v>-6.6106999999999996</v>
      </c>
      <c r="AF339">
        <v>8.8928342030678191</v>
      </c>
      <c r="AG339">
        <v>-0.67921679999999995</v>
      </c>
      <c r="AH339">
        <v>256.66898867836301</v>
      </c>
      <c r="AI339">
        <v>90.151529129406697</v>
      </c>
      <c r="AJ339">
        <v>88.015661584853802</v>
      </c>
      <c r="AK339">
        <v>256.82389605486202</v>
      </c>
      <c r="AL339">
        <v>79.374009591508894</v>
      </c>
      <c r="AM339">
        <v>93.734901904542994</v>
      </c>
      <c r="AN339">
        <v>0.99999995098889305</v>
      </c>
    </row>
    <row r="340" spans="1:40" x14ac:dyDescent="0.25">
      <c r="A340" t="str">
        <f>"20190304155320310"</f>
        <v>20190304155320310</v>
      </c>
      <c r="B340" t="str">
        <f>"1551686000305656"</f>
        <v>1551686000305656</v>
      </c>
      <c r="C340" t="s">
        <v>40</v>
      </c>
      <c r="D340">
        <v>4.503031</v>
      </c>
      <c r="E340">
        <v>0.53587320000000005</v>
      </c>
      <c r="F340" t="s">
        <v>41</v>
      </c>
      <c r="G340">
        <v>-158.19499999999999</v>
      </c>
      <c r="H340">
        <v>0.33255099999999999</v>
      </c>
      <c r="I340">
        <v>360.83210000000003</v>
      </c>
      <c r="J340">
        <v>-414.65089999999998</v>
      </c>
      <c r="K340">
        <v>1.060317</v>
      </c>
      <c r="L340">
        <v>367.54050000000001</v>
      </c>
      <c r="M340">
        <v>0.99984850000000003</v>
      </c>
      <c r="N340">
        <v>-1.520788E-2</v>
      </c>
      <c r="O340">
        <v>8.4751789999999994E-3</v>
      </c>
      <c r="P340">
        <v>0.98283529999999997</v>
      </c>
      <c r="Q340">
        <v>0.16963020000000001</v>
      </c>
      <c r="R340">
        <v>7.2530049999999999E-2</v>
      </c>
      <c r="S340">
        <v>3.0597840000000001</v>
      </c>
      <c r="T340">
        <v>-8.6724760000000001E-3</v>
      </c>
      <c r="U340">
        <v>-7.9925540000000003E-2</v>
      </c>
      <c r="V340">
        <v>-6.4053189999999996E-2</v>
      </c>
      <c r="W340">
        <v>0.18461649999999999</v>
      </c>
      <c r="X340">
        <v>0.98072110000000001</v>
      </c>
      <c r="Y340">
        <v>3.458319E-2</v>
      </c>
      <c r="Z340">
        <v>-2.0717789999999999E-4</v>
      </c>
      <c r="AA340">
        <v>0.99940180000000001</v>
      </c>
      <c r="AB340">
        <v>28</v>
      </c>
      <c r="AC340">
        <v>256.45589999999999</v>
      </c>
      <c r="AD340">
        <v>-0.72776599999999902</v>
      </c>
      <c r="AE340">
        <v>-6.7083999999999797</v>
      </c>
      <c r="AF340">
        <v>8.8818484388814092</v>
      </c>
      <c r="AG340">
        <v>-0.72776599999999902</v>
      </c>
      <c r="AH340">
        <v>256.387762519516</v>
      </c>
      <c r="AI340">
        <v>90.162538219612401</v>
      </c>
      <c r="AJ340">
        <v>88.015938827065796</v>
      </c>
      <c r="AK340">
        <v>256.54259226258301</v>
      </c>
      <c r="AL340">
        <v>79.3612253332807</v>
      </c>
      <c r="AM340">
        <v>93.736814088764305</v>
      </c>
      <c r="AN340">
        <v>0.99999996960331705</v>
      </c>
    </row>
    <row r="341" spans="1:40" x14ac:dyDescent="0.25">
      <c r="A341" t="str">
        <f>"20190304155320331"</f>
        <v>20190304155320331</v>
      </c>
      <c r="B341" t="str">
        <f>"1551686000326152"</f>
        <v>1551686000326152</v>
      </c>
      <c r="C341" t="s">
        <v>40</v>
      </c>
      <c r="D341">
        <v>4.531155</v>
      </c>
      <c r="E341">
        <v>0.53578899999999996</v>
      </c>
      <c r="F341" t="s">
        <v>41</v>
      </c>
      <c r="G341">
        <v>-158.19499999999999</v>
      </c>
      <c r="H341">
        <v>0.33303260000000001</v>
      </c>
      <c r="I341">
        <v>360.81599999999997</v>
      </c>
      <c r="J341">
        <v>-414.3931</v>
      </c>
      <c r="K341">
        <v>1.0603100000000001</v>
      </c>
      <c r="L341">
        <v>367.54230000000001</v>
      </c>
      <c r="M341">
        <v>0.99985179999999996</v>
      </c>
      <c r="N341">
        <v>-1.5203009999999999E-2</v>
      </c>
      <c r="O341">
        <v>8.0932209999999994E-3</v>
      </c>
      <c r="P341">
        <v>0.98283149999999997</v>
      </c>
      <c r="Q341">
        <v>0.1698807</v>
      </c>
      <c r="R341">
        <v>7.1994799999999998E-2</v>
      </c>
      <c r="S341">
        <v>3.0598139999999998</v>
      </c>
      <c r="T341">
        <v>-8.6762909999999992E-3</v>
      </c>
      <c r="U341">
        <v>-8.0230709999999997E-2</v>
      </c>
      <c r="V341">
        <v>-6.3892130000000005E-2</v>
      </c>
      <c r="W341">
        <v>0.1848621</v>
      </c>
      <c r="X341">
        <v>0.98068540000000004</v>
      </c>
      <c r="Y341">
        <v>3.4300789999999998E-2</v>
      </c>
      <c r="Z341">
        <v>-2.0934250000000001E-4</v>
      </c>
      <c r="AA341">
        <v>0.99941150000000001</v>
      </c>
      <c r="AB341">
        <v>28</v>
      </c>
      <c r="AC341">
        <v>256.19810000000001</v>
      </c>
      <c r="AD341">
        <v>-0.72727739999999996</v>
      </c>
      <c r="AE341">
        <v>-6.7263000000000304</v>
      </c>
      <c r="AF341">
        <v>8.7997160391132301</v>
      </c>
      <c r="AG341">
        <v>-0.72727739999999996</v>
      </c>
      <c r="AH341">
        <v>256.13320109051801</v>
      </c>
      <c r="AI341">
        <v>90.162592132087397</v>
      </c>
      <c r="AJ341">
        <v>88.032319284038905</v>
      </c>
      <c r="AK341">
        <v>256.28535002153598</v>
      </c>
      <c r="AL341">
        <v>79.346907655497006</v>
      </c>
      <c r="AM341">
        <v>93.727579801940294</v>
      </c>
      <c r="AN341">
        <v>1.00000002703275</v>
      </c>
    </row>
    <row r="342" spans="1:40" x14ac:dyDescent="0.25">
      <c r="A342" t="str">
        <f>"20190304155320354"</f>
        <v>20190304155320354</v>
      </c>
      <c r="B342" t="str">
        <f>"1551686000346649"</f>
        <v>1551686000346649</v>
      </c>
      <c r="C342" t="s">
        <v>40</v>
      </c>
      <c r="D342">
        <v>4.5394579999999998</v>
      </c>
      <c r="E342">
        <v>0.53570879999999998</v>
      </c>
      <c r="F342" t="s">
        <v>41</v>
      </c>
      <c r="G342">
        <v>-158.19499999999999</v>
      </c>
      <c r="H342">
        <v>0.35651110000000003</v>
      </c>
      <c r="I342">
        <v>360.77080000000001</v>
      </c>
      <c r="J342">
        <v>-414.10610000000003</v>
      </c>
      <c r="K342">
        <v>1.0603100000000001</v>
      </c>
      <c r="L342">
        <v>367.54410000000001</v>
      </c>
      <c r="M342">
        <v>0.99985520000000006</v>
      </c>
      <c r="N342">
        <v>-1.519738E-2</v>
      </c>
      <c r="O342">
        <v>7.6643939999999997E-3</v>
      </c>
      <c r="P342">
        <v>0.98282639999999999</v>
      </c>
      <c r="Q342">
        <v>0.1700614</v>
      </c>
      <c r="R342">
        <v>7.1635130000000005E-2</v>
      </c>
      <c r="S342">
        <v>3.0597530000000002</v>
      </c>
      <c r="T342">
        <v>-8.4043739999999992E-3</v>
      </c>
      <c r="U342">
        <v>-8.0871579999999998E-2</v>
      </c>
      <c r="V342">
        <v>-6.395265E-2</v>
      </c>
      <c r="W342">
        <v>0.1850369</v>
      </c>
      <c r="X342">
        <v>0.98064850000000003</v>
      </c>
      <c r="Y342">
        <v>3.4081920000000002E-2</v>
      </c>
      <c r="Z342">
        <v>-2.1042510000000001E-4</v>
      </c>
      <c r="AA342">
        <v>0.99941899999999995</v>
      </c>
      <c r="AB342">
        <v>28</v>
      </c>
      <c r="AC342">
        <v>255.9111</v>
      </c>
      <c r="AD342">
        <v>-0.70379890000000001</v>
      </c>
      <c r="AE342">
        <v>-6.7732999999999999</v>
      </c>
      <c r="AF342">
        <v>8.7346649115205697</v>
      </c>
      <c r="AG342">
        <v>-0.70379890000000001</v>
      </c>
      <c r="AH342">
        <v>255.84972868938399</v>
      </c>
      <c r="AI342">
        <v>90.157518735742002</v>
      </c>
      <c r="AJ342">
        <v>88.044691545267099</v>
      </c>
      <c r="AK342">
        <v>255.99975268433201</v>
      </c>
      <c r="AL342">
        <v>79.336716656820201</v>
      </c>
      <c r="AM342">
        <v>93.731240674782399</v>
      </c>
      <c r="AN342">
        <v>1.0000000381779399</v>
      </c>
    </row>
    <row r="343" spans="1:40" x14ac:dyDescent="0.25">
      <c r="A343" t="str">
        <f>"20190304155320375"</f>
        <v>20190304155320375</v>
      </c>
      <c r="B343" t="str">
        <f>"1551686000366168"</f>
        <v>1551686000366168</v>
      </c>
      <c r="C343" t="s">
        <v>40</v>
      </c>
      <c r="D343">
        <v>4.5359129999999999</v>
      </c>
      <c r="E343">
        <v>0.53563819999999995</v>
      </c>
      <c r="F343" t="s">
        <v>41</v>
      </c>
      <c r="G343">
        <v>-158.19499999999999</v>
      </c>
      <c r="H343">
        <v>0.3821445</v>
      </c>
      <c r="I343">
        <v>360.71120000000002</v>
      </c>
      <c r="J343">
        <v>-413.82940000000002</v>
      </c>
      <c r="K343">
        <v>1.060319</v>
      </c>
      <c r="L343">
        <v>367.54570000000001</v>
      </c>
      <c r="M343">
        <v>0.99985840000000004</v>
      </c>
      <c r="N343">
        <v>-1.519176E-2</v>
      </c>
      <c r="O343">
        <v>7.2497809999999899E-3</v>
      </c>
      <c r="P343">
        <v>0.98278779999999999</v>
      </c>
      <c r="Q343">
        <v>0.17040350000000001</v>
      </c>
      <c r="R343">
        <v>7.1349880000000004E-2</v>
      </c>
      <c r="S343">
        <v>3.0597530000000002</v>
      </c>
      <c r="T343">
        <v>-8.1073050000000004E-3</v>
      </c>
      <c r="U343">
        <v>-8.169556E-2</v>
      </c>
      <c r="V343">
        <v>-6.407525E-2</v>
      </c>
      <c r="W343">
        <v>0.18537290000000001</v>
      </c>
      <c r="X343">
        <v>0.98057700000000003</v>
      </c>
      <c r="Y343">
        <v>3.3936500000000001E-2</v>
      </c>
      <c r="Z343">
        <v>-2.118771E-4</v>
      </c>
      <c r="AA343">
        <v>0.99942399999999998</v>
      </c>
      <c r="AB343">
        <v>28</v>
      </c>
      <c r="AC343">
        <v>255.6344</v>
      </c>
      <c r="AD343">
        <v>-0.67817450000000001</v>
      </c>
      <c r="AE343">
        <v>-6.8344999999999896</v>
      </c>
      <c r="AF343">
        <v>8.6877664046049201</v>
      </c>
      <c r="AG343">
        <v>-0.67817450000000001</v>
      </c>
      <c r="AH343">
        <v>255.57632859266801</v>
      </c>
      <c r="AI343">
        <v>90.151946839555194</v>
      </c>
      <c r="AJ343">
        <v>88.053103132112298</v>
      </c>
      <c r="AK343">
        <v>255.72484615825101</v>
      </c>
      <c r="AL343">
        <v>79.317125963672297</v>
      </c>
      <c r="AM343">
        <v>93.738645175635298</v>
      </c>
      <c r="AN343">
        <v>1.0000000013229799</v>
      </c>
    </row>
    <row r="344" spans="1:40" x14ac:dyDescent="0.25">
      <c r="A344" t="str">
        <f>"20190304155320398"</f>
        <v>20190304155320398</v>
      </c>
      <c r="B344" t="str">
        <f>"1551686000396425"</f>
        <v>1551686000396425</v>
      </c>
      <c r="C344" t="s">
        <v>40</v>
      </c>
      <c r="D344">
        <v>4.5477689999999997</v>
      </c>
      <c r="E344">
        <v>0.53554179999999996</v>
      </c>
      <c r="F344" t="s">
        <v>41</v>
      </c>
      <c r="G344">
        <v>-158.19499999999999</v>
      </c>
      <c r="H344">
        <v>0.45384930000000001</v>
      </c>
      <c r="I344">
        <v>360.69740000000002</v>
      </c>
      <c r="J344">
        <v>-413.5557</v>
      </c>
      <c r="K344">
        <v>1.0603199999999999</v>
      </c>
      <c r="L344">
        <v>367.54730000000001</v>
      </c>
      <c r="M344">
        <v>0.99986140000000001</v>
      </c>
      <c r="N344">
        <v>-1.5186059999999999E-2</v>
      </c>
      <c r="O344">
        <v>6.8396569999999999E-3</v>
      </c>
      <c r="P344">
        <v>0.98274410000000001</v>
      </c>
      <c r="Q344">
        <v>0.17095829999999901</v>
      </c>
      <c r="R344">
        <v>7.062177E-2</v>
      </c>
      <c r="S344">
        <v>3.0597530000000002</v>
      </c>
      <c r="T344">
        <v>-7.2579380000000002E-3</v>
      </c>
      <c r="U344">
        <v>-8.1970210000000002E-2</v>
      </c>
      <c r="V344">
        <v>-6.3750570000000006E-2</v>
      </c>
      <c r="W344">
        <v>0.1859201</v>
      </c>
      <c r="X344">
        <v>0.98049459999999999</v>
      </c>
      <c r="Y344">
        <v>3.3616310000000003E-2</v>
      </c>
      <c r="Z344">
        <v>-2.0754319999999999E-4</v>
      </c>
      <c r="AA344">
        <v>0.99943479999999996</v>
      </c>
      <c r="AB344">
        <v>28</v>
      </c>
      <c r="AC344">
        <v>255.36070000000001</v>
      </c>
      <c r="AD344">
        <v>-0.60647070000000003</v>
      </c>
      <c r="AE344">
        <v>-6.8498999999999901</v>
      </c>
      <c r="AF344">
        <v>8.59647212599452</v>
      </c>
      <c r="AG344">
        <v>-0.60647070000000003</v>
      </c>
      <c r="AH344">
        <v>255.30643018593599</v>
      </c>
      <c r="AI344">
        <v>90.136026597877503</v>
      </c>
      <c r="AJ344">
        <v>88.071511328030098</v>
      </c>
      <c r="AK344">
        <v>255.45183583996601</v>
      </c>
      <c r="AL344">
        <v>79.285219478196296</v>
      </c>
      <c r="AM344">
        <v>93.720065885007202</v>
      </c>
      <c r="AN344">
        <v>1.0000000396942399</v>
      </c>
    </row>
    <row r="345" spans="1:40" x14ac:dyDescent="0.25">
      <c r="A345" t="str">
        <f>"20190304155320420"</f>
        <v>20190304155320420</v>
      </c>
      <c r="B345" t="str">
        <f>"1551686000415944"</f>
        <v>1551686000415944</v>
      </c>
      <c r="C345" t="s">
        <v>40</v>
      </c>
      <c r="D345">
        <v>4.5408660000000003</v>
      </c>
      <c r="E345">
        <v>0.53547159999999905</v>
      </c>
      <c r="F345" t="s">
        <v>41</v>
      </c>
      <c r="G345">
        <v>-158.19499999999999</v>
      </c>
      <c r="H345">
        <v>0.56850100000000003</v>
      </c>
      <c r="I345">
        <v>360.59910000000002</v>
      </c>
      <c r="J345">
        <v>-413.28039999999999</v>
      </c>
      <c r="K345">
        <v>1.060325</v>
      </c>
      <c r="L345">
        <v>367.5487</v>
      </c>
      <c r="M345">
        <v>0.99986410000000003</v>
      </c>
      <c r="N345">
        <v>-1.518017E-2</v>
      </c>
      <c r="O345">
        <v>6.4278769999999898E-3</v>
      </c>
      <c r="P345">
        <v>0.98280800000000001</v>
      </c>
      <c r="Q345">
        <v>0.17089260000000001</v>
      </c>
      <c r="R345">
        <v>6.9887119999999997E-2</v>
      </c>
      <c r="S345">
        <v>3.0596619999999999</v>
      </c>
      <c r="T345">
        <v>-5.8918E-3</v>
      </c>
      <c r="U345">
        <v>-8.3251950000000005E-2</v>
      </c>
      <c r="V345">
        <v>-6.3420889999999994E-2</v>
      </c>
      <c r="W345">
        <v>0.18584890000000001</v>
      </c>
      <c r="X345">
        <v>0.9805294</v>
      </c>
      <c r="Y345">
        <v>3.3624019999999998E-2</v>
      </c>
      <c r="Z345">
        <v>-2.0245389999999999E-4</v>
      </c>
      <c r="AA345">
        <v>0.9994345</v>
      </c>
      <c r="AB345">
        <v>28</v>
      </c>
      <c r="AC345">
        <v>255.08539999999999</v>
      </c>
      <c r="AD345">
        <v>-0.49182399999999898</v>
      </c>
      <c r="AE345">
        <v>-6.94959999999997</v>
      </c>
      <c r="AF345">
        <v>8.5892710376076309</v>
      </c>
      <c r="AG345">
        <v>-0.49182399999999898</v>
      </c>
      <c r="AH345">
        <v>255.03450526813799</v>
      </c>
      <c r="AI345">
        <v>90.110429906963702</v>
      </c>
      <c r="AJ345">
        <v>88.071072628978499</v>
      </c>
      <c r="AK345">
        <v>255.17957666155101</v>
      </c>
      <c r="AL345">
        <v>79.289370472351393</v>
      </c>
      <c r="AM345">
        <v>93.700750539031702</v>
      </c>
      <c r="AN345">
        <v>0.99999996359197996</v>
      </c>
    </row>
    <row r="346" spans="1:40" x14ac:dyDescent="0.25">
      <c r="A346" t="str">
        <f>"20190304155320445"</f>
        <v>20190304155320445</v>
      </c>
      <c r="B346" t="str">
        <f>"1551686000436440"</f>
        <v>1551686000436440</v>
      </c>
      <c r="C346" t="s">
        <v>40</v>
      </c>
      <c r="D346">
        <v>4.554818</v>
      </c>
      <c r="E346">
        <v>0.53538509999999995</v>
      </c>
      <c r="F346" t="s">
        <v>41</v>
      </c>
      <c r="G346">
        <v>-158.19499999999999</v>
      </c>
      <c r="H346">
        <v>0.53370709999999999</v>
      </c>
      <c r="I346">
        <v>360.47039999999998</v>
      </c>
      <c r="J346">
        <v>-412.9864</v>
      </c>
      <c r="K346">
        <v>1.0603199999999999</v>
      </c>
      <c r="L346">
        <v>367.55009999999999</v>
      </c>
      <c r="M346">
        <v>0.99986710000000001</v>
      </c>
      <c r="N346">
        <v>-1.517375E-2</v>
      </c>
      <c r="O346">
        <v>5.9888669999999897E-3</v>
      </c>
      <c r="P346">
        <v>0.98285849999999997</v>
      </c>
      <c r="Q346">
        <v>0.17068349999999999</v>
      </c>
      <c r="R346">
        <v>6.9689089999999995E-2</v>
      </c>
      <c r="S346">
        <v>3.0595699999999999</v>
      </c>
      <c r="T346">
        <v>-6.3153509999999899E-3</v>
      </c>
      <c r="U346">
        <v>-8.4899899999999903E-2</v>
      </c>
      <c r="V346">
        <v>-6.3654970000000005E-2</v>
      </c>
      <c r="W346">
        <v>0.18563389999999999</v>
      </c>
      <c r="X346">
        <v>0.98055499999999995</v>
      </c>
      <c r="Y346">
        <v>3.3723919999999998E-2</v>
      </c>
      <c r="Z346">
        <v>-2.122231E-4</v>
      </c>
      <c r="AA346">
        <v>0.99943119999999996</v>
      </c>
      <c r="AB346">
        <v>28</v>
      </c>
      <c r="AC346">
        <v>254.79140000000001</v>
      </c>
      <c r="AD346">
        <v>-0.52661290000000005</v>
      </c>
      <c r="AE346">
        <v>-7.0796999999999999</v>
      </c>
      <c r="AF346">
        <v>8.6056235273997306</v>
      </c>
      <c r="AG346">
        <v>-0.52661290000000005</v>
      </c>
      <c r="AH346">
        <v>254.74333803067901</v>
      </c>
      <c r="AI346">
        <v>90.118375821810105</v>
      </c>
      <c r="AJ346">
        <v>88.065195819269206</v>
      </c>
      <c r="AK346">
        <v>254.88919621760101</v>
      </c>
      <c r="AL346">
        <v>79.301907659346597</v>
      </c>
      <c r="AM346">
        <v>93.714274759959807</v>
      </c>
      <c r="AN346">
        <v>1.0000000040299499</v>
      </c>
    </row>
    <row r="347" spans="1:40" x14ac:dyDescent="0.25">
      <c r="A347" t="str">
        <f>"20190304155320468"</f>
        <v>20190304155320468</v>
      </c>
      <c r="B347" t="str">
        <f>"1551686000455960"</f>
        <v>1551686000455960</v>
      </c>
      <c r="C347" t="s">
        <v>40</v>
      </c>
      <c r="D347">
        <v>4.5454650000000001</v>
      </c>
      <c r="E347">
        <v>0.53533149999999996</v>
      </c>
      <c r="F347" t="s">
        <v>41</v>
      </c>
      <c r="G347">
        <v>-158.19499999999999</v>
      </c>
      <c r="H347">
        <v>0.45747090000000001</v>
      </c>
      <c r="I347">
        <v>360.43700000000001</v>
      </c>
      <c r="J347">
        <v>-412.70530000000002</v>
      </c>
      <c r="K347">
        <v>1.0603229999999999</v>
      </c>
      <c r="L347">
        <v>367.55130000000003</v>
      </c>
      <c r="M347">
        <v>0.99986949999999997</v>
      </c>
      <c r="N347">
        <v>-1.516751E-2</v>
      </c>
      <c r="O347">
        <v>5.5698869999999999E-3</v>
      </c>
      <c r="P347">
        <v>0.98295149999999998</v>
      </c>
      <c r="Q347">
        <v>0.17029520000000001</v>
      </c>
      <c r="R347">
        <v>6.9323460000000003E-2</v>
      </c>
      <c r="S347">
        <v>3.0596619999999999</v>
      </c>
      <c r="T347">
        <v>-7.2382690000000003E-3</v>
      </c>
      <c r="U347">
        <v>-8.54187E-2</v>
      </c>
      <c r="V347">
        <v>-6.3701400000000005E-2</v>
      </c>
      <c r="W347">
        <v>0.18524019999999999</v>
      </c>
      <c r="X347">
        <v>0.98062640000000001</v>
      </c>
      <c r="Y347">
        <v>3.3473599999999999E-2</v>
      </c>
      <c r="Z347">
        <v>-2.222142E-4</v>
      </c>
      <c r="AA347">
        <v>0.99943959999999998</v>
      </c>
      <c r="AB347">
        <v>28</v>
      </c>
      <c r="AC347">
        <v>254.5103</v>
      </c>
      <c r="AD347">
        <v>-0.6028521</v>
      </c>
      <c r="AE347">
        <v>-7.1143000000000702</v>
      </c>
      <c r="AF347">
        <v>8.5318984200428503</v>
      </c>
      <c r="AG347">
        <v>-0.6028521</v>
      </c>
      <c r="AH347">
        <v>254.46529414584899</v>
      </c>
      <c r="AI347">
        <v>90.135662578061002</v>
      </c>
      <c r="AJ347">
        <v>88.079664598520395</v>
      </c>
      <c r="AK347">
        <v>254.608999538582</v>
      </c>
      <c r="AL347">
        <v>79.324862757615193</v>
      </c>
      <c r="AM347">
        <v>93.716706486994497</v>
      </c>
      <c r="AN347">
        <v>0.99999996821747905</v>
      </c>
    </row>
    <row r="348" spans="1:40" x14ac:dyDescent="0.25">
      <c r="A348" t="str">
        <f>"20190304155320489"</f>
        <v>20190304155320489</v>
      </c>
      <c r="B348" t="str">
        <f>"1551686000486216"</f>
        <v>1551686000486216</v>
      </c>
      <c r="C348" t="s">
        <v>40</v>
      </c>
      <c r="D348">
        <v>4.5489069999999998</v>
      </c>
      <c r="E348">
        <v>0.53525310000000004</v>
      </c>
      <c r="F348" t="s">
        <v>41</v>
      </c>
      <c r="G348">
        <v>-158.19499999999999</v>
      </c>
      <c r="H348">
        <v>0.34255029999999997</v>
      </c>
      <c r="I348">
        <v>360.37220000000002</v>
      </c>
      <c r="J348">
        <v>-412.44569999999999</v>
      </c>
      <c r="K348">
        <v>1.0603320000000001</v>
      </c>
      <c r="L348">
        <v>367.5523</v>
      </c>
      <c r="M348">
        <v>0.99987170000000003</v>
      </c>
      <c r="N348">
        <v>-1.516168E-2</v>
      </c>
      <c r="O348">
        <v>5.1833259999999898E-3</v>
      </c>
      <c r="P348">
        <v>0.98304400000000003</v>
      </c>
      <c r="Q348">
        <v>0.1698152</v>
      </c>
      <c r="R348">
        <v>6.9193690000000002E-2</v>
      </c>
      <c r="S348">
        <v>3.0596009999999998</v>
      </c>
      <c r="T348">
        <v>-8.6276530000000008E-3</v>
      </c>
      <c r="U348">
        <v>-8.6303710000000006E-2</v>
      </c>
      <c r="V348">
        <v>-6.3952350000000005E-2</v>
      </c>
      <c r="W348">
        <v>0.18475569999999999</v>
      </c>
      <c r="X348">
        <v>0.9807015</v>
      </c>
      <c r="Y348">
        <v>3.3376530000000001E-2</v>
      </c>
      <c r="Z348">
        <v>-2.3617660000000001E-4</v>
      </c>
      <c r="AA348">
        <v>0.99944279999999996</v>
      </c>
      <c r="AB348">
        <v>27</v>
      </c>
      <c r="AC348">
        <v>254.25069999999999</v>
      </c>
      <c r="AD348">
        <v>-0.71778169999999997</v>
      </c>
      <c r="AE348">
        <v>-7.1800999999999799</v>
      </c>
      <c r="AF348">
        <v>8.4979515063626092</v>
      </c>
      <c r="AG348">
        <v>-0.71778169999999997</v>
      </c>
      <c r="AH348">
        <v>254.208038224338</v>
      </c>
      <c r="AI348">
        <v>90.161689587930596</v>
      </c>
      <c r="AJ348">
        <v>88.085365393294495</v>
      </c>
      <c r="AK348">
        <v>254.35105088880599</v>
      </c>
      <c r="AL348">
        <v>79.353110507900297</v>
      </c>
      <c r="AM348">
        <v>93.731022144361802</v>
      </c>
      <c r="AN348">
        <v>1.0000000019276301</v>
      </c>
    </row>
    <row r="349" spans="1:40" x14ac:dyDescent="0.25">
      <c r="A349" t="str">
        <f>"20190304155320511"</f>
        <v>20190304155320511</v>
      </c>
      <c r="B349" t="str">
        <f>"1551686000505737"</f>
        <v>1551686000505737</v>
      </c>
      <c r="C349" t="s">
        <v>40</v>
      </c>
      <c r="D349">
        <v>4.5273349999999999</v>
      </c>
      <c r="E349">
        <v>0.53515290000000004</v>
      </c>
      <c r="F349" t="s">
        <v>41</v>
      </c>
      <c r="G349">
        <v>-158.19499999999999</v>
      </c>
      <c r="H349">
        <v>0.19992070000000001</v>
      </c>
      <c r="I349">
        <v>360.42610000000002</v>
      </c>
      <c r="J349">
        <v>-412.16809999999998</v>
      </c>
      <c r="K349">
        <v>1.060333</v>
      </c>
      <c r="L349">
        <v>367.55329999999998</v>
      </c>
      <c r="M349">
        <v>0.99987380000000003</v>
      </c>
      <c r="N349">
        <v>-1.515533E-2</v>
      </c>
      <c r="O349">
        <v>4.7698899999999997E-3</v>
      </c>
      <c r="P349">
        <v>0.9830816</v>
      </c>
      <c r="Q349">
        <v>0.16965450000000001</v>
      </c>
      <c r="R349">
        <v>6.904979E-2</v>
      </c>
      <c r="S349">
        <v>3.0595699999999999</v>
      </c>
      <c r="T349">
        <v>-1.035285E-2</v>
      </c>
      <c r="U349">
        <v>-8.575439E-2</v>
      </c>
      <c r="V349">
        <v>-6.4215320000000006E-2</v>
      </c>
      <c r="W349">
        <v>0.18458840000000001</v>
      </c>
      <c r="X349">
        <v>0.98071580000000003</v>
      </c>
      <c r="Y349">
        <v>3.2784130000000002E-2</v>
      </c>
      <c r="Z349">
        <v>-2.478081E-4</v>
      </c>
      <c r="AA349">
        <v>0.99946239999999997</v>
      </c>
      <c r="AB349">
        <v>27</v>
      </c>
      <c r="AC349">
        <v>253.97309999999999</v>
      </c>
      <c r="AD349">
        <v>-0.86041229999999902</v>
      </c>
      <c r="AE349">
        <v>-7.1271999999999496</v>
      </c>
      <c r="AF349">
        <v>8.3385861385893492</v>
      </c>
      <c r="AG349">
        <v>-0.86041229999999902</v>
      </c>
      <c r="AH349">
        <v>253.93329811483301</v>
      </c>
      <c r="AI349">
        <v>90.194032242098899</v>
      </c>
      <c r="AJ349">
        <v>88.119214060865005</v>
      </c>
      <c r="AK349">
        <v>254.07162812796199</v>
      </c>
      <c r="AL349">
        <v>79.362863638802594</v>
      </c>
      <c r="AM349">
        <v>93.746265916121899</v>
      </c>
      <c r="AN349">
        <v>0.99999998255345102</v>
      </c>
    </row>
    <row r="350" spans="1:40" x14ac:dyDescent="0.25">
      <c r="A350" t="str">
        <f>"20190304155320533"</f>
        <v>20190304155320533</v>
      </c>
      <c r="B350" t="str">
        <f>"1551686000526234"</f>
        <v>1551686000526234</v>
      </c>
      <c r="C350" t="s">
        <v>40</v>
      </c>
      <c r="D350">
        <v>4.6080139999999998</v>
      </c>
      <c r="E350">
        <v>0.53507369999999899</v>
      </c>
      <c r="F350" t="s">
        <v>41</v>
      </c>
      <c r="G350">
        <v>-158.19499999999999</v>
      </c>
      <c r="H350">
        <v>0.1159973</v>
      </c>
      <c r="I350">
        <v>360.48809999999997</v>
      </c>
      <c r="J350">
        <v>-411.91109999999998</v>
      </c>
      <c r="K350">
        <v>1.0603389999999999</v>
      </c>
      <c r="L350">
        <v>367.55410000000001</v>
      </c>
      <c r="M350">
        <v>0.99987559999999998</v>
      </c>
      <c r="N350">
        <v>-1.514941E-2</v>
      </c>
      <c r="O350">
        <v>4.3874999999999999E-3</v>
      </c>
      <c r="P350">
        <v>0.98313269999999997</v>
      </c>
      <c r="Q350">
        <v>0.1695315</v>
      </c>
      <c r="R350">
        <v>6.8624110000000002E-2</v>
      </c>
      <c r="S350">
        <v>3.0595699999999999</v>
      </c>
      <c r="T350">
        <v>-1.137519E-2</v>
      </c>
      <c r="U350">
        <v>-8.5113530000000007E-2</v>
      </c>
      <c r="V350">
        <v>-6.4166399999999998E-2</v>
      </c>
      <c r="W350">
        <v>0.1844605</v>
      </c>
      <c r="X350">
        <v>0.98074309999999998</v>
      </c>
      <c r="Y350">
        <v>3.2192650000000003E-2</v>
      </c>
      <c r="Z350">
        <v>-2.5359859999999999E-4</v>
      </c>
      <c r="AA350">
        <v>0.99948170000000003</v>
      </c>
      <c r="AB350">
        <v>27</v>
      </c>
      <c r="AC350">
        <v>253.71610000000001</v>
      </c>
      <c r="AD350">
        <v>-0.94434169999999995</v>
      </c>
      <c r="AE350">
        <v>-7.06600000000003</v>
      </c>
      <c r="AF350">
        <v>8.1791259180415405</v>
      </c>
      <c r="AG350">
        <v>-0.94434169999999995</v>
      </c>
      <c r="AH350">
        <v>253.679140113979</v>
      </c>
      <c r="AI350">
        <v>90.213176546109693</v>
      </c>
      <c r="AJ350">
        <v>88.153308511183397</v>
      </c>
      <c r="AK350">
        <v>253.812718379117</v>
      </c>
      <c r="AL350">
        <v>79.370320162105799</v>
      </c>
      <c r="AM350">
        <v>93.743316178015405</v>
      </c>
      <c r="AN350">
        <v>1.0000000155734099</v>
      </c>
    </row>
    <row r="351" spans="1:40" x14ac:dyDescent="0.25">
      <c r="A351" t="str">
        <f>"20190304155320555"</f>
        <v>20190304155320555</v>
      </c>
      <c r="B351" t="str">
        <f>"1551686000545756"</f>
        <v>1551686000545756</v>
      </c>
      <c r="C351" t="s">
        <v>40</v>
      </c>
      <c r="D351">
        <v>4.6150669999999998</v>
      </c>
      <c r="E351">
        <v>0.53504790000000002</v>
      </c>
      <c r="F351" t="s">
        <v>41</v>
      </c>
      <c r="G351">
        <v>-158.19499999999999</v>
      </c>
      <c r="H351">
        <v>7.0368769999999997E-2</v>
      </c>
      <c r="I351">
        <v>360.41500000000002</v>
      </c>
      <c r="J351">
        <v>-411.62909999999999</v>
      </c>
      <c r="K351">
        <v>1.060343</v>
      </c>
      <c r="L351">
        <v>367.55489999999998</v>
      </c>
      <c r="M351">
        <v>0.99987749999999997</v>
      </c>
      <c r="N351">
        <v>-1.5142869999999999E-2</v>
      </c>
      <c r="O351">
        <v>3.967567E-3</v>
      </c>
      <c r="P351">
        <v>0.98320949999999996</v>
      </c>
      <c r="Q351">
        <v>0.16939209999999999</v>
      </c>
      <c r="R351">
        <v>6.7864690000000005E-2</v>
      </c>
      <c r="S351">
        <v>3.0595400000000001</v>
      </c>
      <c r="T351">
        <v>-1.19369E-2</v>
      </c>
      <c r="U351">
        <v>-8.6090089999999994E-2</v>
      </c>
      <c r="V351">
        <v>-6.3820699999999994E-2</v>
      </c>
      <c r="W351">
        <v>0.1843147</v>
      </c>
      <c r="X351">
        <v>0.98079309999999997</v>
      </c>
      <c r="Y351">
        <v>3.2091910000000001E-2</v>
      </c>
      <c r="Z351">
        <v>-2.6104429999999998E-4</v>
      </c>
      <c r="AA351">
        <v>0.99948490000000001</v>
      </c>
      <c r="AB351">
        <v>27</v>
      </c>
      <c r="AC351">
        <v>253.4341</v>
      </c>
      <c r="AD351">
        <v>-0.98997422999999996</v>
      </c>
      <c r="AE351">
        <v>-7.1398999999999502</v>
      </c>
      <c r="AF351">
        <v>8.14535164695981</v>
      </c>
      <c r="AG351">
        <v>-0.98997422999999996</v>
      </c>
      <c r="AH351">
        <v>253.39991003992401</v>
      </c>
      <c r="AI351">
        <v>90.223724530932998</v>
      </c>
      <c r="AJ351">
        <v>88.1589037117717</v>
      </c>
      <c r="AK351">
        <v>253.53272216948599</v>
      </c>
      <c r="AL351">
        <v>79.378819966849804</v>
      </c>
      <c r="AM351">
        <v>93.723016463247404</v>
      </c>
      <c r="AN351">
        <v>1.00000004769609</v>
      </c>
    </row>
    <row r="352" spans="1:40" x14ac:dyDescent="0.25">
      <c r="A352" t="str">
        <f>"20190304155320576"</f>
        <v>20190304155320576</v>
      </c>
      <c r="B352" t="str">
        <f>"1551686000566248"</f>
        <v>1551686000566248</v>
      </c>
      <c r="C352" t="s">
        <v>40</v>
      </c>
      <c r="D352">
        <v>4.521846</v>
      </c>
      <c r="E352">
        <v>0.53495539999999997</v>
      </c>
      <c r="F352" t="s">
        <v>45</v>
      </c>
      <c r="G352">
        <v>-177.16460000000001</v>
      </c>
      <c r="H352">
        <v>7.9988000000000004E-2</v>
      </c>
      <c r="I352">
        <v>360.81479999999999</v>
      </c>
      <c r="J352">
        <v>-411.36500000000001</v>
      </c>
      <c r="K352">
        <v>1.0603370000000001</v>
      </c>
      <c r="L352">
        <v>367.55549999999999</v>
      </c>
      <c r="M352">
        <v>0.99987919999999997</v>
      </c>
      <c r="N352">
        <v>-1.513575E-2</v>
      </c>
      <c r="O352">
        <v>3.5739220000000002E-3</v>
      </c>
      <c r="P352">
        <v>0.98330740000000005</v>
      </c>
      <c r="Q352">
        <v>0.1693479</v>
      </c>
      <c r="R352">
        <v>6.6545850000000004E-2</v>
      </c>
      <c r="S352">
        <v>3.0595400000000001</v>
      </c>
      <c r="T352">
        <v>-1.2792710000000001E-2</v>
      </c>
      <c r="U352">
        <v>-8.7951660000000001E-2</v>
      </c>
      <c r="V352">
        <v>-6.2888739999999999E-2</v>
      </c>
      <c r="W352">
        <v>0.1842636</v>
      </c>
      <c r="X352">
        <v>0.98086289999999998</v>
      </c>
      <c r="Y352">
        <v>3.2305979999999998E-2</v>
      </c>
      <c r="Z352">
        <v>-2.7293709999999999E-4</v>
      </c>
      <c r="AA352">
        <v>0.99947799999999998</v>
      </c>
      <c r="AB352">
        <v>27</v>
      </c>
      <c r="AC352">
        <v>234.2004</v>
      </c>
      <c r="AD352">
        <v>-0.98034900000000003</v>
      </c>
      <c r="AE352">
        <v>-6.7407000000000004</v>
      </c>
      <c r="AF352">
        <v>7.5776340126715098</v>
      </c>
      <c r="AG352">
        <v>-0.98034900000000003</v>
      </c>
      <c r="AH352">
        <v>234.170710682557</v>
      </c>
      <c r="AI352">
        <v>90.2397402593664</v>
      </c>
      <c r="AJ352">
        <v>88.146587171092307</v>
      </c>
      <c r="AK352">
        <v>234.29533363463599</v>
      </c>
      <c r="AL352">
        <v>79.381798808269806</v>
      </c>
      <c r="AM352">
        <v>93.668539267982496</v>
      </c>
      <c r="AN352">
        <v>1.0000000482500699</v>
      </c>
    </row>
    <row r="353" spans="1:40" x14ac:dyDescent="0.25">
      <c r="A353" t="str">
        <f>"20190304155320600"</f>
        <v>20190304155320600</v>
      </c>
      <c r="B353" t="str">
        <f>"1551686000595528"</f>
        <v>1551686000595528</v>
      </c>
      <c r="C353" t="s">
        <v>40</v>
      </c>
      <c r="D353">
        <v>4.5327099999999998</v>
      </c>
      <c r="E353">
        <v>0.53480629999999996</v>
      </c>
      <c r="F353" t="s">
        <v>45</v>
      </c>
      <c r="G353">
        <v>-178.429</v>
      </c>
      <c r="H353">
        <v>7.9987950000000002E-2</v>
      </c>
      <c r="I353">
        <v>360.60320000000002</v>
      </c>
      <c r="J353">
        <v>-411.09190000000001</v>
      </c>
      <c r="K353">
        <v>1.060341</v>
      </c>
      <c r="L353">
        <v>367.55599999999998</v>
      </c>
      <c r="M353">
        <v>0.99988069999999896</v>
      </c>
      <c r="N353">
        <v>-1.512667E-2</v>
      </c>
      <c r="O353">
        <v>3.1694660000000001E-3</v>
      </c>
      <c r="P353">
        <v>0.98341179999999995</v>
      </c>
      <c r="Q353">
        <v>0.16928280000000001</v>
      </c>
      <c r="R353">
        <v>6.5155160000000004E-2</v>
      </c>
      <c r="S353">
        <v>3.059326</v>
      </c>
      <c r="T353">
        <v>-1.287568E-2</v>
      </c>
      <c r="U353">
        <v>-9.1308589999999995E-2</v>
      </c>
      <c r="V353">
        <v>-6.1897090000000002E-2</v>
      </c>
      <c r="W353">
        <v>0.18418960000000001</v>
      </c>
      <c r="X353">
        <v>0.98093980000000003</v>
      </c>
      <c r="Y353">
        <v>3.2999430000000003E-2</v>
      </c>
      <c r="Z353">
        <v>-2.844875E-4</v>
      </c>
      <c r="AA353">
        <v>0.99945530000000005</v>
      </c>
      <c r="AB353">
        <v>27</v>
      </c>
      <c r="AC353">
        <v>232.66290000000001</v>
      </c>
      <c r="AD353">
        <v>-0.98035304999999995</v>
      </c>
      <c r="AE353">
        <v>-6.9527999999999599</v>
      </c>
      <c r="AF353">
        <v>7.6901300865973798</v>
      </c>
      <c r="AG353">
        <v>-0.98035304999999995</v>
      </c>
      <c r="AH353">
        <v>232.63556527418601</v>
      </c>
      <c r="AI353">
        <v>90.241317770008195</v>
      </c>
      <c r="AJ353">
        <v>88.106688409124502</v>
      </c>
      <c r="AK353">
        <v>232.76469969325601</v>
      </c>
      <c r="AL353">
        <v>79.386111742307506</v>
      </c>
      <c r="AM353">
        <v>93.6105644975231</v>
      </c>
      <c r="AN353">
        <v>0.99999997486133296</v>
      </c>
    </row>
    <row r="354" spans="1:40" x14ac:dyDescent="0.25">
      <c r="A354" t="str">
        <f>"20190304155320633"</f>
        <v>20190304155320633</v>
      </c>
      <c r="B354" t="str">
        <f>"1551686000625785"</f>
        <v>1551686000625785</v>
      </c>
      <c r="C354" t="s">
        <v>40</v>
      </c>
      <c r="D354">
        <v>4.702197</v>
      </c>
      <c r="E354">
        <v>0.53467540000000002</v>
      </c>
      <c r="F354" t="s">
        <v>45</v>
      </c>
      <c r="G354">
        <v>-179.99289999999999</v>
      </c>
      <c r="H354">
        <v>5.7145250000000002E-2</v>
      </c>
      <c r="I354">
        <v>360.43459999999999</v>
      </c>
      <c r="J354">
        <v>-410.6909</v>
      </c>
      <c r="K354">
        <v>1.060351</v>
      </c>
      <c r="L354">
        <v>367.55650000000003</v>
      </c>
      <c r="M354">
        <v>0.99988259999999995</v>
      </c>
      <c r="N354">
        <v>-1.511145E-2</v>
      </c>
      <c r="O354">
        <v>2.5883339999999999E-3</v>
      </c>
      <c r="P354">
        <v>0.98334869999999996</v>
      </c>
      <c r="Q354">
        <v>0.17028660000000001</v>
      </c>
      <c r="R354">
        <v>6.3468490000000002E-2</v>
      </c>
      <c r="S354">
        <v>3.0591430000000002</v>
      </c>
      <c r="T354">
        <v>-1.327968E-2</v>
      </c>
      <c r="U354">
        <v>-9.42688E-2</v>
      </c>
      <c r="V354">
        <v>-6.0785459999999999E-2</v>
      </c>
      <c r="W354">
        <v>0.18517510000000001</v>
      </c>
      <c r="X354">
        <v>0.98082380000000002</v>
      </c>
      <c r="Y354">
        <v>3.3386550000000001E-2</v>
      </c>
      <c r="Z354">
        <v>-2.969135E-4</v>
      </c>
      <c r="AA354">
        <v>0.99944250000000001</v>
      </c>
      <c r="AB354">
        <v>27</v>
      </c>
      <c r="AC354">
        <v>230.69799999999901</v>
      </c>
      <c r="AD354">
        <v>-1.00320575</v>
      </c>
      <c r="AE354">
        <v>-7.1219000000000303</v>
      </c>
      <c r="AF354">
        <v>7.7189218986690502</v>
      </c>
      <c r="AG354">
        <v>-1.00320575</v>
      </c>
      <c r="AH354">
        <v>230.67443317762101</v>
      </c>
      <c r="AI354">
        <v>90.249039042076006</v>
      </c>
      <c r="AJ354">
        <v>88.083460397862893</v>
      </c>
      <c r="AK354">
        <v>230.805724146676</v>
      </c>
      <c r="AL354">
        <v>79.328658811451504</v>
      </c>
      <c r="AM354">
        <v>93.546306436972998</v>
      </c>
      <c r="AN354">
        <v>1.00000000822693</v>
      </c>
    </row>
    <row r="355" spans="1:40" x14ac:dyDescent="0.25">
      <c r="A355" t="str">
        <f>"20190304155320657"</f>
        <v>20190304155320657</v>
      </c>
      <c r="B355" t="str">
        <f>"1551686000646280"</f>
        <v>1551686000646280</v>
      </c>
      <c r="C355" t="s">
        <v>40</v>
      </c>
      <c r="D355">
        <v>4.6766379999999996</v>
      </c>
      <c r="E355">
        <v>0.48990840000000002</v>
      </c>
      <c r="F355" t="s">
        <v>41</v>
      </c>
      <c r="G355">
        <v>-158.19499999999999</v>
      </c>
      <c r="H355">
        <v>0.21079439999999999</v>
      </c>
      <c r="I355">
        <v>359.43270000000001</v>
      </c>
      <c r="J355">
        <v>-410.39699999999999</v>
      </c>
      <c r="K355">
        <v>1.06036</v>
      </c>
      <c r="L355">
        <v>367.55680000000001</v>
      </c>
      <c r="M355">
        <v>0.99988370000000004</v>
      </c>
      <c r="N355">
        <v>-1.510015E-2</v>
      </c>
      <c r="O355">
        <v>2.1745480000000001E-3</v>
      </c>
      <c r="P355">
        <v>0.98334259999999996</v>
      </c>
      <c r="Q355">
        <v>0.17066779999999901</v>
      </c>
      <c r="R355">
        <v>6.2529000000000001E-2</v>
      </c>
      <c r="S355">
        <v>3.0589599999999999</v>
      </c>
      <c r="T355">
        <v>-1.029122E-2</v>
      </c>
      <c r="U355">
        <v>-9.8419190000000004E-2</v>
      </c>
      <c r="V355">
        <v>-6.0255980000000001E-2</v>
      </c>
      <c r="W355">
        <v>0.1855425</v>
      </c>
      <c r="X355">
        <v>0.98078699999999996</v>
      </c>
      <c r="Y355">
        <v>3.4329810000000002E-2</v>
      </c>
      <c r="Z355">
        <v>-2.9149550000000002E-4</v>
      </c>
      <c r="AA355">
        <v>0.99941049999999998</v>
      </c>
      <c r="AB355">
        <v>27</v>
      </c>
      <c r="AC355">
        <v>252.202</v>
      </c>
      <c r="AD355">
        <v>-0.84956559999999903</v>
      </c>
      <c r="AE355">
        <v>-8.1240999999999897</v>
      </c>
      <c r="AF355">
        <v>8.67247032635232</v>
      </c>
      <c r="AG355">
        <v>-0.84956559999999903</v>
      </c>
      <c r="AH355">
        <v>252.18087668254199</v>
      </c>
      <c r="AI355">
        <v>90.192907494180403</v>
      </c>
      <c r="AJ355">
        <v>88.030381184719701</v>
      </c>
      <c r="AK355">
        <v>252.331385419344</v>
      </c>
      <c r="AL355">
        <v>79.307236719902903</v>
      </c>
      <c r="AM355">
        <v>93.5156252363183</v>
      </c>
      <c r="AN355">
        <v>0.99999997090050396</v>
      </c>
    </row>
    <row r="356" spans="1:40" x14ac:dyDescent="0.25">
      <c r="A356" t="str">
        <f>"20190304155320677"</f>
        <v>20190304155320677</v>
      </c>
      <c r="B356" t="str">
        <f>"1551686000665800"</f>
        <v>1551686000665800</v>
      </c>
      <c r="C356" t="s">
        <v>40</v>
      </c>
      <c r="D356">
        <v>4.6064669999999897</v>
      </c>
      <c r="E356">
        <v>0.48029110000000003</v>
      </c>
      <c r="F356" t="s">
        <v>46</v>
      </c>
      <c r="G356">
        <v>-374.52670000000001</v>
      </c>
      <c r="H356" s="1">
        <v>-2.5770949999999999E-6</v>
      </c>
      <c r="I356">
        <v>370.54360000000003</v>
      </c>
      <c r="J356">
        <v>-410.14679999999998</v>
      </c>
      <c r="K356">
        <v>1.060368</v>
      </c>
      <c r="L356">
        <v>367.55700000000002</v>
      </c>
      <c r="M356">
        <v>0.99988449999999995</v>
      </c>
      <c r="N356">
        <v>-1.509074E-2</v>
      </c>
      <c r="O356">
        <v>1.8321399999999999E-3</v>
      </c>
      <c r="P356">
        <v>0.98336369999999895</v>
      </c>
      <c r="Q356">
        <v>0.17069389999999901</v>
      </c>
      <c r="R356">
        <v>6.2125409999999999E-2</v>
      </c>
      <c r="S356">
        <v>3.0503230000000001</v>
      </c>
      <c r="T356">
        <v>-9.0170620000000007E-2</v>
      </c>
      <c r="U356">
        <v>0.2539978</v>
      </c>
      <c r="V356">
        <v>-6.01936E-2</v>
      </c>
      <c r="W356">
        <v>0.1855579</v>
      </c>
      <c r="X356">
        <v>0.98078790000000005</v>
      </c>
      <c r="Y356">
        <v>-8.1102709999999995E-2</v>
      </c>
      <c r="Z356">
        <v>1.783197E-3</v>
      </c>
      <c r="AA356">
        <v>0.99670420000000004</v>
      </c>
      <c r="AB356">
        <v>27</v>
      </c>
      <c r="AC356">
        <v>35.620099999999901</v>
      </c>
      <c r="AD356">
        <v>-1.060370577095</v>
      </c>
      <c r="AE356">
        <v>2.9866000000000601</v>
      </c>
      <c r="AF356">
        <v>-2.9187580406275799</v>
      </c>
      <c r="AG356">
        <v>-1.060370577095</v>
      </c>
      <c r="AH356">
        <v>35.594189813051997</v>
      </c>
      <c r="AI356">
        <v>91.700663437375795</v>
      </c>
      <c r="AJ356">
        <v>94.687820972729199</v>
      </c>
      <c r="AK356">
        <v>35.729398017711901</v>
      </c>
      <c r="AL356">
        <v>79.306338591766703</v>
      </c>
      <c r="AM356">
        <v>93.511991585001894</v>
      </c>
      <c r="AN356">
        <v>0.99999995425988897</v>
      </c>
    </row>
    <row r="357" spans="1:40" x14ac:dyDescent="0.25">
      <c r="A357" t="str">
        <f>"20190304155320700"</f>
        <v>20190304155320700</v>
      </c>
      <c r="B357" t="str">
        <f>"1551686000696058"</f>
        <v>1551686000696058</v>
      </c>
      <c r="C357" t="s">
        <v>40</v>
      </c>
      <c r="D357">
        <v>4.5596990000000002</v>
      </c>
      <c r="E357">
        <v>0.47494029999999998</v>
      </c>
      <c r="F357" t="s">
        <v>46</v>
      </c>
      <c r="G357">
        <v>-378.20069999999998</v>
      </c>
      <c r="H357" s="1">
        <v>-1.1239960000000001E-6</v>
      </c>
      <c r="I357">
        <v>371.0061</v>
      </c>
      <c r="J357">
        <v>-409.88069999999999</v>
      </c>
      <c r="K357">
        <v>1.0603819999999999</v>
      </c>
      <c r="L357">
        <v>367.55709999999999</v>
      </c>
      <c r="M357">
        <v>0.99988520000000003</v>
      </c>
      <c r="N357">
        <v>-1.507791E-2</v>
      </c>
      <c r="O357">
        <v>1.4805580000000001E-3</v>
      </c>
      <c r="P357">
        <v>0.98341069999999997</v>
      </c>
      <c r="Q357">
        <v>0.17047709999999999</v>
      </c>
      <c r="R357">
        <v>6.1975210000000003E-2</v>
      </c>
      <c r="S357">
        <v>3.0475460000000001</v>
      </c>
      <c r="T357">
        <v>-0.1011555</v>
      </c>
      <c r="U357">
        <v>0.32904050000000001</v>
      </c>
      <c r="V357">
        <v>-6.0393629999999997E-2</v>
      </c>
      <c r="W357">
        <v>0.18532789999999999</v>
      </c>
      <c r="X357">
        <v>0.9808192</v>
      </c>
      <c r="Y357">
        <v>-0.1057891</v>
      </c>
      <c r="Z357">
        <v>2.5236170000000001E-3</v>
      </c>
      <c r="AA357">
        <v>0.99438539999999997</v>
      </c>
      <c r="AB357">
        <v>27</v>
      </c>
      <c r="AC357">
        <v>31.68</v>
      </c>
      <c r="AD357">
        <v>-1.060383123996</v>
      </c>
      <c r="AE357">
        <v>3.4490000000000101</v>
      </c>
      <c r="AF357">
        <v>-3.3983240801030998</v>
      </c>
      <c r="AG357">
        <v>-1.060383123996</v>
      </c>
      <c r="AH357">
        <v>31.650028422602201</v>
      </c>
      <c r="AI357">
        <v>91.907926581677003</v>
      </c>
      <c r="AJ357">
        <v>96.128478205139402</v>
      </c>
      <c r="AK357">
        <v>31.8496046768966</v>
      </c>
      <c r="AL357">
        <v>79.319750393676898</v>
      </c>
      <c r="AM357">
        <v>93.523520802754405</v>
      </c>
      <c r="AN357">
        <v>1.00000006207581</v>
      </c>
    </row>
    <row r="358" spans="1:40" x14ac:dyDescent="0.25">
      <c r="A358" t="str">
        <f>"20190304155320722"</f>
        <v>20190304155320722</v>
      </c>
      <c r="B358" t="str">
        <f>"1551686000715576"</f>
        <v>1551686000715576</v>
      </c>
      <c r="C358" t="s">
        <v>40</v>
      </c>
      <c r="D358">
        <v>4.5967960000000003</v>
      </c>
      <c r="E358">
        <v>0.47315659999999998</v>
      </c>
      <c r="F358" t="s">
        <v>46</v>
      </c>
      <c r="G358">
        <v>-380.87720000000002</v>
      </c>
      <c r="H358" s="1">
        <v>-4.238524E-6</v>
      </c>
      <c r="I358">
        <v>371.08760000000001</v>
      </c>
      <c r="J358">
        <v>-409.61509999999998</v>
      </c>
      <c r="K358">
        <v>1.060387</v>
      </c>
      <c r="L358">
        <v>367.55709999999999</v>
      </c>
      <c r="M358">
        <v>0.99988600000000005</v>
      </c>
      <c r="N358">
        <v>-1.5060749999999999E-2</v>
      </c>
      <c r="O358">
        <v>1.1460120000000001E-3</v>
      </c>
      <c r="P358">
        <v>0.98351250000000001</v>
      </c>
      <c r="Q358">
        <v>0.1698566</v>
      </c>
      <c r="R358">
        <v>6.206656E-2</v>
      </c>
      <c r="S358">
        <v>3.0465390000000001</v>
      </c>
      <c r="T358">
        <v>-0.111383</v>
      </c>
      <c r="U358">
        <v>0.3708496</v>
      </c>
      <c r="V358">
        <v>-6.0819640000000001E-2</v>
      </c>
      <c r="W358">
        <v>0.1846901</v>
      </c>
      <c r="X358">
        <v>0.98091309999999998</v>
      </c>
      <c r="Y358">
        <v>-0.119586999999999</v>
      </c>
      <c r="Z358">
        <v>3.0571040000000002E-3</v>
      </c>
      <c r="AA358">
        <v>0.99281900000000001</v>
      </c>
      <c r="AB358">
        <v>27</v>
      </c>
      <c r="AC358">
        <v>28.7378999999999</v>
      </c>
      <c r="AD358">
        <v>-1.060391238524</v>
      </c>
      <c r="AE358">
        <v>3.5305000000000102</v>
      </c>
      <c r="AF358">
        <v>-3.49287507718293</v>
      </c>
      <c r="AG358">
        <v>-1.060391238524</v>
      </c>
      <c r="AH358">
        <v>28.703428499301499</v>
      </c>
      <c r="AI358">
        <v>92.100237725270503</v>
      </c>
      <c r="AJ358">
        <v>96.938120771170304</v>
      </c>
      <c r="AK358">
        <v>28.934605812038601</v>
      </c>
      <c r="AL358">
        <v>79.356934752086104</v>
      </c>
      <c r="AM358">
        <v>93.547973248193898</v>
      </c>
      <c r="AN358">
        <v>0.99999998569967397</v>
      </c>
    </row>
    <row r="359" spans="1:40" x14ac:dyDescent="0.25">
      <c r="A359" t="str">
        <f>"20190304155320744"</f>
        <v>20190304155320744</v>
      </c>
      <c r="B359" t="str">
        <f>"1551686000736073"</f>
        <v>1551686000736073</v>
      </c>
      <c r="C359" t="s">
        <v>40</v>
      </c>
      <c r="D359">
        <v>4.5789289999999996</v>
      </c>
      <c r="E359">
        <v>0.47140609999999999</v>
      </c>
      <c r="F359" t="s">
        <v>46</v>
      </c>
      <c r="G359">
        <v>-381.5729</v>
      </c>
      <c r="H359" s="1">
        <v>-3.9933030000000002E-6</v>
      </c>
      <c r="I359">
        <v>371.1037</v>
      </c>
      <c r="J359">
        <v>-409.34550000000002</v>
      </c>
      <c r="K359">
        <v>1.060392</v>
      </c>
      <c r="L359">
        <v>367.55700000000002</v>
      </c>
      <c r="M359">
        <v>0.99988659999999996</v>
      </c>
      <c r="N359">
        <v>-1.5040919999999999E-2</v>
      </c>
      <c r="O359">
        <v>8.2427019999999995E-4</v>
      </c>
      <c r="P359">
        <v>0.98369709999999999</v>
      </c>
      <c r="Q359">
        <v>0.1687545</v>
      </c>
      <c r="R359">
        <v>6.2145890000000002E-2</v>
      </c>
      <c r="S359">
        <v>3.0458370000000001</v>
      </c>
      <c r="T359">
        <v>-0.11517520000000001</v>
      </c>
      <c r="U359">
        <v>0.38522339999999999</v>
      </c>
      <c r="V359">
        <v>-6.1221860000000003E-2</v>
      </c>
      <c r="W359">
        <v>0.18356990000000001</v>
      </c>
      <c r="X359">
        <v>0.98109840000000004</v>
      </c>
      <c r="Y359">
        <v>-0.124535199999999</v>
      </c>
      <c r="Z359">
        <v>3.2665229999999999E-3</v>
      </c>
      <c r="AA359">
        <v>0.99220980000000003</v>
      </c>
      <c r="AB359">
        <v>27</v>
      </c>
      <c r="AC359">
        <v>27.772600000000001</v>
      </c>
      <c r="AD359">
        <v>-1.0603959933030001</v>
      </c>
      <c r="AE359">
        <v>3.5467000000000399</v>
      </c>
      <c r="AF359">
        <v>-3.5187566913947901</v>
      </c>
      <c r="AG359">
        <v>-1.0603959933030001</v>
      </c>
      <c r="AH359">
        <v>27.735729541563799</v>
      </c>
      <c r="AI359">
        <v>92.172079782421605</v>
      </c>
      <c r="AJ359">
        <v>97.230333587119503</v>
      </c>
      <c r="AK359">
        <v>27.978148286093301</v>
      </c>
      <c r="AL359">
        <v>79.422234642136104</v>
      </c>
      <c r="AM359">
        <v>93.570703834806594</v>
      </c>
      <c r="AN359">
        <v>1.00000004740521</v>
      </c>
    </row>
    <row r="360" spans="1:40" x14ac:dyDescent="0.25">
      <c r="A360" t="str">
        <f>"20190304155320767"</f>
        <v>20190304155320767</v>
      </c>
      <c r="B360" t="str">
        <f>"1551686000755595"</f>
        <v>1551686000755595</v>
      </c>
      <c r="C360" t="s">
        <v>40</v>
      </c>
      <c r="D360">
        <v>4.5584449999999999</v>
      </c>
      <c r="E360">
        <v>0.47051959999999998</v>
      </c>
      <c r="F360" t="s">
        <v>46</v>
      </c>
      <c r="G360">
        <v>-383.4425</v>
      </c>
      <c r="H360" s="1">
        <v>-3.152267E-6</v>
      </c>
      <c r="I360">
        <v>370.9572</v>
      </c>
      <c r="J360">
        <v>-409.08150000000001</v>
      </c>
      <c r="K360">
        <v>1.060406</v>
      </c>
      <c r="L360">
        <v>367.55689999999998</v>
      </c>
      <c r="M360">
        <v>0.99988719999999998</v>
      </c>
      <c r="N360">
        <v>-1.5021339999999999E-2</v>
      </c>
      <c r="O360">
        <v>5.2265649999999999E-4</v>
      </c>
      <c r="P360">
        <v>0.98376070000000004</v>
      </c>
      <c r="Q360">
        <v>0.16828080000000001</v>
      </c>
      <c r="R360">
        <v>6.2425199999999903E-2</v>
      </c>
      <c r="S360">
        <v>3.0458069999999999</v>
      </c>
      <c r="T360">
        <v>-0.1246864</v>
      </c>
      <c r="U360">
        <v>0.39981080000000002</v>
      </c>
      <c r="V360">
        <v>-6.1803520000000001E-2</v>
      </c>
      <c r="W360">
        <v>0.18307590000000001</v>
      </c>
      <c r="X360">
        <v>0.98115419999999998</v>
      </c>
      <c r="Y360">
        <v>-0.12948499999999999</v>
      </c>
      <c r="Z360">
        <v>3.6017549999999999E-3</v>
      </c>
      <c r="AA360">
        <v>0.99157479999999998</v>
      </c>
      <c r="AB360">
        <v>27</v>
      </c>
      <c r="AC360">
        <v>25.638999999999999</v>
      </c>
      <c r="AD360">
        <v>-1.0604091522669901</v>
      </c>
      <c r="AE360">
        <v>3.4003000000000099</v>
      </c>
      <c r="AF360">
        <v>-3.3812137523437</v>
      </c>
      <c r="AG360">
        <v>-1.0604091522669901</v>
      </c>
      <c r="AH360">
        <v>25.597743603288801</v>
      </c>
      <c r="AI360">
        <v>92.351767277513503</v>
      </c>
      <c r="AJ360">
        <v>97.524655734900094</v>
      </c>
      <c r="AK360">
        <v>25.841856581696302</v>
      </c>
      <c r="AL360">
        <v>79.451026326812993</v>
      </c>
      <c r="AM360">
        <v>93.604335095417099</v>
      </c>
      <c r="AN360">
        <v>1.0000000122114201</v>
      </c>
    </row>
    <row r="361" spans="1:40" x14ac:dyDescent="0.25">
      <c r="A361" t="str">
        <f>"20190304155320789"</f>
        <v>20190304155320789</v>
      </c>
      <c r="B361" t="str">
        <f>"1551686000785849"</f>
        <v>1551686000785849</v>
      </c>
      <c r="C361" t="s">
        <v>40</v>
      </c>
      <c r="D361">
        <v>4.5749630000000003</v>
      </c>
      <c r="E361">
        <v>0.46942600000000001</v>
      </c>
      <c r="F361" t="s">
        <v>46</v>
      </c>
      <c r="G361">
        <v>-383.55180000000001</v>
      </c>
      <c r="H361" s="1">
        <v>-3.109836E-6</v>
      </c>
      <c r="I361">
        <v>370.97399999999999</v>
      </c>
      <c r="J361">
        <v>-408.80680000000001</v>
      </c>
      <c r="K361">
        <v>1.0604180000000001</v>
      </c>
      <c r="L361">
        <v>367.55669999999998</v>
      </c>
      <c r="M361">
        <v>0.99988750000000004</v>
      </c>
      <c r="N361">
        <v>-1.500166E-2</v>
      </c>
      <c r="O361">
        <v>2.243806E-4</v>
      </c>
      <c r="P361">
        <v>0.98385210000000001</v>
      </c>
      <c r="Q361">
        <v>0.1677294</v>
      </c>
      <c r="R361">
        <v>6.2465819999999998E-2</v>
      </c>
      <c r="S361">
        <v>3.0453190000000001</v>
      </c>
      <c r="T361">
        <v>-0.12649150000000001</v>
      </c>
      <c r="U361">
        <v>0.40762330000000002</v>
      </c>
      <c r="V361">
        <v>-6.2143339999999998E-2</v>
      </c>
      <c r="W361">
        <v>0.1825049</v>
      </c>
      <c r="X361">
        <v>0.98123910000000003</v>
      </c>
      <c r="Y361">
        <v>-0.13229369999999999</v>
      </c>
      <c r="Z361">
        <v>3.7255650000000001E-3</v>
      </c>
      <c r="AA361">
        <v>0.99120350000000002</v>
      </c>
      <c r="AB361">
        <v>27</v>
      </c>
      <c r="AC361">
        <v>25.2549999999999</v>
      </c>
      <c r="AD361">
        <v>-1.0604211098359999</v>
      </c>
      <c r="AE361">
        <v>3.4173000000000102</v>
      </c>
      <c r="AF361">
        <v>-3.4057360585451701</v>
      </c>
      <c r="AG361">
        <v>-1.0604211098359999</v>
      </c>
      <c r="AH361">
        <v>25.212115490634002</v>
      </c>
      <c r="AI361">
        <v>92.386787288165294</v>
      </c>
      <c r="AJ361">
        <v>97.693135695577098</v>
      </c>
      <c r="AK361">
        <v>25.463194979101299</v>
      </c>
      <c r="AL361">
        <v>79.484302757816806</v>
      </c>
      <c r="AM361">
        <v>93.623787736830295</v>
      </c>
      <c r="AN361">
        <v>1.0000000022995801</v>
      </c>
    </row>
    <row r="362" spans="1:40" x14ac:dyDescent="0.25">
      <c r="A362" t="str">
        <f>"20190304155320812"</f>
        <v>20190304155320812</v>
      </c>
      <c r="B362" t="str">
        <f>"1551686000806345"</f>
        <v>1551686000806345</v>
      </c>
      <c r="C362" t="s">
        <v>40</v>
      </c>
      <c r="D362">
        <v>4.523898</v>
      </c>
      <c r="E362">
        <v>0.46888819999999998</v>
      </c>
      <c r="F362" t="s">
        <v>46</v>
      </c>
      <c r="G362">
        <v>-383.75659999999999</v>
      </c>
      <c r="H362" s="1">
        <v>-3.0245699999999998E-6</v>
      </c>
      <c r="I362">
        <v>370.98360000000002</v>
      </c>
      <c r="J362">
        <v>-408.54719999999998</v>
      </c>
      <c r="K362">
        <v>1.0604260000000001</v>
      </c>
      <c r="L362">
        <v>367.55650000000003</v>
      </c>
      <c r="M362">
        <v>0.99988779999999999</v>
      </c>
      <c r="N362">
        <v>-1.49839E-2</v>
      </c>
      <c r="O362" s="1">
        <v>-4.1266249999999998E-5</v>
      </c>
      <c r="P362">
        <v>0.983904</v>
      </c>
      <c r="Q362">
        <v>0.16742560000000001</v>
      </c>
      <c r="R362">
        <v>6.2463900000000003E-2</v>
      </c>
      <c r="S362">
        <v>3.0447690000000001</v>
      </c>
      <c r="T362">
        <v>-0.12889039999999999</v>
      </c>
      <c r="U362">
        <v>0.41653440000000003</v>
      </c>
      <c r="V362">
        <v>-6.240822E-2</v>
      </c>
      <c r="W362">
        <v>0.18218280000000001</v>
      </c>
      <c r="X362">
        <v>0.98128219999999999</v>
      </c>
      <c r="Y362">
        <v>-0.13541979999999901</v>
      </c>
      <c r="Z362">
        <v>3.8727800000000001E-3</v>
      </c>
      <c r="AA362">
        <v>0.99078080000000002</v>
      </c>
      <c r="AB362">
        <v>27</v>
      </c>
      <c r="AC362">
        <v>24.790599999999898</v>
      </c>
      <c r="AD362">
        <v>-1.0604290245700001</v>
      </c>
      <c r="AE362">
        <v>3.42709999999999</v>
      </c>
      <c r="AF362">
        <v>-3.42197921354024</v>
      </c>
      <c r="AG362">
        <v>-1.0604290245700001</v>
      </c>
      <c r="AH362">
        <v>24.746028854292199</v>
      </c>
      <c r="AI362">
        <v>92.430663795437297</v>
      </c>
      <c r="AJ362">
        <v>97.873156765225303</v>
      </c>
      <c r="AK362">
        <v>25.004007589014901</v>
      </c>
      <c r="AL362">
        <v>79.503072988626002</v>
      </c>
      <c r="AM362">
        <v>93.6390329502958</v>
      </c>
      <c r="AN362">
        <v>1.00000005728812</v>
      </c>
    </row>
    <row r="363" spans="1:40" x14ac:dyDescent="0.25">
      <c r="A363" t="str">
        <f>"20190304155320835"</f>
        <v>20190304155320835</v>
      </c>
      <c r="B363" t="str">
        <f>"1551686000825865"</f>
        <v>1551686000825865</v>
      </c>
      <c r="C363" t="s">
        <v>40</v>
      </c>
      <c r="D363">
        <v>4.5553249999999998</v>
      </c>
      <c r="E363">
        <v>0.46853640000000002</v>
      </c>
      <c r="F363" t="s">
        <v>46</v>
      </c>
      <c r="G363">
        <v>-383.75549999999998</v>
      </c>
      <c r="H363" s="1">
        <v>-3.0238429999999999E-6</v>
      </c>
      <c r="I363">
        <v>370.97910000000002</v>
      </c>
      <c r="J363">
        <v>-408.2722</v>
      </c>
      <c r="K363">
        <v>1.0604389999999999</v>
      </c>
      <c r="L363">
        <v>367.55619999999999</v>
      </c>
      <c r="M363">
        <v>0.99988809999999995</v>
      </c>
      <c r="N363">
        <v>-1.496609E-2</v>
      </c>
      <c r="O363">
        <v>-3.0413519999999999E-4</v>
      </c>
      <c r="P363">
        <v>0.98397380000000001</v>
      </c>
      <c r="Q363">
        <v>0.1670152</v>
      </c>
      <c r="R363">
        <v>6.2464890000000002E-2</v>
      </c>
      <c r="S363">
        <v>3.0445250000000001</v>
      </c>
      <c r="T363">
        <v>-0.1302247</v>
      </c>
      <c r="U363">
        <v>0.42031859999999999</v>
      </c>
      <c r="V363">
        <v>-6.2674380000000002E-2</v>
      </c>
      <c r="W363">
        <v>0.18175379999999999</v>
      </c>
      <c r="X363">
        <v>0.98134480000000002</v>
      </c>
      <c r="Y363">
        <v>-0.13689470000000001</v>
      </c>
      <c r="Z363">
        <v>3.9509130000000003E-3</v>
      </c>
      <c r="AA363">
        <v>0.99057770000000001</v>
      </c>
      <c r="AB363">
        <v>27</v>
      </c>
      <c r="AC363">
        <v>24.5167</v>
      </c>
      <c r="AD363">
        <v>-1.0604420238429999</v>
      </c>
      <c r="AE363">
        <v>3.4229000000000198</v>
      </c>
      <c r="AF363">
        <v>-3.4240734614230601</v>
      </c>
      <c r="AG363">
        <v>-1.0604420238429999</v>
      </c>
      <c r="AH363">
        <v>24.470750816998699</v>
      </c>
      <c r="AI363">
        <v>92.4574539680127</v>
      </c>
      <c r="AJ363">
        <v>97.965404162883004</v>
      </c>
      <c r="AK363">
        <v>24.731891595727099</v>
      </c>
      <c r="AL363">
        <v>79.528070345790994</v>
      </c>
      <c r="AM363">
        <v>93.654278321659405</v>
      </c>
      <c r="AN363">
        <v>1.00000006910493</v>
      </c>
    </row>
    <row r="364" spans="1:40" x14ac:dyDescent="0.25">
      <c r="A364" t="str">
        <f>"20190304155320860"</f>
        <v>20190304155320860</v>
      </c>
      <c r="B364" t="str">
        <f>"1551686000856121"</f>
        <v>1551686000856121</v>
      </c>
      <c r="C364" t="s">
        <v>40</v>
      </c>
      <c r="D364">
        <v>4.5535170000000003</v>
      </c>
      <c r="E364">
        <v>0.46802640000000001</v>
      </c>
      <c r="F364" t="s">
        <v>46</v>
      </c>
      <c r="G364">
        <v>-383.74400000000003</v>
      </c>
      <c r="H364" s="1">
        <v>-3.0243769999999998E-6</v>
      </c>
      <c r="I364">
        <v>370.96269999999998</v>
      </c>
      <c r="J364">
        <v>-407.98570000000001</v>
      </c>
      <c r="K364">
        <v>1.0604530000000001</v>
      </c>
      <c r="L364">
        <v>367.55579999999998</v>
      </c>
      <c r="M364">
        <v>0.9998882</v>
      </c>
      <c r="N364">
        <v>-1.494873E-2</v>
      </c>
      <c r="O364">
        <v>-5.5629819999999995E-4</v>
      </c>
      <c r="P364">
        <v>0.98386600000000002</v>
      </c>
      <c r="Q364">
        <v>0.1676039</v>
      </c>
      <c r="R364">
        <v>6.2583899999999998E-2</v>
      </c>
      <c r="S364">
        <v>3.0443730000000002</v>
      </c>
      <c r="T364">
        <v>-0.13161889999999901</v>
      </c>
      <c r="U364">
        <v>0.422821</v>
      </c>
      <c r="V364">
        <v>-6.3048069999999998E-2</v>
      </c>
      <c r="W364">
        <v>0.18232110000000001</v>
      </c>
      <c r="X364">
        <v>0.98121550000000002</v>
      </c>
      <c r="Y364">
        <v>-0.1379456</v>
      </c>
      <c r="Z364">
        <v>4.0186550000000003E-3</v>
      </c>
      <c r="AA364">
        <v>0.99043170000000003</v>
      </c>
      <c r="AB364">
        <v>27</v>
      </c>
      <c r="AC364">
        <v>24.241699999999899</v>
      </c>
      <c r="AD364">
        <v>-1.060456024377</v>
      </c>
      <c r="AE364">
        <v>3.4068999999999998</v>
      </c>
      <c r="AF364">
        <v>-3.4139800170628498</v>
      </c>
      <c r="AG364">
        <v>-1.060456024377</v>
      </c>
      <c r="AH364">
        <v>24.194398280782199</v>
      </c>
      <c r="AI364">
        <v>92.485117229922594</v>
      </c>
      <c r="AJ364">
        <v>98.031764103585104</v>
      </c>
      <c r="AK364">
        <v>24.457079439411</v>
      </c>
      <c r="AL364">
        <v>79.495012870447795</v>
      </c>
      <c r="AM364">
        <v>93.6764901194488</v>
      </c>
      <c r="AN364">
        <v>0.99999995003809095</v>
      </c>
    </row>
    <row r="365" spans="1:40" x14ac:dyDescent="0.25">
      <c r="A365" t="str">
        <f>"20190304155320880"</f>
        <v>20190304155320880</v>
      </c>
      <c r="B365" t="str">
        <f>"1551686000876617"</f>
        <v>1551686000876617</v>
      </c>
      <c r="C365" t="s">
        <v>40</v>
      </c>
      <c r="D365">
        <v>4.5354749999999999</v>
      </c>
      <c r="E365">
        <v>0.46775859999999903</v>
      </c>
      <c r="F365" t="s">
        <v>46</v>
      </c>
      <c r="G365">
        <v>-383.1277</v>
      </c>
      <c r="H365" s="1">
        <v>-3.3097540000000001E-6</v>
      </c>
      <c r="I365">
        <v>371.04160000000002</v>
      </c>
      <c r="J365">
        <v>-407.73559999999998</v>
      </c>
      <c r="K365">
        <v>1.060473</v>
      </c>
      <c r="L365">
        <v>367.55540000000002</v>
      </c>
      <c r="M365">
        <v>0.99988840000000001</v>
      </c>
      <c r="N365">
        <v>-1.493157E-2</v>
      </c>
      <c r="O365">
        <v>-7.5721649999999996E-4</v>
      </c>
      <c r="P365">
        <v>0.98379490000000003</v>
      </c>
      <c r="Q365">
        <v>0.1679205</v>
      </c>
      <c r="R365">
        <v>6.2854679999999996E-2</v>
      </c>
      <c r="S365">
        <v>3.0441590000000001</v>
      </c>
      <c r="T365">
        <v>-0.12986549999999999</v>
      </c>
      <c r="U365">
        <v>0.42687989999999998</v>
      </c>
      <c r="V365">
        <v>-6.352315E-2</v>
      </c>
      <c r="W365">
        <v>0.18261740000000001</v>
      </c>
      <c r="X365">
        <v>0.98112980000000005</v>
      </c>
      <c r="Y365">
        <v>-0.1394514</v>
      </c>
      <c r="Z365">
        <v>4.0264849999999998E-3</v>
      </c>
      <c r="AA365">
        <v>0.99022069999999995</v>
      </c>
      <c r="AB365">
        <v>27</v>
      </c>
      <c r="AC365">
        <v>24.607899999999901</v>
      </c>
      <c r="AD365">
        <v>-1.060476309754</v>
      </c>
      <c r="AE365">
        <v>3.48619999999999</v>
      </c>
      <c r="AF365">
        <v>-3.4984651572475198</v>
      </c>
      <c r="AG365">
        <v>-1.060476309754</v>
      </c>
      <c r="AH365">
        <v>24.5605370873608</v>
      </c>
      <c r="AI365">
        <v>92.447708185094697</v>
      </c>
      <c r="AJ365">
        <v>98.106820814579507</v>
      </c>
      <c r="AK365">
        <v>24.831106509369398</v>
      </c>
      <c r="AL365">
        <v>79.477746727941906</v>
      </c>
      <c r="AM365">
        <v>93.704439027402302</v>
      </c>
      <c r="AN365">
        <v>0.999999994908361</v>
      </c>
    </row>
    <row r="366" spans="1:40" x14ac:dyDescent="0.25">
      <c r="A366" t="str">
        <f>"20190304155320901"</f>
        <v>20190304155320901</v>
      </c>
      <c r="B366" t="str">
        <f>"1551686000896137"</f>
        <v>1551686000896137</v>
      </c>
      <c r="C366" t="s">
        <v>40</v>
      </c>
      <c r="D366">
        <v>4.5509040000000001</v>
      </c>
      <c r="E366">
        <v>0.46750849999999999</v>
      </c>
      <c r="F366" t="s">
        <v>46</v>
      </c>
      <c r="G366">
        <v>-382.68799999999999</v>
      </c>
      <c r="H366" s="1">
        <v>-3.5107309999999999E-6</v>
      </c>
      <c r="I366">
        <v>371.08800000000002</v>
      </c>
      <c r="J366">
        <v>-407.48970000000003</v>
      </c>
      <c r="K366">
        <v>1.0604910000000001</v>
      </c>
      <c r="L366">
        <v>367.55500000000001</v>
      </c>
      <c r="M366">
        <v>0.99988849999999996</v>
      </c>
      <c r="N366">
        <v>-1.491137E-2</v>
      </c>
      <c r="O366">
        <v>-9.3641999999999998E-4</v>
      </c>
      <c r="P366">
        <v>0.98371640000000005</v>
      </c>
      <c r="Q366">
        <v>0.1683045</v>
      </c>
      <c r="R366">
        <v>6.3054620000000006E-2</v>
      </c>
      <c r="S366">
        <v>3.0440369999999999</v>
      </c>
      <c r="T366">
        <v>-0.12887989999999999</v>
      </c>
      <c r="U366">
        <v>0.42932130000000002</v>
      </c>
      <c r="V366">
        <v>-6.3905680000000006E-2</v>
      </c>
      <c r="W366">
        <v>0.18297830000000001</v>
      </c>
      <c r="X366">
        <v>0.98103770000000001</v>
      </c>
      <c r="Y366">
        <v>-0.14041409999999999</v>
      </c>
      <c r="Z366">
        <v>4.0347839999999996E-3</v>
      </c>
      <c r="AA366">
        <v>0.99008459999999998</v>
      </c>
      <c r="AB366">
        <v>27</v>
      </c>
      <c r="AC366">
        <v>24.801699999999901</v>
      </c>
      <c r="AD366">
        <v>-1.060494510731</v>
      </c>
      <c r="AE366">
        <v>3.5330000000000101</v>
      </c>
      <c r="AF366">
        <v>-3.5498646057566998</v>
      </c>
      <c r="AG366">
        <v>-1.060494510731</v>
      </c>
      <c r="AH366">
        <v>24.754022047640898</v>
      </c>
      <c r="AI366">
        <v>92.428313610056804</v>
      </c>
      <c r="AJ366">
        <v>98.160894015307704</v>
      </c>
      <c r="AK366">
        <v>25.029738210009</v>
      </c>
      <c r="AL366">
        <v>79.456714152503196</v>
      </c>
      <c r="AM366">
        <v>93.727032985213995</v>
      </c>
      <c r="AN366">
        <v>0.99999998151422098</v>
      </c>
    </row>
    <row r="367" spans="1:40" x14ac:dyDescent="0.25">
      <c r="A367" t="str">
        <f>"20190304155320923"</f>
        <v>20190304155320923</v>
      </c>
      <c r="B367" t="str">
        <f>"1551686000915656"</f>
        <v>1551686000915656</v>
      </c>
      <c r="C367" t="s">
        <v>40</v>
      </c>
      <c r="D367">
        <v>4.5264340000000001</v>
      </c>
      <c r="E367">
        <v>0.46729969999999998</v>
      </c>
      <c r="F367" t="s">
        <v>46</v>
      </c>
      <c r="G367">
        <v>-382.24259999999998</v>
      </c>
      <c r="H367" s="1">
        <v>-3.714625E-6</v>
      </c>
      <c r="I367">
        <v>371.13600000000002</v>
      </c>
      <c r="J367">
        <v>-407.22649999999999</v>
      </c>
      <c r="K367">
        <v>1.0605070000000001</v>
      </c>
      <c r="L367">
        <v>367.55459999999999</v>
      </c>
      <c r="M367">
        <v>0.99988869999999996</v>
      </c>
      <c r="N367">
        <v>-1.488806E-2</v>
      </c>
      <c r="O367">
        <v>-1.1078310000000001E-3</v>
      </c>
      <c r="P367">
        <v>0.98370769999999996</v>
      </c>
      <c r="Q367">
        <v>0.16814509999999999</v>
      </c>
      <c r="R367">
        <v>6.3615019999999994E-2</v>
      </c>
      <c r="S367">
        <v>3.043793</v>
      </c>
      <c r="T367">
        <v>-0.12785270000000001</v>
      </c>
      <c r="U367">
        <v>0.43173220000000001</v>
      </c>
      <c r="V367">
        <v>-6.4641900000000002E-2</v>
      </c>
      <c r="W367">
        <v>0.18279319999999999</v>
      </c>
      <c r="X367">
        <v>0.98102400000000001</v>
      </c>
      <c r="Y367">
        <v>-0.14136479999999901</v>
      </c>
      <c r="Z367">
        <v>4.0410209999999997E-3</v>
      </c>
      <c r="AA367">
        <v>0.98994930000000003</v>
      </c>
      <c r="AB367">
        <v>26</v>
      </c>
      <c r="AC367">
        <v>24.983899999999998</v>
      </c>
      <c r="AD367">
        <v>-1.0605107146249999</v>
      </c>
      <c r="AE367">
        <v>3.5813999999999702</v>
      </c>
      <c r="AF367">
        <v>-3.60271808600762</v>
      </c>
      <c r="AG367">
        <v>-1.0605107146249999</v>
      </c>
      <c r="AH367">
        <v>24.935891494280899</v>
      </c>
      <c r="AI367">
        <v>92.410295979553695</v>
      </c>
      <c r="AJ367">
        <v>98.2211608587304</v>
      </c>
      <c r="AK367">
        <v>25.2171161157979</v>
      </c>
      <c r="AL367">
        <v>79.4675018313322</v>
      </c>
      <c r="AM367">
        <v>93.769899337528997</v>
      </c>
      <c r="AN367">
        <v>1.00000000888892</v>
      </c>
    </row>
    <row r="368" spans="1:40" x14ac:dyDescent="0.25">
      <c r="A368" t="str">
        <f>"20190304155320945"</f>
        <v>20190304155320945</v>
      </c>
      <c r="B368" t="str">
        <f>"1551686000936153"</f>
        <v>1551686000936153</v>
      </c>
      <c r="C368" t="s">
        <v>40</v>
      </c>
      <c r="D368">
        <v>4.5112500000000004</v>
      </c>
      <c r="E368">
        <v>0.46711150000000001</v>
      </c>
      <c r="F368" t="s">
        <v>46</v>
      </c>
      <c r="G368">
        <v>-381.98020000000002</v>
      </c>
      <c r="H368" s="1">
        <v>-3.8340939999999997E-6</v>
      </c>
      <c r="I368">
        <v>371.16199999999998</v>
      </c>
      <c r="J368">
        <v>-406.96109999999999</v>
      </c>
      <c r="K368">
        <v>1.0605180000000001</v>
      </c>
      <c r="L368">
        <v>367.55410000000001</v>
      </c>
      <c r="M368">
        <v>0.99988869999999996</v>
      </c>
      <c r="N368">
        <v>-1.486468E-2</v>
      </c>
      <c r="O368">
        <v>-1.2581459999999999E-3</v>
      </c>
      <c r="P368">
        <v>0.98368169999999999</v>
      </c>
      <c r="Q368">
        <v>0.16819049999999999</v>
      </c>
      <c r="R368">
        <v>6.3892930000000001E-2</v>
      </c>
      <c r="S368">
        <v>3.0434269999999999</v>
      </c>
      <c r="T368">
        <v>-0.12784329999999999</v>
      </c>
      <c r="U368">
        <v>0.43487550000000003</v>
      </c>
      <c r="V368">
        <v>-6.507483E-2</v>
      </c>
      <c r="W368">
        <v>0.1828129</v>
      </c>
      <c r="X368">
        <v>0.98099170000000002</v>
      </c>
      <c r="Y368">
        <v>-0.14253080000000001</v>
      </c>
      <c r="Z368">
        <v>4.076512E-3</v>
      </c>
      <c r="AA368">
        <v>0.98978200000000005</v>
      </c>
      <c r="AB368">
        <v>26</v>
      </c>
      <c r="AC368">
        <v>24.980899999999899</v>
      </c>
      <c r="AD368">
        <v>-1.0605218340939999</v>
      </c>
      <c r="AE368">
        <v>3.6078999999999701</v>
      </c>
      <c r="AF368">
        <v>-3.6329164764773099</v>
      </c>
      <c r="AG368">
        <v>-1.0605218340939999</v>
      </c>
      <c r="AH368">
        <v>24.932323494774899</v>
      </c>
      <c r="AI368">
        <v>92.410244282926698</v>
      </c>
      <c r="AJ368">
        <v>98.290287677015002</v>
      </c>
      <c r="AK368">
        <v>25.217921078743899</v>
      </c>
      <c r="AL368">
        <v>79.466353692883601</v>
      </c>
      <c r="AM368">
        <v>93.795198758385396</v>
      </c>
      <c r="AN368">
        <v>1.0000000026874101</v>
      </c>
    </row>
    <row r="369" spans="1:40" x14ac:dyDescent="0.25">
      <c r="A369" t="str">
        <f>"20190304155320967"</f>
        <v>20190304155320967</v>
      </c>
      <c r="B369" t="str">
        <f>"1551686000955676"</f>
        <v>1551686000955676</v>
      </c>
      <c r="C369" t="s">
        <v>40</v>
      </c>
      <c r="D369">
        <v>4.4986839999999999</v>
      </c>
      <c r="E369">
        <v>0.4669277</v>
      </c>
      <c r="F369" t="s">
        <v>46</v>
      </c>
      <c r="G369">
        <v>-381.59870000000001</v>
      </c>
      <c r="H369" s="1">
        <v>-4.0065830000000001E-6</v>
      </c>
      <c r="I369">
        <v>371.1952</v>
      </c>
      <c r="J369">
        <v>-406.70420000000001</v>
      </c>
      <c r="K369">
        <v>1.0605290000000001</v>
      </c>
      <c r="L369">
        <v>367.55360000000002</v>
      </c>
      <c r="M369">
        <v>0.99988900000000003</v>
      </c>
      <c r="N369">
        <v>-1.484216E-2</v>
      </c>
      <c r="O369">
        <v>-1.3870550000000001E-3</v>
      </c>
      <c r="P369">
        <v>0.98363160000000005</v>
      </c>
      <c r="Q369">
        <v>0.16822390000000001</v>
      </c>
      <c r="R369">
        <v>6.4575960000000002E-2</v>
      </c>
      <c r="S369">
        <v>3.0431520000000001</v>
      </c>
      <c r="T369">
        <v>-0.12724829999999901</v>
      </c>
      <c r="U369">
        <v>0.43688959999999999</v>
      </c>
      <c r="V369">
        <v>-6.5890980000000002E-2</v>
      </c>
      <c r="W369">
        <v>0.18282090000000001</v>
      </c>
      <c r="X369">
        <v>0.98093580000000002</v>
      </c>
      <c r="Y369">
        <v>-0.14331329999999901</v>
      </c>
      <c r="Z369">
        <v>4.0865789999999999E-3</v>
      </c>
      <c r="AA369">
        <v>0.98966889999999996</v>
      </c>
      <c r="AB369">
        <v>26</v>
      </c>
      <c r="AC369">
        <v>25.105499999999999</v>
      </c>
      <c r="AD369">
        <v>-1.0605330065829901</v>
      </c>
      <c r="AE369">
        <v>3.64159999999998</v>
      </c>
      <c r="AF369">
        <v>-3.67000894879373</v>
      </c>
      <c r="AG369">
        <v>-1.0605330065829901</v>
      </c>
      <c r="AH369">
        <v>25.056632614622</v>
      </c>
      <c r="AI369">
        <v>92.398066463123001</v>
      </c>
      <c r="AJ369">
        <v>98.332779730990495</v>
      </c>
      <c r="AK369">
        <v>25.346173950449</v>
      </c>
      <c r="AL369">
        <v>79.465888220878796</v>
      </c>
      <c r="AM369">
        <v>93.842873660722702</v>
      </c>
      <c r="AN369">
        <v>1.0000000732219001</v>
      </c>
    </row>
    <row r="370" spans="1:40" x14ac:dyDescent="0.25">
      <c r="A370" t="str">
        <f>"20190304155320991"</f>
        <v>20190304155320991</v>
      </c>
      <c r="B370" t="str">
        <f>"1551686000985929"</f>
        <v>1551686000985929</v>
      </c>
      <c r="C370" t="s">
        <v>40</v>
      </c>
      <c r="D370">
        <v>4.4477769999999897</v>
      </c>
      <c r="E370">
        <v>0.46669769999999999</v>
      </c>
      <c r="F370" t="s">
        <v>46</v>
      </c>
      <c r="G370">
        <v>-381.28320000000002</v>
      </c>
      <c r="H370" s="1">
        <v>-4.1261789999999996E-6</v>
      </c>
      <c r="I370">
        <v>371.23320000000001</v>
      </c>
      <c r="J370">
        <v>-406.4307</v>
      </c>
      <c r="K370">
        <v>1.06054</v>
      </c>
      <c r="L370">
        <v>367.55309999999997</v>
      </c>
      <c r="M370">
        <v>0.99988929999999998</v>
      </c>
      <c r="N370">
        <v>-1.4814880000000001E-2</v>
      </c>
      <c r="O370">
        <v>-1.507247E-3</v>
      </c>
      <c r="P370">
        <v>0.98368219999999995</v>
      </c>
      <c r="Q370">
        <v>0.167877</v>
      </c>
      <c r="R370">
        <v>6.4704490000000003E-2</v>
      </c>
      <c r="S370">
        <v>3.0427249999999999</v>
      </c>
      <c r="T370">
        <v>-0.12693850000000001</v>
      </c>
      <c r="U370">
        <v>0.44042969999999998</v>
      </c>
      <c r="V370">
        <v>-6.6143080000000007E-2</v>
      </c>
      <c r="W370">
        <v>0.18244630000000001</v>
      </c>
      <c r="X370">
        <v>0.98098850000000004</v>
      </c>
      <c r="Y370">
        <v>-0.14457890000000001</v>
      </c>
      <c r="Z370">
        <v>4.1164160000000003E-3</v>
      </c>
      <c r="AA370">
        <v>0.98948469999999999</v>
      </c>
      <c r="AB370">
        <v>26</v>
      </c>
      <c r="AC370">
        <v>25.147499999999901</v>
      </c>
      <c r="AD370">
        <v>-1.0605441261790001</v>
      </c>
      <c r="AE370">
        <v>3.6801000000000301</v>
      </c>
      <c r="AF370">
        <v>-3.7115406826583301</v>
      </c>
      <c r="AG370">
        <v>-1.0605441261790001</v>
      </c>
      <c r="AH370">
        <v>25.098221295796499</v>
      </c>
      <c r="AI370">
        <v>92.393636096774003</v>
      </c>
      <c r="AJ370">
        <v>98.4119697529852</v>
      </c>
      <c r="AK370">
        <v>25.393325900625399</v>
      </c>
      <c r="AL370">
        <v>79.4877175820004</v>
      </c>
      <c r="AM370">
        <v>93.857325647502094</v>
      </c>
      <c r="AN370">
        <v>0.99999999827391295</v>
      </c>
    </row>
    <row r="371" spans="1:40" x14ac:dyDescent="0.25">
      <c r="A371" t="str">
        <f>"20190304155321013"</f>
        <v>20190304155321013</v>
      </c>
      <c r="B371" t="str">
        <f>"1551686001006425"</f>
        <v>1551686001006425</v>
      </c>
      <c r="C371" t="s">
        <v>40</v>
      </c>
      <c r="D371">
        <v>4.546773</v>
      </c>
      <c r="E371">
        <v>0.46652559999999899</v>
      </c>
      <c r="F371" t="s">
        <v>46</v>
      </c>
      <c r="G371">
        <v>-381.28460000000001</v>
      </c>
      <c r="H371" s="1">
        <v>-4.1203719999999996E-6</v>
      </c>
      <c r="I371">
        <v>371.20319999999998</v>
      </c>
      <c r="J371">
        <v>-406.17559999999997</v>
      </c>
      <c r="K371">
        <v>1.060538</v>
      </c>
      <c r="L371">
        <v>367.55259999999998</v>
      </c>
      <c r="M371">
        <v>0.99988940000000004</v>
      </c>
      <c r="N371">
        <v>-1.4785070000000001E-2</v>
      </c>
      <c r="O371">
        <v>-1.60458E-3</v>
      </c>
      <c r="P371">
        <v>0.98367990000000005</v>
      </c>
      <c r="Q371">
        <v>0.1675953</v>
      </c>
      <c r="R371">
        <v>6.5466579999999996E-2</v>
      </c>
      <c r="S371">
        <v>3.0425719999999998</v>
      </c>
      <c r="T371">
        <v>-0.1283212</v>
      </c>
      <c r="U371">
        <v>0.4416504</v>
      </c>
      <c r="V371">
        <v>-6.7005839999999997E-2</v>
      </c>
      <c r="W371">
        <v>0.1821335</v>
      </c>
      <c r="X371">
        <v>0.98098810000000003</v>
      </c>
      <c r="Y371">
        <v>-0.14506729999999901</v>
      </c>
      <c r="Z371">
        <v>4.1642440000000001E-3</v>
      </c>
      <c r="AA371">
        <v>0.98941299999999999</v>
      </c>
      <c r="AB371">
        <v>26</v>
      </c>
      <c r="AC371">
        <v>24.890999999999899</v>
      </c>
      <c r="AD371">
        <v>-1.060542120372</v>
      </c>
      <c r="AE371">
        <v>3.6505999999999901</v>
      </c>
      <c r="AF371">
        <v>-3.68399219390724</v>
      </c>
      <c r="AG371">
        <v>-1.060542120372</v>
      </c>
      <c r="AH371">
        <v>24.8409630675995</v>
      </c>
      <c r="AI371">
        <v>92.418243360384295</v>
      </c>
      <c r="AJ371">
        <v>98.435657064577796</v>
      </c>
      <c r="AK371">
        <v>25.135035193921901</v>
      </c>
      <c r="AL371">
        <v>79.505945373703099</v>
      </c>
      <c r="AM371">
        <v>93.907486723308807</v>
      </c>
      <c r="AN371">
        <v>1.0000000233789801</v>
      </c>
    </row>
    <row r="372" spans="1:40" x14ac:dyDescent="0.25">
      <c r="A372" t="str">
        <f>"20190304155321034"</f>
        <v>20190304155321034</v>
      </c>
      <c r="B372" t="str">
        <f>"1551686001025948"</f>
        <v>1551686001025948</v>
      </c>
      <c r="C372" t="s">
        <v>40</v>
      </c>
      <c r="D372">
        <v>4.4875040000000004</v>
      </c>
      <c r="E372">
        <v>0.42894729999999998</v>
      </c>
      <c r="F372" t="s">
        <v>46</v>
      </c>
      <c r="G372">
        <v>-381.1121</v>
      </c>
      <c r="H372" s="1">
        <v>-4.1823050000000001E-6</v>
      </c>
      <c r="I372">
        <v>371.22140000000002</v>
      </c>
      <c r="J372">
        <v>-405.91669999999999</v>
      </c>
      <c r="K372">
        <v>1.060543</v>
      </c>
      <c r="L372">
        <v>367.5521</v>
      </c>
      <c r="M372">
        <v>0.9998899</v>
      </c>
      <c r="N372">
        <v>-1.4748020000000001E-2</v>
      </c>
      <c r="O372">
        <v>-1.689468E-3</v>
      </c>
      <c r="P372">
        <v>0.98366589999999998</v>
      </c>
      <c r="Q372">
        <v>0.16736699999999999</v>
      </c>
      <c r="R372">
        <v>6.6254519999999997E-2</v>
      </c>
      <c r="S372">
        <v>3.0421140000000002</v>
      </c>
      <c r="T372">
        <v>-0.12872430000000001</v>
      </c>
      <c r="U372">
        <v>0.4453125</v>
      </c>
      <c r="V372">
        <v>-6.7881609999999995E-2</v>
      </c>
      <c r="W372">
        <v>0.18186720000000001</v>
      </c>
      <c r="X372">
        <v>0.98097730000000005</v>
      </c>
      <c r="Y372">
        <v>-0.146336299999999</v>
      </c>
      <c r="Z372">
        <v>4.210086E-3</v>
      </c>
      <c r="AA372">
        <v>0.98922589999999999</v>
      </c>
      <c r="AB372">
        <v>26</v>
      </c>
      <c r="AC372">
        <v>24.804599999999901</v>
      </c>
      <c r="AD372">
        <v>-1.0605471823049999</v>
      </c>
      <c r="AE372">
        <v>3.6693000000000202</v>
      </c>
      <c r="AF372">
        <v>-3.7045786458560999</v>
      </c>
      <c r="AG372">
        <v>-1.0605471823049999</v>
      </c>
      <c r="AH372">
        <v>24.7540813212035</v>
      </c>
      <c r="AI372">
        <v>92.4262547241145</v>
      </c>
      <c r="AJ372">
        <v>98.511447514593101</v>
      </c>
      <c r="AK372">
        <v>25.052209589694598</v>
      </c>
      <c r="AL372">
        <v>79.521462438742503</v>
      </c>
      <c r="AM372">
        <v>93.958439918284199</v>
      </c>
      <c r="AN372">
        <v>1.00000002726366</v>
      </c>
    </row>
    <row r="373" spans="1:40" x14ac:dyDescent="0.25">
      <c r="A373" t="str">
        <f>"20190304155321060"</f>
        <v>20190304155321060</v>
      </c>
      <c r="B373" t="str">
        <f>"1551686001056202"</f>
        <v>1551686001056202</v>
      </c>
      <c r="C373" t="s">
        <v>40</v>
      </c>
      <c r="D373">
        <v>4.4369880000000004</v>
      </c>
      <c r="E373">
        <v>0.42430020000000002</v>
      </c>
      <c r="F373" t="s">
        <v>46</v>
      </c>
      <c r="G373">
        <v>-357.42939999999999</v>
      </c>
      <c r="H373">
        <v>4.3874379999999998E-2</v>
      </c>
      <c r="I373">
        <v>379.61630000000002</v>
      </c>
      <c r="J373">
        <v>-405.6318</v>
      </c>
      <c r="K373">
        <v>1.060546</v>
      </c>
      <c r="L373">
        <v>367.55149999999998</v>
      </c>
      <c r="M373">
        <v>0.99989050000000002</v>
      </c>
      <c r="N373">
        <v>-1.4696860000000001E-2</v>
      </c>
      <c r="O373">
        <v>-1.768038E-3</v>
      </c>
      <c r="P373">
        <v>0.98366799999999999</v>
      </c>
      <c r="Q373">
        <v>0.1673307</v>
      </c>
      <c r="R373">
        <v>6.6312869999999996E-2</v>
      </c>
      <c r="S373">
        <v>3.010132</v>
      </c>
      <c r="T373">
        <v>-6.3115480000000002E-2</v>
      </c>
      <c r="U373">
        <v>0.74896240000000003</v>
      </c>
      <c r="V373">
        <v>-6.802213E-2</v>
      </c>
      <c r="W373">
        <v>0.1817791</v>
      </c>
      <c r="X373">
        <v>0.98098390000000002</v>
      </c>
      <c r="Y373">
        <v>-0.24307999999999999</v>
      </c>
      <c r="Z373">
        <v>4.3343019999999999E-3</v>
      </c>
      <c r="AA373">
        <v>0.96999659999999999</v>
      </c>
      <c r="AB373">
        <v>26</v>
      </c>
      <c r="AC373">
        <v>48.202399999999997</v>
      </c>
      <c r="AD373">
        <v>-1.0166716200000001</v>
      </c>
      <c r="AE373">
        <v>12.0648</v>
      </c>
      <c r="AF373">
        <v>-12.144929728318999</v>
      </c>
      <c r="AG373">
        <v>-1.0166716200000001</v>
      </c>
      <c r="AH373">
        <v>48.160829537418302</v>
      </c>
      <c r="AI373">
        <v>91.172630569134697</v>
      </c>
      <c r="AJ373">
        <v>104.15344042671499</v>
      </c>
      <c r="AK373">
        <v>49.6789537029615</v>
      </c>
      <c r="AL373">
        <v>79.526595810011798</v>
      </c>
      <c r="AM373">
        <v>93.966581451906194</v>
      </c>
      <c r="AN373">
        <v>1.0000000317128701</v>
      </c>
    </row>
    <row r="374" spans="1:40" x14ac:dyDescent="0.25">
      <c r="A374" t="str">
        <f>"20190304155321081"</f>
        <v>20190304155321081</v>
      </c>
      <c r="B374" t="str">
        <f>"1551686001075721"</f>
        <v>1551686001075721</v>
      </c>
      <c r="C374" t="s">
        <v>40</v>
      </c>
      <c r="D374">
        <v>4.4093</v>
      </c>
      <c r="E374">
        <v>0.42296</v>
      </c>
      <c r="F374" t="s">
        <v>46</v>
      </c>
      <c r="G374">
        <v>-357.07679999999999</v>
      </c>
      <c r="H374">
        <v>7.9986020000000005E-2</v>
      </c>
      <c r="I374">
        <v>380.23680000000002</v>
      </c>
      <c r="J374">
        <v>-405.37450000000001</v>
      </c>
      <c r="K374">
        <v>1.0605500000000001</v>
      </c>
      <c r="L374">
        <v>367.55099999999999</v>
      </c>
      <c r="M374">
        <v>0.99989119999999998</v>
      </c>
      <c r="N374">
        <v>-1.463982E-2</v>
      </c>
      <c r="O374">
        <v>-1.8260889999999999E-3</v>
      </c>
      <c r="P374">
        <v>0.98367329999999997</v>
      </c>
      <c r="Q374">
        <v>0.1671443</v>
      </c>
      <c r="R374">
        <v>6.6705730000000005E-2</v>
      </c>
      <c r="S374">
        <v>3.0071720000000002</v>
      </c>
      <c r="T374">
        <v>-6.0729270000000002E-2</v>
      </c>
      <c r="U374">
        <v>0.78564449999999997</v>
      </c>
      <c r="V374">
        <v>-6.8476670000000003E-2</v>
      </c>
      <c r="W374">
        <v>0.1815348</v>
      </c>
      <c r="X374">
        <v>0.98099749999999997</v>
      </c>
      <c r="Y374">
        <v>-0.25445329999999999</v>
      </c>
      <c r="Z374">
        <v>4.4303789999999999E-3</v>
      </c>
      <c r="AA374">
        <v>0.96707489999999996</v>
      </c>
      <c r="AB374">
        <v>26</v>
      </c>
      <c r="AC374">
        <v>48.297699999999999</v>
      </c>
      <c r="AD374">
        <v>-0.98056398</v>
      </c>
      <c r="AE374">
        <v>12.6858</v>
      </c>
      <c r="AF374">
        <v>-12.7690605731677</v>
      </c>
      <c r="AG374">
        <v>-0.98056398</v>
      </c>
      <c r="AH374">
        <v>48.255844612232103</v>
      </c>
      <c r="AI374">
        <v>91.125374261987403</v>
      </c>
      <c r="AJ374">
        <v>104.821436393558</v>
      </c>
      <c r="AK374">
        <v>49.926315234352998</v>
      </c>
      <c r="AL374">
        <v>79.540829836287102</v>
      </c>
      <c r="AM374">
        <v>93.9929464559428</v>
      </c>
      <c r="AN374">
        <v>1.0000000164757801</v>
      </c>
    </row>
    <row r="375" spans="1:40" x14ac:dyDescent="0.25">
      <c r="A375" t="str">
        <f>"20190304155321102"</f>
        <v>20190304155321102</v>
      </c>
      <c r="B375" t="str">
        <f>"1551686001096217"</f>
        <v>1551686001096217</v>
      </c>
      <c r="C375" t="s">
        <v>40</v>
      </c>
      <c r="D375">
        <v>4.4121969999999999</v>
      </c>
      <c r="E375">
        <v>0.4221432</v>
      </c>
      <c r="F375" t="s">
        <v>46</v>
      </c>
      <c r="G375">
        <v>-357.13580000000002</v>
      </c>
      <c r="H375">
        <v>7.9986039999999994E-2</v>
      </c>
      <c r="I375">
        <v>380.35410000000002</v>
      </c>
      <c r="J375">
        <v>-405.13990000000001</v>
      </c>
      <c r="K375">
        <v>1.060548</v>
      </c>
      <c r="L375">
        <v>367.5505</v>
      </c>
      <c r="M375">
        <v>0.99989209999999995</v>
      </c>
      <c r="N375">
        <v>-1.457873E-2</v>
      </c>
      <c r="O375">
        <v>-1.8709219999999999E-3</v>
      </c>
      <c r="P375">
        <v>0.98367689999999997</v>
      </c>
      <c r="Q375">
        <v>0.16684879999999999</v>
      </c>
      <c r="R375">
        <v>6.7391309999999996E-2</v>
      </c>
      <c r="S375">
        <v>3.0060730000000002</v>
      </c>
      <c r="T375">
        <v>-6.1105369999999999E-2</v>
      </c>
      <c r="U375">
        <v>0.79785159999999999</v>
      </c>
      <c r="V375">
        <v>-6.9209590000000001E-2</v>
      </c>
      <c r="W375">
        <v>0.1811789</v>
      </c>
      <c r="X375">
        <v>0.98101190000000005</v>
      </c>
      <c r="Y375">
        <v>-0.25825150000000002</v>
      </c>
      <c r="Z375">
        <v>4.5053799999999998E-3</v>
      </c>
      <c r="AA375">
        <v>0.96606720000000001</v>
      </c>
      <c r="AB375">
        <v>26</v>
      </c>
      <c r="AC375">
        <v>48.004100000000001</v>
      </c>
      <c r="AD375">
        <v>-0.98056195999999995</v>
      </c>
      <c r="AE375">
        <v>12.803599999999999</v>
      </c>
      <c r="AF375">
        <v>-12.888378560538699</v>
      </c>
      <c r="AG375">
        <v>-0.98056195999999995</v>
      </c>
      <c r="AH375">
        <v>47.961376203887099</v>
      </c>
      <c r="AI375">
        <v>91.131121215146507</v>
      </c>
      <c r="AJ375">
        <v>105.041417746636</v>
      </c>
      <c r="AK375">
        <v>49.6725820855725</v>
      </c>
      <c r="AL375">
        <v>79.561565653905504</v>
      </c>
      <c r="AM375">
        <v>94.035484289752205</v>
      </c>
      <c r="AN375">
        <v>1.0000000545473899</v>
      </c>
    </row>
    <row r="376" spans="1:40" x14ac:dyDescent="0.25">
      <c r="A376" t="str">
        <f>"20190304155321125"</f>
        <v>20190304155321125</v>
      </c>
      <c r="B376" t="str">
        <f>"1551686001115737"</f>
        <v>1551686001115737</v>
      </c>
      <c r="C376" t="s">
        <v>40</v>
      </c>
      <c r="D376">
        <v>4.4014600000000002</v>
      </c>
      <c r="E376">
        <v>0.42134759999999999</v>
      </c>
      <c r="F376" t="s">
        <v>46</v>
      </c>
      <c r="G376">
        <v>-357.2174</v>
      </c>
      <c r="H376">
        <v>7.9986070000000006E-2</v>
      </c>
      <c r="I376">
        <v>380.4051</v>
      </c>
      <c r="J376">
        <v>-404.86689999999999</v>
      </c>
      <c r="K376">
        <v>1.0605389999999999</v>
      </c>
      <c r="L376">
        <v>367.54989999999998</v>
      </c>
      <c r="M376">
        <v>0.99989320000000004</v>
      </c>
      <c r="N376">
        <v>-1.449665E-2</v>
      </c>
      <c r="O376">
        <v>-1.914553E-3</v>
      </c>
      <c r="P376">
        <v>0.98371450000000005</v>
      </c>
      <c r="Q376">
        <v>0.16654929999999901</v>
      </c>
      <c r="R376">
        <v>6.7581970000000005E-2</v>
      </c>
      <c r="S376">
        <v>3.0050050000000001</v>
      </c>
      <c r="T376">
        <v>-6.1486600000000002E-2</v>
      </c>
      <c r="U376">
        <v>0.80606080000000002</v>
      </c>
      <c r="V376">
        <v>-6.9446090000000002E-2</v>
      </c>
      <c r="W376">
        <v>0.1807976</v>
      </c>
      <c r="X376">
        <v>0.98106550000000003</v>
      </c>
      <c r="Y376">
        <v>-0.26084000000000002</v>
      </c>
      <c r="Z376">
        <v>4.5571070000000003E-3</v>
      </c>
      <c r="AA376">
        <v>0.96537130000000004</v>
      </c>
      <c r="AB376">
        <v>26</v>
      </c>
      <c r="AC376">
        <v>47.649499999999897</v>
      </c>
      <c r="AD376">
        <v>-0.98055292999999999</v>
      </c>
      <c r="AE376">
        <v>12.8552</v>
      </c>
      <c r="AF376">
        <v>-12.9413050348321</v>
      </c>
      <c r="AG376">
        <v>-0.98055292999999999</v>
      </c>
      <c r="AH376">
        <v>47.606006041278803</v>
      </c>
      <c r="AI376">
        <v>91.138657814614504</v>
      </c>
      <c r="AJ376">
        <v>105.20788957362799</v>
      </c>
      <c r="AK376">
        <v>49.343395416766498</v>
      </c>
      <c r="AL376">
        <v>79.583779059946906</v>
      </c>
      <c r="AM376">
        <v>94.049007886523796</v>
      </c>
      <c r="AN376">
        <v>1.0000000234361399</v>
      </c>
    </row>
    <row r="377" spans="1:40" x14ac:dyDescent="0.25">
      <c r="A377" t="str">
        <f>"20190304155321146"</f>
        <v>20190304155321146</v>
      </c>
      <c r="B377" t="str">
        <f>"1551686001136233"</f>
        <v>1551686001136233</v>
      </c>
      <c r="C377" t="s">
        <v>40</v>
      </c>
      <c r="D377">
        <v>4.4066869999999998</v>
      </c>
      <c r="E377">
        <v>0.42065970000000003</v>
      </c>
      <c r="F377" t="s">
        <v>46</v>
      </c>
      <c r="G377">
        <v>-356.10340000000002</v>
      </c>
      <c r="H377">
        <v>7.9985749999999994E-2</v>
      </c>
      <c r="I377">
        <v>380.74259999999998</v>
      </c>
      <c r="J377">
        <v>-404.61380000000003</v>
      </c>
      <c r="K377">
        <v>1.060524</v>
      </c>
      <c r="L377">
        <v>367.54939999999999</v>
      </c>
      <c r="M377">
        <v>0.99989430000000001</v>
      </c>
      <c r="N377">
        <v>-1.4408870000000001E-2</v>
      </c>
      <c r="O377">
        <v>-1.949852E-3</v>
      </c>
      <c r="P377">
        <v>0.98369960000000001</v>
      </c>
      <c r="Q377">
        <v>0.166266</v>
      </c>
      <c r="R377">
        <v>6.8489330000000001E-2</v>
      </c>
      <c r="S377">
        <v>3.0039980000000002</v>
      </c>
      <c r="T377">
        <v>-6.0405250000000001E-2</v>
      </c>
      <c r="U377">
        <v>0.81271359999999904</v>
      </c>
      <c r="V377">
        <v>-7.0389350000000003E-2</v>
      </c>
      <c r="W377">
        <v>0.18042800000000001</v>
      </c>
      <c r="X377">
        <v>0.98106629999999995</v>
      </c>
      <c r="Y377">
        <v>-0.26294970000000001</v>
      </c>
      <c r="Z377">
        <v>4.535992E-3</v>
      </c>
      <c r="AA377">
        <v>0.96479890000000001</v>
      </c>
      <c r="AB377">
        <v>26</v>
      </c>
      <c r="AC377">
        <v>48.510399999999997</v>
      </c>
      <c r="AD377">
        <v>-0.98053824999999994</v>
      </c>
      <c r="AE377">
        <v>13.1931999999999</v>
      </c>
      <c r="AF377">
        <v>-13.2827197571971</v>
      </c>
      <c r="AG377">
        <v>-0.98053824999999994</v>
      </c>
      <c r="AH377">
        <v>48.4661425787178</v>
      </c>
      <c r="AI377">
        <v>91.117807923562495</v>
      </c>
      <c r="AJ377">
        <v>105.326265399031</v>
      </c>
      <c r="AK377">
        <v>50.262899596705999</v>
      </c>
      <c r="AL377">
        <v>79.605309465839696</v>
      </c>
      <c r="AM377">
        <v>94.103814048201102</v>
      </c>
      <c r="AN377">
        <v>1.00000000438655</v>
      </c>
    </row>
    <row r="378" spans="1:40" x14ac:dyDescent="0.25">
      <c r="A378" t="str">
        <f>"20190304155321168"</f>
        <v>20190304155321168</v>
      </c>
      <c r="B378" t="str">
        <f>"1551686001166490"</f>
        <v>1551686001166490</v>
      </c>
      <c r="C378" t="s">
        <v>40</v>
      </c>
      <c r="D378">
        <v>4.4399800000000003</v>
      </c>
      <c r="E378">
        <v>0.41977310000000001</v>
      </c>
      <c r="F378" t="s">
        <v>46</v>
      </c>
      <c r="G378">
        <v>-352.92180000000002</v>
      </c>
      <c r="H378">
        <v>7.9986329999999994E-2</v>
      </c>
      <c r="I378">
        <v>381.68729999999999</v>
      </c>
      <c r="J378">
        <v>-404.36259999999999</v>
      </c>
      <c r="K378">
        <v>1.0605089999999999</v>
      </c>
      <c r="L378">
        <v>367.5489</v>
      </c>
      <c r="M378">
        <v>0.99989570000000005</v>
      </c>
      <c r="N378">
        <v>-1.431471E-2</v>
      </c>
      <c r="O378">
        <v>-1.982166E-3</v>
      </c>
      <c r="P378">
        <v>0.98361120000000002</v>
      </c>
      <c r="Q378">
        <v>0.16662149999999901</v>
      </c>
      <c r="R378">
        <v>6.8892889999999998E-2</v>
      </c>
      <c r="S378">
        <v>3.002167</v>
      </c>
      <c r="T378">
        <v>-5.694747E-2</v>
      </c>
      <c r="U378">
        <v>0.821106</v>
      </c>
      <c r="V378">
        <v>-7.0825620000000006E-2</v>
      </c>
      <c r="W378">
        <v>0.18068919999999999</v>
      </c>
      <c r="X378">
        <v>0.98098680000000005</v>
      </c>
      <c r="Y378">
        <v>-0.265646299999999</v>
      </c>
      <c r="Z378">
        <v>4.4189099999999999E-3</v>
      </c>
      <c r="AA378">
        <v>0.96406040000000004</v>
      </c>
      <c r="AB378">
        <v>26</v>
      </c>
      <c r="AC378">
        <v>51.440799999999903</v>
      </c>
      <c r="AD378">
        <v>-0.98052267000000004</v>
      </c>
      <c r="AE378">
        <v>14.138399999999899</v>
      </c>
      <c r="AF378">
        <v>-14.235537950488499</v>
      </c>
      <c r="AG378">
        <v>-0.98052267000000004</v>
      </c>
      <c r="AH378">
        <v>51.3953095422712</v>
      </c>
      <c r="AI378">
        <v>91.053311302522204</v>
      </c>
      <c r="AJ378">
        <v>105.481734694783</v>
      </c>
      <c r="AK378">
        <v>53.339383277200099</v>
      </c>
      <c r="AL378">
        <v>79.590093454499794</v>
      </c>
      <c r="AM378">
        <v>94.129495066632302</v>
      </c>
      <c r="AN378">
        <v>0.99999997860963197</v>
      </c>
    </row>
    <row r="379" spans="1:40" x14ac:dyDescent="0.25">
      <c r="A379" t="str">
        <f>"20190304155321190"</f>
        <v>20190304155321190</v>
      </c>
      <c r="B379" t="str">
        <f>"1551686001186009"</f>
        <v>1551686001186009</v>
      </c>
      <c r="C379" t="s">
        <v>40</v>
      </c>
      <c r="D379">
        <v>4.4389849999999997</v>
      </c>
      <c r="E379">
        <v>0.4193173</v>
      </c>
      <c r="F379" t="s">
        <v>46</v>
      </c>
      <c r="G379">
        <v>-344.96730000000002</v>
      </c>
      <c r="H379">
        <v>7.9985329999999993E-2</v>
      </c>
      <c r="I379">
        <v>383.98059999999998</v>
      </c>
      <c r="J379">
        <v>-404.10640000000001</v>
      </c>
      <c r="K379">
        <v>1.060494</v>
      </c>
      <c r="L379">
        <v>367.54829999999998</v>
      </c>
      <c r="M379">
        <v>0.99989689999999998</v>
      </c>
      <c r="N379">
        <v>-1.4213999999999999E-2</v>
      </c>
      <c r="O379">
        <v>-2.0135119999999999E-3</v>
      </c>
      <c r="P379">
        <v>0.98370979999999997</v>
      </c>
      <c r="Q379">
        <v>0.1658963</v>
      </c>
      <c r="R379">
        <v>6.9235260000000007E-2</v>
      </c>
      <c r="S379">
        <v>3.0002439999999999</v>
      </c>
      <c r="T379">
        <v>-4.952931E-2</v>
      </c>
      <c r="U379">
        <v>0.83001709999999995</v>
      </c>
      <c r="V379">
        <v>-7.1199070000000003E-2</v>
      </c>
      <c r="W379">
        <v>0.1798671</v>
      </c>
      <c r="X379">
        <v>0.98111090000000001</v>
      </c>
      <c r="Y379">
        <v>-0.26850940000000001</v>
      </c>
      <c r="Z379">
        <v>4.1236789999999999E-3</v>
      </c>
      <c r="AA379">
        <v>0.96326820000000002</v>
      </c>
      <c r="AB379">
        <v>26</v>
      </c>
      <c r="AC379">
        <v>59.1390999999999</v>
      </c>
      <c r="AD379">
        <v>-0.98050866999999997</v>
      </c>
      <c r="AE379">
        <v>16.432299999999898</v>
      </c>
      <c r="AF379">
        <v>-16.547133428787902</v>
      </c>
      <c r="AG379">
        <v>-0.98050866999999997</v>
      </c>
      <c r="AH379">
        <v>59.090811033846997</v>
      </c>
      <c r="AI379">
        <v>90.915427526497993</v>
      </c>
      <c r="AJ379">
        <v>105.643780667679</v>
      </c>
      <c r="AK379">
        <v>61.371760367451301</v>
      </c>
      <c r="AL379">
        <v>79.637981561037094</v>
      </c>
      <c r="AM379">
        <v>94.150669940836096</v>
      </c>
      <c r="AN379">
        <v>1.0000000396650399</v>
      </c>
    </row>
    <row r="380" spans="1:40" x14ac:dyDescent="0.25">
      <c r="A380" t="str">
        <f>"20190304155321213"</f>
        <v>20190304155321213</v>
      </c>
      <c r="B380" t="str">
        <f>"1551686001206508"</f>
        <v>1551686001206508</v>
      </c>
      <c r="C380" t="s">
        <v>40</v>
      </c>
      <c r="D380">
        <v>4.4410600000000002</v>
      </c>
      <c r="E380">
        <v>0.4189098</v>
      </c>
      <c r="F380" t="s">
        <v>46</v>
      </c>
      <c r="G380">
        <v>-343.12540000000001</v>
      </c>
      <c r="H380">
        <v>7.9986210000000002E-2</v>
      </c>
      <c r="I380">
        <v>384.5317</v>
      </c>
      <c r="J380">
        <v>-403.8449</v>
      </c>
      <c r="K380">
        <v>1.060476</v>
      </c>
      <c r="L380">
        <v>367.54770000000002</v>
      </c>
      <c r="M380">
        <v>0.99989850000000002</v>
      </c>
      <c r="N380">
        <v>-1.410664E-2</v>
      </c>
      <c r="O380">
        <v>-2.046492E-3</v>
      </c>
      <c r="P380">
        <v>0.98375760000000001</v>
      </c>
      <c r="Q380">
        <v>0.16544400000000001</v>
      </c>
      <c r="R380">
        <v>6.9638420000000006E-2</v>
      </c>
      <c r="S380">
        <v>2.9990230000000002</v>
      </c>
      <c r="T380">
        <v>-4.8220989999999998E-2</v>
      </c>
      <c r="U380">
        <v>0.83523559999999997</v>
      </c>
      <c r="V380">
        <v>-7.1634519999999993E-2</v>
      </c>
      <c r="W380">
        <v>0.17930979999999999</v>
      </c>
      <c r="X380">
        <v>0.98118119999999998</v>
      </c>
      <c r="Y380">
        <v>-0.2702</v>
      </c>
      <c r="Z380">
        <v>4.0772450000000002E-3</v>
      </c>
      <c r="AA380">
        <v>0.96279559999999997</v>
      </c>
      <c r="AB380">
        <v>26</v>
      </c>
      <c r="AC380">
        <v>60.719499999999897</v>
      </c>
      <c r="AD380">
        <v>-0.98048979000000003</v>
      </c>
      <c r="AE380">
        <v>16.983999999999899</v>
      </c>
      <c r="AF380">
        <v>-17.104102423499199</v>
      </c>
      <c r="AG380">
        <v>-0.98048979000000003</v>
      </c>
      <c r="AH380">
        <v>60.669939783384898</v>
      </c>
      <c r="AI380">
        <v>90.891148302528705</v>
      </c>
      <c r="AJ380">
        <v>105.74423468099199</v>
      </c>
      <c r="AK380">
        <v>63.042471979304601</v>
      </c>
      <c r="AL380">
        <v>79.670440094972093</v>
      </c>
      <c r="AM380">
        <v>94.175667557735196</v>
      </c>
      <c r="AN380">
        <v>1.0000000280325501</v>
      </c>
    </row>
    <row r="381" spans="1:40" x14ac:dyDescent="0.25">
      <c r="A381" t="str">
        <f>"20190304155321235"</f>
        <v>20190304155321235</v>
      </c>
      <c r="B381" t="str">
        <f>"1551686001226031"</f>
        <v>1551686001226031</v>
      </c>
      <c r="C381" t="s">
        <v>40</v>
      </c>
      <c r="D381">
        <v>4.4135039999999996</v>
      </c>
      <c r="E381">
        <v>0.41854770000000002</v>
      </c>
      <c r="F381" t="s">
        <v>47</v>
      </c>
      <c r="G381">
        <v>-333.4579</v>
      </c>
      <c r="H381">
        <v>-0.05</v>
      </c>
      <c r="I381">
        <v>387.2638</v>
      </c>
      <c r="J381">
        <v>-403.58479999999997</v>
      </c>
      <c r="K381">
        <v>1.060465</v>
      </c>
      <c r="L381">
        <v>367.54719999999998</v>
      </c>
      <c r="M381">
        <v>0.99989989999999995</v>
      </c>
      <c r="N381">
        <v>-1.3997290000000001E-2</v>
      </c>
      <c r="O381">
        <v>-2.0806539999999999E-3</v>
      </c>
      <c r="P381">
        <v>0.98374289999999998</v>
      </c>
      <c r="Q381">
        <v>0.1654408</v>
      </c>
      <c r="R381">
        <v>6.9851529999999995E-2</v>
      </c>
      <c r="S381">
        <v>2.9980470000000001</v>
      </c>
      <c r="T381">
        <v>-4.7299389999999997E-2</v>
      </c>
      <c r="U381">
        <v>0.83978269999999899</v>
      </c>
      <c r="V381">
        <v>-7.1881150000000005E-2</v>
      </c>
      <c r="W381">
        <v>0.1791991</v>
      </c>
      <c r="X381">
        <v>0.98118340000000004</v>
      </c>
      <c r="Y381">
        <v>-0.27167000000000002</v>
      </c>
      <c r="Z381">
        <v>4.0436120000000002E-3</v>
      </c>
      <c r="AA381">
        <v>0.96238199999999996</v>
      </c>
      <c r="AB381">
        <v>26</v>
      </c>
      <c r="AC381">
        <v>70.126899999999907</v>
      </c>
      <c r="AD381">
        <v>-1.110465</v>
      </c>
      <c r="AE381">
        <v>19.7166</v>
      </c>
      <c r="AF381">
        <v>-19.857866841688999</v>
      </c>
      <c r="AG381">
        <v>-1.110465</v>
      </c>
      <c r="AH381">
        <v>70.069437974314695</v>
      </c>
      <c r="AI381">
        <v>90.873553682678207</v>
      </c>
      <c r="AJ381">
        <v>105.8228721421</v>
      </c>
      <c r="AK381">
        <v>72.837450161677197</v>
      </c>
      <c r="AL381">
        <v>79.676887295628902</v>
      </c>
      <c r="AM381">
        <v>94.189983460514995</v>
      </c>
      <c r="AN381">
        <v>1.00000004080084</v>
      </c>
    </row>
    <row r="382" spans="1:40" x14ac:dyDescent="0.25">
      <c r="A382" t="str">
        <f>"20190304155321261"</f>
        <v>20190304155321261</v>
      </c>
      <c r="B382" t="str">
        <f>"1551686001256284"</f>
        <v>1551686001256284</v>
      </c>
      <c r="C382" t="s">
        <v>40</v>
      </c>
      <c r="D382">
        <v>4.4037199999999999</v>
      </c>
      <c r="E382">
        <v>0.41817720000000003</v>
      </c>
      <c r="F382" t="s">
        <v>47</v>
      </c>
      <c r="G382">
        <v>-329.70580000000001</v>
      </c>
      <c r="H382">
        <v>-0.05</v>
      </c>
      <c r="I382">
        <v>388.33940000000001</v>
      </c>
      <c r="J382">
        <v>-403.30239999999998</v>
      </c>
      <c r="K382">
        <v>1.0604499999999999</v>
      </c>
      <c r="L382">
        <v>367.54649999999998</v>
      </c>
      <c r="M382">
        <v>0.9999015</v>
      </c>
      <c r="N382">
        <v>-1.387853E-2</v>
      </c>
      <c r="O382">
        <v>-2.1188180000000002E-3</v>
      </c>
      <c r="P382">
        <v>0.98372139999999997</v>
      </c>
      <c r="Q382">
        <v>0.16562070000000001</v>
      </c>
      <c r="R382">
        <v>6.9728129999999999E-2</v>
      </c>
      <c r="S382">
        <v>2.9972530000000002</v>
      </c>
      <c r="T382">
        <v>-4.5051340000000002E-2</v>
      </c>
      <c r="U382">
        <v>0.84353639999999996</v>
      </c>
      <c r="V382">
        <v>-7.1795139999999993E-2</v>
      </c>
      <c r="W382">
        <v>0.1792629</v>
      </c>
      <c r="X382">
        <v>0.98117799999999999</v>
      </c>
      <c r="Y382">
        <v>-0.27289409999999997</v>
      </c>
      <c r="Z382">
        <v>3.9441880000000004E-3</v>
      </c>
      <c r="AA382">
        <v>0.962036</v>
      </c>
      <c r="AB382">
        <v>26</v>
      </c>
      <c r="AC382">
        <v>73.596599999999896</v>
      </c>
      <c r="AD382">
        <v>-1.1104499999999999</v>
      </c>
      <c r="AE382">
        <v>20.792899999999999</v>
      </c>
      <c r="AF382">
        <v>-20.944390438489499</v>
      </c>
      <c r="AG382">
        <v>-1.1104499999999999</v>
      </c>
      <c r="AH382">
        <v>73.536870428555602</v>
      </c>
      <c r="AI382">
        <v>90.832049416264198</v>
      </c>
      <c r="AJ382">
        <v>105.89773842318699</v>
      </c>
      <c r="AK382">
        <v>76.469418086373395</v>
      </c>
      <c r="AL382">
        <v>79.673171216834902</v>
      </c>
      <c r="AM382">
        <v>94.185010674378006</v>
      </c>
      <c r="AN382">
        <v>0.999999998564014</v>
      </c>
    </row>
    <row r="383" spans="1:40" x14ac:dyDescent="0.25">
      <c r="A383" t="str">
        <f>"20190304155321282"</f>
        <v>20190304155321282</v>
      </c>
      <c r="B383" t="str">
        <f>"1551686001275804"</f>
        <v>1551686001275804</v>
      </c>
      <c r="C383" t="s">
        <v>40</v>
      </c>
      <c r="D383">
        <v>4.3760500000000002</v>
      </c>
      <c r="E383">
        <v>0.41792380000000001</v>
      </c>
      <c r="F383" t="s">
        <v>47</v>
      </c>
      <c r="G383">
        <v>-325.96699999999998</v>
      </c>
      <c r="H383">
        <v>-0.05</v>
      </c>
      <c r="I383">
        <v>389.38330000000002</v>
      </c>
      <c r="J383">
        <v>-403.05439999999999</v>
      </c>
      <c r="K383">
        <v>1.0604420000000001</v>
      </c>
      <c r="L383">
        <v>367.54599999999999</v>
      </c>
      <c r="M383">
        <v>0.99990279999999998</v>
      </c>
      <c r="N383">
        <v>-1.377694E-2</v>
      </c>
      <c r="O383">
        <v>-2.1532880000000002E-3</v>
      </c>
      <c r="P383">
        <v>0.9837188</v>
      </c>
      <c r="Q383">
        <v>0.16571459999999999</v>
      </c>
      <c r="R383">
        <v>6.9542179999999995E-2</v>
      </c>
      <c r="S383">
        <v>2.996918</v>
      </c>
      <c r="T383">
        <v>-4.303241E-2</v>
      </c>
      <c r="U383">
        <v>0.84622189999999997</v>
      </c>
      <c r="V383">
        <v>-7.1642230000000001E-2</v>
      </c>
      <c r="W383">
        <v>0.17925679999999999</v>
      </c>
      <c r="X383">
        <v>0.98119029999999996</v>
      </c>
      <c r="Y383">
        <v>-0.27375769999999999</v>
      </c>
      <c r="Z383">
        <v>3.8510850000000002E-3</v>
      </c>
      <c r="AA383">
        <v>0.96179099999999995</v>
      </c>
      <c r="AB383">
        <v>26</v>
      </c>
      <c r="AC383">
        <v>77.087400000000002</v>
      </c>
      <c r="AD383">
        <v>-1.1104419999999999</v>
      </c>
      <c r="AE383">
        <v>21.837299999999999</v>
      </c>
      <c r="AF383">
        <v>-21.9990307244374</v>
      </c>
      <c r="AG383">
        <v>-1.1104419999999999</v>
      </c>
      <c r="AH383">
        <v>77.025399088647703</v>
      </c>
      <c r="AI383">
        <v>90.794198557419406</v>
      </c>
      <c r="AJ383">
        <v>105.939738484006</v>
      </c>
      <c r="AK383">
        <v>80.1130609764448</v>
      </c>
      <c r="AL383">
        <v>79.673526565187203</v>
      </c>
      <c r="AM383">
        <v>94.176076799381406</v>
      </c>
      <c r="AN383">
        <v>1.00000000713985</v>
      </c>
    </row>
    <row r="384" spans="1:40" x14ac:dyDescent="0.25">
      <c r="A384" t="str">
        <f>"20190304155321304"</f>
        <v>20190304155321304</v>
      </c>
      <c r="B384" t="str">
        <f>"1551686001296300"</f>
        <v>1551686001296300</v>
      </c>
      <c r="C384" t="s">
        <v>40</v>
      </c>
      <c r="D384">
        <v>4.3817430000000002</v>
      </c>
      <c r="E384">
        <v>0.41773120000000002</v>
      </c>
      <c r="F384" t="s">
        <v>47</v>
      </c>
      <c r="G384">
        <v>-323.7149</v>
      </c>
      <c r="H384">
        <v>-0.05</v>
      </c>
      <c r="I384">
        <v>389.99630000000002</v>
      </c>
      <c r="J384">
        <v>-402.8</v>
      </c>
      <c r="K384">
        <v>1.0604279999999999</v>
      </c>
      <c r="L384">
        <v>367.54539999999997</v>
      </c>
      <c r="M384">
        <v>0.99990420000000002</v>
      </c>
      <c r="N384">
        <v>-1.3675110000000001E-2</v>
      </c>
      <c r="O384">
        <v>-2.1888340000000002E-3</v>
      </c>
      <c r="P384">
        <v>0.98373350000000004</v>
      </c>
      <c r="Q384">
        <v>0.1656522</v>
      </c>
      <c r="R384">
        <v>6.9483970000000006E-2</v>
      </c>
      <c r="S384">
        <v>2.9967959999999998</v>
      </c>
      <c r="T384">
        <v>-4.1943429999999997E-2</v>
      </c>
      <c r="U384">
        <v>0.84799190000000002</v>
      </c>
      <c r="V384">
        <v>-7.1619139999999998E-2</v>
      </c>
      <c r="W384">
        <v>0.17909439999999999</v>
      </c>
      <c r="X384">
        <v>0.98122160000000003</v>
      </c>
      <c r="Y384">
        <v>-0.27433010000000002</v>
      </c>
      <c r="Z384">
        <v>3.7955440000000001E-3</v>
      </c>
      <c r="AA384">
        <v>0.96162809999999999</v>
      </c>
      <c r="AB384">
        <v>26</v>
      </c>
      <c r="AC384">
        <v>79.085099999999997</v>
      </c>
      <c r="AD384">
        <v>-1.110428</v>
      </c>
      <c r="AE384">
        <v>22.450900000000001</v>
      </c>
      <c r="AF384">
        <v>-22.6198396696741</v>
      </c>
      <c r="AG384">
        <v>-1.110428</v>
      </c>
      <c r="AH384">
        <v>79.021347623142006</v>
      </c>
      <c r="AI384">
        <v>90.773999741958605</v>
      </c>
      <c r="AJ384">
        <v>105.973755378249</v>
      </c>
      <c r="AK384">
        <v>82.202576463286107</v>
      </c>
      <c r="AL384">
        <v>79.682984035157105</v>
      </c>
      <c r="AM384">
        <v>94.1746029270533</v>
      </c>
      <c r="AN384">
        <v>0.99999996681612902</v>
      </c>
    </row>
    <row r="385" spans="1:40" x14ac:dyDescent="0.25">
      <c r="A385" t="str">
        <f>"20190304155321325"</f>
        <v>20190304155321325</v>
      </c>
      <c r="B385" t="str">
        <f>"1551686001315820"</f>
        <v>1551686001315820</v>
      </c>
      <c r="C385" t="s">
        <v>40</v>
      </c>
      <c r="D385">
        <v>4.4229070000000004</v>
      </c>
      <c r="E385">
        <v>0.4175952</v>
      </c>
      <c r="F385" t="s">
        <v>47</v>
      </c>
      <c r="G385">
        <v>-323.05630000000002</v>
      </c>
      <c r="H385">
        <v>-0.05</v>
      </c>
      <c r="I385">
        <v>390.15030000000002</v>
      </c>
      <c r="J385">
        <v>-402.54340000000002</v>
      </c>
      <c r="K385">
        <v>1.0604180000000001</v>
      </c>
      <c r="L385">
        <v>367.54480000000001</v>
      </c>
      <c r="M385">
        <v>0.9999055</v>
      </c>
      <c r="N385">
        <v>-1.357626E-2</v>
      </c>
      <c r="O385">
        <v>-2.2249990000000001E-3</v>
      </c>
      <c r="P385">
        <v>0.98373169999999999</v>
      </c>
      <c r="Q385">
        <v>0.16576529999999901</v>
      </c>
      <c r="R385">
        <v>6.9240090000000004E-2</v>
      </c>
      <c r="S385">
        <v>2.9966430000000002</v>
      </c>
      <c r="T385">
        <v>-4.1728139999999997E-2</v>
      </c>
      <c r="U385">
        <v>0.84945680000000001</v>
      </c>
      <c r="V385">
        <v>-7.1410219999999996E-2</v>
      </c>
      <c r="W385">
        <v>0.17911089999999999</v>
      </c>
      <c r="X385">
        <v>0.98123380000000004</v>
      </c>
      <c r="Y385">
        <v>-0.27481339999999999</v>
      </c>
      <c r="Z385">
        <v>3.7788650000000002E-3</v>
      </c>
      <c r="AA385">
        <v>0.96149019999999996</v>
      </c>
      <c r="AB385">
        <v>26</v>
      </c>
      <c r="AC385">
        <v>79.487099999999998</v>
      </c>
      <c r="AD385">
        <v>-1.1104179999999999</v>
      </c>
      <c r="AE385">
        <v>22.605499999999999</v>
      </c>
      <c r="AF385">
        <v>-22.778206374701099</v>
      </c>
      <c r="AG385">
        <v>-1.1104179999999999</v>
      </c>
      <c r="AH385">
        <v>79.422261504309802</v>
      </c>
      <c r="AI385">
        <v>90.769974293023594</v>
      </c>
      <c r="AJ385">
        <v>106.00282590786399</v>
      </c>
      <c r="AK385">
        <v>82.6315638012628</v>
      </c>
      <c r="AL385">
        <v>79.682022964016994</v>
      </c>
      <c r="AM385">
        <v>94.162416497836205</v>
      </c>
      <c r="AN385">
        <v>0.99999995214084803</v>
      </c>
    </row>
    <row r="386" spans="1:40" x14ac:dyDescent="0.25">
      <c r="A386" t="str">
        <f>"20190304155321347"</f>
        <v>20190304155321347</v>
      </c>
      <c r="B386" t="str">
        <f>"1551686001336316"</f>
        <v>1551686001336316</v>
      </c>
      <c r="C386" t="s">
        <v>40</v>
      </c>
      <c r="D386">
        <v>4.4296889999999998</v>
      </c>
      <c r="E386">
        <v>0.41743459999999899</v>
      </c>
      <c r="F386" t="s">
        <v>47</v>
      </c>
      <c r="G386">
        <v>-321.52499999999998</v>
      </c>
      <c r="H386">
        <v>-0.05</v>
      </c>
      <c r="I386">
        <v>390.52519999999998</v>
      </c>
      <c r="J386">
        <v>-402.29790000000003</v>
      </c>
      <c r="K386">
        <v>1.0604169999999999</v>
      </c>
      <c r="L386">
        <v>367.54419999999999</v>
      </c>
      <c r="M386">
        <v>0.99990670000000004</v>
      </c>
      <c r="N386">
        <v>-1.348687E-2</v>
      </c>
      <c r="O386">
        <v>-2.2589709999999998E-3</v>
      </c>
      <c r="P386">
        <v>0.98359439999999998</v>
      </c>
      <c r="Q386">
        <v>0.16658399999999901</v>
      </c>
      <c r="R386">
        <v>6.9226289999999996E-2</v>
      </c>
      <c r="S386">
        <v>2.9967350000000001</v>
      </c>
      <c r="T386">
        <v>-4.1072490000000003E-2</v>
      </c>
      <c r="U386">
        <v>0.85000609999999999</v>
      </c>
      <c r="V386">
        <v>-7.1429129999999993E-2</v>
      </c>
      <c r="W386">
        <v>0.17983940000000001</v>
      </c>
      <c r="X386">
        <v>0.98109919999999995</v>
      </c>
      <c r="Y386">
        <v>-0.27500269999999999</v>
      </c>
      <c r="Z386">
        <v>3.7390990000000001E-3</v>
      </c>
      <c r="AA386">
        <v>0.96143619999999996</v>
      </c>
      <c r="AB386">
        <v>26</v>
      </c>
      <c r="AC386">
        <v>80.772900000000007</v>
      </c>
      <c r="AD386">
        <v>-1.110417</v>
      </c>
      <c r="AE386">
        <v>22.980999999999899</v>
      </c>
      <c r="AF386">
        <v>-23.159372412136602</v>
      </c>
      <c r="AG386">
        <v>-1.110417</v>
      </c>
      <c r="AH386">
        <v>80.706665150079701</v>
      </c>
      <c r="AI386">
        <v>90.757689468680397</v>
      </c>
      <c r="AJ386">
        <v>106.011222408685</v>
      </c>
      <c r="AK386">
        <v>83.971157882245606</v>
      </c>
      <c r="AL386">
        <v>79.639594393856299</v>
      </c>
      <c r="AM386">
        <v>94.164084059733995</v>
      </c>
      <c r="AN386">
        <v>0.99999998532277801</v>
      </c>
    </row>
    <row r="387" spans="1:40" x14ac:dyDescent="0.25">
      <c r="A387" t="str">
        <f>"20190304155321370"</f>
        <v>20190304155321370</v>
      </c>
      <c r="B387" t="str">
        <f>"1551686001365597"</f>
        <v>1551686001365597</v>
      </c>
      <c r="C387" t="s">
        <v>40</v>
      </c>
      <c r="D387">
        <v>4.396973</v>
      </c>
      <c r="E387">
        <v>0.41715140000000001</v>
      </c>
      <c r="F387" t="s">
        <v>47</v>
      </c>
      <c r="G387">
        <v>-315.38389999999998</v>
      </c>
      <c r="H387">
        <v>-0.05</v>
      </c>
      <c r="I387">
        <v>392.24360000000001</v>
      </c>
      <c r="J387">
        <v>-402.03559999999999</v>
      </c>
      <c r="K387">
        <v>1.060408</v>
      </c>
      <c r="L387">
        <v>367.54349999999999</v>
      </c>
      <c r="M387">
        <v>0.99990769999999995</v>
      </c>
      <c r="N387">
        <v>-1.3395539999999999E-2</v>
      </c>
      <c r="O387">
        <v>-2.2955480000000001E-3</v>
      </c>
      <c r="P387">
        <v>0.98339589999999999</v>
      </c>
      <c r="Q387">
        <v>0.16787479999999999</v>
      </c>
      <c r="R387">
        <v>6.8926150000000005E-2</v>
      </c>
      <c r="S387">
        <v>2.9966430000000002</v>
      </c>
      <c r="T387">
        <v>-3.8285260000000002E-2</v>
      </c>
      <c r="U387">
        <v>0.85159300000000004</v>
      </c>
      <c r="V387">
        <v>-7.1164790000000006E-2</v>
      </c>
      <c r="W387">
        <v>0.18103820000000001</v>
      </c>
      <c r="X387">
        <v>0.98089800000000005</v>
      </c>
      <c r="Y387">
        <v>-0.27552169999999998</v>
      </c>
      <c r="Z387">
        <v>3.6058520000000001E-3</v>
      </c>
      <c r="AA387">
        <v>0.96128809999999998</v>
      </c>
      <c r="AB387">
        <v>26</v>
      </c>
      <c r="AC387">
        <v>86.651700000000005</v>
      </c>
      <c r="AD387">
        <v>-1.1104080000000001</v>
      </c>
      <c r="AE387">
        <v>24.700099999999999</v>
      </c>
      <c r="AF387">
        <v>-24.8951849520999</v>
      </c>
      <c r="AG387">
        <v>-1.1104080000000001</v>
      </c>
      <c r="AH387">
        <v>86.581616807025597</v>
      </c>
      <c r="AI387">
        <v>90.706168403255106</v>
      </c>
      <c r="AJ387">
        <v>106.041758723079</v>
      </c>
      <c r="AK387">
        <v>90.096501644871594</v>
      </c>
      <c r="AL387">
        <v>79.5697629056164</v>
      </c>
      <c r="AM387">
        <v>94.149575818818704</v>
      </c>
      <c r="AN387">
        <v>1.0000000717994799</v>
      </c>
    </row>
    <row r="388" spans="1:40" x14ac:dyDescent="0.25">
      <c r="A388" t="str">
        <f>"20190304155321391"</f>
        <v>20190304155321391</v>
      </c>
      <c r="B388" t="str">
        <f>"1551686001386093"</f>
        <v>1551686001386093</v>
      </c>
      <c r="C388" t="s">
        <v>40</v>
      </c>
      <c r="D388">
        <v>4.4110699999999996</v>
      </c>
      <c r="E388">
        <v>0.4169696</v>
      </c>
      <c r="F388" t="s">
        <v>50</v>
      </c>
      <c r="G388">
        <v>-311.61009999999999</v>
      </c>
      <c r="H388">
        <v>5.0092699999999997E-2</v>
      </c>
      <c r="I388">
        <v>393.2953</v>
      </c>
      <c r="J388">
        <v>-401.78500000000003</v>
      </c>
      <c r="K388">
        <v>1.0604009999999999</v>
      </c>
      <c r="L388">
        <v>367.54289999999997</v>
      </c>
      <c r="M388">
        <v>0.99990869999999998</v>
      </c>
      <c r="N388">
        <v>-1.331122E-2</v>
      </c>
      <c r="O388">
        <v>-2.329912E-3</v>
      </c>
      <c r="P388">
        <v>0.98319330000000005</v>
      </c>
      <c r="Q388">
        <v>0.16926949999999999</v>
      </c>
      <c r="R388">
        <v>6.8400669999999997E-2</v>
      </c>
      <c r="S388">
        <v>2.996521</v>
      </c>
      <c r="T388">
        <v>-3.3480410000000002E-2</v>
      </c>
      <c r="U388">
        <v>0.85336299999999898</v>
      </c>
      <c r="V388">
        <v>-7.0671709999999999E-2</v>
      </c>
      <c r="W388">
        <v>0.1823478</v>
      </c>
      <c r="X388">
        <v>0.98069099999999998</v>
      </c>
      <c r="Y388">
        <v>-0.27609800000000001</v>
      </c>
      <c r="Z388">
        <v>3.381069E-3</v>
      </c>
      <c r="AA388">
        <v>0.96112350000000002</v>
      </c>
      <c r="AB388">
        <v>26</v>
      </c>
      <c r="AC388">
        <v>90.174899999999994</v>
      </c>
      <c r="AD388">
        <v>-1.0103082999999999</v>
      </c>
      <c r="AE388">
        <v>25.752400000000002</v>
      </c>
      <c r="AF388">
        <v>-25.959435402259</v>
      </c>
      <c r="AG388">
        <v>-1.0103082999999999</v>
      </c>
      <c r="AH388">
        <v>90.104191461816399</v>
      </c>
      <c r="AI388">
        <v>90.617304819745101</v>
      </c>
      <c r="AJ388">
        <v>106.071936472473</v>
      </c>
      <c r="AK388">
        <v>93.774614519350493</v>
      </c>
      <c r="AL388">
        <v>79.493457778367898</v>
      </c>
      <c r="AM388">
        <v>94.121790846430201</v>
      </c>
      <c r="AN388">
        <v>1.0000000241200799</v>
      </c>
    </row>
    <row r="389" spans="1:40" x14ac:dyDescent="0.25">
      <c r="A389" t="str">
        <f>"20190304155321414"</f>
        <v>20190304155321414</v>
      </c>
      <c r="B389" t="str">
        <f>"1551686001405615"</f>
        <v>1551686001405615</v>
      </c>
      <c r="C389" t="s">
        <v>40</v>
      </c>
      <c r="D389">
        <v>4.732348</v>
      </c>
      <c r="E389">
        <v>0.41849320000000001</v>
      </c>
      <c r="F389" t="s">
        <v>50</v>
      </c>
      <c r="G389">
        <v>-311.61009999999999</v>
      </c>
      <c r="H389">
        <v>0.18796160000000001</v>
      </c>
      <c r="I389">
        <v>393.21719999999999</v>
      </c>
      <c r="J389">
        <v>-401.52600000000001</v>
      </c>
      <c r="K389">
        <v>1.0603990000000001</v>
      </c>
      <c r="L389">
        <v>367.54219999999998</v>
      </c>
      <c r="M389">
        <v>0.99990970000000001</v>
      </c>
      <c r="N389">
        <v>-1.3226140000000001E-2</v>
      </c>
      <c r="O389">
        <v>-2.3623870000000001E-3</v>
      </c>
      <c r="P389">
        <v>0.98302630000000002</v>
      </c>
      <c r="Q389">
        <v>0.1702456</v>
      </c>
      <c r="R389">
        <v>6.8380579999999996E-2</v>
      </c>
      <c r="S389">
        <v>2.996918</v>
      </c>
      <c r="T389">
        <v>-2.8995630000000001E-2</v>
      </c>
      <c r="U389">
        <v>0.85327149999999996</v>
      </c>
      <c r="V389">
        <v>-7.0682720000000004E-2</v>
      </c>
      <c r="W389">
        <v>0.18323800000000001</v>
      </c>
      <c r="X389">
        <v>0.98052419999999996</v>
      </c>
      <c r="Y389">
        <v>-0.27607540000000003</v>
      </c>
      <c r="Z389">
        <v>3.1627199999999999E-3</v>
      </c>
      <c r="AA389">
        <v>0.96113079999999995</v>
      </c>
      <c r="AB389">
        <v>26</v>
      </c>
      <c r="AC389">
        <v>89.915899999999993</v>
      </c>
      <c r="AD389">
        <v>-0.87243739999999903</v>
      </c>
      <c r="AE389">
        <v>25.675000000000001</v>
      </c>
      <c r="AF389">
        <v>-25.8851098604462</v>
      </c>
      <c r="AG389">
        <v>-0.87243739999999903</v>
      </c>
      <c r="AH389">
        <v>89.847168514276603</v>
      </c>
      <c r="AI389">
        <v>90.534595350287702</v>
      </c>
      <c r="AJ389">
        <v>106.071773933153</v>
      </c>
      <c r="AK389">
        <v>93.505688327165998</v>
      </c>
      <c r="AL389">
        <v>79.441578298335898</v>
      </c>
      <c r="AM389">
        <v>94.123129630778706</v>
      </c>
      <c r="AN389">
        <v>0.99999995916811801</v>
      </c>
    </row>
    <row r="390" spans="1:40" x14ac:dyDescent="0.25">
      <c r="A390" t="str">
        <f>"20190304155321436"</f>
        <v>20190304155321436</v>
      </c>
      <c r="B390" t="str">
        <f>"1551686001426129"</f>
        <v>1551686001426129</v>
      </c>
      <c r="C390" t="s">
        <v>40</v>
      </c>
      <c r="D390">
        <v>4.4695539999999996</v>
      </c>
      <c r="E390">
        <v>0.51256919999999995</v>
      </c>
      <c r="F390" t="s">
        <v>50</v>
      </c>
      <c r="G390">
        <v>-311.61009999999999</v>
      </c>
      <c r="H390">
        <v>0.29503819999999997</v>
      </c>
      <c r="I390">
        <v>392.78320000000002</v>
      </c>
      <c r="J390">
        <v>-401.2654</v>
      </c>
      <c r="K390">
        <v>1.0604</v>
      </c>
      <c r="L390">
        <v>367.54149999999998</v>
      </c>
      <c r="M390">
        <v>0.99991090000000005</v>
      </c>
      <c r="N390">
        <v>-1.314501E-2</v>
      </c>
      <c r="O390">
        <v>-2.3987769999999999E-3</v>
      </c>
      <c r="P390">
        <v>0.98286910000000005</v>
      </c>
      <c r="Q390">
        <v>0.17130409999999999</v>
      </c>
      <c r="R390">
        <v>6.7997349999999998E-2</v>
      </c>
      <c r="S390">
        <v>2.9976500000000001</v>
      </c>
      <c r="T390">
        <v>-2.5516509999999999E-2</v>
      </c>
      <c r="U390">
        <v>0.84149169999999995</v>
      </c>
      <c r="V390">
        <v>-7.0335830000000002E-2</v>
      </c>
      <c r="W390">
        <v>0.1842144</v>
      </c>
      <c r="X390">
        <v>0.98036619999999997</v>
      </c>
      <c r="Y390">
        <v>-0.27255449999999998</v>
      </c>
      <c r="Z390">
        <v>2.952592E-3</v>
      </c>
      <c r="AA390">
        <v>0.96213579999999999</v>
      </c>
      <c r="AB390">
        <v>26</v>
      </c>
      <c r="AC390">
        <v>89.655299999999997</v>
      </c>
      <c r="AD390">
        <v>-0.76536179999999998</v>
      </c>
      <c r="AE390">
        <v>25.241700000000002</v>
      </c>
      <c r="AF390">
        <v>-25.4549901784839</v>
      </c>
      <c r="AG390">
        <v>-0.76536179999999998</v>
      </c>
      <c r="AH390">
        <v>89.588438279020295</v>
      </c>
      <c r="AI390">
        <v>90.470835075062993</v>
      </c>
      <c r="AJ390">
        <v>105.86157318080799</v>
      </c>
      <c r="AK390">
        <v>93.137696863007207</v>
      </c>
      <c r="AL390">
        <v>79.384666125702495</v>
      </c>
      <c r="AM390">
        <v>94.103622791581799</v>
      </c>
      <c r="AN390">
        <v>0.99999998012579405</v>
      </c>
    </row>
    <row r="391" spans="1:40" x14ac:dyDescent="0.25">
      <c r="A391" t="str">
        <f>"20190304155321463"</f>
        <v>20190304155321463</v>
      </c>
      <c r="B391" t="str">
        <f>"1551686001456365"</f>
        <v>1551686001456365</v>
      </c>
      <c r="C391" t="s">
        <v>40</v>
      </c>
      <c r="D391">
        <v>4.3657589999999997</v>
      </c>
      <c r="E391">
        <v>0.52186350000000004</v>
      </c>
      <c r="F391" t="s">
        <v>41</v>
      </c>
      <c r="G391">
        <v>-158.19499999999999</v>
      </c>
      <c r="H391">
        <v>1.014907</v>
      </c>
      <c r="I391">
        <v>374.93520000000001</v>
      </c>
      <c r="J391">
        <v>-400.98230000000001</v>
      </c>
      <c r="K391">
        <v>1.0606679999999999</v>
      </c>
      <c r="L391">
        <v>367.54079999999999</v>
      </c>
      <c r="M391">
        <v>0.99989870000000003</v>
      </c>
      <c r="N391">
        <v>-1.402846E-2</v>
      </c>
      <c r="O391">
        <v>-2.440369E-3</v>
      </c>
      <c r="P391">
        <v>0.98291110000000004</v>
      </c>
      <c r="Q391">
        <v>0.17117750000000001</v>
      </c>
      <c r="R391">
        <v>6.7707719999999999E-2</v>
      </c>
      <c r="S391">
        <v>3.0459900000000002</v>
      </c>
      <c r="T391">
        <v>-5.6898589999999905E-4</v>
      </c>
      <c r="U391">
        <v>9.2651369999999997E-2</v>
      </c>
      <c r="V391">
        <v>-7.0089380000000007E-2</v>
      </c>
      <c r="W391">
        <v>0.1849539</v>
      </c>
      <c r="X391">
        <v>0.98024460000000002</v>
      </c>
      <c r="Y391">
        <v>-3.2842549999999998E-2</v>
      </c>
      <c r="Z391">
        <v>1.9972419999999999E-4</v>
      </c>
      <c r="AA391">
        <v>0.99946049999999997</v>
      </c>
      <c r="AB391">
        <v>26</v>
      </c>
      <c r="AC391">
        <v>242.78729999999999</v>
      </c>
      <c r="AD391">
        <v>-4.5760999999999899E-2</v>
      </c>
      <c r="AE391">
        <v>7.3944000000000099</v>
      </c>
      <c r="AF391">
        <v>-7.9869265549570896</v>
      </c>
      <c r="AG391">
        <v>-4.5760999999999899E-2</v>
      </c>
      <c r="AH391">
        <v>242.76852145349801</v>
      </c>
      <c r="AI391">
        <v>90.010794209786795</v>
      </c>
      <c r="AJ391">
        <v>91.884314259521204</v>
      </c>
      <c r="AK391">
        <v>242.899872578355</v>
      </c>
      <c r="AL391">
        <v>79.341555008118902</v>
      </c>
      <c r="AM391">
        <v>94.089798514083299</v>
      </c>
      <c r="AN391">
        <v>0.99999997107157601</v>
      </c>
    </row>
    <row r="392" spans="1:40" x14ac:dyDescent="0.25">
      <c r="A392" t="str">
        <f>"20190304155321483"</f>
        <v>20190304155321483</v>
      </c>
      <c r="B392" t="str">
        <f>"1551686001475884"</f>
        <v>1551686001475884</v>
      </c>
      <c r="C392" t="s">
        <v>40</v>
      </c>
      <c r="D392">
        <v>4.3443110000000003</v>
      </c>
      <c r="E392">
        <v>0.52457500000000001</v>
      </c>
      <c r="F392" t="s">
        <v>41</v>
      </c>
      <c r="G392">
        <v>-158.78319999999999</v>
      </c>
      <c r="H392">
        <v>1.254842</v>
      </c>
      <c r="I392">
        <v>368.94130000000001</v>
      </c>
      <c r="J392">
        <v>-400.73829999999998</v>
      </c>
      <c r="K392">
        <v>1.0613509999999999</v>
      </c>
      <c r="L392">
        <v>367.54020000000003</v>
      </c>
      <c r="M392">
        <v>0.99988129999999997</v>
      </c>
      <c r="N392">
        <v>-1.521018E-2</v>
      </c>
      <c r="O392">
        <v>-2.4758089999999998E-3</v>
      </c>
      <c r="P392">
        <v>0.98305200000000004</v>
      </c>
      <c r="Q392">
        <v>0.17052100000000001</v>
      </c>
      <c r="R392">
        <v>6.7314730000000003E-2</v>
      </c>
      <c r="S392">
        <v>3.0505680000000002</v>
      </c>
      <c r="T392">
        <v>2.4467709999999999E-3</v>
      </c>
      <c r="U392">
        <v>1.7639160000000001E-2</v>
      </c>
      <c r="V392">
        <v>-6.9732530000000001E-2</v>
      </c>
      <c r="W392">
        <v>0.1854576</v>
      </c>
      <c r="X392">
        <v>0.98017489999999996</v>
      </c>
      <c r="Y392">
        <v>-8.257927E-3</v>
      </c>
      <c r="Z392" s="1">
        <v>1.9849579999999999E-5</v>
      </c>
      <c r="AA392">
        <v>0.99996589999999996</v>
      </c>
      <c r="AB392">
        <v>25</v>
      </c>
      <c r="AC392">
        <v>241.95509999999999</v>
      </c>
      <c r="AD392">
        <v>0.193491</v>
      </c>
      <c r="AE392">
        <v>1.40109999999998</v>
      </c>
      <c r="AF392">
        <v>-2.0001983172201001</v>
      </c>
      <c r="AG392">
        <v>0.193491</v>
      </c>
      <c r="AH392">
        <v>241.95073429615601</v>
      </c>
      <c r="AI392">
        <v>89.954181430648603</v>
      </c>
      <c r="AJ392">
        <v>90.473651429279798</v>
      </c>
      <c r="AK392">
        <v>241.95907930582899</v>
      </c>
      <c r="AL392">
        <v>79.3121872642471</v>
      </c>
      <c r="AM392">
        <v>94.069334391154399</v>
      </c>
      <c r="AN392">
        <v>0.99999999086398506</v>
      </c>
    </row>
    <row r="393" spans="1:40" x14ac:dyDescent="0.25">
      <c r="A393" t="str">
        <f>"20190304155321506"</f>
        <v>20190304155321506</v>
      </c>
      <c r="B393" t="str">
        <f>"1551686001496380"</f>
        <v>1551686001496380</v>
      </c>
      <c r="C393" t="s">
        <v>40</v>
      </c>
      <c r="D393">
        <v>4.3883299999999998</v>
      </c>
      <c r="E393">
        <v>0.52570450000000002</v>
      </c>
      <c r="F393" t="s">
        <v>41</v>
      </c>
      <c r="G393">
        <v>-158.19499999999999</v>
      </c>
      <c r="H393">
        <v>0.9491849</v>
      </c>
      <c r="I393">
        <v>367.12310000000002</v>
      </c>
      <c r="J393">
        <v>-400.49099999999999</v>
      </c>
      <c r="K393">
        <v>1.0621750000000001</v>
      </c>
      <c r="L393">
        <v>367.53949999999998</v>
      </c>
      <c r="M393">
        <v>0.9998802</v>
      </c>
      <c r="N393">
        <v>-1.528361E-2</v>
      </c>
      <c r="O393">
        <v>-2.5093049999999999E-3</v>
      </c>
      <c r="P393">
        <v>0.98297999999999996</v>
      </c>
      <c r="Q393">
        <v>0.17095179999999999</v>
      </c>
      <c r="R393">
        <v>6.7274650000000005E-2</v>
      </c>
      <c r="S393">
        <v>3.0523380000000002</v>
      </c>
      <c r="T393">
        <v>-1.410484E-3</v>
      </c>
      <c r="U393">
        <v>-5.2490230000000002E-3</v>
      </c>
      <c r="V393">
        <v>-6.9724410000000001E-2</v>
      </c>
      <c r="W393">
        <v>0.18595900000000001</v>
      </c>
      <c r="X393">
        <v>0.98008050000000002</v>
      </c>
      <c r="Y393">
        <v>-7.8965009999999996E-4</v>
      </c>
      <c r="Z393" s="1">
        <v>-3.0976840000000001E-5</v>
      </c>
      <c r="AA393">
        <v>0.99999970000000005</v>
      </c>
      <c r="AB393">
        <v>25</v>
      </c>
      <c r="AC393">
        <v>242.29599999999999</v>
      </c>
      <c r="AD393">
        <v>-0.1129901</v>
      </c>
      <c r="AE393">
        <v>-0.41639999999995297</v>
      </c>
      <c r="AF393">
        <v>-0.19166676550589201</v>
      </c>
      <c r="AG393">
        <v>-0.1129901</v>
      </c>
      <c r="AH393">
        <v>242.29622930473701</v>
      </c>
      <c r="AI393">
        <v>90.026718754066195</v>
      </c>
      <c r="AJ393">
        <v>90.045323422809005</v>
      </c>
      <c r="AK393">
        <v>242.29633145841399</v>
      </c>
      <c r="AL393">
        <v>79.282950844468004</v>
      </c>
      <c r="AM393">
        <v>94.069252720086894</v>
      </c>
      <c r="AN393">
        <v>1.0000000147555399</v>
      </c>
    </row>
    <row r="394" spans="1:40" x14ac:dyDescent="0.25">
      <c r="A394" t="str">
        <f>"20190304155321526"</f>
        <v>20190304155321526</v>
      </c>
      <c r="B394" t="str">
        <f>"1551686001515900"</f>
        <v>1551686001515900</v>
      </c>
      <c r="C394" t="s">
        <v>40</v>
      </c>
      <c r="D394">
        <v>4.3915519999999999</v>
      </c>
      <c r="E394">
        <v>0.5263717</v>
      </c>
      <c r="F394" t="s">
        <v>41</v>
      </c>
      <c r="G394">
        <v>-158.19499999999999</v>
      </c>
      <c r="H394">
        <v>1.17563</v>
      </c>
      <c r="I394">
        <v>366.40589999999997</v>
      </c>
      <c r="J394">
        <v>-400.25560000000002</v>
      </c>
      <c r="K394">
        <v>1.0628979999999999</v>
      </c>
      <c r="L394">
        <v>367.53890000000001</v>
      </c>
      <c r="M394">
        <v>0.99990279999999998</v>
      </c>
      <c r="N394">
        <v>-1.3705409999999999E-2</v>
      </c>
      <c r="O394">
        <v>-2.5388910000000002E-3</v>
      </c>
      <c r="P394">
        <v>0.98272360000000003</v>
      </c>
      <c r="Q394">
        <v>0.17248229999999901</v>
      </c>
      <c r="R394">
        <v>6.7115629999999996E-2</v>
      </c>
      <c r="S394">
        <v>3.052673</v>
      </c>
      <c r="T394">
        <v>1.430511E-3</v>
      </c>
      <c r="U394">
        <v>-1.428223E-2</v>
      </c>
      <c r="V394">
        <v>-6.9591959999999994E-2</v>
      </c>
      <c r="W394">
        <v>0.1859393</v>
      </c>
      <c r="X394">
        <v>0.98009369999999996</v>
      </c>
      <c r="Y394">
        <v>2.1396900000000001E-3</v>
      </c>
      <c r="Z394" s="1">
        <v>-5.014982E-5</v>
      </c>
      <c r="AA394">
        <v>0.99999769999999999</v>
      </c>
      <c r="AB394">
        <v>25</v>
      </c>
      <c r="AC394">
        <v>242.06059999999999</v>
      </c>
      <c r="AD394">
        <v>0.112732</v>
      </c>
      <c r="AE394">
        <v>-1.13300000000003</v>
      </c>
      <c r="AF394">
        <v>0.51837299617458399</v>
      </c>
      <c r="AG394">
        <v>0.112732</v>
      </c>
      <c r="AH394">
        <v>242.06264402794</v>
      </c>
      <c r="AI394">
        <v>89.973316607506206</v>
      </c>
      <c r="AJ394">
        <v>89.877302259454495</v>
      </c>
      <c r="AK394">
        <v>242.06322532112199</v>
      </c>
      <c r="AL394">
        <v>79.284100123903301</v>
      </c>
      <c r="AM394">
        <v>94.061494055395798</v>
      </c>
      <c r="AN394">
        <v>1.0000000624804</v>
      </c>
    </row>
    <row r="395" spans="1:40" x14ac:dyDescent="0.25">
      <c r="A395" t="str">
        <f>"20190304155321549"</f>
        <v>20190304155321549</v>
      </c>
      <c r="B395" t="str">
        <f>"1551686001546156"</f>
        <v>1551686001546156</v>
      </c>
      <c r="C395" t="s">
        <v>40</v>
      </c>
      <c r="D395">
        <v>4.3910780000000003</v>
      </c>
      <c r="E395">
        <v>0.52685630000000006</v>
      </c>
      <c r="F395" t="s">
        <v>41</v>
      </c>
      <c r="G395">
        <v>-158.19499999999999</v>
      </c>
      <c r="H395">
        <v>1.657675</v>
      </c>
      <c r="I395">
        <v>365.9588</v>
      </c>
      <c r="J395">
        <v>-400.00740000000002</v>
      </c>
      <c r="K395">
        <v>1.06386</v>
      </c>
      <c r="L395">
        <v>367.53820000000002</v>
      </c>
      <c r="M395">
        <v>0.99993180000000004</v>
      </c>
      <c r="N395">
        <v>-1.1385040000000001E-2</v>
      </c>
      <c r="O395">
        <v>-2.5701769999999999E-3</v>
      </c>
      <c r="P395">
        <v>0.9823712</v>
      </c>
      <c r="Q395">
        <v>0.1743864</v>
      </c>
      <c r="R395">
        <v>6.7352410000000001E-2</v>
      </c>
      <c r="S395">
        <v>3.052826</v>
      </c>
      <c r="T395">
        <v>7.5023169999999997E-3</v>
      </c>
      <c r="U395">
        <v>-1.9927980000000001E-2</v>
      </c>
      <c r="V395">
        <v>-6.9858229999999993E-2</v>
      </c>
      <c r="W395">
        <v>0.18556500000000001</v>
      </c>
      <c r="X395">
        <v>0.98014559999999995</v>
      </c>
      <c r="Y395">
        <v>3.9575560000000001E-3</v>
      </c>
      <c r="Z395" s="1">
        <v>-5.3244710000000003E-5</v>
      </c>
      <c r="AA395">
        <v>0.9999922</v>
      </c>
      <c r="AB395">
        <v>25</v>
      </c>
      <c r="AC395">
        <v>241.8124</v>
      </c>
      <c r="AD395">
        <v>0.59381499999999998</v>
      </c>
      <c r="AE395">
        <v>-1.5794000000000199</v>
      </c>
      <c r="AF395">
        <v>0.95784800189452302</v>
      </c>
      <c r="AG395">
        <v>0.59381499999999998</v>
      </c>
      <c r="AH395">
        <v>241.81420264160599</v>
      </c>
      <c r="AI395">
        <v>89.859302068944402</v>
      </c>
      <c r="AJ395">
        <v>89.773047404591594</v>
      </c>
      <c r="AK395">
        <v>241.816828794533</v>
      </c>
      <c r="AL395">
        <v>79.305924765209497</v>
      </c>
      <c r="AM395">
        <v>94.076766526448196</v>
      </c>
      <c r="AN395">
        <v>0.999999969361545</v>
      </c>
    </row>
    <row r="396" spans="1:40" x14ac:dyDescent="0.25">
      <c r="A396" t="str">
        <f>"20190304155321570"</f>
        <v>20190304155321570</v>
      </c>
      <c r="B396" t="str">
        <f>"1551686001565676"</f>
        <v>1551686001565676</v>
      </c>
      <c r="C396" t="s">
        <v>40</v>
      </c>
      <c r="D396">
        <v>4.3492519999999999</v>
      </c>
      <c r="E396">
        <v>0.52694849999999904</v>
      </c>
      <c r="F396" t="s">
        <v>41</v>
      </c>
      <c r="G396">
        <v>-158.19499999999999</v>
      </c>
      <c r="H396">
        <v>1.5849789999999999</v>
      </c>
      <c r="I396">
        <v>365.70920000000001</v>
      </c>
      <c r="J396">
        <v>-399.75920000000002</v>
      </c>
      <c r="K396">
        <v>1.0651280000000001</v>
      </c>
      <c r="L396">
        <v>367.53750000000002</v>
      </c>
      <c r="M396">
        <v>0.99995440000000002</v>
      </c>
      <c r="N396">
        <v>-9.1879800000000001E-3</v>
      </c>
      <c r="O396">
        <v>-2.6044340000000001E-3</v>
      </c>
      <c r="P396">
        <v>0.98204329999999995</v>
      </c>
      <c r="Q396">
        <v>0.17624589999999901</v>
      </c>
      <c r="R396">
        <v>6.729388E-2</v>
      </c>
      <c r="S396">
        <v>3.0542600000000002</v>
      </c>
      <c r="T396">
        <v>6.5832140000000004E-3</v>
      </c>
      <c r="U396">
        <v>-2.310181E-2</v>
      </c>
      <c r="V396">
        <v>-6.9832309999999995E-2</v>
      </c>
      <c r="W396">
        <v>0.18526699999999999</v>
      </c>
      <c r="X396">
        <v>0.98020390000000002</v>
      </c>
      <c r="Y396">
        <v>4.9592919999999997E-3</v>
      </c>
      <c r="Z396" s="1">
        <v>-4.6982189999999998E-5</v>
      </c>
      <c r="AA396">
        <v>0.99998770000000003</v>
      </c>
      <c r="AB396">
        <v>25</v>
      </c>
      <c r="AC396">
        <v>241.5642</v>
      </c>
      <c r="AD396">
        <v>0.51985099999999995</v>
      </c>
      <c r="AE396">
        <v>-1.82830000000001</v>
      </c>
      <c r="AF396">
        <v>1.1991236740269999</v>
      </c>
      <c r="AG396">
        <v>0.51985099999999995</v>
      </c>
      <c r="AH396">
        <v>241.56702386413201</v>
      </c>
      <c r="AI396">
        <v>89.876701484896898</v>
      </c>
      <c r="AJ396">
        <v>89.715589651952598</v>
      </c>
      <c r="AK396">
        <v>241.57055938425501</v>
      </c>
      <c r="AL396">
        <v>79.323301058374796</v>
      </c>
      <c r="AM396">
        <v>94.075017422615304</v>
      </c>
      <c r="AN396">
        <v>1.00000004919207</v>
      </c>
    </row>
    <row r="397" spans="1:40" x14ac:dyDescent="0.25">
      <c r="A397" t="str">
        <f>"20190304155321593"</f>
        <v>20190304155321593</v>
      </c>
      <c r="B397" t="str">
        <f>"1551686001586172"</f>
        <v>1551686001586172</v>
      </c>
      <c r="C397" t="s">
        <v>40</v>
      </c>
      <c r="D397">
        <v>4.3471070000000003</v>
      </c>
      <c r="E397">
        <v>0.52707749999999998</v>
      </c>
      <c r="F397" t="s">
        <v>41</v>
      </c>
      <c r="G397">
        <v>-158.19499999999999</v>
      </c>
      <c r="H397">
        <v>1.8864289999999999</v>
      </c>
      <c r="I397">
        <v>365.62380000000002</v>
      </c>
      <c r="J397">
        <v>-399.50779999999997</v>
      </c>
      <c r="K397">
        <v>1.0666359999999999</v>
      </c>
      <c r="L397">
        <v>367.53680000000003</v>
      </c>
      <c r="M397">
        <v>0.99997060000000004</v>
      </c>
      <c r="N397">
        <v>-7.2140729999999997E-3</v>
      </c>
      <c r="O397">
        <v>-2.6424920000000002E-3</v>
      </c>
      <c r="P397">
        <v>0.98172809999999999</v>
      </c>
      <c r="Q397">
        <v>0.1780233</v>
      </c>
      <c r="R397">
        <v>6.7214919999999997E-2</v>
      </c>
      <c r="S397">
        <v>3.0546880000000001</v>
      </c>
      <c r="T397">
        <v>1.038682E-2</v>
      </c>
      <c r="U397">
        <v>-2.420044E-2</v>
      </c>
      <c r="V397">
        <v>-6.9790999999999895E-2</v>
      </c>
      <c r="W397">
        <v>0.1851062</v>
      </c>
      <c r="X397">
        <v>0.98023720000000003</v>
      </c>
      <c r="Y397">
        <v>5.2798250000000001E-3</v>
      </c>
      <c r="Z397" s="1">
        <v>-3.8116710000000001E-5</v>
      </c>
      <c r="AA397">
        <v>0.99998609999999999</v>
      </c>
      <c r="AB397">
        <v>26</v>
      </c>
      <c r="AC397">
        <v>241.31280000000001</v>
      </c>
      <c r="AD397">
        <v>0.81979299999999999</v>
      </c>
      <c r="AE397">
        <v>-1.91300000000001</v>
      </c>
      <c r="AF397">
        <v>1.2752949382919001</v>
      </c>
      <c r="AG397">
        <v>0.81979299999999999</v>
      </c>
      <c r="AH397">
        <v>241.314227798117</v>
      </c>
      <c r="AI397">
        <v>89.805358172174095</v>
      </c>
      <c r="AJ397">
        <v>89.697206675178606</v>
      </c>
      <c r="AK397">
        <v>241.31899008479201</v>
      </c>
      <c r="AL397">
        <v>79.332676158586906</v>
      </c>
      <c r="AM397">
        <v>94.072477032454003</v>
      </c>
      <c r="AN397">
        <v>1.00000002861163</v>
      </c>
    </row>
    <row r="398" spans="1:40" x14ac:dyDescent="0.25">
      <c r="A398" t="str">
        <f>"20190304155321616"</f>
        <v>20190304155321616</v>
      </c>
      <c r="B398" t="str">
        <f>"1551686001605696"</f>
        <v>1551686001605696</v>
      </c>
      <c r="C398" t="s">
        <v>40</v>
      </c>
      <c r="D398">
        <v>4.3195769999999998</v>
      </c>
      <c r="E398">
        <v>0.52719669999999996</v>
      </c>
      <c r="F398" t="s">
        <v>41</v>
      </c>
      <c r="G398">
        <v>-158.19499999999999</v>
      </c>
      <c r="H398">
        <v>2.2155670000000001</v>
      </c>
      <c r="I398">
        <v>365.52640000000002</v>
      </c>
      <c r="J398">
        <v>-399.23939999999999</v>
      </c>
      <c r="K398">
        <v>1.06833</v>
      </c>
      <c r="L398">
        <v>367.53609999999998</v>
      </c>
      <c r="M398">
        <v>0.9999825</v>
      </c>
      <c r="N398">
        <v>-5.2787609999999999E-3</v>
      </c>
      <c r="O398">
        <v>-2.6842789999999999E-3</v>
      </c>
      <c r="P398">
        <v>0.98135439999999996</v>
      </c>
      <c r="Q398">
        <v>0.180113</v>
      </c>
      <c r="R398">
        <v>6.7104919999999998E-2</v>
      </c>
      <c r="S398">
        <v>3.054932</v>
      </c>
      <c r="T398">
        <v>1.4546160000000001E-2</v>
      </c>
      <c r="U398">
        <v>-2.5451660000000001E-2</v>
      </c>
      <c r="V398">
        <v>-6.9721599999999995E-2</v>
      </c>
      <c r="W398">
        <v>0.1852965</v>
      </c>
      <c r="X398">
        <v>0.98020609999999997</v>
      </c>
      <c r="Y398">
        <v>5.6469349999999996E-3</v>
      </c>
      <c r="Z398" s="1">
        <v>-2.841139E-5</v>
      </c>
      <c r="AA398">
        <v>0.99998399999999998</v>
      </c>
      <c r="AB398">
        <v>26</v>
      </c>
      <c r="AC398">
        <v>241.0444</v>
      </c>
      <c r="AD398">
        <v>1.1472369999999901</v>
      </c>
      <c r="AE398">
        <v>-2.0096999999999499</v>
      </c>
      <c r="AF398">
        <v>1.3626224820389801</v>
      </c>
      <c r="AG398">
        <v>1.1472369999999901</v>
      </c>
      <c r="AH398">
        <v>241.04346643164899</v>
      </c>
      <c r="AI398">
        <v>89.727309382751699</v>
      </c>
      <c r="AJ398">
        <v>89.676109513282</v>
      </c>
      <c r="AK398">
        <v>241.05004791982199</v>
      </c>
      <c r="AL398">
        <v>79.321579941781195</v>
      </c>
      <c r="AM398">
        <v>94.068569626855094</v>
      </c>
      <c r="AN398">
        <v>0.99999994644800805</v>
      </c>
    </row>
    <row r="399" spans="1:40" x14ac:dyDescent="0.25">
      <c r="A399" t="str">
        <f>"20190304155321637"</f>
        <v>20190304155321637</v>
      </c>
      <c r="B399" t="str">
        <f>"1551686001626188"</f>
        <v>1551686001626188</v>
      </c>
      <c r="C399" t="s">
        <v>40</v>
      </c>
      <c r="D399">
        <v>4.4598550000000001</v>
      </c>
      <c r="E399">
        <v>0.527138</v>
      </c>
      <c r="F399" t="s">
        <v>41</v>
      </c>
      <c r="G399">
        <v>-158.19499999999999</v>
      </c>
      <c r="H399">
        <v>2.6131929999999999</v>
      </c>
      <c r="I399">
        <v>365.40769999999998</v>
      </c>
      <c r="J399">
        <v>-398.99250000000001</v>
      </c>
      <c r="K399">
        <v>1.0698829999999999</v>
      </c>
      <c r="L399">
        <v>367.53539999999998</v>
      </c>
      <c r="M399">
        <v>0.99998969999999998</v>
      </c>
      <c r="N399">
        <v>-3.6283930000000002E-3</v>
      </c>
      <c r="O399">
        <v>-2.7222599999999998E-3</v>
      </c>
      <c r="P399">
        <v>0.98116020000000004</v>
      </c>
      <c r="Q399">
        <v>0.1812617</v>
      </c>
      <c r="R399">
        <v>6.6850850000000003E-2</v>
      </c>
      <c r="S399">
        <v>3.0552060000000001</v>
      </c>
      <c r="T399">
        <v>1.958203E-2</v>
      </c>
      <c r="U399">
        <v>-2.6977540000000001E-2</v>
      </c>
      <c r="V399">
        <v>-6.9504449999999995E-2</v>
      </c>
      <c r="W399">
        <v>0.1848264</v>
      </c>
      <c r="X399">
        <v>0.98031029999999997</v>
      </c>
      <c r="Y399">
        <v>6.1075579999999999E-3</v>
      </c>
      <c r="Z399" s="1">
        <v>-1.8832910000000001E-5</v>
      </c>
      <c r="AA399">
        <v>0.99998129999999996</v>
      </c>
      <c r="AB399">
        <v>26</v>
      </c>
      <c r="AC399">
        <v>240.79750000000001</v>
      </c>
      <c r="AD399">
        <v>1.54331</v>
      </c>
      <c r="AE399">
        <v>-2.1276999999999999</v>
      </c>
      <c r="AF399">
        <v>1.47211392495464</v>
      </c>
      <c r="AG399">
        <v>1.54331</v>
      </c>
      <c r="AH399">
        <v>240.792509593001</v>
      </c>
      <c r="AI399">
        <v>89.632786391644402</v>
      </c>
      <c r="AJ399">
        <v>89.649719735132194</v>
      </c>
      <c r="AK399">
        <v>240.80195514418</v>
      </c>
      <c r="AL399">
        <v>79.348988425194193</v>
      </c>
      <c r="AM399">
        <v>94.055510623076302</v>
      </c>
      <c r="AN399">
        <v>0.99999997549642605</v>
      </c>
    </row>
    <row r="400" spans="1:40" x14ac:dyDescent="0.25">
      <c r="A400" t="str">
        <f>"20190304155321673"</f>
        <v>20190304155321673</v>
      </c>
      <c r="B400" t="str">
        <f>"1551686001666205"</f>
        <v>1551686001666205</v>
      </c>
      <c r="C400" t="s">
        <v>40</v>
      </c>
      <c r="D400">
        <v>4.2092330000000002</v>
      </c>
      <c r="E400">
        <v>0.52753939999999999</v>
      </c>
      <c r="F400" t="s">
        <v>41</v>
      </c>
      <c r="G400">
        <v>-158.19499999999999</v>
      </c>
      <c r="H400">
        <v>2.8968240000000001</v>
      </c>
      <c r="I400">
        <v>365.36829999999998</v>
      </c>
      <c r="J400">
        <v>-398.60129999999998</v>
      </c>
      <c r="K400">
        <v>1.072343</v>
      </c>
      <c r="L400">
        <v>367.53429999999997</v>
      </c>
      <c r="M400">
        <v>0.99999459999999996</v>
      </c>
      <c r="N400">
        <v>-1.7406089999999999E-3</v>
      </c>
      <c r="O400">
        <v>-2.7821120000000002E-3</v>
      </c>
      <c r="P400">
        <v>0.9808192</v>
      </c>
      <c r="Q400">
        <v>0.18309259999999999</v>
      </c>
      <c r="R400">
        <v>6.6866679999999998E-2</v>
      </c>
      <c r="S400">
        <v>3.0552060000000001</v>
      </c>
      <c r="T400">
        <v>2.318108E-2</v>
      </c>
      <c r="U400">
        <v>-2.7496340000000001E-2</v>
      </c>
      <c r="V400">
        <v>-6.9578130000000002E-2</v>
      </c>
      <c r="W400">
        <v>0.1848059</v>
      </c>
      <c r="X400">
        <v>0.98030890000000004</v>
      </c>
      <c r="Y400">
        <v>6.2174109999999999E-3</v>
      </c>
      <c r="Z400" s="1">
        <v>-7.7756289999999999E-6</v>
      </c>
      <c r="AA400">
        <v>0.99998069999999895</v>
      </c>
      <c r="AB400">
        <v>26</v>
      </c>
      <c r="AC400">
        <v>240.40629999999999</v>
      </c>
      <c r="AD400">
        <v>1.824481</v>
      </c>
      <c r="AE400">
        <v>-2.1659999999999902</v>
      </c>
      <c r="AF400">
        <v>1.49706712498594</v>
      </c>
      <c r="AG400">
        <v>1.824481</v>
      </c>
      <c r="AH400">
        <v>240.397551025257</v>
      </c>
      <c r="AI400">
        <v>89.565174325434995</v>
      </c>
      <c r="AJ400">
        <v>89.643197200890398</v>
      </c>
      <c r="AK400">
        <v>240.40913559978799</v>
      </c>
      <c r="AL400">
        <v>79.350183174909603</v>
      </c>
      <c r="AM400">
        <v>94.059801183315301</v>
      </c>
      <c r="AN400">
        <v>0.999999938134156</v>
      </c>
    </row>
    <row r="401" spans="1:40" x14ac:dyDescent="0.25">
      <c r="A401" t="str">
        <f>"20190304155321693"</f>
        <v>20190304155321693</v>
      </c>
      <c r="B401" t="str">
        <f>"1551686001686701"</f>
        <v>1551686001686701</v>
      </c>
      <c r="C401" t="s">
        <v>40</v>
      </c>
      <c r="D401">
        <v>4.2146439999999998</v>
      </c>
      <c r="E401">
        <v>0.52770450000000002</v>
      </c>
      <c r="F401" t="s">
        <v>41</v>
      </c>
      <c r="G401">
        <v>-158.19499999999999</v>
      </c>
      <c r="H401">
        <v>3.3081040000000002</v>
      </c>
      <c r="I401">
        <v>365.12110000000001</v>
      </c>
      <c r="J401">
        <v>-398.36270000000002</v>
      </c>
      <c r="K401">
        <v>1.0741889999999901</v>
      </c>
      <c r="L401">
        <v>367.5335</v>
      </c>
      <c r="M401">
        <v>0.99999479999999996</v>
      </c>
      <c r="N401">
        <v>-1.705591E-3</v>
      </c>
      <c r="O401">
        <v>-2.819392E-3</v>
      </c>
      <c r="P401">
        <v>0.9808038</v>
      </c>
      <c r="Q401">
        <v>0.1831981</v>
      </c>
      <c r="R401">
        <v>6.6801940000000004E-2</v>
      </c>
      <c r="S401">
        <v>3.0554199999999998</v>
      </c>
      <c r="T401">
        <v>2.8416279999999999E-2</v>
      </c>
      <c r="U401">
        <v>-3.067017E-2</v>
      </c>
      <c r="V401">
        <v>-6.9549609999999998E-2</v>
      </c>
      <c r="W401">
        <v>0.18487709999999999</v>
      </c>
      <c r="X401">
        <v>0.98029759999999999</v>
      </c>
      <c r="Y401">
        <v>7.21807099999999E-3</v>
      </c>
      <c r="Z401" s="1">
        <v>-3.6206289999999999E-6</v>
      </c>
      <c r="AA401">
        <v>0.99997400000000003</v>
      </c>
      <c r="AB401">
        <v>26</v>
      </c>
      <c r="AC401">
        <v>240.1677</v>
      </c>
      <c r="AD401">
        <v>2.2339150000000001</v>
      </c>
      <c r="AE401">
        <v>-2.4123999999999901</v>
      </c>
      <c r="AF401">
        <v>1.73511258754553</v>
      </c>
      <c r="AG401">
        <v>2.2339150000000001</v>
      </c>
      <c r="AH401">
        <v>240.152771634826</v>
      </c>
      <c r="AI401">
        <v>89.467060618876303</v>
      </c>
      <c r="AJ401">
        <v>89.586043093439997</v>
      </c>
      <c r="AK401">
        <v>240.16942918658</v>
      </c>
      <c r="AL401">
        <v>79.346033257338902</v>
      </c>
      <c r="AM401">
        <v>94.058189258580398</v>
      </c>
      <c r="AN401">
        <v>1.0000000374606599</v>
      </c>
    </row>
    <row r="402" spans="1:40" x14ac:dyDescent="0.25">
      <c r="A402" t="str">
        <f>"20190304155321715"</f>
        <v>20190304155321715</v>
      </c>
      <c r="B402" t="str">
        <f>"1551686001705810"</f>
        <v>1551686001705810</v>
      </c>
      <c r="C402" t="s">
        <v>40</v>
      </c>
      <c r="D402">
        <v>4.2128050000000004</v>
      </c>
      <c r="E402">
        <v>0.52780459999999996</v>
      </c>
      <c r="F402" t="s">
        <v>41</v>
      </c>
      <c r="G402">
        <v>-158.19499999999999</v>
      </c>
      <c r="H402">
        <v>3.3576899999999998</v>
      </c>
      <c r="I402">
        <v>364.9597</v>
      </c>
      <c r="J402">
        <v>-398.11219999999997</v>
      </c>
      <c r="K402">
        <v>1.0764720000000001</v>
      </c>
      <c r="L402">
        <v>367.53280000000001</v>
      </c>
      <c r="M402">
        <v>0.99999380000000004</v>
      </c>
      <c r="N402">
        <v>-2.0544909999999999E-3</v>
      </c>
      <c r="O402">
        <v>-2.8588369999999999E-3</v>
      </c>
      <c r="P402">
        <v>0.98085869999999997</v>
      </c>
      <c r="Q402">
        <v>0.18296209999999999</v>
      </c>
      <c r="R402">
        <v>6.6643800000000003E-2</v>
      </c>
      <c r="S402">
        <v>3.0555110000000001</v>
      </c>
      <c r="T402">
        <v>2.9052729999999999E-2</v>
      </c>
      <c r="U402">
        <v>-3.2745360000000001E-2</v>
      </c>
      <c r="V402">
        <v>-6.943038E-2</v>
      </c>
      <c r="W402">
        <v>0.18498339999999999</v>
      </c>
      <c r="X402">
        <v>0.98028590000000004</v>
      </c>
      <c r="Y402">
        <v>7.8573930000000007E-3</v>
      </c>
      <c r="Z402" s="1">
        <v>-3.7728499999999998E-6</v>
      </c>
      <c r="AA402">
        <v>0.99996910000000006</v>
      </c>
      <c r="AB402">
        <v>25</v>
      </c>
      <c r="AC402">
        <v>239.91720000000001</v>
      </c>
      <c r="AD402">
        <v>2.281218</v>
      </c>
      <c r="AE402">
        <v>-2.5731000000000099</v>
      </c>
      <c r="AF402">
        <v>1.88703328227022</v>
      </c>
      <c r="AG402">
        <v>2.281218</v>
      </c>
      <c r="AH402">
        <v>239.90188891468199</v>
      </c>
      <c r="AI402">
        <v>89.4552098692253</v>
      </c>
      <c r="AJ402">
        <v>89.549329046087394</v>
      </c>
      <c r="AK402">
        <v>239.92015579147201</v>
      </c>
      <c r="AL402">
        <v>79.339834778606203</v>
      </c>
      <c r="AM402">
        <v>94.051303617005701</v>
      </c>
      <c r="AN402">
        <v>0.99999994084065502</v>
      </c>
    </row>
    <row r="403" spans="1:40" x14ac:dyDescent="0.25">
      <c r="A403" t="str">
        <f>"20190304155321738"</f>
        <v>20190304155321738</v>
      </c>
      <c r="B403" t="str">
        <f>"1551686001736051"</f>
        <v>1551686001736051</v>
      </c>
      <c r="C403" t="s">
        <v>40</v>
      </c>
      <c r="D403">
        <v>4.1872910000000001</v>
      </c>
      <c r="E403">
        <v>0.52810979999999996</v>
      </c>
      <c r="F403" t="s">
        <v>41</v>
      </c>
      <c r="G403">
        <v>-158.19499999999999</v>
      </c>
      <c r="H403">
        <v>3.3217940000000001</v>
      </c>
      <c r="I403">
        <v>364.87779999999998</v>
      </c>
      <c r="J403">
        <v>-397.8562</v>
      </c>
      <c r="K403">
        <v>1.078948</v>
      </c>
      <c r="L403">
        <v>367.53199999999998</v>
      </c>
      <c r="M403">
        <v>0.99999369999999999</v>
      </c>
      <c r="N403">
        <v>-2.0564110000000002E-3</v>
      </c>
      <c r="O403">
        <v>-2.8990159999999999E-3</v>
      </c>
      <c r="P403">
        <v>0.98085219999999995</v>
      </c>
      <c r="Q403">
        <v>0.18302280000000001</v>
      </c>
      <c r="R403">
        <v>6.6573209999999994E-2</v>
      </c>
      <c r="S403">
        <v>3.055542</v>
      </c>
      <c r="T403">
        <v>2.859712E-2</v>
      </c>
      <c r="U403">
        <v>-3.381348E-2</v>
      </c>
      <c r="V403">
        <v>-6.939824E-2</v>
      </c>
      <c r="W403">
        <v>0.18504580000000001</v>
      </c>
      <c r="X403">
        <v>0.9802765</v>
      </c>
      <c r="Y403">
        <v>8.1666209999999902E-3</v>
      </c>
      <c r="Z403" s="1">
        <v>-3.275145E-6</v>
      </c>
      <c r="AA403">
        <v>0.99996669999999999</v>
      </c>
      <c r="AB403">
        <v>25</v>
      </c>
      <c r="AC403">
        <v>239.66120000000001</v>
      </c>
      <c r="AD403">
        <v>2.2428460000000001</v>
      </c>
      <c r="AE403">
        <v>-2.6541999999999999</v>
      </c>
      <c r="AF403">
        <v>1.9592341675751499</v>
      </c>
      <c r="AG403">
        <v>2.2428460000000001</v>
      </c>
      <c r="AH403">
        <v>239.64690185677799</v>
      </c>
      <c r="AI403">
        <v>89.463804609346397</v>
      </c>
      <c r="AJ403">
        <v>89.531588570131007</v>
      </c>
      <c r="AK403">
        <v>239.665405359755</v>
      </c>
      <c r="AL403">
        <v>79.336197784583703</v>
      </c>
      <c r="AM403">
        <v>94.049473170787707</v>
      </c>
      <c r="AN403">
        <v>1.00000004013249</v>
      </c>
    </row>
    <row r="404" spans="1:40" x14ac:dyDescent="0.25">
      <c r="A404" t="str">
        <f>"20190304155321760"</f>
        <v>20190304155321760</v>
      </c>
      <c r="B404" t="str">
        <f>"1551686001755572"</f>
        <v>1551686001755572</v>
      </c>
      <c r="C404" t="s">
        <v>40</v>
      </c>
      <c r="D404">
        <v>4.1968579999999998</v>
      </c>
      <c r="E404">
        <v>0.52812099999999995</v>
      </c>
      <c r="F404" t="s">
        <v>41</v>
      </c>
      <c r="G404">
        <v>-158.19499999999999</v>
      </c>
      <c r="H404">
        <v>3.3829310000000001</v>
      </c>
      <c r="I404">
        <v>364.6789</v>
      </c>
      <c r="J404">
        <v>-397.60849999999999</v>
      </c>
      <c r="K404">
        <v>1.081461</v>
      </c>
      <c r="L404">
        <v>367.53129999999999</v>
      </c>
      <c r="M404">
        <v>0.99999400000000005</v>
      </c>
      <c r="N404">
        <v>-1.9133080000000001E-3</v>
      </c>
      <c r="O404">
        <v>-2.9377309999999998E-3</v>
      </c>
      <c r="P404">
        <v>0.98076399999999997</v>
      </c>
      <c r="Q404">
        <v>0.18347530000000001</v>
      </c>
      <c r="R404">
        <v>6.662672E-2</v>
      </c>
      <c r="S404">
        <v>3.055542</v>
      </c>
      <c r="T404">
        <v>2.937555E-2</v>
      </c>
      <c r="U404">
        <v>-3.6376949999999998E-2</v>
      </c>
      <c r="V404">
        <v>-6.948944E-2</v>
      </c>
      <c r="W404">
        <v>0.18535789999999999</v>
      </c>
      <c r="X404">
        <v>0.98021100000000005</v>
      </c>
      <c r="Y404">
        <v>8.9666799999999994E-3</v>
      </c>
      <c r="Z404" s="1">
        <v>6.5961650000000004E-7</v>
      </c>
      <c r="AA404">
        <v>0.99995979999999995</v>
      </c>
      <c r="AB404">
        <v>25</v>
      </c>
      <c r="AC404">
        <v>239.4135</v>
      </c>
      <c r="AD404">
        <v>2.3014700000000001</v>
      </c>
      <c r="AE404">
        <v>-2.8523999999999798</v>
      </c>
      <c r="AF404">
        <v>2.14885550067764</v>
      </c>
      <c r="AG404">
        <v>2.3014700000000001</v>
      </c>
      <c r="AH404">
        <v>239.398727080448</v>
      </c>
      <c r="AI404">
        <v>89.449223703587094</v>
      </c>
      <c r="AJ404">
        <v>89.485723896483194</v>
      </c>
      <c r="AK404">
        <v>239.419432945328</v>
      </c>
      <c r="AL404">
        <v>79.318000207413604</v>
      </c>
      <c r="AM404">
        <v>94.055047110725297</v>
      </c>
      <c r="AN404">
        <v>0.99999996894246101</v>
      </c>
    </row>
    <row r="405" spans="1:40" x14ac:dyDescent="0.25">
      <c r="A405" t="str">
        <f>"20190304155321784"</f>
        <v>20190304155321784</v>
      </c>
      <c r="B405" t="str">
        <f>"1551686001776068"</f>
        <v>1551686001776068</v>
      </c>
      <c r="C405" t="s">
        <v>40</v>
      </c>
      <c r="D405">
        <v>4.158379</v>
      </c>
      <c r="E405">
        <v>0.52823529999999996</v>
      </c>
      <c r="F405" t="s">
        <v>41</v>
      </c>
      <c r="G405">
        <v>-158.19499999999999</v>
      </c>
      <c r="H405">
        <v>3.5121959999999999</v>
      </c>
      <c r="I405">
        <v>364.68099999999998</v>
      </c>
      <c r="J405">
        <v>-397.34570000000002</v>
      </c>
      <c r="K405">
        <v>1.0843020000000001</v>
      </c>
      <c r="L405">
        <v>367.53050000000002</v>
      </c>
      <c r="M405">
        <v>0.99999329999999997</v>
      </c>
      <c r="N405">
        <v>-2.1135329999999999E-3</v>
      </c>
      <c r="O405">
        <v>-2.9751370000000001E-3</v>
      </c>
      <c r="P405">
        <v>0.98076099999999999</v>
      </c>
      <c r="Q405">
        <v>0.18346609999999999</v>
      </c>
      <c r="R405">
        <v>6.6694740000000002E-2</v>
      </c>
      <c r="S405">
        <v>3.055542</v>
      </c>
      <c r="T405">
        <v>3.1023619999999998E-2</v>
      </c>
      <c r="U405">
        <v>-3.6376949999999998E-2</v>
      </c>
      <c r="V405">
        <v>-6.9593489999999994E-2</v>
      </c>
      <c r="W405">
        <v>0.18554480000000001</v>
      </c>
      <c r="X405">
        <v>0.98016829999999999</v>
      </c>
      <c r="Y405">
        <v>8.9292709999999904E-3</v>
      </c>
      <c r="Z405" s="1">
        <v>-6.0190359999999899E-7</v>
      </c>
      <c r="AA405">
        <v>0.99996010000000002</v>
      </c>
      <c r="AB405">
        <v>25</v>
      </c>
      <c r="AC405">
        <v>239.1507</v>
      </c>
      <c r="AD405">
        <v>2.4278940000000002</v>
      </c>
      <c r="AE405">
        <v>-2.8495000000000301</v>
      </c>
      <c r="AF405">
        <v>2.1377593751338999</v>
      </c>
      <c r="AG405">
        <v>2.4278940000000002</v>
      </c>
      <c r="AH405">
        <v>239.13347617838301</v>
      </c>
      <c r="AI405">
        <v>89.4183259307393</v>
      </c>
      <c r="AJ405">
        <v>89.487811873629198</v>
      </c>
      <c r="AK405">
        <v>239.15535560295999</v>
      </c>
      <c r="AL405">
        <v>79.307103050083001</v>
      </c>
      <c r="AM405">
        <v>94.061274959589895</v>
      </c>
      <c r="AN405">
        <v>1.00000001149115</v>
      </c>
    </row>
    <row r="406" spans="1:40" x14ac:dyDescent="0.25">
      <c r="A406" t="str">
        <f>"20190304155321805"</f>
        <v>20190304155321805</v>
      </c>
      <c r="B406" t="str">
        <f>"1551686001795591"</f>
        <v>1551686001795591</v>
      </c>
      <c r="C406" t="s">
        <v>40</v>
      </c>
      <c r="D406">
        <v>4.1622719999999997</v>
      </c>
      <c r="E406">
        <v>0.52834499999999995</v>
      </c>
      <c r="F406" t="s">
        <v>41</v>
      </c>
      <c r="G406">
        <v>-158.19499999999999</v>
      </c>
      <c r="H406">
        <v>3.5430290000000002</v>
      </c>
      <c r="I406">
        <v>364.61880000000002</v>
      </c>
      <c r="J406">
        <v>-397.09109999999998</v>
      </c>
      <c r="K406">
        <v>1.087127</v>
      </c>
      <c r="L406">
        <v>367.52969999999999</v>
      </c>
      <c r="M406">
        <v>0.99999170000000004</v>
      </c>
      <c r="N406">
        <v>-2.7388460000000001E-3</v>
      </c>
      <c r="O406">
        <v>-3.010375E-3</v>
      </c>
      <c r="P406">
        <v>0.98083609999999999</v>
      </c>
      <c r="Q406">
        <v>0.1831197</v>
      </c>
      <c r="R406">
        <v>6.654156E-2</v>
      </c>
      <c r="S406">
        <v>3.0554809999999999</v>
      </c>
      <c r="T406">
        <v>3.1414749999999998E-2</v>
      </c>
      <c r="U406">
        <v>-3.720093E-2</v>
      </c>
      <c r="V406">
        <v>-6.9475410000000001E-2</v>
      </c>
      <c r="W406">
        <v>0.1858119</v>
      </c>
      <c r="X406">
        <v>0.9801261</v>
      </c>
      <c r="Y406">
        <v>9.1639270000000005E-3</v>
      </c>
      <c r="Z406" s="1">
        <v>-4.6371129999999998E-6</v>
      </c>
      <c r="AA406">
        <v>0.99995800000000001</v>
      </c>
      <c r="AB406">
        <v>26</v>
      </c>
      <c r="AC406">
        <v>238.89609999999999</v>
      </c>
      <c r="AD406">
        <v>2.455902</v>
      </c>
      <c r="AE406">
        <v>-2.9108999999999599</v>
      </c>
      <c r="AF406">
        <v>2.1914856848551398</v>
      </c>
      <c r="AG406">
        <v>2.455902</v>
      </c>
      <c r="AH406">
        <v>238.87853885804401</v>
      </c>
      <c r="AI406">
        <v>89.410989608553393</v>
      </c>
      <c r="AJ406">
        <v>89.474379913799893</v>
      </c>
      <c r="AK406">
        <v>238.90121471247099</v>
      </c>
      <c r="AL406">
        <v>79.291528752083906</v>
      </c>
      <c r="AM406">
        <v>94.054581134707107</v>
      </c>
      <c r="AN406">
        <v>1.00000003333874</v>
      </c>
    </row>
    <row r="407" spans="1:40" x14ac:dyDescent="0.25">
      <c r="A407" t="str">
        <f>"20190304155321827"</f>
        <v>20190304155321827</v>
      </c>
      <c r="B407" t="str">
        <f>"1551686001815699"</f>
        <v>1551686001815699</v>
      </c>
      <c r="C407" t="s">
        <v>40</v>
      </c>
      <c r="D407">
        <v>4.146299</v>
      </c>
      <c r="E407">
        <v>0.52843169999999995</v>
      </c>
      <c r="F407" t="s">
        <v>41</v>
      </c>
      <c r="G407">
        <v>-158.19499999999999</v>
      </c>
      <c r="H407">
        <v>3.4947140000000001</v>
      </c>
      <c r="I407">
        <v>364.51850000000002</v>
      </c>
      <c r="J407">
        <v>-396.8433</v>
      </c>
      <c r="K407">
        <v>1.089809</v>
      </c>
      <c r="L407">
        <v>367.52890000000002</v>
      </c>
      <c r="M407">
        <v>0.99998920000000002</v>
      </c>
      <c r="N407">
        <v>-3.536347E-3</v>
      </c>
      <c r="O407">
        <v>-3.0453979999999999E-3</v>
      </c>
      <c r="P407">
        <v>0.98110260000000005</v>
      </c>
      <c r="Q407">
        <v>0.18178830000000001</v>
      </c>
      <c r="R407">
        <v>6.6262989999999994E-2</v>
      </c>
      <c r="S407">
        <v>3.0554809999999999</v>
      </c>
      <c r="T407">
        <v>3.0794140000000001E-2</v>
      </c>
      <c r="U407">
        <v>-3.8513180000000001E-2</v>
      </c>
      <c r="V407">
        <v>-6.9231749999999995E-2</v>
      </c>
      <c r="W407">
        <v>0.1852627</v>
      </c>
      <c r="X407">
        <v>0.98024730000000004</v>
      </c>
      <c r="Y407">
        <v>9.5583560000000005E-3</v>
      </c>
      <c r="Z407" s="1">
        <v>-1.019806E-5</v>
      </c>
      <c r="AA407">
        <v>0.99995429999999996</v>
      </c>
      <c r="AB407">
        <v>26</v>
      </c>
      <c r="AC407">
        <v>238.64830000000001</v>
      </c>
      <c r="AD407">
        <v>2.4049049999999998</v>
      </c>
      <c r="AE407">
        <v>-3.0104000000000002</v>
      </c>
      <c r="AF407">
        <v>2.2833706664056601</v>
      </c>
      <c r="AG407">
        <v>2.4049049999999998</v>
      </c>
      <c r="AH407">
        <v>238.632132045904</v>
      </c>
      <c r="AI407">
        <v>89.422626223679103</v>
      </c>
      <c r="AJ407">
        <v>89.451777476106898</v>
      </c>
      <c r="AK407">
        <v>238.655173408064</v>
      </c>
      <c r="AL407">
        <v>79.323551629920203</v>
      </c>
      <c r="AM407">
        <v>94.039910417505894</v>
      </c>
      <c r="AN407">
        <v>1.0000000361883199</v>
      </c>
    </row>
    <row r="408" spans="1:40" x14ac:dyDescent="0.25">
      <c r="A408" t="str">
        <f>"20190304155321849"</f>
        <v>20190304155321849</v>
      </c>
      <c r="B408" t="str">
        <f>"1551686001845955"</f>
        <v>1551686001845955</v>
      </c>
      <c r="C408" t="s">
        <v>40</v>
      </c>
      <c r="D408">
        <v>4.1611469999999997</v>
      </c>
      <c r="E408">
        <v>0.52853190000000005</v>
      </c>
      <c r="F408" t="s">
        <v>41</v>
      </c>
      <c r="G408">
        <v>-158.19499999999999</v>
      </c>
      <c r="H408">
        <v>3.2151640000000001</v>
      </c>
      <c r="I408">
        <v>364.36349999999999</v>
      </c>
      <c r="J408">
        <v>-396.59140000000002</v>
      </c>
      <c r="K408">
        <v>1.0923620000000001</v>
      </c>
      <c r="L408">
        <v>367.52809999999999</v>
      </c>
      <c r="M408">
        <v>0.99998580000000004</v>
      </c>
      <c r="N408">
        <v>-4.3562770000000004E-3</v>
      </c>
      <c r="O408">
        <v>-3.082338E-3</v>
      </c>
      <c r="P408">
        <v>0.98122069999999995</v>
      </c>
      <c r="Q408">
        <v>0.18106520000000001</v>
      </c>
      <c r="R408">
        <v>6.6497120000000007E-2</v>
      </c>
      <c r="S408">
        <v>3.0554809999999999</v>
      </c>
      <c r="T408">
        <v>2.721262E-2</v>
      </c>
      <c r="U408">
        <v>-4.0527340000000002E-2</v>
      </c>
      <c r="V408">
        <v>-6.9502699999999903E-2</v>
      </c>
      <c r="W408">
        <v>0.1853438</v>
      </c>
      <c r="X408">
        <v>0.98021270000000005</v>
      </c>
      <c r="Y408">
        <v>1.018056E-2</v>
      </c>
      <c r="Z408" s="1">
        <v>-1.7720560000000002E-5</v>
      </c>
      <c r="AA408">
        <v>0.99994819999999995</v>
      </c>
      <c r="AB408">
        <v>25</v>
      </c>
      <c r="AC408">
        <v>238.3964</v>
      </c>
      <c r="AD408">
        <v>2.1228020000000001</v>
      </c>
      <c r="AE408">
        <v>-3.1646000000000001</v>
      </c>
      <c r="AF408">
        <v>2.4295671330505302</v>
      </c>
      <c r="AG408">
        <v>2.1228020000000001</v>
      </c>
      <c r="AH408">
        <v>238.38612359912</v>
      </c>
      <c r="AI408">
        <v>89.489827415556604</v>
      </c>
      <c r="AJ408">
        <v>89.416077071944798</v>
      </c>
      <c r="AK408">
        <v>238.40795500444199</v>
      </c>
      <c r="AL408">
        <v>79.318822046902696</v>
      </c>
      <c r="AM408">
        <v>94.055811303625106</v>
      </c>
      <c r="AN408">
        <v>0.99999994337350795</v>
      </c>
    </row>
    <row r="409" spans="1:40" x14ac:dyDescent="0.25">
      <c r="A409" t="str">
        <f>"20190304155321873"</f>
        <v>20190304155321873</v>
      </c>
      <c r="B409" t="str">
        <f>"1551686001866452"</f>
        <v>1551686001866452</v>
      </c>
      <c r="C409" t="s">
        <v>40</v>
      </c>
      <c r="D409">
        <v>4.3167980000000004</v>
      </c>
      <c r="E409">
        <v>0.52865450000000003</v>
      </c>
      <c r="F409" t="s">
        <v>41</v>
      </c>
      <c r="G409">
        <v>-158.19499999999999</v>
      </c>
      <c r="H409">
        <v>3.013452</v>
      </c>
      <c r="I409">
        <v>364.34010000000001</v>
      </c>
      <c r="J409">
        <v>-396.32130000000001</v>
      </c>
      <c r="K409">
        <v>1.0948519999999999</v>
      </c>
      <c r="L409">
        <v>367.52719999999999</v>
      </c>
      <c r="M409">
        <v>0.99998169999999997</v>
      </c>
      <c r="N409">
        <v>-5.1797880000000003E-3</v>
      </c>
      <c r="O409">
        <v>-3.1240410000000001E-3</v>
      </c>
      <c r="P409">
        <v>0.98144580000000003</v>
      </c>
      <c r="Q409">
        <v>0.17985580000000001</v>
      </c>
      <c r="R409">
        <v>6.6453419999999999E-2</v>
      </c>
      <c r="S409">
        <v>3.0556640000000002</v>
      </c>
      <c r="T409">
        <v>2.4624819999999999E-2</v>
      </c>
      <c r="U409">
        <v>-4.0863040000000003E-2</v>
      </c>
      <c r="V409">
        <v>-6.9499630000000007E-2</v>
      </c>
      <c r="W409">
        <v>0.1849432</v>
      </c>
      <c r="X409">
        <v>0.98028859999999995</v>
      </c>
      <c r="Y409">
        <v>1.024797E-2</v>
      </c>
      <c r="Z409" s="1">
        <v>-2.6607380000000001E-5</v>
      </c>
      <c r="AA409">
        <v>0.99994749999999999</v>
      </c>
      <c r="AB409">
        <v>25</v>
      </c>
      <c r="AC409">
        <v>238.12629999999999</v>
      </c>
      <c r="AD409">
        <v>1.9186000000000001</v>
      </c>
      <c r="AE409">
        <v>-3.1870999999999801</v>
      </c>
      <c r="AF409">
        <v>2.44299957690074</v>
      </c>
      <c r="AG409">
        <v>1.9186000000000001</v>
      </c>
      <c r="AH409">
        <v>238.11963962666599</v>
      </c>
      <c r="AI409">
        <v>89.538385328334002</v>
      </c>
      <c r="AJ409">
        <v>89.412191894327705</v>
      </c>
      <c r="AK409">
        <v>238.13990016128301</v>
      </c>
      <c r="AL409">
        <v>79.342178743156296</v>
      </c>
      <c r="AM409">
        <v>94.055319787988907</v>
      </c>
      <c r="AN409">
        <v>0.99999996254316703</v>
      </c>
    </row>
    <row r="410" spans="1:40" x14ac:dyDescent="0.25">
      <c r="A410" t="str">
        <f>"20190304155321895"</f>
        <v>20190304155321895</v>
      </c>
      <c r="B410" t="str">
        <f>"1551686001885972"</f>
        <v>1551686001885972</v>
      </c>
      <c r="C410" t="s">
        <v>40</v>
      </c>
      <c r="D410">
        <v>4.2710140000000001</v>
      </c>
      <c r="E410">
        <v>0.52867649999999999</v>
      </c>
      <c r="F410" t="s">
        <v>41</v>
      </c>
      <c r="G410">
        <v>-158.19499999999999</v>
      </c>
      <c r="H410">
        <v>2.7893819999999998</v>
      </c>
      <c r="I410">
        <v>364.26179999999999</v>
      </c>
      <c r="J410">
        <v>-396.06920000000002</v>
      </c>
      <c r="K410">
        <v>1.096943</v>
      </c>
      <c r="L410">
        <v>367.52640000000002</v>
      </c>
      <c r="M410">
        <v>0.99997760000000002</v>
      </c>
      <c r="N410">
        <v>-5.9009429999999996E-3</v>
      </c>
      <c r="O410">
        <v>-3.1611320000000001E-3</v>
      </c>
      <c r="P410">
        <v>0.9816338</v>
      </c>
      <c r="Q410">
        <v>0.17881059999999999</v>
      </c>
      <c r="R410">
        <v>6.6497459999999994E-2</v>
      </c>
      <c r="S410">
        <v>3.0556030000000001</v>
      </c>
      <c r="T410">
        <v>2.1745090000000002E-2</v>
      </c>
      <c r="U410">
        <v>-4.1900630000000001E-2</v>
      </c>
      <c r="V410">
        <v>-6.9579829999999995E-2</v>
      </c>
      <c r="W410">
        <v>0.1846062</v>
      </c>
      <c r="X410">
        <v>0.98034639999999995</v>
      </c>
      <c r="Y410">
        <v>1.05507E-2</v>
      </c>
      <c r="Z410" s="1">
        <v>-3.4738979999999999E-5</v>
      </c>
      <c r="AA410">
        <v>0.99994430000000001</v>
      </c>
      <c r="AB410">
        <v>25</v>
      </c>
      <c r="AC410">
        <v>237.8742</v>
      </c>
      <c r="AD410">
        <v>1.69243899999999</v>
      </c>
      <c r="AE410">
        <v>-3.2646000000000299</v>
      </c>
      <c r="AF410">
        <v>2.5124916947042801</v>
      </c>
      <c r="AG410">
        <v>1.69243899999999</v>
      </c>
      <c r="AH410">
        <v>237.87129242433701</v>
      </c>
      <c r="AI410">
        <v>89.592373816432996</v>
      </c>
      <c r="AJ410">
        <v>89.394841573185801</v>
      </c>
      <c r="AK410">
        <v>237.890581410675</v>
      </c>
      <c r="AL410">
        <v>79.361825405974002</v>
      </c>
      <c r="AM410">
        <v>94.059745265457195</v>
      </c>
      <c r="AN410">
        <v>0.99999993290711198</v>
      </c>
    </row>
    <row r="411" spans="1:40" x14ac:dyDescent="0.25">
      <c r="A411" t="str">
        <f>"20190304155321916"</f>
        <v>20190304155321916</v>
      </c>
      <c r="B411" t="str">
        <f>"1551686001906158"</f>
        <v>1551686001906158</v>
      </c>
      <c r="C411" t="s">
        <v>40</v>
      </c>
      <c r="D411">
        <v>4.1331720000000001</v>
      </c>
      <c r="E411">
        <v>0.52881750000000005</v>
      </c>
      <c r="F411" t="s">
        <v>41</v>
      </c>
      <c r="G411">
        <v>-158.19499999999999</v>
      </c>
      <c r="H411">
        <v>2.6415380000000002</v>
      </c>
      <c r="I411">
        <v>364.26659999999998</v>
      </c>
      <c r="J411">
        <v>-395.82220000000001</v>
      </c>
      <c r="K411">
        <v>1.098786</v>
      </c>
      <c r="L411">
        <v>367.52550000000002</v>
      </c>
      <c r="M411">
        <v>0.99997349999999996</v>
      </c>
      <c r="N411">
        <v>-6.567621E-3</v>
      </c>
      <c r="O411">
        <v>-3.1948380000000002E-3</v>
      </c>
      <c r="P411">
        <v>0.98177009999999998</v>
      </c>
      <c r="Q411">
        <v>0.17797470000000001</v>
      </c>
      <c r="R411">
        <v>6.6728049999999997E-2</v>
      </c>
      <c r="S411">
        <v>3.0553279999999998</v>
      </c>
      <c r="T411">
        <v>1.9840360000000001E-2</v>
      </c>
      <c r="U411">
        <v>-4.1870119999999997E-2</v>
      </c>
      <c r="V411">
        <v>-6.9844039999999996E-2</v>
      </c>
      <c r="W411">
        <v>0.18442529999999999</v>
      </c>
      <c r="X411">
        <v>0.9803617</v>
      </c>
      <c r="Y411">
        <v>1.050828E-2</v>
      </c>
      <c r="Z411" s="1">
        <v>-4.2118740000000003E-5</v>
      </c>
      <c r="AA411">
        <v>0.99994479999999997</v>
      </c>
      <c r="AB411">
        <v>25</v>
      </c>
      <c r="AC411">
        <v>237.62719999999999</v>
      </c>
      <c r="AD411">
        <v>1.5427519999999999</v>
      </c>
      <c r="AE411">
        <v>-3.2589000000000401</v>
      </c>
      <c r="AF411">
        <v>2.4995813768961601</v>
      </c>
      <c r="AG411">
        <v>1.5427519999999999</v>
      </c>
      <c r="AH411">
        <v>237.62638497316101</v>
      </c>
      <c r="AI411">
        <v>89.628041949692502</v>
      </c>
      <c r="AJ411">
        <v>89.397330470587406</v>
      </c>
      <c r="AK411">
        <v>237.64453880997601</v>
      </c>
      <c r="AL411">
        <v>79.3723717111978</v>
      </c>
      <c r="AM411">
        <v>94.075045793904707</v>
      </c>
      <c r="AN411">
        <v>0.99999997201525004</v>
      </c>
    </row>
    <row r="412" spans="1:40" x14ac:dyDescent="0.25">
      <c r="A412" t="str">
        <f>"20190304155321940"</f>
        <v>20190304155321940</v>
      </c>
      <c r="B412" t="str">
        <f>"1551686001936414"</f>
        <v>1551686001936414</v>
      </c>
      <c r="C412" t="s">
        <v>40</v>
      </c>
      <c r="D412">
        <v>4.1374259999999996</v>
      </c>
      <c r="E412">
        <v>0.52878319999999901</v>
      </c>
      <c r="F412" t="s">
        <v>41</v>
      </c>
      <c r="G412">
        <v>-158.19499999999999</v>
      </c>
      <c r="H412">
        <v>2.5747580000000001</v>
      </c>
      <c r="I412">
        <v>364.21190000000001</v>
      </c>
      <c r="J412">
        <v>-395.56319999999999</v>
      </c>
      <c r="K412">
        <v>1.1004969999999901</v>
      </c>
      <c r="L412">
        <v>367.52460000000002</v>
      </c>
      <c r="M412">
        <v>0.99996890000000005</v>
      </c>
      <c r="N412">
        <v>-7.2163699999999997E-3</v>
      </c>
      <c r="O412">
        <v>-3.2318970000000001E-3</v>
      </c>
      <c r="P412">
        <v>0.98181680000000005</v>
      </c>
      <c r="Q412">
        <v>0.17788209999999999</v>
      </c>
      <c r="R412">
        <v>6.6287150000000003E-2</v>
      </c>
      <c r="S412">
        <v>3.055145</v>
      </c>
      <c r="T412">
        <v>1.8977520000000001E-2</v>
      </c>
      <c r="U412">
        <v>-4.2602540000000001E-2</v>
      </c>
      <c r="V412">
        <v>-6.9439929999999997E-2</v>
      </c>
      <c r="W412">
        <v>0.18496840000000001</v>
      </c>
      <c r="X412">
        <v>0.9802881</v>
      </c>
      <c r="Y412">
        <v>1.0711750000000001E-2</v>
      </c>
      <c r="Z412" s="1">
        <v>-4.8780889999999998E-5</v>
      </c>
      <c r="AA412">
        <v>0.99994260000000001</v>
      </c>
      <c r="AB412">
        <v>25</v>
      </c>
      <c r="AC412">
        <v>237.3682</v>
      </c>
      <c r="AD412">
        <v>1.474261</v>
      </c>
      <c r="AE412">
        <v>-3.3127</v>
      </c>
      <c r="AF412">
        <v>2.5454151027365901</v>
      </c>
      <c r="AG412">
        <v>1.474261</v>
      </c>
      <c r="AH412">
        <v>237.36851218085201</v>
      </c>
      <c r="AI412">
        <v>89.644169353925307</v>
      </c>
      <c r="AJ412">
        <v>89.385613739184393</v>
      </c>
      <c r="AK412">
        <v>237.38673753706701</v>
      </c>
      <c r="AL412">
        <v>79.340709793382004</v>
      </c>
      <c r="AM412">
        <v>94.051849946179104</v>
      </c>
      <c r="AN412">
        <v>0.99999998593928696</v>
      </c>
    </row>
    <row r="413" spans="1:40" x14ac:dyDescent="0.25">
      <c r="A413" t="str">
        <f>"20190304155321961"</f>
        <v>20190304155321961</v>
      </c>
      <c r="B413" t="str">
        <f>"1551686001955934"</f>
        <v>1551686001955934</v>
      </c>
      <c r="C413" t="s">
        <v>40</v>
      </c>
      <c r="D413">
        <v>4.1882349999999997</v>
      </c>
      <c r="E413">
        <v>0.52878139999999996</v>
      </c>
      <c r="F413" t="s">
        <v>41</v>
      </c>
      <c r="G413">
        <v>-158.19499999999999</v>
      </c>
      <c r="H413">
        <v>2.5172729999999999</v>
      </c>
      <c r="I413">
        <v>364.1223</v>
      </c>
      <c r="J413">
        <v>-395.31819999999999</v>
      </c>
      <c r="K413">
        <v>1.1019129999999999</v>
      </c>
      <c r="L413">
        <v>367.52379999999999</v>
      </c>
      <c r="M413">
        <v>0.99996459999999998</v>
      </c>
      <c r="N413">
        <v>-7.7745319999999998E-3</v>
      </c>
      <c r="O413">
        <v>-3.2616780000000001E-3</v>
      </c>
      <c r="P413">
        <v>0.98183869999999895</v>
      </c>
      <c r="Q413">
        <v>0.1781325</v>
      </c>
      <c r="R413">
        <v>6.5281149999999996E-2</v>
      </c>
      <c r="S413">
        <v>3.055237</v>
      </c>
      <c r="T413">
        <v>1.823688E-2</v>
      </c>
      <c r="U413">
        <v>-4.379272E-2</v>
      </c>
      <c r="V413">
        <v>-6.8463209999999997E-2</v>
      </c>
      <c r="W413">
        <v>0.1857665</v>
      </c>
      <c r="X413">
        <v>0.98020589999999996</v>
      </c>
      <c r="Y413">
        <v>1.1071040000000001E-2</v>
      </c>
      <c r="Z413" s="1">
        <v>-5.4823559999999999E-5</v>
      </c>
      <c r="AA413">
        <v>0.99993869999999896</v>
      </c>
      <c r="AB413">
        <v>25</v>
      </c>
      <c r="AC413">
        <v>237.1232</v>
      </c>
      <c r="AD413">
        <v>1.41536</v>
      </c>
      <c r="AE413">
        <v>-3.4014999999999902</v>
      </c>
      <c r="AF413">
        <v>2.6279455070923801</v>
      </c>
      <c r="AG413">
        <v>1.41536</v>
      </c>
      <c r="AH413">
        <v>237.12458710370001</v>
      </c>
      <c r="AI413">
        <v>89.658035410934303</v>
      </c>
      <c r="AJ413">
        <v>89.365042553585894</v>
      </c>
      <c r="AK413">
        <v>237.14337256313499</v>
      </c>
      <c r="AL413">
        <v>79.294175764449406</v>
      </c>
      <c r="AM413">
        <v>93.995377703738498</v>
      </c>
      <c r="AN413">
        <v>1.00000000502028</v>
      </c>
    </row>
    <row r="414" spans="1:40" x14ac:dyDescent="0.25">
      <c r="A414" t="str">
        <f>"20190304155321985"</f>
        <v>20190304155321985</v>
      </c>
      <c r="B414" t="str">
        <f>"1551686001976430"</f>
        <v>1551686001976430</v>
      </c>
      <c r="C414" t="s">
        <v>40</v>
      </c>
      <c r="D414">
        <v>4.1816089999999999</v>
      </c>
      <c r="E414">
        <v>0.52881499999999904</v>
      </c>
      <c r="F414" t="s">
        <v>41</v>
      </c>
      <c r="G414">
        <v>-158.19499999999999</v>
      </c>
      <c r="H414">
        <v>2.5474000000000001</v>
      </c>
      <c r="I414">
        <v>363.9425</v>
      </c>
      <c r="J414">
        <v>-395.0532</v>
      </c>
      <c r="K414">
        <v>1.1032420000000001</v>
      </c>
      <c r="L414">
        <v>367.52289999999999</v>
      </c>
      <c r="M414">
        <v>0.99996010000000002</v>
      </c>
      <c r="N414">
        <v>-8.3134319999999904E-3</v>
      </c>
      <c r="O414">
        <v>-3.3100489999999998E-3</v>
      </c>
      <c r="P414">
        <v>0.98204930000000001</v>
      </c>
      <c r="Q414">
        <v>0.17713870000000001</v>
      </c>
      <c r="R414">
        <v>6.481671E-2</v>
      </c>
      <c r="S414">
        <v>3.0551759999999999</v>
      </c>
      <c r="T414">
        <v>1.8625260000000001E-2</v>
      </c>
      <c r="U414">
        <v>-4.6142580000000002E-2</v>
      </c>
      <c r="V414">
        <v>-6.80505E-2</v>
      </c>
      <c r="W414">
        <v>0.1853012</v>
      </c>
      <c r="X414">
        <v>0.98032269999999999</v>
      </c>
      <c r="Y414">
        <v>1.1791919999999999E-2</v>
      </c>
      <c r="Z414" s="1">
        <v>-6.0771930000000002E-5</v>
      </c>
      <c r="AA414">
        <v>0.9999304</v>
      </c>
      <c r="AB414">
        <v>25</v>
      </c>
      <c r="AC414">
        <v>236.85820000000001</v>
      </c>
      <c r="AD414">
        <v>1.4441580000000001</v>
      </c>
      <c r="AE414">
        <v>-3.5803999999999898</v>
      </c>
      <c r="AF414">
        <v>2.79623722172746</v>
      </c>
      <c r="AG414">
        <v>1.4441580000000001</v>
      </c>
      <c r="AH414">
        <v>236.859950765581</v>
      </c>
      <c r="AI414">
        <v>89.650690766296904</v>
      </c>
      <c r="AJ414">
        <v>89.3236292224084</v>
      </c>
      <c r="AK414">
        <v>236.880857841242</v>
      </c>
      <c r="AL414">
        <v>79.321306492089093</v>
      </c>
      <c r="AM414">
        <v>93.970898410667004</v>
      </c>
      <c r="AN414">
        <v>1.0000000007034899</v>
      </c>
    </row>
    <row r="415" spans="1:40" x14ac:dyDescent="0.25">
      <c r="A415" t="str">
        <f>"20190304155322006"</f>
        <v>20190304155322006</v>
      </c>
      <c r="B415" t="str">
        <f>"1551686001995954"</f>
        <v>1551686001995954</v>
      </c>
      <c r="C415" t="s">
        <v>40</v>
      </c>
      <c r="D415">
        <v>4.1521220000000003</v>
      </c>
      <c r="E415">
        <v>0.52881180000000005</v>
      </c>
      <c r="F415" t="s">
        <v>41</v>
      </c>
      <c r="G415">
        <v>-158.19499999999999</v>
      </c>
      <c r="H415">
        <v>2.3003909999999999</v>
      </c>
      <c r="I415">
        <v>363.77539999999999</v>
      </c>
      <c r="J415">
        <v>-394.79939999999999</v>
      </c>
      <c r="K415">
        <v>1.1043229999999999</v>
      </c>
      <c r="L415">
        <v>367.52199999999999</v>
      </c>
      <c r="M415">
        <v>0.99995599999999996</v>
      </c>
      <c r="N415">
        <v>-8.7760970000000001E-3</v>
      </c>
      <c r="O415">
        <v>-3.3471030000000001E-3</v>
      </c>
      <c r="P415">
        <v>0.98210779999999998</v>
      </c>
      <c r="Q415">
        <v>0.17706859999999999</v>
      </c>
      <c r="R415">
        <v>6.4119200000000001E-2</v>
      </c>
      <c r="S415">
        <v>3.0552670000000002</v>
      </c>
      <c r="T415">
        <v>1.544333E-2</v>
      </c>
      <c r="U415">
        <v>-4.8339840000000002E-2</v>
      </c>
      <c r="V415">
        <v>-6.7388260000000005E-2</v>
      </c>
      <c r="W415">
        <v>0.1856854</v>
      </c>
      <c r="X415">
        <v>0.98029580000000005</v>
      </c>
      <c r="Y415">
        <v>1.2473359999999999E-2</v>
      </c>
      <c r="Z415" s="1">
        <v>-6.9505920000000003E-5</v>
      </c>
      <c r="AA415">
        <v>0.99992219999999998</v>
      </c>
      <c r="AB415">
        <v>25</v>
      </c>
      <c r="AC415">
        <v>236.6044</v>
      </c>
      <c r="AD415">
        <v>1.1960679999999999</v>
      </c>
      <c r="AE415">
        <v>-3.7465999999999999</v>
      </c>
      <c r="AF415">
        <v>2.9545338217992598</v>
      </c>
      <c r="AG415">
        <v>1.1960679999999999</v>
      </c>
      <c r="AH415">
        <v>236.60957037519799</v>
      </c>
      <c r="AI415">
        <v>89.710393275133995</v>
      </c>
      <c r="AJ415">
        <v>89.284587176363104</v>
      </c>
      <c r="AK415">
        <v>236.631039050038</v>
      </c>
      <c r="AL415">
        <v>79.298905220280304</v>
      </c>
      <c r="AM415">
        <v>93.932484628989599</v>
      </c>
      <c r="AN415">
        <v>1.00000005042831</v>
      </c>
    </row>
    <row r="416" spans="1:40" x14ac:dyDescent="0.25">
      <c r="A416" t="str">
        <f>"20190304155322028"</f>
        <v>20190304155322028</v>
      </c>
      <c r="B416" t="str">
        <f>"1551686002025812"</f>
        <v>1551686002025812</v>
      </c>
      <c r="C416" t="s">
        <v>40</v>
      </c>
      <c r="D416">
        <v>4.1682309999999996</v>
      </c>
      <c r="E416">
        <v>0.52874370000000004</v>
      </c>
      <c r="F416" t="s">
        <v>41</v>
      </c>
      <c r="G416">
        <v>-158.19499999999999</v>
      </c>
      <c r="H416">
        <v>2.2866219999999999</v>
      </c>
      <c r="I416">
        <v>363.56810000000002</v>
      </c>
      <c r="J416">
        <v>-394.55259999999998</v>
      </c>
      <c r="K416">
        <v>1.105235</v>
      </c>
      <c r="L416">
        <v>367.52109999999999</v>
      </c>
      <c r="M416">
        <v>0.99995219999999996</v>
      </c>
      <c r="N416">
        <v>-9.1804039999999996E-3</v>
      </c>
      <c r="O416">
        <v>-3.377924E-3</v>
      </c>
      <c r="P416">
        <v>0.98223170000000004</v>
      </c>
      <c r="Q416">
        <v>0.17664949999999999</v>
      </c>
      <c r="R416">
        <v>6.3371689999999994E-2</v>
      </c>
      <c r="S416">
        <v>3.055237</v>
      </c>
      <c r="T416">
        <v>1.526797E-2</v>
      </c>
      <c r="U416">
        <v>-5.1055910000000003E-2</v>
      </c>
      <c r="V416">
        <v>-6.6671010000000003E-2</v>
      </c>
      <c r="W416">
        <v>0.1856643</v>
      </c>
      <c r="X416">
        <v>0.98034880000000002</v>
      </c>
      <c r="Y416">
        <v>1.333141E-2</v>
      </c>
      <c r="Z416" s="1">
        <v>-7.5779039999999997E-5</v>
      </c>
      <c r="AA416">
        <v>0.99991110000000005</v>
      </c>
      <c r="AB416">
        <v>25</v>
      </c>
      <c r="AC416">
        <v>236.35759999999999</v>
      </c>
      <c r="AD416">
        <v>1.181387</v>
      </c>
      <c r="AE416">
        <v>-3.9529999999999701</v>
      </c>
      <c r="AF416">
        <v>3.1544670400613302</v>
      </c>
      <c r="AG416">
        <v>1.181387</v>
      </c>
      <c r="AH416">
        <v>236.363701482561</v>
      </c>
      <c r="AI416">
        <v>89.713653585874198</v>
      </c>
      <c r="AJ416">
        <v>89.235386323808996</v>
      </c>
      <c r="AK416">
        <v>236.38770212531799</v>
      </c>
      <c r="AL416">
        <v>79.300135147420704</v>
      </c>
      <c r="AM416">
        <v>93.890548594699894</v>
      </c>
      <c r="AN416">
        <v>1.00000001276517</v>
      </c>
    </row>
    <row r="417" spans="1:40" x14ac:dyDescent="0.25">
      <c r="A417" t="str">
        <f>"20190304155322050"</f>
        <v>20190304155322050</v>
      </c>
      <c r="B417" t="str">
        <f>"1551686002046308"</f>
        <v>1551686002046308</v>
      </c>
      <c r="C417" t="s">
        <v>40</v>
      </c>
      <c r="D417">
        <v>4.1751519999999998</v>
      </c>
      <c r="E417">
        <v>0.52871659999999998</v>
      </c>
      <c r="F417" t="s">
        <v>41</v>
      </c>
      <c r="G417">
        <v>-158.19499999999999</v>
      </c>
      <c r="H417">
        <v>2.1509580000000001</v>
      </c>
      <c r="I417">
        <v>363.47680000000003</v>
      </c>
      <c r="J417">
        <v>-394.30840000000001</v>
      </c>
      <c r="K417">
        <v>1.1060209999999999</v>
      </c>
      <c r="L417">
        <v>367.52030000000002</v>
      </c>
      <c r="M417">
        <v>0.99994890000000003</v>
      </c>
      <c r="N417">
        <v>-9.5389059999999998E-3</v>
      </c>
      <c r="O417">
        <v>-3.4103750000000002E-3</v>
      </c>
      <c r="P417">
        <v>0.98239489999999996</v>
      </c>
      <c r="Q417">
        <v>0.1758479</v>
      </c>
      <c r="R417">
        <v>6.3072489999999995E-2</v>
      </c>
      <c r="S417">
        <v>3.0551759999999999</v>
      </c>
      <c r="T417">
        <v>1.3518209999999999E-2</v>
      </c>
      <c r="U417">
        <v>-5.2276610000000001E-2</v>
      </c>
      <c r="V417">
        <v>-6.6403719999999999E-2</v>
      </c>
      <c r="W417">
        <v>0.18521589999999999</v>
      </c>
      <c r="X417">
        <v>0.98045179999999998</v>
      </c>
      <c r="Y417">
        <v>1.3698689999999999E-2</v>
      </c>
      <c r="Z417" s="1">
        <v>-8.265518E-5</v>
      </c>
      <c r="AA417">
        <v>0.99990619999999997</v>
      </c>
      <c r="AB417">
        <v>25</v>
      </c>
      <c r="AC417">
        <v>236.11340000000001</v>
      </c>
      <c r="AD417">
        <v>1.044937</v>
      </c>
      <c r="AE417">
        <v>-4.0434999999999901</v>
      </c>
      <c r="AF417">
        <v>3.2381413781073101</v>
      </c>
      <c r="AG417">
        <v>1.044937</v>
      </c>
      <c r="AH417">
        <v>236.12119402902599</v>
      </c>
      <c r="AI417">
        <v>89.746467231282793</v>
      </c>
      <c r="AJ417">
        <v>89.214300920934903</v>
      </c>
      <c r="AK417">
        <v>236.145708668635</v>
      </c>
      <c r="AL417">
        <v>79.326280530398705</v>
      </c>
      <c r="AM417">
        <v>93.874592811291393</v>
      </c>
      <c r="AN417">
        <v>1.00000005788294</v>
      </c>
    </row>
    <row r="418" spans="1:40" x14ac:dyDescent="0.25">
      <c r="A418" t="str">
        <f>"20190304155322075"</f>
        <v>20190304155322075</v>
      </c>
      <c r="B418" t="str">
        <f>"1551686002065828"</f>
        <v>1551686002065828</v>
      </c>
      <c r="C418" t="s">
        <v>40</v>
      </c>
      <c r="D418">
        <v>4.1842459999999999</v>
      </c>
      <c r="E418">
        <v>0.52865790000000001</v>
      </c>
      <c r="F418" t="s">
        <v>41</v>
      </c>
      <c r="G418">
        <v>-158.19499999999999</v>
      </c>
      <c r="H418">
        <v>1.9393769999999999</v>
      </c>
      <c r="I418">
        <v>363.4402</v>
      </c>
      <c r="J418">
        <v>-394.02289999999999</v>
      </c>
      <c r="K418">
        <v>1.1067940000000001</v>
      </c>
      <c r="L418">
        <v>367.51920000000001</v>
      </c>
      <c r="M418">
        <v>0.99994490000000003</v>
      </c>
      <c r="N418">
        <v>-9.9107770000000008E-3</v>
      </c>
      <c r="O418">
        <v>-3.4539100000000001E-3</v>
      </c>
      <c r="P418">
        <v>0.9824986</v>
      </c>
      <c r="Q418">
        <v>0.17509959999999999</v>
      </c>
      <c r="R418">
        <v>6.3532640000000001E-2</v>
      </c>
      <c r="S418">
        <v>3.055237</v>
      </c>
      <c r="T418">
        <v>1.0784510000000001E-2</v>
      </c>
      <c r="U418">
        <v>-5.2795410000000001E-2</v>
      </c>
      <c r="V418">
        <v>-6.6907460000000002E-2</v>
      </c>
      <c r="W418">
        <v>0.184833</v>
      </c>
      <c r="X418">
        <v>0.98048970000000002</v>
      </c>
      <c r="Y418">
        <v>1.382452E-2</v>
      </c>
      <c r="Z418" s="1">
        <v>-9.0534840000000002E-5</v>
      </c>
      <c r="AA418">
        <v>0.99990449999999997</v>
      </c>
      <c r="AB418">
        <v>25</v>
      </c>
      <c r="AC418">
        <v>235.8279</v>
      </c>
      <c r="AD418">
        <v>0.83258299999999996</v>
      </c>
      <c r="AE418">
        <v>-4.0789999999999997</v>
      </c>
      <c r="AF418">
        <v>3.2643666258964599</v>
      </c>
      <c r="AG418">
        <v>0.83258299999999996</v>
      </c>
      <c r="AH418">
        <v>235.83764374448299</v>
      </c>
      <c r="AI418">
        <v>89.797747619803701</v>
      </c>
      <c r="AJ418">
        <v>89.206986279872694</v>
      </c>
      <c r="AK418">
        <v>235.861704163415</v>
      </c>
      <c r="AL418">
        <v>79.348603357401501</v>
      </c>
      <c r="AM418">
        <v>93.903744572247106</v>
      </c>
      <c r="AN418">
        <v>0.99999994894936906</v>
      </c>
    </row>
    <row r="419" spans="1:40" x14ac:dyDescent="0.25">
      <c r="A419" t="str">
        <f>"20190304155322097"</f>
        <v>20190304155322097</v>
      </c>
      <c r="B419" t="str">
        <f>"1551686002086324"</f>
        <v>1551686002086324</v>
      </c>
      <c r="C419" t="s">
        <v>40</v>
      </c>
      <c r="D419">
        <v>4.1837460000000002</v>
      </c>
      <c r="E419">
        <v>0.52863649999999995</v>
      </c>
      <c r="F419" t="s">
        <v>41</v>
      </c>
      <c r="G419">
        <v>-158.19499999999999</v>
      </c>
      <c r="H419">
        <v>1.7339020000000001</v>
      </c>
      <c r="I419">
        <v>363.58080000000001</v>
      </c>
      <c r="J419">
        <v>-393.77460000000002</v>
      </c>
      <c r="K419">
        <v>1.1073569999999999</v>
      </c>
      <c r="L419">
        <v>367.51830000000001</v>
      </c>
      <c r="M419">
        <v>0.99994190000000005</v>
      </c>
      <c r="N419">
        <v>-1.019638E-2</v>
      </c>
      <c r="O419">
        <v>-3.4943349999999999E-3</v>
      </c>
      <c r="P419">
        <v>0.98252470000000003</v>
      </c>
      <c r="Q419">
        <v>0.17483009999999999</v>
      </c>
      <c r="R419">
        <v>6.3873269999999996E-2</v>
      </c>
      <c r="S419">
        <v>3.0553279999999998</v>
      </c>
      <c r="T419">
        <v>8.1257819999999998E-3</v>
      </c>
      <c r="U419">
        <v>-5.1025389999999997E-2</v>
      </c>
      <c r="V419">
        <v>-6.7288349999999997E-2</v>
      </c>
      <c r="W419">
        <v>0.18484329999999999</v>
      </c>
      <c r="X419">
        <v>0.98046169999999999</v>
      </c>
      <c r="Y419">
        <v>1.320442E-2</v>
      </c>
      <c r="Z419" s="1">
        <v>-9.4687759999999995E-5</v>
      </c>
      <c r="AA419">
        <v>0.99991280000000005</v>
      </c>
      <c r="AB419">
        <v>25</v>
      </c>
      <c r="AC419">
        <v>235.5796</v>
      </c>
      <c r="AD419">
        <v>0.62654500000000002</v>
      </c>
      <c r="AE419">
        <v>-3.9375</v>
      </c>
      <c r="AF419">
        <v>3.1142170909131002</v>
      </c>
      <c r="AG419">
        <v>0.62654500000000002</v>
      </c>
      <c r="AH419">
        <v>235.59025528526001</v>
      </c>
      <c r="AI419">
        <v>89.847637316084999</v>
      </c>
      <c r="AJ419">
        <v>89.2426634800714</v>
      </c>
      <c r="AK419">
        <v>235.61167053459101</v>
      </c>
      <c r="AL419">
        <v>79.348002943835894</v>
      </c>
      <c r="AM419">
        <v>93.926010231298804</v>
      </c>
      <c r="AN419">
        <v>0.99999995638375005</v>
      </c>
    </row>
    <row r="420" spans="1:40" x14ac:dyDescent="0.25">
      <c r="A420" t="str">
        <f>"20190304155322119"</f>
        <v>20190304155322119</v>
      </c>
      <c r="B420" t="str">
        <f>"1551686002115605"</f>
        <v>1551686002115605</v>
      </c>
      <c r="C420" t="s">
        <v>40</v>
      </c>
      <c r="D420">
        <v>4.196669</v>
      </c>
      <c r="E420">
        <v>0.52858300000000003</v>
      </c>
      <c r="F420" t="s">
        <v>41</v>
      </c>
      <c r="G420">
        <v>-158.19499999999999</v>
      </c>
      <c r="H420">
        <v>1.6449590000000001</v>
      </c>
      <c r="I420">
        <v>363.7088</v>
      </c>
      <c r="J420">
        <v>-393.5249</v>
      </c>
      <c r="K420">
        <v>1.107837</v>
      </c>
      <c r="L420">
        <v>367.51740000000001</v>
      </c>
      <c r="M420">
        <v>0.99993920000000003</v>
      </c>
      <c r="N420">
        <v>-1.044907E-2</v>
      </c>
      <c r="O420">
        <v>-3.5348829999999999E-3</v>
      </c>
      <c r="P420">
        <v>0.98252139999999999</v>
      </c>
      <c r="Q420">
        <v>0.17484069999999999</v>
      </c>
      <c r="R420">
        <v>6.3894820000000005E-2</v>
      </c>
      <c r="S420">
        <v>3.0553279999999998</v>
      </c>
      <c r="T420">
        <v>6.9735049999999996E-3</v>
      </c>
      <c r="U420">
        <v>-4.9407960000000001E-2</v>
      </c>
      <c r="V420">
        <v>-6.7348599999999995E-2</v>
      </c>
      <c r="W420">
        <v>0.18510199999999999</v>
      </c>
      <c r="X420">
        <v>0.98040879999999997</v>
      </c>
      <c r="Y420">
        <v>1.2634660000000001E-2</v>
      </c>
      <c r="Z420" s="1">
        <v>-9.6600610000000005E-5</v>
      </c>
      <c r="AA420">
        <v>0.99992020000000004</v>
      </c>
      <c r="AB420">
        <v>25</v>
      </c>
      <c r="AC420">
        <v>235.32990000000001</v>
      </c>
      <c r="AD420">
        <v>0.53712199999999899</v>
      </c>
      <c r="AE420">
        <v>-3.80860000000001</v>
      </c>
      <c r="AF420">
        <v>2.97665165453878</v>
      </c>
      <c r="AG420">
        <v>0.53712199999999899</v>
      </c>
      <c r="AH420">
        <v>235.340667580678</v>
      </c>
      <c r="AI420">
        <v>89.869243555669101</v>
      </c>
      <c r="AJ420">
        <v>89.275346310744794</v>
      </c>
      <c r="AK420">
        <v>235.36010446215101</v>
      </c>
      <c r="AL420">
        <v>79.332920720758693</v>
      </c>
      <c r="AM420">
        <v>93.929725934398505</v>
      </c>
      <c r="AN420">
        <v>0.99999999972169995</v>
      </c>
    </row>
    <row r="421" spans="1:40" x14ac:dyDescent="0.25">
      <c r="A421" t="str">
        <f>"20190304155322140"</f>
        <v>20190304155322140</v>
      </c>
      <c r="B421" t="str">
        <f>"1551686002136101"</f>
        <v>1551686002136101</v>
      </c>
      <c r="C421" t="s">
        <v>40</v>
      </c>
      <c r="D421">
        <v>4.3970989999999999</v>
      </c>
      <c r="E421">
        <v>0.5286227</v>
      </c>
      <c r="F421" t="s">
        <v>41</v>
      </c>
      <c r="G421">
        <v>-158.19499999999999</v>
      </c>
      <c r="H421">
        <v>1.624544</v>
      </c>
      <c r="I421">
        <v>363.733</v>
      </c>
      <c r="J421">
        <v>-393.27879999999999</v>
      </c>
      <c r="K421">
        <v>1.108228</v>
      </c>
      <c r="L421">
        <v>367.51650000000001</v>
      </c>
      <c r="M421">
        <v>0.99993670000000001</v>
      </c>
      <c r="N421">
        <v>-1.066542E-2</v>
      </c>
      <c r="O421">
        <v>-3.5753970000000001E-3</v>
      </c>
      <c r="P421">
        <v>0.98254620000000004</v>
      </c>
      <c r="Q421">
        <v>0.17479020000000001</v>
      </c>
      <c r="R421">
        <v>6.3651559999999996E-2</v>
      </c>
      <c r="S421">
        <v>3.0553590000000002</v>
      </c>
      <c r="T421">
        <v>6.7096949999999999E-3</v>
      </c>
      <c r="U421">
        <v>-4.9133299999999998E-2</v>
      </c>
      <c r="V421">
        <v>-6.7144540000000003E-2</v>
      </c>
      <c r="W421">
        <v>0.1852646</v>
      </c>
      <c r="X421">
        <v>0.98039209999999999</v>
      </c>
      <c r="Y421">
        <v>1.2504120000000001E-2</v>
      </c>
      <c r="Z421" s="1">
        <v>-9.89408E-5</v>
      </c>
      <c r="AA421">
        <v>0.99992179999999997</v>
      </c>
      <c r="AB421">
        <v>25</v>
      </c>
      <c r="AC421">
        <v>235.0838</v>
      </c>
      <c r="AD421">
        <v>0.516316</v>
      </c>
      <c r="AE421">
        <v>-3.7835000000000001</v>
      </c>
      <c r="AF421">
        <v>2.9428958738163402</v>
      </c>
      <c r="AG421">
        <v>0.516316</v>
      </c>
      <c r="AH421">
        <v>235.09469176907999</v>
      </c>
      <c r="AI421">
        <v>89.874176816103002</v>
      </c>
      <c r="AJ421">
        <v>89.282813638098702</v>
      </c>
      <c r="AK421">
        <v>235.11367743356601</v>
      </c>
      <c r="AL421">
        <v>79.323440626786606</v>
      </c>
      <c r="AM421">
        <v>93.917922895488402</v>
      </c>
      <c r="AN421">
        <v>1.0000000155036901</v>
      </c>
    </row>
    <row r="422" spans="1:40" x14ac:dyDescent="0.25">
      <c r="A422" t="str">
        <f>"20190304155322163"</f>
        <v>20190304155322163</v>
      </c>
      <c r="B422" t="str">
        <f>"1551686002155620"</f>
        <v>1551686002155620</v>
      </c>
      <c r="C422" t="s">
        <v>40</v>
      </c>
      <c r="D422">
        <v>4.2472399999999997</v>
      </c>
      <c r="E422">
        <v>0.52869480000000002</v>
      </c>
      <c r="F422" t="s">
        <v>41</v>
      </c>
      <c r="G422">
        <v>-158.19499999999999</v>
      </c>
      <c r="H422">
        <v>1.5648629999999999</v>
      </c>
      <c r="I422">
        <v>363.66820000000001</v>
      </c>
      <c r="J422">
        <v>-393.02539999999999</v>
      </c>
      <c r="K422">
        <v>1.1085719999999999</v>
      </c>
      <c r="L422">
        <v>367.51549999999997</v>
      </c>
      <c r="M422">
        <v>0.99993460000000001</v>
      </c>
      <c r="N422">
        <v>-1.0858609999999999E-2</v>
      </c>
      <c r="O422">
        <v>-3.6198649999999999E-3</v>
      </c>
      <c r="P422">
        <v>0.98262760000000005</v>
      </c>
      <c r="Q422">
        <v>0.17455760000000001</v>
      </c>
      <c r="R422">
        <v>6.3034290000000007E-2</v>
      </c>
      <c r="S422">
        <v>3.0555110000000001</v>
      </c>
      <c r="T422">
        <v>5.9362649999999996E-3</v>
      </c>
      <c r="U422">
        <v>-5.0018310000000003E-2</v>
      </c>
      <c r="V422">
        <v>-6.6570069999999995E-2</v>
      </c>
      <c r="W422">
        <v>0.18522240000000001</v>
      </c>
      <c r="X422">
        <v>0.98043919999999996</v>
      </c>
      <c r="Y422">
        <v>1.274838E-2</v>
      </c>
      <c r="Z422">
        <v>-1.031757E-4</v>
      </c>
      <c r="AA422">
        <v>0.9999188</v>
      </c>
      <c r="AB422">
        <v>25</v>
      </c>
      <c r="AC422">
        <v>234.8304</v>
      </c>
      <c r="AD422">
        <v>0.456291</v>
      </c>
      <c r="AE422">
        <v>-3.8472999999999602</v>
      </c>
      <c r="AF422">
        <v>2.9971591050581599</v>
      </c>
      <c r="AG422">
        <v>0.456291</v>
      </c>
      <c r="AH422">
        <v>234.84190238999699</v>
      </c>
      <c r="AI422">
        <v>89.888685168619205</v>
      </c>
      <c r="AJ422">
        <v>89.268804915565298</v>
      </c>
      <c r="AK422">
        <v>234.86147040826199</v>
      </c>
      <c r="AL422">
        <v>79.325900582902193</v>
      </c>
      <c r="AM422">
        <v>93.884319262687399</v>
      </c>
      <c r="AN422">
        <v>0.99999996828910098</v>
      </c>
    </row>
    <row r="423" spans="1:40" x14ac:dyDescent="0.25">
      <c r="A423" t="str">
        <f>"20190304155322184"</f>
        <v>20190304155322184</v>
      </c>
      <c r="B423" t="str">
        <f>"1551686002176129"</f>
        <v>1551686002176129</v>
      </c>
      <c r="C423" t="s">
        <v>40</v>
      </c>
      <c r="D423">
        <v>4.2493970000000001</v>
      </c>
      <c r="E423">
        <v>0.53348759999999995</v>
      </c>
      <c r="F423" t="s">
        <v>41</v>
      </c>
      <c r="G423">
        <v>-158.19499999999999</v>
      </c>
      <c r="H423">
        <v>1.580317</v>
      </c>
      <c r="I423">
        <v>363.46469999999999</v>
      </c>
      <c r="J423">
        <v>-392.77530000000002</v>
      </c>
      <c r="K423">
        <v>1.1088499999999999</v>
      </c>
      <c r="L423">
        <v>367.5145</v>
      </c>
      <c r="M423">
        <v>0.99993259999999995</v>
      </c>
      <c r="N423">
        <v>-1.1024849999999999E-2</v>
      </c>
      <c r="O423">
        <v>-3.6679019999999998E-3</v>
      </c>
      <c r="P423">
        <v>0.98267139999999997</v>
      </c>
      <c r="Q423">
        <v>0.17431820000000001</v>
      </c>
      <c r="R423">
        <v>6.3011910000000004E-2</v>
      </c>
      <c r="S423">
        <v>3.0553279999999998</v>
      </c>
      <c r="T423">
        <v>6.1389210000000003E-3</v>
      </c>
      <c r="U423">
        <v>-5.2703859999999998E-2</v>
      </c>
      <c r="V423">
        <v>-6.6593940000000004E-2</v>
      </c>
      <c r="W423">
        <v>0.18514649999999999</v>
      </c>
      <c r="X423">
        <v>0.98045190000000004</v>
      </c>
      <c r="Y423">
        <v>1.357999E-2</v>
      </c>
      <c r="Z423">
        <v>-1.0903E-4</v>
      </c>
      <c r="AA423">
        <v>0.99990780000000001</v>
      </c>
      <c r="AB423">
        <v>25</v>
      </c>
      <c r="AC423">
        <v>234.58029999999999</v>
      </c>
      <c r="AD423">
        <v>0.47146700000000002</v>
      </c>
      <c r="AE423">
        <v>-4.0498000000000003</v>
      </c>
      <c r="AF423">
        <v>3.1892901168864198</v>
      </c>
      <c r="AG423">
        <v>0.47146700000000002</v>
      </c>
      <c r="AH423">
        <v>234.59262967345899</v>
      </c>
      <c r="AI423">
        <v>89.884861954241401</v>
      </c>
      <c r="AJ423">
        <v>89.221111051051295</v>
      </c>
      <c r="AK423">
        <v>234.614781609537</v>
      </c>
      <c r="AL423">
        <v>79.330325716675802</v>
      </c>
      <c r="AM423">
        <v>93.8856576171451</v>
      </c>
      <c r="AN423">
        <v>0.99999995376029005</v>
      </c>
    </row>
    <row r="424" spans="1:40" x14ac:dyDescent="0.25">
      <c r="A424" t="str">
        <f>"20190304155322207"</f>
        <v>20190304155322207</v>
      </c>
      <c r="B424" t="str">
        <f>"1551686002195640"</f>
        <v>1551686002195640</v>
      </c>
      <c r="C424" t="s">
        <v>40</v>
      </c>
      <c r="D424">
        <v>4.2395480000000001</v>
      </c>
      <c r="E424">
        <v>0.52680269999999996</v>
      </c>
      <c r="F424" t="s">
        <v>41</v>
      </c>
      <c r="G424">
        <v>-158.19499999999999</v>
      </c>
      <c r="H424">
        <v>6.0214660000000002</v>
      </c>
      <c r="I424">
        <v>360.60309999999998</v>
      </c>
      <c r="J424">
        <v>-392.52080000000001</v>
      </c>
      <c r="K424">
        <v>1.1090960000000001</v>
      </c>
      <c r="L424">
        <v>367.51350000000002</v>
      </c>
      <c r="M424">
        <v>0.9999306</v>
      </c>
      <c r="N424">
        <v>-1.117369E-2</v>
      </c>
      <c r="O424">
        <v>-3.7196669999999999E-3</v>
      </c>
      <c r="P424">
        <v>0.98263979999999995</v>
      </c>
      <c r="Q424">
        <v>0.17451050000000001</v>
      </c>
      <c r="R424">
        <v>6.2967289999999995E-2</v>
      </c>
      <c r="S424">
        <v>3.0473330000000001</v>
      </c>
      <c r="T424">
        <v>6.3818810000000004E-2</v>
      </c>
      <c r="U424">
        <v>-8.9782710000000002E-2</v>
      </c>
      <c r="V424">
        <v>-6.6598500000000005E-2</v>
      </c>
      <c r="W424">
        <v>0.18548529999999999</v>
      </c>
      <c r="X424">
        <v>0.98038760000000003</v>
      </c>
      <c r="Y424">
        <v>2.5730739999999998E-2</v>
      </c>
      <c r="Z424" s="1">
        <v>6.1276950000000003E-6</v>
      </c>
      <c r="AA424">
        <v>0.99966889999999997</v>
      </c>
      <c r="AB424">
        <v>25</v>
      </c>
      <c r="AC424">
        <v>234.32579999999999</v>
      </c>
      <c r="AD424">
        <v>4.9123700000000001</v>
      </c>
      <c r="AE424">
        <v>-6.9104000000000303</v>
      </c>
      <c r="AF424">
        <v>6.0360333512195004</v>
      </c>
      <c r="AG424">
        <v>4.9123700000000001</v>
      </c>
      <c r="AH424">
        <v>234.247026634028</v>
      </c>
      <c r="AI424">
        <v>88.799030792987296</v>
      </c>
      <c r="AJ424">
        <v>88.523939757050798</v>
      </c>
      <c r="AK424">
        <v>234.376267067545</v>
      </c>
      <c r="AL424">
        <v>79.310572263089895</v>
      </c>
      <c r="AM424">
        <v>93.886176953651002</v>
      </c>
      <c r="AN424">
        <v>1.0000000014760499</v>
      </c>
    </row>
    <row r="425" spans="1:40" x14ac:dyDescent="0.25">
      <c r="A425" t="str">
        <f>"20190304155322229"</f>
        <v>20190304155322229</v>
      </c>
      <c r="B425" t="str">
        <f>"1551686002225893"</f>
        <v>1551686002225893</v>
      </c>
      <c r="C425" t="s">
        <v>40</v>
      </c>
      <c r="D425">
        <v>4.2613989999999999</v>
      </c>
      <c r="E425">
        <v>0.5274664</v>
      </c>
      <c r="F425" t="s">
        <v>41</v>
      </c>
      <c r="G425">
        <v>-158.19499999999999</v>
      </c>
      <c r="H425">
        <v>0.151941299999999</v>
      </c>
      <c r="I425">
        <v>364.5668</v>
      </c>
      <c r="J425">
        <v>-392.26609999999999</v>
      </c>
      <c r="K425">
        <v>1.109297</v>
      </c>
      <c r="L425">
        <v>367.51249999999999</v>
      </c>
      <c r="M425">
        <v>0.99992899999999996</v>
      </c>
      <c r="N425">
        <v>-1.130483E-2</v>
      </c>
      <c r="O425">
        <v>-3.7727619999999998E-3</v>
      </c>
      <c r="P425">
        <v>0.98265000000000002</v>
      </c>
      <c r="Q425">
        <v>0.17448839999999999</v>
      </c>
      <c r="R425">
        <v>6.2872449999999996E-2</v>
      </c>
      <c r="S425">
        <v>3.057709</v>
      </c>
      <c r="T425">
        <v>-1.248872E-2</v>
      </c>
      <c r="U425">
        <v>-3.8452149999999997E-2</v>
      </c>
      <c r="V425">
        <v>-6.6555989999999995E-2</v>
      </c>
      <c r="W425">
        <v>0.18559210000000001</v>
      </c>
      <c r="X425">
        <v>0.98037030000000003</v>
      </c>
      <c r="Y425">
        <v>8.8015109999999997E-3</v>
      </c>
      <c r="Z425" s="1">
        <v>-9.4969829999999995E-5</v>
      </c>
      <c r="AA425">
        <v>0.99996130000000005</v>
      </c>
      <c r="AB425">
        <v>25</v>
      </c>
      <c r="AC425">
        <v>234.0711</v>
      </c>
      <c r="AD425">
        <v>-0.95735569999999903</v>
      </c>
      <c r="AE425">
        <v>-2.94569999999998</v>
      </c>
      <c r="AF425">
        <v>2.0624935671987101</v>
      </c>
      <c r="AG425">
        <v>-0.95735569999999903</v>
      </c>
      <c r="AH425">
        <v>234.07663298608</v>
      </c>
      <c r="AI425">
        <v>90.234324996164204</v>
      </c>
      <c r="AJ425">
        <v>89.495169094290901</v>
      </c>
      <c r="AK425">
        <v>234.087676992513</v>
      </c>
      <c r="AL425">
        <v>79.304345216867404</v>
      </c>
      <c r="AM425">
        <v>93.883772313713095</v>
      </c>
      <c r="AN425">
        <v>1.00000002625468</v>
      </c>
    </row>
    <row r="426" spans="1:40" x14ac:dyDescent="0.25">
      <c r="A426" t="str">
        <f>"20190304155322252"</f>
        <v>20190304155322252</v>
      </c>
      <c r="B426" t="str">
        <f>"1551686002246390"</f>
        <v>1551686002246390</v>
      </c>
      <c r="C426" t="s">
        <v>40</v>
      </c>
      <c r="D426">
        <v>4.3023249999999997</v>
      </c>
      <c r="E426">
        <v>0.52759889999999998</v>
      </c>
      <c r="F426" t="s">
        <v>41</v>
      </c>
      <c r="G426">
        <v>-158.19499999999999</v>
      </c>
      <c r="H426">
        <v>9.5659729999999998E-2</v>
      </c>
      <c r="I426">
        <v>364.12329999999997</v>
      </c>
      <c r="J426">
        <v>-392.01510000000002</v>
      </c>
      <c r="K426">
        <v>1.109464</v>
      </c>
      <c r="L426">
        <v>367.51150000000001</v>
      </c>
      <c r="M426">
        <v>0.99992749999999997</v>
      </c>
      <c r="N426">
        <v>-1.141852E-2</v>
      </c>
      <c r="O426">
        <v>-3.826837E-3</v>
      </c>
      <c r="P426">
        <v>0.98272870000000001</v>
      </c>
      <c r="Q426">
        <v>0.17412520000000001</v>
      </c>
      <c r="R426">
        <v>6.2649640000000006E-2</v>
      </c>
      <c r="S426">
        <v>3.0581049999999999</v>
      </c>
      <c r="T426">
        <v>-1.3241889999999999E-2</v>
      </c>
      <c r="U426">
        <v>-4.4281010000000003E-2</v>
      </c>
      <c r="V426">
        <v>-6.6385749999999993E-2</v>
      </c>
      <c r="W426">
        <v>0.18534139999999999</v>
      </c>
      <c r="X426">
        <v>0.9804292</v>
      </c>
      <c r="Y426">
        <v>1.0651310000000001E-2</v>
      </c>
      <c r="Z426">
        <v>-1.110038E-4</v>
      </c>
      <c r="AA426">
        <v>0.99994329999999998</v>
      </c>
      <c r="AB426">
        <v>25</v>
      </c>
      <c r="AC426">
        <v>233.8201</v>
      </c>
      <c r="AD426">
        <v>-1.0138042700000001</v>
      </c>
      <c r="AE426">
        <v>-3.3882000000000398</v>
      </c>
      <c r="AF426">
        <v>2.4932785909744801</v>
      </c>
      <c r="AG426">
        <v>-1.0138042700000001</v>
      </c>
      <c r="AH426">
        <v>233.82695970498</v>
      </c>
      <c r="AI426">
        <v>90.248401810460706</v>
      </c>
      <c r="AJ426">
        <v>89.389082735014298</v>
      </c>
      <c r="AK426">
        <v>233.84244978639899</v>
      </c>
      <c r="AL426">
        <v>79.318962153235603</v>
      </c>
      <c r="AM426">
        <v>93.873636489442205</v>
      </c>
      <c r="AN426">
        <v>0.99999995928482999</v>
      </c>
    </row>
    <row r="427" spans="1:40" x14ac:dyDescent="0.25">
      <c r="A427" t="str">
        <f>"20190304155322276"</f>
        <v>20190304155322276</v>
      </c>
      <c r="B427" t="str">
        <f>"1551686002265912"</f>
        <v>1551686002265912</v>
      </c>
      <c r="C427" t="s">
        <v>40</v>
      </c>
      <c r="D427">
        <v>4.2912809999999997</v>
      </c>
      <c r="E427">
        <v>0.52504969999999995</v>
      </c>
      <c r="F427" t="s">
        <v>41</v>
      </c>
      <c r="G427">
        <v>-158.19499999999999</v>
      </c>
      <c r="H427">
        <v>8.7402339999999995E-2</v>
      </c>
      <c r="I427">
        <v>364.00670000000002</v>
      </c>
      <c r="J427">
        <v>-391.7355</v>
      </c>
      <c r="K427">
        <v>1.109613</v>
      </c>
      <c r="L427">
        <v>367.5104</v>
      </c>
      <c r="M427">
        <v>0.99992599999999998</v>
      </c>
      <c r="N427">
        <v>-1.1527000000000001E-2</v>
      </c>
      <c r="O427">
        <v>-3.8941510000000002E-3</v>
      </c>
      <c r="P427">
        <v>0.98279570000000005</v>
      </c>
      <c r="Q427">
        <v>0.17376429999999901</v>
      </c>
      <c r="R427">
        <v>6.259953E-2</v>
      </c>
      <c r="S427">
        <v>3.058014</v>
      </c>
      <c r="T427">
        <v>-1.336586E-2</v>
      </c>
      <c r="U427">
        <v>-4.58374E-2</v>
      </c>
      <c r="V427">
        <v>-6.6400189999999998E-2</v>
      </c>
      <c r="W427">
        <v>0.1850879</v>
      </c>
      <c r="X427">
        <v>0.98047609999999996</v>
      </c>
      <c r="Y427">
        <v>1.1093220000000001E-2</v>
      </c>
      <c r="Z427">
        <v>-1.1605239999999999E-4</v>
      </c>
      <c r="AA427">
        <v>0.99993849999999995</v>
      </c>
      <c r="AB427">
        <v>25</v>
      </c>
      <c r="AC427">
        <v>233.54050000000001</v>
      </c>
      <c r="AD427">
        <v>-1.02221066</v>
      </c>
      <c r="AE427">
        <v>-3.5036999999999798</v>
      </c>
      <c r="AF427">
        <v>2.5941213646153201</v>
      </c>
      <c r="AG427">
        <v>-1.02221066</v>
      </c>
      <c r="AH427">
        <v>233.54790048095001</v>
      </c>
      <c r="AI427">
        <v>90.2507595655172</v>
      </c>
      <c r="AJ427">
        <v>89.363616228776806</v>
      </c>
      <c r="AK427">
        <v>233.56454396878701</v>
      </c>
      <c r="AL427">
        <v>79.333742252234998</v>
      </c>
      <c r="AM427">
        <v>93.874291736619796</v>
      </c>
      <c r="AN427">
        <v>0.99999994931482605</v>
      </c>
    </row>
    <row r="428" spans="1:40" x14ac:dyDescent="0.25">
      <c r="A428" t="str">
        <f>"20190304155322299"</f>
        <v>20190304155322299</v>
      </c>
      <c r="B428" t="str">
        <f>"1551686002296165"</f>
        <v>1551686002296165</v>
      </c>
      <c r="C428" t="s">
        <v>40</v>
      </c>
      <c r="D428">
        <v>4.3431850000000001</v>
      </c>
      <c r="E428">
        <v>0.52524139999999997</v>
      </c>
      <c r="F428" t="s">
        <v>46</v>
      </c>
      <c r="G428">
        <v>-328.53160000000003</v>
      </c>
      <c r="H428" s="1">
        <v>-1.193712E-6</v>
      </c>
      <c r="I428">
        <v>366.95569999999998</v>
      </c>
      <c r="J428">
        <v>-391.48379999999997</v>
      </c>
      <c r="K428">
        <v>1.1097159999999999</v>
      </c>
      <c r="L428">
        <v>367.5093</v>
      </c>
      <c r="M428">
        <v>0.99992479999999995</v>
      </c>
      <c r="N428">
        <v>-1.16071E-2</v>
      </c>
      <c r="O428">
        <v>-3.9582030000000004E-3</v>
      </c>
      <c r="P428">
        <v>0.98288379999999997</v>
      </c>
      <c r="Q428">
        <v>0.17337610000000001</v>
      </c>
      <c r="R428">
        <v>6.2292960000000001E-2</v>
      </c>
      <c r="S428">
        <v>3.0637819999999998</v>
      </c>
      <c r="T428">
        <v>-5.378807E-2</v>
      </c>
      <c r="U428">
        <v>-2.6885989999999999E-2</v>
      </c>
      <c r="V428">
        <v>-6.6155370000000005E-2</v>
      </c>
      <c r="W428">
        <v>0.18477959999999999</v>
      </c>
      <c r="X428">
        <v>0.98055079999999994</v>
      </c>
      <c r="Y428">
        <v>4.8155380000000003E-3</v>
      </c>
      <c r="Z428" s="1">
        <v>-4.6678780000000003E-5</v>
      </c>
      <c r="AA428">
        <v>0.9999884</v>
      </c>
      <c r="AB428">
        <v>25</v>
      </c>
      <c r="AC428">
        <v>62.952199999999898</v>
      </c>
      <c r="AD428">
        <v>-1.1097171937119901</v>
      </c>
      <c r="AE428">
        <v>-0.55360000000001697</v>
      </c>
      <c r="AF428">
        <v>0.30430673441499401</v>
      </c>
      <c r="AG428">
        <v>-1.1097171937119901</v>
      </c>
      <c r="AH428">
        <v>62.934343232968999</v>
      </c>
      <c r="AI428">
        <v>91.010176271349806</v>
      </c>
      <c r="AJ428">
        <v>89.722959599099198</v>
      </c>
      <c r="AK428">
        <v>62.9448618475232</v>
      </c>
      <c r="AL428">
        <v>79.351716615423797</v>
      </c>
      <c r="AM428">
        <v>93.859757164686101</v>
      </c>
      <c r="AN428">
        <v>0.99999995246831697</v>
      </c>
    </row>
    <row r="429" spans="1:40" x14ac:dyDescent="0.25">
      <c r="A429" t="str">
        <f>"20190304155322320"</f>
        <v>20190304155322320</v>
      </c>
      <c r="B429" t="str">
        <f>"1551686002315685"</f>
        <v>1551686002315685</v>
      </c>
      <c r="C429" t="s">
        <v>40</v>
      </c>
      <c r="D429">
        <v>4.3361879999999999</v>
      </c>
      <c r="E429">
        <v>0.5253736</v>
      </c>
      <c r="F429" t="s">
        <v>46</v>
      </c>
      <c r="G429">
        <v>-334.66390000000001</v>
      </c>
      <c r="H429" s="1">
        <v>-2.7425009999999998E-6</v>
      </c>
      <c r="I429">
        <v>366.96100000000001</v>
      </c>
      <c r="J429">
        <v>-391.24020000000002</v>
      </c>
      <c r="K429">
        <v>1.1097950000000001</v>
      </c>
      <c r="L429">
        <v>367.50830000000002</v>
      </c>
      <c r="M429">
        <v>0.99992389999999998</v>
      </c>
      <c r="N429">
        <v>-1.1671610000000001E-2</v>
      </c>
      <c r="O429">
        <v>-4.0226289999999998E-3</v>
      </c>
      <c r="P429">
        <v>0.98292579999999996</v>
      </c>
      <c r="Q429">
        <v>0.1731801</v>
      </c>
      <c r="R429">
        <v>6.2174649999999998E-2</v>
      </c>
      <c r="S429">
        <v>3.064667</v>
      </c>
      <c r="T429">
        <v>-5.985439E-2</v>
      </c>
      <c r="U429">
        <v>-2.9571529999999999E-2</v>
      </c>
      <c r="V429">
        <v>-6.6099539999999998E-2</v>
      </c>
      <c r="W429">
        <v>0.1846479</v>
      </c>
      <c r="X429">
        <v>0.98057939999999999</v>
      </c>
      <c r="Y429">
        <v>5.6243519999999896E-3</v>
      </c>
      <c r="Z429" s="1">
        <v>-5.614173E-5</v>
      </c>
      <c r="AA429">
        <v>0.99998419999999999</v>
      </c>
      <c r="AB429">
        <v>25</v>
      </c>
      <c r="AC429">
        <v>56.576300000000003</v>
      </c>
      <c r="AD429">
        <v>-1.1097977425009999</v>
      </c>
      <c r="AE429">
        <v>-0.547300000000007</v>
      </c>
      <c r="AF429">
        <v>0.31957167236655398</v>
      </c>
      <c r="AG429">
        <v>-1.1097977425009999</v>
      </c>
      <c r="AH429">
        <v>56.556283928222598</v>
      </c>
      <c r="AI429">
        <v>91.124146567186997</v>
      </c>
      <c r="AJ429">
        <v>89.676253248255406</v>
      </c>
      <c r="AK429">
        <v>56.568074289768496</v>
      </c>
      <c r="AL429">
        <v>79.359394863874996</v>
      </c>
      <c r="AM429">
        <v>93.856397521265094</v>
      </c>
      <c r="AN429">
        <v>0.99999997793349005</v>
      </c>
    </row>
    <row r="430" spans="1:40" x14ac:dyDescent="0.25">
      <c r="A430" t="str">
        <f>"20190304155322341"</f>
        <v>20190304155322341</v>
      </c>
      <c r="B430" t="str">
        <f>"1551686002336181"</f>
        <v>1551686002336181</v>
      </c>
      <c r="C430" t="s">
        <v>40</v>
      </c>
      <c r="D430">
        <v>4.3238289999999999</v>
      </c>
      <c r="E430">
        <v>0.52547630000000001</v>
      </c>
      <c r="F430" t="s">
        <v>46</v>
      </c>
      <c r="G430">
        <v>-336.55279999999999</v>
      </c>
      <c r="H430" s="1">
        <v>-1.9328750000000001E-6</v>
      </c>
      <c r="I430">
        <v>366.9572</v>
      </c>
      <c r="J430">
        <v>-391.00060000000002</v>
      </c>
      <c r="K430">
        <v>1.109866</v>
      </c>
      <c r="L430">
        <v>367.50729999999999</v>
      </c>
      <c r="M430">
        <v>0.99992289999999995</v>
      </c>
      <c r="N430">
        <v>-1.1725930000000001E-2</v>
      </c>
      <c r="O430">
        <v>-4.0893809999999996E-3</v>
      </c>
      <c r="P430">
        <v>0.98301919999999998</v>
      </c>
      <c r="Q430">
        <v>0.17274600000000001</v>
      </c>
      <c r="R430">
        <v>6.1903640000000003E-2</v>
      </c>
      <c r="S430">
        <v>3.0650330000000001</v>
      </c>
      <c r="T430">
        <v>-6.2200070000000003E-2</v>
      </c>
      <c r="U430">
        <v>-3.0883790000000001E-2</v>
      </c>
      <c r="V430">
        <v>-6.5893409999999999E-2</v>
      </c>
      <c r="W430">
        <v>0.18426870000000001</v>
      </c>
      <c r="X430">
        <v>0.9806646</v>
      </c>
      <c r="Y430">
        <v>5.9843250000000004E-3</v>
      </c>
      <c r="Z430" s="1">
        <v>-6.0781310000000001E-5</v>
      </c>
      <c r="AA430">
        <v>0.99998209999999998</v>
      </c>
      <c r="AB430">
        <v>25</v>
      </c>
      <c r="AC430">
        <v>54.447800000000001</v>
      </c>
      <c r="AD430">
        <v>-1.1098679328749901</v>
      </c>
      <c r="AE430">
        <v>-0.55009999999998604</v>
      </c>
      <c r="AF430">
        <v>0.32728631778980499</v>
      </c>
      <c r="AG430">
        <v>-1.1098679328749901</v>
      </c>
      <c r="AH430">
        <v>54.426981721737299</v>
      </c>
      <c r="AI430">
        <v>91.168185063189398</v>
      </c>
      <c r="AJ430">
        <v>89.655466864256098</v>
      </c>
      <c r="AK430">
        <v>54.439280510496801</v>
      </c>
      <c r="AL430">
        <v>79.381500738109494</v>
      </c>
      <c r="AM430">
        <v>93.844074546671493</v>
      </c>
      <c r="AN430">
        <v>0.99999997648713801</v>
      </c>
    </row>
    <row r="431" spans="1:40" x14ac:dyDescent="0.25">
      <c r="A431" t="str">
        <f>"20190304155322364"</f>
        <v>20190304155322364</v>
      </c>
      <c r="B431" t="str">
        <f>"1551686002355704"</f>
        <v>1551686002355704</v>
      </c>
      <c r="C431" t="s">
        <v>40</v>
      </c>
      <c r="D431">
        <v>4.3243689999999999</v>
      </c>
      <c r="E431">
        <v>0.52561729999999995</v>
      </c>
      <c r="F431" t="s">
        <v>46</v>
      </c>
      <c r="G431">
        <v>-337.96199999999999</v>
      </c>
      <c r="H431" s="1">
        <v>-1.3903219999999901E-6</v>
      </c>
      <c r="I431">
        <v>366.94529999999997</v>
      </c>
      <c r="J431">
        <v>-390.74459999999999</v>
      </c>
      <c r="K431">
        <v>1.109926</v>
      </c>
      <c r="L431">
        <v>367.5061</v>
      </c>
      <c r="M431">
        <v>0.99992199999999998</v>
      </c>
      <c r="N431">
        <v>-1.1775590000000001E-2</v>
      </c>
      <c r="O431">
        <v>-4.1652879999999996E-3</v>
      </c>
      <c r="P431">
        <v>0.98309460000000004</v>
      </c>
      <c r="Q431">
        <v>0.17245849999999999</v>
      </c>
      <c r="R431">
        <v>6.1505549999999999E-2</v>
      </c>
      <c r="S431">
        <v>3.0651549999999999</v>
      </c>
      <c r="T431">
        <v>-6.4140320000000001E-2</v>
      </c>
      <c r="U431">
        <v>-3.2470699999999998E-2</v>
      </c>
      <c r="V431">
        <v>-6.5569069999999993E-2</v>
      </c>
      <c r="W431">
        <v>0.18403120000000001</v>
      </c>
      <c r="X431">
        <v>0.98073100000000002</v>
      </c>
      <c r="Y431">
        <v>6.4254409999999996E-3</v>
      </c>
      <c r="Z431" s="1">
        <v>-6.6957950000000002E-5</v>
      </c>
      <c r="AA431">
        <v>0.99997939999999996</v>
      </c>
      <c r="AB431">
        <v>25</v>
      </c>
      <c r="AC431">
        <v>52.782600000000002</v>
      </c>
      <c r="AD431">
        <v>-1.1099273903219999</v>
      </c>
      <c r="AE431">
        <v>-0.56080000000002805</v>
      </c>
      <c r="AF431">
        <v>0.34077449209395599</v>
      </c>
      <c r="AG431">
        <v>-1.1099273903219999</v>
      </c>
      <c r="AH431">
        <v>52.761150362958901</v>
      </c>
      <c r="AI431">
        <v>91.205118730273696</v>
      </c>
      <c r="AJ431">
        <v>89.629942324371001</v>
      </c>
      <c r="AK431">
        <v>52.7739239936638</v>
      </c>
      <c r="AL431">
        <v>79.395345933425006</v>
      </c>
      <c r="AM431">
        <v>93.824951371618397</v>
      </c>
      <c r="AN431">
        <v>1.0000000399375499</v>
      </c>
    </row>
    <row r="432" spans="1:40" x14ac:dyDescent="0.25">
      <c r="A432" t="str">
        <f>"20190304155322386"</f>
        <v>20190304155322386</v>
      </c>
      <c r="B432" t="str">
        <f>"1551686002376197"</f>
        <v>1551686002376197</v>
      </c>
      <c r="C432" t="s">
        <v>40</v>
      </c>
      <c r="D432">
        <v>4.3166739999999999</v>
      </c>
      <c r="E432">
        <v>0.52564560000000005</v>
      </c>
      <c r="F432" t="s">
        <v>46</v>
      </c>
      <c r="G432">
        <v>-339.1739</v>
      </c>
      <c r="H432" s="1">
        <v>-9.8282380000000008E-7</v>
      </c>
      <c r="I432">
        <v>366.92689999999999</v>
      </c>
      <c r="J432">
        <v>-390.4837</v>
      </c>
      <c r="K432">
        <v>1.109982</v>
      </c>
      <c r="L432">
        <v>367.50490000000002</v>
      </c>
      <c r="M432">
        <v>0.99992110000000001</v>
      </c>
      <c r="N432">
        <v>-1.1818779999999999E-2</v>
      </c>
      <c r="O432">
        <v>-4.2447320000000002E-3</v>
      </c>
      <c r="P432">
        <v>0.98321760000000002</v>
      </c>
      <c r="Q432">
        <v>0.1719724</v>
      </c>
      <c r="R432">
        <v>6.0900099999999999E-2</v>
      </c>
      <c r="S432">
        <v>3.0653079999999999</v>
      </c>
      <c r="T432">
        <v>-6.597269E-2</v>
      </c>
      <c r="U432">
        <v>-3.4423830000000002E-2</v>
      </c>
      <c r="V432">
        <v>-6.5041409999999994E-2</v>
      </c>
      <c r="W432">
        <v>0.18358910000000001</v>
      </c>
      <c r="X432">
        <v>0.98084899999999997</v>
      </c>
      <c r="Y432">
        <v>6.9822629999999998E-3</v>
      </c>
      <c r="Z432" s="1">
        <v>-7.5220440000000005E-5</v>
      </c>
      <c r="AA432">
        <v>0.99997559999999996</v>
      </c>
      <c r="AB432">
        <v>25</v>
      </c>
      <c r="AC432">
        <v>51.309800000000003</v>
      </c>
      <c r="AD432">
        <v>-1.1099829828237999</v>
      </c>
      <c r="AE432">
        <v>-0.57800000000003104</v>
      </c>
      <c r="AF432">
        <v>0.36001475904068603</v>
      </c>
      <c r="AG432">
        <v>-1.1099829828237999</v>
      </c>
      <c r="AH432">
        <v>51.287792440611199</v>
      </c>
      <c r="AI432">
        <v>91.239785231318095</v>
      </c>
      <c r="AJ432">
        <v>89.597818769515797</v>
      </c>
      <c r="AK432">
        <v>51.301065547219402</v>
      </c>
      <c r="AL432">
        <v>79.421115590250594</v>
      </c>
      <c r="AM432">
        <v>93.793805632745901</v>
      </c>
      <c r="AN432">
        <v>1.00000005172729</v>
      </c>
    </row>
    <row r="433" spans="1:40" x14ac:dyDescent="0.25">
      <c r="A433" t="str">
        <f>"20190304155322409"</f>
        <v>20190304155322409</v>
      </c>
      <c r="B433" t="str">
        <f>"1551686002406452"</f>
        <v>1551686002406452</v>
      </c>
      <c r="C433" t="s">
        <v>40</v>
      </c>
      <c r="D433">
        <v>4.3100800000000001</v>
      </c>
      <c r="E433">
        <v>0.52559650000000002</v>
      </c>
      <c r="F433" t="s">
        <v>46</v>
      </c>
      <c r="G433">
        <v>-340.20650000000001</v>
      </c>
      <c r="H433" s="1">
        <v>-5.0905849999999998E-6</v>
      </c>
      <c r="I433">
        <v>366.90679999999998</v>
      </c>
      <c r="J433">
        <v>-390.23390000000001</v>
      </c>
      <c r="K433">
        <v>1.110026</v>
      </c>
      <c r="L433">
        <v>367.50380000000001</v>
      </c>
      <c r="M433">
        <v>0.99992040000000004</v>
      </c>
      <c r="N433">
        <v>-1.185336E-2</v>
      </c>
      <c r="O433">
        <v>-4.3213669999999996E-3</v>
      </c>
      <c r="P433">
        <v>0.98331250000000003</v>
      </c>
      <c r="Q433">
        <v>0.17165899999999901</v>
      </c>
      <c r="R433">
        <v>6.0248110000000001E-2</v>
      </c>
      <c r="S433">
        <v>3.0653079999999999</v>
      </c>
      <c r="T433">
        <v>-6.7673800000000006E-2</v>
      </c>
      <c r="U433">
        <v>-3.6468510000000003E-2</v>
      </c>
      <c r="V433">
        <v>-6.4464839999999995E-2</v>
      </c>
      <c r="W433">
        <v>0.18331069999999999</v>
      </c>
      <c r="X433">
        <v>0.98093909999999995</v>
      </c>
      <c r="Y433">
        <v>7.57225E-3</v>
      </c>
      <c r="Z433" s="1">
        <v>-8.4296119999999894E-5</v>
      </c>
      <c r="AA433">
        <v>0.99997130000000001</v>
      </c>
      <c r="AB433">
        <v>25</v>
      </c>
      <c r="AC433">
        <v>50.0274</v>
      </c>
      <c r="AD433">
        <v>-1.1100310905849999</v>
      </c>
      <c r="AE433">
        <v>-0.59700000000003595</v>
      </c>
      <c r="AF433">
        <v>0.380605122830797</v>
      </c>
      <c r="AG433">
        <v>-1.1100310905849999</v>
      </c>
      <c r="AH433">
        <v>50.004897559109999</v>
      </c>
      <c r="AI433">
        <v>91.271631675511699</v>
      </c>
      <c r="AJ433">
        <v>89.563909793562999</v>
      </c>
      <c r="AK433">
        <v>50.018664608110797</v>
      </c>
      <c r="AL433">
        <v>79.437341808176498</v>
      </c>
      <c r="AM433">
        <v>93.759927357455297</v>
      </c>
      <c r="AN433">
        <v>1.0000000231197601</v>
      </c>
    </row>
    <row r="434" spans="1:40" x14ac:dyDescent="0.25">
      <c r="A434" t="str">
        <f>"20190304155322430"</f>
        <v>20190304155322430</v>
      </c>
      <c r="B434" t="str">
        <f>"1551686002425973"</f>
        <v>1551686002425973</v>
      </c>
      <c r="C434" t="s">
        <v>40</v>
      </c>
      <c r="D434">
        <v>4.2789010000000003</v>
      </c>
      <c r="E434">
        <v>0.52550830000000004</v>
      </c>
      <c r="F434" t="s">
        <v>46</v>
      </c>
      <c r="G434">
        <v>-340.87150000000003</v>
      </c>
      <c r="H434" s="1">
        <v>-4.7788800000000004E-6</v>
      </c>
      <c r="I434">
        <v>366.89190000000002</v>
      </c>
      <c r="J434">
        <v>-389.9923</v>
      </c>
      <c r="K434">
        <v>1.110055</v>
      </c>
      <c r="L434">
        <v>367.50259999999997</v>
      </c>
      <c r="M434">
        <v>0.99991989999999997</v>
      </c>
      <c r="N434">
        <v>-1.187829E-2</v>
      </c>
      <c r="O434">
        <v>-4.3947040000000001E-3</v>
      </c>
      <c r="P434">
        <v>0.98333890000000002</v>
      </c>
      <c r="Q434">
        <v>0.171626799999999</v>
      </c>
      <c r="R434">
        <v>5.9910959999999999E-2</v>
      </c>
      <c r="S434">
        <v>3.0652469999999998</v>
      </c>
      <c r="T434">
        <v>-6.8929199999999996E-2</v>
      </c>
      <c r="U434">
        <v>-3.7994380000000001E-2</v>
      </c>
      <c r="V434">
        <v>-6.4199720000000002E-2</v>
      </c>
      <c r="W434">
        <v>0.1833032</v>
      </c>
      <c r="X434">
        <v>0.98095790000000005</v>
      </c>
      <c r="Y434">
        <v>7.9966220000000001E-3</v>
      </c>
      <c r="Z434" s="1">
        <v>-9.0793080000000002E-5</v>
      </c>
      <c r="AA434">
        <v>0.99996810000000003</v>
      </c>
      <c r="AB434">
        <v>25</v>
      </c>
      <c r="AC434">
        <v>49.120799999999903</v>
      </c>
      <c r="AD434">
        <v>-1.11005977888</v>
      </c>
      <c r="AE434">
        <v>-0.61069999999995095</v>
      </c>
      <c r="AF434">
        <v>0.39460602563673203</v>
      </c>
      <c r="AG434">
        <v>-1.11005977888</v>
      </c>
      <c r="AH434">
        <v>49.097939407876403</v>
      </c>
      <c r="AI434">
        <v>91.295143019588394</v>
      </c>
      <c r="AJ434">
        <v>89.539516865398696</v>
      </c>
      <c r="AK434">
        <v>49.112071843159498</v>
      </c>
      <c r="AL434">
        <v>79.437779053529098</v>
      </c>
      <c r="AM434">
        <v>93.744436693497207</v>
      </c>
      <c r="AN434">
        <v>1.0000000343753599</v>
      </c>
    </row>
    <row r="435" spans="1:40" x14ac:dyDescent="0.25">
      <c r="A435" t="str">
        <f>"20190304155322454"</f>
        <v>20190304155322454</v>
      </c>
      <c r="B435" t="str">
        <f>"1551686002446470"</f>
        <v>1551686002446470</v>
      </c>
      <c r="C435" t="s">
        <v>40</v>
      </c>
      <c r="D435">
        <v>4.2777690000000002</v>
      </c>
      <c r="E435">
        <v>0.52552319999999997</v>
      </c>
      <c r="F435" t="s">
        <v>46</v>
      </c>
      <c r="G435">
        <v>-340.5086</v>
      </c>
      <c r="H435" s="1">
        <v>-4.9515900000000003E-6</v>
      </c>
      <c r="I435">
        <v>366.88529999999997</v>
      </c>
      <c r="J435">
        <v>-389.72449999999998</v>
      </c>
      <c r="K435">
        <v>1.110085</v>
      </c>
      <c r="L435">
        <v>367.50139999999999</v>
      </c>
      <c r="M435">
        <v>0.99991920000000001</v>
      </c>
      <c r="N435">
        <v>-1.18975E-2</v>
      </c>
      <c r="O435">
        <v>-4.4751449999999998E-3</v>
      </c>
      <c r="P435">
        <v>0.98340450000000001</v>
      </c>
      <c r="Q435">
        <v>0.1713692</v>
      </c>
      <c r="R435">
        <v>5.956583E-2</v>
      </c>
      <c r="S435">
        <v>3.0651549999999999</v>
      </c>
      <c r="T435">
        <v>-6.8760160000000001E-2</v>
      </c>
      <c r="U435">
        <v>-3.823853E-2</v>
      </c>
      <c r="V435">
        <v>-6.3934569999999996E-2</v>
      </c>
      <c r="W435">
        <v>0.18306510000000001</v>
      </c>
      <c r="X435">
        <v>0.98101970000000005</v>
      </c>
      <c r="Y435">
        <v>7.996197E-3</v>
      </c>
      <c r="Z435" s="1">
        <v>-9.0121440000000004E-5</v>
      </c>
      <c r="AA435">
        <v>0.99996810000000003</v>
      </c>
      <c r="AB435">
        <v>25</v>
      </c>
      <c r="AC435">
        <v>49.215899999999898</v>
      </c>
      <c r="AD435">
        <v>-1.11008995159</v>
      </c>
      <c r="AE435">
        <v>-0.61610000000001697</v>
      </c>
      <c r="AF435">
        <v>0.39562870438911502</v>
      </c>
      <c r="AG435">
        <v>-1.11008995159</v>
      </c>
      <c r="AH435">
        <v>49.193141287985704</v>
      </c>
      <c r="AI435">
        <v>91.292672491906103</v>
      </c>
      <c r="AJ435">
        <v>89.539216937031597</v>
      </c>
      <c r="AK435">
        <v>49.207255273507002</v>
      </c>
      <c r="AL435">
        <v>79.451656225236306</v>
      </c>
      <c r="AM435">
        <v>93.728781344556097</v>
      </c>
      <c r="AN435">
        <v>1.00000005593359</v>
      </c>
    </row>
    <row r="436" spans="1:40" x14ac:dyDescent="0.25">
      <c r="A436" t="str">
        <f>"20190304155322477"</f>
        <v>20190304155322477</v>
      </c>
      <c r="B436" t="str">
        <f>"1551686002465989"</f>
        <v>1551686002465989</v>
      </c>
      <c r="C436" t="s">
        <v>40</v>
      </c>
      <c r="D436">
        <v>4.2876599999999998</v>
      </c>
      <c r="E436">
        <v>0.52542219999999995</v>
      </c>
      <c r="F436" t="s">
        <v>46</v>
      </c>
      <c r="G436">
        <v>-340.28300000000002</v>
      </c>
      <c r="H436" s="1">
        <v>-5.062736E-6</v>
      </c>
      <c r="I436">
        <v>366.85989999999998</v>
      </c>
      <c r="J436">
        <v>-389.4649</v>
      </c>
      <c r="K436">
        <v>1.110101</v>
      </c>
      <c r="L436">
        <v>367.50009999999997</v>
      </c>
      <c r="M436">
        <v>0.9999188</v>
      </c>
      <c r="N436">
        <v>-1.19083E-2</v>
      </c>
      <c r="O436">
        <v>-4.5532699999999999E-3</v>
      </c>
      <c r="P436">
        <v>0.98342750000000001</v>
      </c>
      <c r="Q436">
        <v>0.1712176</v>
      </c>
      <c r="R436">
        <v>5.9623759999999998E-2</v>
      </c>
      <c r="S436">
        <v>3.0650019999999998</v>
      </c>
      <c r="T436">
        <v>-6.8817260000000005E-2</v>
      </c>
      <c r="U436">
        <v>-3.9764399999999998E-2</v>
      </c>
      <c r="V436">
        <v>-6.4070070000000007E-2</v>
      </c>
      <c r="W436">
        <v>0.18292449999999999</v>
      </c>
      <c r="X436">
        <v>0.98103700000000005</v>
      </c>
      <c r="Y436">
        <v>8.4162669999999998E-3</v>
      </c>
      <c r="Z436" s="1">
        <v>-9.6597080000000002E-5</v>
      </c>
      <c r="AA436">
        <v>0.99996459999999998</v>
      </c>
      <c r="AB436">
        <v>25</v>
      </c>
      <c r="AC436">
        <v>49.181899999999899</v>
      </c>
      <c r="AD436">
        <v>-1.110106062736</v>
      </c>
      <c r="AE436">
        <v>-0.640199999999992</v>
      </c>
      <c r="AF436">
        <v>0.41602711214607002</v>
      </c>
      <c r="AG436">
        <v>-1.110106062736</v>
      </c>
      <c r="AH436">
        <v>49.159264397123401</v>
      </c>
      <c r="AI436">
        <v>91.293577283139996</v>
      </c>
      <c r="AJ436">
        <v>89.515126417185598</v>
      </c>
      <c r="AK436">
        <v>49.173556817611299</v>
      </c>
      <c r="AL436">
        <v>79.459849473054604</v>
      </c>
      <c r="AM436">
        <v>93.736595880585696</v>
      </c>
      <c r="AN436">
        <v>0.99999997096952697</v>
      </c>
    </row>
    <row r="437" spans="1:40" x14ac:dyDescent="0.25">
      <c r="A437" t="str">
        <f>"20190304155322500"</f>
        <v>20190304155322500</v>
      </c>
      <c r="B437" t="str">
        <f>"1551686002496245"</f>
        <v>1551686002496245</v>
      </c>
      <c r="C437" t="s">
        <v>40</v>
      </c>
      <c r="D437">
        <v>4.2708250000000003</v>
      </c>
      <c r="E437">
        <v>0.52524380000000004</v>
      </c>
      <c r="F437" t="s">
        <v>46</v>
      </c>
      <c r="G437">
        <v>-340.48660000000001</v>
      </c>
      <c r="H437" s="1">
        <v>-4.9637130000000002E-6</v>
      </c>
      <c r="I437">
        <v>366.87540000000001</v>
      </c>
      <c r="J437">
        <v>-389.20650000000001</v>
      </c>
      <c r="K437">
        <v>1.11012</v>
      </c>
      <c r="L437">
        <v>367.49880000000002</v>
      </c>
      <c r="M437">
        <v>0.99991850000000004</v>
      </c>
      <c r="N437">
        <v>-1.190518E-2</v>
      </c>
      <c r="O437">
        <v>-4.6305970000000002E-3</v>
      </c>
      <c r="P437">
        <v>0.98344830000000005</v>
      </c>
      <c r="Q437">
        <v>0.17099979999999901</v>
      </c>
      <c r="R437">
        <v>5.9903730000000002E-2</v>
      </c>
      <c r="S437">
        <v>3.0650330000000001</v>
      </c>
      <c r="T437">
        <v>-6.9469810000000007E-2</v>
      </c>
      <c r="U437">
        <v>-3.9093019999999999E-2</v>
      </c>
      <c r="V437">
        <v>-6.4426880000000006E-2</v>
      </c>
      <c r="W437">
        <v>0.18270320000000001</v>
      </c>
      <c r="X437">
        <v>0.98105489999999995</v>
      </c>
      <c r="Y437">
        <v>8.1198840000000008E-3</v>
      </c>
      <c r="Z437" s="1">
        <v>-9.0541680000000006E-5</v>
      </c>
      <c r="AA437">
        <v>0.99996700000000005</v>
      </c>
      <c r="AB437">
        <v>25</v>
      </c>
      <c r="AC437">
        <v>48.719900000000003</v>
      </c>
      <c r="AD437">
        <v>-1.110124963713</v>
      </c>
      <c r="AE437">
        <v>-0.62340000000000295</v>
      </c>
      <c r="AF437">
        <v>0.39756874170416301</v>
      </c>
      <c r="AG437">
        <v>-1.110124963713</v>
      </c>
      <c r="AH437">
        <v>48.696985386042002</v>
      </c>
      <c r="AI437">
        <v>91.305878408773196</v>
      </c>
      <c r="AJ437">
        <v>89.532239938294694</v>
      </c>
      <c r="AK437">
        <v>48.711259725322499</v>
      </c>
      <c r="AL437">
        <v>79.472746677523801</v>
      </c>
      <c r="AM437">
        <v>93.757277400138094</v>
      </c>
      <c r="AN437">
        <v>0.99999999948539198</v>
      </c>
    </row>
    <row r="438" spans="1:40" x14ac:dyDescent="0.25">
      <c r="A438" t="str">
        <f>"20190304155322523"</f>
        <v>20190304155322523</v>
      </c>
      <c r="B438" t="str">
        <f>"1551686002515765"</f>
        <v>1551686002515765</v>
      </c>
      <c r="C438" t="s">
        <v>40</v>
      </c>
      <c r="D438">
        <v>4.2881070000000001</v>
      </c>
      <c r="E438">
        <v>0.52513900000000002</v>
      </c>
      <c r="F438" t="s">
        <v>46</v>
      </c>
      <c r="G438">
        <v>-340.81990000000002</v>
      </c>
      <c r="H438" s="1">
        <v>-4.7984779999999997E-6</v>
      </c>
      <c r="I438">
        <v>366.9187</v>
      </c>
      <c r="J438">
        <v>-388.94940000000003</v>
      </c>
      <c r="K438">
        <v>1.1101350000000001</v>
      </c>
      <c r="L438">
        <v>367.4975</v>
      </c>
      <c r="M438">
        <v>0.99991850000000004</v>
      </c>
      <c r="N438">
        <v>-1.1882999999999999E-2</v>
      </c>
      <c r="O438">
        <v>-4.7061500000000001E-3</v>
      </c>
      <c r="P438">
        <v>0.98346529999999999</v>
      </c>
      <c r="Q438">
        <v>0.17081360000000001</v>
      </c>
      <c r="R438">
        <v>6.0159600000000001E-2</v>
      </c>
      <c r="S438">
        <v>3.0649410000000001</v>
      </c>
      <c r="T438">
        <v>-7.0318459999999999E-2</v>
      </c>
      <c r="U438">
        <v>-3.6743159999999997E-2</v>
      </c>
      <c r="V438">
        <v>-6.4757350000000005E-2</v>
      </c>
      <c r="W438">
        <v>0.1824955</v>
      </c>
      <c r="X438">
        <v>0.98107180000000005</v>
      </c>
      <c r="Y438">
        <v>7.2784540000000002E-3</v>
      </c>
      <c r="Z438" s="1">
        <v>-7.4703700000000001E-5</v>
      </c>
      <c r="AA438">
        <v>0.99997349999999996</v>
      </c>
      <c r="AB438">
        <v>25</v>
      </c>
      <c r="AC438">
        <v>48.1295</v>
      </c>
      <c r="AD438">
        <v>-1.1101397984779999</v>
      </c>
      <c r="AE438">
        <v>-0.57880000000000098</v>
      </c>
      <c r="AF438">
        <v>0.35208569871498802</v>
      </c>
      <c r="AG438">
        <v>-1.1101397984779999</v>
      </c>
      <c r="AH438">
        <v>48.106101067849004</v>
      </c>
      <c r="AI438">
        <v>91.321939081576801</v>
      </c>
      <c r="AJ438">
        <v>89.580663077551606</v>
      </c>
      <c r="AK438">
        <v>48.1201967437947</v>
      </c>
      <c r="AL438">
        <v>79.484850506048105</v>
      </c>
      <c r="AM438">
        <v>93.776429412233298</v>
      </c>
      <c r="AN438">
        <v>0.99999999932725603</v>
      </c>
    </row>
    <row r="439" spans="1:40" x14ac:dyDescent="0.25">
      <c r="A439" t="str">
        <f>"20190304155322542"</f>
        <v>20190304155322542</v>
      </c>
      <c r="B439" t="str">
        <f>"1551686002536261"</f>
        <v>1551686002536261</v>
      </c>
      <c r="C439" t="s">
        <v>40</v>
      </c>
      <c r="D439">
        <v>4.2759650000000002</v>
      </c>
      <c r="E439">
        <v>0.52493489999999998</v>
      </c>
      <c r="F439" t="s">
        <v>46</v>
      </c>
      <c r="G439">
        <v>-341.79719999999998</v>
      </c>
      <c r="H439" s="1">
        <v>-4.3292559999999998E-6</v>
      </c>
      <c r="I439">
        <v>366.95949999999999</v>
      </c>
      <c r="J439">
        <v>-388.72140000000002</v>
      </c>
      <c r="K439">
        <v>1.110134</v>
      </c>
      <c r="L439">
        <v>367.49639999999999</v>
      </c>
      <c r="M439">
        <v>0.99991859999999999</v>
      </c>
      <c r="N439">
        <v>-1.184523E-2</v>
      </c>
      <c r="O439">
        <v>-4.7721980000000001E-3</v>
      </c>
      <c r="P439">
        <v>0.98344520000000002</v>
      </c>
      <c r="Q439">
        <v>0.17083789999999999</v>
      </c>
      <c r="R439">
        <v>6.041871E-2</v>
      </c>
      <c r="S439">
        <v>3.0651250000000001</v>
      </c>
      <c r="T439">
        <v>-7.2164539999999999E-2</v>
      </c>
      <c r="U439">
        <v>-3.497314E-2</v>
      </c>
      <c r="V439">
        <v>-6.5081689999999998E-2</v>
      </c>
      <c r="W439">
        <v>0.18248239999999999</v>
      </c>
      <c r="X439">
        <v>0.98105279999999995</v>
      </c>
      <c r="Y439">
        <v>6.6344919999999996E-3</v>
      </c>
      <c r="Z439" s="1">
        <v>-6.1580839999999994E-5</v>
      </c>
      <c r="AA439">
        <v>0.99997800000000003</v>
      </c>
      <c r="AB439">
        <v>25</v>
      </c>
      <c r="AC439">
        <v>46.924199999999999</v>
      </c>
      <c r="AD439">
        <v>-1.1101383292560001</v>
      </c>
      <c r="AE439">
        <v>-0.53690000000000204</v>
      </c>
      <c r="AF439">
        <v>0.31277159561467999</v>
      </c>
      <c r="AG439">
        <v>-1.1101383292560001</v>
      </c>
      <c r="AH439">
        <v>46.8999811780809</v>
      </c>
      <c r="AI439">
        <v>91.355927029176996</v>
      </c>
      <c r="AJ439">
        <v>89.617905460300094</v>
      </c>
      <c r="AK439">
        <v>46.914160630724801</v>
      </c>
      <c r="AL439">
        <v>79.485614167804499</v>
      </c>
      <c r="AM439">
        <v>93.795361968814504</v>
      </c>
      <c r="AN439">
        <v>1.0000000245354199</v>
      </c>
    </row>
    <row r="440" spans="1:40" x14ac:dyDescent="0.25">
      <c r="A440" t="str">
        <f>"20190304155322565"</f>
        <v>20190304155322565</v>
      </c>
      <c r="B440" t="str">
        <f>"1551686002555786"</f>
        <v>1551686002555786</v>
      </c>
      <c r="C440" t="s">
        <v>40</v>
      </c>
      <c r="D440">
        <v>4.2702280000000004</v>
      </c>
      <c r="E440">
        <v>0.52478959999999997</v>
      </c>
      <c r="F440" t="s">
        <v>46</v>
      </c>
      <c r="G440">
        <v>-342.04160000000002</v>
      </c>
      <c r="H440" s="1">
        <v>-4.2073259999999998E-6</v>
      </c>
      <c r="I440">
        <v>366.99579999999997</v>
      </c>
      <c r="J440">
        <v>-388.4547</v>
      </c>
      <c r="K440">
        <v>1.1101289999999999</v>
      </c>
      <c r="L440">
        <v>367.495</v>
      </c>
      <c r="M440">
        <v>0.99991890000000005</v>
      </c>
      <c r="N440">
        <v>-1.178559E-2</v>
      </c>
      <c r="O440">
        <v>-4.8495630000000003E-3</v>
      </c>
      <c r="P440">
        <v>0.98348650000000004</v>
      </c>
      <c r="Q440">
        <v>0.17047599999999999</v>
      </c>
      <c r="R440">
        <v>6.0766260000000002E-2</v>
      </c>
      <c r="S440">
        <v>3.0651250000000001</v>
      </c>
      <c r="T440">
        <v>-7.2894689999999998E-2</v>
      </c>
      <c r="U440">
        <v>-3.2867430000000003E-2</v>
      </c>
      <c r="V440">
        <v>-6.5505560000000004E-2</v>
      </c>
      <c r="W440">
        <v>0.18206230000000001</v>
      </c>
      <c r="X440">
        <v>0.98110260000000005</v>
      </c>
      <c r="Y440">
        <v>5.870536E-3</v>
      </c>
      <c r="Z440" s="1">
        <v>-4.6238259999999998E-5</v>
      </c>
      <c r="AA440">
        <v>0.99998279999999995</v>
      </c>
      <c r="AB440">
        <v>25</v>
      </c>
      <c r="AC440">
        <v>46.413099999999901</v>
      </c>
      <c r="AD440">
        <v>-1.110133207326</v>
      </c>
      <c r="AE440">
        <v>-0.49920000000003001</v>
      </c>
      <c r="AF440">
        <v>0.27393856709104802</v>
      </c>
      <c r="AG440">
        <v>-1.110133207326</v>
      </c>
      <c r="AH440">
        <v>46.388439634519898</v>
      </c>
      <c r="AI440">
        <v>91.370873891885694</v>
      </c>
      <c r="AJ440">
        <v>89.661654036680304</v>
      </c>
      <c r="AK440">
        <v>46.402529778041703</v>
      </c>
      <c r="AL440">
        <v>79.510093799007393</v>
      </c>
      <c r="AM440">
        <v>93.819814472651899</v>
      </c>
      <c r="AN440">
        <v>0.999999985599481</v>
      </c>
    </row>
    <row r="441" spans="1:40" x14ac:dyDescent="0.25">
      <c r="A441" t="str">
        <f>"20190304155322587"</f>
        <v>20190304155322587</v>
      </c>
      <c r="B441" t="str">
        <f>"1551686002576277"</f>
        <v>1551686002576277</v>
      </c>
      <c r="C441" t="s">
        <v>40</v>
      </c>
      <c r="D441">
        <v>4.3242399999999996</v>
      </c>
      <c r="E441">
        <v>0.52473559999999997</v>
      </c>
      <c r="F441" t="s">
        <v>46</v>
      </c>
      <c r="G441">
        <v>-343.06779999999998</v>
      </c>
      <c r="H441" s="1">
        <v>-3.7141409999999998E-6</v>
      </c>
      <c r="I441">
        <v>367.04129999999998</v>
      </c>
      <c r="J441">
        <v>-388.20850000000002</v>
      </c>
      <c r="K441">
        <v>1.1101209999999999</v>
      </c>
      <c r="L441">
        <v>367.49369999999999</v>
      </c>
      <c r="M441">
        <v>0.99991940000000001</v>
      </c>
      <c r="N441">
        <v>-1.171765E-2</v>
      </c>
      <c r="O441">
        <v>-4.9212769999999999E-3</v>
      </c>
      <c r="P441">
        <v>0.98359160000000001</v>
      </c>
      <c r="Q441">
        <v>0.1699582</v>
      </c>
      <c r="R441">
        <v>6.0515999999999903E-2</v>
      </c>
      <c r="S441">
        <v>3.0653079999999999</v>
      </c>
      <c r="T441">
        <v>-7.497537E-2</v>
      </c>
      <c r="U441">
        <v>-3.0639650000000001E-2</v>
      </c>
      <c r="V441">
        <v>-6.5326529999999994E-2</v>
      </c>
      <c r="W441">
        <v>0.18147940000000001</v>
      </c>
      <c r="X441">
        <v>0.9812225</v>
      </c>
      <c r="Y441">
        <v>5.0717849999999997E-3</v>
      </c>
      <c r="Z441" s="1">
        <v>-2.9051780000000001E-5</v>
      </c>
      <c r="AA441">
        <v>0.99998710000000002</v>
      </c>
      <c r="AB441">
        <v>25</v>
      </c>
      <c r="AC441">
        <v>45.140700000000002</v>
      </c>
      <c r="AD441">
        <v>-1.110124714141</v>
      </c>
      <c r="AE441">
        <v>-0.45240000000001102</v>
      </c>
      <c r="AF441">
        <v>0.23009027313234001</v>
      </c>
      <c r="AG441">
        <v>-1.110124714141</v>
      </c>
      <c r="AH441">
        <v>45.115097261650597</v>
      </c>
      <c r="AI441">
        <v>91.409545925920199</v>
      </c>
      <c r="AJ441">
        <v>89.707789896113695</v>
      </c>
      <c r="AK441">
        <v>45.129339894828099</v>
      </c>
      <c r="AL441">
        <v>79.544057054246906</v>
      </c>
      <c r="AM441">
        <v>93.808941389401596</v>
      </c>
      <c r="AN441">
        <v>0.99999996132622404</v>
      </c>
    </row>
    <row r="442" spans="1:40" x14ac:dyDescent="0.25">
      <c r="A442" t="str">
        <f>"20190304155322609"</f>
        <v>20190304155322609</v>
      </c>
      <c r="B442" t="str">
        <f>"1551686002606533"</f>
        <v>1551686002606533</v>
      </c>
      <c r="C442" t="s">
        <v>40</v>
      </c>
      <c r="D442">
        <v>4.2530710000000003</v>
      </c>
      <c r="E442">
        <v>0.52471999999999996</v>
      </c>
      <c r="F442" t="s">
        <v>46</v>
      </c>
      <c r="G442">
        <v>-343.78550000000001</v>
      </c>
      <c r="H442" s="1">
        <v>-3.3745749999999998E-6</v>
      </c>
      <c r="I442">
        <v>367.04309999999998</v>
      </c>
      <c r="J442">
        <v>-387.9658</v>
      </c>
      <c r="K442">
        <v>1.1101080000000001</v>
      </c>
      <c r="L442">
        <v>367.49250000000001</v>
      </c>
      <c r="M442">
        <v>0.99991980000000003</v>
      </c>
      <c r="N442">
        <v>-1.1639389999999999E-2</v>
      </c>
      <c r="O442">
        <v>-4.9916250000000004E-3</v>
      </c>
      <c r="P442">
        <v>0.98368829999999996</v>
      </c>
      <c r="Q442">
        <v>0.16953170000000001</v>
      </c>
      <c r="R442">
        <v>6.0135220000000003E-2</v>
      </c>
      <c r="S442">
        <v>3.0651860000000002</v>
      </c>
      <c r="T442">
        <v>-7.6598639999999996E-2</v>
      </c>
      <c r="U442">
        <v>-3.1097409999999999E-2</v>
      </c>
      <c r="V442">
        <v>-6.5015409999999996E-2</v>
      </c>
      <c r="W442">
        <v>0.18097669999999999</v>
      </c>
      <c r="X442">
        <v>0.98133610000000004</v>
      </c>
      <c r="Y442">
        <v>5.1510929999999998E-3</v>
      </c>
      <c r="Z442" s="1">
        <v>-2.7716740000000001E-5</v>
      </c>
      <c r="AA442">
        <v>0.99998670000000001</v>
      </c>
      <c r="AB442">
        <v>25</v>
      </c>
      <c r="AC442">
        <v>44.180299999999903</v>
      </c>
      <c r="AD442">
        <v>-1.110111374575</v>
      </c>
      <c r="AE442">
        <v>-0.449400000000025</v>
      </c>
      <c r="AF442">
        <v>0.22870359156872899</v>
      </c>
      <c r="AG442">
        <v>-1.110111374575</v>
      </c>
      <c r="AH442">
        <v>44.154118726821601</v>
      </c>
      <c r="AI442">
        <v>91.4401928775752</v>
      </c>
      <c r="AJ442">
        <v>89.703229647663207</v>
      </c>
      <c r="AK442">
        <v>44.168663701078998</v>
      </c>
      <c r="AL442">
        <v>79.573345604949395</v>
      </c>
      <c r="AM442">
        <v>93.790416633216907</v>
      </c>
      <c r="AN442">
        <v>1.00000005532178</v>
      </c>
    </row>
    <row r="443" spans="1:40" x14ac:dyDescent="0.25">
      <c r="A443" t="str">
        <f>"20190304155322631"</f>
        <v>20190304155322631</v>
      </c>
      <c r="B443" t="str">
        <f>"1551686002626053"</f>
        <v>1551686002626053</v>
      </c>
      <c r="C443" t="s">
        <v>40</v>
      </c>
      <c r="D443">
        <v>4.2633609999999997</v>
      </c>
      <c r="E443">
        <v>0.52458479999999996</v>
      </c>
      <c r="F443" t="s">
        <v>46</v>
      </c>
      <c r="G443">
        <v>-345.18699999999899</v>
      </c>
      <c r="H443" s="1">
        <v>-2.7122870000000001E-6</v>
      </c>
      <c r="I443">
        <v>367.0419</v>
      </c>
      <c r="J443">
        <v>-387.70269999999999</v>
      </c>
      <c r="K443">
        <v>1.110096</v>
      </c>
      <c r="L443">
        <v>367.49099999999999</v>
      </c>
      <c r="M443">
        <v>0.99992049999999999</v>
      </c>
      <c r="N443">
        <v>-1.154412E-2</v>
      </c>
      <c r="O443">
        <v>-5.0686719999999998E-3</v>
      </c>
      <c r="P443">
        <v>0.98382550000000002</v>
      </c>
      <c r="Q443">
        <v>0.16894310000000001</v>
      </c>
      <c r="R443">
        <v>5.9546450000000001E-2</v>
      </c>
      <c r="S443">
        <v>3.0654300000000001</v>
      </c>
      <c r="T443">
        <v>-7.9547880000000001E-2</v>
      </c>
      <c r="U443">
        <v>-3.22876E-2</v>
      </c>
      <c r="V443">
        <v>-6.4503270000000001E-2</v>
      </c>
      <c r="W443">
        <v>0.18029619999999999</v>
      </c>
      <c r="X443">
        <v>0.98149509999999995</v>
      </c>
      <c r="Y443">
        <v>5.461235E-3</v>
      </c>
      <c r="Z443" s="1">
        <v>-2.9381620000000001E-5</v>
      </c>
      <c r="AA443">
        <v>0.99998509999999996</v>
      </c>
      <c r="AB443">
        <v>25</v>
      </c>
      <c r="AC443">
        <v>42.515700000000002</v>
      </c>
      <c r="AD443">
        <v>-1.1100987122870001</v>
      </c>
      <c r="AE443">
        <v>-0.44909999999998701</v>
      </c>
      <c r="AF443">
        <v>0.23342260951900001</v>
      </c>
      <c r="AG443">
        <v>-1.1100987122870001</v>
      </c>
      <c r="AH443">
        <v>42.488467031780701</v>
      </c>
      <c r="AI443">
        <v>91.496607191220093</v>
      </c>
      <c r="AJ443">
        <v>89.685232328823005</v>
      </c>
      <c r="AK443">
        <v>42.503607328982902</v>
      </c>
      <c r="AL443">
        <v>79.612987032447705</v>
      </c>
      <c r="AM443">
        <v>93.760037276704793</v>
      </c>
      <c r="AN443">
        <v>1.00000001144957</v>
      </c>
    </row>
    <row r="444" spans="1:40" x14ac:dyDescent="0.25">
      <c r="A444" t="str">
        <f>"20190304155322655"</f>
        <v>20190304155322655</v>
      </c>
      <c r="B444" t="str">
        <f>"1551686002646549"</f>
        <v>1551686002646549</v>
      </c>
      <c r="C444" t="s">
        <v>40</v>
      </c>
      <c r="D444">
        <v>4.2432869999999996</v>
      </c>
      <c r="E444">
        <v>0.52452639999999995</v>
      </c>
      <c r="F444" t="s">
        <v>46</v>
      </c>
      <c r="G444">
        <v>-346.1472</v>
      </c>
      <c r="H444" s="1">
        <v>-2.2580050000000002E-6</v>
      </c>
      <c r="I444">
        <v>367.04419999999999</v>
      </c>
      <c r="J444">
        <v>-387.44040000000001</v>
      </c>
      <c r="K444">
        <v>1.1100829999999999</v>
      </c>
      <c r="L444">
        <v>367.4896</v>
      </c>
      <c r="M444">
        <v>0.99992139999999996</v>
      </c>
      <c r="N444">
        <v>-1.144362E-2</v>
      </c>
      <c r="O444">
        <v>-5.1452199999999998E-3</v>
      </c>
      <c r="P444">
        <v>0.98385389999999995</v>
      </c>
      <c r="Q444">
        <v>0.16900770000000001</v>
      </c>
      <c r="R444">
        <v>5.8890539999999998E-2</v>
      </c>
      <c r="S444">
        <v>3.0654300000000001</v>
      </c>
      <c r="T444">
        <v>-8.1888680000000005E-2</v>
      </c>
      <c r="U444">
        <v>-3.2958979999999999E-2</v>
      </c>
      <c r="V444">
        <v>-6.3922380000000001E-2</v>
      </c>
      <c r="W444">
        <v>0.18026249999999999</v>
      </c>
      <c r="X444">
        <v>0.9815393</v>
      </c>
      <c r="Y444">
        <v>5.6035549999999996E-3</v>
      </c>
      <c r="Z444" s="1">
        <v>-2.8359989999999999E-5</v>
      </c>
      <c r="AA444">
        <v>0.99998430000000005</v>
      </c>
      <c r="AB444">
        <v>25</v>
      </c>
      <c r="AC444">
        <v>41.293199999999999</v>
      </c>
      <c r="AD444">
        <v>-1.110085258005</v>
      </c>
      <c r="AE444">
        <v>-0.44540000000000601</v>
      </c>
      <c r="AF444">
        <v>0.23274942962005099</v>
      </c>
      <c r="AG444">
        <v>-1.110085258005</v>
      </c>
      <c r="AH444">
        <v>41.265126503766297</v>
      </c>
      <c r="AI444">
        <v>91.540934403635006</v>
      </c>
      <c r="AJ444">
        <v>89.676835630540793</v>
      </c>
      <c r="AK444">
        <v>41.280711318348899</v>
      </c>
      <c r="AL444">
        <v>79.614950137687103</v>
      </c>
      <c r="AM444">
        <v>93.726104428359903</v>
      </c>
      <c r="AN444">
        <v>1.0000000185078</v>
      </c>
    </row>
    <row r="445" spans="1:40" x14ac:dyDescent="0.25">
      <c r="A445" t="str">
        <f>"20190304155322675"</f>
        <v>20190304155322675</v>
      </c>
      <c r="B445" t="str">
        <f>"1551686002666073"</f>
        <v>1551686002666073</v>
      </c>
      <c r="C445" t="s">
        <v>40</v>
      </c>
      <c r="D445">
        <v>4.4362700000000004</v>
      </c>
      <c r="E445">
        <v>0.52446159999999997</v>
      </c>
      <c r="F445" t="s">
        <v>46</v>
      </c>
      <c r="G445">
        <v>-345.7867</v>
      </c>
      <c r="H445" s="1">
        <v>-2.4311049999999998E-6</v>
      </c>
      <c r="I445">
        <v>367.02890000000002</v>
      </c>
      <c r="J445">
        <v>-387.20339999999999</v>
      </c>
      <c r="K445">
        <v>1.110077</v>
      </c>
      <c r="L445">
        <v>367.48829999999998</v>
      </c>
      <c r="M445">
        <v>0.99992199999999998</v>
      </c>
      <c r="N445">
        <v>-1.1351709999999999E-2</v>
      </c>
      <c r="O445">
        <v>-5.2140720000000002E-3</v>
      </c>
      <c r="P445">
        <v>0.98389329999999997</v>
      </c>
      <c r="Q445">
        <v>0.16902679999999901</v>
      </c>
      <c r="R445">
        <v>5.8170479999999997E-2</v>
      </c>
      <c r="S445">
        <v>3.065277</v>
      </c>
      <c r="T445">
        <v>-8.1690670000000007E-2</v>
      </c>
      <c r="U445">
        <v>-3.3905030000000003E-2</v>
      </c>
      <c r="V445">
        <v>-6.3270290000000007E-2</v>
      </c>
      <c r="W445">
        <v>0.18019160000000001</v>
      </c>
      <c r="X445">
        <v>0.98159459999999998</v>
      </c>
      <c r="Y445">
        <v>5.8437350000000001E-3</v>
      </c>
      <c r="Z445" s="1">
        <v>-3.1288119999999998E-5</v>
      </c>
      <c r="AA445">
        <v>0.99998299999999996</v>
      </c>
      <c r="AB445">
        <v>25</v>
      </c>
      <c r="AC445">
        <v>41.416699999999899</v>
      </c>
      <c r="AD445">
        <v>-1.110079431105</v>
      </c>
      <c r="AE445">
        <v>-0.45939999999995901</v>
      </c>
      <c r="AF445">
        <v>0.243255459779916</v>
      </c>
      <c r="AG445">
        <v>-1.110079431105</v>
      </c>
      <c r="AH445">
        <v>41.388803005434802</v>
      </c>
      <c r="AI445">
        <v>91.536321894062496</v>
      </c>
      <c r="AJ445">
        <v>89.663257941780302</v>
      </c>
      <c r="AK445">
        <v>41.404401502554897</v>
      </c>
      <c r="AL445">
        <v>79.619080371391604</v>
      </c>
      <c r="AM445">
        <v>93.687991645439695</v>
      </c>
      <c r="AN445">
        <v>1.0000000505282001</v>
      </c>
    </row>
    <row r="446" spans="1:40" x14ac:dyDescent="0.25">
      <c r="A446" t="str">
        <f>"20190304155322710"</f>
        <v>20190304155322710</v>
      </c>
      <c r="B446" t="str">
        <f>"1551686002706086"</f>
        <v>1551686002706086</v>
      </c>
      <c r="C446" t="s">
        <v>40</v>
      </c>
      <c r="D446">
        <v>4.2530809999999999</v>
      </c>
      <c r="E446">
        <v>0.52073440000000004</v>
      </c>
      <c r="F446" t="s">
        <v>46</v>
      </c>
      <c r="G446">
        <v>-345.5224</v>
      </c>
      <c r="H446" s="1">
        <v>-2.5609069999999999E-6</v>
      </c>
      <c r="I446">
        <v>367.0016</v>
      </c>
      <c r="J446">
        <v>-386.8032</v>
      </c>
      <c r="K446">
        <v>1.11006</v>
      </c>
      <c r="L446">
        <v>367.48610000000002</v>
      </c>
      <c r="M446">
        <v>0.99992309999999995</v>
      </c>
      <c r="N446">
        <v>-1.1200999999999999E-2</v>
      </c>
      <c r="O446">
        <v>-5.3307569999999898E-3</v>
      </c>
      <c r="P446">
        <v>0.98384179999999999</v>
      </c>
      <c r="Q446">
        <v>0.16951329999999901</v>
      </c>
      <c r="R446">
        <v>5.7623420000000002E-2</v>
      </c>
      <c r="S446">
        <v>3.0652469999999998</v>
      </c>
      <c r="T446">
        <v>-8.1635830000000006E-2</v>
      </c>
      <c r="U446">
        <v>-3.5797120000000002E-2</v>
      </c>
      <c r="V446">
        <v>-6.2837580000000004E-2</v>
      </c>
      <c r="W446">
        <v>0.18052979999999999</v>
      </c>
      <c r="X446">
        <v>0.98156019999999999</v>
      </c>
      <c r="Y446">
        <v>6.3441299999999999E-3</v>
      </c>
      <c r="Z446" s="1">
        <v>-3.7767659999999998E-5</v>
      </c>
      <c r="AA446">
        <v>0.99997990000000003</v>
      </c>
      <c r="AB446">
        <v>25</v>
      </c>
      <c r="AC446">
        <v>41.280799999999999</v>
      </c>
      <c r="AD446">
        <v>-1.1100625609070001</v>
      </c>
      <c r="AE446">
        <v>-0.48450000000002502</v>
      </c>
      <c r="AF446">
        <v>0.26423036628914798</v>
      </c>
      <c r="AG446">
        <v>-1.1100625609070001</v>
      </c>
      <c r="AH446">
        <v>41.252970360700402</v>
      </c>
      <c r="AI446">
        <v>91.541349660288205</v>
      </c>
      <c r="AJ446">
        <v>89.633018479699402</v>
      </c>
      <c r="AK446">
        <v>41.268748710815302</v>
      </c>
      <c r="AL446">
        <v>79.599379311457</v>
      </c>
      <c r="AM446">
        <v>93.662966127968303</v>
      </c>
      <c r="AN446">
        <v>0.99999999818616803</v>
      </c>
    </row>
    <row r="447" spans="1:40" x14ac:dyDescent="0.25">
      <c r="A447" t="str">
        <f>"20190304155322732"</f>
        <v>20190304155322732</v>
      </c>
      <c r="B447" t="str">
        <f>"1551686002726581"</f>
        <v>1551686002726581</v>
      </c>
      <c r="C447" t="s">
        <v>40</v>
      </c>
      <c r="D447">
        <v>4.2364579999999998</v>
      </c>
      <c r="E447">
        <v>0.52045509999999995</v>
      </c>
      <c r="F447" t="s">
        <v>46</v>
      </c>
      <c r="G447">
        <v>-343.39089999999999</v>
      </c>
      <c r="H447" s="1">
        <v>-3.4991760000000001E-6</v>
      </c>
      <c r="I447">
        <v>367.3922</v>
      </c>
      <c r="J447">
        <v>-386.55430000000001</v>
      </c>
      <c r="K447">
        <v>1.1100490000000001</v>
      </c>
      <c r="L447">
        <v>367.48469999999998</v>
      </c>
      <c r="M447">
        <v>0.99992360000000002</v>
      </c>
      <c r="N447">
        <v>-1.111467E-2</v>
      </c>
      <c r="O447">
        <v>-5.4032280000000004E-3</v>
      </c>
      <c r="P447">
        <v>0.9840255</v>
      </c>
      <c r="Q447">
        <v>0.16854379999999999</v>
      </c>
      <c r="R447">
        <v>5.7330319999999997E-2</v>
      </c>
      <c r="S447">
        <v>3.06311</v>
      </c>
      <c r="T447">
        <v>-7.8324439999999995E-2</v>
      </c>
      <c r="U447">
        <v>-6.6223139999999998E-3</v>
      </c>
      <c r="V447">
        <v>-6.2616740000000004E-2</v>
      </c>
      <c r="W447">
        <v>0.17947769999999999</v>
      </c>
      <c r="X447">
        <v>0.98176719999999895</v>
      </c>
      <c r="Y447">
        <v>-3.2395459999999998E-3</v>
      </c>
      <c r="Z447">
        <v>1.3750589999999999E-4</v>
      </c>
      <c r="AA447">
        <v>0.99999479999999996</v>
      </c>
      <c r="AB447">
        <v>26</v>
      </c>
      <c r="AC447">
        <v>43.163400000000003</v>
      </c>
      <c r="AD447">
        <v>-1.1100524991759999</v>
      </c>
      <c r="AE447">
        <v>-9.2499999999972701E-2</v>
      </c>
      <c r="AF447">
        <v>-0.14064443625506801</v>
      </c>
      <c r="AG447">
        <v>-1.1100524991759999</v>
      </c>
      <c r="AH447">
        <v>43.134741040161003</v>
      </c>
      <c r="AI447">
        <v>91.474147035245807</v>
      </c>
      <c r="AJ447">
        <v>90.186817026325798</v>
      </c>
      <c r="AK447">
        <v>43.149251233481699</v>
      </c>
      <c r="AL447">
        <v>79.660660871226099</v>
      </c>
      <c r="AM447">
        <v>93.649360125111897</v>
      </c>
      <c r="AN447">
        <v>0.99999996796067803</v>
      </c>
    </row>
    <row r="448" spans="1:40" x14ac:dyDescent="0.25">
      <c r="A448" t="str">
        <f>"20190304155322754"</f>
        <v>20190304155322754</v>
      </c>
      <c r="B448" t="str">
        <f>"1551686002746101"</f>
        <v>1551686002746101</v>
      </c>
      <c r="C448" t="s">
        <v>40</v>
      </c>
      <c r="D448">
        <v>4.2213430000000001</v>
      </c>
      <c r="E448">
        <v>0.52042900000000003</v>
      </c>
      <c r="F448" t="s">
        <v>46</v>
      </c>
      <c r="G448">
        <v>-344.2303</v>
      </c>
      <c r="H448" s="1">
        <v>-3.1000489999999998E-6</v>
      </c>
      <c r="I448">
        <v>367.40550000000002</v>
      </c>
      <c r="J448">
        <v>-386.29520000000002</v>
      </c>
      <c r="K448">
        <v>1.110042</v>
      </c>
      <c r="L448">
        <v>367.48320000000001</v>
      </c>
      <c r="M448">
        <v>0.99992409999999998</v>
      </c>
      <c r="N448">
        <v>-1.103347E-2</v>
      </c>
      <c r="O448">
        <v>-5.4790689999999996E-3</v>
      </c>
      <c r="P448">
        <v>0.98406519999999997</v>
      </c>
      <c r="Q448">
        <v>0.16841639999999999</v>
      </c>
      <c r="R448">
        <v>5.7022339999999998E-2</v>
      </c>
      <c r="S448">
        <v>3.062805</v>
      </c>
      <c r="T448">
        <v>-8.0329659999999997E-2</v>
      </c>
      <c r="U448">
        <v>-5.7373049999999998E-3</v>
      </c>
      <c r="V448">
        <v>-6.2383189999999998E-2</v>
      </c>
      <c r="W448">
        <v>0.1792704</v>
      </c>
      <c r="X448">
        <v>0.98182000000000003</v>
      </c>
      <c r="Y448">
        <v>-3.603813E-3</v>
      </c>
      <c r="Z448">
        <v>1.5036539999999999E-4</v>
      </c>
      <c r="AA448">
        <v>0.99999349999999998</v>
      </c>
      <c r="AB448">
        <v>26</v>
      </c>
      <c r="AC448">
        <v>42.064900000000002</v>
      </c>
      <c r="AD448">
        <v>-1.1100451000489999</v>
      </c>
      <c r="AE448">
        <v>-7.7699999999992997E-2</v>
      </c>
      <c r="AF448">
        <v>-0.15268536481676501</v>
      </c>
      <c r="AG448">
        <v>-1.1100451000489999</v>
      </c>
      <c r="AH448">
        <v>42.035422063357302</v>
      </c>
      <c r="AI448">
        <v>91.512669531573707</v>
      </c>
      <c r="AJ448">
        <v>90.208114682682094</v>
      </c>
      <c r="AK448">
        <v>42.050353399101901</v>
      </c>
      <c r="AL448">
        <v>79.672734704455706</v>
      </c>
      <c r="AM448">
        <v>93.635590199062705</v>
      </c>
      <c r="AN448">
        <v>1.0000000255553601</v>
      </c>
    </row>
    <row r="449" spans="1:40" x14ac:dyDescent="0.25">
      <c r="A449" t="str">
        <f>"20190304155322777"</f>
        <v>20190304155322777</v>
      </c>
      <c r="B449" t="str">
        <f>"1551686002766600"</f>
        <v>1551686002766600</v>
      </c>
      <c r="C449" t="s">
        <v>40</v>
      </c>
      <c r="D449">
        <v>4.2958769999999999</v>
      </c>
      <c r="E449">
        <v>0.52006589999999997</v>
      </c>
      <c r="F449" t="s">
        <v>46</v>
      </c>
      <c r="G449">
        <v>-344.48360000000002</v>
      </c>
      <c r="H449" s="1">
        <v>-2.9817030000000001E-6</v>
      </c>
      <c r="I449">
        <v>367.3974</v>
      </c>
      <c r="J449">
        <v>-386.0428</v>
      </c>
      <c r="K449">
        <v>1.110036</v>
      </c>
      <c r="L449">
        <v>367.48180000000002</v>
      </c>
      <c r="M449">
        <v>0.99992460000000005</v>
      </c>
      <c r="N449">
        <v>-1.096309E-2</v>
      </c>
      <c r="O449">
        <v>-5.5519929999999999E-3</v>
      </c>
      <c r="P449">
        <v>0.98390440000000001</v>
      </c>
      <c r="Q449">
        <v>0.16939789999999999</v>
      </c>
      <c r="R449">
        <v>5.6892709999999999E-2</v>
      </c>
      <c r="S449">
        <v>3.0628660000000001</v>
      </c>
      <c r="T449">
        <v>-8.1315280000000004E-2</v>
      </c>
      <c r="U449">
        <v>-6.286621E-3</v>
      </c>
      <c r="V449">
        <v>-6.232443E-2</v>
      </c>
      <c r="W449">
        <v>0.18018129999999999</v>
      </c>
      <c r="X449">
        <v>0.981657</v>
      </c>
      <c r="Y449">
        <v>-3.4974070000000001E-3</v>
      </c>
      <c r="Z449">
        <v>1.5210309999999901E-4</v>
      </c>
      <c r="AA449">
        <v>0.99999389999999999</v>
      </c>
      <c r="AB449">
        <v>26</v>
      </c>
      <c r="AC449">
        <v>41.559199999999898</v>
      </c>
      <c r="AD449">
        <v>-1.1100389817030001</v>
      </c>
      <c r="AE449">
        <v>-8.4400000000016406E-2</v>
      </c>
      <c r="AF449">
        <v>-0.14624719590179799</v>
      </c>
      <c r="AG449">
        <v>-1.1100389817030001</v>
      </c>
      <c r="AH449">
        <v>41.529400445214698</v>
      </c>
      <c r="AI449">
        <v>91.531084346051401</v>
      </c>
      <c r="AJ449">
        <v>90.201768201881805</v>
      </c>
      <c r="AK449">
        <v>41.5444903220897</v>
      </c>
      <c r="AL449">
        <v>79.619680338051396</v>
      </c>
      <c r="AM449">
        <v>93.632776426350503</v>
      </c>
      <c r="AN449">
        <v>1.0000000505467499</v>
      </c>
    </row>
    <row r="450" spans="1:40" x14ac:dyDescent="0.25">
      <c r="A450" t="str">
        <f>"20190304155322798"</f>
        <v>20190304155322798</v>
      </c>
      <c r="B450" t="str">
        <f>"1551686002795879"</f>
        <v>1551686002795879</v>
      </c>
      <c r="C450" t="s">
        <v>40</v>
      </c>
      <c r="D450">
        <v>4.3044180000000001</v>
      </c>
      <c r="E450">
        <v>0.48688890000000001</v>
      </c>
      <c r="F450" t="s">
        <v>46</v>
      </c>
      <c r="G450">
        <v>-343.5274</v>
      </c>
      <c r="H450" s="1">
        <v>-3.4274820000000001E-6</v>
      </c>
      <c r="I450">
        <v>367.43259999999998</v>
      </c>
      <c r="J450">
        <v>-385.79309999999998</v>
      </c>
      <c r="K450">
        <v>1.1100369999999999</v>
      </c>
      <c r="L450">
        <v>367.4803</v>
      </c>
      <c r="M450">
        <v>0.99992479999999995</v>
      </c>
      <c r="N450">
        <v>-1.09015E-2</v>
      </c>
      <c r="O450">
        <v>-5.6231730000000004E-3</v>
      </c>
      <c r="P450">
        <v>0.9838015</v>
      </c>
      <c r="Q450">
        <v>0.16996349999999999</v>
      </c>
      <c r="R450">
        <v>5.6984020000000003E-2</v>
      </c>
      <c r="S450">
        <v>3.0630190000000002</v>
      </c>
      <c r="T450">
        <v>-7.9972619999999994E-2</v>
      </c>
      <c r="U450">
        <v>-3.540039E-3</v>
      </c>
      <c r="V450">
        <v>-6.248567E-2</v>
      </c>
      <c r="W450">
        <v>0.18068500000000001</v>
      </c>
      <c r="X450">
        <v>0.98155409999999998</v>
      </c>
      <c r="Y450">
        <v>-4.4649809999999998E-3</v>
      </c>
      <c r="Z450">
        <v>1.681156E-4</v>
      </c>
      <c r="AA450">
        <v>0.99999000000000005</v>
      </c>
      <c r="AB450">
        <v>26</v>
      </c>
      <c r="AC450">
        <v>42.265699999999903</v>
      </c>
      <c r="AD450">
        <v>-1.1100404274819999</v>
      </c>
      <c r="AE450">
        <v>-4.7700000000020198E-2</v>
      </c>
      <c r="AF450">
        <v>-0.18985126026042901</v>
      </c>
      <c r="AG450">
        <v>-1.1100404274819999</v>
      </c>
      <c r="AH450">
        <v>42.236166921222399</v>
      </c>
      <c r="AI450">
        <v>91.505471651025104</v>
      </c>
      <c r="AJ450">
        <v>90.257542373774996</v>
      </c>
      <c r="AK450">
        <v>42.251177846884097</v>
      </c>
      <c r="AL450">
        <v>79.590338240654702</v>
      </c>
      <c r="AM450">
        <v>93.642530336559005</v>
      </c>
      <c r="AN450">
        <v>0.99999998970357895</v>
      </c>
    </row>
    <row r="451" spans="1:40" x14ac:dyDescent="0.25">
      <c r="A451" t="str">
        <f>"20190304155322823"</f>
        <v>20190304155322823</v>
      </c>
      <c r="B451" t="str">
        <f>"1551686002816373"</f>
        <v>1551686002816373</v>
      </c>
      <c r="C451" t="s">
        <v>40</v>
      </c>
      <c r="D451">
        <v>4.3108219999999999</v>
      </c>
      <c r="E451">
        <v>0.48465639999999999</v>
      </c>
      <c r="F451" t="s">
        <v>46</v>
      </c>
      <c r="G451">
        <v>-357.26260000000002</v>
      </c>
      <c r="H451" s="1">
        <v>-1.2357219999999899E-6</v>
      </c>
      <c r="I451">
        <v>369.9135</v>
      </c>
      <c r="J451">
        <v>-385.52719999999999</v>
      </c>
      <c r="K451">
        <v>1.1100319999999999</v>
      </c>
      <c r="L451">
        <v>367.4787</v>
      </c>
      <c r="M451">
        <v>0.99992499999999995</v>
      </c>
      <c r="N451">
        <v>-1.084104E-2</v>
      </c>
      <c r="O451">
        <v>-5.6987679999999999E-3</v>
      </c>
      <c r="P451">
        <v>0.98381169999999996</v>
      </c>
      <c r="Q451">
        <v>0.169798799999999</v>
      </c>
      <c r="R451">
        <v>5.7299040000000002E-2</v>
      </c>
      <c r="S451">
        <v>3.05484</v>
      </c>
      <c r="T451">
        <v>-0.1188544</v>
      </c>
      <c r="U451">
        <v>0.2605286</v>
      </c>
      <c r="V451">
        <v>-6.2874899999999997E-2</v>
      </c>
      <c r="W451">
        <v>0.1804608</v>
      </c>
      <c r="X451">
        <v>0.98157050000000001</v>
      </c>
      <c r="Y451">
        <v>-9.0563160000000004E-2</v>
      </c>
      <c r="Z451">
        <v>2.4095520000000001E-3</v>
      </c>
      <c r="AA451">
        <v>0.99588779999999999</v>
      </c>
      <c r="AB451">
        <v>26</v>
      </c>
      <c r="AC451">
        <v>28.264599999999898</v>
      </c>
      <c r="AD451">
        <v>-1.110033235722</v>
      </c>
      <c r="AE451">
        <v>2.4347999999999899</v>
      </c>
      <c r="AF451">
        <v>-2.5918751590839699</v>
      </c>
      <c r="AG451">
        <v>-1.110033235722</v>
      </c>
      <c r="AH451">
        <v>28.207079743172301</v>
      </c>
      <c r="AI451">
        <v>92.244153610943499</v>
      </c>
      <c r="AJ451">
        <v>95.250017397142798</v>
      </c>
      <c r="AK451">
        <v>28.347651371187101</v>
      </c>
      <c r="AL451">
        <v>79.603398754209096</v>
      </c>
      <c r="AM451">
        <v>93.665097324974795</v>
      </c>
      <c r="AN451">
        <v>0.99999999992845001</v>
      </c>
    </row>
    <row r="452" spans="1:40" x14ac:dyDescent="0.25">
      <c r="A452" t="str">
        <f>"20190304155322844"</f>
        <v>20190304155322844</v>
      </c>
      <c r="B452" t="str">
        <f>"1551686002835897"</f>
        <v>1551686002835897</v>
      </c>
      <c r="C452" t="s">
        <v>40</v>
      </c>
      <c r="D452">
        <v>4.3282109999999996</v>
      </c>
      <c r="E452">
        <v>0.48362830000000001</v>
      </c>
      <c r="F452" t="s">
        <v>46</v>
      </c>
      <c r="G452">
        <v>-355.69850000000002</v>
      </c>
      <c r="H452" s="1">
        <v>-1.9854059999999998E-6</v>
      </c>
      <c r="I452">
        <v>370.20920000000001</v>
      </c>
      <c r="J452">
        <v>-385.2697</v>
      </c>
      <c r="K452">
        <v>1.110025</v>
      </c>
      <c r="L452">
        <v>367.47710000000001</v>
      </c>
      <c r="M452">
        <v>0.99992519999999996</v>
      </c>
      <c r="N452">
        <v>-1.078547E-2</v>
      </c>
      <c r="O452">
        <v>-5.7712919999999999E-3</v>
      </c>
      <c r="P452">
        <v>0.98392329999999995</v>
      </c>
      <c r="Q452">
        <v>0.1689985</v>
      </c>
      <c r="R452">
        <v>5.7746310000000002E-2</v>
      </c>
      <c r="S452">
        <v>3.0527340000000001</v>
      </c>
      <c r="T452">
        <v>-0.11360290000000001</v>
      </c>
      <c r="U452">
        <v>0.27944950000000002</v>
      </c>
      <c r="V452">
        <v>-6.3394190000000003E-2</v>
      </c>
      <c r="W452">
        <v>0.17960770000000001</v>
      </c>
      <c r="X452">
        <v>0.98169360000000006</v>
      </c>
      <c r="Y452">
        <v>-9.6817760000000003E-2</v>
      </c>
      <c r="Z452">
        <v>2.4726969999999998E-3</v>
      </c>
      <c r="AA452">
        <v>0.99529900000000004</v>
      </c>
      <c r="AB452">
        <v>26</v>
      </c>
      <c r="AC452">
        <v>29.571199999999902</v>
      </c>
      <c r="AD452">
        <v>-1.1100269854060001</v>
      </c>
      <c r="AE452">
        <v>2.7321</v>
      </c>
      <c r="AF452">
        <v>-2.8986786083543401</v>
      </c>
      <c r="AG452">
        <v>-1.1100269854060001</v>
      </c>
      <c r="AH452">
        <v>29.513704227509901</v>
      </c>
      <c r="AI452">
        <v>92.143606967051298</v>
      </c>
      <c r="AJ452">
        <v>95.609296037093699</v>
      </c>
      <c r="AK452">
        <v>29.676476118498201</v>
      </c>
      <c r="AL452">
        <v>79.653090103974407</v>
      </c>
      <c r="AM452">
        <v>93.694822106927205</v>
      </c>
      <c r="AN452">
        <v>1.000000036753</v>
      </c>
    </row>
    <row r="453" spans="1:40" x14ac:dyDescent="0.25">
      <c r="A453" t="str">
        <f>"20190304155322866"</f>
        <v>20190304155322866</v>
      </c>
      <c r="B453" t="str">
        <f>"1551686002856389"</f>
        <v>1551686002856389</v>
      </c>
      <c r="C453" t="s">
        <v>40</v>
      </c>
      <c r="D453">
        <v>4.3133800000000004</v>
      </c>
      <c r="E453">
        <v>0.48335529999999999</v>
      </c>
      <c r="F453" t="s">
        <v>46</v>
      </c>
      <c r="G453">
        <v>-355.44479999999999</v>
      </c>
      <c r="H453" s="1">
        <v>-2.1210990000000001E-6</v>
      </c>
      <c r="I453">
        <v>370.31009999999998</v>
      </c>
      <c r="J453">
        <v>-385.02170000000001</v>
      </c>
      <c r="K453">
        <v>1.110031</v>
      </c>
      <c r="L453">
        <v>367.47570000000002</v>
      </c>
      <c r="M453">
        <v>0.99992530000000002</v>
      </c>
      <c r="N453">
        <v>-1.073606E-2</v>
      </c>
      <c r="O453">
        <v>-5.8408740000000002E-3</v>
      </c>
      <c r="P453">
        <v>0.98402330000000005</v>
      </c>
      <c r="Q453">
        <v>0.16853899999999999</v>
      </c>
      <c r="R453">
        <v>5.7382919999999997E-2</v>
      </c>
      <c r="S453">
        <v>3.0515140000000001</v>
      </c>
      <c r="T453">
        <v>-0.11357100000000001</v>
      </c>
      <c r="U453">
        <v>0.289856</v>
      </c>
      <c r="V453">
        <v>-6.3100050000000005E-2</v>
      </c>
      <c r="W453">
        <v>0.17910009999999901</v>
      </c>
      <c r="X453">
        <v>0.98180529999999999</v>
      </c>
      <c r="Y453">
        <v>-0.1002845</v>
      </c>
      <c r="Z453">
        <v>2.5554419999999998E-3</v>
      </c>
      <c r="AA453">
        <v>0.99495549999999999</v>
      </c>
      <c r="AB453">
        <v>26</v>
      </c>
      <c r="AC453">
        <v>29.576899999999998</v>
      </c>
      <c r="AD453">
        <v>-1.110033121099</v>
      </c>
      <c r="AE453">
        <v>2.8343999999999601</v>
      </c>
      <c r="AF453">
        <v>-3.0029253255542399</v>
      </c>
      <c r="AG453">
        <v>-1.110033121099</v>
      </c>
      <c r="AH453">
        <v>29.518639519790199</v>
      </c>
      <c r="AI453">
        <v>92.142515846463496</v>
      </c>
      <c r="AJ453">
        <v>95.808705247528906</v>
      </c>
      <c r="AK453">
        <v>29.691746549169402</v>
      </c>
      <c r="AL453">
        <v>79.682652997789603</v>
      </c>
      <c r="AM453">
        <v>93.677308552050206</v>
      </c>
      <c r="AN453">
        <v>1.00000005461904</v>
      </c>
    </row>
    <row r="454" spans="1:40" x14ac:dyDescent="0.25">
      <c r="A454" t="str">
        <f>"20190304155322889"</f>
        <v>20190304155322889</v>
      </c>
      <c r="B454" t="str">
        <f>"1551686002885670"</f>
        <v>1551686002885670</v>
      </c>
      <c r="C454" t="s">
        <v>40</v>
      </c>
      <c r="D454">
        <v>4.3137829999999999</v>
      </c>
      <c r="E454">
        <v>0.48282839999999999</v>
      </c>
      <c r="F454" t="s">
        <v>46</v>
      </c>
      <c r="G454">
        <v>-355.20460000000003</v>
      </c>
      <c r="H454" s="1">
        <v>-2.2271880000000001E-6</v>
      </c>
      <c r="I454">
        <v>370.32159999999999</v>
      </c>
      <c r="J454">
        <v>-384.7491</v>
      </c>
      <c r="K454">
        <v>1.1100239999999999</v>
      </c>
      <c r="L454">
        <v>367.47399999999999</v>
      </c>
      <c r="M454">
        <v>0.99992539999999996</v>
      </c>
      <c r="N454">
        <v>-1.068671E-2</v>
      </c>
      <c r="O454">
        <v>-5.9170169999999897E-3</v>
      </c>
      <c r="P454">
        <v>0.98406740000000004</v>
      </c>
      <c r="Q454">
        <v>0.1684426</v>
      </c>
      <c r="R454">
        <v>5.6908390000000003E-2</v>
      </c>
      <c r="S454">
        <v>3.0512079999999999</v>
      </c>
      <c r="T454">
        <v>-0.11359039999999999</v>
      </c>
      <c r="U454">
        <v>0.29122920000000002</v>
      </c>
      <c r="V454">
        <v>-6.2700969999999995E-2</v>
      </c>
      <c r="W454">
        <v>0.17895610000000001</v>
      </c>
      <c r="X454">
        <v>0.98185710000000004</v>
      </c>
      <c r="Y454">
        <v>-0.100813</v>
      </c>
      <c r="Z454">
        <v>2.5684340000000001E-3</v>
      </c>
      <c r="AA454">
        <v>0.99490210000000001</v>
      </c>
      <c r="AB454">
        <v>26</v>
      </c>
      <c r="AC454">
        <v>29.5444999999999</v>
      </c>
      <c r="AD454">
        <v>-1.1100262271879999</v>
      </c>
      <c r="AE454">
        <v>2.8475999999999999</v>
      </c>
      <c r="AF454">
        <v>-3.01815420779312</v>
      </c>
      <c r="AG454">
        <v>-1.1100262271879999</v>
      </c>
      <c r="AH454">
        <v>29.4858931533104</v>
      </c>
      <c r="AI454">
        <v>92.144743526206895</v>
      </c>
      <c r="AJ454">
        <v>95.844398914620101</v>
      </c>
      <c r="AK454">
        <v>29.660736809720301</v>
      </c>
      <c r="AL454">
        <v>79.691038830201705</v>
      </c>
      <c r="AM454">
        <v>93.653922151403904</v>
      </c>
      <c r="AN454">
        <v>1.00000003109328</v>
      </c>
    </row>
    <row r="455" spans="1:40" x14ac:dyDescent="0.25">
      <c r="A455" t="str">
        <f>"20190304155322912"</f>
        <v>20190304155322912</v>
      </c>
      <c r="B455" t="str">
        <f>"1551686002906166"</f>
        <v>1551686002906166</v>
      </c>
      <c r="C455" t="s">
        <v>40</v>
      </c>
      <c r="D455">
        <v>4.3340319999999997</v>
      </c>
      <c r="E455">
        <v>0.4826452</v>
      </c>
      <c r="F455" t="s">
        <v>46</v>
      </c>
      <c r="G455">
        <v>-354.6755</v>
      </c>
      <c r="H455" s="1">
        <v>-2.4689619999999998E-6</v>
      </c>
      <c r="I455">
        <v>370.37729999999999</v>
      </c>
      <c r="J455">
        <v>-384.49950000000001</v>
      </c>
      <c r="K455">
        <v>1.1100179999999999</v>
      </c>
      <c r="L455">
        <v>367.47239999999999</v>
      </c>
      <c r="M455">
        <v>0.99992539999999996</v>
      </c>
      <c r="N455">
        <v>-1.0642830000000001E-2</v>
      </c>
      <c r="O455">
        <v>-5.9863989999999999E-3</v>
      </c>
      <c r="P455">
        <v>0.98407730000000004</v>
      </c>
      <c r="Q455">
        <v>0.1686127</v>
      </c>
      <c r="R455">
        <v>5.6231169999999997E-2</v>
      </c>
      <c r="S455">
        <v>3.0508120000000001</v>
      </c>
      <c r="T455">
        <v>-0.112606</v>
      </c>
      <c r="U455">
        <v>0.29452509999999998</v>
      </c>
      <c r="V455">
        <v>-6.2092750000000002E-2</v>
      </c>
      <c r="W455">
        <v>0.17908279999999999</v>
      </c>
      <c r="X455">
        <v>0.98187259999999998</v>
      </c>
      <c r="Y455">
        <v>-0.1019597</v>
      </c>
      <c r="Z455">
        <v>2.577597E-3</v>
      </c>
      <c r="AA455">
        <v>0.99478520000000004</v>
      </c>
      <c r="AB455">
        <v>26</v>
      </c>
      <c r="AC455">
        <v>29.824000000000002</v>
      </c>
      <c r="AD455">
        <v>-1.1100204689619999</v>
      </c>
      <c r="AE455">
        <v>2.9048999999999898</v>
      </c>
      <c r="AF455">
        <v>-3.0791710705829498</v>
      </c>
      <c r="AG455">
        <v>-1.1100204689619999</v>
      </c>
      <c r="AH455">
        <v>29.765229677774901</v>
      </c>
      <c r="AI455">
        <v>92.124387923983207</v>
      </c>
      <c r="AJ455">
        <v>95.906158977948607</v>
      </c>
      <c r="AK455">
        <v>29.9446545763033</v>
      </c>
      <c r="AL455">
        <v>79.6836597331814</v>
      </c>
      <c r="AM455">
        <v>93.618515569614203</v>
      </c>
      <c r="AN455">
        <v>0.99999998074458096</v>
      </c>
    </row>
    <row r="456" spans="1:40" x14ac:dyDescent="0.25">
      <c r="A456" t="str">
        <f>"20190304155322933"</f>
        <v>20190304155322933</v>
      </c>
      <c r="B456" t="str">
        <f>"1551686002926661"</f>
        <v>1551686002926661</v>
      </c>
      <c r="C456" t="s">
        <v>40</v>
      </c>
      <c r="D456">
        <v>4.3598460000000001</v>
      </c>
      <c r="E456">
        <v>0.4823807</v>
      </c>
      <c r="F456" t="s">
        <v>46</v>
      </c>
      <c r="G456">
        <v>-354.04559999999998</v>
      </c>
      <c r="H456" s="1">
        <v>-2.7495269999999998E-6</v>
      </c>
      <c r="I456">
        <v>370.41609999999997</v>
      </c>
      <c r="J456">
        <v>-384.24149999999997</v>
      </c>
      <c r="K456">
        <v>1.110015</v>
      </c>
      <c r="L456">
        <v>367.4708</v>
      </c>
      <c r="M456">
        <v>0.99992559999999997</v>
      </c>
      <c r="N456">
        <v>-1.0597000000000001E-2</v>
      </c>
      <c r="O456">
        <v>-6.0571969999999899E-3</v>
      </c>
      <c r="P456">
        <v>0.98410089999999995</v>
      </c>
      <c r="Q456">
        <v>0.16858799999999999</v>
      </c>
      <c r="R456">
        <v>5.588895E-2</v>
      </c>
      <c r="S456">
        <v>3.050751</v>
      </c>
      <c r="T456">
        <v>-0.1111975</v>
      </c>
      <c r="U456">
        <v>0.29489140000000003</v>
      </c>
      <c r="V456">
        <v>-6.181963E-2</v>
      </c>
      <c r="W456">
        <v>0.17901329999999999</v>
      </c>
      <c r="X456">
        <v>0.98190250000000001</v>
      </c>
      <c r="Y456">
        <v>-0.1021522</v>
      </c>
      <c r="Z456">
        <v>2.5556889999999999E-3</v>
      </c>
      <c r="AA456">
        <v>0.99476549999999997</v>
      </c>
      <c r="AB456">
        <v>26</v>
      </c>
      <c r="AC456">
        <v>30.195899999999899</v>
      </c>
      <c r="AD456">
        <v>-1.1100177495270001</v>
      </c>
      <c r="AE456">
        <v>2.9452999999999698</v>
      </c>
      <c r="AF456">
        <v>-3.1239769678033702</v>
      </c>
      <c r="AG456">
        <v>-1.1100177495270001</v>
      </c>
      <c r="AH456">
        <v>30.137163058477299</v>
      </c>
      <c r="AI456">
        <v>92.098143434865307</v>
      </c>
      <c r="AJ456">
        <v>95.918065521589696</v>
      </c>
      <c r="AK456">
        <v>30.3189704428247</v>
      </c>
      <c r="AL456">
        <v>79.687707123906193</v>
      </c>
      <c r="AM456">
        <v>93.602531830436206</v>
      </c>
      <c r="AN456">
        <v>0.99999997386823802</v>
      </c>
    </row>
    <row r="457" spans="1:40" x14ac:dyDescent="0.25">
      <c r="A457" t="str">
        <f>"20190304155322955"</f>
        <v>20190304155322955</v>
      </c>
      <c r="B457" t="str">
        <f>"1551686002946181"</f>
        <v>1551686002946181</v>
      </c>
      <c r="C457" t="s">
        <v>40</v>
      </c>
      <c r="D457">
        <v>4.3798830000000004</v>
      </c>
      <c r="E457">
        <v>0.48196860000000002</v>
      </c>
      <c r="F457" t="s">
        <v>46</v>
      </c>
      <c r="G457">
        <v>-353.5453</v>
      </c>
      <c r="H457" s="1">
        <v>-2.9716399999999999E-6</v>
      </c>
      <c r="I457">
        <v>370.44420000000002</v>
      </c>
      <c r="J457">
        <v>-383.98719999999997</v>
      </c>
      <c r="K457">
        <v>1.110012</v>
      </c>
      <c r="L457">
        <v>367.46910000000003</v>
      </c>
      <c r="M457">
        <v>0.99992570000000003</v>
      </c>
      <c r="N457">
        <v>-1.055067E-2</v>
      </c>
      <c r="O457">
        <v>-6.1251169999999898E-3</v>
      </c>
      <c r="P457">
        <v>0.9841202</v>
      </c>
      <c r="Q457">
        <v>0.16852029999999901</v>
      </c>
      <c r="R457">
        <v>5.575285E-2</v>
      </c>
      <c r="S457">
        <v>3.0505680000000002</v>
      </c>
      <c r="T457">
        <v>-0.11031249999999999</v>
      </c>
      <c r="U457">
        <v>0.29550169999999998</v>
      </c>
      <c r="V457">
        <v>-6.1751170000000001E-2</v>
      </c>
      <c r="W457">
        <v>0.17890020000000001</v>
      </c>
      <c r="X457">
        <v>0.98192749999999995</v>
      </c>
      <c r="Y457">
        <v>-0.1024238</v>
      </c>
      <c r="Z457">
        <v>2.5452500000000002E-3</v>
      </c>
      <c r="AA457">
        <v>0.9947376</v>
      </c>
      <c r="AB457">
        <v>26</v>
      </c>
      <c r="AC457">
        <v>30.441899999999901</v>
      </c>
      <c r="AD457">
        <v>-1.1100149716399901</v>
      </c>
      <c r="AE457">
        <v>2.9750999999999901</v>
      </c>
      <c r="AF457">
        <v>-3.1573565018700398</v>
      </c>
      <c r="AG457">
        <v>-1.1100149716399901</v>
      </c>
      <c r="AH457">
        <v>30.3830905059015</v>
      </c>
      <c r="AI457">
        <v>92.081114965600506</v>
      </c>
      <c r="AJ457">
        <v>95.932780210524996</v>
      </c>
      <c r="AK457">
        <v>30.5668647722819</v>
      </c>
      <c r="AL457">
        <v>79.694294415683203</v>
      </c>
      <c r="AM457">
        <v>93.598461441943599</v>
      </c>
      <c r="AN457">
        <v>1.0000000519063199</v>
      </c>
    </row>
    <row r="458" spans="1:40" x14ac:dyDescent="0.25">
      <c r="A458" t="str">
        <f>"20190304155322977"</f>
        <v>20190304155322977</v>
      </c>
      <c r="B458" t="str">
        <f>"1551686002966681"</f>
        <v>1551686002966681</v>
      </c>
      <c r="C458" t="s">
        <v>40</v>
      </c>
      <c r="D458">
        <v>4.3517080000000004</v>
      </c>
      <c r="E458">
        <v>0.48151860000000002</v>
      </c>
      <c r="F458" t="s">
        <v>46</v>
      </c>
      <c r="G458">
        <v>-353.49950000000001</v>
      </c>
      <c r="H458" s="1">
        <v>-2.9954819999999999E-6</v>
      </c>
      <c r="I458">
        <v>370.4599</v>
      </c>
      <c r="J458">
        <v>-383.73070000000001</v>
      </c>
      <c r="K458">
        <v>1.110009</v>
      </c>
      <c r="L458">
        <v>367.46749999999997</v>
      </c>
      <c r="M458">
        <v>0.99992570000000003</v>
      </c>
      <c r="N458">
        <v>-1.050511E-2</v>
      </c>
      <c r="O458">
        <v>-6.1899290000000003E-3</v>
      </c>
      <c r="P458">
        <v>0.98419719999999999</v>
      </c>
      <c r="Q458">
        <v>0.16796359999999999</v>
      </c>
      <c r="R458">
        <v>5.6074939999999997E-2</v>
      </c>
      <c r="S458">
        <v>3.0505070000000001</v>
      </c>
      <c r="T458">
        <v>-0.1110643</v>
      </c>
      <c r="U458">
        <v>0.2992554</v>
      </c>
      <c r="V458">
        <v>-6.213871E-2</v>
      </c>
      <c r="W458">
        <v>0.17829970000000001</v>
      </c>
      <c r="X458">
        <v>0.9820122</v>
      </c>
      <c r="Y458">
        <v>-0.1037005</v>
      </c>
      <c r="Z458">
        <v>2.5888069999999998E-3</v>
      </c>
      <c r="AA458">
        <v>0.99460519999999997</v>
      </c>
      <c r="AB458">
        <v>26</v>
      </c>
      <c r="AC458">
        <v>30.231200000000001</v>
      </c>
      <c r="AD458">
        <v>-1.110011995482</v>
      </c>
      <c r="AE458">
        <v>2.9924000000000301</v>
      </c>
      <c r="AF458">
        <v>-3.17524273555239</v>
      </c>
      <c r="AG458">
        <v>-1.110011995482</v>
      </c>
      <c r="AH458">
        <v>30.171814955935801</v>
      </c>
      <c r="AI458">
        <v>92.095383236662997</v>
      </c>
      <c r="AJ458">
        <v>96.007620264174307</v>
      </c>
      <c r="AK458">
        <v>30.3587336823364</v>
      </c>
      <c r="AL458">
        <v>79.729262029262898</v>
      </c>
      <c r="AM458">
        <v>93.620673401431802</v>
      </c>
      <c r="AN458">
        <v>0.99999998162469605</v>
      </c>
    </row>
    <row r="459" spans="1:40" x14ac:dyDescent="0.25">
      <c r="A459" t="str">
        <f>"20190304155322998"</f>
        <v>20190304155322998</v>
      </c>
      <c r="B459" t="str">
        <f>"1551686002995957"</f>
        <v>1551686002995957</v>
      </c>
      <c r="C459" t="s">
        <v>40</v>
      </c>
      <c r="D459">
        <v>4.3690819999999997</v>
      </c>
      <c r="E459">
        <v>0.48091240000000002</v>
      </c>
      <c r="F459" t="s">
        <v>46</v>
      </c>
      <c r="G459">
        <v>-353.82889999999998</v>
      </c>
      <c r="H459" s="1">
        <v>-2.8510790000000002E-6</v>
      </c>
      <c r="I459">
        <v>370.44839999999999</v>
      </c>
      <c r="J459">
        <v>-383.47910000000002</v>
      </c>
      <c r="K459">
        <v>1.1100019999999999</v>
      </c>
      <c r="L459">
        <v>367.46589999999998</v>
      </c>
      <c r="M459">
        <v>0.99992570000000003</v>
      </c>
      <c r="N459">
        <v>-1.046384E-2</v>
      </c>
      <c r="O459">
        <v>-6.2487899999999997E-3</v>
      </c>
      <c r="P459">
        <v>0.98431749999999996</v>
      </c>
      <c r="Q459">
        <v>0.16708599999999901</v>
      </c>
      <c r="R459">
        <v>5.6581569999999998E-2</v>
      </c>
      <c r="S459">
        <v>3.0501710000000002</v>
      </c>
      <c r="T459">
        <v>-0.1132278</v>
      </c>
      <c r="U459">
        <v>0.30407709999999999</v>
      </c>
      <c r="V459">
        <v>-6.2705570000000002E-2</v>
      </c>
      <c r="W459">
        <v>0.17738190000000001</v>
      </c>
      <c r="X459">
        <v>0.98214239999999997</v>
      </c>
      <c r="Y459">
        <v>-0.105322</v>
      </c>
      <c r="Z459">
        <v>2.668152E-3</v>
      </c>
      <c r="AA459">
        <v>0.99443459999999995</v>
      </c>
      <c r="AB459">
        <v>26</v>
      </c>
      <c r="AC459">
        <v>29.650200000000002</v>
      </c>
      <c r="AD459">
        <v>-1.1100048510789999</v>
      </c>
      <c r="AE459">
        <v>2.9825000000000101</v>
      </c>
      <c r="AF459">
        <v>-3.1633407590320002</v>
      </c>
      <c r="AG459">
        <v>-1.1100048510789999</v>
      </c>
      <c r="AH459">
        <v>29.589928000197201</v>
      </c>
      <c r="AI459">
        <v>92.136164190035998</v>
      </c>
      <c r="AJ459">
        <v>96.102086175385594</v>
      </c>
      <c r="AK459">
        <v>29.779232269889398</v>
      </c>
      <c r="AL459">
        <v>79.782700235324398</v>
      </c>
      <c r="AM459">
        <v>93.653130870656696</v>
      </c>
      <c r="AN459">
        <v>1.00000001041719</v>
      </c>
    </row>
    <row r="460" spans="1:40" x14ac:dyDescent="0.25">
      <c r="A460" t="str">
        <f>"20190304155323023"</f>
        <v>20190304155323023</v>
      </c>
      <c r="B460" t="str">
        <f>"1551686003016455"</f>
        <v>1551686003016455</v>
      </c>
      <c r="C460" t="s">
        <v>40</v>
      </c>
      <c r="D460">
        <v>4.3716359999999996</v>
      </c>
      <c r="E460">
        <v>0.4804023</v>
      </c>
      <c r="F460" t="s">
        <v>46</v>
      </c>
      <c r="G460">
        <v>-354.75709999999998</v>
      </c>
      <c r="H460" s="1">
        <v>-2.4377029999999998E-6</v>
      </c>
      <c r="I460">
        <v>370.39139999999998</v>
      </c>
      <c r="J460">
        <v>-383.20639999999997</v>
      </c>
      <c r="K460">
        <v>1.109998</v>
      </c>
      <c r="L460">
        <v>367.46409999999997</v>
      </c>
      <c r="M460">
        <v>0.99992590000000003</v>
      </c>
      <c r="N460">
        <v>-1.042385E-2</v>
      </c>
      <c r="O460">
        <v>-6.3062119999999899E-3</v>
      </c>
      <c r="P460">
        <v>0.98433550000000003</v>
      </c>
      <c r="Q460">
        <v>0.16674410000000001</v>
      </c>
      <c r="R460">
        <v>5.7272700000000003E-2</v>
      </c>
      <c r="S460">
        <v>3.0500180000000001</v>
      </c>
      <c r="T460">
        <v>-0.1178724</v>
      </c>
      <c r="U460">
        <v>0.31066890000000003</v>
      </c>
      <c r="V460">
        <v>-6.3455549999999999E-2</v>
      </c>
      <c r="W460">
        <v>0.17699989999999999</v>
      </c>
      <c r="X460">
        <v>0.98216309999999996</v>
      </c>
      <c r="Y460">
        <v>-0.1075023</v>
      </c>
      <c r="Z460">
        <v>2.8106490000000001E-3</v>
      </c>
      <c r="AA460">
        <v>0.99420090000000005</v>
      </c>
      <c r="AB460">
        <v>26</v>
      </c>
      <c r="AC460">
        <v>28.449299999999901</v>
      </c>
      <c r="AD460">
        <v>-1.1100004377029999</v>
      </c>
      <c r="AE460">
        <v>2.9272999999999998</v>
      </c>
      <c r="AF460">
        <v>-3.1019861175838699</v>
      </c>
      <c r="AG460">
        <v>-1.1100004377029999</v>
      </c>
      <c r="AH460">
        <v>28.3875112112609</v>
      </c>
      <c r="AI460">
        <v>92.225985737004706</v>
      </c>
      <c r="AJ460">
        <v>96.236134424036294</v>
      </c>
      <c r="AK460">
        <v>28.578054720621701</v>
      </c>
      <c r="AL460">
        <v>79.804938633598198</v>
      </c>
      <c r="AM460">
        <v>93.696625424423303</v>
      </c>
      <c r="AN460">
        <v>0.99999996321370999</v>
      </c>
    </row>
    <row r="461" spans="1:40" x14ac:dyDescent="0.25">
      <c r="A461" t="str">
        <f>"20190304155323045"</f>
        <v>20190304155323045</v>
      </c>
      <c r="B461" t="str">
        <f>"1551686003035973"</f>
        <v>1551686003035973</v>
      </c>
      <c r="C461" t="s">
        <v>40</v>
      </c>
      <c r="D461">
        <v>4.3472140000000001</v>
      </c>
      <c r="E461">
        <v>0.47999029999999998</v>
      </c>
      <c r="F461" t="s">
        <v>46</v>
      </c>
      <c r="G461">
        <v>-355.12509999999997</v>
      </c>
      <c r="H461" s="1">
        <v>-2.2763690000000001E-6</v>
      </c>
      <c r="I461">
        <v>370.37830000000002</v>
      </c>
      <c r="J461">
        <v>-382.9479</v>
      </c>
      <c r="K461">
        <v>1.1099939999999999</v>
      </c>
      <c r="L461">
        <v>367.4624</v>
      </c>
      <c r="M461">
        <v>0.99992590000000003</v>
      </c>
      <c r="N461">
        <v>-1.0390979999999999E-2</v>
      </c>
      <c r="O461">
        <v>-6.3519809999999996E-3</v>
      </c>
      <c r="P461">
        <v>0.98439180000000004</v>
      </c>
      <c r="Q461">
        <v>0.16610720000000001</v>
      </c>
      <c r="R461">
        <v>5.8148999999999999E-2</v>
      </c>
      <c r="S461">
        <v>3.049744</v>
      </c>
      <c r="T461">
        <v>-0.1205503</v>
      </c>
      <c r="U461">
        <v>0.3164978</v>
      </c>
      <c r="V461">
        <v>-6.4379900000000004E-2</v>
      </c>
      <c r="W461">
        <v>0.1763306</v>
      </c>
      <c r="X461">
        <v>0.98222339999999997</v>
      </c>
      <c r="Y461">
        <v>-0.10943079999999999</v>
      </c>
      <c r="Z461">
        <v>2.9110519999999999E-3</v>
      </c>
      <c r="AA461">
        <v>0.99399020000000005</v>
      </c>
      <c r="AB461">
        <v>26</v>
      </c>
      <c r="AC461">
        <v>27.822800000000001</v>
      </c>
      <c r="AD461">
        <v>-1.1099962763689999</v>
      </c>
      <c r="AE461">
        <v>2.9159000000000201</v>
      </c>
      <c r="AF461">
        <v>-3.0877194895219899</v>
      </c>
      <c r="AG461">
        <v>-1.1099962763689999</v>
      </c>
      <c r="AH461">
        <v>27.760012329300501</v>
      </c>
      <c r="AI461">
        <v>92.275757530586503</v>
      </c>
      <c r="AJ461">
        <v>96.346866021011905</v>
      </c>
      <c r="AK461">
        <v>27.9532536192559</v>
      </c>
      <c r="AL461">
        <v>79.8439002001262</v>
      </c>
      <c r="AM461">
        <v>93.750091603368006</v>
      </c>
      <c r="AN461">
        <v>1.00000002976396</v>
      </c>
    </row>
    <row r="462" spans="1:40" x14ac:dyDescent="0.25">
      <c r="A462" t="str">
        <f>"20190304155323066"</f>
        <v>20190304155323066</v>
      </c>
      <c r="B462" t="str">
        <f>"1551686003056469"</f>
        <v>1551686003056469</v>
      </c>
      <c r="C462" t="s">
        <v>40</v>
      </c>
      <c r="D462">
        <v>4.3937390000000001</v>
      </c>
      <c r="E462">
        <v>0.47983989999999999</v>
      </c>
      <c r="F462" t="s">
        <v>46</v>
      </c>
      <c r="G462">
        <v>-355.55579999999998</v>
      </c>
      <c r="H462" s="1">
        <v>-2.086384E-6</v>
      </c>
      <c r="I462">
        <v>370.35860000000002</v>
      </c>
      <c r="J462">
        <v>-382.69889999999998</v>
      </c>
      <c r="K462">
        <v>1.109996</v>
      </c>
      <c r="L462">
        <v>367.46080000000001</v>
      </c>
      <c r="M462">
        <v>0.99992599999999998</v>
      </c>
      <c r="N462">
        <v>-1.03634E-2</v>
      </c>
      <c r="O462">
        <v>-6.3894370000000004E-3</v>
      </c>
      <c r="P462">
        <v>0.9843982</v>
      </c>
      <c r="Q462">
        <v>0.1655992</v>
      </c>
      <c r="R462">
        <v>5.9476050000000003E-2</v>
      </c>
      <c r="S462">
        <v>3.0493769999999998</v>
      </c>
      <c r="T462">
        <v>-0.1235677</v>
      </c>
      <c r="U462">
        <v>0.32241819999999999</v>
      </c>
      <c r="V462">
        <v>-6.5745880000000007E-2</v>
      </c>
      <c r="W462">
        <v>0.17579449999999999</v>
      </c>
      <c r="X462">
        <v>0.98222900000000002</v>
      </c>
      <c r="Y462">
        <v>-0.11138190000000001</v>
      </c>
      <c r="Z462">
        <v>3.0206999999999999E-3</v>
      </c>
      <c r="AA462">
        <v>0.99377309999999996</v>
      </c>
      <c r="AB462">
        <v>26</v>
      </c>
      <c r="AC462">
        <v>27.1431</v>
      </c>
      <c r="AD462">
        <v>-1.109998086384</v>
      </c>
      <c r="AE462">
        <v>2.8978000000000099</v>
      </c>
      <c r="AF462">
        <v>-3.0661094582392701</v>
      </c>
      <c r="AG462">
        <v>-1.109998086384</v>
      </c>
      <c r="AH462">
        <v>27.079254090398599</v>
      </c>
      <c r="AI462">
        <v>92.3323942107655</v>
      </c>
      <c r="AJ462">
        <v>96.459930950342198</v>
      </c>
      <c r="AK462">
        <v>27.2748808439936</v>
      </c>
      <c r="AL462">
        <v>79.875103777197694</v>
      </c>
      <c r="AM462">
        <v>93.829403077567804</v>
      </c>
      <c r="AN462">
        <v>1.00000001770411</v>
      </c>
    </row>
    <row r="463" spans="1:40" x14ac:dyDescent="0.25">
      <c r="A463" t="str">
        <f>"20190304155323090"</f>
        <v>20190304155323090</v>
      </c>
      <c r="B463" t="str">
        <f>"1551686003085751"</f>
        <v>1551686003085751</v>
      </c>
      <c r="C463" t="s">
        <v>40</v>
      </c>
      <c r="D463">
        <v>4.3737969999999997</v>
      </c>
      <c r="E463">
        <v>0.43293680000000001</v>
      </c>
      <c r="F463" t="s">
        <v>46</v>
      </c>
      <c r="G463">
        <v>-355.19310000000002</v>
      </c>
      <c r="H463" s="1">
        <v>-2.2585200000000002E-6</v>
      </c>
      <c r="I463">
        <v>370.42090000000002</v>
      </c>
      <c r="J463">
        <v>-382.42110000000002</v>
      </c>
      <c r="K463">
        <v>1.110001</v>
      </c>
      <c r="L463">
        <v>367.459</v>
      </c>
      <c r="M463">
        <v>0.99992599999999998</v>
      </c>
      <c r="N463">
        <v>-1.033718E-2</v>
      </c>
      <c r="O463">
        <v>-6.4205599999999996E-3</v>
      </c>
      <c r="P463">
        <v>0.98434840000000001</v>
      </c>
      <c r="Q463">
        <v>0.1654957</v>
      </c>
      <c r="R463">
        <v>6.0579260000000003E-2</v>
      </c>
      <c r="S463">
        <v>3.0484309999999999</v>
      </c>
      <c r="T463">
        <v>-0.1230192</v>
      </c>
      <c r="U463">
        <v>0.32806400000000002</v>
      </c>
      <c r="V463">
        <v>-6.6882739999999996E-2</v>
      </c>
      <c r="W463">
        <v>0.17566409999999999</v>
      </c>
      <c r="X463">
        <v>0.98217560000000004</v>
      </c>
      <c r="Y463">
        <v>-0.11326369999999999</v>
      </c>
      <c r="Z463">
        <v>3.0574040000000001E-3</v>
      </c>
      <c r="AA463">
        <v>0.99356029999999995</v>
      </c>
      <c r="AB463">
        <v>26</v>
      </c>
      <c r="AC463">
        <v>27.228000000000002</v>
      </c>
      <c r="AD463">
        <v>-1.1100032585199999</v>
      </c>
      <c r="AE463">
        <v>2.9619000000000102</v>
      </c>
      <c r="AF463">
        <v>-3.13152372504626</v>
      </c>
      <c r="AG463">
        <v>-1.1100032585199999</v>
      </c>
      <c r="AH463">
        <v>27.163803825643001</v>
      </c>
      <c r="AI463">
        <v>92.324614800960006</v>
      </c>
      <c r="AJ463">
        <v>96.576196721016004</v>
      </c>
      <c r="AK463">
        <v>27.366234420403401</v>
      </c>
      <c r="AL463">
        <v>79.882693509604195</v>
      </c>
      <c r="AM463">
        <v>93.895629080244305</v>
      </c>
      <c r="AN463">
        <v>1.0000000430870299</v>
      </c>
    </row>
    <row r="464" spans="1:40" x14ac:dyDescent="0.25">
      <c r="A464" t="str">
        <f>"20190304155323113"</f>
        <v>20190304155323113</v>
      </c>
      <c r="B464" t="str">
        <f>"1551686003106246"</f>
        <v>1551686003106246</v>
      </c>
      <c r="C464" t="s">
        <v>40</v>
      </c>
      <c r="D464">
        <v>4.3822020000000004</v>
      </c>
      <c r="E464">
        <v>0.42863830000000003</v>
      </c>
      <c r="F464" t="s">
        <v>46</v>
      </c>
      <c r="G464">
        <v>-334.61599999999999</v>
      </c>
      <c r="H464" s="1">
        <v>-4.3066439999999999E-6</v>
      </c>
      <c r="I464">
        <v>378.6447</v>
      </c>
      <c r="J464">
        <v>-382.16180000000003</v>
      </c>
      <c r="K464">
        <v>1.1100129999999999</v>
      </c>
      <c r="L464">
        <v>367.45729999999998</v>
      </c>
      <c r="M464">
        <v>0.99992610000000004</v>
      </c>
      <c r="N464">
        <v>-1.0316479999999999E-2</v>
      </c>
      <c r="O464">
        <v>-6.4385939999999997E-3</v>
      </c>
      <c r="P464">
        <v>0.98422659999999995</v>
      </c>
      <c r="Q464">
        <v>0.1656871</v>
      </c>
      <c r="R464">
        <v>6.2014519999999997E-2</v>
      </c>
      <c r="S464">
        <v>3.0160830000000001</v>
      </c>
      <c r="T464">
        <v>-7.003152E-2</v>
      </c>
      <c r="U464">
        <v>0.70571899999999999</v>
      </c>
      <c r="V464">
        <v>-6.8338049999999997E-2</v>
      </c>
      <c r="W464">
        <v>0.17583260000000001</v>
      </c>
      <c r="X464">
        <v>0.98204519999999995</v>
      </c>
      <c r="Y464">
        <v>-0.23400840000000001</v>
      </c>
      <c r="Z464">
        <v>3.9856220000000003E-3</v>
      </c>
      <c r="AA464">
        <v>0.97222640000000005</v>
      </c>
      <c r="AB464">
        <v>26</v>
      </c>
      <c r="AC464">
        <v>47.5458</v>
      </c>
      <c r="AD464">
        <v>-1.110017306644</v>
      </c>
      <c r="AE464">
        <v>11.1874</v>
      </c>
      <c r="AF464">
        <v>-11.487379748189101</v>
      </c>
      <c r="AG464">
        <v>-1.110017306644</v>
      </c>
      <c r="AH464">
        <v>47.448274508116199</v>
      </c>
      <c r="AI464">
        <v>91.3025317677657</v>
      </c>
      <c r="AJ464">
        <v>103.609620978243</v>
      </c>
      <c r="AK464">
        <v>48.831657617755504</v>
      </c>
      <c r="AL464">
        <v>79.872885917646997</v>
      </c>
      <c r="AM464">
        <v>93.980651819696106</v>
      </c>
      <c r="AN464">
        <v>0.99999998357180098</v>
      </c>
    </row>
    <row r="465" spans="1:40" x14ac:dyDescent="0.25">
      <c r="A465" t="str">
        <f>"20190304155323135"</f>
        <v>20190304155323135</v>
      </c>
      <c r="B465" t="str">
        <f>"1551686003125766"</f>
        <v>1551686003125766</v>
      </c>
      <c r="C465" t="s">
        <v>40</v>
      </c>
      <c r="D465">
        <v>4.588908</v>
      </c>
      <c r="E465">
        <v>0.42654989999999998</v>
      </c>
      <c r="F465" t="s">
        <v>46</v>
      </c>
      <c r="G465">
        <v>-324.15320000000003</v>
      </c>
      <c r="H465">
        <v>7.9986710000000003E-2</v>
      </c>
      <c r="I465">
        <v>381.81240000000003</v>
      </c>
      <c r="J465">
        <v>-381.90460000000002</v>
      </c>
      <c r="K465">
        <v>1.110026</v>
      </c>
      <c r="L465">
        <v>367.4556</v>
      </c>
      <c r="M465">
        <v>0.99992619999999999</v>
      </c>
      <c r="N465">
        <v>-1.029941E-2</v>
      </c>
      <c r="O465">
        <v>-6.4484310000000001E-3</v>
      </c>
      <c r="P465">
        <v>0.98405039999999999</v>
      </c>
      <c r="Q465">
        <v>0.16629449999999901</v>
      </c>
      <c r="R465">
        <v>6.3175270000000006E-2</v>
      </c>
      <c r="S465">
        <v>3.010132</v>
      </c>
      <c r="T465">
        <v>-5.3449150000000001E-2</v>
      </c>
      <c r="U465">
        <v>0.7449036</v>
      </c>
      <c r="V465">
        <v>-6.9510619999999995E-2</v>
      </c>
      <c r="W465">
        <v>0.1764202</v>
      </c>
      <c r="X465">
        <v>0.98185750000000005</v>
      </c>
      <c r="Y465">
        <v>-0.2464151</v>
      </c>
      <c r="Z465">
        <v>3.4904599999999999E-3</v>
      </c>
      <c r="AA465">
        <v>0.96915810000000002</v>
      </c>
      <c r="AB465">
        <v>26</v>
      </c>
      <c r="AC465">
        <v>57.751399999999897</v>
      </c>
      <c r="AD465">
        <v>-1.0300392899999999</v>
      </c>
      <c r="AE465">
        <v>14.3568</v>
      </c>
      <c r="AF465">
        <v>-14.724515686854</v>
      </c>
      <c r="AG465">
        <v>-1.0300392899999999</v>
      </c>
      <c r="AH465">
        <v>57.640346436623702</v>
      </c>
      <c r="AI465">
        <v>90.991925823305195</v>
      </c>
      <c r="AJ465">
        <v>104.33002800457101</v>
      </c>
      <c r="AK465">
        <v>59.500267902635102</v>
      </c>
      <c r="AL465">
        <v>79.838684242744606</v>
      </c>
      <c r="AM465">
        <v>94.049499520353706</v>
      </c>
      <c r="AN465">
        <v>0.999999981783537</v>
      </c>
    </row>
    <row r="466" spans="1:40" x14ac:dyDescent="0.25">
      <c r="A466" t="str">
        <f>"20190304155323156"</f>
        <v>20190304155323156</v>
      </c>
      <c r="B466" t="str">
        <f>"1551686003146275"</f>
        <v>1551686003146275</v>
      </c>
      <c r="C466" t="s">
        <v>40</v>
      </c>
      <c r="D466">
        <v>4.4049370000000003</v>
      </c>
      <c r="E466">
        <v>0.4255081</v>
      </c>
      <c r="F466" t="s">
        <v>47</v>
      </c>
      <c r="G466">
        <v>-287.75290000000001</v>
      </c>
      <c r="H466">
        <v>-0.05</v>
      </c>
      <c r="I466">
        <v>391.44450000000001</v>
      </c>
      <c r="J466">
        <v>-381.65100000000001</v>
      </c>
      <c r="K466">
        <v>1.1100350000000001</v>
      </c>
      <c r="L466">
        <v>367.45400000000001</v>
      </c>
      <c r="M466">
        <v>0.99992630000000005</v>
      </c>
      <c r="N466">
        <v>-1.0285509999999999E-2</v>
      </c>
      <c r="O466">
        <v>-6.4527050000000004E-3</v>
      </c>
      <c r="P466">
        <v>0.98380820000000002</v>
      </c>
      <c r="Q466">
        <v>0.1674088</v>
      </c>
      <c r="R466">
        <v>6.4000920000000003E-2</v>
      </c>
      <c r="S466">
        <v>3.005646</v>
      </c>
      <c r="T466">
        <v>-3.7032009999999997E-2</v>
      </c>
      <c r="U466">
        <v>0.76580809999999999</v>
      </c>
      <c r="V466">
        <v>-7.0341100000000004E-2</v>
      </c>
      <c r="W466">
        <v>0.17751749999999999</v>
      </c>
      <c r="X466">
        <v>0.98160060000000005</v>
      </c>
      <c r="Y466">
        <v>-0.2531158</v>
      </c>
      <c r="Z466">
        <v>2.869978E-3</v>
      </c>
      <c r="AA466">
        <v>0.96743170000000001</v>
      </c>
      <c r="AB466">
        <v>26</v>
      </c>
      <c r="AC466">
        <v>93.898099999999999</v>
      </c>
      <c r="AD466">
        <v>-1.1600349999999999</v>
      </c>
      <c r="AE466">
        <v>23.990500000000001</v>
      </c>
      <c r="AF466">
        <v>-24.5924058328604</v>
      </c>
      <c r="AG466">
        <v>-1.1600349999999999</v>
      </c>
      <c r="AH466">
        <v>93.727904410053597</v>
      </c>
      <c r="AI466">
        <v>90.685878155169604</v>
      </c>
      <c r="AJ466">
        <v>104.701916206977</v>
      </c>
      <c r="AK466">
        <v>96.907441256848202</v>
      </c>
      <c r="AL466">
        <v>79.774805899074494</v>
      </c>
      <c r="AM466">
        <v>94.098785963821598</v>
      </c>
      <c r="AN466">
        <v>1.0000000355379</v>
      </c>
    </row>
    <row r="467" spans="1:40" x14ac:dyDescent="0.25">
      <c r="A467" t="str">
        <f>"20190304155323179"</f>
        <v>20190304155323179</v>
      </c>
      <c r="B467" t="str">
        <f>"1551686003176519"</f>
        <v>1551686003176519</v>
      </c>
      <c r="C467" t="s">
        <v>40</v>
      </c>
      <c r="D467">
        <v>4.3942040000000002</v>
      </c>
      <c r="E467">
        <v>0.4242996</v>
      </c>
      <c r="F467" t="s">
        <v>42</v>
      </c>
      <c r="G467">
        <v>-287.7364</v>
      </c>
      <c r="H467">
        <v>0.1763895</v>
      </c>
      <c r="I467">
        <v>391.75</v>
      </c>
      <c r="J467">
        <v>-381.38249999999999</v>
      </c>
      <c r="K467">
        <v>1.1100369999999999</v>
      </c>
      <c r="L467">
        <v>367.45229999999998</v>
      </c>
      <c r="M467">
        <v>0.99992639999999999</v>
      </c>
      <c r="N467">
        <v>-1.027348E-2</v>
      </c>
      <c r="O467">
        <v>-6.452724E-3</v>
      </c>
      <c r="P467">
        <v>0.98373219999999995</v>
      </c>
      <c r="Q467">
        <v>0.1674506</v>
      </c>
      <c r="R467">
        <v>6.5049029999999994E-2</v>
      </c>
      <c r="S467">
        <v>3.0039370000000001</v>
      </c>
      <c r="T467">
        <v>-2.986252E-2</v>
      </c>
      <c r="U467">
        <v>0.77713009999999905</v>
      </c>
      <c r="V467">
        <v>-7.1390090000000003E-2</v>
      </c>
      <c r="W467">
        <v>0.17754610000000001</v>
      </c>
      <c r="X467">
        <v>0.98151960000000005</v>
      </c>
      <c r="Y467">
        <v>-0.2566755</v>
      </c>
      <c r="Z467">
        <v>2.5929719999999998E-3</v>
      </c>
      <c r="AA467">
        <v>0.96649410000000002</v>
      </c>
      <c r="AB467">
        <v>26</v>
      </c>
      <c r="AC467">
        <v>93.646100000000004</v>
      </c>
      <c r="AD467">
        <v>-0.93364749999999996</v>
      </c>
      <c r="AE467">
        <v>24.297699999999999</v>
      </c>
      <c r="AF467">
        <v>-24.899179553648999</v>
      </c>
      <c r="AG467">
        <v>-0.93364749999999996</v>
      </c>
      <c r="AH467">
        <v>93.478649841880994</v>
      </c>
      <c r="AI467">
        <v>90.552962011840094</v>
      </c>
      <c r="AJ467">
        <v>104.91512985739099</v>
      </c>
      <c r="AK467">
        <v>96.742435447739894</v>
      </c>
      <c r="AL467">
        <v>79.773139842226996</v>
      </c>
      <c r="AM467">
        <v>94.160039844262101</v>
      </c>
      <c r="AN467">
        <v>0.99999994387978697</v>
      </c>
    </row>
    <row r="468" spans="1:40" x14ac:dyDescent="0.25">
      <c r="A468" t="str">
        <f>"20190304155323200"</f>
        <v>20190304155323200</v>
      </c>
      <c r="B468" t="str">
        <f>"1551686003196038"</f>
        <v>1551686003196038</v>
      </c>
      <c r="C468" t="s">
        <v>40</v>
      </c>
      <c r="D468">
        <v>4.6410280000000004</v>
      </c>
      <c r="E468">
        <v>0.42360520000000002</v>
      </c>
      <c r="F468" t="s">
        <v>42</v>
      </c>
      <c r="G468">
        <v>-288.99889999999999</v>
      </c>
      <c r="H468">
        <v>0.27882849999999998</v>
      </c>
      <c r="I468">
        <v>391.75</v>
      </c>
      <c r="J468">
        <v>-381.1293</v>
      </c>
      <c r="K468">
        <v>1.110036</v>
      </c>
      <c r="L468">
        <v>367.45069999999998</v>
      </c>
      <c r="M468">
        <v>0.99992639999999999</v>
      </c>
      <c r="N468">
        <v>-1.026466E-2</v>
      </c>
      <c r="O468">
        <v>-6.4472879999999998E-3</v>
      </c>
      <c r="P468">
        <v>0.98360309999999995</v>
      </c>
      <c r="Q468">
        <v>0.16806599999999999</v>
      </c>
      <c r="R468">
        <v>6.5409090000000003E-2</v>
      </c>
      <c r="S468">
        <v>3.0019840000000002</v>
      </c>
      <c r="T468">
        <v>-2.700901E-2</v>
      </c>
      <c r="U468">
        <v>0.7895508</v>
      </c>
      <c r="V468">
        <v>-7.1744370000000002E-2</v>
      </c>
      <c r="W468">
        <v>0.178151</v>
      </c>
      <c r="X468">
        <v>0.98138420000000004</v>
      </c>
      <c r="Y468">
        <v>-0.26056760000000001</v>
      </c>
      <c r="Z468">
        <v>2.5043079999999998E-3</v>
      </c>
      <c r="AA468">
        <v>0.96545239999999999</v>
      </c>
      <c r="AB468">
        <v>26</v>
      </c>
      <c r="AC468">
        <v>92.130399999999995</v>
      </c>
      <c r="AD468">
        <v>-0.83120749999999999</v>
      </c>
      <c r="AE468">
        <v>24.299299999999999</v>
      </c>
      <c r="AF468">
        <v>-24.890923212039802</v>
      </c>
      <c r="AG468">
        <v>-0.83120749999999999</v>
      </c>
      <c r="AH468">
        <v>91.964813228821001</v>
      </c>
      <c r="AI468">
        <v>90.499859404730898</v>
      </c>
      <c r="AJ468">
        <v>105.144656506746</v>
      </c>
      <c r="AK468">
        <v>95.2773626653658</v>
      </c>
      <c r="AL468">
        <v>79.737920631512694</v>
      </c>
      <c r="AM468">
        <v>94.181186161724199</v>
      </c>
      <c r="AN468">
        <v>0.99999999071866796</v>
      </c>
    </row>
    <row r="469" spans="1:40" x14ac:dyDescent="0.25">
      <c r="A469" t="str">
        <f>"20190304155323224"</f>
        <v>20190304155323224</v>
      </c>
      <c r="B469" t="str">
        <f>"1551686003216535"</f>
        <v>1551686003216535</v>
      </c>
      <c r="C469" t="s">
        <v>40</v>
      </c>
      <c r="D469">
        <v>4.3938610000000002</v>
      </c>
      <c r="E469">
        <v>0.423433</v>
      </c>
      <c r="F469" t="s">
        <v>42</v>
      </c>
      <c r="G469">
        <v>-289.44349999999997</v>
      </c>
      <c r="H469">
        <v>0.2904158</v>
      </c>
      <c r="I469">
        <v>391.75</v>
      </c>
      <c r="J469">
        <v>-380.8562</v>
      </c>
      <c r="K469">
        <v>1.1100410000000001</v>
      </c>
      <c r="L469">
        <v>367.44889999999998</v>
      </c>
      <c r="M469">
        <v>0.99992689999999995</v>
      </c>
      <c r="N469">
        <v>-1.025732E-2</v>
      </c>
      <c r="O469">
        <v>-6.4300199999999998E-3</v>
      </c>
      <c r="P469">
        <v>0.98360650000000005</v>
      </c>
      <c r="Q469">
        <v>0.1677555</v>
      </c>
      <c r="R469">
        <v>6.6155690000000003E-2</v>
      </c>
      <c r="S469">
        <v>3.0016780000000001</v>
      </c>
      <c r="T469">
        <v>-2.6832459999999999E-2</v>
      </c>
      <c r="U469">
        <v>0.79553219999999902</v>
      </c>
      <c r="V469">
        <v>-7.2476739999999998E-2</v>
      </c>
      <c r="W469">
        <v>0.177832399999999</v>
      </c>
      <c r="X469">
        <v>0.98138820000000004</v>
      </c>
      <c r="Y469">
        <v>-0.26237310000000003</v>
      </c>
      <c r="Z469">
        <v>2.513015E-3</v>
      </c>
      <c r="AA469">
        <v>0.96496320000000002</v>
      </c>
      <c r="AB469">
        <v>26</v>
      </c>
      <c r="AC469">
        <v>91.412700000000001</v>
      </c>
      <c r="AD469">
        <v>-0.81962520000000005</v>
      </c>
      <c r="AE469">
        <v>24.301100000000002</v>
      </c>
      <c r="AF469">
        <v>-24.8865452392251</v>
      </c>
      <c r="AG469">
        <v>-0.81962520000000005</v>
      </c>
      <c r="AH469">
        <v>91.247693828007996</v>
      </c>
      <c r="AI469">
        <v>90.496506795130699</v>
      </c>
      <c r="AJ469">
        <v>105.255592428086</v>
      </c>
      <c r="AK469">
        <v>94.584108328737599</v>
      </c>
      <c r="AL469">
        <v>79.756471584390198</v>
      </c>
      <c r="AM469">
        <v>94.223697072951595</v>
      </c>
      <c r="AN469">
        <v>1.0000000197150101</v>
      </c>
    </row>
    <row r="470" spans="1:40" x14ac:dyDescent="0.25">
      <c r="A470" t="str">
        <f>"20190304155323245"</f>
        <v>20190304155323245</v>
      </c>
      <c r="B470" t="str">
        <f>"1551686003236057"</f>
        <v>1551686003236057</v>
      </c>
      <c r="C470" t="s">
        <v>40</v>
      </c>
      <c r="D470">
        <v>4.3736249999999997</v>
      </c>
      <c r="E470">
        <v>0.42314550000000001</v>
      </c>
      <c r="F470" t="s">
        <v>42</v>
      </c>
      <c r="G470">
        <v>-289.64299999999997</v>
      </c>
      <c r="H470">
        <v>0.28273320000000002</v>
      </c>
      <c r="I470">
        <v>391.75</v>
      </c>
      <c r="J470">
        <v>-380.60050000000001</v>
      </c>
      <c r="K470">
        <v>1.1100540000000001</v>
      </c>
      <c r="L470">
        <v>367.44729999999998</v>
      </c>
      <c r="M470">
        <v>0.99992700000000001</v>
      </c>
      <c r="N470">
        <v>-1.025205E-2</v>
      </c>
      <c r="O470">
        <v>-6.401398E-3</v>
      </c>
      <c r="P470">
        <v>0.98355859999999995</v>
      </c>
      <c r="Q470">
        <v>0.16772500000000001</v>
      </c>
      <c r="R470">
        <v>6.6938650000000002E-2</v>
      </c>
      <c r="S470">
        <v>3.0008849999999998</v>
      </c>
      <c r="T470">
        <v>-2.7217269999999998E-2</v>
      </c>
      <c r="U470">
        <v>0.79949950000000003</v>
      </c>
      <c r="V470">
        <v>-7.3234859999999999E-2</v>
      </c>
      <c r="W470">
        <v>0.177794799999999</v>
      </c>
      <c r="X470">
        <v>0.98133870000000001</v>
      </c>
      <c r="Y470">
        <v>-0.26359949999999999</v>
      </c>
      <c r="Z470">
        <v>2.5419349999999999E-3</v>
      </c>
      <c r="AA470">
        <v>0.96462890000000001</v>
      </c>
      <c r="AB470">
        <v>26</v>
      </c>
      <c r="AC470">
        <v>90.957499999999996</v>
      </c>
      <c r="AD470">
        <v>-0.82732079999999997</v>
      </c>
      <c r="AE470">
        <v>24.302700000000002</v>
      </c>
      <c r="AF470">
        <v>-24.882566335647599</v>
      </c>
      <c r="AG470">
        <v>-0.82732079999999997</v>
      </c>
      <c r="AH470">
        <v>90.793045797699904</v>
      </c>
      <c r="AI470">
        <v>90.503508491754005</v>
      </c>
      <c r="AJ470">
        <v>105.32606465372299</v>
      </c>
      <c r="AK470">
        <v>94.144589501347596</v>
      </c>
      <c r="AL470">
        <v>79.758660483537497</v>
      </c>
      <c r="AM470">
        <v>94.267929801335598</v>
      </c>
      <c r="AN470">
        <v>0.99999998987197403</v>
      </c>
    </row>
    <row r="471" spans="1:40" x14ac:dyDescent="0.25">
      <c r="A471" t="str">
        <f>"20190304155323268"</f>
        <v>20190304155323268</v>
      </c>
      <c r="B471" t="str">
        <f>"1551686003256553"</f>
        <v>1551686003256553</v>
      </c>
      <c r="C471" t="s">
        <v>40</v>
      </c>
      <c r="D471">
        <v>4.5596379999999996</v>
      </c>
      <c r="E471">
        <v>0.42312329999999998</v>
      </c>
      <c r="F471" t="s">
        <v>42</v>
      </c>
      <c r="G471">
        <v>-289.88479999999998</v>
      </c>
      <c r="H471">
        <v>0.26968999999999999</v>
      </c>
      <c r="I471">
        <v>391.75</v>
      </c>
      <c r="J471">
        <v>-380.3365</v>
      </c>
      <c r="K471">
        <v>1.110066</v>
      </c>
      <c r="L471">
        <v>367.44560000000001</v>
      </c>
      <c r="M471">
        <v>0.99992729999999996</v>
      </c>
      <c r="N471">
        <v>-1.024808E-2</v>
      </c>
      <c r="O471">
        <v>-6.3614309999999999E-3</v>
      </c>
      <c r="P471">
        <v>0.98366319999999996</v>
      </c>
      <c r="Q471">
        <v>0.1670615</v>
      </c>
      <c r="R471">
        <v>6.7061889999999999E-2</v>
      </c>
      <c r="S471">
        <v>3.0001530000000001</v>
      </c>
      <c r="T471">
        <v>-2.779162E-2</v>
      </c>
      <c r="U471">
        <v>0.8037415</v>
      </c>
      <c r="V471">
        <v>-7.3324319999999998E-2</v>
      </c>
      <c r="W471">
        <v>0.17712700000000001</v>
      </c>
      <c r="X471">
        <v>0.98145280000000001</v>
      </c>
      <c r="Y471">
        <v>-0.2648915</v>
      </c>
      <c r="Z471">
        <v>2.5804109999999999E-3</v>
      </c>
      <c r="AA471">
        <v>0.96427479999999999</v>
      </c>
      <c r="AB471">
        <v>26</v>
      </c>
      <c r="AC471">
        <v>90.451700000000002</v>
      </c>
      <c r="AD471">
        <v>-0.84037600000000001</v>
      </c>
      <c r="AE471">
        <v>24.304399999999902</v>
      </c>
      <c r="AF471">
        <v>-24.877337788669202</v>
      </c>
      <c r="AG471">
        <v>-0.84037600000000001</v>
      </c>
      <c r="AH471">
        <v>90.287981834289198</v>
      </c>
      <c r="AI471">
        <v>90.514120562142395</v>
      </c>
      <c r="AJ471">
        <v>105.40465029579499</v>
      </c>
      <c r="AK471">
        <v>93.656328301839096</v>
      </c>
      <c r="AL471">
        <v>79.797539955235095</v>
      </c>
      <c r="AM471">
        <v>94.272629051874006</v>
      </c>
      <c r="AN471">
        <v>1.00000001433015</v>
      </c>
    </row>
    <row r="472" spans="1:40" x14ac:dyDescent="0.25">
      <c r="A472" t="str">
        <f>"20190304155323291"</f>
        <v>20190304155323291</v>
      </c>
      <c r="B472" t="str">
        <f>"1551686003285831"</f>
        <v>1551686003285831</v>
      </c>
      <c r="C472" t="s">
        <v>40</v>
      </c>
      <c r="D472">
        <v>4.7175349999999998</v>
      </c>
      <c r="E472">
        <v>0.52094050000000003</v>
      </c>
      <c r="F472" t="s">
        <v>42</v>
      </c>
      <c r="G472">
        <v>-289.64030000000002</v>
      </c>
      <c r="H472">
        <v>0.18736800000000001</v>
      </c>
      <c r="I472">
        <v>391.75</v>
      </c>
      <c r="J472">
        <v>-380.06650000000002</v>
      </c>
      <c r="K472">
        <v>1.1100760000000001</v>
      </c>
      <c r="L472">
        <v>367.44400000000002</v>
      </c>
      <c r="M472">
        <v>0.99992769999999997</v>
      </c>
      <c r="N472">
        <v>-1.024543E-2</v>
      </c>
      <c r="O472">
        <v>-6.3097919999999998E-3</v>
      </c>
      <c r="P472">
        <v>0.98381289999999999</v>
      </c>
      <c r="Q472">
        <v>0.1662004</v>
      </c>
      <c r="R472">
        <v>6.700681E-2</v>
      </c>
      <c r="S472">
        <v>3.0002140000000002</v>
      </c>
      <c r="T472">
        <v>-3.052175E-2</v>
      </c>
      <c r="U472">
        <v>0.80398559999999997</v>
      </c>
      <c r="V472">
        <v>-7.3223070000000001E-2</v>
      </c>
      <c r="W472">
        <v>0.17626249999999999</v>
      </c>
      <c r="X472">
        <v>0.98161600000000004</v>
      </c>
      <c r="Y472">
        <v>-0.26490659999999999</v>
      </c>
      <c r="Z472">
        <v>2.7043269999999999E-3</v>
      </c>
      <c r="AA472">
        <v>0.96427030000000002</v>
      </c>
      <c r="AB472">
        <v>26</v>
      </c>
      <c r="AC472">
        <v>90.426199999999994</v>
      </c>
      <c r="AD472">
        <v>-0.92270799999999997</v>
      </c>
      <c r="AE472">
        <v>24.305999999999901</v>
      </c>
      <c r="AF472">
        <v>-24.873701125900599</v>
      </c>
      <c r="AG472">
        <v>-0.92270799999999997</v>
      </c>
      <c r="AH472">
        <v>90.262260899141793</v>
      </c>
      <c r="AI472">
        <v>90.564641378896198</v>
      </c>
      <c r="AJ472">
        <v>105.406685888038</v>
      </c>
      <c r="AK472">
        <v>93.631341656405993</v>
      </c>
      <c r="AL472">
        <v>79.847864123135693</v>
      </c>
      <c r="AM472">
        <v>94.266044232656995</v>
      </c>
      <c r="AN472">
        <v>1.0000000291712301</v>
      </c>
    </row>
    <row r="473" spans="1:40" x14ac:dyDescent="0.25">
      <c r="A473" t="str">
        <f>"20190304155323314"</f>
        <v>20190304155323314</v>
      </c>
      <c r="B473" t="str">
        <f>"1551686003306326"</f>
        <v>1551686003306326</v>
      </c>
      <c r="C473" t="s">
        <v>40</v>
      </c>
      <c r="D473">
        <v>4.4646059999999999</v>
      </c>
      <c r="E473">
        <v>0.52248430000000001</v>
      </c>
      <c r="F473" t="s">
        <v>41</v>
      </c>
      <c r="G473">
        <v>-158.78319999999999</v>
      </c>
      <c r="H473">
        <v>0.49089070000000001</v>
      </c>
      <c r="I473">
        <v>369.23790000000002</v>
      </c>
      <c r="J473">
        <v>-379.79329999999999</v>
      </c>
      <c r="K473">
        <v>1.1100840000000001</v>
      </c>
      <c r="L473">
        <v>367.44240000000002</v>
      </c>
      <c r="M473">
        <v>0.99992800000000004</v>
      </c>
      <c r="N473">
        <v>-1.024402E-2</v>
      </c>
      <c r="O473">
        <v>-6.2460249999999997E-3</v>
      </c>
      <c r="P473">
        <v>0.98407319999999998</v>
      </c>
      <c r="Q473">
        <v>0.16483889999999901</v>
      </c>
      <c r="R473">
        <v>6.654301E-2</v>
      </c>
      <c r="S473">
        <v>3.0491329999999999</v>
      </c>
      <c r="T473">
        <v>-8.5307360000000006E-3</v>
      </c>
      <c r="U473">
        <v>2.471924E-2</v>
      </c>
      <c r="V473">
        <v>-7.2702240000000001E-2</v>
      </c>
      <c r="W473">
        <v>0.17490120000000001</v>
      </c>
      <c r="X473">
        <v>0.9818981</v>
      </c>
      <c r="Y473">
        <v>-1.435226E-2</v>
      </c>
      <c r="Z473" s="1">
        <v>4.7082239999999997E-5</v>
      </c>
      <c r="AA473">
        <v>0.99989700000000004</v>
      </c>
      <c r="AB473">
        <v>26</v>
      </c>
      <c r="AC473">
        <v>221.01009999999999</v>
      </c>
      <c r="AD473">
        <v>-0.61919329999999995</v>
      </c>
      <c r="AE473">
        <v>1.7955000000000001</v>
      </c>
      <c r="AF473">
        <v>-3.17594712099429</v>
      </c>
      <c r="AG473">
        <v>-0.61919329999999995</v>
      </c>
      <c r="AH473">
        <v>220.992838550226</v>
      </c>
      <c r="AI473">
        <v>90.160518355148596</v>
      </c>
      <c r="AJ473">
        <v>90.823356273557707</v>
      </c>
      <c r="AK473">
        <v>221.016525922711</v>
      </c>
      <c r="AL473">
        <v>79.927091002978401</v>
      </c>
      <c r="AM473">
        <v>94.234598503458002</v>
      </c>
      <c r="AN473">
        <v>0.99999996212303299</v>
      </c>
    </row>
    <row r="474" spans="1:40" x14ac:dyDescent="0.25">
      <c r="A474" t="str">
        <f>"20190304155323335"</f>
        <v>20190304155323335</v>
      </c>
      <c r="B474" t="str">
        <f>"1551686003325847"</f>
        <v>1551686003325847</v>
      </c>
      <c r="C474" t="s">
        <v>40</v>
      </c>
      <c r="D474">
        <v>4.4286649999999996</v>
      </c>
      <c r="E474">
        <v>0.5245301</v>
      </c>
      <c r="F474" t="s">
        <v>46</v>
      </c>
      <c r="G474">
        <v>-214.90100000000001</v>
      </c>
      <c r="H474" s="1">
        <v>-2.458322E-6</v>
      </c>
      <c r="I474">
        <v>367.98989999999998</v>
      </c>
      <c r="J474">
        <v>-379.53570000000002</v>
      </c>
      <c r="K474">
        <v>1.1100909999999999</v>
      </c>
      <c r="L474">
        <v>367.44080000000002</v>
      </c>
      <c r="M474">
        <v>0.9999285</v>
      </c>
      <c r="N474">
        <v>-1.024373E-2</v>
      </c>
      <c r="O474">
        <v>-6.1778950000000001E-3</v>
      </c>
      <c r="P474">
        <v>0.98400189999999998</v>
      </c>
      <c r="Q474">
        <v>0.16543350000000001</v>
      </c>
      <c r="R474">
        <v>6.6123100000000004E-2</v>
      </c>
      <c r="S474">
        <v>3.0512999999999999</v>
      </c>
      <c r="T474">
        <v>-2.054191E-2</v>
      </c>
      <c r="U474">
        <v>1.013184E-2</v>
      </c>
      <c r="V474">
        <v>-7.2216939999999993E-2</v>
      </c>
      <c r="W474">
        <v>0.1754937</v>
      </c>
      <c r="X474">
        <v>0.98182829999999999</v>
      </c>
      <c r="Y474">
        <v>-9.4980210000000006E-3</v>
      </c>
      <c r="Z474" s="1">
        <v>5.8924469999999898E-5</v>
      </c>
      <c r="AA474">
        <v>0.99995489999999998</v>
      </c>
      <c r="AB474">
        <v>26</v>
      </c>
      <c r="AC474">
        <v>164.63470000000001</v>
      </c>
      <c r="AD474">
        <v>-1.1100934583219999</v>
      </c>
      <c r="AE474">
        <v>0.54909999999995296</v>
      </c>
      <c r="AF474">
        <v>-1.5661675198140399</v>
      </c>
      <c r="AG474">
        <v>-1.1100934583219999</v>
      </c>
      <c r="AH474">
        <v>164.62068104371201</v>
      </c>
      <c r="AI474">
        <v>90.386341664017493</v>
      </c>
      <c r="AJ474">
        <v>90.545083892900394</v>
      </c>
      <c r="AK474">
        <v>164.631873631693</v>
      </c>
      <c r="AL474">
        <v>79.892611024725795</v>
      </c>
      <c r="AM474">
        <v>94.206731596969306</v>
      </c>
      <c r="AN474">
        <v>1.00000006792176</v>
      </c>
    </row>
    <row r="475" spans="1:40" x14ac:dyDescent="0.25">
      <c r="A475" t="str">
        <f>"20190304155323358"</f>
        <v>20190304155323358</v>
      </c>
      <c r="B475" t="str">
        <f>"1551686003346341"</f>
        <v>1551686003346341</v>
      </c>
      <c r="C475" t="s">
        <v>40</v>
      </c>
      <c r="D475">
        <v>4.6362459999999999</v>
      </c>
      <c r="E475">
        <v>0.52448619999999901</v>
      </c>
      <c r="F475" t="s">
        <v>41</v>
      </c>
      <c r="G475">
        <v>-158.19499999999999</v>
      </c>
      <c r="H475">
        <v>6.6326380000000004E-2</v>
      </c>
      <c r="I475">
        <v>366.8897</v>
      </c>
      <c r="J475">
        <v>-379.27609999999999</v>
      </c>
      <c r="K475">
        <v>1.110098</v>
      </c>
      <c r="L475">
        <v>367.4393</v>
      </c>
      <c r="M475">
        <v>0.99992899999999996</v>
      </c>
      <c r="N475">
        <v>-1.024431E-2</v>
      </c>
      <c r="O475">
        <v>-6.1039559999999998E-3</v>
      </c>
      <c r="P475">
        <v>0.98375299999999999</v>
      </c>
      <c r="Q475">
        <v>0.16698789999999999</v>
      </c>
      <c r="R475">
        <v>6.5918679999999993E-2</v>
      </c>
      <c r="S475">
        <v>3.0516969999999999</v>
      </c>
      <c r="T475">
        <v>-1.4389509999999999E-2</v>
      </c>
      <c r="U475">
        <v>-7.59887699999999E-3</v>
      </c>
      <c r="V475">
        <v>-7.1939100000000006E-2</v>
      </c>
      <c r="W475">
        <v>0.17704629999999999</v>
      </c>
      <c r="X475">
        <v>0.98156980000000005</v>
      </c>
      <c r="Y475">
        <v>-3.6140410000000001E-3</v>
      </c>
      <c r="Z475" s="1">
        <v>-6.7188839999999997E-6</v>
      </c>
      <c r="AA475">
        <v>0.99999340000000003</v>
      </c>
      <c r="AB475">
        <v>26</v>
      </c>
      <c r="AC475">
        <v>221.08109999999999</v>
      </c>
      <c r="AD475">
        <v>-1.04377162</v>
      </c>
      <c r="AE475">
        <v>-0.54959999999999798</v>
      </c>
      <c r="AF475">
        <v>-0.79993239130680804</v>
      </c>
      <c r="AG475">
        <v>-1.04377162</v>
      </c>
      <c r="AH475">
        <v>221.07540817557901</v>
      </c>
      <c r="AI475">
        <v>90.270508932941397</v>
      </c>
      <c r="AJ475">
        <v>90.207316364467204</v>
      </c>
      <c r="AK475">
        <v>221.07931936529999</v>
      </c>
      <c r="AL475">
        <v>79.802237305931001</v>
      </c>
      <c r="AM475">
        <v>94.191704497861096</v>
      </c>
      <c r="AN475">
        <v>0.99999994936226799</v>
      </c>
    </row>
    <row r="476" spans="1:40" x14ac:dyDescent="0.25">
      <c r="A476" t="str">
        <f>"20190304155323380"</f>
        <v>20190304155323380</v>
      </c>
      <c r="B476" t="str">
        <f>"1551686003376597"</f>
        <v>1551686003376597</v>
      </c>
      <c r="C476" t="s">
        <v>40</v>
      </c>
      <c r="D476">
        <v>4.4525180000000004</v>
      </c>
      <c r="E476">
        <v>0.526111199999999</v>
      </c>
      <c r="F476" t="s">
        <v>41</v>
      </c>
      <c r="G476">
        <v>-158.19499999999999</v>
      </c>
      <c r="H476">
        <v>0.22178600000000001</v>
      </c>
      <c r="I476">
        <v>366.82479999999998</v>
      </c>
      <c r="J476">
        <v>-379.01249999999999</v>
      </c>
      <c r="K476">
        <v>1.110093</v>
      </c>
      <c r="L476">
        <v>367.43770000000001</v>
      </c>
      <c r="M476">
        <v>0.99992939999999997</v>
      </c>
      <c r="N476">
        <v>-1.024566E-2</v>
      </c>
      <c r="O476">
        <v>-6.0259900000000002E-3</v>
      </c>
      <c r="P476">
        <v>0.98368880000000003</v>
      </c>
      <c r="Q476">
        <v>0.1676174</v>
      </c>
      <c r="R476">
        <v>6.5276909999999994E-2</v>
      </c>
      <c r="S476">
        <v>3.052216</v>
      </c>
      <c r="T476">
        <v>-1.22627E-2</v>
      </c>
      <c r="U476">
        <v>-8.4838869999999903E-3</v>
      </c>
      <c r="V476">
        <v>-7.1220839999999994E-2</v>
      </c>
      <c r="W476">
        <v>0.1776761</v>
      </c>
      <c r="X476">
        <v>0.98150839999999995</v>
      </c>
      <c r="Y476">
        <v>-3.24655E-3</v>
      </c>
      <c r="Z476" s="1">
        <v>-1.437867E-5</v>
      </c>
      <c r="AA476">
        <v>0.99999479999999996</v>
      </c>
      <c r="AB476">
        <v>26</v>
      </c>
      <c r="AC476">
        <v>220.8175</v>
      </c>
      <c r="AD476">
        <v>-0.88830699999999996</v>
      </c>
      <c r="AE476">
        <v>-0.61290000000002398</v>
      </c>
      <c r="AF476">
        <v>-0.71781334588796897</v>
      </c>
      <c r="AG476">
        <v>-0.88830699999999996</v>
      </c>
      <c r="AH476">
        <v>220.813610441739</v>
      </c>
      <c r="AI476">
        <v>90.2304916732067</v>
      </c>
      <c r="AJ476">
        <v>90.186254507791602</v>
      </c>
      <c r="AK476">
        <v>220.81656392046699</v>
      </c>
      <c r="AL476">
        <v>79.765571342439799</v>
      </c>
      <c r="AM476">
        <v>94.150259011532995</v>
      </c>
      <c r="AN476">
        <v>0.99999997191603696</v>
      </c>
    </row>
    <row r="477" spans="1:40" x14ac:dyDescent="0.25">
      <c r="A477" t="str">
        <f>"20190304155323401"</f>
        <v>20190304155323401</v>
      </c>
      <c r="B477" t="str">
        <f>"1551686003396118"</f>
        <v>1551686003396118</v>
      </c>
      <c r="C477" t="s">
        <v>40</v>
      </c>
      <c r="D477">
        <v>4.461354</v>
      </c>
      <c r="E477">
        <v>0.52611540000000001</v>
      </c>
      <c r="F477" t="s">
        <v>41</v>
      </c>
      <c r="G477">
        <v>-158.19499999999999</v>
      </c>
      <c r="H477">
        <v>1.844597</v>
      </c>
      <c r="I477">
        <v>365.78710000000001</v>
      </c>
      <c r="J477">
        <v>-378.755</v>
      </c>
      <c r="K477">
        <v>1.1100969999999999</v>
      </c>
      <c r="L477">
        <v>367.43630000000002</v>
      </c>
      <c r="M477">
        <v>0.99992990000000004</v>
      </c>
      <c r="N477">
        <v>-1.024766E-2</v>
      </c>
      <c r="O477">
        <v>-5.9498219999999996E-3</v>
      </c>
      <c r="P477">
        <v>0.98363440000000002</v>
      </c>
      <c r="Q477">
        <v>0.1681927</v>
      </c>
      <c r="R477">
        <v>6.4614859999999996E-2</v>
      </c>
      <c r="S477">
        <v>3.0495610000000002</v>
      </c>
      <c r="T477">
        <v>1.014495E-2</v>
      </c>
      <c r="U477">
        <v>-2.2796629999999998E-2</v>
      </c>
      <c r="V477">
        <v>-7.0484179999999994E-2</v>
      </c>
      <c r="W477">
        <v>0.17825279999999999</v>
      </c>
      <c r="X477">
        <v>0.98145709999999997</v>
      </c>
      <c r="Y477">
        <v>1.52564E-3</v>
      </c>
      <c r="Z477" s="1">
        <v>-8.6044869999999998E-5</v>
      </c>
      <c r="AA477">
        <v>0.99999879999999997</v>
      </c>
      <c r="AB477">
        <v>26</v>
      </c>
      <c r="AC477">
        <v>220.56</v>
      </c>
      <c r="AD477">
        <v>0.73450000000000004</v>
      </c>
      <c r="AE477">
        <v>-1.6492</v>
      </c>
      <c r="AF477">
        <v>0.33680556418541902</v>
      </c>
      <c r="AG477">
        <v>0.73450000000000004</v>
      </c>
      <c r="AH477">
        <v>220.56346265893501</v>
      </c>
      <c r="AI477">
        <v>89.809199833385506</v>
      </c>
      <c r="AJ477">
        <v>89.912508073130496</v>
      </c>
      <c r="AK477">
        <v>220.56494279086499</v>
      </c>
      <c r="AL477">
        <v>79.731993760191301</v>
      </c>
      <c r="AM477">
        <v>94.107693201817199</v>
      </c>
      <c r="AN477">
        <v>1.00000005973925</v>
      </c>
    </row>
    <row r="478" spans="1:40" x14ac:dyDescent="0.25">
      <c r="A478" t="str">
        <f>"20190304155323425"</f>
        <v>20190304155323425</v>
      </c>
      <c r="B478" t="str">
        <f>"1551686003416450"</f>
        <v>1551686003416450</v>
      </c>
      <c r="C478" t="s">
        <v>40</v>
      </c>
      <c r="D478">
        <v>4.4427949999999896</v>
      </c>
      <c r="E478">
        <v>0.52614349999999999</v>
      </c>
      <c r="F478" t="s">
        <v>41</v>
      </c>
      <c r="G478">
        <v>-158.19499999999999</v>
      </c>
      <c r="H478">
        <v>1.512551</v>
      </c>
      <c r="I478">
        <v>365.65350000000001</v>
      </c>
      <c r="J478">
        <v>-378.48219999999998</v>
      </c>
      <c r="K478">
        <v>1.110098</v>
      </c>
      <c r="L478">
        <v>367.43470000000002</v>
      </c>
      <c r="M478">
        <v>0.99993030000000005</v>
      </c>
      <c r="N478">
        <v>-1.0250560000000001E-2</v>
      </c>
      <c r="O478">
        <v>-5.8697319999999999E-3</v>
      </c>
      <c r="P478">
        <v>0.98372490000000001</v>
      </c>
      <c r="Q478">
        <v>0.1678993</v>
      </c>
      <c r="R478">
        <v>6.3994819999999994E-2</v>
      </c>
      <c r="S478">
        <v>3.0505680000000002</v>
      </c>
      <c r="T478">
        <v>5.5675509999999996E-3</v>
      </c>
      <c r="U478">
        <v>-2.4658200000000002E-2</v>
      </c>
      <c r="V478">
        <v>-6.9785879999999995E-2</v>
      </c>
      <c r="W478">
        <v>0.1779637</v>
      </c>
      <c r="X478">
        <v>0.98155939999999997</v>
      </c>
      <c r="Y478">
        <v>2.2133460000000002E-3</v>
      </c>
      <c r="Z478" s="1">
        <v>-8.0206110000000005E-5</v>
      </c>
      <c r="AA478">
        <v>0.99999760000000004</v>
      </c>
      <c r="AB478">
        <v>27</v>
      </c>
      <c r="AC478">
        <v>220.28720000000001</v>
      </c>
      <c r="AD478">
        <v>0.40245300000000001</v>
      </c>
      <c r="AE478">
        <v>-1.7812000000000101</v>
      </c>
      <c r="AF478">
        <v>0.48807300466461501</v>
      </c>
      <c r="AG478">
        <v>0.40245300000000001</v>
      </c>
      <c r="AH478">
        <v>220.293125191889</v>
      </c>
      <c r="AI478">
        <v>89.895326846515601</v>
      </c>
      <c r="AJ478">
        <v>89.873057874680697</v>
      </c>
      <c r="AK478">
        <v>220.29403348816399</v>
      </c>
      <c r="AL478">
        <v>79.748826517401795</v>
      </c>
      <c r="AM478">
        <v>94.066712300336107</v>
      </c>
      <c r="AN478">
        <v>1.0000000016467101</v>
      </c>
    </row>
    <row r="479" spans="1:40" x14ac:dyDescent="0.25">
      <c r="A479" t="str">
        <f>"20190304155323447"</f>
        <v>20190304155323447</v>
      </c>
      <c r="B479" t="str">
        <f>"1551686003435970"</f>
        <v>1551686003435970</v>
      </c>
      <c r="C479" t="s">
        <v>40</v>
      </c>
      <c r="D479">
        <v>4.4964089999999999</v>
      </c>
      <c r="E479">
        <v>0.52642919999999904</v>
      </c>
      <c r="F479" t="s">
        <v>41</v>
      </c>
      <c r="G479">
        <v>-158.19499999999999</v>
      </c>
      <c r="H479">
        <v>1.237579</v>
      </c>
      <c r="I479">
        <v>365.50240000000002</v>
      </c>
      <c r="J479">
        <v>-378.20670000000001</v>
      </c>
      <c r="K479">
        <v>1.1100920000000001</v>
      </c>
      <c r="L479">
        <v>367.4332</v>
      </c>
      <c r="M479">
        <v>0.99993069999999895</v>
      </c>
      <c r="N479">
        <v>-1.0253969999999999E-2</v>
      </c>
      <c r="O479">
        <v>-5.7903590000000001E-3</v>
      </c>
      <c r="P479">
        <v>0.98380670000000003</v>
      </c>
      <c r="Q479">
        <v>0.167541</v>
      </c>
      <c r="R479">
        <v>6.3676849999999993E-2</v>
      </c>
      <c r="S479">
        <v>3.0511469999999998</v>
      </c>
      <c r="T479">
        <v>1.7669199999999999E-3</v>
      </c>
      <c r="U479">
        <v>-2.676392E-2</v>
      </c>
      <c r="V479">
        <v>-6.9389729999999997E-2</v>
      </c>
      <c r="W479">
        <v>0.17760899999999999</v>
      </c>
      <c r="X479">
        <v>0.98165170000000002</v>
      </c>
      <c r="Y479">
        <v>2.981179E-3</v>
      </c>
      <c r="Z479" s="1">
        <v>-7.7150170000000003E-5</v>
      </c>
      <c r="AA479">
        <v>0.99999550000000004</v>
      </c>
      <c r="AB479">
        <v>27</v>
      </c>
      <c r="AC479">
        <v>220.01169999999999</v>
      </c>
      <c r="AD479">
        <v>0.12748699999999899</v>
      </c>
      <c r="AE479">
        <v>-1.9307999999999701</v>
      </c>
      <c r="AF479">
        <v>0.65675375033065198</v>
      </c>
      <c r="AG479">
        <v>0.12748699999999899</v>
      </c>
      <c r="AH479">
        <v>220.019118019747</v>
      </c>
      <c r="AI479">
        <v>89.966800913714295</v>
      </c>
      <c r="AJ479">
        <v>89.828973469886904</v>
      </c>
      <c r="AK479">
        <v>220.02013515269701</v>
      </c>
      <c r="AL479">
        <v>79.769478065116004</v>
      </c>
      <c r="AM479">
        <v>94.043324849056503</v>
      </c>
      <c r="AN479">
        <v>0.99999997581168099</v>
      </c>
    </row>
    <row r="480" spans="1:40" x14ac:dyDescent="0.25">
      <c r="A480" t="str">
        <f>"20190304155323470"</f>
        <v>20190304155323470</v>
      </c>
      <c r="B480" t="str">
        <f>"1551686003466227"</f>
        <v>1551686003466227</v>
      </c>
      <c r="C480" t="s">
        <v>40</v>
      </c>
      <c r="D480">
        <v>4.404388</v>
      </c>
      <c r="E480">
        <v>0.52639760000000002</v>
      </c>
      <c r="F480" t="s">
        <v>41</v>
      </c>
      <c r="G480">
        <v>-158.19499999999999</v>
      </c>
      <c r="H480">
        <v>0.79280759999999995</v>
      </c>
      <c r="I480">
        <v>365.21800000000002</v>
      </c>
      <c r="J480">
        <v>-377.94650000000001</v>
      </c>
      <c r="K480">
        <v>1.110096</v>
      </c>
      <c r="L480">
        <v>367.43180000000001</v>
      </c>
      <c r="M480">
        <v>0.99993109999999996</v>
      </c>
      <c r="N480">
        <v>-1.0257580000000001E-2</v>
      </c>
      <c r="O480">
        <v>-5.7162319999999999E-3</v>
      </c>
      <c r="P480">
        <v>0.98391609999999996</v>
      </c>
      <c r="Q480">
        <v>0.1669697</v>
      </c>
      <c r="R480">
        <v>6.3484120000000005E-2</v>
      </c>
      <c r="S480">
        <v>3.052155</v>
      </c>
      <c r="T480">
        <v>-4.400373E-3</v>
      </c>
      <c r="U480">
        <v>-3.07312E-2</v>
      </c>
      <c r="V480">
        <v>-6.9124469999999993E-2</v>
      </c>
      <c r="W480">
        <v>0.17704300000000001</v>
      </c>
      <c r="X480">
        <v>0.98177270000000005</v>
      </c>
      <c r="Y480">
        <v>4.3519609999999997E-3</v>
      </c>
      <c r="Z480" s="1">
        <v>-7.5853269999999999E-5</v>
      </c>
      <c r="AA480">
        <v>0.9999905</v>
      </c>
      <c r="AB480">
        <v>27</v>
      </c>
      <c r="AC480">
        <v>219.75149999999999</v>
      </c>
      <c r="AD480">
        <v>-0.31728839999999903</v>
      </c>
      <c r="AE480">
        <v>-2.2137999999999902</v>
      </c>
      <c r="AF480">
        <v>0.95754524681402897</v>
      </c>
      <c r="AG480">
        <v>-0.31728839999999903</v>
      </c>
      <c r="AH480">
        <v>219.76010654020499</v>
      </c>
      <c r="AI480">
        <v>90.082722479956402</v>
      </c>
      <c r="AJ480">
        <v>89.750350711958305</v>
      </c>
      <c r="AK480">
        <v>219.76242169986801</v>
      </c>
      <c r="AL480">
        <v>79.802430199831207</v>
      </c>
      <c r="AM480">
        <v>94.027424384933497</v>
      </c>
      <c r="AN480">
        <v>1.0000000253335299</v>
      </c>
    </row>
    <row r="481" spans="1:40" x14ac:dyDescent="0.25">
      <c r="A481" t="str">
        <f>"20190304155323493"</f>
        <v>20190304155323493</v>
      </c>
      <c r="B481" t="str">
        <f>"1551686003485747"</f>
        <v>1551686003485747</v>
      </c>
      <c r="C481" t="s">
        <v>40</v>
      </c>
      <c r="D481">
        <v>4.4444970000000001</v>
      </c>
      <c r="E481">
        <v>0.52625219999999995</v>
      </c>
      <c r="F481" t="s">
        <v>41</v>
      </c>
      <c r="G481">
        <v>-158.19499999999999</v>
      </c>
      <c r="H481">
        <v>0.44889000000000001</v>
      </c>
      <c r="I481">
        <v>365.20420000000001</v>
      </c>
      <c r="J481">
        <v>-377.66669999999999</v>
      </c>
      <c r="K481">
        <v>1.1100920000000001</v>
      </c>
      <c r="L481">
        <v>367.43029999999999</v>
      </c>
      <c r="M481">
        <v>0.99993149999999997</v>
      </c>
      <c r="N481">
        <v>-1.0261859999999999E-2</v>
      </c>
      <c r="O481">
        <v>-5.637459E-3</v>
      </c>
      <c r="P481">
        <v>0.98404579999999997</v>
      </c>
      <c r="Q481">
        <v>0.166323</v>
      </c>
      <c r="R481">
        <v>6.3171550000000007E-2</v>
      </c>
      <c r="S481">
        <v>3.0525820000000001</v>
      </c>
      <c r="T481">
        <v>-9.1836450000000007E-3</v>
      </c>
      <c r="U481">
        <v>-3.0944820000000001E-2</v>
      </c>
      <c r="V481">
        <v>-6.8735980000000002E-2</v>
      </c>
      <c r="W481">
        <v>0.1764019</v>
      </c>
      <c r="X481">
        <v>0.98191539999999999</v>
      </c>
      <c r="Y481">
        <v>4.4991750000000002E-3</v>
      </c>
      <c r="Z481" s="1">
        <v>-7.0746299999999997E-5</v>
      </c>
      <c r="AA481">
        <v>0.99998989999999999</v>
      </c>
      <c r="AB481">
        <v>27</v>
      </c>
      <c r="AC481">
        <v>219.4717</v>
      </c>
      <c r="AD481">
        <v>-0.66120199999999996</v>
      </c>
      <c r="AE481">
        <v>-2.22609999999997</v>
      </c>
      <c r="AF481">
        <v>0.988727844648152</v>
      </c>
      <c r="AG481">
        <v>-0.66120199999999996</v>
      </c>
      <c r="AH481">
        <v>219.47877044279801</v>
      </c>
      <c r="AI481">
        <v>90.172607058621495</v>
      </c>
      <c r="AJ481">
        <v>89.741890528832698</v>
      </c>
      <c r="AK481">
        <v>219.481993443466</v>
      </c>
      <c r="AL481">
        <v>79.839750254808095</v>
      </c>
      <c r="AM481">
        <v>94.004283383194107</v>
      </c>
      <c r="AN481">
        <v>1.00000005901366</v>
      </c>
    </row>
    <row r="482" spans="1:40" x14ac:dyDescent="0.25">
      <c r="A482" t="str">
        <f>"20190304155323518"</f>
        <v>20190304155323518</v>
      </c>
      <c r="B482" t="str">
        <f>"1551686003506242"</f>
        <v>1551686003506242</v>
      </c>
      <c r="C482" t="s">
        <v>40</v>
      </c>
      <c r="D482">
        <v>4.4667960000000004</v>
      </c>
      <c r="E482">
        <v>0.52603129999999998</v>
      </c>
      <c r="F482" t="s">
        <v>41</v>
      </c>
      <c r="G482">
        <v>-158.19499999999999</v>
      </c>
      <c r="H482">
        <v>0.19782540000000001</v>
      </c>
      <c r="I482">
        <v>365.21879999999999</v>
      </c>
      <c r="J482">
        <v>-377.38299999999998</v>
      </c>
      <c r="K482">
        <v>1.1100890000000001</v>
      </c>
      <c r="L482">
        <v>367.42880000000002</v>
      </c>
      <c r="M482">
        <v>0.99993189999999998</v>
      </c>
      <c r="N482">
        <v>-1.0266600000000001E-2</v>
      </c>
      <c r="O482">
        <v>-5.5580919999999997E-3</v>
      </c>
      <c r="P482">
        <v>0.98417619999999895</v>
      </c>
      <c r="Q482">
        <v>0.1653519</v>
      </c>
      <c r="R482">
        <v>6.3689499999999996E-2</v>
      </c>
      <c r="S482">
        <v>3.052765</v>
      </c>
      <c r="T482">
        <v>-1.2688039999999999E-2</v>
      </c>
      <c r="U482">
        <v>-3.0761719999999999E-2</v>
      </c>
      <c r="V482">
        <v>-6.9176520000000005E-2</v>
      </c>
      <c r="W482">
        <v>0.17543689999999901</v>
      </c>
      <c r="X482">
        <v>0.98205730000000002</v>
      </c>
      <c r="Y482">
        <v>4.5178750000000002E-3</v>
      </c>
      <c r="Z482" s="1">
        <v>-6.6545409999999995E-5</v>
      </c>
      <c r="AA482">
        <v>0.99998980000000004</v>
      </c>
      <c r="AB482">
        <v>27</v>
      </c>
      <c r="AC482">
        <v>219.18799999999999</v>
      </c>
      <c r="AD482">
        <v>-0.91226359999999995</v>
      </c>
      <c r="AE482">
        <v>-2.2100000000000302</v>
      </c>
      <c r="AF482">
        <v>0.99161746670586404</v>
      </c>
      <c r="AG482">
        <v>-0.91226359999999995</v>
      </c>
      <c r="AH482">
        <v>219.19310147057701</v>
      </c>
      <c r="AI482">
        <v>90.238456489239596</v>
      </c>
      <c r="AJ482">
        <v>89.740798830982598</v>
      </c>
      <c r="AK482">
        <v>219.19724282564999</v>
      </c>
      <c r="AL482">
        <v>79.895916207299194</v>
      </c>
      <c r="AM482">
        <v>94.029282827569901</v>
      </c>
      <c r="AN482">
        <v>1.0000000186421001</v>
      </c>
    </row>
    <row r="483" spans="1:40" x14ac:dyDescent="0.25">
      <c r="A483" t="str">
        <f>"20190304155323538"</f>
        <v>20190304155323538</v>
      </c>
      <c r="B483" t="str">
        <f>"1551686003536030"</f>
        <v>1551686003536030</v>
      </c>
      <c r="C483" t="s">
        <v>40</v>
      </c>
      <c r="D483">
        <v>4.3520250000000003</v>
      </c>
      <c r="E483">
        <v>0.5258486</v>
      </c>
      <c r="F483" t="s">
        <v>45</v>
      </c>
      <c r="G483">
        <v>-180</v>
      </c>
      <c r="H483">
        <v>4.2883909999999997E-2</v>
      </c>
      <c r="I483">
        <v>365.64299999999997</v>
      </c>
      <c r="J483">
        <v>-377.12520000000001</v>
      </c>
      <c r="K483">
        <v>1.1100840000000001</v>
      </c>
      <c r="L483">
        <v>367.42739999999998</v>
      </c>
      <c r="M483">
        <v>0.9999323</v>
      </c>
      <c r="N483">
        <v>-1.027118E-2</v>
      </c>
      <c r="O483">
        <v>-5.4861149999999997E-3</v>
      </c>
      <c r="P483">
        <v>0.98420059999999998</v>
      </c>
      <c r="Q483">
        <v>0.16509219999999999</v>
      </c>
      <c r="R483">
        <v>6.3984979999999997E-2</v>
      </c>
      <c r="S483">
        <v>3.052765</v>
      </c>
      <c r="T483">
        <v>-1.6505599999999999E-2</v>
      </c>
      <c r="U483">
        <v>-2.7618409999999999E-2</v>
      </c>
      <c r="V483">
        <v>-6.9400749999999997E-2</v>
      </c>
      <c r="W483">
        <v>0.1751819</v>
      </c>
      <c r="X483">
        <v>0.98208700000000004</v>
      </c>
      <c r="Y483">
        <v>3.5602419999999999E-3</v>
      </c>
      <c r="Z483" s="1">
        <v>-5.4598709999999997E-5</v>
      </c>
      <c r="AA483">
        <v>0.99999369999999999</v>
      </c>
      <c r="AB483">
        <v>27</v>
      </c>
      <c r="AC483">
        <v>197.12520000000001</v>
      </c>
      <c r="AD483">
        <v>-1.06720009</v>
      </c>
      <c r="AE483">
        <v>-1.78439999999994</v>
      </c>
      <c r="AF483">
        <v>0.70284408733089898</v>
      </c>
      <c r="AG483">
        <v>-1.06720009</v>
      </c>
      <c r="AH483">
        <v>197.12624593558201</v>
      </c>
      <c r="AI483">
        <v>90.310182313629994</v>
      </c>
      <c r="AJ483">
        <v>89.795715537387807</v>
      </c>
      <c r="AK483">
        <v>197.13038766892001</v>
      </c>
      <c r="AL483">
        <v>79.910756458399504</v>
      </c>
      <c r="AM483">
        <v>94.042178348831897</v>
      </c>
      <c r="AN483">
        <v>1.00000001887858</v>
      </c>
    </row>
    <row r="484" spans="1:40" x14ac:dyDescent="0.25">
      <c r="A484" t="str">
        <f>"20190304155323560"</f>
        <v>20190304155323560</v>
      </c>
      <c r="B484" t="str">
        <f>"1551686003556526"</f>
        <v>1551686003556526</v>
      </c>
      <c r="C484" t="s">
        <v>40</v>
      </c>
      <c r="D484">
        <v>4.3886029999999998</v>
      </c>
      <c r="E484">
        <v>0.52552290000000002</v>
      </c>
      <c r="F484" t="s">
        <v>45</v>
      </c>
      <c r="G484">
        <v>-186.0112</v>
      </c>
      <c r="H484" s="1">
        <v>-7.8009330000000004E-6</v>
      </c>
      <c r="I484">
        <v>365.85700000000003</v>
      </c>
      <c r="J484">
        <v>-376.86279999999999</v>
      </c>
      <c r="K484">
        <v>1.110087</v>
      </c>
      <c r="L484">
        <v>367.42610000000002</v>
      </c>
      <c r="M484">
        <v>0.9999325</v>
      </c>
      <c r="N484">
        <v>-1.027603E-2</v>
      </c>
      <c r="O484">
        <v>-5.4130630000000001E-3</v>
      </c>
      <c r="P484">
        <v>0.98408340000000005</v>
      </c>
      <c r="Q484">
        <v>0.16574610000000001</v>
      </c>
      <c r="R484">
        <v>6.4095040000000006E-2</v>
      </c>
      <c r="S484">
        <v>3.0527340000000001</v>
      </c>
      <c r="T484">
        <v>-1.7731899999999998E-2</v>
      </c>
      <c r="U484">
        <v>-2.5085449999999999E-2</v>
      </c>
      <c r="V484">
        <v>-6.9438379999999994E-2</v>
      </c>
      <c r="W484">
        <v>0.1758391</v>
      </c>
      <c r="X484">
        <v>0.98196689999999998</v>
      </c>
      <c r="Y484">
        <v>2.803729E-3</v>
      </c>
      <c r="Z484" s="1">
        <v>-4.6734480000000003E-5</v>
      </c>
      <c r="AA484">
        <v>0.99999610000000005</v>
      </c>
      <c r="AB484">
        <v>27</v>
      </c>
      <c r="AC484">
        <v>190.85159999999999</v>
      </c>
      <c r="AD484">
        <v>-1.1100948009330001</v>
      </c>
      <c r="AE484">
        <v>-1.5691000000000399</v>
      </c>
      <c r="AF484">
        <v>0.53591254462423099</v>
      </c>
      <c r="AG484">
        <v>-1.1100948009330001</v>
      </c>
      <c r="AH484">
        <v>190.850841232731</v>
      </c>
      <c r="AI484">
        <v>90.333259096591803</v>
      </c>
      <c r="AJ484">
        <v>89.8391128585384</v>
      </c>
      <c r="AK484">
        <v>190.85482208203001</v>
      </c>
      <c r="AL484">
        <v>79.872508129092907</v>
      </c>
      <c r="AM484">
        <v>94.044855806303701</v>
      </c>
      <c r="AN484">
        <v>1.0000000352007199</v>
      </c>
    </row>
    <row r="485" spans="1:40" x14ac:dyDescent="0.25">
      <c r="A485" t="str">
        <f>"20190304155323581"</f>
        <v>20190304155323581</v>
      </c>
      <c r="B485" t="str">
        <f>"1551686003576046"</f>
        <v>1551686003576046</v>
      </c>
      <c r="C485" t="s">
        <v>40</v>
      </c>
      <c r="D485">
        <v>4.2628199999999996</v>
      </c>
      <c r="E485">
        <v>0.52530940000000004</v>
      </c>
      <c r="F485" t="s">
        <v>45</v>
      </c>
      <c r="G485">
        <v>-180</v>
      </c>
      <c r="H485">
        <v>4.6414570000000002E-2</v>
      </c>
      <c r="I485">
        <v>365.99529999999999</v>
      </c>
      <c r="J485">
        <v>-376.60879999999997</v>
      </c>
      <c r="K485">
        <v>1.1100909999999999</v>
      </c>
      <c r="L485">
        <v>367.4248</v>
      </c>
      <c r="M485">
        <v>0.99993290000000001</v>
      </c>
      <c r="N485">
        <v>-1.0280900000000001E-2</v>
      </c>
      <c r="O485">
        <v>-5.3423979999999999E-3</v>
      </c>
      <c r="P485">
        <v>0.98395100000000002</v>
      </c>
      <c r="Q485">
        <v>0.16657520000000001</v>
      </c>
      <c r="R485">
        <v>6.3978720000000003E-2</v>
      </c>
      <c r="S485">
        <v>3.0527340000000001</v>
      </c>
      <c r="T485">
        <v>-1.6494269999999998E-2</v>
      </c>
      <c r="U485">
        <v>-2.2186279999999999E-2</v>
      </c>
      <c r="V485">
        <v>-6.9252289999999994E-2</v>
      </c>
      <c r="W485">
        <v>0.17667179999999999</v>
      </c>
      <c r="X485">
        <v>0.98183050000000005</v>
      </c>
      <c r="Y485">
        <v>1.9248220000000001E-3</v>
      </c>
      <c r="Z485" s="1">
        <v>-4.115643E-5</v>
      </c>
      <c r="AA485">
        <v>0.99999819999999995</v>
      </c>
      <c r="AB485">
        <v>27</v>
      </c>
      <c r="AC485">
        <v>196.6088</v>
      </c>
      <c r="AD485">
        <v>-1.0636764299999999</v>
      </c>
      <c r="AE485">
        <v>-1.42950000000001</v>
      </c>
      <c r="AF485">
        <v>0.37905055194037202</v>
      </c>
      <c r="AG485">
        <v>-1.0636764299999999</v>
      </c>
      <c r="AH485">
        <v>196.60787703602099</v>
      </c>
      <c r="AI485">
        <v>90.309974672786296</v>
      </c>
      <c r="AJ485">
        <v>89.889536623520996</v>
      </c>
      <c r="AK485">
        <v>196.61111972490201</v>
      </c>
      <c r="AL485">
        <v>79.824038430615403</v>
      </c>
      <c r="AM485">
        <v>94.034610288665306</v>
      </c>
      <c r="AN485">
        <v>0.99999996765786603</v>
      </c>
    </row>
    <row r="486" spans="1:40" x14ac:dyDescent="0.25">
      <c r="A486" t="str">
        <f>"20190304155323604"</f>
        <v>20190304155323604</v>
      </c>
      <c r="B486" t="str">
        <f>"1551686003596542"</f>
        <v>1551686003596542</v>
      </c>
      <c r="C486" t="s">
        <v>40</v>
      </c>
      <c r="D486">
        <v>4.279903</v>
      </c>
      <c r="E486">
        <v>0.52512510000000001</v>
      </c>
      <c r="F486" t="s">
        <v>41</v>
      </c>
      <c r="G486">
        <v>-158.19499999999999</v>
      </c>
      <c r="H486">
        <v>9.2058899999999999E-2</v>
      </c>
      <c r="I486">
        <v>365.93790000000001</v>
      </c>
      <c r="J486">
        <v>-376.33530000000002</v>
      </c>
      <c r="K486">
        <v>1.110101</v>
      </c>
      <c r="L486">
        <v>367.42340000000002</v>
      </c>
      <c r="M486">
        <v>0.99993319999999997</v>
      </c>
      <c r="N486">
        <v>-1.028635E-2</v>
      </c>
      <c r="O486">
        <v>-5.2658990000000001E-3</v>
      </c>
      <c r="P486">
        <v>0.98370029999999997</v>
      </c>
      <c r="Q486">
        <v>0.16825780000000001</v>
      </c>
      <c r="R486">
        <v>6.3429150000000004E-2</v>
      </c>
      <c r="S486">
        <v>3.0527039999999999</v>
      </c>
      <c r="T486">
        <v>-1.4227510000000001E-2</v>
      </c>
      <c r="U486">
        <v>-2.0782470000000001E-2</v>
      </c>
      <c r="V486">
        <v>-6.8626199999999998E-2</v>
      </c>
      <c r="W486">
        <v>0.17835790000000001</v>
      </c>
      <c r="X486">
        <v>0.98156960000000004</v>
      </c>
      <c r="Y486">
        <v>1.5416119999999999E-3</v>
      </c>
      <c r="Z486" s="1">
        <v>-4.1148320000000002E-5</v>
      </c>
      <c r="AA486">
        <v>0.99999879999999997</v>
      </c>
      <c r="AB486">
        <v>27</v>
      </c>
      <c r="AC486">
        <v>218.1403</v>
      </c>
      <c r="AD486">
        <v>-1.0180420999999999</v>
      </c>
      <c r="AE486">
        <v>-1.4855</v>
      </c>
      <c r="AF486">
        <v>0.33670647153076599</v>
      </c>
      <c r="AG486">
        <v>-1.0180420999999999</v>
      </c>
      <c r="AH486">
        <v>218.140347188161</v>
      </c>
      <c r="AI486">
        <v>90.267392178921</v>
      </c>
      <c r="AJ486">
        <v>89.911562236508402</v>
      </c>
      <c r="AK486">
        <v>218.14298258788099</v>
      </c>
      <c r="AL486">
        <v>79.725873156847697</v>
      </c>
      <c r="AM486">
        <v>93.999312659312196</v>
      </c>
      <c r="AN486">
        <v>0.999999987731505</v>
      </c>
    </row>
    <row r="487" spans="1:40" x14ac:dyDescent="0.25">
      <c r="A487" t="str">
        <f>"20190304155323627"</f>
        <v>20190304155323627</v>
      </c>
      <c r="B487" t="str">
        <f>"1551686003616402"</f>
        <v>1551686003616402</v>
      </c>
      <c r="C487" t="s">
        <v>40</v>
      </c>
      <c r="D487">
        <v>4.261253</v>
      </c>
      <c r="E487">
        <v>0.52492130000000004</v>
      </c>
      <c r="F487" t="s">
        <v>41</v>
      </c>
      <c r="G487">
        <v>-158.19499999999999</v>
      </c>
      <c r="H487">
        <v>0.44916630000000002</v>
      </c>
      <c r="I487">
        <v>365.95359999999999</v>
      </c>
      <c r="J487">
        <v>-376.06560000000002</v>
      </c>
      <c r="K487">
        <v>1.1101049999999999</v>
      </c>
      <c r="L487">
        <v>367.4221</v>
      </c>
      <c r="M487">
        <v>0.99993350000000003</v>
      </c>
      <c r="N487">
        <v>-1.029185E-2</v>
      </c>
      <c r="O487">
        <v>-5.1902299999999997E-3</v>
      </c>
      <c r="P487">
        <v>0.98356080000000001</v>
      </c>
      <c r="Q487">
        <v>0.16941339999999999</v>
      </c>
      <c r="R487">
        <v>6.2508240000000007E-2</v>
      </c>
      <c r="S487">
        <v>3.0525820000000001</v>
      </c>
      <c r="T487">
        <v>-9.2476610000000008E-3</v>
      </c>
      <c r="U487">
        <v>-2.056885E-2</v>
      </c>
      <c r="V487">
        <v>-6.7630159999999995E-2</v>
      </c>
      <c r="W487">
        <v>0.17951710000000001</v>
      </c>
      <c r="X487">
        <v>0.98142739999999995</v>
      </c>
      <c r="Y487">
        <v>1.547655E-3</v>
      </c>
      <c r="Z487" s="1">
        <v>-4.8004080000000002E-5</v>
      </c>
      <c r="AA487">
        <v>0.99999879999999997</v>
      </c>
      <c r="AB487">
        <v>27</v>
      </c>
      <c r="AC487">
        <v>217.8706</v>
      </c>
      <c r="AD487">
        <v>-0.66093869999999999</v>
      </c>
      <c r="AE487">
        <v>-1.4684999999999999</v>
      </c>
      <c r="AF487">
        <v>0.33761861764349399</v>
      </c>
      <c r="AG487">
        <v>-0.66093869999999999</v>
      </c>
      <c r="AH487">
        <v>217.87328239692101</v>
      </c>
      <c r="AI487">
        <v>90.173811290575401</v>
      </c>
      <c r="AJ487">
        <v>89.911213958041998</v>
      </c>
      <c r="AK487">
        <v>217.87454649110501</v>
      </c>
      <c r="AL487">
        <v>79.658366321560194</v>
      </c>
      <c r="AM487">
        <v>93.942020246893193</v>
      </c>
      <c r="AN487">
        <v>0.99999998460239703</v>
      </c>
    </row>
    <row r="488" spans="1:40" x14ac:dyDescent="0.25">
      <c r="A488" t="str">
        <f>"20190304155323648"</f>
        <v>20190304155323648</v>
      </c>
      <c r="B488" t="str">
        <f>"1551686003646660"</f>
        <v>1551686003646660</v>
      </c>
      <c r="C488" t="s">
        <v>40</v>
      </c>
      <c r="D488">
        <v>4.263757</v>
      </c>
      <c r="E488">
        <v>0.52456530000000001</v>
      </c>
      <c r="F488" t="s">
        <v>41</v>
      </c>
      <c r="G488">
        <v>-158.19499999999999</v>
      </c>
      <c r="H488">
        <v>0.70182040000000001</v>
      </c>
      <c r="I488">
        <v>365.82990000000001</v>
      </c>
      <c r="J488">
        <v>-375.80220000000003</v>
      </c>
      <c r="K488">
        <v>1.110112</v>
      </c>
      <c r="L488">
        <v>367.42079999999999</v>
      </c>
      <c r="M488">
        <v>0.99993399999999999</v>
      </c>
      <c r="N488">
        <v>-1.0297239999999999E-2</v>
      </c>
      <c r="O488">
        <v>-5.1163490000000001E-3</v>
      </c>
      <c r="P488">
        <v>0.98331729999999995</v>
      </c>
      <c r="Q488">
        <v>0.17102439999999999</v>
      </c>
      <c r="R488">
        <v>6.1951199999999901E-2</v>
      </c>
      <c r="S488">
        <v>3.0525509999999998</v>
      </c>
      <c r="T488">
        <v>-5.7191849999999999E-3</v>
      </c>
      <c r="U488">
        <v>-2.2308350000000001E-2</v>
      </c>
      <c r="V488">
        <v>-6.699927E-2</v>
      </c>
      <c r="W488">
        <v>0.18113099999999999</v>
      </c>
      <c r="X488">
        <v>0.98117410000000005</v>
      </c>
      <c r="Y488">
        <v>2.1914830000000001E-3</v>
      </c>
      <c r="Z488" s="1">
        <v>-5.643649E-5</v>
      </c>
      <c r="AA488">
        <v>0.99999760000000004</v>
      </c>
      <c r="AB488">
        <v>27</v>
      </c>
      <c r="AC488">
        <v>217.60720000000001</v>
      </c>
      <c r="AD488">
        <v>-0.40829159999999998</v>
      </c>
      <c r="AE488">
        <v>-1.59089999999997</v>
      </c>
      <c r="AF488">
        <v>0.47746420276096602</v>
      </c>
      <c r="AG488">
        <v>-0.40829159999999998</v>
      </c>
      <c r="AH488">
        <v>217.61172551193999</v>
      </c>
      <c r="AI488">
        <v>90.107500189506794</v>
      </c>
      <c r="AJ488">
        <v>89.874286922163293</v>
      </c>
      <c r="AK488">
        <v>217.61263234100099</v>
      </c>
      <c r="AL488">
        <v>79.564355485386699</v>
      </c>
      <c r="AM488">
        <v>93.906366404586706</v>
      </c>
      <c r="AN488">
        <v>0.99999997792617101</v>
      </c>
    </row>
    <row r="489" spans="1:40" x14ac:dyDescent="0.25">
      <c r="A489" t="str">
        <f>"20190304155323672"</f>
        <v>20190304155323672</v>
      </c>
      <c r="B489" t="str">
        <f>"1551686003666179"</f>
        <v>1551686003666179</v>
      </c>
      <c r="C489" t="s">
        <v>40</v>
      </c>
      <c r="D489">
        <v>4.1286230000000002</v>
      </c>
      <c r="E489">
        <v>0.52503820000000001</v>
      </c>
      <c r="F489" t="s">
        <v>41</v>
      </c>
      <c r="G489">
        <v>-158.19499999999999</v>
      </c>
      <c r="H489">
        <v>1.038041</v>
      </c>
      <c r="I489">
        <v>365.92180000000002</v>
      </c>
      <c r="J489">
        <v>-375.52190000000002</v>
      </c>
      <c r="K489">
        <v>1.1101160000000001</v>
      </c>
      <c r="L489">
        <v>367.4194</v>
      </c>
      <c r="M489">
        <v>0.99993430000000005</v>
      </c>
      <c r="N489">
        <v>-1.03032E-2</v>
      </c>
      <c r="O489">
        <v>-5.0378200000000001E-3</v>
      </c>
      <c r="P489">
        <v>0.98324999999999996</v>
      </c>
      <c r="Q489">
        <v>0.17174420000000001</v>
      </c>
      <c r="R489">
        <v>6.1020169999999999E-2</v>
      </c>
      <c r="S489">
        <v>3.0523989999999999</v>
      </c>
      <c r="T489">
        <v>-1.009703E-3</v>
      </c>
      <c r="U489">
        <v>-2.1026610000000001E-2</v>
      </c>
      <c r="V489">
        <v>-6.5991359999999999E-2</v>
      </c>
      <c r="W489">
        <v>0.18185599999999999</v>
      </c>
      <c r="X489">
        <v>0.98110830000000004</v>
      </c>
      <c r="Y489">
        <v>1.8505819999999999E-3</v>
      </c>
      <c r="Z489" s="1">
        <v>-6.0080349999999998E-5</v>
      </c>
      <c r="AA489">
        <v>0.99999830000000001</v>
      </c>
      <c r="AB489">
        <v>27</v>
      </c>
      <c r="AC489">
        <v>217.32689999999999</v>
      </c>
      <c r="AD489">
        <v>-7.2074999999999806E-2</v>
      </c>
      <c r="AE489">
        <v>-1.4975999999999701</v>
      </c>
      <c r="AF489">
        <v>0.40266910529834699</v>
      </c>
      <c r="AG489">
        <v>-7.2074999999999806E-2</v>
      </c>
      <c r="AH489">
        <v>217.331662988511</v>
      </c>
      <c r="AI489">
        <v>90.019001308931095</v>
      </c>
      <c r="AJ489">
        <v>89.893843292059103</v>
      </c>
      <c r="AK489">
        <v>217.33204796938199</v>
      </c>
      <c r="AL489">
        <v>79.522114536720494</v>
      </c>
      <c r="AM489">
        <v>93.8480357580966</v>
      </c>
      <c r="AN489">
        <v>0.999999980329769</v>
      </c>
    </row>
    <row r="490" spans="1:40" x14ac:dyDescent="0.25">
      <c r="A490" t="str">
        <f>"20190304155323694"</f>
        <v>20190304155323694</v>
      </c>
      <c r="B490" t="str">
        <f>"1551686003685699"</f>
        <v>1551686003685699</v>
      </c>
      <c r="C490" t="s">
        <v>40</v>
      </c>
      <c r="D490">
        <v>4.1455699999999904</v>
      </c>
      <c r="E490">
        <v>0.52544579999999996</v>
      </c>
      <c r="F490" t="s">
        <v>41</v>
      </c>
      <c r="G490">
        <v>-158.19499999999999</v>
      </c>
      <c r="H490">
        <v>1.4244129999999999</v>
      </c>
      <c r="I490">
        <v>365.47890000000001</v>
      </c>
      <c r="J490">
        <v>-375.25869999999998</v>
      </c>
      <c r="K490">
        <v>1.110117</v>
      </c>
      <c r="L490">
        <v>367.41820000000001</v>
      </c>
      <c r="M490">
        <v>0.99993449999999995</v>
      </c>
      <c r="N490">
        <v>-1.0308879999999999E-2</v>
      </c>
      <c r="O490">
        <v>-4.9640580000000004E-3</v>
      </c>
      <c r="P490">
        <v>0.98318119999999998</v>
      </c>
      <c r="Q490">
        <v>0.1723198</v>
      </c>
      <c r="R490">
        <v>6.0502920000000002E-2</v>
      </c>
      <c r="S490">
        <v>3.0520019999999999</v>
      </c>
      <c r="T490">
        <v>4.4150350000000003E-3</v>
      </c>
      <c r="U490">
        <v>-2.7252200000000001E-2</v>
      </c>
      <c r="V490">
        <v>-6.5400829999999993E-2</v>
      </c>
      <c r="W490">
        <v>0.18243690000000001</v>
      </c>
      <c r="X490">
        <v>0.98104000000000002</v>
      </c>
      <c r="Y490">
        <v>3.9650639999999999E-3</v>
      </c>
      <c r="Z490" s="1">
        <v>-7.5925919999999999E-5</v>
      </c>
      <c r="AA490">
        <v>0.99999210000000005</v>
      </c>
      <c r="AB490">
        <v>27</v>
      </c>
      <c r="AC490">
        <v>217.06370000000001</v>
      </c>
      <c r="AD490">
        <v>0.31429599999999902</v>
      </c>
      <c r="AE490">
        <v>-1.9393</v>
      </c>
      <c r="AF490">
        <v>0.86170019678604504</v>
      </c>
      <c r="AG490">
        <v>0.31429599999999902</v>
      </c>
      <c r="AH490">
        <v>217.070197520573</v>
      </c>
      <c r="AI490">
        <v>89.917042136349096</v>
      </c>
      <c r="AJ490">
        <v>89.772555027323904</v>
      </c>
      <c r="AK490">
        <v>217.07213538551099</v>
      </c>
      <c r="AL490">
        <v>79.488265228733297</v>
      </c>
      <c r="AM490">
        <v>93.813968041878695</v>
      </c>
      <c r="AN490">
        <v>0.99999998632314901</v>
      </c>
    </row>
    <row r="491" spans="1:40" x14ac:dyDescent="0.25">
      <c r="A491" t="str">
        <f>"20190304155323717"</f>
        <v>20190304155323717</v>
      </c>
      <c r="B491" t="str">
        <f>"1551686003706194"</f>
        <v>1551686003706194</v>
      </c>
      <c r="C491" t="s">
        <v>40</v>
      </c>
      <c r="D491">
        <v>4.1323480000000004</v>
      </c>
      <c r="E491">
        <v>0.52576849999999997</v>
      </c>
      <c r="F491" t="s">
        <v>41</v>
      </c>
      <c r="G491">
        <v>-158.19499999999999</v>
      </c>
      <c r="H491">
        <v>1.7147269999999999</v>
      </c>
      <c r="I491">
        <v>365.16079999999999</v>
      </c>
      <c r="J491">
        <v>-374.98169999999999</v>
      </c>
      <c r="K491">
        <v>1.1101160000000001</v>
      </c>
      <c r="L491">
        <v>367.4169</v>
      </c>
      <c r="M491">
        <v>0.99993489999999996</v>
      </c>
      <c r="N491">
        <v>-1.031493E-2</v>
      </c>
      <c r="O491">
        <v>-4.8868389999999996E-3</v>
      </c>
      <c r="P491">
        <v>0.98327169999999997</v>
      </c>
      <c r="Q491">
        <v>0.1720419</v>
      </c>
      <c r="R491">
        <v>5.9821920000000001E-2</v>
      </c>
      <c r="S491">
        <v>3.0518190000000001</v>
      </c>
      <c r="T491">
        <v>8.5017679999999998E-3</v>
      </c>
      <c r="U491">
        <v>-3.1738280000000001E-2</v>
      </c>
      <c r="V491">
        <v>-6.4644889999999997E-2</v>
      </c>
      <c r="W491">
        <v>0.18216540000000001</v>
      </c>
      <c r="X491">
        <v>0.98114060000000003</v>
      </c>
      <c r="Y491">
        <v>5.5127489999999999E-3</v>
      </c>
      <c r="Z491" s="1">
        <v>-8.4775349999999998E-5</v>
      </c>
      <c r="AA491">
        <v>0.99998480000000001</v>
      </c>
      <c r="AB491">
        <v>27</v>
      </c>
      <c r="AC491">
        <v>216.7867</v>
      </c>
      <c r="AD491">
        <v>0.60461100000000001</v>
      </c>
      <c r="AE491">
        <v>-2.2561</v>
      </c>
      <c r="AF491">
        <v>1.1966057315479399</v>
      </c>
      <c r="AG491">
        <v>0.60461100000000001</v>
      </c>
      <c r="AH491">
        <v>216.79345081996701</v>
      </c>
      <c r="AI491">
        <v>89.840211773323503</v>
      </c>
      <c r="AJ491">
        <v>89.683755382522193</v>
      </c>
      <c r="AK491">
        <v>216.79759624628599</v>
      </c>
      <c r="AL491">
        <v>79.504086674245102</v>
      </c>
      <c r="AM491">
        <v>93.769626462283398</v>
      </c>
      <c r="AN491">
        <v>1.00000003586431</v>
      </c>
    </row>
    <row r="492" spans="1:40" x14ac:dyDescent="0.25">
      <c r="A492" t="str">
        <f>"20190304155323752"</f>
        <v>20190304155323752</v>
      </c>
      <c r="B492" t="str">
        <f>"1551686003745743"</f>
        <v>1551686003745743</v>
      </c>
      <c r="C492" t="s">
        <v>40</v>
      </c>
      <c r="D492">
        <v>4.1245099999999999</v>
      </c>
      <c r="E492">
        <v>0.52626189999999995</v>
      </c>
      <c r="F492" t="s">
        <v>41</v>
      </c>
      <c r="G492">
        <v>-158.19499999999999</v>
      </c>
      <c r="H492">
        <v>1.7951410000000001</v>
      </c>
      <c r="I492">
        <v>364.81959999999998</v>
      </c>
      <c r="J492">
        <v>-374.56700000000001</v>
      </c>
      <c r="K492">
        <v>1.1101030000000001</v>
      </c>
      <c r="L492">
        <v>367.41500000000002</v>
      </c>
      <c r="M492">
        <v>0.99993540000000003</v>
      </c>
      <c r="N492">
        <v>-1.032402E-2</v>
      </c>
      <c r="O492">
        <v>-4.7719659999999999E-3</v>
      </c>
      <c r="P492">
        <v>0.98352209999999995</v>
      </c>
      <c r="Q492">
        <v>0.17073070000000001</v>
      </c>
      <c r="R492">
        <v>5.9459980000000003E-2</v>
      </c>
      <c r="S492">
        <v>3.0515750000000001</v>
      </c>
      <c r="T492">
        <v>9.6439119999999993E-3</v>
      </c>
      <c r="U492">
        <v>-3.6560059999999998E-2</v>
      </c>
      <c r="V492">
        <v>-6.4170690000000002E-2</v>
      </c>
      <c r="W492">
        <v>0.180866</v>
      </c>
      <c r="X492">
        <v>0.98141210000000001</v>
      </c>
      <c r="Y492">
        <v>7.2083599999999996E-3</v>
      </c>
      <c r="Z492" s="1">
        <v>-9.0167380000000005E-5</v>
      </c>
      <c r="AA492">
        <v>0.99997400000000003</v>
      </c>
      <c r="AB492">
        <v>27</v>
      </c>
      <c r="AC492">
        <v>216.37200000000001</v>
      </c>
      <c r="AD492">
        <v>0.68503799999999904</v>
      </c>
      <c r="AE492">
        <v>-2.5954000000000401</v>
      </c>
      <c r="AF492">
        <v>1.5627800090810799</v>
      </c>
      <c r="AG492">
        <v>0.68503799999999904</v>
      </c>
      <c r="AH492">
        <v>216.37975335920299</v>
      </c>
      <c r="AI492">
        <v>89.818612273922199</v>
      </c>
      <c r="AJ492">
        <v>89.586194454042001</v>
      </c>
      <c r="AK492">
        <v>216.386481144751</v>
      </c>
      <c r="AL492">
        <v>79.579794603114195</v>
      </c>
      <c r="AM492">
        <v>93.741021104339396</v>
      </c>
      <c r="AN492">
        <v>1.0000000487187399</v>
      </c>
    </row>
    <row r="493" spans="1:40" x14ac:dyDescent="0.25">
      <c r="A493" t="str">
        <f>"20190304155323774"</f>
        <v>20190304155323774</v>
      </c>
      <c r="B493" t="str">
        <f>"1551686003766238"</f>
        <v>1551686003766238</v>
      </c>
      <c r="C493" t="s">
        <v>40</v>
      </c>
      <c r="D493">
        <v>4.1386430000000001</v>
      </c>
      <c r="E493">
        <v>0.52647259999999996</v>
      </c>
      <c r="F493" t="s">
        <v>41</v>
      </c>
      <c r="G493">
        <v>-158.19499999999999</v>
      </c>
      <c r="H493">
        <v>1.656161</v>
      </c>
      <c r="I493">
        <v>364.4699</v>
      </c>
      <c r="J493">
        <v>-374.29790000000003</v>
      </c>
      <c r="K493">
        <v>1.1101000000000001</v>
      </c>
      <c r="L493">
        <v>367.41379999999998</v>
      </c>
      <c r="M493">
        <v>0.99993569999999998</v>
      </c>
      <c r="N493">
        <v>-1.0329939999999999E-2</v>
      </c>
      <c r="O493">
        <v>-4.6991649999999999E-3</v>
      </c>
      <c r="P493">
        <v>0.98360440000000005</v>
      </c>
      <c r="Q493">
        <v>0.17034969999999999</v>
      </c>
      <c r="R493">
        <v>5.9189579999999999E-2</v>
      </c>
      <c r="S493">
        <v>3.0514220000000001</v>
      </c>
      <c r="T493">
        <v>7.7021119999999997E-3</v>
      </c>
      <c r="U493">
        <v>-4.1534420000000002E-2</v>
      </c>
      <c r="V493">
        <v>-6.3829319999999995E-2</v>
      </c>
      <c r="W493">
        <v>0.18049180000000001</v>
      </c>
      <c r="X493">
        <v>0.98150320000000002</v>
      </c>
      <c r="Y493">
        <v>8.9115819999999995E-3</v>
      </c>
      <c r="Z493" s="1">
        <v>-9.5186639999999997E-5</v>
      </c>
      <c r="AA493">
        <v>0.99996030000000002</v>
      </c>
      <c r="AB493">
        <v>27</v>
      </c>
      <c r="AC493">
        <v>216.10290000000001</v>
      </c>
      <c r="AD493">
        <v>0.54606099999999902</v>
      </c>
      <c r="AE493">
        <v>-2.9438999999999802</v>
      </c>
      <c r="AF493">
        <v>1.9282979117235901</v>
      </c>
      <c r="AG493">
        <v>0.54606099999999902</v>
      </c>
      <c r="AH493">
        <v>216.11296870679101</v>
      </c>
      <c r="AI493">
        <v>89.855234607573905</v>
      </c>
      <c r="AJ493">
        <v>89.488784033649907</v>
      </c>
      <c r="AK493">
        <v>216.12226113641</v>
      </c>
      <c r="AL493">
        <v>79.601592951759102</v>
      </c>
      <c r="AM493">
        <v>93.720831573027894</v>
      </c>
      <c r="AN493">
        <v>1.00000000178457</v>
      </c>
    </row>
    <row r="494" spans="1:40" x14ac:dyDescent="0.25">
      <c r="A494" t="str">
        <f>"20190304155323795"</f>
        <v>20190304155323795</v>
      </c>
      <c r="B494" t="str">
        <f>"1551686003785759"</f>
        <v>1551686003785759</v>
      </c>
      <c r="C494" t="s">
        <v>40</v>
      </c>
      <c r="D494">
        <v>4.1314039999999999</v>
      </c>
      <c r="E494">
        <v>0.52659309999999904</v>
      </c>
      <c r="F494" t="s">
        <v>41</v>
      </c>
      <c r="G494">
        <v>-158.19499999999999</v>
      </c>
      <c r="H494">
        <v>1.618735</v>
      </c>
      <c r="I494">
        <v>364.29930000000002</v>
      </c>
      <c r="J494">
        <v>-374.03980000000001</v>
      </c>
      <c r="K494">
        <v>1.110101</v>
      </c>
      <c r="L494">
        <v>367.4126</v>
      </c>
      <c r="M494">
        <v>0.99993589999999999</v>
      </c>
      <c r="N494">
        <v>-1.033565E-2</v>
      </c>
      <c r="O494">
        <v>-4.6317440000000001E-3</v>
      </c>
      <c r="P494">
        <v>0.98366520000000002</v>
      </c>
      <c r="Q494">
        <v>0.17018249999999999</v>
      </c>
      <c r="R494">
        <v>5.8657670000000002E-2</v>
      </c>
      <c r="S494">
        <v>3.0513919999999999</v>
      </c>
      <c r="T494">
        <v>7.1831940000000004E-3</v>
      </c>
      <c r="U494">
        <v>-4.397583E-2</v>
      </c>
      <c r="V494">
        <v>-6.3230259999999996E-2</v>
      </c>
      <c r="W494">
        <v>0.1803314</v>
      </c>
      <c r="X494">
        <v>0.98157139999999998</v>
      </c>
      <c r="Y494">
        <v>9.7790350000000002E-3</v>
      </c>
      <c r="Z494" s="1">
        <v>-9.7804240000000004E-5</v>
      </c>
      <c r="AA494">
        <v>0.99995219999999996</v>
      </c>
      <c r="AB494">
        <v>27</v>
      </c>
      <c r="AC494">
        <v>215.84479999999999</v>
      </c>
      <c r="AD494">
        <v>0.50863400000000003</v>
      </c>
      <c r="AE494">
        <v>-3.1132999999999802</v>
      </c>
      <c r="AF494">
        <v>2.1134636487096201</v>
      </c>
      <c r="AG494">
        <v>0.50863400000000003</v>
      </c>
      <c r="AH494">
        <v>215.855706856577</v>
      </c>
      <c r="AI494">
        <v>89.864997172288994</v>
      </c>
      <c r="AJ494">
        <v>89.439029527282699</v>
      </c>
      <c r="AK494">
        <v>215.866652403035</v>
      </c>
      <c r="AL494">
        <v>79.610935930120306</v>
      </c>
      <c r="AM494">
        <v>93.685751624152104</v>
      </c>
      <c r="AN494">
        <v>0.99999994645179202</v>
      </c>
    </row>
    <row r="495" spans="1:40" x14ac:dyDescent="0.25">
      <c r="A495" t="str">
        <f>"20190304155323818"</f>
        <v>20190304155323818</v>
      </c>
      <c r="B495" t="str">
        <f>"1551686003806254"</f>
        <v>1551686003806254</v>
      </c>
      <c r="C495" t="s">
        <v>40</v>
      </c>
      <c r="D495">
        <v>4.1289420000000003</v>
      </c>
      <c r="E495">
        <v>0.52674829999999995</v>
      </c>
      <c r="F495" t="s">
        <v>41</v>
      </c>
      <c r="G495">
        <v>-158.19499999999999</v>
      </c>
      <c r="H495">
        <v>1.6105969999999901</v>
      </c>
      <c r="I495">
        <v>364.08819999999997</v>
      </c>
      <c r="J495">
        <v>-373.76499999999999</v>
      </c>
      <c r="K495">
        <v>1.1100939999999999</v>
      </c>
      <c r="L495">
        <v>367.41140000000001</v>
      </c>
      <c r="M495">
        <v>0.99993609999999999</v>
      </c>
      <c r="N495">
        <v>-1.034176E-2</v>
      </c>
      <c r="O495">
        <v>-4.5656610000000004E-3</v>
      </c>
      <c r="P495">
        <v>0.98381260000000004</v>
      </c>
      <c r="Q495">
        <v>0.16952790000000001</v>
      </c>
      <c r="R495">
        <v>5.8082090000000003E-2</v>
      </c>
      <c r="S495">
        <v>3.0513919999999999</v>
      </c>
      <c r="T495">
        <v>7.0767399999999998E-3</v>
      </c>
      <c r="U495">
        <v>-4.6997070000000002E-2</v>
      </c>
      <c r="V495">
        <v>-6.2589049999999993E-2</v>
      </c>
      <c r="W495">
        <v>0.17968509999999999</v>
      </c>
      <c r="X495">
        <v>0.98173109999999997</v>
      </c>
      <c r="Y495">
        <v>1.0834959999999999E-2</v>
      </c>
      <c r="Z495">
        <v>-1.0127090000000001E-4</v>
      </c>
      <c r="AA495">
        <v>0.99994130000000003</v>
      </c>
      <c r="AB495">
        <v>27</v>
      </c>
      <c r="AC495">
        <v>215.57</v>
      </c>
      <c r="AD495">
        <v>0.50050299999999903</v>
      </c>
      <c r="AE495">
        <v>-3.3232000000000399</v>
      </c>
      <c r="AF495">
        <v>2.3388805772119099</v>
      </c>
      <c r="AG495">
        <v>0.50050299999999903</v>
      </c>
      <c r="AH495">
        <v>215.58176451970499</v>
      </c>
      <c r="AI495">
        <v>89.866987959077704</v>
      </c>
      <c r="AJ495">
        <v>89.378413435104207</v>
      </c>
      <c r="AK495">
        <v>215.59503254722</v>
      </c>
      <c r="AL495">
        <v>79.648582089279003</v>
      </c>
      <c r="AM495">
        <v>93.647884457217799</v>
      </c>
      <c r="AN495">
        <v>1.00000003852456</v>
      </c>
    </row>
    <row r="496" spans="1:40" x14ac:dyDescent="0.25">
      <c r="A496" t="str">
        <f>"20190304155323840"</f>
        <v>20190304155323840</v>
      </c>
      <c r="B496" t="str">
        <f>"1551686003836548"</f>
        <v>1551686003836548</v>
      </c>
      <c r="C496" t="s">
        <v>40</v>
      </c>
      <c r="D496">
        <v>4.1407299999999996</v>
      </c>
      <c r="E496">
        <v>0.52700939999999996</v>
      </c>
      <c r="F496" t="s">
        <v>41</v>
      </c>
      <c r="G496">
        <v>-158.19499999999999</v>
      </c>
      <c r="H496">
        <v>1.5122359999999999</v>
      </c>
      <c r="I496">
        <v>363.8929</v>
      </c>
      <c r="J496">
        <v>-373.49419999999998</v>
      </c>
      <c r="K496">
        <v>1.1100840000000001</v>
      </c>
      <c r="L496">
        <v>367.41030000000001</v>
      </c>
      <c r="M496">
        <v>0.9999363</v>
      </c>
      <c r="N496">
        <v>-1.0347790000000001E-2</v>
      </c>
      <c r="O496">
        <v>-4.5074690000000001E-3</v>
      </c>
      <c r="P496">
        <v>0.98395250000000001</v>
      </c>
      <c r="Q496">
        <v>0.1690479</v>
      </c>
      <c r="R496">
        <v>5.7100100000000001E-2</v>
      </c>
      <c r="S496">
        <v>3.0513309999999998</v>
      </c>
      <c r="T496">
        <v>5.6934359999999996E-3</v>
      </c>
      <c r="U496">
        <v>-4.9804689999999999E-2</v>
      </c>
      <c r="V496">
        <v>-6.1548140000000001E-2</v>
      </c>
      <c r="W496">
        <v>0.1792136</v>
      </c>
      <c r="X496">
        <v>0.98188299999999995</v>
      </c>
      <c r="Y496">
        <v>1.1813270000000001E-2</v>
      </c>
      <c r="Z496">
        <v>-1.051563E-4</v>
      </c>
      <c r="AA496">
        <v>0.99993019999999999</v>
      </c>
      <c r="AB496">
        <v>27</v>
      </c>
      <c r="AC496">
        <v>215.29920000000001</v>
      </c>
      <c r="AD496">
        <v>0.40215200000000001</v>
      </c>
      <c r="AE496">
        <v>-3.5173999999999999</v>
      </c>
      <c r="AF496">
        <v>2.5468489491388699</v>
      </c>
      <c r="AG496">
        <v>0.40215200000000001</v>
      </c>
      <c r="AH496">
        <v>215.31211701402299</v>
      </c>
      <c r="AI496">
        <v>89.892992674678496</v>
      </c>
      <c r="AJ496">
        <v>89.322300608441907</v>
      </c>
      <c r="AK496">
        <v>215.32755489918401</v>
      </c>
      <c r="AL496">
        <v>79.676041959876997</v>
      </c>
      <c r="AM496">
        <v>93.586823219881296</v>
      </c>
      <c r="AN496">
        <v>0.99999995682570797</v>
      </c>
    </row>
    <row r="497" spans="1:40" x14ac:dyDescent="0.25">
      <c r="A497" t="str">
        <f>"20190304155323863"</f>
        <v>20190304155323863</v>
      </c>
      <c r="B497" t="str">
        <f>"1551686003856067"</f>
        <v>1551686003856067</v>
      </c>
      <c r="C497" t="s">
        <v>40</v>
      </c>
      <c r="D497">
        <v>4.1637709999999997</v>
      </c>
      <c r="E497">
        <v>0.52715690000000004</v>
      </c>
      <c r="F497" t="s">
        <v>41</v>
      </c>
      <c r="G497">
        <v>-158.19499999999999</v>
      </c>
      <c r="H497">
        <v>1.4717530000000001</v>
      </c>
      <c r="I497">
        <v>363.52569999999997</v>
      </c>
      <c r="J497">
        <v>-373.21589999999998</v>
      </c>
      <c r="K497">
        <v>1.11008</v>
      </c>
      <c r="L497">
        <v>367.40910000000002</v>
      </c>
      <c r="M497">
        <v>0.99993659999999995</v>
      </c>
      <c r="N497">
        <v>-1.035402E-2</v>
      </c>
      <c r="O497">
        <v>-4.456331E-3</v>
      </c>
      <c r="P497">
        <v>0.98403779999999996</v>
      </c>
      <c r="Q497">
        <v>0.1687237</v>
      </c>
      <c r="R497">
        <v>5.658792E-2</v>
      </c>
      <c r="S497">
        <v>3.0512999999999999</v>
      </c>
      <c r="T497">
        <v>5.1269530000000001E-3</v>
      </c>
      <c r="U497">
        <v>-5.5053709999999999E-2</v>
      </c>
      <c r="V497">
        <v>-6.0982840000000003E-2</v>
      </c>
      <c r="W497">
        <v>0.17889739999999901</v>
      </c>
      <c r="X497">
        <v>0.98197599999999996</v>
      </c>
      <c r="Y497">
        <v>1.358417E-2</v>
      </c>
      <c r="Z497">
        <v>-1.125471E-4</v>
      </c>
      <c r="AA497">
        <v>0.99990769999999995</v>
      </c>
      <c r="AB497">
        <v>27</v>
      </c>
      <c r="AC497">
        <v>215.02090000000001</v>
      </c>
      <c r="AD497">
        <v>0.36167300000000002</v>
      </c>
      <c r="AE497">
        <v>-3.8834000000000501</v>
      </c>
      <c r="AF497">
        <v>2.92509762234197</v>
      </c>
      <c r="AG497">
        <v>0.36167300000000002</v>
      </c>
      <c r="AH497">
        <v>215.03546317447601</v>
      </c>
      <c r="AI497">
        <v>89.903641940352401</v>
      </c>
      <c r="AJ497">
        <v>89.220661513629693</v>
      </c>
      <c r="AK497">
        <v>215.055661227787</v>
      </c>
      <c r="AL497">
        <v>79.694457199702896</v>
      </c>
      <c r="AM497">
        <v>93.553628498021794</v>
      </c>
      <c r="AN497">
        <v>1.0000000255386099</v>
      </c>
    </row>
    <row r="498" spans="1:40" x14ac:dyDescent="0.25">
      <c r="A498" t="str">
        <f>"20190304155323885"</f>
        <v>20190304155323885</v>
      </c>
      <c r="B498" t="str">
        <f>"1551686003876564"</f>
        <v>1551686003876564</v>
      </c>
      <c r="C498" t="s">
        <v>40</v>
      </c>
      <c r="D498">
        <v>4.1785220000000001</v>
      </c>
      <c r="E498">
        <v>0.52731209999999995</v>
      </c>
      <c r="F498" t="s">
        <v>41</v>
      </c>
      <c r="G498">
        <v>-158.19499999999999</v>
      </c>
      <c r="H498">
        <v>1.433095</v>
      </c>
      <c r="I498">
        <v>363.33370000000002</v>
      </c>
      <c r="J498">
        <v>-372.95010000000002</v>
      </c>
      <c r="K498">
        <v>1.1100680000000001</v>
      </c>
      <c r="L498">
        <v>367.40800000000002</v>
      </c>
      <c r="M498">
        <v>0.99993659999999995</v>
      </c>
      <c r="N498">
        <v>-1.035998E-2</v>
      </c>
      <c r="O498">
        <v>-4.4168810000000001E-3</v>
      </c>
      <c r="P498">
        <v>0.98401510000000003</v>
      </c>
      <c r="Q498">
        <v>0.16893169999999999</v>
      </c>
      <c r="R498">
        <v>5.6360569999999999E-2</v>
      </c>
      <c r="S498">
        <v>3.0512079999999999</v>
      </c>
      <c r="T498">
        <v>4.5849080000000004E-3</v>
      </c>
      <c r="U498">
        <v>-5.7830810000000003E-2</v>
      </c>
      <c r="V498">
        <v>-6.071352E-2</v>
      </c>
      <c r="W498">
        <v>0.179112299999999</v>
      </c>
      <c r="X498">
        <v>0.98195350000000003</v>
      </c>
      <c r="Y498">
        <v>1.4533910000000001E-2</v>
      </c>
      <c r="Z498">
        <v>-1.16768E-4</v>
      </c>
      <c r="AA498">
        <v>0.99989439999999996</v>
      </c>
      <c r="AB498">
        <v>27</v>
      </c>
      <c r="AC498">
        <v>214.7551</v>
      </c>
      <c r="AD498">
        <v>0.32302699999999901</v>
      </c>
      <c r="AE498">
        <v>-4.0742999999999903</v>
      </c>
      <c r="AF498">
        <v>3.12565457540477</v>
      </c>
      <c r="AG498">
        <v>0.32302699999999901</v>
      </c>
      <c r="AH498">
        <v>214.770515871703</v>
      </c>
      <c r="AI498">
        <v>89.913833097541698</v>
      </c>
      <c r="AJ498">
        <v>89.166206904414395</v>
      </c>
      <c r="AK498">
        <v>214.79350211485701</v>
      </c>
      <c r="AL498">
        <v>79.681942054187303</v>
      </c>
      <c r="AM498">
        <v>93.538055334996798</v>
      </c>
      <c r="AN498">
        <v>1.0000000118421599</v>
      </c>
    </row>
    <row r="499" spans="1:40" x14ac:dyDescent="0.25">
      <c r="A499" t="str">
        <f>"20190304155323907"</f>
        <v>20190304155323907</v>
      </c>
      <c r="B499" t="str">
        <f>"1551686003896083"</f>
        <v>1551686003896083</v>
      </c>
      <c r="C499" t="s">
        <v>40</v>
      </c>
      <c r="D499">
        <v>4.1636129999999998</v>
      </c>
      <c r="E499">
        <v>0.52742299999999998</v>
      </c>
      <c r="F499" t="s">
        <v>41</v>
      </c>
      <c r="G499">
        <v>-158.19499999999999</v>
      </c>
      <c r="H499">
        <v>1.5106759999999999</v>
      </c>
      <c r="I499">
        <v>363.17660000000001</v>
      </c>
      <c r="J499">
        <v>-372.67750000000001</v>
      </c>
      <c r="K499">
        <v>1.1100669999999999</v>
      </c>
      <c r="L499">
        <v>367.40679999999998</v>
      </c>
      <c r="M499">
        <v>0.99993659999999995</v>
      </c>
      <c r="N499">
        <v>-1.036612E-2</v>
      </c>
      <c r="O499">
        <v>-4.3856490000000001E-3</v>
      </c>
      <c r="P499">
        <v>0.98390759999999999</v>
      </c>
      <c r="Q499">
        <v>0.1694447</v>
      </c>
      <c r="R499">
        <v>5.669681E-2</v>
      </c>
      <c r="S499">
        <v>3.0512389999999998</v>
      </c>
      <c r="T499">
        <v>5.6930779999999999E-3</v>
      </c>
      <c r="U499">
        <v>-6.011963E-2</v>
      </c>
      <c r="V499">
        <v>-6.1015279999999998E-2</v>
      </c>
      <c r="W499">
        <v>0.17963109999999999</v>
      </c>
      <c r="X499">
        <v>0.98184000000000005</v>
      </c>
      <c r="Y499">
        <v>1.531476E-2</v>
      </c>
      <c r="Z499">
        <v>-1.187422E-4</v>
      </c>
      <c r="AA499">
        <v>0.99988270000000001</v>
      </c>
      <c r="AB499">
        <v>27</v>
      </c>
      <c r="AC499">
        <v>214.48249999999999</v>
      </c>
      <c r="AD499">
        <v>0.40060899999999999</v>
      </c>
      <c r="AE499">
        <v>-4.23019999999996</v>
      </c>
      <c r="AF499">
        <v>3.2894522878966499</v>
      </c>
      <c r="AG499">
        <v>0.40060899999999999</v>
      </c>
      <c r="AH499">
        <v>214.49824225031</v>
      </c>
      <c r="AI499">
        <v>89.893003879992307</v>
      </c>
      <c r="AJ499">
        <v>89.121405573261498</v>
      </c>
      <c r="AK499">
        <v>214.52383763208701</v>
      </c>
      <c r="AL499">
        <v>79.651726738777597</v>
      </c>
      <c r="AM499">
        <v>93.556005243020095</v>
      </c>
      <c r="AN499">
        <v>0.99999999104034398</v>
      </c>
    </row>
    <row r="500" spans="1:40" x14ac:dyDescent="0.25">
      <c r="A500" t="str">
        <f>"20190304155323929"</f>
        <v>20190304155323929</v>
      </c>
      <c r="B500" t="str">
        <f>"1551686003926340"</f>
        <v>1551686003926340</v>
      </c>
      <c r="C500" t="s">
        <v>40</v>
      </c>
      <c r="D500">
        <v>4.164161</v>
      </c>
      <c r="E500">
        <v>0.52752600000000005</v>
      </c>
      <c r="F500" t="s">
        <v>41</v>
      </c>
      <c r="G500">
        <v>-158.19499999999999</v>
      </c>
      <c r="H500">
        <v>1.6368849999999999</v>
      </c>
      <c r="I500">
        <v>363.20429999999999</v>
      </c>
      <c r="J500">
        <v>-372.40730000000002</v>
      </c>
      <c r="K500">
        <v>1.110053</v>
      </c>
      <c r="L500">
        <v>367.40559999999999</v>
      </c>
      <c r="M500">
        <v>0.99993670000000001</v>
      </c>
      <c r="N500">
        <v>-1.03722E-2</v>
      </c>
      <c r="O500">
        <v>-4.3639480000000003E-3</v>
      </c>
      <c r="P500">
        <v>0.98395319999999997</v>
      </c>
      <c r="Q500">
        <v>0.1690519</v>
      </c>
      <c r="R500">
        <v>5.7076000000000002E-2</v>
      </c>
      <c r="S500">
        <v>3.0511780000000002</v>
      </c>
      <c r="T500">
        <v>7.4956419999999899E-3</v>
      </c>
      <c r="U500">
        <v>-5.9783940000000001E-2</v>
      </c>
      <c r="V500">
        <v>-6.1370330000000001E-2</v>
      </c>
      <c r="W500">
        <v>0.17924599999999999</v>
      </c>
      <c r="X500">
        <v>0.98188819999999999</v>
      </c>
      <c r="Y500">
        <v>1.522694E-2</v>
      </c>
      <c r="Z500">
        <v>-1.162563E-4</v>
      </c>
      <c r="AA500">
        <v>0.99988410000000005</v>
      </c>
      <c r="AB500">
        <v>27</v>
      </c>
      <c r="AC500">
        <v>214.2123</v>
      </c>
      <c r="AD500">
        <v>0.52683199999999997</v>
      </c>
      <c r="AE500">
        <v>-4.2012999999999998</v>
      </c>
      <c r="AF500">
        <v>3.26637862858284</v>
      </c>
      <c r="AG500">
        <v>0.52683199999999997</v>
      </c>
      <c r="AH500">
        <v>214.227299998755</v>
      </c>
      <c r="AI500">
        <v>89.859113748907205</v>
      </c>
      <c r="AJ500">
        <v>89.126464232378297</v>
      </c>
      <c r="AK500">
        <v>214.252847929865</v>
      </c>
      <c r="AL500">
        <v>79.674154862955206</v>
      </c>
      <c r="AM500">
        <v>93.576469081050703</v>
      </c>
      <c r="AN500">
        <v>0.99999994160977201</v>
      </c>
    </row>
    <row r="501" spans="1:40" x14ac:dyDescent="0.25">
      <c r="A501" t="str">
        <f>"20190304155323953"</f>
        <v>20190304155323953</v>
      </c>
      <c r="B501" t="str">
        <f>"1551686003945860"</f>
        <v>1551686003945860</v>
      </c>
      <c r="C501" t="s">
        <v>40</v>
      </c>
      <c r="D501">
        <v>4.1885089999999998</v>
      </c>
      <c r="E501">
        <v>0.52764639999999996</v>
      </c>
      <c r="F501" t="s">
        <v>41</v>
      </c>
      <c r="G501">
        <v>-158.19499999999999</v>
      </c>
      <c r="H501">
        <v>1.575698</v>
      </c>
      <c r="I501">
        <v>363.22989999999999</v>
      </c>
      <c r="J501">
        <v>-372.11439999999999</v>
      </c>
      <c r="K501">
        <v>1.1100460000000001</v>
      </c>
      <c r="L501">
        <v>367.40440000000001</v>
      </c>
      <c r="M501">
        <v>0.99993679999999996</v>
      </c>
      <c r="N501">
        <v>-1.0378780000000001E-2</v>
      </c>
      <c r="O501">
        <v>-4.3500040000000002E-3</v>
      </c>
      <c r="P501">
        <v>0.98411709999999997</v>
      </c>
      <c r="Q501">
        <v>0.1680171</v>
      </c>
      <c r="R501">
        <v>5.7305809999999999E-2</v>
      </c>
      <c r="S501">
        <v>3.0512389999999998</v>
      </c>
      <c r="T501">
        <v>6.6338780000000002E-3</v>
      </c>
      <c r="U501">
        <v>-5.9478759999999999E-2</v>
      </c>
      <c r="V501">
        <v>-6.158425E-2</v>
      </c>
      <c r="W501">
        <v>0.1782204</v>
      </c>
      <c r="X501">
        <v>0.98206159999999998</v>
      </c>
      <c r="Y501">
        <v>1.5140499999999999E-2</v>
      </c>
      <c r="Z501">
        <v>-1.167234E-4</v>
      </c>
      <c r="AA501">
        <v>0.99988540000000004</v>
      </c>
      <c r="AB501">
        <v>27</v>
      </c>
      <c r="AC501">
        <v>213.9194</v>
      </c>
      <c r="AD501">
        <v>0.46565200000000001</v>
      </c>
      <c r="AE501">
        <v>-4.1745000000000196</v>
      </c>
      <c r="AF501">
        <v>3.2438448806052</v>
      </c>
      <c r="AG501">
        <v>0.46565200000000001</v>
      </c>
      <c r="AH501">
        <v>213.93452259163601</v>
      </c>
      <c r="AI501">
        <v>89.8753039695615</v>
      </c>
      <c r="AJ501">
        <v>89.1313025258208</v>
      </c>
      <c r="AK501">
        <v>213.959620765007</v>
      </c>
      <c r="AL501">
        <v>79.733880339321701</v>
      </c>
      <c r="AM501">
        <v>93.588271109174997</v>
      </c>
      <c r="AN501">
        <v>1.00000005850938</v>
      </c>
    </row>
    <row r="502" spans="1:40" x14ac:dyDescent="0.25">
      <c r="A502" t="str">
        <f>"20190304155323975"</f>
        <v>20190304155323975</v>
      </c>
      <c r="B502" t="str">
        <f>"1551686003966355"</f>
        <v>1551686003966355</v>
      </c>
      <c r="C502" t="s">
        <v>40</v>
      </c>
      <c r="D502">
        <v>4.2071489999999896</v>
      </c>
      <c r="E502">
        <v>0.52775399999999995</v>
      </c>
      <c r="F502" t="s">
        <v>41</v>
      </c>
      <c r="G502">
        <v>-158.19499999999999</v>
      </c>
      <c r="H502">
        <v>1.370079</v>
      </c>
      <c r="I502">
        <v>363.18950000000001</v>
      </c>
      <c r="J502">
        <v>-371.8553</v>
      </c>
      <c r="K502">
        <v>1.1100410000000001</v>
      </c>
      <c r="L502">
        <v>367.40320000000003</v>
      </c>
      <c r="M502">
        <v>0.99993670000000001</v>
      </c>
      <c r="N502">
        <v>-1.0384600000000001E-2</v>
      </c>
      <c r="O502">
        <v>-4.3443730000000003E-3</v>
      </c>
      <c r="P502">
        <v>0.9842805</v>
      </c>
      <c r="Q502">
        <v>0.16678289999999901</v>
      </c>
      <c r="R502">
        <v>5.8099970000000001E-2</v>
      </c>
      <c r="S502">
        <v>3.0512700000000001</v>
      </c>
      <c r="T502">
        <v>3.7102699999999999E-3</v>
      </c>
      <c r="U502">
        <v>-6.011963E-2</v>
      </c>
      <c r="V502">
        <v>-6.237185E-2</v>
      </c>
      <c r="W502">
        <v>0.17699419999999999</v>
      </c>
      <c r="X502">
        <v>0.98223360000000004</v>
      </c>
      <c r="Y502">
        <v>1.535576E-2</v>
      </c>
      <c r="Z502">
        <v>-1.208001E-4</v>
      </c>
      <c r="AA502">
        <v>0.9998821</v>
      </c>
      <c r="AB502">
        <v>27</v>
      </c>
      <c r="AC502">
        <v>213.66030000000001</v>
      </c>
      <c r="AD502">
        <v>0.26003799999999999</v>
      </c>
      <c r="AE502">
        <v>-4.21370000000001</v>
      </c>
      <c r="AF502">
        <v>3.2853853295909001</v>
      </c>
      <c r="AG502">
        <v>0.26003799999999999</v>
      </c>
      <c r="AH502">
        <v>213.67627399361299</v>
      </c>
      <c r="AI502">
        <v>89.930280926974305</v>
      </c>
      <c r="AJ502">
        <v>89.119116603793799</v>
      </c>
      <c r="AK502">
        <v>213.70168797723301</v>
      </c>
      <c r="AL502">
        <v>79.805271041016297</v>
      </c>
      <c r="AM502">
        <v>93.633404594714506</v>
      </c>
      <c r="AN502">
        <v>1.0000000197375101</v>
      </c>
    </row>
    <row r="503" spans="1:40" x14ac:dyDescent="0.25">
      <c r="A503" t="str">
        <f>"20190304155323995"</f>
        <v>20190304155323995</v>
      </c>
      <c r="B503" t="str">
        <f>"1551686003985875"</f>
        <v>1551686003985875</v>
      </c>
      <c r="C503" t="s">
        <v>40</v>
      </c>
      <c r="D503">
        <v>4.1909489999999998</v>
      </c>
      <c r="E503">
        <v>0.52779690000000001</v>
      </c>
      <c r="F503" t="s">
        <v>41</v>
      </c>
      <c r="G503">
        <v>-158.19499999999999</v>
      </c>
      <c r="H503">
        <v>1.1127910000000001</v>
      </c>
      <c r="I503">
        <v>363.27910000000003</v>
      </c>
      <c r="J503">
        <v>-371.59870000000001</v>
      </c>
      <c r="K503">
        <v>1.1100380000000001</v>
      </c>
      <c r="L503">
        <v>367.40210000000002</v>
      </c>
      <c r="M503">
        <v>0.99993659999999995</v>
      </c>
      <c r="N503">
        <v>-1.039035E-2</v>
      </c>
      <c r="O503">
        <v>-4.3426569999999998E-3</v>
      </c>
      <c r="P503">
        <v>0.98438550000000002</v>
      </c>
      <c r="Q503">
        <v>0.16618329999999901</v>
      </c>
      <c r="R503">
        <v>5.8039159999999999E-2</v>
      </c>
      <c r="S503">
        <v>3.051361</v>
      </c>
      <c r="T503" s="1">
        <v>4.053116E-5</v>
      </c>
      <c r="U503">
        <v>-5.8898930000000002E-2</v>
      </c>
      <c r="V503">
        <v>-6.2308330000000002E-2</v>
      </c>
      <c r="W503">
        <v>0.1764019</v>
      </c>
      <c r="X503">
        <v>0.9823442</v>
      </c>
      <c r="Y503">
        <v>1.495689E-2</v>
      </c>
      <c r="Z503">
        <v>-1.227906E-4</v>
      </c>
      <c r="AA503">
        <v>0.99988809999999995</v>
      </c>
      <c r="AB503">
        <v>27</v>
      </c>
      <c r="AC503">
        <v>213.40369999999999</v>
      </c>
      <c r="AD503">
        <v>2.7530000000002201E-3</v>
      </c>
      <c r="AE503">
        <v>-4.1229999999999896</v>
      </c>
      <c r="AF503">
        <v>3.19617202739872</v>
      </c>
      <c r="AG503">
        <v>2.7530000000002201E-3</v>
      </c>
      <c r="AH503">
        <v>213.419593224013</v>
      </c>
      <c r="AI503">
        <v>89.9992609975818</v>
      </c>
      <c r="AJ503">
        <v>89.142002492743799</v>
      </c>
      <c r="AK503">
        <v>213.443524837627</v>
      </c>
      <c r="AL503">
        <v>79.839750088245594</v>
      </c>
      <c r="AM503">
        <v>93.629306633844294</v>
      </c>
      <c r="AN503">
        <v>1.0000000427923099</v>
      </c>
    </row>
    <row r="504" spans="1:40" x14ac:dyDescent="0.25">
      <c r="A504" t="str">
        <f>"20190304155324018"</f>
        <v>20190304155324018</v>
      </c>
      <c r="B504" t="str">
        <f>"1551686004006372"</f>
        <v>1551686004006372</v>
      </c>
      <c r="C504" t="s">
        <v>40</v>
      </c>
      <c r="D504">
        <v>4.1887670000000004</v>
      </c>
      <c r="E504">
        <v>0.52788869999999999</v>
      </c>
      <c r="F504" t="s">
        <v>41</v>
      </c>
      <c r="G504">
        <v>-158.19499999999999</v>
      </c>
      <c r="H504">
        <v>0.98001669999999996</v>
      </c>
      <c r="I504">
        <v>363.23820000000001</v>
      </c>
      <c r="J504">
        <v>-371.31979999999999</v>
      </c>
      <c r="K504">
        <v>1.110036</v>
      </c>
      <c r="L504">
        <v>367.40089999999998</v>
      </c>
      <c r="M504">
        <v>0.99993659999999995</v>
      </c>
      <c r="N504">
        <v>-1.0396610000000001E-2</v>
      </c>
      <c r="O504">
        <v>-4.3429549999999999E-3</v>
      </c>
      <c r="P504">
        <v>0.98435119999999998</v>
      </c>
      <c r="Q504">
        <v>0.16630120000000001</v>
      </c>
      <c r="R504">
        <v>5.8281939999999997E-2</v>
      </c>
      <c r="S504">
        <v>3.0513919999999999</v>
      </c>
      <c r="T504">
        <v>-1.857877E-3</v>
      </c>
      <c r="U504">
        <v>-5.9539790000000002E-2</v>
      </c>
      <c r="V504">
        <v>-6.2550030000000006E-2</v>
      </c>
      <c r="W504">
        <v>0.17652579999999901</v>
      </c>
      <c r="X504">
        <v>0.98230649999999997</v>
      </c>
      <c r="Y504">
        <v>1.5166239999999999E-2</v>
      </c>
      <c r="Z504">
        <v>-1.2597079999999999E-4</v>
      </c>
      <c r="AA504">
        <v>0.99988500000000002</v>
      </c>
      <c r="AB504">
        <v>27</v>
      </c>
      <c r="AC504">
        <v>213.12479999999999</v>
      </c>
      <c r="AD504">
        <v>-0.1300193</v>
      </c>
      <c r="AE504">
        <v>-4.1626999999999699</v>
      </c>
      <c r="AF504">
        <v>3.2370181628642101</v>
      </c>
      <c r="AG504">
        <v>-0.1300193</v>
      </c>
      <c r="AH504">
        <v>213.14078997161801</v>
      </c>
      <c r="AI504">
        <v>90.034947309914998</v>
      </c>
      <c r="AJ504">
        <v>89.129902720832902</v>
      </c>
      <c r="AK504">
        <v>213.16540887613601</v>
      </c>
      <c r="AL504">
        <v>79.832537133614295</v>
      </c>
      <c r="AM504">
        <v>93.643486667668398</v>
      </c>
      <c r="AN504">
        <v>0.99999996213044395</v>
      </c>
    </row>
    <row r="505" spans="1:40" x14ac:dyDescent="0.25">
      <c r="A505" t="str">
        <f>"20190304155324042"</f>
        <v>20190304155324042</v>
      </c>
      <c r="B505" t="str">
        <f>"1551686004036158"</f>
        <v>1551686004036158</v>
      </c>
      <c r="C505" t="s">
        <v>40</v>
      </c>
      <c r="D505">
        <v>4.2064820000000003</v>
      </c>
      <c r="E505">
        <v>0.52797399999999906</v>
      </c>
      <c r="F505" t="s">
        <v>41</v>
      </c>
      <c r="G505">
        <v>-158.19499999999999</v>
      </c>
      <c r="H505">
        <v>1.006173</v>
      </c>
      <c r="I505">
        <v>363.26589999999999</v>
      </c>
      <c r="J505">
        <v>-371.03519999999997</v>
      </c>
      <c r="K505">
        <v>1.1100289999999999</v>
      </c>
      <c r="L505">
        <v>367.3997</v>
      </c>
      <c r="M505">
        <v>0.99993659999999995</v>
      </c>
      <c r="N505">
        <v>-1.040317E-2</v>
      </c>
      <c r="O505">
        <v>-4.3452650000000001E-3</v>
      </c>
      <c r="P505">
        <v>0.98428139999999997</v>
      </c>
      <c r="Q505">
        <v>0.16669020000000001</v>
      </c>
      <c r="R505">
        <v>5.8352330000000001E-2</v>
      </c>
      <c r="S505">
        <v>3.051453</v>
      </c>
      <c r="T505">
        <v>-1.4858250000000001E-3</v>
      </c>
      <c r="U505">
        <v>-5.9204100000000003E-2</v>
      </c>
      <c r="V505">
        <v>-6.2621860000000001E-2</v>
      </c>
      <c r="W505">
        <v>0.17692049999999901</v>
      </c>
      <c r="X505">
        <v>0.98223099999999997</v>
      </c>
      <c r="Y505">
        <v>1.50536E-2</v>
      </c>
      <c r="Z505">
        <v>-1.2506339999999999E-4</v>
      </c>
      <c r="AA505">
        <v>0.99988670000000002</v>
      </c>
      <c r="AB505">
        <v>27</v>
      </c>
      <c r="AC505">
        <v>212.84020000000001</v>
      </c>
      <c r="AD505">
        <v>-0.103856</v>
      </c>
      <c r="AE505">
        <v>-4.1337999999999999</v>
      </c>
      <c r="AF505">
        <v>3.20886322808368</v>
      </c>
      <c r="AG505">
        <v>-0.103856</v>
      </c>
      <c r="AH505">
        <v>212.85610318507099</v>
      </c>
      <c r="AI505">
        <v>90.0279523765753</v>
      </c>
      <c r="AJ505">
        <v>89.136316077652793</v>
      </c>
      <c r="AK505">
        <v>212.88031438444199</v>
      </c>
      <c r="AL505">
        <v>79.809561750406999</v>
      </c>
      <c r="AM505">
        <v>93.647939038248794</v>
      </c>
      <c r="AN505">
        <v>1.0000000490155501</v>
      </c>
    </row>
    <row r="506" spans="1:40" x14ac:dyDescent="0.25">
      <c r="A506" t="str">
        <f>"20190304155324064"</f>
        <v>20190304155324064</v>
      </c>
      <c r="B506" t="str">
        <f>"1551686004056186"</f>
        <v>1551686004056186</v>
      </c>
      <c r="C506" t="s">
        <v>40</v>
      </c>
      <c r="D506">
        <v>4.2585249999999997</v>
      </c>
      <c r="E506">
        <v>0.52807799999999905</v>
      </c>
      <c r="F506" t="s">
        <v>41</v>
      </c>
      <c r="G506">
        <v>-158.19499999999999</v>
      </c>
      <c r="H506">
        <v>1.084589</v>
      </c>
      <c r="I506">
        <v>363.22559999999999</v>
      </c>
      <c r="J506">
        <v>-370.7586</v>
      </c>
      <c r="K506">
        <v>1.110026</v>
      </c>
      <c r="L506">
        <v>367.39839999999998</v>
      </c>
      <c r="M506">
        <v>0.99993659999999995</v>
      </c>
      <c r="N506">
        <v>-1.040948E-2</v>
      </c>
      <c r="O506">
        <v>-4.3474450000000001E-3</v>
      </c>
      <c r="P506">
        <v>0.98429080000000002</v>
      </c>
      <c r="Q506">
        <v>0.16665559999999999</v>
      </c>
      <c r="R506">
        <v>5.8291219999999998E-2</v>
      </c>
      <c r="S506">
        <v>3.0515439999999998</v>
      </c>
      <c r="T506">
        <v>-3.6346909999999998E-4</v>
      </c>
      <c r="U506">
        <v>-5.9844969999999997E-2</v>
      </c>
      <c r="V506">
        <v>-6.2562699999999999E-2</v>
      </c>
      <c r="W506">
        <v>0.17689240000000001</v>
      </c>
      <c r="X506">
        <v>0.9822398</v>
      </c>
      <c r="Y506">
        <v>1.52608E-2</v>
      </c>
      <c r="Z506">
        <v>-1.250814E-4</v>
      </c>
      <c r="AA506">
        <v>0.99988350000000004</v>
      </c>
      <c r="AB506">
        <v>27</v>
      </c>
      <c r="AC506">
        <v>212.56360000000001</v>
      </c>
      <c r="AD506">
        <v>-2.5436999999999901E-2</v>
      </c>
      <c r="AE506">
        <v>-4.1727999999999899</v>
      </c>
      <c r="AF506">
        <v>3.2486020978074399</v>
      </c>
      <c r="AG506">
        <v>-2.5436999999999901E-2</v>
      </c>
      <c r="AH506">
        <v>212.57972997237499</v>
      </c>
      <c r="AI506">
        <v>90.006855134244304</v>
      </c>
      <c r="AJ506">
        <v>89.124485188303694</v>
      </c>
      <c r="AK506">
        <v>212.60455229782599</v>
      </c>
      <c r="AL506">
        <v>79.811197249669206</v>
      </c>
      <c r="AM506">
        <v>93.644469493679495</v>
      </c>
      <c r="AN506">
        <v>1.0000000186565401</v>
      </c>
    </row>
    <row r="507" spans="1:40" x14ac:dyDescent="0.25">
      <c r="A507" t="str">
        <f>"20190304155324086"</f>
        <v>20190304155324086</v>
      </c>
      <c r="B507" t="str">
        <f>"1551686004075706"</f>
        <v>1551686004075706</v>
      </c>
      <c r="C507" t="s">
        <v>40</v>
      </c>
      <c r="D507">
        <v>4.241727</v>
      </c>
      <c r="E507">
        <v>0.52814169999999905</v>
      </c>
      <c r="F507" t="s">
        <v>41</v>
      </c>
      <c r="G507">
        <v>-158.19499999999999</v>
      </c>
      <c r="H507">
        <v>1.0977399999999999</v>
      </c>
      <c r="I507">
        <v>363.10860000000002</v>
      </c>
      <c r="J507">
        <v>-370.49020000000002</v>
      </c>
      <c r="K507">
        <v>1.110025</v>
      </c>
      <c r="L507">
        <v>367.39729999999997</v>
      </c>
      <c r="M507">
        <v>0.9999363</v>
      </c>
      <c r="N507">
        <v>-1.041539E-2</v>
      </c>
      <c r="O507">
        <v>-4.3491420000000003E-3</v>
      </c>
      <c r="P507">
        <v>0.98440810000000001</v>
      </c>
      <c r="Q507">
        <v>0.1660441</v>
      </c>
      <c r="R507">
        <v>5.8054210000000002E-2</v>
      </c>
      <c r="S507">
        <v>3.0515439999999998</v>
      </c>
      <c r="T507">
        <v>-1.7511839999999999E-4</v>
      </c>
      <c r="U507">
        <v>-6.1584470000000002E-2</v>
      </c>
      <c r="V507">
        <v>-6.2328370000000001E-2</v>
      </c>
      <c r="W507">
        <v>0.17628740000000001</v>
      </c>
      <c r="X507">
        <v>0.98236349999999995</v>
      </c>
      <c r="Y507">
        <v>1.5828849999999998E-2</v>
      </c>
      <c r="Z507">
        <v>-1.279423E-4</v>
      </c>
      <c r="AA507">
        <v>0.99987470000000001</v>
      </c>
      <c r="AB507">
        <v>27</v>
      </c>
      <c r="AC507">
        <v>212.29519999999999</v>
      </c>
      <c r="AD507">
        <v>-1.22850000000001E-2</v>
      </c>
      <c r="AE507">
        <v>-4.28869999999994</v>
      </c>
      <c r="AF507">
        <v>3.3653073685746402</v>
      </c>
      <c r="AG507">
        <v>-1.22850000000001E-2</v>
      </c>
      <c r="AH507">
        <v>212.311844453394</v>
      </c>
      <c r="AI507">
        <v>90.003314889215304</v>
      </c>
      <c r="AJ507">
        <v>89.091893513517505</v>
      </c>
      <c r="AK507">
        <v>212.33851449939201</v>
      </c>
      <c r="AL507">
        <v>79.846415075118401</v>
      </c>
      <c r="AM507">
        <v>93.630399657795195</v>
      </c>
      <c r="AN507">
        <v>1.00000005961893</v>
      </c>
    </row>
    <row r="508" spans="1:40" x14ac:dyDescent="0.25">
      <c r="A508" t="str">
        <f>"20190304155324108"</f>
        <v>20190304155324108</v>
      </c>
      <c r="B508" t="str">
        <f>"1551686004096201"</f>
        <v>1551686004096201</v>
      </c>
      <c r="C508" t="s">
        <v>40</v>
      </c>
      <c r="D508">
        <v>4.2444249999999997</v>
      </c>
      <c r="E508">
        <v>0.5282038</v>
      </c>
      <c r="F508" t="s">
        <v>41</v>
      </c>
      <c r="G508">
        <v>-158.19499999999999</v>
      </c>
      <c r="H508">
        <v>0.94810910000000004</v>
      </c>
      <c r="I508">
        <v>363.0641</v>
      </c>
      <c r="J508">
        <v>-370.21269999999998</v>
      </c>
      <c r="K508">
        <v>1.1100139999999901</v>
      </c>
      <c r="L508">
        <v>367.39609999999999</v>
      </c>
      <c r="M508">
        <v>0.99993620000000005</v>
      </c>
      <c r="N508">
        <v>-1.042032E-2</v>
      </c>
      <c r="O508">
        <v>-4.3503580000000003E-3</v>
      </c>
      <c r="P508">
        <v>0.9846298</v>
      </c>
      <c r="Q508">
        <v>0.16488939999999999</v>
      </c>
      <c r="R508">
        <v>5.7583049999999997E-2</v>
      </c>
      <c r="S508">
        <v>3.0515439999999998</v>
      </c>
      <c r="T508">
        <v>-2.3261309999999999E-3</v>
      </c>
      <c r="U508">
        <v>-6.2286380000000002E-2</v>
      </c>
      <c r="V508">
        <v>-6.1859219999999999E-2</v>
      </c>
      <c r="W508">
        <v>0.17514009999999999</v>
      </c>
      <c r="X508">
        <v>0.98259830000000004</v>
      </c>
      <c r="Y508">
        <v>1.6057430000000001E-2</v>
      </c>
      <c r="Z508">
        <v>-1.3180599999999999E-4</v>
      </c>
      <c r="AA508">
        <v>0.99987110000000001</v>
      </c>
      <c r="AB508">
        <v>27</v>
      </c>
      <c r="AC508">
        <v>212.01769999999999</v>
      </c>
      <c r="AD508">
        <v>-0.16190489999999899</v>
      </c>
      <c r="AE508">
        <v>-4.3319999999999901</v>
      </c>
      <c r="AF508">
        <v>3.4095539974268898</v>
      </c>
      <c r="AG508">
        <v>-0.16190489999999899</v>
      </c>
      <c r="AH508">
        <v>212.03441666974999</v>
      </c>
      <c r="AI508">
        <v>90.043744155824101</v>
      </c>
      <c r="AJ508">
        <v>89.078752298290993</v>
      </c>
      <c r="AK508">
        <v>212.06188984383499</v>
      </c>
      <c r="AL508">
        <v>79.913189025552199</v>
      </c>
      <c r="AM508">
        <v>93.602286912080302</v>
      </c>
      <c r="AN508">
        <v>1.00000001844495</v>
      </c>
    </row>
    <row r="509" spans="1:40" x14ac:dyDescent="0.25">
      <c r="A509" t="str">
        <f>"20190304155324131"</f>
        <v>20190304155324131</v>
      </c>
      <c r="B509" t="str">
        <f>"1551686004126458"</f>
        <v>1551686004126458</v>
      </c>
      <c r="C509" t="s">
        <v>40</v>
      </c>
      <c r="D509">
        <v>4.3261139999999996</v>
      </c>
      <c r="E509">
        <v>0.50722990000000001</v>
      </c>
      <c r="F509" t="s">
        <v>41</v>
      </c>
      <c r="G509">
        <v>-158.19499999999999</v>
      </c>
      <c r="H509">
        <v>0.68079659999999997</v>
      </c>
      <c r="I509">
        <v>362.94349999999997</v>
      </c>
      <c r="J509">
        <v>-369.9375</v>
      </c>
      <c r="K509">
        <v>1.1100099999999999</v>
      </c>
      <c r="L509">
        <v>367.39490000000001</v>
      </c>
      <c r="M509">
        <v>0.9999363</v>
      </c>
      <c r="N509">
        <v>-1.0421110000000001E-2</v>
      </c>
      <c r="O509">
        <v>-4.3509569999999999E-3</v>
      </c>
      <c r="P509">
        <v>0.98483900000000002</v>
      </c>
      <c r="Q509">
        <v>0.16383729999999999</v>
      </c>
      <c r="R509">
        <v>5.7007130000000003E-2</v>
      </c>
      <c r="S509">
        <v>3.0515750000000001</v>
      </c>
      <c r="T509">
        <v>-6.1764719999999997E-3</v>
      </c>
      <c r="U509">
        <v>-6.4086909999999997E-2</v>
      </c>
      <c r="V509">
        <v>-6.1285100000000002E-2</v>
      </c>
      <c r="W509">
        <v>0.17409129999999901</v>
      </c>
      <c r="X509">
        <v>0.98282060000000004</v>
      </c>
      <c r="Y509">
        <v>1.664614E-2</v>
      </c>
      <c r="Z509">
        <v>-1.4012590000000001E-4</v>
      </c>
      <c r="AA509">
        <v>0.99986140000000001</v>
      </c>
      <c r="AB509">
        <v>27</v>
      </c>
      <c r="AC509">
        <v>211.74250000000001</v>
      </c>
      <c r="AD509">
        <v>-0.42921340000000002</v>
      </c>
      <c r="AE509">
        <v>-4.4514000000000298</v>
      </c>
      <c r="AF509">
        <v>3.5300108825265202</v>
      </c>
      <c r="AG509">
        <v>-0.42921340000000002</v>
      </c>
      <c r="AH509">
        <v>211.75899472127099</v>
      </c>
      <c r="AI509">
        <v>90.116116278771997</v>
      </c>
      <c r="AJ509">
        <v>89.044970940030495</v>
      </c>
      <c r="AK509">
        <v>211.78885014640599</v>
      </c>
      <c r="AL509">
        <v>79.9742181484376</v>
      </c>
      <c r="AM509">
        <v>93.568135479459798</v>
      </c>
      <c r="AN509">
        <v>0.99999998800102996</v>
      </c>
    </row>
    <row r="510" spans="1:40" x14ac:dyDescent="0.25">
      <c r="A510" t="str">
        <f>"20190304155324154"</f>
        <v>20190304155324154</v>
      </c>
      <c r="B510" t="str">
        <f>"1551686004145978"</f>
        <v>1551686004145978</v>
      </c>
      <c r="C510" t="s">
        <v>40</v>
      </c>
      <c r="D510">
        <v>4.3435259999999998</v>
      </c>
      <c r="E510">
        <v>0.49824819999999997</v>
      </c>
      <c r="F510" t="s">
        <v>46</v>
      </c>
      <c r="G510">
        <v>-326.78750000000002</v>
      </c>
      <c r="H510" s="1">
        <v>-1.5053819999999999E-6</v>
      </c>
      <c r="I510">
        <v>368.79939999999999</v>
      </c>
      <c r="J510">
        <v>-369.64830000000001</v>
      </c>
      <c r="K510">
        <v>1.1100129999999999</v>
      </c>
      <c r="L510">
        <v>367.39359999999999</v>
      </c>
      <c r="M510">
        <v>0.9999363</v>
      </c>
      <c r="N510">
        <v>-1.041628E-2</v>
      </c>
      <c r="O510">
        <v>-4.3509309999999997E-3</v>
      </c>
      <c r="P510">
        <v>0.98493850000000005</v>
      </c>
      <c r="Q510">
        <v>0.16322420000000001</v>
      </c>
      <c r="R510">
        <v>5.7046199999999998E-2</v>
      </c>
      <c r="S510">
        <v>3.053528</v>
      </c>
      <c r="T510">
        <v>-7.8550339999999996E-2</v>
      </c>
      <c r="U510">
        <v>9.9395750000000005E-2</v>
      </c>
      <c r="V510">
        <v>-6.1324679999999999E-2</v>
      </c>
      <c r="W510">
        <v>0.17347470000000001</v>
      </c>
      <c r="X510">
        <v>0.98292710000000005</v>
      </c>
      <c r="Y510">
        <v>-3.686482E-2</v>
      </c>
      <c r="Z510">
        <v>7.3263189999999995E-4</v>
      </c>
      <c r="AA510">
        <v>0.99931999999999999</v>
      </c>
      <c r="AB510">
        <v>28</v>
      </c>
      <c r="AC510">
        <v>42.860799999999898</v>
      </c>
      <c r="AD510">
        <v>-1.1100145053820001</v>
      </c>
      <c r="AE510">
        <v>1.4057999999999899</v>
      </c>
      <c r="AF510">
        <v>-1.59121508810802</v>
      </c>
      <c r="AG510">
        <v>-1.1100145053820001</v>
      </c>
      <c r="AH510">
        <v>42.825584581716598</v>
      </c>
      <c r="AI510">
        <v>91.483717838716402</v>
      </c>
      <c r="AJ510">
        <v>92.127886628398301</v>
      </c>
      <c r="AK510">
        <v>42.8695088894723</v>
      </c>
      <c r="AL510">
        <v>80.010092068101102</v>
      </c>
      <c r="AM510">
        <v>93.570048087956806</v>
      </c>
      <c r="AN510">
        <v>0.99999993591579905</v>
      </c>
    </row>
    <row r="511" spans="1:40" x14ac:dyDescent="0.25">
      <c r="A511" t="str">
        <f>"20190304155324175"</f>
        <v>20190304155324175</v>
      </c>
      <c r="B511" t="str">
        <f>"1551686004166475"</f>
        <v>1551686004166475</v>
      </c>
      <c r="C511" t="s">
        <v>40</v>
      </c>
      <c r="D511">
        <v>4.3142050000000003</v>
      </c>
      <c r="E511">
        <v>0.4949559</v>
      </c>
      <c r="F511" t="s">
        <v>46</v>
      </c>
      <c r="G511">
        <v>-335.21679999999998</v>
      </c>
      <c r="H511" s="1">
        <v>-2.087311E-6</v>
      </c>
      <c r="I511">
        <v>369.31760000000003</v>
      </c>
      <c r="J511">
        <v>-369.39080000000001</v>
      </c>
      <c r="K511">
        <v>1.1100030000000001</v>
      </c>
      <c r="L511">
        <v>367.39249999999998</v>
      </c>
      <c r="M511">
        <v>0.99993639999999995</v>
      </c>
      <c r="N511">
        <v>-1.040253E-2</v>
      </c>
      <c r="O511">
        <v>-4.3505009999999997E-3</v>
      </c>
      <c r="P511">
        <v>0.98514259999999998</v>
      </c>
      <c r="Q511">
        <v>0.16213640000000001</v>
      </c>
      <c r="R511">
        <v>5.6619879999999997E-2</v>
      </c>
      <c r="S511">
        <v>3.0523069999999999</v>
      </c>
      <c r="T511">
        <v>-9.8401189999999999E-2</v>
      </c>
      <c r="U511">
        <v>0.17056270000000001</v>
      </c>
      <c r="V511">
        <v>-6.0898840000000003E-2</v>
      </c>
      <c r="W511">
        <v>0.17237569999999999</v>
      </c>
      <c r="X511">
        <v>0.98314699999999999</v>
      </c>
      <c r="Y511">
        <v>-6.0094099999999998E-2</v>
      </c>
      <c r="Z511">
        <v>1.3754829999999901E-3</v>
      </c>
      <c r="AA511">
        <v>0.99819179999999996</v>
      </c>
      <c r="AB511">
        <v>28</v>
      </c>
      <c r="AC511">
        <v>34.173999999999999</v>
      </c>
      <c r="AD511">
        <v>-1.1100050873109999</v>
      </c>
      <c r="AE511">
        <v>1.92510000000004</v>
      </c>
      <c r="AF511">
        <v>-2.07158521182442</v>
      </c>
      <c r="AG511">
        <v>-1.1100050873109999</v>
      </c>
      <c r="AH511">
        <v>34.129407847742399</v>
      </c>
      <c r="AI511">
        <v>91.859378474887507</v>
      </c>
      <c r="AJ511">
        <v>93.473475038613998</v>
      </c>
      <c r="AK511">
        <v>34.210233214949703</v>
      </c>
      <c r="AL511">
        <v>80.074024278425</v>
      </c>
      <c r="AM511">
        <v>93.544530083711294</v>
      </c>
      <c r="AN511">
        <v>1.0000000371364099</v>
      </c>
    </row>
    <row r="512" spans="1:40" x14ac:dyDescent="0.25">
      <c r="A512" t="str">
        <f>"20190304155324221"</f>
        <v>20190304155324221</v>
      </c>
      <c r="B512" t="str">
        <f>"1551686004216250"</f>
        <v>1551686004216250</v>
      </c>
      <c r="C512" t="s">
        <v>40</v>
      </c>
      <c r="D512">
        <v>4.3162570000000002</v>
      </c>
      <c r="E512">
        <v>0.49237429999999899</v>
      </c>
      <c r="F512" t="s">
        <v>46</v>
      </c>
      <c r="G512">
        <v>-337.29950000000002</v>
      </c>
      <c r="H512" s="1">
        <v>-1.1701039999999999E-6</v>
      </c>
      <c r="I512">
        <v>369.45139999999998</v>
      </c>
      <c r="J512">
        <v>-368.83690000000001</v>
      </c>
      <c r="K512">
        <v>1.1099810000000001</v>
      </c>
      <c r="L512">
        <v>367.39010000000002</v>
      </c>
      <c r="M512">
        <v>0.99993719999999997</v>
      </c>
      <c r="N512">
        <v>-1.0331999999999999E-2</v>
      </c>
      <c r="O512">
        <v>-4.3497759999999996E-3</v>
      </c>
      <c r="P512">
        <v>0.98541460000000003</v>
      </c>
      <c r="Q512">
        <v>0.16065570000000001</v>
      </c>
      <c r="R512">
        <v>5.6108730000000002E-2</v>
      </c>
      <c r="S512">
        <v>3.051361</v>
      </c>
      <c r="T512">
        <v>-0.105543</v>
      </c>
      <c r="U512">
        <v>0.19577030000000001</v>
      </c>
      <c r="V512">
        <v>-6.0388419999999998E-2</v>
      </c>
      <c r="W512">
        <v>0.17082829999999999</v>
      </c>
      <c r="X512">
        <v>0.98344849999999995</v>
      </c>
      <c r="Y512">
        <v>-6.8313009999999993E-2</v>
      </c>
      <c r="Z512">
        <v>1.6386549999999999E-3</v>
      </c>
      <c r="AA512">
        <v>0.99766259999999996</v>
      </c>
      <c r="AB512">
        <v>28</v>
      </c>
      <c r="AC512">
        <v>31.537399999999899</v>
      </c>
      <c r="AD512">
        <v>-1.10998217010399</v>
      </c>
      <c r="AE512">
        <v>2.0612999999999602</v>
      </c>
      <c r="AF512">
        <v>-2.1957600345400401</v>
      </c>
      <c r="AG512">
        <v>-1.10998217010399</v>
      </c>
      <c r="AH512">
        <v>31.489293817582102</v>
      </c>
      <c r="AI512">
        <v>92.013926071261693</v>
      </c>
      <c r="AJ512">
        <v>93.9887991859094</v>
      </c>
      <c r="AK512">
        <v>31.585266306891398</v>
      </c>
      <c r="AL512">
        <v>80.164018457384799</v>
      </c>
      <c r="AM512">
        <v>93.513821732777302</v>
      </c>
      <c r="AN512">
        <v>1.00000001075161</v>
      </c>
    </row>
    <row r="513" spans="1:40" x14ac:dyDescent="0.25">
      <c r="A513" t="str">
        <f>"20190304155324243"</f>
        <v>20190304155324243</v>
      </c>
      <c r="B513" t="str">
        <f>"1551686004235769"</f>
        <v>1551686004235769</v>
      </c>
      <c r="C513" t="s">
        <v>40</v>
      </c>
      <c r="D513">
        <v>4.3430600000000004</v>
      </c>
      <c r="E513">
        <v>0.49190499999999998</v>
      </c>
      <c r="F513" t="s">
        <v>46</v>
      </c>
      <c r="G513">
        <v>-339.51389999999998</v>
      </c>
      <c r="H513" s="1">
        <v>-2.1949480000000001E-7</v>
      </c>
      <c r="I513">
        <v>369.45490000000001</v>
      </c>
      <c r="J513">
        <v>-368.55579999999998</v>
      </c>
      <c r="K513">
        <v>1.1099680000000001</v>
      </c>
      <c r="L513">
        <v>367.38889999999998</v>
      </c>
      <c r="M513">
        <v>0.99993770000000004</v>
      </c>
      <c r="N513">
        <v>-1.028082E-2</v>
      </c>
      <c r="O513">
        <v>-4.3495110000000003E-3</v>
      </c>
      <c r="P513">
        <v>0.98546900000000004</v>
      </c>
      <c r="Q513">
        <v>0.16038150000000001</v>
      </c>
      <c r="R513">
        <v>5.5934230000000001E-2</v>
      </c>
      <c r="S513">
        <v>3.0509949999999999</v>
      </c>
      <c r="T513">
        <v>-0.115491</v>
      </c>
      <c r="U513">
        <v>0.2148438</v>
      </c>
      <c r="V513">
        <v>-6.0213660000000002E-2</v>
      </c>
      <c r="W513">
        <v>0.17050409999999999</v>
      </c>
      <c r="X513">
        <v>0.98351540000000004</v>
      </c>
      <c r="Y513">
        <v>-7.4512759999999997E-2</v>
      </c>
      <c r="Z513">
        <v>1.911463E-3</v>
      </c>
      <c r="AA513">
        <v>0.9972183</v>
      </c>
      <c r="AB513">
        <v>28</v>
      </c>
      <c r="AC513">
        <v>29.041899999999998</v>
      </c>
      <c r="AD513">
        <v>-1.1099682194948</v>
      </c>
      <c r="AE513">
        <v>2.06600000000003</v>
      </c>
      <c r="AF513">
        <v>-2.1891235686119499</v>
      </c>
      <c r="AG513">
        <v>-1.1099682194948</v>
      </c>
      <c r="AH513">
        <v>28.990504516814699</v>
      </c>
      <c r="AI513">
        <v>92.186411305725699</v>
      </c>
      <c r="AJ513">
        <v>94.318309003892907</v>
      </c>
      <c r="AK513">
        <v>29.094220106172099</v>
      </c>
      <c r="AL513">
        <v>80.182869600360704</v>
      </c>
      <c r="AM513">
        <v>93.5034406071577</v>
      </c>
      <c r="AN513">
        <v>0.99999993750228</v>
      </c>
    </row>
    <row r="514" spans="1:40" x14ac:dyDescent="0.25">
      <c r="A514" t="str">
        <f>"20190304155324267"</f>
        <v>20190304155324267</v>
      </c>
      <c r="B514" t="str">
        <f>"1551686004256265"</f>
        <v>1551686004256265</v>
      </c>
      <c r="C514" t="s">
        <v>40</v>
      </c>
      <c r="D514">
        <v>4.3486779999999996</v>
      </c>
      <c r="E514">
        <v>0.4916508</v>
      </c>
      <c r="F514" t="s">
        <v>46</v>
      </c>
      <c r="G514">
        <v>-339.6456</v>
      </c>
      <c r="H514" s="1">
        <v>-1.62671399999999E-7</v>
      </c>
      <c r="I514">
        <v>369.45679999999999</v>
      </c>
      <c r="J514">
        <v>-368.26490000000001</v>
      </c>
      <c r="K514">
        <v>1.10996299999999</v>
      </c>
      <c r="L514">
        <v>367.3877</v>
      </c>
      <c r="M514">
        <v>0.99993840000000001</v>
      </c>
      <c r="N514">
        <v>-1.0218069999999999E-2</v>
      </c>
      <c r="O514">
        <v>-4.3489499999999999E-3</v>
      </c>
      <c r="P514">
        <v>0.98552110000000004</v>
      </c>
      <c r="Q514">
        <v>0.160263299999999</v>
      </c>
      <c r="R514">
        <v>5.5352329999999998E-2</v>
      </c>
      <c r="S514">
        <v>3.0509029999999999</v>
      </c>
      <c r="T514">
        <v>-0.1171349</v>
      </c>
      <c r="U514">
        <v>0.21823119999999999</v>
      </c>
      <c r="V514">
        <v>-5.9631650000000001E-2</v>
      </c>
      <c r="W514">
        <v>0.17032459999999999</v>
      </c>
      <c r="X514">
        <v>0.98358199999999996</v>
      </c>
      <c r="Y514">
        <v>-7.5613199999999894E-2</v>
      </c>
      <c r="Z514">
        <v>1.9584730000000001E-3</v>
      </c>
      <c r="AA514">
        <v>0.99713529999999995</v>
      </c>
      <c r="AB514">
        <v>28</v>
      </c>
      <c r="AC514">
        <v>28.619299999999999</v>
      </c>
      <c r="AD514">
        <v>-1.1099631626713899</v>
      </c>
      <c r="AE514">
        <v>2.0690999999999899</v>
      </c>
      <c r="AF514">
        <v>-2.19027339665376</v>
      </c>
      <c r="AG514">
        <v>-1.1099631626713899</v>
      </c>
      <c r="AH514">
        <v>28.5672836108685</v>
      </c>
      <c r="AI514">
        <v>92.218566159609097</v>
      </c>
      <c r="AJ514">
        <v>94.384329536573205</v>
      </c>
      <c r="AK514">
        <v>28.672617750710799</v>
      </c>
      <c r="AL514">
        <v>80.193307254655096</v>
      </c>
      <c r="AM514">
        <v>93.469426003599906</v>
      </c>
      <c r="AN514">
        <v>0.99999997688544096</v>
      </c>
    </row>
    <row r="515" spans="1:40" x14ac:dyDescent="0.25">
      <c r="A515" t="str">
        <f>"20190304155324287"</f>
        <v>20190304155324287</v>
      </c>
      <c r="B515" t="str">
        <f>"1551686004275786"</f>
        <v>1551686004275786</v>
      </c>
      <c r="C515" t="s">
        <v>40</v>
      </c>
      <c r="D515">
        <v>4.3555510000000002</v>
      </c>
      <c r="E515">
        <v>0.49148629999999999</v>
      </c>
      <c r="F515" t="s">
        <v>46</v>
      </c>
      <c r="G515">
        <v>-339.60270000000003</v>
      </c>
      <c r="H515" s="1">
        <v>-1.8390390000000001E-7</v>
      </c>
      <c r="I515">
        <v>369.4409</v>
      </c>
      <c r="J515">
        <v>-368.00319999999999</v>
      </c>
      <c r="K515">
        <v>1.1099570000000001</v>
      </c>
      <c r="L515">
        <v>367.38650000000001</v>
      </c>
      <c r="M515">
        <v>0.99993889999999996</v>
      </c>
      <c r="N515">
        <v>-1.01561E-2</v>
      </c>
      <c r="O515">
        <v>-4.3485160000000002E-3</v>
      </c>
      <c r="P515">
        <v>0.9856125</v>
      </c>
      <c r="Q515">
        <v>0.15990190000000001</v>
      </c>
      <c r="R515">
        <v>5.4768360000000002E-2</v>
      </c>
      <c r="S515">
        <v>3.0510250000000001</v>
      </c>
      <c r="T515">
        <v>-0.1181526</v>
      </c>
      <c r="U515">
        <v>0.21856690000000001</v>
      </c>
      <c r="V515">
        <v>-5.9047860000000001E-2</v>
      </c>
      <c r="W515">
        <v>0.1699031</v>
      </c>
      <c r="X515">
        <v>0.98369010000000001</v>
      </c>
      <c r="Y515">
        <v>-7.5717909999999999E-2</v>
      </c>
      <c r="Z515">
        <v>1.9729000000000001E-3</v>
      </c>
      <c r="AA515">
        <v>0.9971274</v>
      </c>
      <c r="AB515">
        <v>28</v>
      </c>
      <c r="AC515">
        <v>28.400499999999901</v>
      </c>
      <c r="AD515">
        <v>-1.1099571839039</v>
      </c>
      <c r="AE515">
        <v>2.0543999999999798</v>
      </c>
      <c r="AF515">
        <v>-2.17458275424609</v>
      </c>
      <c r="AG515">
        <v>-1.1099571839039</v>
      </c>
      <c r="AH515">
        <v>28.348222946160199</v>
      </c>
      <c r="AI515">
        <v>92.235674114690894</v>
      </c>
      <c r="AJ515">
        <v>94.386549619422496</v>
      </c>
      <c r="AK515">
        <v>28.4531643110282</v>
      </c>
      <c r="AL515">
        <v>80.217814498735194</v>
      </c>
      <c r="AM515">
        <v>93.435165666268801</v>
      </c>
      <c r="AN515">
        <v>0.99999996299909899</v>
      </c>
    </row>
    <row r="516" spans="1:40" x14ac:dyDescent="0.25">
      <c r="A516" t="str">
        <f>"20190304155324309"</f>
        <v>20190304155324309</v>
      </c>
      <c r="B516" t="str">
        <f>"1551686004306042"</f>
        <v>1551686004306042</v>
      </c>
      <c r="C516" t="s">
        <v>40</v>
      </c>
      <c r="D516">
        <v>4.3553850000000001</v>
      </c>
      <c r="E516">
        <v>0.49103669999999999</v>
      </c>
      <c r="F516" t="s">
        <v>46</v>
      </c>
      <c r="G516">
        <v>-339.64190000000002</v>
      </c>
      <c r="H516" s="1">
        <v>-1.7092260000000001E-7</v>
      </c>
      <c r="I516">
        <v>369.41930000000002</v>
      </c>
      <c r="J516">
        <v>-367.726</v>
      </c>
      <c r="K516">
        <v>1.109944</v>
      </c>
      <c r="L516">
        <v>367.38529999999997</v>
      </c>
      <c r="M516">
        <v>0.99993980000000005</v>
      </c>
      <c r="N516">
        <v>-1.0085500000000001E-2</v>
      </c>
      <c r="O516">
        <v>-4.3482770000000002E-3</v>
      </c>
      <c r="P516">
        <v>0.98565499999999995</v>
      </c>
      <c r="Q516">
        <v>0.1598089</v>
      </c>
      <c r="R516">
        <v>5.4272830000000001E-2</v>
      </c>
      <c r="S516">
        <v>3.051056</v>
      </c>
      <c r="T516">
        <v>-0.1194067</v>
      </c>
      <c r="U516">
        <v>0.21868899999999999</v>
      </c>
      <c r="V516">
        <v>-5.8552310000000003E-2</v>
      </c>
      <c r="W516">
        <v>0.169741</v>
      </c>
      <c r="X516">
        <v>0.9837477</v>
      </c>
      <c r="Y516">
        <v>-7.5755310000000006E-2</v>
      </c>
      <c r="Z516">
        <v>1.9887339999999998E-3</v>
      </c>
      <c r="AA516">
        <v>0.99712440000000002</v>
      </c>
      <c r="AB516">
        <v>28</v>
      </c>
      <c r="AC516">
        <v>28.0840999999999</v>
      </c>
      <c r="AD516">
        <v>-1.1099441709225999</v>
      </c>
      <c r="AE516">
        <v>2.0340000000000402</v>
      </c>
      <c r="AF516">
        <v>-2.15275934687154</v>
      </c>
      <c r="AG516">
        <v>-1.1099441709225999</v>
      </c>
      <c r="AH516">
        <v>28.031432980189901</v>
      </c>
      <c r="AI516">
        <v>92.260872221589096</v>
      </c>
      <c r="AJ516">
        <v>94.391583819394498</v>
      </c>
      <c r="AK516">
        <v>28.135877164058499</v>
      </c>
      <c r="AL516">
        <v>80.227238996106095</v>
      </c>
      <c r="AM516">
        <v>93.406205762917907</v>
      </c>
      <c r="AN516">
        <v>0.99999995867131197</v>
      </c>
    </row>
    <row r="517" spans="1:40" x14ac:dyDescent="0.25">
      <c r="A517" t="str">
        <f>"20190304155324333"</f>
        <v>20190304155324333</v>
      </c>
      <c r="B517" t="str">
        <f>"1551686004326538"</f>
        <v>1551686004326538</v>
      </c>
      <c r="C517" t="s">
        <v>40</v>
      </c>
      <c r="D517">
        <v>4.3530160000000002</v>
      </c>
      <c r="E517">
        <v>0.49070580000000003</v>
      </c>
      <c r="F517" t="s">
        <v>46</v>
      </c>
      <c r="G517">
        <v>-339.59100000000001</v>
      </c>
      <c r="H517" s="1">
        <v>-1.929097E-7</v>
      </c>
      <c r="I517">
        <v>369.41849999999999</v>
      </c>
      <c r="J517">
        <v>-367.43700000000001</v>
      </c>
      <c r="K517">
        <v>1.1099330000000001</v>
      </c>
      <c r="L517">
        <v>367.38400000000001</v>
      </c>
      <c r="M517">
        <v>0.99994050000000001</v>
      </c>
      <c r="N517">
        <v>-1.000673E-2</v>
      </c>
      <c r="O517">
        <v>-4.3478809999999996E-3</v>
      </c>
      <c r="P517">
        <v>0.98560689999999995</v>
      </c>
      <c r="Q517">
        <v>0.16012100000000001</v>
      </c>
      <c r="R517">
        <v>5.42278E-2</v>
      </c>
      <c r="S517">
        <v>3.051056</v>
      </c>
      <c r="T517">
        <v>-0.12036570000000001</v>
      </c>
      <c r="U517">
        <v>0.2204895</v>
      </c>
      <c r="V517">
        <v>-5.8506759999999998E-2</v>
      </c>
      <c r="W517">
        <v>0.16997499999999999</v>
      </c>
      <c r="X517">
        <v>0.98371010000000003</v>
      </c>
      <c r="Y517">
        <v>-7.6338760000000006E-2</v>
      </c>
      <c r="Z517">
        <v>2.0137060000000001E-3</v>
      </c>
      <c r="AA517">
        <v>0.99707990000000002</v>
      </c>
      <c r="AB517">
        <v>28</v>
      </c>
      <c r="AC517">
        <v>27.845999999999901</v>
      </c>
      <c r="AD517">
        <v>-1.1099331929097001</v>
      </c>
      <c r="AE517">
        <v>2.03449999999998</v>
      </c>
      <c r="AF517">
        <v>-2.1521567404625199</v>
      </c>
      <c r="AG517">
        <v>-1.1099331929097001</v>
      </c>
      <c r="AH517">
        <v>27.792967684748898</v>
      </c>
      <c r="AI517">
        <v>92.280116445690993</v>
      </c>
      <c r="AJ517">
        <v>94.427879690938099</v>
      </c>
      <c r="AK517">
        <v>27.898257706418399</v>
      </c>
      <c r="AL517">
        <v>80.213634998563705</v>
      </c>
      <c r="AM517">
        <v>93.403691968929294</v>
      </c>
      <c r="AN517">
        <v>1.00000005121635</v>
      </c>
    </row>
    <row r="518" spans="1:40" x14ac:dyDescent="0.25">
      <c r="A518" t="str">
        <f>"20190304155324354"</f>
        <v>20190304155324354</v>
      </c>
      <c r="B518" t="str">
        <f>"1551686004346058"</f>
        <v>1551686004346058</v>
      </c>
      <c r="C518" t="s">
        <v>40</v>
      </c>
      <c r="D518">
        <v>4.3565040000000002</v>
      </c>
      <c r="E518">
        <v>0.49041580000000001</v>
      </c>
      <c r="F518" t="s">
        <v>46</v>
      </c>
      <c r="G518">
        <v>-339.23630000000003</v>
      </c>
      <c r="H518" s="1">
        <v>-3.4025959999999998E-7</v>
      </c>
      <c r="I518">
        <v>369.44560000000001</v>
      </c>
      <c r="J518">
        <v>-367.15949999999998</v>
      </c>
      <c r="K518">
        <v>1.1099129999999999</v>
      </c>
      <c r="L518">
        <v>367.38279999999997</v>
      </c>
      <c r="M518">
        <v>0.99994150000000004</v>
      </c>
      <c r="N518">
        <v>-9.9262069999999994E-3</v>
      </c>
      <c r="O518">
        <v>-4.3478379999999997E-3</v>
      </c>
      <c r="P518">
        <v>0.98566880000000001</v>
      </c>
      <c r="Q518">
        <v>0.15986919999999999</v>
      </c>
      <c r="R518">
        <v>5.3843479999999999E-2</v>
      </c>
      <c r="S518">
        <v>3.0510250000000001</v>
      </c>
      <c r="T518">
        <v>-0.120083</v>
      </c>
      <c r="U518">
        <v>0.223053</v>
      </c>
      <c r="V518">
        <v>-5.8122170000000001E-2</v>
      </c>
      <c r="W518">
        <v>0.16964509999999999</v>
      </c>
      <c r="X518">
        <v>0.98378980000000005</v>
      </c>
      <c r="Y518">
        <v>-7.7172379999999999E-2</v>
      </c>
      <c r="Z518">
        <v>2.027544E-3</v>
      </c>
      <c r="AA518">
        <v>0.99701569999999995</v>
      </c>
      <c r="AB518">
        <v>28</v>
      </c>
      <c r="AC518">
        <v>27.923199999999898</v>
      </c>
      <c r="AD518">
        <v>-1.1099133402596</v>
      </c>
      <c r="AE518">
        <v>2.0628000000000299</v>
      </c>
      <c r="AF518">
        <v>-2.18076517218933</v>
      </c>
      <c r="AG518">
        <v>-1.1099133402596</v>
      </c>
      <c r="AH518">
        <v>27.870171965342401</v>
      </c>
      <c r="AI518">
        <v>92.273623520018006</v>
      </c>
      <c r="AJ518">
        <v>94.474122667081602</v>
      </c>
      <c r="AK518">
        <v>27.977386041888799</v>
      </c>
      <c r="AL518">
        <v>80.2328150160278</v>
      </c>
      <c r="AM518">
        <v>93.381096828735494</v>
      </c>
      <c r="AN518">
        <v>1.00000000859177</v>
      </c>
    </row>
    <row r="519" spans="1:40" x14ac:dyDescent="0.25">
      <c r="A519" t="str">
        <f>"20190304155324377"</f>
        <v>20190304155324377</v>
      </c>
      <c r="B519" t="str">
        <f>"1551686004366553"</f>
        <v>1551686004366553</v>
      </c>
      <c r="C519" t="s">
        <v>40</v>
      </c>
      <c r="D519">
        <v>4.3691149999999999</v>
      </c>
      <c r="E519">
        <v>0.49014619999999998</v>
      </c>
      <c r="F519" t="s">
        <v>46</v>
      </c>
      <c r="G519">
        <v>-339.16129999999998</v>
      </c>
      <c r="H519" s="1">
        <v>-3.730536E-7</v>
      </c>
      <c r="I519">
        <v>369.44200000000001</v>
      </c>
      <c r="J519">
        <v>-366.88400000000001</v>
      </c>
      <c r="K519">
        <v>1.1099000000000001</v>
      </c>
      <c r="L519">
        <v>367.38159999999999</v>
      </c>
      <c r="M519">
        <v>0.99994209999999994</v>
      </c>
      <c r="N519">
        <v>-9.8417620000000004E-3</v>
      </c>
      <c r="O519">
        <v>-4.3473019999999999E-3</v>
      </c>
      <c r="P519">
        <v>0.98565219999999998</v>
      </c>
      <c r="Q519">
        <v>0.16014220000000001</v>
      </c>
      <c r="R519">
        <v>5.3333709999999999E-2</v>
      </c>
      <c r="S519">
        <v>3.050964</v>
      </c>
      <c r="T519">
        <v>-0.1209472</v>
      </c>
      <c r="U519">
        <v>0.22439580000000001</v>
      </c>
      <c r="V519">
        <v>-5.7612219999999999E-2</v>
      </c>
      <c r="W519">
        <v>0.16983500000000001</v>
      </c>
      <c r="X519">
        <v>0.98378699999999997</v>
      </c>
      <c r="Y519">
        <v>-7.7608419999999997E-2</v>
      </c>
      <c r="Z519">
        <v>2.0475549999999999E-3</v>
      </c>
      <c r="AA519">
        <v>0.99698180000000003</v>
      </c>
      <c r="AB519">
        <v>28</v>
      </c>
      <c r="AC519">
        <v>27.7227</v>
      </c>
      <c r="AD519">
        <v>-1.1099003730535999</v>
      </c>
      <c r="AE519">
        <v>2.0603999999999498</v>
      </c>
      <c r="AF519">
        <v>-2.1774343561400999</v>
      </c>
      <c r="AG519">
        <v>-1.1099003730535999</v>
      </c>
      <c r="AH519">
        <v>27.669373754536199</v>
      </c>
      <c r="AI519">
        <v>92.289999269858995</v>
      </c>
      <c r="AJ519">
        <v>94.4996036630709</v>
      </c>
      <c r="AK519">
        <v>27.777101057915001</v>
      </c>
      <c r="AL519">
        <v>80.2217740351646</v>
      </c>
      <c r="AM519">
        <v>93.351509332183895</v>
      </c>
      <c r="AN519">
        <v>0.99999997824366305</v>
      </c>
    </row>
    <row r="520" spans="1:40" x14ac:dyDescent="0.25">
      <c r="A520" t="str">
        <f>"20190304155324398"</f>
        <v>20190304155324398</v>
      </c>
      <c r="B520" t="str">
        <f>"1551686004386074"</f>
        <v>1551686004386074</v>
      </c>
      <c r="C520" t="s">
        <v>40</v>
      </c>
      <c r="D520">
        <v>4.3652480000000002</v>
      </c>
      <c r="E520">
        <v>0.48988910000000002</v>
      </c>
      <c r="F520" t="s">
        <v>46</v>
      </c>
      <c r="G520">
        <v>-338.6207</v>
      </c>
      <c r="H520" s="1">
        <v>-6.0064790000000003E-7</v>
      </c>
      <c r="I520">
        <v>369.4665</v>
      </c>
      <c r="J520">
        <v>-366.61239999999998</v>
      </c>
      <c r="K520">
        <v>1.1098809999999999</v>
      </c>
      <c r="L520">
        <v>367.38040000000001</v>
      </c>
      <c r="M520">
        <v>0.99994309999999997</v>
      </c>
      <c r="N520">
        <v>-9.7547120000000005E-3</v>
      </c>
      <c r="O520">
        <v>-4.3469939999999999E-3</v>
      </c>
      <c r="P520">
        <v>0.98549209999999998</v>
      </c>
      <c r="Q520">
        <v>0.16114779999999901</v>
      </c>
      <c r="R520">
        <v>5.3269110000000001E-2</v>
      </c>
      <c r="S520">
        <v>3.0509949999999999</v>
      </c>
      <c r="T520">
        <v>-0.1198121</v>
      </c>
      <c r="U520">
        <v>0.22506709999999999</v>
      </c>
      <c r="V520">
        <v>-5.7546659999999999E-2</v>
      </c>
      <c r="W520">
        <v>0.17075319999999999</v>
      </c>
      <c r="X520">
        <v>0.9836319</v>
      </c>
      <c r="Y520">
        <v>-7.782683E-2</v>
      </c>
      <c r="Z520">
        <v>2.0338420000000001E-3</v>
      </c>
      <c r="AA520">
        <v>0.99696479999999998</v>
      </c>
      <c r="AB520">
        <v>28</v>
      </c>
      <c r="AC520">
        <v>27.991699999999899</v>
      </c>
      <c r="AD520">
        <v>-1.1098816006479</v>
      </c>
      <c r="AE520">
        <v>2.0860999999999801</v>
      </c>
      <c r="AF520">
        <v>-2.20431942879872</v>
      </c>
      <c r="AG520">
        <v>-1.1098816006479</v>
      </c>
      <c r="AH520">
        <v>27.9386855349019</v>
      </c>
      <c r="AI520">
        <v>92.267873783062598</v>
      </c>
      <c r="AJ520">
        <v>94.511203896198396</v>
      </c>
      <c r="AK520">
        <v>28.047477796225699</v>
      </c>
      <c r="AL520">
        <v>80.168385368525406</v>
      </c>
      <c r="AM520">
        <v>93.3482308193298</v>
      </c>
      <c r="AN520">
        <v>0.99999999404250195</v>
      </c>
    </row>
    <row r="521" spans="1:40" x14ac:dyDescent="0.25">
      <c r="A521" t="str">
        <f>"20190304155324420"</f>
        <v>20190304155324420</v>
      </c>
      <c r="B521" t="str">
        <f>"1551686004416330"</f>
        <v>1551686004416330</v>
      </c>
      <c r="C521" t="s">
        <v>40</v>
      </c>
      <c r="D521">
        <v>4.3799440000000001</v>
      </c>
      <c r="E521">
        <v>0.48997679999999999</v>
      </c>
      <c r="F521" t="s">
        <v>46</v>
      </c>
      <c r="G521">
        <v>-337.5154</v>
      </c>
      <c r="H521" s="1">
        <v>-1.0607920000000001E-6</v>
      </c>
      <c r="I521">
        <v>369.54539999999997</v>
      </c>
      <c r="J521">
        <v>-366.33870000000002</v>
      </c>
      <c r="K521">
        <v>1.1098650000000001</v>
      </c>
      <c r="L521">
        <v>367.37920000000003</v>
      </c>
      <c r="M521">
        <v>0.9999439</v>
      </c>
      <c r="N521">
        <v>-9.666137E-3</v>
      </c>
      <c r="O521">
        <v>-4.3465639999999998E-3</v>
      </c>
      <c r="P521">
        <v>0.98555780000000004</v>
      </c>
      <c r="Q521">
        <v>0.16076699999999999</v>
      </c>
      <c r="R521">
        <v>5.3197000000000001E-2</v>
      </c>
      <c r="S521">
        <v>3.0509339999999998</v>
      </c>
      <c r="T521">
        <v>-0.1163751</v>
      </c>
      <c r="U521">
        <v>0.22702030000000001</v>
      </c>
      <c r="V521">
        <v>-5.7473980000000001E-2</v>
      </c>
      <c r="W521">
        <v>0.1702861</v>
      </c>
      <c r="X521">
        <v>0.98371710000000001</v>
      </c>
      <c r="Y521">
        <v>-7.8466069999999999E-2</v>
      </c>
      <c r="Z521">
        <v>1.9974070000000001E-3</v>
      </c>
      <c r="AA521">
        <v>0.99691479999999999</v>
      </c>
      <c r="AB521">
        <v>28</v>
      </c>
      <c r="AC521">
        <v>28.8233</v>
      </c>
      <c r="AD521">
        <v>-1.1098660607919999</v>
      </c>
      <c r="AE521">
        <v>2.16619999999994</v>
      </c>
      <c r="AF521">
        <v>-2.2880941920796198</v>
      </c>
      <c r="AG521">
        <v>-1.1098660607919999</v>
      </c>
      <c r="AH521">
        <v>28.7711922358957</v>
      </c>
      <c r="AI521">
        <v>92.2021777624891</v>
      </c>
      <c r="AJ521">
        <v>94.547006702710306</v>
      </c>
      <c r="AK521">
        <v>28.883363384128099</v>
      </c>
      <c r="AL521">
        <v>80.195545811820494</v>
      </c>
      <c r="AM521">
        <v>93.343722721091595</v>
      </c>
      <c r="AN521">
        <v>0.99999997353132997</v>
      </c>
    </row>
    <row r="522" spans="1:40" x14ac:dyDescent="0.25">
      <c r="A522" t="str">
        <f>"20190304155324441"</f>
        <v>20190304155324441</v>
      </c>
      <c r="B522" t="str">
        <f>"1551686004435852"</f>
        <v>1551686004435852</v>
      </c>
      <c r="C522" t="s">
        <v>40</v>
      </c>
      <c r="D522">
        <v>4.155818</v>
      </c>
      <c r="E522">
        <v>0.54444780000000004</v>
      </c>
      <c r="F522" t="s">
        <v>46</v>
      </c>
      <c r="G522">
        <v>-337.64850000000001</v>
      </c>
      <c r="H522" s="1">
        <v>-1.0112149999999999E-6</v>
      </c>
      <c r="I522">
        <v>369.50299999999999</v>
      </c>
      <c r="J522">
        <v>-366.07229999999998</v>
      </c>
      <c r="K522">
        <v>1.1098539999999999</v>
      </c>
      <c r="L522">
        <v>367.37810000000002</v>
      </c>
      <c r="M522">
        <v>0.99994459999999996</v>
      </c>
      <c r="N522">
        <v>-9.5834230000000006E-3</v>
      </c>
      <c r="O522">
        <v>-4.3461669999999997E-3</v>
      </c>
      <c r="P522">
        <v>0.98557790000000001</v>
      </c>
      <c r="Q522">
        <v>0.16073280000000001</v>
      </c>
      <c r="R522">
        <v>5.2928669999999997E-2</v>
      </c>
      <c r="S522">
        <v>3.051056</v>
      </c>
      <c r="T522">
        <v>-0.11802840000000001</v>
      </c>
      <c r="U522">
        <v>0.22586059999999999</v>
      </c>
      <c r="V522">
        <v>-5.7205890000000002E-2</v>
      </c>
      <c r="W522">
        <v>0.1701705</v>
      </c>
      <c r="X522">
        <v>0.98375279999999998</v>
      </c>
      <c r="Y522">
        <v>-7.808445E-2</v>
      </c>
      <c r="Z522">
        <v>2.0088150000000002E-3</v>
      </c>
      <c r="AA522">
        <v>0.99694470000000002</v>
      </c>
      <c r="AB522">
        <v>28</v>
      </c>
      <c r="AC522">
        <v>28.4237999999999</v>
      </c>
      <c r="AD522">
        <v>-1.1098550112150001</v>
      </c>
      <c r="AE522">
        <v>2.1249000000000202</v>
      </c>
      <c r="AF522">
        <v>-2.2450163622688</v>
      </c>
      <c r="AG522">
        <v>-1.1098550112150001</v>
      </c>
      <c r="AH522">
        <v>28.371280252055101</v>
      </c>
      <c r="AI522">
        <v>92.233235381503505</v>
      </c>
      <c r="AJ522">
        <v>94.524381403320803</v>
      </c>
      <c r="AK522">
        <v>28.481597914327502</v>
      </c>
      <c r="AL522">
        <v>80.202267986256601</v>
      </c>
      <c r="AM522">
        <v>93.328040410254602</v>
      </c>
      <c r="AN522">
        <v>1.00000004221439</v>
      </c>
    </row>
    <row r="523" spans="1:40" x14ac:dyDescent="0.25">
      <c r="A523" t="str">
        <f>"20190304155324465"</f>
        <v>20190304155324465</v>
      </c>
      <c r="B523" t="str">
        <f>"1551686004456346"</f>
        <v>1551686004456346</v>
      </c>
      <c r="C523" t="s">
        <v>40</v>
      </c>
      <c r="D523">
        <v>4.200914</v>
      </c>
      <c r="E523">
        <v>0.55559080000000005</v>
      </c>
      <c r="F523" t="s">
        <v>46</v>
      </c>
      <c r="G523">
        <v>-346.56709999999998</v>
      </c>
      <c r="H523" s="1">
        <v>-2.2514479999999998E-6</v>
      </c>
      <c r="I523">
        <v>366.0498</v>
      </c>
      <c r="J523">
        <v>-365.77179999999998</v>
      </c>
      <c r="K523">
        <v>1.1098429999999999</v>
      </c>
      <c r="L523">
        <v>367.37670000000003</v>
      </c>
      <c r="M523">
        <v>0.99994559999999999</v>
      </c>
      <c r="N523">
        <v>-9.4949100000000005E-3</v>
      </c>
      <c r="O523">
        <v>-4.3456249999999997E-3</v>
      </c>
      <c r="P523">
        <v>0.98560610000000004</v>
      </c>
      <c r="Q523">
        <v>0.16058939999999999</v>
      </c>
      <c r="R523">
        <v>5.2836899999999999E-2</v>
      </c>
      <c r="S523">
        <v>3.0838009999999998</v>
      </c>
      <c r="T523">
        <v>-0.1754704</v>
      </c>
      <c r="U523">
        <v>-0.2099915</v>
      </c>
      <c r="V523">
        <v>-5.7113440000000001E-2</v>
      </c>
      <c r="W523">
        <v>0.1699407</v>
      </c>
      <c r="X523">
        <v>0.98379779999999994</v>
      </c>
      <c r="Y523">
        <v>6.3486749999999995E-2</v>
      </c>
      <c r="Z523">
        <v>-1.89913E-3</v>
      </c>
      <c r="AA523">
        <v>0.99798089999999995</v>
      </c>
      <c r="AB523">
        <v>28</v>
      </c>
      <c r="AC523">
        <v>19.204699999999999</v>
      </c>
      <c r="AD523">
        <v>-1.1098452514479999</v>
      </c>
      <c r="AE523">
        <v>-1.32690000000002</v>
      </c>
      <c r="AF523">
        <v>1.23930801846425</v>
      </c>
      <c r="AG523">
        <v>-1.1098452514479999</v>
      </c>
      <c r="AH523">
        <v>19.146644528133201</v>
      </c>
      <c r="AI523">
        <v>93.310555290470603</v>
      </c>
      <c r="AJ523">
        <v>86.296572830088394</v>
      </c>
      <c r="AK523">
        <v>19.218783456126602</v>
      </c>
      <c r="AL523">
        <v>80.215628246707794</v>
      </c>
      <c r="AM523">
        <v>93.322522407506895</v>
      </c>
      <c r="AN523">
        <v>0.99999994891498001</v>
      </c>
    </row>
    <row r="524" spans="1:40" x14ac:dyDescent="0.25">
      <c r="A524" t="str">
        <f>"20190304155324487"</f>
        <v>20190304155324487</v>
      </c>
      <c r="B524" t="str">
        <f>"1551686004475866"</f>
        <v>1551686004475866</v>
      </c>
      <c r="C524" t="s">
        <v>40</v>
      </c>
      <c r="D524">
        <v>4.2062189999999999</v>
      </c>
      <c r="E524">
        <v>0.55920979999999998</v>
      </c>
      <c r="F524" t="s">
        <v>46</v>
      </c>
      <c r="G524">
        <v>-330.34890000000001</v>
      </c>
      <c r="H524" s="1">
        <v>-5.1274390000000003E-6</v>
      </c>
      <c r="I524">
        <v>363.95159999999998</v>
      </c>
      <c r="J524">
        <v>-365.49119999999999</v>
      </c>
      <c r="K524">
        <v>1.1098330000000001</v>
      </c>
      <c r="L524">
        <v>367.37549999999999</v>
      </c>
      <c r="M524">
        <v>0.99994629999999995</v>
      </c>
      <c r="N524">
        <v>-9.4171350000000001E-3</v>
      </c>
      <c r="O524">
        <v>-4.3452569999999999E-3</v>
      </c>
      <c r="P524">
        <v>0.98559799999999997</v>
      </c>
      <c r="Q524">
        <v>0.16068829999999901</v>
      </c>
      <c r="R524">
        <v>5.2687499999999998E-2</v>
      </c>
      <c r="S524">
        <v>3.0754389999999998</v>
      </c>
      <c r="T524">
        <v>-9.6357579999999998E-2</v>
      </c>
      <c r="U524">
        <v>-0.2973633</v>
      </c>
      <c r="V524">
        <v>-5.6963569999999998E-2</v>
      </c>
      <c r="W524">
        <v>0.1699628</v>
      </c>
      <c r="X524">
        <v>0.98380270000000003</v>
      </c>
      <c r="Y524">
        <v>9.1857519999999998E-2</v>
      </c>
      <c r="Z524">
        <v>-1.7740169999999999E-3</v>
      </c>
      <c r="AA524">
        <v>0.99577059999999995</v>
      </c>
      <c r="AB524">
        <v>28</v>
      </c>
      <c r="AC524">
        <v>35.142299999999899</v>
      </c>
      <c r="AD524">
        <v>-1.1098381274389999</v>
      </c>
      <c r="AE524">
        <v>-3.4239000000000002</v>
      </c>
      <c r="AF524">
        <v>3.26792988312129</v>
      </c>
      <c r="AG524">
        <v>-1.1098381274389999</v>
      </c>
      <c r="AH524">
        <v>35.122145998032302</v>
      </c>
      <c r="AI524">
        <v>91.802130174922596</v>
      </c>
      <c r="AJ524">
        <v>84.684235653313806</v>
      </c>
      <c r="AK524">
        <v>35.291305528376398</v>
      </c>
      <c r="AL524">
        <v>80.214343595867305</v>
      </c>
      <c r="AM524">
        <v>93.313806843935197</v>
      </c>
      <c r="AN524">
        <v>0.99999997710913702</v>
      </c>
    </row>
    <row r="525" spans="1:40" x14ac:dyDescent="0.25">
      <c r="A525" t="str">
        <f>"20190304155324511"</f>
        <v>20190304155324511</v>
      </c>
      <c r="B525" t="str">
        <f>"1551686004506122"</f>
        <v>1551686004506122</v>
      </c>
      <c r="C525" t="s">
        <v>40</v>
      </c>
      <c r="D525">
        <v>4.3318009999999996</v>
      </c>
      <c r="E525">
        <v>0.5616411</v>
      </c>
      <c r="F525" t="s">
        <v>46</v>
      </c>
      <c r="G525">
        <v>-321.39490000000001</v>
      </c>
      <c r="H525" s="1">
        <v>-4.900518E-6</v>
      </c>
      <c r="I525">
        <v>362.70119999999997</v>
      </c>
      <c r="J525">
        <v>-365.20269999999999</v>
      </c>
      <c r="K525">
        <v>1.109834</v>
      </c>
      <c r="L525">
        <v>367.37430000000001</v>
      </c>
      <c r="M525">
        <v>0.99994700000000003</v>
      </c>
      <c r="N525">
        <v>-9.3442520000000008E-3</v>
      </c>
      <c r="O525">
        <v>-4.3445580000000001E-3</v>
      </c>
      <c r="P525">
        <v>0.98560340000000002</v>
      </c>
      <c r="Q525">
        <v>0.16077350000000001</v>
      </c>
      <c r="R525">
        <v>5.2327310000000002E-2</v>
      </c>
      <c r="S525">
        <v>3.0739139999999998</v>
      </c>
      <c r="T525">
        <v>-7.7365639999999999E-2</v>
      </c>
      <c r="U525">
        <v>-0.32583620000000002</v>
      </c>
      <c r="V525">
        <v>-5.6603149999999998E-2</v>
      </c>
      <c r="W525">
        <v>0.1699764</v>
      </c>
      <c r="X525">
        <v>0.98382119999999995</v>
      </c>
      <c r="Y525">
        <v>0.10104539999999999</v>
      </c>
      <c r="Z525">
        <v>-1.67282E-3</v>
      </c>
      <c r="AA525">
        <v>0.9948804</v>
      </c>
      <c r="AB525">
        <v>28</v>
      </c>
      <c r="AC525">
        <v>43.807799999999901</v>
      </c>
      <c r="AD525">
        <v>-1.109838900518</v>
      </c>
      <c r="AE525">
        <v>-4.67310000000003</v>
      </c>
      <c r="AF525">
        <v>4.4798791231820401</v>
      </c>
      <c r="AG525">
        <v>-1.109838900518</v>
      </c>
      <c r="AH525">
        <v>43.7998943577036</v>
      </c>
      <c r="AI525">
        <v>91.443968456043905</v>
      </c>
      <c r="AJ525">
        <v>84.160061739310805</v>
      </c>
      <c r="AK525">
        <v>44.0423864599708</v>
      </c>
      <c r="AL525">
        <v>80.213553324669903</v>
      </c>
      <c r="AM525">
        <v>93.292824220975305</v>
      </c>
      <c r="AN525">
        <v>1.0000000233581601</v>
      </c>
    </row>
    <row r="526" spans="1:40" x14ac:dyDescent="0.25">
      <c r="A526" t="str">
        <f>"20190304155324534"</f>
        <v>20190304155324534</v>
      </c>
      <c r="B526" t="str">
        <f>"1551686004526618"</f>
        <v>1551686004526618</v>
      </c>
      <c r="C526" t="s">
        <v>40</v>
      </c>
      <c r="D526">
        <v>4.3407530000000003</v>
      </c>
      <c r="E526">
        <v>0.56245129999999999</v>
      </c>
      <c r="F526" t="s">
        <v>47</v>
      </c>
      <c r="G526">
        <v>-304.56110000000001</v>
      </c>
      <c r="H526">
        <v>-0.05</v>
      </c>
      <c r="I526">
        <v>360.54599999999999</v>
      </c>
      <c r="J526">
        <v>-364.90949999999998</v>
      </c>
      <c r="K526">
        <v>1.109826</v>
      </c>
      <c r="L526">
        <v>367.37299999999999</v>
      </c>
      <c r="M526">
        <v>0.99994760000000005</v>
      </c>
      <c r="N526">
        <v>-9.2787100000000008E-3</v>
      </c>
      <c r="O526">
        <v>-4.344133E-3</v>
      </c>
      <c r="P526">
        <v>0.98560460000000005</v>
      </c>
      <c r="Q526">
        <v>0.1608618</v>
      </c>
      <c r="R526">
        <v>5.2030079999999999E-2</v>
      </c>
      <c r="S526">
        <v>3.071777</v>
      </c>
      <c r="T526">
        <v>-5.8750990000000003E-2</v>
      </c>
      <c r="U526">
        <v>-0.34588619999999998</v>
      </c>
      <c r="V526">
        <v>-5.6305029999999999E-2</v>
      </c>
      <c r="W526">
        <v>0.16999990000000001</v>
      </c>
      <c r="X526">
        <v>0.98383419999999999</v>
      </c>
      <c r="Y526">
        <v>0.1075474</v>
      </c>
      <c r="Z526">
        <v>-1.4831169999999999E-3</v>
      </c>
      <c r="AA526">
        <v>0.9941989</v>
      </c>
      <c r="AB526">
        <v>28</v>
      </c>
      <c r="AC526">
        <v>60.348399999999899</v>
      </c>
      <c r="AD526">
        <v>-1.159826</v>
      </c>
      <c r="AE526">
        <v>-6.8270000000000497</v>
      </c>
      <c r="AF526">
        <v>6.5623695637660999</v>
      </c>
      <c r="AG526">
        <v>-1.159826</v>
      </c>
      <c r="AH526">
        <v>60.3554777598317</v>
      </c>
      <c r="AI526">
        <v>91.094444929405398</v>
      </c>
      <c r="AJ526">
        <v>83.794683595200098</v>
      </c>
      <c r="AK526">
        <v>60.722265984227398</v>
      </c>
      <c r="AL526">
        <v>80.212186537538003</v>
      </c>
      <c r="AM526">
        <v>93.275476101990293</v>
      </c>
      <c r="AN526">
        <v>0.99999997774647498</v>
      </c>
    </row>
    <row r="527" spans="1:40" x14ac:dyDescent="0.25">
      <c r="A527" t="str">
        <f>"20190304155324554"</f>
        <v>20190304155324554</v>
      </c>
      <c r="B527" t="str">
        <f>"1551686004546138"</f>
        <v>1551686004546138</v>
      </c>
      <c r="C527" t="s">
        <v>40</v>
      </c>
      <c r="D527">
        <v>4.3360820000000002</v>
      </c>
      <c r="E527">
        <v>0.56322919999999999</v>
      </c>
      <c r="F527" t="s">
        <v>47</v>
      </c>
      <c r="G527">
        <v>-296.44560000000001</v>
      </c>
      <c r="H527">
        <v>-0.05</v>
      </c>
      <c r="I527">
        <v>359.49439999999998</v>
      </c>
      <c r="J527">
        <v>-364.63389999999998</v>
      </c>
      <c r="K527">
        <v>1.109818</v>
      </c>
      <c r="L527">
        <v>367.37180000000001</v>
      </c>
      <c r="M527">
        <v>0.99994810000000001</v>
      </c>
      <c r="N527">
        <v>-9.2251490000000002E-3</v>
      </c>
      <c r="O527">
        <v>-4.343647E-3</v>
      </c>
      <c r="P527">
        <v>0.98565320000000001</v>
      </c>
      <c r="Q527">
        <v>0.16061529999999999</v>
      </c>
      <c r="R527">
        <v>5.1871319999999999E-2</v>
      </c>
      <c r="S527">
        <v>3.0709230000000001</v>
      </c>
      <c r="T527">
        <v>-5.2023529999999998E-2</v>
      </c>
      <c r="U527">
        <v>-0.35339359999999997</v>
      </c>
      <c r="V527">
        <v>-5.6146109999999999E-2</v>
      </c>
      <c r="W527">
        <v>0.16970109999999999</v>
      </c>
      <c r="X527">
        <v>0.98389490000000002</v>
      </c>
      <c r="Y527">
        <v>0.10998239999999899</v>
      </c>
      <c r="Z527">
        <v>-1.404104E-3</v>
      </c>
      <c r="AA527">
        <v>0.9939325</v>
      </c>
      <c r="AB527">
        <v>28</v>
      </c>
      <c r="AC527">
        <v>68.188299999999899</v>
      </c>
      <c r="AD527">
        <v>-1.159818</v>
      </c>
      <c r="AE527">
        <v>-7.8774000000000202</v>
      </c>
      <c r="AF527">
        <v>7.5789634228319596</v>
      </c>
      <c r="AG527">
        <v>-1.159818</v>
      </c>
      <c r="AH527">
        <v>68.202403162903906</v>
      </c>
      <c r="AI527">
        <v>90.968292107759396</v>
      </c>
      <c r="AJ527">
        <v>83.6590459422533</v>
      </c>
      <c r="AK527">
        <v>68.632016301089706</v>
      </c>
      <c r="AL527">
        <v>80.229559274980005</v>
      </c>
      <c r="AM527">
        <v>93.266050099943399</v>
      </c>
      <c r="AN527">
        <v>1.0000000116276699</v>
      </c>
    </row>
    <row r="528" spans="1:40" x14ac:dyDescent="0.25">
      <c r="A528" t="str">
        <f>"20190304155324577"</f>
        <v>20190304155324577</v>
      </c>
      <c r="B528" t="str">
        <f>"1551686004566634"</f>
        <v>1551686004566634</v>
      </c>
      <c r="C528" t="s">
        <v>40</v>
      </c>
      <c r="D528">
        <v>4.3778439999999996</v>
      </c>
      <c r="E528">
        <v>0.56398300000000001</v>
      </c>
      <c r="F528" t="s">
        <v>47</v>
      </c>
      <c r="G528">
        <v>-291.10910000000001</v>
      </c>
      <c r="H528">
        <v>-0.05</v>
      </c>
      <c r="I528">
        <v>358.75099999999998</v>
      </c>
      <c r="J528">
        <v>-364.34640000000002</v>
      </c>
      <c r="K528">
        <v>1.10982</v>
      </c>
      <c r="L528">
        <v>367.37060000000002</v>
      </c>
      <c r="M528">
        <v>0.99994859999999997</v>
      </c>
      <c r="N528">
        <v>-9.1773989999999993E-3</v>
      </c>
      <c r="O528">
        <v>-4.3430689999999997E-3</v>
      </c>
      <c r="P528">
        <v>0.98566940000000003</v>
      </c>
      <c r="Q528">
        <v>0.16061300000000001</v>
      </c>
      <c r="R528">
        <v>5.1573689999999998E-2</v>
      </c>
      <c r="S528">
        <v>3.0704959999999999</v>
      </c>
      <c r="T528">
        <v>-4.8435569999999997E-2</v>
      </c>
      <c r="U528">
        <v>-0.3600159</v>
      </c>
      <c r="V528">
        <v>-5.5847729999999998E-2</v>
      </c>
      <c r="W528">
        <v>0.16965169999999999</v>
      </c>
      <c r="X528">
        <v>0.98392040000000003</v>
      </c>
      <c r="Y528">
        <v>0.1121158</v>
      </c>
      <c r="Z528">
        <v>-1.36895299999999E-3</v>
      </c>
      <c r="AA528">
        <v>0.99369419999999997</v>
      </c>
      <c r="AB528">
        <v>28</v>
      </c>
      <c r="AC528">
        <v>73.237300000000005</v>
      </c>
      <c r="AD528">
        <v>-1.1598200000000001</v>
      </c>
      <c r="AE528">
        <v>-8.6196000000000392</v>
      </c>
      <c r="AF528">
        <v>8.2993777099868495</v>
      </c>
      <c r="AG528">
        <v>-1.1598200000000001</v>
      </c>
      <c r="AH528">
        <v>73.255925208441894</v>
      </c>
      <c r="AI528">
        <v>90.901291411347998</v>
      </c>
      <c r="AJ528">
        <v>83.536354032856494</v>
      </c>
      <c r="AK528">
        <v>73.733679081884006</v>
      </c>
      <c r="AL528">
        <v>80.232431324558604</v>
      </c>
      <c r="AM528">
        <v>93.248646431936095</v>
      </c>
      <c r="AN528">
        <v>1.0000000108975999</v>
      </c>
    </row>
    <row r="529" spans="1:40" x14ac:dyDescent="0.25">
      <c r="A529" t="str">
        <f>"20190304155324599"</f>
        <v>20190304155324599</v>
      </c>
      <c r="B529" t="str">
        <f>"1551686004596420"</f>
        <v>1551686004596420</v>
      </c>
      <c r="C529" t="s">
        <v>40</v>
      </c>
      <c r="D529">
        <v>4.3376950000000001</v>
      </c>
      <c r="E529">
        <v>0.56510079999999996</v>
      </c>
      <c r="F529" t="s">
        <v>47</v>
      </c>
      <c r="G529">
        <v>-291.15879999999999</v>
      </c>
      <c r="H529">
        <v>-0.05</v>
      </c>
      <c r="I529">
        <v>358.62270000000001</v>
      </c>
      <c r="J529">
        <v>-364.06479999999999</v>
      </c>
      <c r="K529">
        <v>1.109818</v>
      </c>
      <c r="L529">
        <v>367.36939999999998</v>
      </c>
      <c r="M529">
        <v>0.99994890000000003</v>
      </c>
      <c r="N529">
        <v>-9.1379860000000007E-3</v>
      </c>
      <c r="O529">
        <v>-4.34265E-3</v>
      </c>
      <c r="P529">
        <v>0.98561189999999999</v>
      </c>
      <c r="Q529">
        <v>0.16093579999999999</v>
      </c>
      <c r="R529">
        <v>5.1662960000000001E-2</v>
      </c>
      <c r="S529">
        <v>3.0707399999999998</v>
      </c>
      <c r="T529">
        <v>-4.8662660000000003E-2</v>
      </c>
      <c r="U529">
        <v>-0.3670349</v>
      </c>
      <c r="V529">
        <v>-5.5936449999999999E-2</v>
      </c>
      <c r="W529">
        <v>0.16993549999999999</v>
      </c>
      <c r="X529">
        <v>0.98386640000000003</v>
      </c>
      <c r="Y529">
        <v>0.1143462</v>
      </c>
      <c r="Z529">
        <v>-1.3981060000000001E-3</v>
      </c>
      <c r="AA529">
        <v>0.99343999999999999</v>
      </c>
      <c r="AB529">
        <v>29</v>
      </c>
      <c r="AC529">
        <v>72.906000000000006</v>
      </c>
      <c r="AD529">
        <v>-1.159818</v>
      </c>
      <c r="AE529">
        <v>-8.7466999999999704</v>
      </c>
      <c r="AF529">
        <v>8.4278964380241597</v>
      </c>
      <c r="AG529">
        <v>-1.159818</v>
      </c>
      <c r="AH529">
        <v>72.925104109691105</v>
      </c>
      <c r="AI529">
        <v>90.905145121089006</v>
      </c>
      <c r="AJ529">
        <v>83.407618213884803</v>
      </c>
      <c r="AK529">
        <v>73.419652856523797</v>
      </c>
      <c r="AL529">
        <v>80.215931352090607</v>
      </c>
      <c r="AM529">
        <v>93.2539743713821</v>
      </c>
      <c r="AN529">
        <v>1.0000000268239</v>
      </c>
    </row>
    <row r="530" spans="1:40" x14ac:dyDescent="0.25">
      <c r="A530" t="str">
        <f>"20190304155324621"</f>
        <v>20190304155324621</v>
      </c>
      <c r="B530" t="str">
        <f>"1551686004615941"</f>
        <v>1551686004615941</v>
      </c>
      <c r="C530" t="s">
        <v>40</v>
      </c>
      <c r="D530">
        <v>4.356598</v>
      </c>
      <c r="E530">
        <v>0.56559399999999904</v>
      </c>
      <c r="F530" t="s">
        <v>47</v>
      </c>
      <c r="G530">
        <v>-278.64819999999997</v>
      </c>
      <c r="H530">
        <v>-0.05</v>
      </c>
      <c r="I530">
        <v>356.9273</v>
      </c>
      <c r="J530">
        <v>-363.7792</v>
      </c>
      <c r="K530">
        <v>1.109812</v>
      </c>
      <c r="L530">
        <v>367.3682</v>
      </c>
      <c r="M530">
        <v>0.99994919999999998</v>
      </c>
      <c r="N530">
        <v>-9.1046900000000004E-3</v>
      </c>
      <c r="O530">
        <v>-4.3421409999999999E-3</v>
      </c>
      <c r="P530">
        <v>0.98564300000000005</v>
      </c>
      <c r="Q530">
        <v>0.16080420000000001</v>
      </c>
      <c r="R530">
        <v>5.1479160000000003E-2</v>
      </c>
      <c r="S530">
        <v>3.0702820000000002</v>
      </c>
      <c r="T530">
        <v>-4.1689400000000001E-2</v>
      </c>
      <c r="U530">
        <v>-0.37533569999999999</v>
      </c>
      <c r="V530">
        <v>-5.575227E-2</v>
      </c>
      <c r="W530">
        <v>0.16977159999999999</v>
      </c>
      <c r="X530">
        <v>0.98390509999999998</v>
      </c>
      <c r="Y530">
        <v>0.11701540000000001</v>
      </c>
      <c r="Z530">
        <v>-1.3068349999999999E-3</v>
      </c>
      <c r="AA530">
        <v>0.99312929999999999</v>
      </c>
      <c r="AB530">
        <v>29</v>
      </c>
      <c r="AC530">
        <v>85.131</v>
      </c>
      <c r="AD530">
        <v>-1.1598120000000001</v>
      </c>
      <c r="AE530">
        <v>-10.440899999999999</v>
      </c>
      <c r="AF530">
        <v>10.069294205836099</v>
      </c>
      <c r="AG530">
        <v>-1.1598120000000001</v>
      </c>
      <c r="AH530">
        <v>85.159962881631103</v>
      </c>
      <c r="AI530">
        <v>90.774878222751099</v>
      </c>
      <c r="AJ530">
        <v>83.256669411510003</v>
      </c>
      <c r="AK530">
        <v>85.761035019872594</v>
      </c>
      <c r="AL530">
        <v>80.225460122446805</v>
      </c>
      <c r="AM530">
        <v>93.243155737711206</v>
      </c>
      <c r="AN530">
        <v>0.99999997879136104</v>
      </c>
    </row>
    <row r="531" spans="1:40" x14ac:dyDescent="0.25">
      <c r="A531" t="str">
        <f>"20190304155324645"</f>
        <v>20190304155324645</v>
      </c>
      <c r="B531" t="str">
        <f>"1551686004636436"</f>
        <v>1551686004636436</v>
      </c>
      <c r="C531" t="s">
        <v>40</v>
      </c>
      <c r="D531">
        <v>4.3408410000000002</v>
      </c>
      <c r="E531">
        <v>0.56617799999999996</v>
      </c>
      <c r="F531" t="s">
        <v>47</v>
      </c>
      <c r="G531">
        <v>-273.67090000000002</v>
      </c>
      <c r="H531">
        <v>-0.05</v>
      </c>
      <c r="I531">
        <v>356.21370000000002</v>
      </c>
      <c r="J531">
        <v>-363.49079999999998</v>
      </c>
      <c r="K531">
        <v>1.10981</v>
      </c>
      <c r="L531">
        <v>367.36689999999999</v>
      </c>
      <c r="M531">
        <v>0.99994950000000005</v>
      </c>
      <c r="N531">
        <v>-9.0777480000000001E-3</v>
      </c>
      <c r="O531">
        <v>-4.3417799999999999E-3</v>
      </c>
      <c r="P531">
        <v>0.98557320000000004</v>
      </c>
      <c r="Q531">
        <v>0.16110289999999999</v>
      </c>
      <c r="R531">
        <v>5.1879199999999903E-2</v>
      </c>
      <c r="S531">
        <v>3.0700379999999998</v>
      </c>
      <c r="T531">
        <v>-3.9515380000000003E-2</v>
      </c>
      <c r="U531">
        <v>-0.38003540000000002</v>
      </c>
      <c r="V531">
        <v>-5.6151670000000001E-2</v>
      </c>
      <c r="W531">
        <v>0.17004320000000001</v>
      </c>
      <c r="X531">
        <v>0.98383549999999997</v>
      </c>
      <c r="Y531">
        <v>0.11852409999999999</v>
      </c>
      <c r="Z531">
        <v>-1.283509E-3</v>
      </c>
      <c r="AA531">
        <v>0.99295040000000001</v>
      </c>
      <c r="AB531">
        <v>29</v>
      </c>
      <c r="AC531">
        <v>89.819899999999905</v>
      </c>
      <c r="AD531">
        <v>-1.15981</v>
      </c>
      <c r="AE531">
        <v>-11.153199999999901</v>
      </c>
      <c r="AF531">
        <v>10.761333549708199</v>
      </c>
      <c r="AG531">
        <v>-1.15981</v>
      </c>
      <c r="AH531">
        <v>89.852725893573194</v>
      </c>
      <c r="AI531">
        <v>90.734280202966104</v>
      </c>
      <c r="AJ531">
        <v>83.170423737897096</v>
      </c>
      <c r="AK531">
        <v>90.502286211508405</v>
      </c>
      <c r="AL531">
        <v>80.209669150767994</v>
      </c>
      <c r="AM531">
        <v>93.266569611225407</v>
      </c>
      <c r="AN531">
        <v>0.99999999548513896</v>
      </c>
    </row>
    <row r="532" spans="1:40" x14ac:dyDescent="0.25">
      <c r="A532" t="str">
        <f>"20190304155324665"</f>
        <v>20190304155324665</v>
      </c>
      <c r="B532" t="str">
        <f>"1551686004655956"</f>
        <v>1551686004655956</v>
      </c>
      <c r="C532" t="s">
        <v>40</v>
      </c>
      <c r="D532">
        <v>4.4322499999999998</v>
      </c>
      <c r="E532">
        <v>0.56662749999999995</v>
      </c>
      <c r="F532" t="s">
        <v>46</v>
      </c>
      <c r="G532">
        <v>-274.53100000000001</v>
      </c>
      <c r="H532">
        <v>7.998566E-2</v>
      </c>
      <c r="I532">
        <v>356.2525</v>
      </c>
      <c r="J532">
        <v>-363.2115</v>
      </c>
      <c r="K532">
        <v>1.109802</v>
      </c>
      <c r="L532">
        <v>367.36559999999997</v>
      </c>
      <c r="M532">
        <v>0.99994959999999999</v>
      </c>
      <c r="N532">
        <v>-9.0568769999999996E-3</v>
      </c>
      <c r="O532">
        <v>-4.3410899999999997E-3</v>
      </c>
      <c r="P532">
        <v>0.9856009</v>
      </c>
      <c r="Q532">
        <v>0.16088429999999901</v>
      </c>
      <c r="R532">
        <v>5.2032080000000001E-2</v>
      </c>
      <c r="S532">
        <v>3.0699160000000001</v>
      </c>
      <c r="T532">
        <v>-3.5538199999999902E-2</v>
      </c>
      <c r="U532">
        <v>-0.38354490000000002</v>
      </c>
      <c r="V532">
        <v>-5.6304140000000003E-2</v>
      </c>
      <c r="W532">
        <v>0.16980399999999901</v>
      </c>
      <c r="X532">
        <v>0.98386810000000002</v>
      </c>
      <c r="Y532">
        <v>0.1196497</v>
      </c>
      <c r="Z532">
        <v>-1.222926E-3</v>
      </c>
      <c r="AA532">
        <v>0.99281540000000001</v>
      </c>
      <c r="AB532">
        <v>29</v>
      </c>
      <c r="AC532">
        <v>88.680499999999995</v>
      </c>
      <c r="AD532">
        <v>-1.02981634</v>
      </c>
      <c r="AE532">
        <v>-11.1130999999999</v>
      </c>
      <c r="AF532">
        <v>10.7265853140856</v>
      </c>
      <c r="AG532">
        <v>-1.02981634</v>
      </c>
      <c r="AH532">
        <v>88.716130541797298</v>
      </c>
      <c r="AI532">
        <v>90.660251047625707</v>
      </c>
      <c r="AJ532">
        <v>83.105885334245002</v>
      </c>
      <c r="AK532">
        <v>89.368182103608405</v>
      </c>
      <c r="AL532">
        <v>80.223576562364002</v>
      </c>
      <c r="AM532">
        <v>93.275311828275804</v>
      </c>
      <c r="AN532">
        <v>0.99999999639737402</v>
      </c>
    </row>
    <row r="533" spans="1:40" x14ac:dyDescent="0.25">
      <c r="A533" t="str">
        <f>"20190304155324688"</f>
        <v>20190304155324688</v>
      </c>
      <c r="B533" t="str">
        <f>"1551686004676452"</f>
        <v>1551686004676452</v>
      </c>
      <c r="C533" t="s">
        <v>40</v>
      </c>
      <c r="D533">
        <v>4.3198210000000001</v>
      </c>
      <c r="E533">
        <v>0.5669071</v>
      </c>
      <c r="F533" t="s">
        <v>46</v>
      </c>
      <c r="G533">
        <v>-269.22239999999999</v>
      </c>
      <c r="H533">
        <v>7.9985769999999998E-2</v>
      </c>
      <c r="I533">
        <v>355.52690000000001</v>
      </c>
      <c r="J533">
        <v>-362.92230000000001</v>
      </c>
      <c r="K533">
        <v>1.1097980000000001</v>
      </c>
      <c r="L533">
        <v>367.36439999999999</v>
      </c>
      <c r="M533">
        <v>0.9999498</v>
      </c>
      <c r="N533">
        <v>-9.0399910000000007E-3</v>
      </c>
      <c r="O533">
        <v>-4.340656E-3</v>
      </c>
      <c r="P533">
        <v>0.98555870000000001</v>
      </c>
      <c r="Q533">
        <v>0.1611022</v>
      </c>
      <c r="R533">
        <v>5.2157299999999997E-2</v>
      </c>
      <c r="S533">
        <v>3.0697329999999998</v>
      </c>
      <c r="T533">
        <v>-3.3634310000000001E-2</v>
      </c>
      <c r="U533">
        <v>-0.38665769999999999</v>
      </c>
      <c r="V533">
        <v>-5.6428819999999998E-2</v>
      </c>
      <c r="W533">
        <v>0.17000509999999999</v>
      </c>
      <c r="X533">
        <v>0.98382619999999998</v>
      </c>
      <c r="Y533">
        <v>0.1206496</v>
      </c>
      <c r="Z533">
        <v>-1.197587E-3</v>
      </c>
      <c r="AA533">
        <v>0.99269439999999998</v>
      </c>
      <c r="AB533">
        <v>29</v>
      </c>
      <c r="AC533">
        <v>93.6999</v>
      </c>
      <c r="AD533">
        <v>-1.0298122300000001</v>
      </c>
      <c r="AE533">
        <v>-11.837499999999901</v>
      </c>
      <c r="AF533">
        <v>11.4292939760191</v>
      </c>
      <c r="AG533">
        <v>-1.0298122300000001</v>
      </c>
      <c r="AH533">
        <v>93.739256756273903</v>
      </c>
      <c r="AI533">
        <v>90.624795068782603</v>
      </c>
      <c r="AJ533">
        <v>83.048441424902606</v>
      </c>
      <c r="AK533">
        <v>94.439067822792296</v>
      </c>
      <c r="AL533">
        <v>80.211884109885901</v>
      </c>
      <c r="AM533">
        <v>93.282688336705604</v>
      </c>
      <c r="AN533">
        <v>0.99999996877952002</v>
      </c>
    </row>
    <row r="534" spans="1:40" x14ac:dyDescent="0.25">
      <c r="A534" t="str">
        <f>"20190304155324711"</f>
        <v>20190304155324711</v>
      </c>
      <c r="B534" t="str">
        <f>"1551686004706708"</f>
        <v>1551686004706708</v>
      </c>
      <c r="C534" t="s">
        <v>40</v>
      </c>
      <c r="D534">
        <v>4.8579509999999999</v>
      </c>
      <c r="E534">
        <v>0.56759269999999995</v>
      </c>
      <c r="F534" t="s">
        <v>47</v>
      </c>
      <c r="G534">
        <v>-249.005</v>
      </c>
      <c r="H534">
        <v>-0.05</v>
      </c>
      <c r="I534">
        <v>352.93900000000002</v>
      </c>
      <c r="J534">
        <v>-362.62920000000003</v>
      </c>
      <c r="K534">
        <v>1.109802</v>
      </c>
      <c r="L534">
        <v>367.36309999999997</v>
      </c>
      <c r="M534">
        <v>0.99994989999999995</v>
      </c>
      <c r="N534">
        <v>-9.0271520000000001E-3</v>
      </c>
      <c r="O534">
        <v>-4.3402409999999999E-3</v>
      </c>
      <c r="P534">
        <v>0.98559560000000002</v>
      </c>
      <c r="Q534">
        <v>0.16080159999999999</v>
      </c>
      <c r="R534">
        <v>5.2387400000000001E-2</v>
      </c>
      <c r="S534">
        <v>3.0695800000000002</v>
      </c>
      <c r="T534">
        <v>-3.1251550000000003E-2</v>
      </c>
      <c r="U534">
        <v>-0.3887024</v>
      </c>
      <c r="V534">
        <v>-5.6658510000000002E-2</v>
      </c>
      <c r="W534">
        <v>0.16969219999999999</v>
      </c>
      <c r="X534">
        <v>0.98386700000000005</v>
      </c>
      <c r="Y534">
        <v>0.12130829999999999</v>
      </c>
      <c r="Z534">
        <v>-1.15982E-3</v>
      </c>
      <c r="AA534">
        <v>0.9926142</v>
      </c>
      <c r="AB534">
        <v>29</v>
      </c>
      <c r="AC534">
        <v>113.6242</v>
      </c>
      <c r="AD534">
        <v>-1.159802</v>
      </c>
      <c r="AE534">
        <v>-14.4240999999999</v>
      </c>
      <c r="AF534">
        <v>13.929359372862599</v>
      </c>
      <c r="AG534">
        <v>-1.159802</v>
      </c>
      <c r="AH534">
        <v>113.674080450554</v>
      </c>
      <c r="AI534">
        <v>90.580221551059594</v>
      </c>
      <c r="AJ534">
        <v>83.013934927926599</v>
      </c>
      <c r="AK534">
        <v>114.5302089385</v>
      </c>
      <c r="AL534">
        <v>80.230076119851901</v>
      </c>
      <c r="AM534">
        <v>93.295884533770803</v>
      </c>
      <c r="AN534">
        <v>0.999999951592628</v>
      </c>
    </row>
    <row r="535" spans="1:40" x14ac:dyDescent="0.25">
      <c r="A535" t="str">
        <f>"20190304155324733"</f>
        <v>20190304155324733</v>
      </c>
      <c r="B535" t="str">
        <f>"1551686004726229"</f>
        <v>1551686004726229</v>
      </c>
      <c r="C535" t="s">
        <v>40</v>
      </c>
      <c r="D535">
        <v>4.81114</v>
      </c>
      <c r="E535">
        <v>0.56984820000000003</v>
      </c>
      <c r="F535" t="s">
        <v>47</v>
      </c>
      <c r="G535">
        <v>-250.09880000000001</v>
      </c>
      <c r="H535">
        <v>-0.05</v>
      </c>
      <c r="I535">
        <v>352.9314</v>
      </c>
      <c r="J535">
        <v>-362.351</v>
      </c>
      <c r="K535">
        <v>1.109802</v>
      </c>
      <c r="L535">
        <v>367.36189999999999</v>
      </c>
      <c r="M535">
        <v>0.99994989999999995</v>
      </c>
      <c r="N535">
        <v>-9.0184700000000007E-3</v>
      </c>
      <c r="O535">
        <v>-4.3394870000000004E-3</v>
      </c>
      <c r="P535">
        <v>0.98554169999999996</v>
      </c>
      <c r="Q535">
        <v>0.16116900000000001</v>
      </c>
      <c r="R535">
        <v>5.2267569999999999E-2</v>
      </c>
      <c r="S535">
        <v>3.0699160000000001</v>
      </c>
      <c r="T535">
        <v>-3.1640290000000001E-2</v>
      </c>
      <c r="U535">
        <v>-0.39370729999999998</v>
      </c>
      <c r="V535">
        <v>-5.6537669999999998E-2</v>
      </c>
      <c r="W535">
        <v>0.1700507</v>
      </c>
      <c r="X535">
        <v>0.98381209999999997</v>
      </c>
      <c r="Y535">
        <v>0.12288739999999999</v>
      </c>
      <c r="Z535">
        <v>-1.1815420000000001E-3</v>
      </c>
      <c r="AA535">
        <v>0.99241990000000002</v>
      </c>
      <c r="AB535">
        <v>29</v>
      </c>
      <c r="AC535">
        <v>112.2522</v>
      </c>
      <c r="AD535">
        <v>-1.159802</v>
      </c>
      <c r="AE535">
        <v>-14.430499999999901</v>
      </c>
      <c r="AF535">
        <v>13.941763214103901</v>
      </c>
      <c r="AG535">
        <v>-1.159802</v>
      </c>
      <c r="AH535">
        <v>112.30197289425401</v>
      </c>
      <c r="AI535">
        <v>90.5871955239583</v>
      </c>
      <c r="AJ535">
        <v>82.923205467763495</v>
      </c>
      <c r="AK535">
        <v>113.170009358218</v>
      </c>
      <c r="AL535">
        <v>80.209233110339099</v>
      </c>
      <c r="AM535">
        <v>93.289053719397401</v>
      </c>
      <c r="AN535">
        <v>0.99999999840296405</v>
      </c>
    </row>
    <row r="536" spans="1:40" x14ac:dyDescent="0.25">
      <c r="A536" t="str">
        <f>"20190304155324755"</f>
        <v>20190304155324755</v>
      </c>
      <c r="B536" t="str">
        <f>"1551686004745747"</f>
        <v>1551686004745747</v>
      </c>
      <c r="C536" t="s">
        <v>40</v>
      </c>
      <c r="D536">
        <v>4.7591340000000004</v>
      </c>
      <c r="E536">
        <v>0.57141889999999995</v>
      </c>
      <c r="F536" t="s">
        <v>46</v>
      </c>
      <c r="G536">
        <v>-274.48939999999999</v>
      </c>
      <c r="H536">
        <v>7.9985689999999998E-2</v>
      </c>
      <c r="I536">
        <v>355.5761</v>
      </c>
      <c r="J536">
        <v>-362.05430000000001</v>
      </c>
      <c r="K536">
        <v>1.1097980000000001</v>
      </c>
      <c r="L536">
        <v>367.36059999999998</v>
      </c>
      <c r="M536">
        <v>0.99995000000000001</v>
      </c>
      <c r="N536">
        <v>-9.0124720000000005E-3</v>
      </c>
      <c r="O536">
        <v>-4.3391020000000001E-3</v>
      </c>
      <c r="P536">
        <v>0.98570329999999995</v>
      </c>
      <c r="Q536">
        <v>0.16025699999999901</v>
      </c>
      <c r="R536">
        <v>5.202797E-2</v>
      </c>
      <c r="S536">
        <v>3.071777</v>
      </c>
      <c r="T536">
        <v>-3.600395E-2</v>
      </c>
      <c r="U536">
        <v>-0.41204829999999998</v>
      </c>
      <c r="V536">
        <v>-5.6298510000000003E-2</v>
      </c>
      <c r="W536">
        <v>0.16913429999999999</v>
      </c>
      <c r="X536">
        <v>0.98398379999999996</v>
      </c>
      <c r="Y536">
        <v>0.12863179999999999</v>
      </c>
      <c r="Z536">
        <v>-1.3210380000000001E-3</v>
      </c>
      <c r="AA536">
        <v>0.99169149999999995</v>
      </c>
      <c r="AB536">
        <v>29</v>
      </c>
      <c r="AC536">
        <v>87.564899999999994</v>
      </c>
      <c r="AD536">
        <v>-1.0298123100000001</v>
      </c>
      <c r="AE536">
        <v>-11.7844999999999</v>
      </c>
      <c r="AF536">
        <v>11.402871514955001</v>
      </c>
      <c r="AG536">
        <v>-1.0298123100000001</v>
      </c>
      <c r="AH536">
        <v>87.603310889604202</v>
      </c>
      <c r="AI536">
        <v>90.667870466160693</v>
      </c>
      <c r="AJ536">
        <v>82.583800026413797</v>
      </c>
      <c r="AK536">
        <v>88.348322400603905</v>
      </c>
      <c r="AL536">
        <v>80.262511002789097</v>
      </c>
      <c r="AM536">
        <v>93.274600788818702</v>
      </c>
      <c r="AN536">
        <v>1.00000002616357</v>
      </c>
    </row>
    <row r="537" spans="1:40" x14ac:dyDescent="0.25">
      <c r="A537" t="str">
        <f>"20190304155324790"</f>
        <v>20190304155324790</v>
      </c>
      <c r="B537" t="str">
        <f>"1551686004785764"</f>
        <v>1551686004785764</v>
      </c>
      <c r="C537" t="s">
        <v>40</v>
      </c>
      <c r="D537">
        <v>4.7790379999999999</v>
      </c>
      <c r="E537">
        <v>0.57787200000000005</v>
      </c>
      <c r="F537" t="s">
        <v>47</v>
      </c>
      <c r="G537">
        <v>-275.08249999999998</v>
      </c>
      <c r="H537">
        <v>-0.05</v>
      </c>
      <c r="I537">
        <v>355.32089999999999</v>
      </c>
      <c r="J537">
        <v>-361.60730000000001</v>
      </c>
      <c r="K537">
        <v>1.1097950000000001</v>
      </c>
      <c r="L537">
        <v>367.35860000000002</v>
      </c>
      <c r="M537">
        <v>0.99995009999999995</v>
      </c>
      <c r="N537">
        <v>-9.0090350000000003E-3</v>
      </c>
      <c r="O537">
        <v>-4.3384909999999999E-3</v>
      </c>
      <c r="P537">
        <v>0.98579830000000002</v>
      </c>
      <c r="Q537">
        <v>0.1596757</v>
      </c>
      <c r="R537">
        <v>5.2014779999999997E-2</v>
      </c>
      <c r="S537">
        <v>3.0726619999999998</v>
      </c>
      <c r="T537">
        <v>-4.0974969999999999E-2</v>
      </c>
      <c r="U537">
        <v>-0.42535400000000001</v>
      </c>
      <c r="V537">
        <v>-5.628499E-2</v>
      </c>
      <c r="W537">
        <v>0.16855059999999999</v>
      </c>
      <c r="X537">
        <v>0.98408470000000003</v>
      </c>
      <c r="Y537">
        <v>0.1328056</v>
      </c>
      <c r="Z537">
        <v>-1.4637129999999999E-3</v>
      </c>
      <c r="AA537">
        <v>0.99114100000000005</v>
      </c>
      <c r="AB537">
        <v>29</v>
      </c>
      <c r="AC537">
        <v>86.524799999999999</v>
      </c>
      <c r="AD537">
        <v>-1.1597949999999999</v>
      </c>
      <c r="AE537">
        <v>-12.037699999999999</v>
      </c>
      <c r="AF537">
        <v>11.6601292121203</v>
      </c>
      <c r="AG537">
        <v>-1.1597949999999999</v>
      </c>
      <c r="AH537">
        <v>86.560955894175095</v>
      </c>
      <c r="AI537">
        <v>90.760766587805804</v>
      </c>
      <c r="AJ537">
        <v>82.328194439881798</v>
      </c>
      <c r="AK537">
        <v>87.350459775542603</v>
      </c>
      <c r="AL537">
        <v>80.296441441682703</v>
      </c>
      <c r="AM537">
        <v>93.273481168909001</v>
      </c>
      <c r="AN537">
        <v>1.0000000008168699</v>
      </c>
    </row>
    <row r="538" spans="1:40" x14ac:dyDescent="0.25">
      <c r="A538" t="str">
        <f>"20190304155324811"</f>
        <v>20190304155324811</v>
      </c>
      <c r="B538" t="str">
        <f>"1551686004806260"</f>
        <v>1551686004806260</v>
      </c>
      <c r="C538" t="s">
        <v>40</v>
      </c>
      <c r="D538">
        <v>4.7602089999999997</v>
      </c>
      <c r="E538">
        <v>0.58049709999999999</v>
      </c>
      <c r="F538" t="s">
        <v>47</v>
      </c>
      <c r="G538">
        <v>-294.09359999999998</v>
      </c>
      <c r="H538">
        <v>-0.05</v>
      </c>
      <c r="I538">
        <v>356.88400000000001</v>
      </c>
      <c r="J538">
        <v>-361.33429999999998</v>
      </c>
      <c r="K538">
        <v>1.1097919999999999</v>
      </c>
      <c r="L538">
        <v>367.35750000000002</v>
      </c>
      <c r="M538">
        <v>0.99995009999999995</v>
      </c>
      <c r="N538">
        <v>-9.0095269999999998E-3</v>
      </c>
      <c r="O538">
        <v>-4.3380169999999996E-3</v>
      </c>
      <c r="P538">
        <v>0.9858112</v>
      </c>
      <c r="Q538">
        <v>0.15965270000000001</v>
      </c>
      <c r="R538">
        <v>5.1839799999999998E-2</v>
      </c>
      <c r="S538">
        <v>3.076965</v>
      </c>
      <c r="T538">
        <v>-5.285811E-2</v>
      </c>
      <c r="U538">
        <v>-0.47738649999999999</v>
      </c>
      <c r="V538">
        <v>-5.6109239999999998E-2</v>
      </c>
      <c r="W538">
        <v>0.16852800000000001</v>
      </c>
      <c r="X538">
        <v>0.98409860000000005</v>
      </c>
      <c r="Y538">
        <v>0.14899309999999999</v>
      </c>
      <c r="Z538">
        <v>-1.9120929999999999E-3</v>
      </c>
      <c r="AA538">
        <v>0.98883639999999995</v>
      </c>
      <c r="AB538">
        <v>29</v>
      </c>
      <c r="AC538">
        <v>67.240700000000004</v>
      </c>
      <c r="AD538">
        <v>-1.1597919999999999</v>
      </c>
      <c r="AE538">
        <v>-10.4735</v>
      </c>
      <c r="AF538">
        <v>10.178741826026</v>
      </c>
      <c r="AG538">
        <v>-1.1597919999999999</v>
      </c>
      <c r="AH538">
        <v>67.265965318750602</v>
      </c>
      <c r="AI538">
        <v>90.976672886162206</v>
      </c>
      <c r="AJ538">
        <v>81.395235968114605</v>
      </c>
      <c r="AK538">
        <v>68.041619564113205</v>
      </c>
      <c r="AL538">
        <v>80.297755052337706</v>
      </c>
      <c r="AM538">
        <v>93.263235848983598</v>
      </c>
      <c r="AN538">
        <v>0.999999994059668</v>
      </c>
    </row>
    <row r="539" spans="1:40" x14ac:dyDescent="0.25">
      <c r="A539" t="str">
        <f>"20190304155324855"</f>
        <v>20190304155324855</v>
      </c>
      <c r="B539" t="str">
        <f>"1551686004846277"</f>
        <v>1551686004846277</v>
      </c>
      <c r="C539" t="s">
        <v>40</v>
      </c>
      <c r="D539">
        <v>4.7951249999999996</v>
      </c>
      <c r="E539">
        <v>0.58392569999999999</v>
      </c>
      <c r="F539" t="s">
        <v>47</v>
      </c>
      <c r="G539">
        <v>-295.15019999999998</v>
      </c>
      <c r="H539">
        <v>-0.05</v>
      </c>
      <c r="I539">
        <v>356.6207</v>
      </c>
      <c r="J539">
        <v>-360.75490000000002</v>
      </c>
      <c r="K539">
        <v>1.1097790000000001</v>
      </c>
      <c r="L539">
        <v>367.35500000000002</v>
      </c>
      <c r="M539">
        <v>0.99995009999999995</v>
      </c>
      <c r="N539">
        <v>-9.0162339999999997E-3</v>
      </c>
      <c r="O539">
        <v>-4.3369749999999999E-3</v>
      </c>
      <c r="P539">
        <v>0.98606050000000001</v>
      </c>
      <c r="Q539">
        <v>0.1580829</v>
      </c>
      <c r="R539">
        <v>5.191163E-2</v>
      </c>
      <c r="S539">
        <v>3.0781860000000001</v>
      </c>
      <c r="T539">
        <v>-5.3941250000000003E-2</v>
      </c>
      <c r="U539">
        <v>-0.4993591</v>
      </c>
      <c r="V539">
        <v>-5.6181620000000002E-2</v>
      </c>
      <c r="W539">
        <v>0.166966899999999</v>
      </c>
      <c r="X539">
        <v>0.98436049999999997</v>
      </c>
      <c r="Y539">
        <v>0.1558136</v>
      </c>
      <c r="Z539">
        <v>-2.0266889999999999E-3</v>
      </c>
      <c r="AA539">
        <v>0.98778440000000001</v>
      </c>
      <c r="AB539">
        <v>29</v>
      </c>
      <c r="AC539">
        <v>65.604699999999994</v>
      </c>
      <c r="AD539">
        <v>-1.1597789999999999</v>
      </c>
      <c r="AE539">
        <v>-10.734299999999999</v>
      </c>
      <c r="AF539">
        <v>10.4464819418018</v>
      </c>
      <c r="AG539">
        <v>-1.1597789999999999</v>
      </c>
      <c r="AH539">
        <v>65.630663006630698</v>
      </c>
      <c r="AI539">
        <v>90.999802083349806</v>
      </c>
      <c r="AJ539">
        <v>80.956055553172305</v>
      </c>
      <c r="AK539">
        <v>66.466969232688498</v>
      </c>
      <c r="AL539">
        <v>80.388484790547395</v>
      </c>
      <c r="AM539">
        <v>93.266568800175506</v>
      </c>
      <c r="AN539">
        <v>0.99999995704084099</v>
      </c>
    </row>
    <row r="540" spans="1:40" x14ac:dyDescent="0.25">
      <c r="A540" t="str">
        <f>"20190304155324877"</f>
        <v>20190304155324877</v>
      </c>
      <c r="B540" t="str">
        <f>"1551686004865797"</f>
        <v>1551686004865797</v>
      </c>
      <c r="C540" t="s">
        <v>40</v>
      </c>
      <c r="D540">
        <v>4.8454329999999999</v>
      </c>
      <c r="E540">
        <v>0.5860052</v>
      </c>
      <c r="F540" t="s">
        <v>47</v>
      </c>
      <c r="G540">
        <v>-301.77330000000001</v>
      </c>
      <c r="H540">
        <v>-0.05</v>
      </c>
      <c r="I540">
        <v>357.27629999999999</v>
      </c>
      <c r="J540">
        <v>-360.45609999999999</v>
      </c>
      <c r="K540">
        <v>1.10978</v>
      </c>
      <c r="L540">
        <v>367.3537</v>
      </c>
      <c r="M540">
        <v>0.99995000000000001</v>
      </c>
      <c r="N540">
        <v>-9.0217530000000004E-3</v>
      </c>
      <c r="O540">
        <v>-4.3365219999999998E-3</v>
      </c>
      <c r="P540">
        <v>0.98611369999999998</v>
      </c>
      <c r="Q540">
        <v>0.15766910000000001</v>
      </c>
      <c r="R540">
        <v>5.2158089999999997E-2</v>
      </c>
      <c r="S540">
        <v>3.079834</v>
      </c>
      <c r="T540">
        <v>-6.0559990000000001E-2</v>
      </c>
      <c r="U540">
        <v>-0.52627559999999995</v>
      </c>
      <c r="V540">
        <v>-5.6427770000000002E-2</v>
      </c>
      <c r="W540">
        <v>0.16655929999999999</v>
      </c>
      <c r="X540">
        <v>0.9844155</v>
      </c>
      <c r="Y540">
        <v>0.16411510000000001</v>
      </c>
      <c r="Z540">
        <v>-2.3017189999999998E-3</v>
      </c>
      <c r="AA540">
        <v>0.9864385</v>
      </c>
      <c r="AB540">
        <v>29</v>
      </c>
      <c r="AC540">
        <v>58.682799999999901</v>
      </c>
      <c r="AD540">
        <v>-1.15978</v>
      </c>
      <c r="AE540">
        <v>-10.077400000000001</v>
      </c>
      <c r="AF540">
        <v>9.8190902028144507</v>
      </c>
      <c r="AG540">
        <v>-1.15978</v>
      </c>
      <c r="AH540">
        <v>58.703678122709597</v>
      </c>
      <c r="AI540">
        <v>91.116313384303993</v>
      </c>
      <c r="AJ540">
        <v>80.504307100032307</v>
      </c>
      <c r="AK540">
        <v>59.530508541369699</v>
      </c>
      <c r="AL540">
        <v>80.412170490698898</v>
      </c>
      <c r="AM540">
        <v>93.280666604063498</v>
      </c>
      <c r="AN540">
        <v>0.99999998514195598</v>
      </c>
    </row>
    <row r="541" spans="1:40" x14ac:dyDescent="0.25">
      <c r="A541" t="str">
        <f>"20190304155324945"</f>
        <v>20190304155324945</v>
      </c>
      <c r="B541" t="str">
        <f>"1551686004936069"</f>
        <v>1551686004936069</v>
      </c>
      <c r="C541" t="s">
        <v>40</v>
      </c>
      <c r="D541">
        <v>4.7161799999999996</v>
      </c>
      <c r="E541">
        <v>0.58871309999999999</v>
      </c>
      <c r="F541" t="s">
        <v>47</v>
      </c>
      <c r="G541">
        <v>-303.17559999999997</v>
      </c>
      <c r="H541">
        <v>-0.05</v>
      </c>
      <c r="I541">
        <v>357.27120000000002</v>
      </c>
      <c r="J541">
        <v>-359.5641</v>
      </c>
      <c r="K541">
        <v>1.1097809999999999</v>
      </c>
      <c r="L541">
        <v>367.34989999999999</v>
      </c>
      <c r="M541">
        <v>0.99994970000000005</v>
      </c>
      <c r="N541">
        <v>-9.0451980000000008E-3</v>
      </c>
      <c r="O541">
        <v>-4.3349570000000004E-3</v>
      </c>
      <c r="P541">
        <v>0.98604809999999998</v>
      </c>
      <c r="Q541">
        <v>0.15819839999999999</v>
      </c>
      <c r="R541">
        <v>5.1790849999999999E-2</v>
      </c>
      <c r="S541">
        <v>3.080902</v>
      </c>
      <c r="T541">
        <v>-6.2380190000000002E-2</v>
      </c>
      <c r="U541">
        <v>-0.54229740000000004</v>
      </c>
      <c r="V541">
        <v>-5.6058669999999998E-2</v>
      </c>
      <c r="W541">
        <v>0.1671107</v>
      </c>
      <c r="X541">
        <v>0.98434319999999997</v>
      </c>
      <c r="Y541">
        <v>0.16903409999999999</v>
      </c>
      <c r="Z541">
        <v>-2.4202870000000001E-3</v>
      </c>
      <c r="AA541">
        <v>0.98560720000000002</v>
      </c>
      <c r="AB541">
        <v>29</v>
      </c>
      <c r="AC541">
        <v>56.388500000000001</v>
      </c>
      <c r="AD541">
        <v>-1.159781</v>
      </c>
      <c r="AE541">
        <v>-10.0786999999999</v>
      </c>
      <c r="AF541">
        <v>9.8301238727765305</v>
      </c>
      <c r="AG541">
        <v>-1.159781</v>
      </c>
      <c r="AH541">
        <v>56.408538892100701</v>
      </c>
      <c r="AI541">
        <v>91.160374109011101</v>
      </c>
      <c r="AJ541">
        <v>80.114532049324794</v>
      </c>
      <c r="AK541">
        <v>57.270408478233598</v>
      </c>
      <c r="AL541">
        <v>80.380129133347793</v>
      </c>
      <c r="AM541">
        <v>93.259492708106094</v>
      </c>
      <c r="AN541">
        <v>1.0000000479614399</v>
      </c>
    </row>
    <row r="542" spans="1:40" x14ac:dyDescent="0.25">
      <c r="A542" t="str">
        <f>"20190304155325124"</f>
        <v>20190304155325124</v>
      </c>
      <c r="B542" t="str">
        <f>"1551686005116298"</f>
        <v>1551686005116298</v>
      </c>
      <c r="C542" t="s">
        <v>40</v>
      </c>
      <c r="D542">
        <v>4.6120169999999998</v>
      </c>
      <c r="E542">
        <v>0.58961330000000001</v>
      </c>
      <c r="F542" t="s">
        <v>47</v>
      </c>
      <c r="G542">
        <v>-303.11930000000001</v>
      </c>
      <c r="H542">
        <v>-0.05</v>
      </c>
      <c r="I542">
        <v>356.98489999999998</v>
      </c>
      <c r="J542">
        <v>-357.20530000000002</v>
      </c>
      <c r="K542">
        <v>1.1097709999999901</v>
      </c>
      <c r="L542">
        <v>367.33960000000002</v>
      </c>
      <c r="M542">
        <v>0.99994899999999998</v>
      </c>
      <c r="N542">
        <v>-9.1364840000000003E-3</v>
      </c>
      <c r="O542">
        <v>-4.3314390000000003E-3</v>
      </c>
      <c r="P542">
        <v>0.98608169999999995</v>
      </c>
      <c r="Q542">
        <v>0.15814729999999999</v>
      </c>
      <c r="R542">
        <v>5.1308760000000002E-2</v>
      </c>
      <c r="S542">
        <v>3.0823360000000002</v>
      </c>
      <c r="T542">
        <v>-6.3333269999999997E-2</v>
      </c>
      <c r="U542">
        <v>-0.56600950000000005</v>
      </c>
      <c r="V542">
        <v>-5.557343E-2</v>
      </c>
      <c r="W542">
        <v>0.1671503</v>
      </c>
      <c r="X542">
        <v>0.98436400000000002</v>
      </c>
      <c r="Y542">
        <v>0.17629600000000001</v>
      </c>
      <c r="Z542">
        <v>-2.5591720000000002E-3</v>
      </c>
      <c r="AA542">
        <v>0.98433389999999998</v>
      </c>
      <c r="AB542">
        <v>30</v>
      </c>
      <c r="AC542">
        <v>54.085999999999999</v>
      </c>
      <c r="AD542">
        <v>-1.1597710000000001</v>
      </c>
      <c r="AE542">
        <v>-10.354699999999999</v>
      </c>
      <c r="AF542">
        <v>10.1158360291851</v>
      </c>
      <c r="AG542">
        <v>-1.1597710000000001</v>
      </c>
      <c r="AH542">
        <v>54.106346399744602</v>
      </c>
      <c r="AI542">
        <v>91.207040151572699</v>
      </c>
      <c r="AJ542">
        <v>79.410120445184404</v>
      </c>
      <c r="AK542">
        <v>55.056079846561502</v>
      </c>
      <c r="AL542">
        <v>80.377827937499504</v>
      </c>
      <c r="AM542">
        <v>93.2312706765602</v>
      </c>
      <c r="AN542">
        <v>1.0000000567040199</v>
      </c>
    </row>
    <row r="543" spans="1:40" x14ac:dyDescent="0.25">
      <c r="A543" t="str">
        <f>"20190304155325146"</f>
        <v>20190304155325146</v>
      </c>
      <c r="B543" t="str">
        <f>"1551686005136793"</f>
        <v>1551686005136793</v>
      </c>
      <c r="C543" t="s">
        <v>40</v>
      </c>
      <c r="D543">
        <v>4.712218</v>
      </c>
      <c r="E543">
        <v>0.58918890000000002</v>
      </c>
      <c r="F543" t="s">
        <v>47</v>
      </c>
      <c r="G543">
        <v>-299.26350000000002</v>
      </c>
      <c r="H543">
        <v>-0.05</v>
      </c>
      <c r="I543">
        <v>356.5317</v>
      </c>
      <c r="J543">
        <v>-356.89440000000002</v>
      </c>
      <c r="K543">
        <v>1.1097680000000001</v>
      </c>
      <c r="L543">
        <v>367.33819999999997</v>
      </c>
      <c r="M543">
        <v>0.99994879999999997</v>
      </c>
      <c r="N543">
        <v>-9.1501810000000003E-3</v>
      </c>
      <c r="O543">
        <v>-4.3307859999999997E-3</v>
      </c>
      <c r="P543">
        <v>0.98604990000000003</v>
      </c>
      <c r="Q543">
        <v>0.15825529999999999</v>
      </c>
      <c r="R543">
        <v>5.1586119999999999E-2</v>
      </c>
      <c r="S543">
        <v>3.0821839999999998</v>
      </c>
      <c r="T543">
        <v>-6.1693310000000001E-2</v>
      </c>
      <c r="U543">
        <v>-0.57492069999999995</v>
      </c>
      <c r="V543">
        <v>-5.585014E-2</v>
      </c>
      <c r="W543">
        <v>0.16727149999999999</v>
      </c>
      <c r="X543">
        <v>0.98432770000000003</v>
      </c>
      <c r="Y543">
        <v>0.17905760000000001</v>
      </c>
      <c r="Z543">
        <v>-2.55623E-3</v>
      </c>
      <c r="AA543">
        <v>0.98383529999999997</v>
      </c>
      <c r="AB543">
        <v>30</v>
      </c>
      <c r="AC543">
        <v>57.630899999999997</v>
      </c>
      <c r="AD543">
        <v>-1.1597679999999999</v>
      </c>
      <c r="AE543">
        <v>-10.8064999999999</v>
      </c>
      <c r="AF543">
        <v>10.552672674904899</v>
      </c>
      <c r="AG543">
        <v>-1.1597679999999999</v>
      </c>
      <c r="AH543">
        <v>57.654606326642501</v>
      </c>
      <c r="AI543">
        <v>91.133568153618896</v>
      </c>
      <c r="AJ543">
        <v>79.627813341962096</v>
      </c>
      <c r="AK543">
        <v>58.623865388403303</v>
      </c>
      <c r="AL543">
        <v>80.3707840423384</v>
      </c>
      <c r="AM543">
        <v>93.247444899489494</v>
      </c>
      <c r="AN543">
        <v>1.00000000691877</v>
      </c>
    </row>
    <row r="544" spans="1:40" x14ac:dyDescent="0.25">
      <c r="A544" t="str">
        <f>"20190304155325169"</f>
        <v>20190304155325169</v>
      </c>
      <c r="B544" t="str">
        <f>"1551686005156314"</f>
        <v>1551686005156314</v>
      </c>
      <c r="C544" t="s">
        <v>40</v>
      </c>
      <c r="D544">
        <v>4.6406330000000002</v>
      </c>
      <c r="E544">
        <v>0.58831800000000001</v>
      </c>
      <c r="F544" t="s">
        <v>47</v>
      </c>
      <c r="G544">
        <v>-299.12479999999999</v>
      </c>
      <c r="H544">
        <v>-0.05</v>
      </c>
      <c r="I544">
        <v>356.64550000000003</v>
      </c>
      <c r="J544">
        <v>-356.60320000000002</v>
      </c>
      <c r="K544">
        <v>1.109772</v>
      </c>
      <c r="L544">
        <v>367.33699999999999</v>
      </c>
      <c r="M544">
        <v>0.99994870000000002</v>
      </c>
      <c r="N544">
        <v>-9.1631920000000006E-3</v>
      </c>
      <c r="O544">
        <v>-4.3302499999999999E-3</v>
      </c>
      <c r="P544">
        <v>0.98604789999999998</v>
      </c>
      <c r="Q544">
        <v>0.15843660000000001</v>
      </c>
      <c r="R544">
        <v>5.1067769999999998E-2</v>
      </c>
      <c r="S544">
        <v>3.082214</v>
      </c>
      <c r="T544">
        <v>-6.1877729999999999E-2</v>
      </c>
      <c r="U544">
        <v>-0.57049559999999999</v>
      </c>
      <c r="V544">
        <v>-5.5331039999999998E-2</v>
      </c>
      <c r="W544">
        <v>0.16746520000000001</v>
      </c>
      <c r="X544">
        <v>0.98432399999999998</v>
      </c>
      <c r="Y544">
        <v>0.17769099999999999</v>
      </c>
      <c r="Z544">
        <v>-2.542706E-3</v>
      </c>
      <c r="AA544">
        <v>0.98408309999999999</v>
      </c>
      <c r="AB544">
        <v>30</v>
      </c>
      <c r="AC544">
        <v>57.478400000000001</v>
      </c>
      <c r="AD544">
        <v>-1.159772</v>
      </c>
      <c r="AE544">
        <v>-10.6914999999999</v>
      </c>
      <c r="AF544">
        <v>10.4383857917265</v>
      </c>
      <c r="AG544">
        <v>-1.159772</v>
      </c>
      <c r="AH544">
        <v>57.501532029869402</v>
      </c>
      <c r="AI544">
        <v>91.136889739833094</v>
      </c>
      <c r="AJ544">
        <v>79.711009582325104</v>
      </c>
      <c r="AK544">
        <v>58.452811350789702</v>
      </c>
      <c r="AL544">
        <v>80.359526286896099</v>
      </c>
      <c r="AM544">
        <v>93.217337245359701</v>
      </c>
      <c r="AN544">
        <v>0.99999992708725804</v>
      </c>
    </row>
    <row r="545" spans="1:40" x14ac:dyDescent="0.25">
      <c r="A545" t="str">
        <f>"20190304155325190"</f>
        <v>20190304155325190</v>
      </c>
      <c r="B545" t="str">
        <f>"1551686005186569"</f>
        <v>1551686005186569</v>
      </c>
      <c r="C545" t="s">
        <v>40</v>
      </c>
      <c r="D545">
        <v>4.6939789999999997</v>
      </c>
      <c r="E545">
        <v>0.58703969999999905</v>
      </c>
      <c r="F545" t="s">
        <v>47</v>
      </c>
      <c r="G545">
        <v>-298.72399999999999</v>
      </c>
      <c r="H545">
        <v>-0.05</v>
      </c>
      <c r="I545">
        <v>356.72390000000001</v>
      </c>
      <c r="J545">
        <v>-356.29969999999997</v>
      </c>
      <c r="K545">
        <v>1.1097709999999901</v>
      </c>
      <c r="L545">
        <v>367.33569999999997</v>
      </c>
      <c r="M545">
        <v>0.99994850000000002</v>
      </c>
      <c r="N545">
        <v>-9.1769E-3</v>
      </c>
      <c r="O545">
        <v>-4.3294789999999998E-3</v>
      </c>
      <c r="P545">
        <v>0.98600639999999995</v>
      </c>
      <c r="Q545">
        <v>0.15865119999999999</v>
      </c>
      <c r="R545">
        <v>5.1196110000000003E-2</v>
      </c>
      <c r="S545">
        <v>3.081604</v>
      </c>
      <c r="T545">
        <v>-6.1748619999999997E-2</v>
      </c>
      <c r="U545">
        <v>-0.56506350000000005</v>
      </c>
      <c r="V545">
        <v>-5.5458399999999998E-2</v>
      </c>
      <c r="W545">
        <v>0.16769319999999999</v>
      </c>
      <c r="X545">
        <v>0.98427810000000004</v>
      </c>
      <c r="Y545">
        <v>0.17604919999999999</v>
      </c>
      <c r="Z545">
        <v>-2.517058E-3</v>
      </c>
      <c r="AA545">
        <v>0.98437819999999998</v>
      </c>
      <c r="AB545">
        <v>30</v>
      </c>
      <c r="AC545">
        <v>57.575699999999898</v>
      </c>
      <c r="AD545">
        <v>-1.1597710000000001</v>
      </c>
      <c r="AE545">
        <v>-10.611799999999899</v>
      </c>
      <c r="AF545">
        <v>10.3583523610358</v>
      </c>
      <c r="AG545">
        <v>-1.1597710000000001</v>
      </c>
      <c r="AH545">
        <v>57.598502682293301</v>
      </c>
      <c r="AI545">
        <v>91.135311833811798</v>
      </c>
      <c r="AJ545">
        <v>79.805062598970807</v>
      </c>
      <c r="AK545">
        <v>58.533990498256401</v>
      </c>
      <c r="AL545">
        <v>80.346276279033006</v>
      </c>
      <c r="AM545">
        <v>93.224877305372203</v>
      </c>
      <c r="AN545">
        <v>1.0000000107981999</v>
      </c>
    </row>
    <row r="546" spans="1:40" x14ac:dyDescent="0.25">
      <c r="A546" t="str">
        <f>"20190304155325212"</f>
        <v>20190304155325212</v>
      </c>
      <c r="B546" t="str">
        <f>"1551686005206089"</f>
        <v>1551686005206089</v>
      </c>
      <c r="C546" t="s">
        <v>40</v>
      </c>
      <c r="D546">
        <v>4.6507709999999998</v>
      </c>
      <c r="E546">
        <v>0.58621749999999995</v>
      </c>
      <c r="F546" t="s">
        <v>47</v>
      </c>
      <c r="G546">
        <v>-299.41950000000003</v>
      </c>
      <c r="H546">
        <v>-0.05</v>
      </c>
      <c r="I546">
        <v>357.09679999999997</v>
      </c>
      <c r="J546">
        <v>-355.99959999999999</v>
      </c>
      <c r="K546">
        <v>1.1097709999999901</v>
      </c>
      <c r="L546">
        <v>367.33440000000002</v>
      </c>
      <c r="M546">
        <v>0.99994850000000002</v>
      </c>
      <c r="N546">
        <v>-9.1905660000000007E-3</v>
      </c>
      <c r="O546">
        <v>-4.3287050000000004E-3</v>
      </c>
      <c r="P546">
        <v>0.98587760000000002</v>
      </c>
      <c r="Q546">
        <v>0.1594505</v>
      </c>
      <c r="R546">
        <v>5.1193549999999997E-2</v>
      </c>
      <c r="S546">
        <v>3.0814819999999998</v>
      </c>
      <c r="T546">
        <v>-6.2830570000000002E-2</v>
      </c>
      <c r="U546">
        <v>-0.5546875</v>
      </c>
      <c r="V546">
        <v>-5.5454370000000003E-2</v>
      </c>
      <c r="W546">
        <v>0.1685045</v>
      </c>
      <c r="X546">
        <v>0.98413969999999995</v>
      </c>
      <c r="Y546">
        <v>0.17284669999999999</v>
      </c>
      <c r="Z546">
        <v>-2.5005980000000001E-3</v>
      </c>
      <c r="AA546">
        <v>0.98494559999999998</v>
      </c>
      <c r="AB546">
        <v>30</v>
      </c>
      <c r="AC546">
        <v>56.580099999999902</v>
      </c>
      <c r="AD546">
        <v>-1.1597710000000001</v>
      </c>
      <c r="AE546">
        <v>-10.2376</v>
      </c>
      <c r="AF546">
        <v>9.9885114446104097</v>
      </c>
      <c r="AG546">
        <v>-1.1597710000000001</v>
      </c>
      <c r="AH546">
        <v>56.600859641436301</v>
      </c>
      <c r="AI546">
        <v>91.155988575791696</v>
      </c>
      <c r="AJ546">
        <v>79.991898026286506</v>
      </c>
      <c r="AK546">
        <v>57.487152841318697</v>
      </c>
      <c r="AL546">
        <v>80.299120620406299</v>
      </c>
      <c r="AM546">
        <v>93.225095983342001</v>
      </c>
      <c r="AN546">
        <v>0.99999995139421705</v>
      </c>
    </row>
    <row r="547" spans="1:40" x14ac:dyDescent="0.25">
      <c r="A547" t="str">
        <f>"20190304155325235"</f>
        <v>20190304155325235</v>
      </c>
      <c r="B547" t="str">
        <f>"1551686005226585"</f>
        <v>1551686005226585</v>
      </c>
      <c r="C547" t="s">
        <v>40</v>
      </c>
      <c r="D547">
        <v>4.6669749999999999</v>
      </c>
      <c r="E547">
        <v>0.58554240000000002</v>
      </c>
      <c r="F547" t="s">
        <v>47</v>
      </c>
      <c r="G547">
        <v>-298.06849999999997</v>
      </c>
      <c r="H547">
        <v>-0.05</v>
      </c>
      <c r="I547">
        <v>357.02949999999998</v>
      </c>
      <c r="J547">
        <v>-355.70440000000002</v>
      </c>
      <c r="K547">
        <v>1.1097709999999901</v>
      </c>
      <c r="L547">
        <v>367.3331</v>
      </c>
      <c r="M547">
        <v>0.99994839999999996</v>
      </c>
      <c r="N547">
        <v>-9.2041139999999994E-3</v>
      </c>
      <c r="O547">
        <v>-4.3268530000000003E-3</v>
      </c>
      <c r="P547">
        <v>0.98572179999999998</v>
      </c>
      <c r="Q547">
        <v>0.16030849999999999</v>
      </c>
      <c r="R547">
        <v>5.1515659999999998E-2</v>
      </c>
      <c r="S547">
        <v>3.0814210000000002</v>
      </c>
      <c r="T547">
        <v>-6.1689500000000001E-2</v>
      </c>
      <c r="U547">
        <v>-0.54812620000000001</v>
      </c>
      <c r="V547">
        <v>-5.5773959999999997E-2</v>
      </c>
      <c r="W547">
        <v>0.169374</v>
      </c>
      <c r="X547">
        <v>0.98397239999999997</v>
      </c>
      <c r="Y547">
        <v>0.17082139999999901</v>
      </c>
      <c r="Z547">
        <v>-2.4423930000000002E-3</v>
      </c>
      <c r="AA547">
        <v>0.98529900000000004</v>
      </c>
      <c r="AB547">
        <v>30</v>
      </c>
      <c r="AC547">
        <v>57.635899999999999</v>
      </c>
      <c r="AD547">
        <v>-1.1597710000000001</v>
      </c>
      <c r="AE547">
        <v>-10.303599999999999</v>
      </c>
      <c r="AF547">
        <v>10.050167554836699</v>
      </c>
      <c r="AG547">
        <v>-1.1597710000000001</v>
      </c>
      <c r="AH547">
        <v>57.657321467540598</v>
      </c>
      <c r="AI547">
        <v>91.135230713224203</v>
      </c>
      <c r="AJ547">
        <v>80.112195614632199</v>
      </c>
      <c r="AK547">
        <v>58.538172635162198</v>
      </c>
      <c r="AL547">
        <v>80.248575755864806</v>
      </c>
      <c r="AM547">
        <v>93.244193336382097</v>
      </c>
      <c r="AN547">
        <v>0.99999998522592004</v>
      </c>
    </row>
    <row r="548" spans="1:40" x14ac:dyDescent="0.25">
      <c r="A548" t="str">
        <f>"20190304155325268"</f>
        <v>20190304155325268</v>
      </c>
      <c r="B548" t="str">
        <f>"1551686005266602"</f>
        <v>1551686005266602</v>
      </c>
      <c r="C548" t="s">
        <v>40</v>
      </c>
      <c r="D548">
        <v>4.6018299999999996</v>
      </c>
      <c r="E548">
        <v>0.58409659999999997</v>
      </c>
      <c r="F548" t="s">
        <v>47</v>
      </c>
      <c r="G548">
        <v>-296.35469999999998</v>
      </c>
      <c r="H548">
        <v>-0.05</v>
      </c>
      <c r="I548">
        <v>356.89800000000002</v>
      </c>
      <c r="J548">
        <v>-355.25150000000002</v>
      </c>
      <c r="K548">
        <v>1.109782</v>
      </c>
      <c r="L548">
        <v>367.33109999999999</v>
      </c>
      <c r="M548">
        <v>0.99994810000000001</v>
      </c>
      <c r="N548">
        <v>-9.2250549999999994E-3</v>
      </c>
      <c r="O548">
        <v>-4.32001E-3</v>
      </c>
      <c r="P548">
        <v>0.98556849999999996</v>
      </c>
      <c r="Q548">
        <v>0.16113450000000001</v>
      </c>
      <c r="R548">
        <v>5.1869440000000003E-2</v>
      </c>
      <c r="S548">
        <v>3.0815429999999999</v>
      </c>
      <c r="T548">
        <v>-6.0217380000000001E-2</v>
      </c>
      <c r="U548">
        <v>-0.54180909999999904</v>
      </c>
      <c r="V548">
        <v>-5.6121780000000003E-2</v>
      </c>
      <c r="W548">
        <v>0.17021939999999999</v>
      </c>
      <c r="X548">
        <v>0.98380670000000003</v>
      </c>
      <c r="Y548">
        <v>0.16886489999999901</v>
      </c>
      <c r="Z548">
        <v>-2.377948E-3</v>
      </c>
      <c r="AA548">
        <v>0.98563639999999997</v>
      </c>
      <c r="AB548">
        <v>30</v>
      </c>
      <c r="AC548">
        <v>58.896799999999999</v>
      </c>
      <c r="AD548">
        <v>-1.1597819999999901</v>
      </c>
      <c r="AE548">
        <v>-10.4330999999999</v>
      </c>
      <c r="AF548">
        <v>10.1747316673576</v>
      </c>
      <c r="AG548">
        <v>-1.1597819999999901</v>
      </c>
      <c r="AH548">
        <v>58.919171660414598</v>
      </c>
      <c r="AI548">
        <v>91.1112374820745</v>
      </c>
      <c r="AJ548">
        <v>80.202244013355894</v>
      </c>
      <c r="AK548">
        <v>59.802500348561097</v>
      </c>
      <c r="AL548">
        <v>80.199423933673003</v>
      </c>
      <c r="AM548">
        <v>93.2649299197369</v>
      </c>
      <c r="AN548">
        <v>0.99999996064580798</v>
      </c>
    </row>
    <row r="549" spans="1:40" x14ac:dyDescent="0.25">
      <c r="A549" t="str">
        <f>"20190304155325291"</f>
        <v>20190304155325291</v>
      </c>
      <c r="B549" t="str">
        <f>"1551686005286122"</f>
        <v>1551686005286122</v>
      </c>
      <c r="C549" t="s">
        <v>40</v>
      </c>
      <c r="D549">
        <v>4.5624520000000004</v>
      </c>
      <c r="E549">
        <v>0.58322589999999996</v>
      </c>
      <c r="F549" t="s">
        <v>47</v>
      </c>
      <c r="G549">
        <v>-295.6343</v>
      </c>
      <c r="H549">
        <v>-0.05</v>
      </c>
      <c r="I549">
        <v>357.09769999999997</v>
      </c>
      <c r="J549">
        <v>-354.94880000000001</v>
      </c>
      <c r="K549">
        <v>1.1097840000000001</v>
      </c>
      <c r="L549">
        <v>367.32979999999998</v>
      </c>
      <c r="M549">
        <v>0.99994810000000001</v>
      </c>
      <c r="N549">
        <v>-9.2390240000000002E-3</v>
      </c>
      <c r="O549">
        <v>-4.3128999999999997E-3</v>
      </c>
      <c r="P549">
        <v>0.98540870000000003</v>
      </c>
      <c r="Q549">
        <v>0.16205749999999999</v>
      </c>
      <c r="R549">
        <v>5.20334E-2</v>
      </c>
      <c r="S549">
        <v>3.0815730000000001</v>
      </c>
      <c r="T549">
        <v>-5.9948330000000001E-2</v>
      </c>
      <c r="U549">
        <v>-0.52896119999999902</v>
      </c>
      <c r="V549">
        <v>-5.6278599999999901E-2</v>
      </c>
      <c r="W549">
        <v>0.1711539</v>
      </c>
      <c r="X549">
        <v>0.9836357</v>
      </c>
      <c r="Y549">
        <v>0.16488129999999901</v>
      </c>
      <c r="Z549">
        <v>-2.3155990000000002E-3</v>
      </c>
      <c r="AA549">
        <v>0.98631069999999998</v>
      </c>
      <c r="AB549">
        <v>30</v>
      </c>
      <c r="AC549">
        <v>59.314500000000002</v>
      </c>
      <c r="AD549">
        <v>-1.1597839999999999</v>
      </c>
      <c r="AE549">
        <v>-10.232100000000001</v>
      </c>
      <c r="AF549">
        <v>9.9724738793178798</v>
      </c>
      <c r="AG549">
        <v>-1.1597839999999999</v>
      </c>
      <c r="AH549">
        <v>59.336050129761801</v>
      </c>
      <c r="AI549">
        <v>91.104278610076605</v>
      </c>
      <c r="AJ549">
        <v>80.459591450509706</v>
      </c>
      <c r="AK549">
        <v>60.179416574123898</v>
      </c>
      <c r="AL549">
        <v>80.145084630358198</v>
      </c>
      <c r="AM549">
        <v>93.274601166082405</v>
      </c>
      <c r="AN549">
        <v>1.00000006430882</v>
      </c>
    </row>
    <row r="550" spans="1:40" x14ac:dyDescent="0.25">
      <c r="A550" t="str">
        <f>"20190304155325313"</f>
        <v>20190304155325313</v>
      </c>
      <c r="B550" t="str">
        <f>"1551686005306109"</f>
        <v>1551686005306109</v>
      </c>
      <c r="C550" t="s">
        <v>40</v>
      </c>
      <c r="D550">
        <v>4.5794389999999998</v>
      </c>
      <c r="E550">
        <v>0.58258869999999996</v>
      </c>
      <c r="F550" t="s">
        <v>47</v>
      </c>
      <c r="G550">
        <v>-293.37490000000003</v>
      </c>
      <c r="H550">
        <v>-0.05</v>
      </c>
      <c r="I550">
        <v>356.90480000000002</v>
      </c>
      <c r="J550">
        <v>-354.64229999999998</v>
      </c>
      <c r="K550">
        <v>1.1097939999999999</v>
      </c>
      <c r="L550">
        <v>367.32859999999999</v>
      </c>
      <c r="M550">
        <v>0.99994799999999995</v>
      </c>
      <c r="N550">
        <v>-9.2532729999999994E-3</v>
      </c>
      <c r="O550">
        <v>-4.304006E-3</v>
      </c>
      <c r="P550">
        <v>0.98530890000000004</v>
      </c>
      <c r="Q550">
        <v>0.16253899999999999</v>
      </c>
      <c r="R550">
        <v>5.24173E-2</v>
      </c>
      <c r="S550">
        <v>3.081512</v>
      </c>
      <c r="T550">
        <v>-5.8042290000000003E-2</v>
      </c>
      <c r="U550">
        <v>-0.52172850000000004</v>
      </c>
      <c r="V550">
        <v>-5.6654509999999998E-2</v>
      </c>
      <c r="W550">
        <v>0.1716481</v>
      </c>
      <c r="X550">
        <v>0.98352799999999996</v>
      </c>
      <c r="Y550">
        <v>0.16264619999999999</v>
      </c>
      <c r="Z550">
        <v>-2.2378200000000002E-3</v>
      </c>
      <c r="AA550">
        <v>0.9866819</v>
      </c>
      <c r="AB550">
        <v>30</v>
      </c>
      <c r="AC550">
        <v>61.267399999999903</v>
      </c>
      <c r="AD550">
        <v>-1.159794</v>
      </c>
      <c r="AE550">
        <v>-10.4237999999999</v>
      </c>
      <c r="AF550">
        <v>10.156459774660799</v>
      </c>
      <c r="AG550">
        <v>-1.159794</v>
      </c>
      <c r="AH550">
        <v>61.290353193028999</v>
      </c>
      <c r="AI550">
        <v>91.069494268022197</v>
      </c>
      <c r="AJ550">
        <v>80.5909854222284</v>
      </c>
      <c r="AK550">
        <v>62.1369953554481</v>
      </c>
      <c r="AL550">
        <v>80.116343740625297</v>
      </c>
      <c r="AM550">
        <v>93.296785794655307</v>
      </c>
      <c r="AN550">
        <v>1.0000000652604699</v>
      </c>
    </row>
    <row r="551" spans="1:40" x14ac:dyDescent="0.25">
      <c r="A551" t="str">
        <f>"20190304155325335"</f>
        <v>20190304155325335</v>
      </c>
      <c r="B551" t="str">
        <f>"1551686005326606"</f>
        <v>1551686005326606</v>
      </c>
      <c r="C551" t="s">
        <v>40</v>
      </c>
      <c r="D551">
        <v>4.5311199999999996</v>
      </c>
      <c r="E551">
        <v>0.58196499999999995</v>
      </c>
      <c r="F551" t="s">
        <v>47</v>
      </c>
      <c r="G551">
        <v>-293.1148</v>
      </c>
      <c r="H551">
        <v>-0.05</v>
      </c>
      <c r="I551">
        <v>357.04790000000003</v>
      </c>
      <c r="J551">
        <v>-354.34030000000001</v>
      </c>
      <c r="K551">
        <v>1.109796</v>
      </c>
      <c r="L551">
        <v>367.3272</v>
      </c>
      <c r="M551">
        <v>0.99994799999999995</v>
      </c>
      <c r="N551">
        <v>-9.2673660000000008E-3</v>
      </c>
      <c r="O551">
        <v>-4.2941639999999996E-3</v>
      </c>
      <c r="P551">
        <v>0.9852147</v>
      </c>
      <c r="Q551">
        <v>0.16312860000000001</v>
      </c>
      <c r="R551">
        <v>5.235559E-2</v>
      </c>
      <c r="S551">
        <v>3.081696</v>
      </c>
      <c r="T551">
        <v>-5.8089969999999998E-2</v>
      </c>
      <c r="U551">
        <v>-0.51492309999999997</v>
      </c>
      <c r="V551">
        <v>-5.6582800000000003E-2</v>
      </c>
      <c r="W551">
        <v>0.17225070000000001</v>
      </c>
      <c r="X551">
        <v>0.98342669999999999</v>
      </c>
      <c r="Y551">
        <v>0.16052739999999999</v>
      </c>
      <c r="Z551">
        <v>-2.210643E-3</v>
      </c>
      <c r="AA551">
        <v>0.98702889999999999</v>
      </c>
      <c r="AB551">
        <v>30</v>
      </c>
      <c r="AC551">
        <v>61.225499999999997</v>
      </c>
      <c r="AD551">
        <v>-1.1597959999999901</v>
      </c>
      <c r="AE551">
        <v>-10.2792999999999</v>
      </c>
      <c r="AF551">
        <v>10.012787163596499</v>
      </c>
      <c r="AG551">
        <v>-1.1597959999999901</v>
      </c>
      <c r="AH551">
        <v>61.247702864090797</v>
      </c>
      <c r="AI551">
        <v>91.070623200873698</v>
      </c>
      <c r="AJ551">
        <v>80.715405386492705</v>
      </c>
      <c r="AK551">
        <v>62.071588828328402</v>
      </c>
      <c r="AL551">
        <v>80.081294588312304</v>
      </c>
      <c r="AM551">
        <v>93.2929605182633</v>
      </c>
      <c r="AN551">
        <v>0.99999999558960995</v>
      </c>
    </row>
    <row r="552" spans="1:40" x14ac:dyDescent="0.25">
      <c r="A552" t="str">
        <f>"20190304155325358"</f>
        <v>20190304155325358</v>
      </c>
      <c r="B552" t="str">
        <f>"1551686005346124"</f>
        <v>1551686005346124</v>
      </c>
      <c r="C552" t="s">
        <v>40</v>
      </c>
      <c r="D552">
        <v>4.4208689999999997</v>
      </c>
      <c r="E552">
        <v>0.58142590000000005</v>
      </c>
      <c r="F552" t="s">
        <v>47</v>
      </c>
      <c r="G552">
        <v>-292.50569999999999</v>
      </c>
      <c r="H552">
        <v>-0.05</v>
      </c>
      <c r="I552">
        <v>357.09640000000002</v>
      </c>
      <c r="J552">
        <v>-354.02480000000003</v>
      </c>
      <c r="K552">
        <v>1.109801</v>
      </c>
      <c r="L552">
        <v>367.32589999999999</v>
      </c>
      <c r="M552">
        <v>0.99994780000000005</v>
      </c>
      <c r="N552">
        <v>-9.282017E-3</v>
      </c>
      <c r="O552">
        <v>-4.2830159999999997E-3</v>
      </c>
      <c r="P552">
        <v>0.98510089999999995</v>
      </c>
      <c r="Q552">
        <v>0.16382240000000001</v>
      </c>
      <c r="R552">
        <v>5.2331599999999999E-2</v>
      </c>
      <c r="S552">
        <v>3.0817260000000002</v>
      </c>
      <c r="T552">
        <v>-5.7802199999999901E-2</v>
      </c>
      <c r="U552">
        <v>-0.50988770000000005</v>
      </c>
      <c r="V552">
        <v>-5.6547550000000002E-2</v>
      </c>
      <c r="W552">
        <v>0.1729581</v>
      </c>
      <c r="X552">
        <v>0.98330459999999997</v>
      </c>
      <c r="Y552">
        <v>0.1589679</v>
      </c>
      <c r="Z552">
        <v>-2.1832179999999998E-3</v>
      </c>
      <c r="AA552">
        <v>0.98728130000000003</v>
      </c>
      <c r="AB552">
        <v>30</v>
      </c>
      <c r="AC552">
        <v>61.519100000000002</v>
      </c>
      <c r="AD552">
        <v>-1.1598010000000001</v>
      </c>
      <c r="AE552">
        <v>-10.2294999999999</v>
      </c>
      <c r="AF552">
        <v>9.96246190818737</v>
      </c>
      <c r="AG552">
        <v>-1.1598010000000001</v>
      </c>
      <c r="AH552">
        <v>61.541066013835199</v>
      </c>
      <c r="AI552">
        <v>91.065795035716803</v>
      </c>
      <c r="AJ552">
        <v>80.804550492708898</v>
      </c>
      <c r="AK552">
        <v>62.353015899400603</v>
      </c>
      <c r="AL552">
        <v>80.040146339588702</v>
      </c>
      <c r="AM552">
        <v>93.291321321953802</v>
      </c>
      <c r="AN552">
        <v>1.0000000330738801</v>
      </c>
    </row>
    <row r="553" spans="1:40" x14ac:dyDescent="0.25">
      <c r="A553" t="str">
        <f>"20190304155325385"</f>
        <v>20190304155325385</v>
      </c>
      <c r="B553" t="str">
        <f>"1551686005376380"</f>
        <v>1551686005376380</v>
      </c>
      <c r="C553" t="s">
        <v>40</v>
      </c>
      <c r="D553">
        <v>4.2826459999999997</v>
      </c>
      <c r="E553">
        <v>0.58051379999999997</v>
      </c>
      <c r="F553" t="s">
        <v>47</v>
      </c>
      <c r="G553">
        <v>-290.95639999999997</v>
      </c>
      <c r="H553">
        <v>-0.05</v>
      </c>
      <c r="I553">
        <v>356.98610000000002</v>
      </c>
      <c r="J553">
        <v>-353.67570000000001</v>
      </c>
      <c r="K553">
        <v>1.1098049999999999</v>
      </c>
      <c r="L553">
        <v>367.32440000000003</v>
      </c>
      <c r="M553">
        <v>0.99994769999999999</v>
      </c>
      <c r="N553">
        <v>-9.2982559999999995E-3</v>
      </c>
      <c r="O553">
        <v>-4.269737E-3</v>
      </c>
      <c r="P553">
        <v>0.98500299999999996</v>
      </c>
      <c r="Q553">
        <v>0.16448380000000001</v>
      </c>
      <c r="R553">
        <v>5.2100920000000002E-2</v>
      </c>
      <c r="S553">
        <v>3.0816349999999999</v>
      </c>
      <c r="T553">
        <v>-5.6669829999999997E-2</v>
      </c>
      <c r="U553">
        <v>-0.50521850000000001</v>
      </c>
      <c r="V553">
        <v>-5.6303499999999999E-2</v>
      </c>
      <c r="W553">
        <v>0.17363390000000001</v>
      </c>
      <c r="X553">
        <v>0.9831995</v>
      </c>
      <c r="Y553">
        <v>0.1575309</v>
      </c>
      <c r="Z553">
        <v>-2.1375370000000001E-3</v>
      </c>
      <c r="AA553">
        <v>0.98751180000000005</v>
      </c>
      <c r="AB553">
        <v>30</v>
      </c>
      <c r="AC553">
        <v>62.719299999999997</v>
      </c>
      <c r="AD553">
        <v>-1.159805</v>
      </c>
      <c r="AE553">
        <v>-10.3383</v>
      </c>
      <c r="AF553">
        <v>10.0670478664625</v>
      </c>
      <c r="AG553">
        <v>-1.159805</v>
      </c>
      <c r="AH553">
        <v>62.741984621113197</v>
      </c>
      <c r="AI553">
        <v>91.045638339197197</v>
      </c>
      <c r="AJ553">
        <v>80.884499463702994</v>
      </c>
      <c r="AK553">
        <v>63.555072453579001</v>
      </c>
      <c r="AL553">
        <v>80.000831033120804</v>
      </c>
      <c r="AM553">
        <v>93.277497093374095</v>
      </c>
      <c r="AN553">
        <v>1.0000000360708501</v>
      </c>
    </row>
    <row r="554" spans="1:40" x14ac:dyDescent="0.25">
      <c r="A554" t="str">
        <f>"20190304155325404"</f>
        <v>20190304155325404</v>
      </c>
      <c r="B554" t="str">
        <f>"1551686005396408"</f>
        <v>1551686005396408</v>
      </c>
      <c r="C554" t="s">
        <v>40</v>
      </c>
      <c r="D554">
        <v>4.2928680000000004</v>
      </c>
      <c r="E554">
        <v>0.52591779999999999</v>
      </c>
      <c r="F554" t="s">
        <v>47</v>
      </c>
      <c r="G554">
        <v>-286.59300000000002</v>
      </c>
      <c r="H554">
        <v>-0.05</v>
      </c>
      <c r="I554">
        <v>356.46949999999998</v>
      </c>
      <c r="J554">
        <v>-353.42079999999999</v>
      </c>
      <c r="K554">
        <v>1.1098110000000001</v>
      </c>
      <c r="L554">
        <v>367.32330000000002</v>
      </c>
      <c r="M554">
        <v>0.99994760000000005</v>
      </c>
      <c r="N554">
        <v>-9.3100979999999993E-3</v>
      </c>
      <c r="O554">
        <v>-4.2596589999999998E-3</v>
      </c>
      <c r="P554">
        <v>0.9848692</v>
      </c>
      <c r="Q554">
        <v>0.16530989999999901</v>
      </c>
      <c r="R554">
        <v>5.2014360000000003E-2</v>
      </c>
      <c r="S554">
        <v>3.0809329999999999</v>
      </c>
      <c r="T554">
        <v>-5.3266760000000003E-2</v>
      </c>
      <c r="U554">
        <v>-0.49853520000000001</v>
      </c>
      <c r="V554">
        <v>-5.6206449999999998E-2</v>
      </c>
      <c r="W554">
        <v>0.1744706</v>
      </c>
      <c r="X554">
        <v>0.98305690000000001</v>
      </c>
      <c r="Y554">
        <v>0.15549379999999999</v>
      </c>
      <c r="Z554">
        <v>-2.0302480000000001E-3</v>
      </c>
      <c r="AA554">
        <v>0.98783480000000001</v>
      </c>
      <c r="AB554">
        <v>30</v>
      </c>
      <c r="AC554">
        <v>66.827799999999897</v>
      </c>
      <c r="AD554">
        <v>-1.1598109999999999</v>
      </c>
      <c r="AE554">
        <v>-10.8538</v>
      </c>
      <c r="AF554">
        <v>10.565924845061801</v>
      </c>
      <c r="AG554">
        <v>-1.1598109999999999</v>
      </c>
      <c r="AH554">
        <v>66.853810064477301</v>
      </c>
      <c r="AI554">
        <v>90.981711450722003</v>
      </c>
      <c r="AJ554">
        <v>81.018961485332099</v>
      </c>
      <c r="AK554">
        <v>67.693543632494396</v>
      </c>
      <c r="AL554">
        <v>79.952148341360896</v>
      </c>
      <c r="AM554">
        <v>93.272333552999996</v>
      </c>
      <c r="AN554">
        <v>1.00000001196178</v>
      </c>
    </row>
    <row r="555" spans="1:40" x14ac:dyDescent="0.25">
      <c r="A555" t="str">
        <f>"20190304155325428"</f>
        <v>20190304155325428</v>
      </c>
      <c r="B555" t="str">
        <f>"1551686005415930"</f>
        <v>1551686005415930</v>
      </c>
      <c r="C555" t="s">
        <v>40</v>
      </c>
      <c r="D555">
        <v>4.2775540000000003</v>
      </c>
      <c r="E555">
        <v>0.51597799999999905</v>
      </c>
      <c r="F555" t="s">
        <v>41</v>
      </c>
      <c r="G555">
        <v>-170.08879999999999</v>
      </c>
      <c r="H555">
        <v>6.7033289999999903</v>
      </c>
      <c r="I555">
        <v>363.66989999999998</v>
      </c>
      <c r="J555">
        <v>-353.07420000000002</v>
      </c>
      <c r="K555">
        <v>1.10982</v>
      </c>
      <c r="L555">
        <v>367.3218</v>
      </c>
      <c r="M555">
        <v>0.99994749999999999</v>
      </c>
      <c r="N555">
        <v>-9.3259810000000005E-3</v>
      </c>
      <c r="O555">
        <v>-4.2463809999999996E-3</v>
      </c>
      <c r="P555">
        <v>0.9847496</v>
      </c>
      <c r="Q555">
        <v>0.16602059999999999</v>
      </c>
      <c r="R555">
        <v>5.2013799999999999E-2</v>
      </c>
      <c r="S555">
        <v>3.033722</v>
      </c>
      <c r="T555">
        <v>9.2561240000000003E-2</v>
      </c>
      <c r="U555">
        <v>-6.045532E-2</v>
      </c>
      <c r="V555">
        <v>-5.6192529999999997E-2</v>
      </c>
      <c r="W555">
        <v>0.17519599999999999</v>
      </c>
      <c r="X555">
        <v>0.98292860000000004</v>
      </c>
      <c r="Y555">
        <v>1.5676220000000001E-2</v>
      </c>
      <c r="Z555" s="1">
        <v>-3.15404E-6</v>
      </c>
      <c r="AA555">
        <v>0.99987709999999996</v>
      </c>
      <c r="AB555">
        <v>31</v>
      </c>
      <c r="AC555">
        <v>182.9854</v>
      </c>
      <c r="AD555">
        <v>5.5935089999999903</v>
      </c>
      <c r="AE555">
        <v>-3.6519000000000101</v>
      </c>
      <c r="AF555">
        <v>2.8721248932757999</v>
      </c>
      <c r="AG555">
        <v>5.5935089999999903</v>
      </c>
      <c r="AH555">
        <v>182.82849001402101</v>
      </c>
      <c r="AI555">
        <v>88.247838610734405</v>
      </c>
      <c r="AJ555">
        <v>89.099992022171904</v>
      </c>
      <c r="AK555">
        <v>182.93658246819501</v>
      </c>
      <c r="AL555">
        <v>79.909935050475497</v>
      </c>
      <c r="AM555">
        <v>93.271950991471698</v>
      </c>
      <c r="AN555">
        <v>0.99999993577087798</v>
      </c>
    </row>
    <row r="556" spans="1:40" x14ac:dyDescent="0.25">
      <c r="A556" t="str">
        <f>"20190304155325448"</f>
        <v>20190304155325448</v>
      </c>
      <c r="B556" t="str">
        <f>"1551686005436424"</f>
        <v>1551686005436424</v>
      </c>
      <c r="C556" t="s">
        <v>40</v>
      </c>
      <c r="D556">
        <v>4.2360870000000004</v>
      </c>
      <c r="E556">
        <v>0.51247169999999997</v>
      </c>
      <c r="F556" t="s">
        <v>41</v>
      </c>
      <c r="G556">
        <v>-170.08879999999999</v>
      </c>
      <c r="H556">
        <v>7.2999399999999897</v>
      </c>
      <c r="I556">
        <v>368.50580000000002</v>
      </c>
      <c r="J556">
        <v>-352.81110000000001</v>
      </c>
      <c r="K556">
        <v>1.1098159999999999</v>
      </c>
      <c r="L556">
        <v>367.32069999999999</v>
      </c>
      <c r="M556">
        <v>0.99994740000000004</v>
      </c>
      <c r="N556">
        <v>-9.3379729999999994E-3</v>
      </c>
      <c r="O556">
        <v>-4.2363039999999998E-3</v>
      </c>
      <c r="P556">
        <v>0.98477079999999995</v>
      </c>
      <c r="Q556">
        <v>0.1659361</v>
      </c>
      <c r="R556">
        <v>5.1882959999999999E-2</v>
      </c>
      <c r="S556">
        <v>3.0281370000000001</v>
      </c>
      <c r="T556">
        <v>0.10243869999999999</v>
      </c>
      <c r="U556">
        <v>1.9592289999999998E-2</v>
      </c>
      <c r="V556">
        <v>-5.6051719999999999E-2</v>
      </c>
      <c r="W556">
        <v>0.17512369999999999</v>
      </c>
      <c r="X556">
        <v>0.98294959999999998</v>
      </c>
      <c r="Y556">
        <v>-1.069791E-2</v>
      </c>
      <c r="Z556">
        <v>-3.1374750000000002E-4</v>
      </c>
      <c r="AA556">
        <v>0.99994269999999996</v>
      </c>
      <c r="AB556">
        <v>31</v>
      </c>
      <c r="AC556">
        <v>182.72229999999999</v>
      </c>
      <c r="AD556">
        <v>6.1901239999999902</v>
      </c>
      <c r="AE556">
        <v>1.18510000000003</v>
      </c>
      <c r="AF556">
        <v>-1.9569445219941699</v>
      </c>
      <c r="AG556">
        <v>6.1901239999999902</v>
      </c>
      <c r="AH556">
        <v>182.50619221716701</v>
      </c>
      <c r="AI556">
        <v>88.057535999345205</v>
      </c>
      <c r="AJ556">
        <v>90.614337319868397</v>
      </c>
      <c r="AK556">
        <v>182.621623759638</v>
      </c>
      <c r="AL556">
        <v>79.914143349492505</v>
      </c>
      <c r="AM556">
        <v>93.263700145773996</v>
      </c>
      <c r="AN556">
        <v>1.0000000108784</v>
      </c>
    </row>
    <row r="557" spans="1:40" x14ac:dyDescent="0.25">
      <c r="A557" t="str">
        <f>"20190304155325470"</f>
        <v>20190304155325470</v>
      </c>
      <c r="B557" t="str">
        <f>"1551686005466681"</f>
        <v>1551686005466681</v>
      </c>
      <c r="C557" t="s">
        <v>40</v>
      </c>
      <c r="D557">
        <v>4.2098940000000002</v>
      </c>
      <c r="E557">
        <v>0.51168779999999903</v>
      </c>
      <c r="F557" t="s">
        <v>41</v>
      </c>
      <c r="G557">
        <v>-170.08879999999999</v>
      </c>
      <c r="H557">
        <v>7.0222539999999896</v>
      </c>
      <c r="I557">
        <v>370.15359999999998</v>
      </c>
      <c r="J557">
        <v>-352.5018</v>
      </c>
      <c r="K557">
        <v>1.1098159999999999</v>
      </c>
      <c r="L557">
        <v>367.31939999999997</v>
      </c>
      <c r="M557">
        <v>0.99994740000000004</v>
      </c>
      <c r="N557">
        <v>-9.3520129999999993E-3</v>
      </c>
      <c r="O557">
        <v>-4.2246849999999997E-3</v>
      </c>
      <c r="P557">
        <v>0.98474039999999996</v>
      </c>
      <c r="Q557">
        <v>0.1660431</v>
      </c>
      <c r="R557">
        <v>5.2117940000000001E-2</v>
      </c>
      <c r="S557">
        <v>3.0274049999999999</v>
      </c>
      <c r="T557">
        <v>9.7960710000000006E-2</v>
      </c>
      <c r="U557">
        <v>4.6936039999999998E-2</v>
      </c>
      <c r="V557">
        <v>-5.6275020000000002E-2</v>
      </c>
      <c r="W557">
        <v>0.17524339999999999</v>
      </c>
      <c r="X557">
        <v>0.98291550000000005</v>
      </c>
      <c r="Y557">
        <v>-1.9715079999999999E-2</v>
      </c>
      <c r="Z557">
        <v>-4.0280829999999999E-4</v>
      </c>
      <c r="AA557">
        <v>0.99980559999999996</v>
      </c>
      <c r="AB557">
        <v>31</v>
      </c>
      <c r="AC557">
        <v>182.41299999999899</v>
      </c>
      <c r="AD557">
        <v>5.9124379999999999</v>
      </c>
      <c r="AE557">
        <v>2.8342000000000001</v>
      </c>
      <c r="AF557">
        <v>-3.60106360274979</v>
      </c>
      <c r="AG557">
        <v>5.9124379999999999</v>
      </c>
      <c r="AH557">
        <v>182.208023275465</v>
      </c>
      <c r="AI557">
        <v>88.141833451162498</v>
      </c>
      <c r="AJ557">
        <v>91.132216274114796</v>
      </c>
      <c r="AK557">
        <v>182.33948647544</v>
      </c>
      <c r="AL557">
        <v>79.907177246706993</v>
      </c>
      <c r="AM557">
        <v>93.276787296220903</v>
      </c>
      <c r="AN557">
        <v>1.0000000036298999</v>
      </c>
    </row>
    <row r="558" spans="1:40" x14ac:dyDescent="0.25">
      <c r="A558" t="str">
        <f>"20190304155325491"</f>
        <v>20190304155325491</v>
      </c>
      <c r="B558" t="str">
        <f>"1551686005486200"</f>
        <v>1551686005486200</v>
      </c>
      <c r="C558" t="s">
        <v>40</v>
      </c>
      <c r="D558">
        <v>4.1680630000000001</v>
      </c>
      <c r="E558">
        <v>0.51093549999999999</v>
      </c>
      <c r="F558" t="s">
        <v>41</v>
      </c>
      <c r="G558">
        <v>-170.08879999999999</v>
      </c>
      <c r="H558">
        <v>7.4299569999999999</v>
      </c>
      <c r="I558">
        <v>370.58670000000001</v>
      </c>
      <c r="J558">
        <v>-352.21460000000002</v>
      </c>
      <c r="K558">
        <v>1.1098170000000001</v>
      </c>
      <c r="L558">
        <v>367.31810000000002</v>
      </c>
      <c r="M558">
        <v>0.99994740000000004</v>
      </c>
      <c r="N558">
        <v>-9.3650199999999999E-3</v>
      </c>
      <c r="O558">
        <v>-4.2141330000000001E-3</v>
      </c>
      <c r="P558">
        <v>0.98464260000000003</v>
      </c>
      <c r="Q558">
        <v>0.1665662</v>
      </c>
      <c r="R558">
        <v>5.2298009999999999E-2</v>
      </c>
      <c r="S558">
        <v>3.02597</v>
      </c>
      <c r="T558">
        <v>0.10484350000000001</v>
      </c>
      <c r="U558">
        <v>5.4199219999999999E-2</v>
      </c>
      <c r="V558">
        <v>-5.6445299999999997E-2</v>
      </c>
      <c r="W558">
        <v>0.17577860000000001</v>
      </c>
      <c r="X558">
        <v>0.98281010000000002</v>
      </c>
      <c r="Y558">
        <v>-2.210821E-2</v>
      </c>
      <c r="Z558">
        <v>-4.6470490000000001E-4</v>
      </c>
      <c r="AA558">
        <v>0.99975550000000002</v>
      </c>
      <c r="AB558">
        <v>31</v>
      </c>
      <c r="AC558">
        <v>182.1258</v>
      </c>
      <c r="AD558">
        <v>6.3201400000000003</v>
      </c>
      <c r="AE558">
        <v>3.26859999999999</v>
      </c>
      <c r="AF558">
        <v>-4.0312538696015503</v>
      </c>
      <c r="AG558">
        <v>6.3201400000000003</v>
      </c>
      <c r="AH558">
        <v>181.89143864724599</v>
      </c>
      <c r="AI558">
        <v>88.010445528077099</v>
      </c>
      <c r="AJ558">
        <v>91.269636591155404</v>
      </c>
      <c r="AK558">
        <v>182.04584760588699</v>
      </c>
      <c r="AL558">
        <v>79.876028399310201</v>
      </c>
      <c r="AM558">
        <v>93.287032375016594</v>
      </c>
      <c r="AN558">
        <v>0.99999994038602802</v>
      </c>
    </row>
    <row r="559" spans="1:40" x14ac:dyDescent="0.25">
      <c r="A559" t="str">
        <f>"20190304155325514"</f>
        <v>20190304155325514</v>
      </c>
      <c r="B559" t="str">
        <f>"1551686005506227"</f>
        <v>1551686005506227</v>
      </c>
      <c r="C559" t="s">
        <v>40</v>
      </c>
      <c r="D559">
        <v>4.1930360000000002</v>
      </c>
      <c r="E559">
        <v>0.51051380000000002</v>
      </c>
      <c r="F559" t="s">
        <v>41</v>
      </c>
      <c r="G559">
        <v>-170.08879999999999</v>
      </c>
      <c r="H559">
        <v>7.1799649999999904</v>
      </c>
      <c r="I559">
        <v>370.96350000000001</v>
      </c>
      <c r="J559">
        <v>-351.90550000000002</v>
      </c>
      <c r="K559">
        <v>1.109818</v>
      </c>
      <c r="L559">
        <v>367.3168</v>
      </c>
      <c r="M559">
        <v>0.99994720000000004</v>
      </c>
      <c r="N559">
        <v>-9.3789949999999993E-3</v>
      </c>
      <c r="O559">
        <v>-4.2025150000000004E-3</v>
      </c>
      <c r="P559">
        <v>0.98459669999999999</v>
      </c>
      <c r="Q559">
        <v>0.1668164</v>
      </c>
      <c r="R559">
        <v>5.2362600000000002E-2</v>
      </c>
      <c r="S559">
        <v>3.0265200000000001</v>
      </c>
      <c r="T559">
        <v>0.10087359999999999</v>
      </c>
      <c r="U559">
        <v>6.0577390000000002E-2</v>
      </c>
      <c r="V559">
        <v>-5.6497899999999997E-2</v>
      </c>
      <c r="W559">
        <v>0.17604239999999999</v>
      </c>
      <c r="X559">
        <v>0.98275990000000002</v>
      </c>
      <c r="Y559">
        <v>-2.4199720000000001E-2</v>
      </c>
      <c r="Z559">
        <v>-4.6902940000000001E-4</v>
      </c>
      <c r="AA559">
        <v>0.99970700000000001</v>
      </c>
      <c r="AB559">
        <v>31</v>
      </c>
      <c r="AC559">
        <v>181.8167</v>
      </c>
      <c r="AD559">
        <v>6.0701470000000004</v>
      </c>
      <c r="AE559">
        <v>3.6467000000000001</v>
      </c>
      <c r="AF559">
        <v>-4.4058798485151103</v>
      </c>
      <c r="AG559">
        <v>6.0701470000000004</v>
      </c>
      <c r="AH559">
        <v>181.59743569880399</v>
      </c>
      <c r="AI559">
        <v>88.086084451686304</v>
      </c>
      <c r="AJ559">
        <v>91.389825828522902</v>
      </c>
      <c r="AK559">
        <v>181.752268525657</v>
      </c>
      <c r="AL559">
        <v>79.860674750761405</v>
      </c>
      <c r="AM559">
        <v>93.2902564450753</v>
      </c>
      <c r="AN559">
        <v>0.99999998017508895</v>
      </c>
    </row>
    <row r="560" spans="1:40" x14ac:dyDescent="0.25">
      <c r="A560" t="str">
        <f>"20190304155325535"</f>
        <v>20190304155325535</v>
      </c>
      <c r="B560" t="str">
        <f>"1551686005526723"</f>
        <v>1551686005526723</v>
      </c>
      <c r="C560" t="s">
        <v>40</v>
      </c>
      <c r="D560">
        <v>4.1985250000000001</v>
      </c>
      <c r="E560">
        <v>0.51013729999999902</v>
      </c>
      <c r="F560" t="s">
        <v>41</v>
      </c>
      <c r="G560">
        <v>-170.08879999999999</v>
      </c>
      <c r="H560">
        <v>7.0765399999999996</v>
      </c>
      <c r="I560">
        <v>371.19600000000003</v>
      </c>
      <c r="J560">
        <v>-351.60789999999997</v>
      </c>
      <c r="K560">
        <v>1.109818</v>
      </c>
      <c r="L560">
        <v>367.31560000000002</v>
      </c>
      <c r="M560">
        <v>0.99994709999999998</v>
      </c>
      <c r="N560">
        <v>-9.3924330000000004E-3</v>
      </c>
      <c r="O560">
        <v>-4.1916100000000001E-3</v>
      </c>
      <c r="P560">
        <v>0.98460669999999995</v>
      </c>
      <c r="Q560">
        <v>0.1667381</v>
      </c>
      <c r="R560">
        <v>5.2420069999999999E-2</v>
      </c>
      <c r="S560">
        <v>3.0266419999999998</v>
      </c>
      <c r="T560">
        <v>9.9327449999999998E-2</v>
      </c>
      <c r="U560">
        <v>6.4575199999999999E-2</v>
      </c>
      <c r="V560">
        <v>-5.6544490000000003E-2</v>
      </c>
      <c r="W560">
        <v>0.1759771</v>
      </c>
      <c r="X560">
        <v>0.982769</v>
      </c>
      <c r="Y560">
        <v>-2.5507869999999998E-2</v>
      </c>
      <c r="Z560">
        <v>-4.7542439999999998E-4</v>
      </c>
      <c r="AA560">
        <v>0.99967450000000002</v>
      </c>
      <c r="AB560">
        <v>31</v>
      </c>
      <c r="AC560">
        <v>181.51910000000001</v>
      </c>
      <c r="AD560">
        <v>5.9667219999999999</v>
      </c>
      <c r="AE560">
        <v>3.8803999999999501</v>
      </c>
      <c r="AF560">
        <v>-4.6362495451002603</v>
      </c>
      <c r="AG560">
        <v>5.9667219999999999</v>
      </c>
      <c r="AH560">
        <v>181.305427390902</v>
      </c>
      <c r="AI560">
        <v>88.115704232215805</v>
      </c>
      <c r="AJ560">
        <v>91.464819106720597</v>
      </c>
      <c r="AK560">
        <v>181.462818733391</v>
      </c>
      <c r="AL560">
        <v>79.864476351511897</v>
      </c>
      <c r="AM560">
        <v>93.2929333044831</v>
      </c>
      <c r="AN560">
        <v>1.00000006321738</v>
      </c>
    </row>
    <row r="561" spans="1:40" x14ac:dyDescent="0.25">
      <c r="A561" t="str">
        <f>"20190304155325557"</f>
        <v>20190304155325557</v>
      </c>
      <c r="B561" t="str">
        <f>"1551686005546244"</f>
        <v>1551686005546244</v>
      </c>
      <c r="C561" t="s">
        <v>40</v>
      </c>
      <c r="D561">
        <v>4.2133979999999998</v>
      </c>
      <c r="E561">
        <v>0.50995950000000001</v>
      </c>
      <c r="F561" t="s">
        <v>41</v>
      </c>
      <c r="G561">
        <v>-170.08879999999999</v>
      </c>
      <c r="H561">
        <v>6.9310600000000004</v>
      </c>
      <c r="I561">
        <v>371.35840000000002</v>
      </c>
      <c r="J561">
        <v>-351.28460000000001</v>
      </c>
      <c r="K561">
        <v>1.1098170000000001</v>
      </c>
      <c r="L561">
        <v>367.3143</v>
      </c>
      <c r="M561">
        <v>0.99994700000000003</v>
      </c>
      <c r="N561">
        <v>-9.4070430000000003E-3</v>
      </c>
      <c r="O561">
        <v>-4.1793999999999998E-3</v>
      </c>
      <c r="P561">
        <v>0.98462229999999995</v>
      </c>
      <c r="Q561">
        <v>0.16663720000000001</v>
      </c>
      <c r="R561">
        <v>5.2451339999999999E-2</v>
      </c>
      <c r="S561">
        <v>3.0268549999999999</v>
      </c>
      <c r="T561">
        <v>9.7071409999999997E-2</v>
      </c>
      <c r="U561">
        <v>6.7413329999999994E-2</v>
      </c>
      <c r="V561">
        <v>-5.656365E-2</v>
      </c>
      <c r="W561">
        <v>0.17589080000000001</v>
      </c>
      <c r="X561">
        <v>0.98278330000000003</v>
      </c>
      <c r="Y561">
        <v>-2.6431380000000001E-2</v>
      </c>
      <c r="Z561">
        <v>-4.725873E-4</v>
      </c>
      <c r="AA561">
        <v>0.9996505</v>
      </c>
      <c r="AB561">
        <v>31</v>
      </c>
      <c r="AC561">
        <v>181.19579999999999</v>
      </c>
      <c r="AD561">
        <v>5.8212429999999999</v>
      </c>
      <c r="AE561">
        <v>4.04410000000001</v>
      </c>
      <c r="AF561">
        <v>-4.79643983312695</v>
      </c>
      <c r="AG561">
        <v>5.8212429999999999</v>
      </c>
      <c r="AH561">
        <v>180.99060151868599</v>
      </c>
      <c r="AI561">
        <v>88.158463614036094</v>
      </c>
      <c r="AJ561">
        <v>91.518042644541197</v>
      </c>
      <c r="AK561">
        <v>181.147703665362</v>
      </c>
      <c r="AL561">
        <v>79.869498856315502</v>
      </c>
      <c r="AM561">
        <v>93.293998827871803</v>
      </c>
      <c r="AN561">
        <v>1.0000000173924199</v>
      </c>
    </row>
    <row r="562" spans="1:40" x14ac:dyDescent="0.25">
      <c r="A562" t="str">
        <f>"20190304155325581"</f>
        <v>20190304155325581</v>
      </c>
      <c r="B562" t="str">
        <f>"1551686005576499"</f>
        <v>1551686005576499</v>
      </c>
      <c r="C562" t="s">
        <v>40</v>
      </c>
      <c r="D562">
        <v>4.1999009999999997</v>
      </c>
      <c r="E562">
        <v>0.50968049999999998</v>
      </c>
      <c r="F562" t="s">
        <v>41</v>
      </c>
      <c r="G562">
        <v>-170.08879999999999</v>
      </c>
      <c r="H562">
        <v>6.7648529999999996</v>
      </c>
      <c r="I562">
        <v>371.43709999999999</v>
      </c>
      <c r="J562">
        <v>-350.97640000000001</v>
      </c>
      <c r="K562">
        <v>1.109815</v>
      </c>
      <c r="L562">
        <v>367.31299999999999</v>
      </c>
      <c r="M562">
        <v>0.99994709999999998</v>
      </c>
      <c r="N562">
        <v>-9.4211190000000004E-3</v>
      </c>
      <c r="O562">
        <v>-4.1674290000000003E-3</v>
      </c>
      <c r="P562">
        <v>0.98460130000000001</v>
      </c>
      <c r="Q562">
        <v>0.1666176</v>
      </c>
      <c r="R562">
        <v>5.2909079999999997E-2</v>
      </c>
      <c r="S562">
        <v>3.0271910000000002</v>
      </c>
      <c r="T562">
        <v>9.4478610000000005E-2</v>
      </c>
      <c r="U562">
        <v>6.8878170000000002E-2</v>
      </c>
      <c r="V562">
        <v>-5.7009829999999997E-2</v>
      </c>
      <c r="W562">
        <v>0.17588509999999999</v>
      </c>
      <c r="X562">
        <v>0.98275849999999998</v>
      </c>
      <c r="Y562">
        <v>-2.6901040000000001E-2</v>
      </c>
      <c r="Z562">
        <v>-4.6213759999999998E-4</v>
      </c>
      <c r="AA562">
        <v>0.99963800000000003</v>
      </c>
      <c r="AB562">
        <v>31</v>
      </c>
      <c r="AC562">
        <v>180.88759999999999</v>
      </c>
      <c r="AD562">
        <v>5.6550379999999896</v>
      </c>
      <c r="AE562">
        <v>4.1240999999999399</v>
      </c>
      <c r="AF562">
        <v>-4.8731733888265296</v>
      </c>
      <c r="AG562">
        <v>5.6550379999999896</v>
      </c>
      <c r="AH562">
        <v>180.69233216045001</v>
      </c>
      <c r="AI562">
        <v>88.208078740771896</v>
      </c>
      <c r="AJ562">
        <v>91.544861362184804</v>
      </c>
      <c r="AK562">
        <v>180.84647128224901</v>
      </c>
      <c r="AL562">
        <v>79.869830223526606</v>
      </c>
      <c r="AM562">
        <v>93.320007933876894</v>
      </c>
      <c r="AN562">
        <v>0.99999997922044404</v>
      </c>
    </row>
    <row r="563" spans="1:40" x14ac:dyDescent="0.25">
      <c r="A563" t="str">
        <f>"20190304155325602"</f>
        <v>20190304155325602</v>
      </c>
      <c r="B563" t="str">
        <f>"1551686005596019"</f>
        <v>1551686005596019</v>
      </c>
      <c r="C563" t="s">
        <v>40</v>
      </c>
      <c r="D563">
        <v>4.1964670000000002</v>
      </c>
      <c r="E563">
        <v>0.50954060000000001</v>
      </c>
      <c r="F563" t="s">
        <v>41</v>
      </c>
      <c r="G563">
        <v>-167.2097</v>
      </c>
      <c r="H563">
        <v>6.6740899999999996</v>
      </c>
      <c r="I563">
        <v>371.72359999999998</v>
      </c>
      <c r="J563">
        <v>-350.68349999999998</v>
      </c>
      <c r="K563">
        <v>1.109818</v>
      </c>
      <c r="L563">
        <v>367.31180000000001</v>
      </c>
      <c r="M563">
        <v>0.99994700000000003</v>
      </c>
      <c r="N563">
        <v>-9.4343919999999998E-3</v>
      </c>
      <c r="O563">
        <v>-4.1561669999999997E-3</v>
      </c>
      <c r="P563">
        <v>0.98458349999999994</v>
      </c>
      <c r="Q563">
        <v>0.1666744</v>
      </c>
      <c r="R563">
        <v>5.3061820000000003E-2</v>
      </c>
      <c r="S563">
        <v>3.0275270000000001</v>
      </c>
      <c r="T563">
        <v>9.1671939999999993E-2</v>
      </c>
      <c r="U563">
        <v>7.2662350000000001E-2</v>
      </c>
      <c r="V563">
        <v>-5.715158E-2</v>
      </c>
      <c r="W563">
        <v>0.17595459999999999</v>
      </c>
      <c r="X563">
        <v>0.98273779999999999</v>
      </c>
      <c r="Y563">
        <v>-2.8136459999999999E-2</v>
      </c>
      <c r="Z563">
        <v>-4.5804660000000003E-4</v>
      </c>
      <c r="AA563">
        <v>0.99960400000000005</v>
      </c>
      <c r="AB563">
        <v>31</v>
      </c>
      <c r="AC563">
        <v>183.47380000000001</v>
      </c>
      <c r="AD563">
        <v>5.5642719999999999</v>
      </c>
      <c r="AE563">
        <v>4.4117999999999702</v>
      </c>
      <c r="AF563">
        <v>-5.1695915044939103</v>
      </c>
      <c r="AG563">
        <v>5.5642719999999999</v>
      </c>
      <c r="AH563">
        <v>183.285399361016</v>
      </c>
      <c r="AI563">
        <v>88.261810293970299</v>
      </c>
      <c r="AJ563">
        <v>91.615607513092002</v>
      </c>
      <c r="AK563">
        <v>183.442697914473</v>
      </c>
      <c r="AL563">
        <v>79.8657848219448</v>
      </c>
      <c r="AM563">
        <v>93.328314258702505</v>
      </c>
      <c r="AN563">
        <v>0.99999995395324703</v>
      </c>
    </row>
    <row r="564" spans="1:40" x14ac:dyDescent="0.25">
      <c r="A564" t="str">
        <f>"20190304155325624"</f>
        <v>20190304155325624</v>
      </c>
      <c r="B564" t="str">
        <f>"1551686005616515"</f>
        <v>1551686005616515</v>
      </c>
      <c r="C564" t="s">
        <v>40</v>
      </c>
      <c r="D564">
        <v>4.2247690000000002</v>
      </c>
      <c r="E564">
        <v>0.50934140000000006</v>
      </c>
      <c r="F564" t="s">
        <v>41</v>
      </c>
      <c r="G564">
        <v>-163.31190000000001</v>
      </c>
      <c r="H564">
        <v>6.6740899999999996</v>
      </c>
      <c r="I564">
        <v>371.8972</v>
      </c>
      <c r="J564">
        <v>-350.37560000000002</v>
      </c>
      <c r="K564">
        <v>1.1098220000000001</v>
      </c>
      <c r="L564">
        <v>367.31049999999999</v>
      </c>
      <c r="M564">
        <v>0.99994689999999997</v>
      </c>
      <c r="N564">
        <v>-9.4479379999999995E-3</v>
      </c>
      <c r="O564">
        <v>-4.1437169999999999E-3</v>
      </c>
      <c r="P564">
        <v>0.98450760000000004</v>
      </c>
      <c r="Q564">
        <v>0.16714119999999999</v>
      </c>
      <c r="R564">
        <v>5.300059E-2</v>
      </c>
      <c r="S564">
        <v>3.0278019999999999</v>
      </c>
      <c r="T564">
        <v>8.9916350000000006E-2</v>
      </c>
      <c r="U564">
        <v>7.4096679999999998E-2</v>
      </c>
      <c r="V564">
        <v>-5.7077259999999998E-2</v>
      </c>
      <c r="W564">
        <v>0.1764339</v>
      </c>
      <c r="X564">
        <v>0.98265619999999998</v>
      </c>
      <c r="Y564">
        <v>-2.8595470000000001E-2</v>
      </c>
      <c r="Z564">
        <v>-4.5145819999999997E-4</v>
      </c>
      <c r="AA564">
        <v>0.99959100000000001</v>
      </c>
      <c r="AB564">
        <v>31</v>
      </c>
      <c r="AC564">
        <v>187.06370000000001</v>
      </c>
      <c r="AD564">
        <v>5.5642680000000002</v>
      </c>
      <c r="AE564">
        <v>4.5867000000000004</v>
      </c>
      <c r="AF564">
        <v>-5.3570971352638299</v>
      </c>
      <c r="AG564">
        <v>5.5642680000000002</v>
      </c>
      <c r="AH564">
        <v>186.87783994782399</v>
      </c>
      <c r="AI564">
        <v>88.295227970082806</v>
      </c>
      <c r="AJ564">
        <v>91.6420086050055</v>
      </c>
      <c r="AK564">
        <v>187.03739367211301</v>
      </c>
      <c r="AL564">
        <v>79.837886670993299</v>
      </c>
      <c r="AM564">
        <v>93.324271231509201</v>
      </c>
      <c r="AN564">
        <v>0.99999997103837801</v>
      </c>
    </row>
    <row r="565" spans="1:40" x14ac:dyDescent="0.25">
      <c r="A565" t="str">
        <f>"20190304155325646"</f>
        <v>20190304155325646</v>
      </c>
      <c r="B565" t="str">
        <f>"1551686005636039"</f>
        <v>1551686005636039</v>
      </c>
      <c r="C565" t="s">
        <v>40</v>
      </c>
      <c r="D565">
        <v>4.2276579999999999</v>
      </c>
      <c r="E565">
        <v>0.50935829999999904</v>
      </c>
      <c r="F565" t="s">
        <v>41</v>
      </c>
      <c r="G565">
        <v>-158.67019999999999</v>
      </c>
      <c r="H565">
        <v>6.6740890000000004</v>
      </c>
      <c r="I565">
        <v>372.09019999999998</v>
      </c>
      <c r="J565">
        <v>-350.0598</v>
      </c>
      <c r="K565">
        <v>1.109823</v>
      </c>
      <c r="L565">
        <v>367.30930000000001</v>
      </c>
      <c r="M565">
        <v>0.99994669999999997</v>
      </c>
      <c r="N565">
        <v>-9.4619779999999994E-3</v>
      </c>
      <c r="O565">
        <v>-4.1311500000000001E-3</v>
      </c>
      <c r="P565">
        <v>0.98444370000000003</v>
      </c>
      <c r="Q565">
        <v>0.16741729999999999</v>
      </c>
      <c r="R565">
        <v>5.3313239999999998E-2</v>
      </c>
      <c r="S565">
        <v>3.0282290000000001</v>
      </c>
      <c r="T565">
        <v>8.7895989999999993E-2</v>
      </c>
      <c r="U565">
        <v>7.5500490000000003E-2</v>
      </c>
      <c r="V565">
        <v>-5.7377379999999999E-2</v>
      </c>
      <c r="W565">
        <v>0.1767234</v>
      </c>
      <c r="X565">
        <v>0.98258670000000004</v>
      </c>
      <c r="Y565">
        <v>-2.9043030000000001E-2</v>
      </c>
      <c r="Z565">
        <v>-4.4283320000000002E-4</v>
      </c>
      <c r="AA565">
        <v>0.99957810000000002</v>
      </c>
      <c r="AB565">
        <v>31</v>
      </c>
      <c r="AC565">
        <v>191.3896</v>
      </c>
      <c r="AD565">
        <v>5.5642659999999999</v>
      </c>
      <c r="AE565">
        <v>4.7808999999999697</v>
      </c>
      <c r="AF565">
        <v>-5.5668513614288599</v>
      </c>
      <c r="AG565">
        <v>5.5642659999999999</v>
      </c>
      <c r="AH565">
        <v>191.20670076599799</v>
      </c>
      <c r="AI565">
        <v>88.333823609942201</v>
      </c>
      <c r="AJ565">
        <v>91.667656060812206</v>
      </c>
      <c r="AK565">
        <v>191.36863198553999</v>
      </c>
      <c r="AL565">
        <v>79.821034764616996</v>
      </c>
      <c r="AM565">
        <v>93.341947021663003</v>
      </c>
      <c r="AN565">
        <v>0.99999997343005598</v>
      </c>
    </row>
    <row r="566" spans="1:40" x14ac:dyDescent="0.25">
      <c r="A566" t="str">
        <f>"20190304155325659"</f>
        <v>20190304155325659</v>
      </c>
      <c r="B566" t="str">
        <f>"1551686005656531"</f>
        <v>1551686005656531</v>
      </c>
      <c r="C566" t="s">
        <v>40</v>
      </c>
      <c r="D566">
        <v>4.2129430000000001</v>
      </c>
      <c r="E566">
        <v>0.50934899999999905</v>
      </c>
      <c r="F566" t="s">
        <v>41</v>
      </c>
      <c r="G566">
        <v>-158.19499999999999</v>
      </c>
      <c r="H566">
        <v>6.6172259999999996</v>
      </c>
      <c r="I566">
        <v>372.13889999999998</v>
      </c>
      <c r="J566">
        <v>-349.87509999999997</v>
      </c>
      <c r="K566">
        <v>1.1098250000000001</v>
      </c>
      <c r="L566">
        <v>367.30849999999998</v>
      </c>
      <c r="M566">
        <v>0.99994669999999997</v>
      </c>
      <c r="N566">
        <v>-9.4700919999999994E-3</v>
      </c>
      <c r="O566">
        <v>-4.1239179999999999E-3</v>
      </c>
      <c r="P566">
        <v>0.98440559999999999</v>
      </c>
      <c r="Q566">
        <v>0.16767119999999999</v>
      </c>
      <c r="R566">
        <v>5.3216479999999997E-2</v>
      </c>
      <c r="S566">
        <v>3.028473</v>
      </c>
      <c r="T566">
        <v>8.6932419999999996E-2</v>
      </c>
      <c r="U566">
        <v>7.6232910000000001E-2</v>
      </c>
      <c r="V566">
        <v>-5.7272969999999999E-2</v>
      </c>
      <c r="W566">
        <v>0.1769848</v>
      </c>
      <c r="X566">
        <v>0.98254569999999997</v>
      </c>
      <c r="Y566">
        <v>-2.9275599999999999E-2</v>
      </c>
      <c r="Z566">
        <v>-4.3873289999999998E-4</v>
      </c>
      <c r="AA566">
        <v>0.99957130000000005</v>
      </c>
      <c r="AB566">
        <v>31</v>
      </c>
      <c r="AC566">
        <v>191.68010000000001</v>
      </c>
      <c r="AD566">
        <v>5.5074009999999998</v>
      </c>
      <c r="AE566">
        <v>4.8303999999999903</v>
      </c>
      <c r="AF566">
        <v>-5.6162338517797696</v>
      </c>
      <c r="AG566">
        <v>5.5074009999999998</v>
      </c>
      <c r="AH566">
        <v>191.50055737646699</v>
      </c>
      <c r="AI566">
        <v>88.353381416323401</v>
      </c>
      <c r="AJ566">
        <v>91.679860842086597</v>
      </c>
      <c r="AK566">
        <v>191.66203855732701</v>
      </c>
      <c r="AL566">
        <v>79.805817362186204</v>
      </c>
      <c r="AM566">
        <v>93.336018291036098</v>
      </c>
      <c r="AN566">
        <v>0.999999932556073</v>
      </c>
    </row>
    <row r="567" spans="1:40" x14ac:dyDescent="0.25">
      <c r="A567" t="str">
        <f>"20190304155325679"</f>
        <v>20190304155325679</v>
      </c>
      <c r="B567" t="str">
        <f>"1551686005676052"</f>
        <v>1551686005676052</v>
      </c>
      <c r="C567" t="s">
        <v>40</v>
      </c>
      <c r="D567">
        <v>4.1513390000000001</v>
      </c>
      <c r="E567">
        <v>0.50933149999999905</v>
      </c>
      <c r="F567" t="s">
        <v>41</v>
      </c>
      <c r="G567">
        <v>-158.19499999999999</v>
      </c>
      <c r="H567">
        <v>6.5755929999999996</v>
      </c>
      <c r="I567">
        <v>372.11</v>
      </c>
      <c r="J567">
        <v>-349.60379999999998</v>
      </c>
      <c r="K567">
        <v>1.109829</v>
      </c>
      <c r="L567">
        <v>367.30739999999997</v>
      </c>
      <c r="M567">
        <v>0.99994669999999997</v>
      </c>
      <c r="N567">
        <v>-9.4820119999999997E-3</v>
      </c>
      <c r="O567">
        <v>-4.1134830000000002E-3</v>
      </c>
      <c r="P567">
        <v>0.98442269999999998</v>
      </c>
      <c r="Q567">
        <v>0.16757359999999999</v>
      </c>
      <c r="R567">
        <v>5.320925E-2</v>
      </c>
      <c r="S567">
        <v>3.0286870000000001</v>
      </c>
      <c r="T567">
        <v>8.6364510000000005E-2</v>
      </c>
      <c r="U567">
        <v>7.5866699999999995E-2</v>
      </c>
      <c r="V567">
        <v>-5.7255590000000002E-2</v>
      </c>
      <c r="W567">
        <v>0.1768989</v>
      </c>
      <c r="X567">
        <v>0.98256220000000005</v>
      </c>
      <c r="Y567">
        <v>-2.914282E-2</v>
      </c>
      <c r="Z567">
        <v>-4.333966E-4</v>
      </c>
      <c r="AA567">
        <v>0.99957510000000005</v>
      </c>
      <c r="AB567">
        <v>31</v>
      </c>
      <c r="AC567">
        <v>191.40880000000001</v>
      </c>
      <c r="AD567">
        <v>5.4657639999999903</v>
      </c>
      <c r="AE567">
        <v>4.8026000000000399</v>
      </c>
      <c r="AF567">
        <v>-5.5853999696217</v>
      </c>
      <c r="AG567">
        <v>5.4657639999999903</v>
      </c>
      <c r="AH567">
        <v>191.23158942582299</v>
      </c>
      <c r="AI567">
        <v>88.363520424878502</v>
      </c>
      <c r="AJ567">
        <v>91.6729918520182</v>
      </c>
      <c r="AK567">
        <v>191.39120163489901</v>
      </c>
      <c r="AL567">
        <v>79.810818154153395</v>
      </c>
      <c r="AM567">
        <v>93.3349523537115</v>
      </c>
      <c r="AN567">
        <v>0.99999995013814702</v>
      </c>
    </row>
    <row r="568" spans="1:40" x14ac:dyDescent="0.25">
      <c r="A568" t="str">
        <f>"20190304155325693"</f>
        <v>20190304155325693</v>
      </c>
      <c r="B568" t="str">
        <f>"1551686005686788"</f>
        <v>1551686005686788</v>
      </c>
      <c r="C568" t="s">
        <v>40</v>
      </c>
      <c r="D568">
        <v>4.1267490000000002</v>
      </c>
      <c r="E568">
        <v>0.52171869999999998</v>
      </c>
      <c r="F568" t="s">
        <v>41</v>
      </c>
      <c r="G568">
        <v>-158.19499999999999</v>
      </c>
      <c r="H568">
        <v>6.4871109999999996</v>
      </c>
      <c r="I568">
        <v>372.11720000000003</v>
      </c>
      <c r="J568">
        <v>-349.41730000000001</v>
      </c>
      <c r="K568">
        <v>1.1098269999999999</v>
      </c>
      <c r="L568">
        <v>367.3066</v>
      </c>
      <c r="M568">
        <v>0.99994660000000002</v>
      </c>
      <c r="N568">
        <v>-9.4901959999999994E-3</v>
      </c>
      <c r="O568">
        <v>-4.1067229999999996E-3</v>
      </c>
      <c r="P568">
        <v>0.98440810000000001</v>
      </c>
      <c r="Q568">
        <v>0.16764079999999901</v>
      </c>
      <c r="R568">
        <v>5.3267469999999997E-2</v>
      </c>
      <c r="S568">
        <v>3.02887</v>
      </c>
      <c r="T568">
        <v>8.509195E-2</v>
      </c>
      <c r="U568">
        <v>7.6110839999999999E-2</v>
      </c>
      <c r="V568">
        <v>-5.7307280000000002E-2</v>
      </c>
      <c r="W568">
        <v>0.17697449999999901</v>
      </c>
      <c r="X568">
        <v>0.98254560000000002</v>
      </c>
      <c r="Y568">
        <v>-2.9215410000000001E-2</v>
      </c>
      <c r="Z568">
        <v>-4.258555E-4</v>
      </c>
      <c r="AA568">
        <v>0.99957309999999999</v>
      </c>
      <c r="AB568">
        <v>31</v>
      </c>
      <c r="AC568">
        <v>191.22229999999999</v>
      </c>
      <c r="AD568">
        <v>5.3772840000000004</v>
      </c>
      <c r="AE568">
        <v>4.8106000000000204</v>
      </c>
      <c r="AF568">
        <v>-5.5914730027280797</v>
      </c>
      <c r="AG568">
        <v>5.3772840000000004</v>
      </c>
      <c r="AH568">
        <v>191.049950099184</v>
      </c>
      <c r="AI568">
        <v>88.388470673627793</v>
      </c>
      <c r="AJ568">
        <v>91.6764012738319</v>
      </c>
      <c r="AK568">
        <v>191.207382667243</v>
      </c>
      <c r="AL568">
        <v>79.806417432168701</v>
      </c>
      <c r="AM568">
        <v>93.3380125906274</v>
      </c>
      <c r="AN568">
        <v>0.99999997703530397</v>
      </c>
    </row>
    <row r="569" spans="1:40" x14ac:dyDescent="0.25">
      <c r="A569" t="str">
        <f>"20190304155325707"</f>
        <v>20190304155325707</v>
      </c>
      <c r="B569" t="str">
        <f>"1551686005696547"</f>
        <v>1551686005696547</v>
      </c>
      <c r="C569" t="s">
        <v>40</v>
      </c>
      <c r="D569">
        <v>4.1194199999999999</v>
      </c>
      <c r="E569">
        <v>0.52086790000000005</v>
      </c>
      <c r="F569" t="s">
        <v>41</v>
      </c>
      <c r="G569">
        <v>-170.08879999999999</v>
      </c>
      <c r="H569">
        <v>8.4130070000000003</v>
      </c>
      <c r="I569">
        <v>366.05579999999998</v>
      </c>
      <c r="J569">
        <v>-349.21550000000002</v>
      </c>
      <c r="K569">
        <v>1.1098239999999999</v>
      </c>
      <c r="L569">
        <v>367.30579999999998</v>
      </c>
      <c r="M569">
        <v>0.99994660000000002</v>
      </c>
      <c r="N569">
        <v>-9.4990390000000008E-3</v>
      </c>
      <c r="O569">
        <v>-4.0993710000000001E-3</v>
      </c>
      <c r="P569">
        <v>0.98442240000000003</v>
      </c>
      <c r="Q569">
        <v>0.1675316</v>
      </c>
      <c r="R569">
        <v>5.3346810000000001E-2</v>
      </c>
      <c r="S569">
        <v>3.0276179999999999</v>
      </c>
      <c r="T569">
        <v>0.1233016</v>
      </c>
      <c r="U569">
        <v>-2.111816E-2</v>
      </c>
      <c r="V569">
        <v>-5.7379560000000003E-2</v>
      </c>
      <c r="W569">
        <v>0.17687359999999999</v>
      </c>
      <c r="X569">
        <v>0.98255959999999998</v>
      </c>
      <c r="Y569">
        <v>2.8788279999999999E-3</v>
      </c>
      <c r="Z569">
        <v>-1.6087990000000001E-4</v>
      </c>
      <c r="AA569">
        <v>0.99999579999999999</v>
      </c>
      <c r="AB569">
        <v>31</v>
      </c>
      <c r="AC569">
        <v>179.1267</v>
      </c>
      <c r="AD569">
        <v>7.3031829999999998</v>
      </c>
      <c r="AE569">
        <v>-1.25</v>
      </c>
      <c r="AF569">
        <v>0.514793964338501</v>
      </c>
      <c r="AG569">
        <v>7.3031829999999998</v>
      </c>
      <c r="AH569">
        <v>178.83306337262101</v>
      </c>
      <c r="AI569">
        <v>87.661464612574406</v>
      </c>
      <c r="AJ569">
        <v>89.8350671880916</v>
      </c>
      <c r="AK569">
        <v>178.982865241322</v>
      </c>
      <c r="AL569">
        <v>79.812291741966007</v>
      </c>
      <c r="AM569">
        <v>93.3421656768746</v>
      </c>
      <c r="AN569">
        <v>1.00000002591745</v>
      </c>
    </row>
    <row r="570" spans="1:40" x14ac:dyDescent="0.25">
      <c r="A570" t="str">
        <f>"20190304155325725"</f>
        <v>20190304155325725</v>
      </c>
      <c r="B570" t="str">
        <f>"1551686005716067"</f>
        <v>1551686005716067</v>
      </c>
      <c r="C570" t="s">
        <v>40</v>
      </c>
      <c r="D570">
        <v>4.119523</v>
      </c>
      <c r="E570">
        <v>0.52198350000000004</v>
      </c>
      <c r="F570" t="s">
        <v>41</v>
      </c>
      <c r="G570">
        <v>-158.19499999999999</v>
      </c>
      <c r="H570">
        <v>6.479622</v>
      </c>
      <c r="I570">
        <v>366.34699999999998</v>
      </c>
      <c r="J570">
        <v>-348.96359999999999</v>
      </c>
      <c r="K570">
        <v>1.1098220000000001</v>
      </c>
      <c r="L570">
        <v>367.3048</v>
      </c>
      <c r="M570">
        <v>0.99994649999999996</v>
      </c>
      <c r="N570">
        <v>-9.5100500000000008E-3</v>
      </c>
      <c r="O570">
        <v>-4.0901239999999997E-3</v>
      </c>
      <c r="P570">
        <v>0.98448880000000005</v>
      </c>
      <c r="Q570">
        <v>0.1671657</v>
      </c>
      <c r="R570">
        <v>5.327146E-2</v>
      </c>
      <c r="S570">
        <v>3.0337519999999998</v>
      </c>
      <c r="T570">
        <v>8.5283520000000002E-2</v>
      </c>
      <c r="U570">
        <v>-1.522827E-2</v>
      </c>
      <c r="V570">
        <v>-5.7295180000000001E-2</v>
      </c>
      <c r="W570">
        <v>0.17651929999999999</v>
      </c>
      <c r="X570">
        <v>0.98262819999999995</v>
      </c>
      <c r="Y570">
        <v>9.3190410000000003E-4</v>
      </c>
      <c r="Z570">
        <v>-1.4517959999999999E-4</v>
      </c>
      <c r="AA570">
        <v>0.99999959999999999</v>
      </c>
      <c r="AB570">
        <v>31</v>
      </c>
      <c r="AC570">
        <v>190.76859999999999</v>
      </c>
      <c r="AD570">
        <v>5.3697999999999997</v>
      </c>
      <c r="AE570">
        <v>-0.95780000000001997</v>
      </c>
      <c r="AF570">
        <v>0.177349025163788</v>
      </c>
      <c r="AG570">
        <v>5.3697999999999997</v>
      </c>
      <c r="AH570">
        <v>190.61989307342199</v>
      </c>
      <c r="AI570">
        <v>88.386394024777502</v>
      </c>
      <c r="AJ570">
        <v>89.946693141272405</v>
      </c>
      <c r="AK570">
        <v>190.69559470538201</v>
      </c>
      <c r="AL570">
        <v>79.832915786009593</v>
      </c>
      <c r="AM570">
        <v>93.337029486495695</v>
      </c>
      <c r="AN570">
        <v>0.99999999017948105</v>
      </c>
    </row>
    <row r="571" spans="1:40" x14ac:dyDescent="0.25">
      <c r="A571" t="str">
        <f>"20190304155325738"</f>
        <v>20190304155325738</v>
      </c>
      <c r="B571" t="str">
        <f>"1551686005725828"</f>
        <v>1551686005725828</v>
      </c>
      <c r="C571" t="s">
        <v>40</v>
      </c>
      <c r="D571">
        <v>4.1185890000000001</v>
      </c>
      <c r="E571">
        <v>0.52226260000000002</v>
      </c>
      <c r="F571" t="s">
        <v>41</v>
      </c>
      <c r="G571">
        <v>-158.19499999999999</v>
      </c>
      <c r="H571">
        <v>4.9635680000000004</v>
      </c>
      <c r="I571">
        <v>365.74509999999998</v>
      </c>
      <c r="J571">
        <v>-348.77879999999999</v>
      </c>
      <c r="K571">
        <v>1.1098209999999999</v>
      </c>
      <c r="L571">
        <v>367.30399999999997</v>
      </c>
      <c r="M571">
        <v>0.99994640000000001</v>
      </c>
      <c r="N571">
        <v>-9.5180939999999995E-3</v>
      </c>
      <c r="O571">
        <v>-4.0833670000000001E-3</v>
      </c>
      <c r="P571">
        <v>0.98452839999999997</v>
      </c>
      <c r="Q571">
        <v>0.16679939999999999</v>
      </c>
      <c r="R571">
        <v>5.3684599999999999E-2</v>
      </c>
      <c r="S571">
        <v>3.038208</v>
      </c>
      <c r="T571">
        <v>6.1376689999999998E-2</v>
      </c>
      <c r="U571">
        <v>-2.4841309999999998E-2</v>
      </c>
      <c r="V571">
        <v>-5.7701889999999999E-2</v>
      </c>
      <c r="W571">
        <v>0.17616109999999999</v>
      </c>
      <c r="X571">
        <v>0.98266869999999995</v>
      </c>
      <c r="Y571">
        <v>4.0939089999999997E-3</v>
      </c>
      <c r="Z571" s="1">
        <v>-9.9478840000000003E-5</v>
      </c>
      <c r="AA571">
        <v>0.99999159999999998</v>
      </c>
      <c r="AB571">
        <v>31</v>
      </c>
      <c r="AC571">
        <v>190.5838</v>
      </c>
      <c r="AD571">
        <v>3.8537469999999998</v>
      </c>
      <c r="AE571">
        <v>-1.5589000000000499</v>
      </c>
      <c r="AF571">
        <v>0.78030914619514702</v>
      </c>
      <c r="AG571">
        <v>3.8537469999999998</v>
      </c>
      <c r="AH571">
        <v>190.51068627109001</v>
      </c>
      <c r="AI571">
        <v>88.841159612939904</v>
      </c>
      <c r="AJ571">
        <v>89.765324603795506</v>
      </c>
      <c r="AK571">
        <v>190.55125775440399</v>
      </c>
      <c r="AL571">
        <v>79.853766049110902</v>
      </c>
      <c r="AM571">
        <v>93.360525107906795</v>
      </c>
      <c r="AN571">
        <v>1.0000000076112301</v>
      </c>
    </row>
    <row r="572" spans="1:40" x14ac:dyDescent="0.25">
      <c r="A572" t="str">
        <f>"20190304155325752"</f>
        <v>20190304155325752</v>
      </c>
      <c r="B572" t="str">
        <f>"1551686005746324"</f>
        <v>1551686005746324</v>
      </c>
      <c r="C572" t="s">
        <v>40</v>
      </c>
      <c r="D572">
        <v>4.1628509999999999</v>
      </c>
      <c r="E572">
        <v>0.52238320000000005</v>
      </c>
      <c r="F572" t="s">
        <v>41</v>
      </c>
      <c r="G572">
        <v>-158.19499999999999</v>
      </c>
      <c r="H572">
        <v>4.4851799999999997</v>
      </c>
      <c r="I572">
        <v>365.67950000000002</v>
      </c>
      <c r="J572">
        <v>-348.59620000000001</v>
      </c>
      <c r="K572">
        <v>1.10982</v>
      </c>
      <c r="L572">
        <v>367.30329999999998</v>
      </c>
      <c r="M572">
        <v>0.99994629999999995</v>
      </c>
      <c r="N572">
        <v>-9.5261210000000002E-3</v>
      </c>
      <c r="O572">
        <v>-4.0764909999999998E-3</v>
      </c>
      <c r="P572">
        <v>0.98454070000000005</v>
      </c>
      <c r="Q572">
        <v>0.1667594</v>
      </c>
      <c r="R572">
        <v>5.3581249999999997E-2</v>
      </c>
      <c r="S572">
        <v>3.0394290000000002</v>
      </c>
      <c r="T572">
        <v>5.3831579999999997E-2</v>
      </c>
      <c r="U572">
        <v>-2.5909419999999999E-2</v>
      </c>
      <c r="V572">
        <v>-5.7592110000000002E-2</v>
      </c>
      <c r="W572">
        <v>0.17612920000000001</v>
      </c>
      <c r="X572">
        <v>0.98268089999999997</v>
      </c>
      <c r="Y572">
        <v>4.4487199999999998E-3</v>
      </c>
      <c r="Z572" s="1">
        <v>-9.281968E-5</v>
      </c>
      <c r="AA572">
        <v>0.99999009999999999</v>
      </c>
      <c r="AB572">
        <v>31</v>
      </c>
      <c r="AC572">
        <v>190.40119999999999</v>
      </c>
      <c r="AD572">
        <v>3.3753600000000001</v>
      </c>
      <c r="AE572">
        <v>-1.6237999999999599</v>
      </c>
      <c r="AF572">
        <v>0.84731623068770301</v>
      </c>
      <c r="AG572">
        <v>3.3753600000000001</v>
      </c>
      <c r="AH572">
        <v>190.34642200204499</v>
      </c>
      <c r="AI572">
        <v>88.984106463302098</v>
      </c>
      <c r="AJ572">
        <v>89.744952793113796</v>
      </c>
      <c r="AK572">
        <v>190.37823239253299</v>
      </c>
      <c r="AL572">
        <v>79.855623237994905</v>
      </c>
      <c r="AM572">
        <v>93.354104647795197</v>
      </c>
      <c r="AN572">
        <v>1.00000004872584</v>
      </c>
    </row>
    <row r="573" spans="1:40" x14ac:dyDescent="0.25">
      <c r="A573" t="str">
        <f>"20190304155325769"</f>
        <v>20190304155325769</v>
      </c>
      <c r="B573" t="str">
        <f>"1551686005765846"</f>
        <v>1551686005765846</v>
      </c>
      <c r="C573" t="s">
        <v>40</v>
      </c>
      <c r="D573">
        <v>4.1130579999999997</v>
      </c>
      <c r="E573">
        <v>0.52211049999999903</v>
      </c>
      <c r="F573" t="s">
        <v>41</v>
      </c>
      <c r="G573">
        <v>-158.19499999999999</v>
      </c>
      <c r="H573">
        <v>3.8075860000000001</v>
      </c>
      <c r="I573">
        <v>365.58760000000001</v>
      </c>
      <c r="J573">
        <v>-348.34199999999998</v>
      </c>
      <c r="K573">
        <v>1.1098209999999999</v>
      </c>
      <c r="L573">
        <v>367.3023</v>
      </c>
      <c r="M573">
        <v>0.99994620000000001</v>
      </c>
      <c r="N573">
        <v>-9.5372930000000005E-3</v>
      </c>
      <c r="O573">
        <v>-4.0671259999999999E-3</v>
      </c>
      <c r="P573">
        <v>0.98458679999999998</v>
      </c>
      <c r="Q573">
        <v>0.1664765</v>
      </c>
      <c r="R573">
        <v>5.3616289999999997E-2</v>
      </c>
      <c r="S573">
        <v>3.04129</v>
      </c>
      <c r="T573">
        <v>4.3092970000000001E-2</v>
      </c>
      <c r="U573">
        <v>-2.7404789999999998E-2</v>
      </c>
      <c r="V573">
        <v>-5.7618379999999997E-2</v>
      </c>
      <c r="W573">
        <v>0.17585789999999901</v>
      </c>
      <c r="X573">
        <v>0.98272789999999999</v>
      </c>
      <c r="Y573">
        <v>4.9443029999999997E-3</v>
      </c>
      <c r="Z573" s="1">
        <v>-8.4963209999999994E-5</v>
      </c>
      <c r="AA573">
        <v>0.99998779999999998</v>
      </c>
      <c r="AB573">
        <v>31</v>
      </c>
      <c r="AC573">
        <v>190.14699999999999</v>
      </c>
      <c r="AD573">
        <v>2.697765</v>
      </c>
      <c r="AE573">
        <v>-1.7146999999999899</v>
      </c>
      <c r="AF573">
        <v>0.94110937426434904</v>
      </c>
      <c r="AG573">
        <v>2.697765</v>
      </c>
      <c r="AH573">
        <v>190.114135822951</v>
      </c>
      <c r="AI573">
        <v>89.187023727437506</v>
      </c>
      <c r="AJ573">
        <v>89.716374826456601</v>
      </c>
      <c r="AK573">
        <v>190.135604931209</v>
      </c>
      <c r="AL573">
        <v>79.871413578560905</v>
      </c>
      <c r="AM573">
        <v>93.355470970071195</v>
      </c>
      <c r="AN573">
        <v>1.0000000020723201</v>
      </c>
    </row>
    <row r="574" spans="1:40" x14ac:dyDescent="0.25">
      <c r="A574" t="str">
        <f>"20190304155325793"</f>
        <v>20190304155325793</v>
      </c>
      <c r="B574" t="str">
        <f>"1551686005786340"</f>
        <v>1551686005786340</v>
      </c>
      <c r="C574" t="s">
        <v>40</v>
      </c>
      <c r="D574">
        <v>4.1515259999999996</v>
      </c>
      <c r="E574">
        <v>0.52215789999999995</v>
      </c>
      <c r="F574" t="s">
        <v>41</v>
      </c>
      <c r="G574">
        <v>-158.19499999999999</v>
      </c>
      <c r="H574">
        <v>3.3569230000000001</v>
      </c>
      <c r="I574">
        <v>365.7287</v>
      </c>
      <c r="J574">
        <v>-348.01740000000001</v>
      </c>
      <c r="K574">
        <v>1.10982</v>
      </c>
      <c r="L574">
        <v>367.30099999999999</v>
      </c>
      <c r="M574">
        <v>0.99994629999999995</v>
      </c>
      <c r="N574">
        <v>-9.5514729999999996E-3</v>
      </c>
      <c r="O574">
        <v>-4.0551540000000001E-3</v>
      </c>
      <c r="P574">
        <v>0.98465639999999999</v>
      </c>
      <c r="Q574">
        <v>0.16607330000000001</v>
      </c>
      <c r="R574">
        <v>5.3587679999999999E-2</v>
      </c>
      <c r="S574">
        <v>3.0422669999999998</v>
      </c>
      <c r="T574">
        <v>3.5954E-2</v>
      </c>
      <c r="U574">
        <v>-2.5177000000000001E-2</v>
      </c>
      <c r="V574">
        <v>-5.7577910000000003E-2</v>
      </c>
      <c r="W574">
        <v>0.17546919999999999</v>
      </c>
      <c r="X574">
        <v>0.9827998</v>
      </c>
      <c r="Y574">
        <v>4.2210570000000003E-3</v>
      </c>
      <c r="Z574" s="1">
        <v>-8.1870689999999995E-5</v>
      </c>
      <c r="AA574">
        <v>0.99999110000000002</v>
      </c>
      <c r="AB574">
        <v>31</v>
      </c>
      <c r="AC574">
        <v>189.82239999999999</v>
      </c>
      <c r="AD574">
        <v>2.2471030000000001</v>
      </c>
      <c r="AE574">
        <v>-1.57229999999998</v>
      </c>
      <c r="AF574">
        <v>0.80238056314890005</v>
      </c>
      <c r="AG574">
        <v>2.2471030000000001</v>
      </c>
      <c r="AH574">
        <v>189.80061915863001</v>
      </c>
      <c r="AI574">
        <v>89.321696877214194</v>
      </c>
      <c r="AJ574">
        <v>89.757784004252997</v>
      </c>
      <c r="AK574">
        <v>189.815616637462</v>
      </c>
      <c r="AL574">
        <v>79.894036727873598</v>
      </c>
      <c r="AM574">
        <v>93.352874784752103</v>
      </c>
      <c r="AN574">
        <v>1.0000000513743199</v>
      </c>
    </row>
    <row r="575" spans="1:40" x14ac:dyDescent="0.25">
      <c r="A575" t="str">
        <f>"20190304155325814"</f>
        <v>20190304155325814</v>
      </c>
      <c r="B575" t="str">
        <f>"1551686005806835"</f>
        <v>1551686005806835</v>
      </c>
      <c r="C575" t="s">
        <v>40</v>
      </c>
      <c r="D575">
        <v>4.1217959999999998</v>
      </c>
      <c r="E575">
        <v>0.52229429999999999</v>
      </c>
      <c r="F575" t="s">
        <v>41</v>
      </c>
      <c r="G575">
        <v>-158.19499999999999</v>
      </c>
      <c r="H575">
        <v>3.048206</v>
      </c>
      <c r="I575">
        <v>365.6943</v>
      </c>
      <c r="J575">
        <v>-347.71469999999999</v>
      </c>
      <c r="K575">
        <v>1.109815</v>
      </c>
      <c r="L575">
        <v>367.2998</v>
      </c>
      <c r="M575">
        <v>0.99994620000000001</v>
      </c>
      <c r="N575">
        <v>-9.5646269999999992E-3</v>
      </c>
      <c r="O575">
        <v>-4.0442469999999999E-3</v>
      </c>
      <c r="P575">
        <v>0.98468719999999998</v>
      </c>
      <c r="Q575">
        <v>0.165959299999999</v>
      </c>
      <c r="R575">
        <v>5.3375449999999998E-2</v>
      </c>
      <c r="S575">
        <v>3.0429080000000002</v>
      </c>
      <c r="T575">
        <v>3.1074290000000001E-2</v>
      </c>
      <c r="U575">
        <v>-2.575684E-2</v>
      </c>
      <c r="V575">
        <v>-5.7355429999999999E-2</v>
      </c>
      <c r="W575">
        <v>0.1753683</v>
      </c>
      <c r="X575">
        <v>0.9828308</v>
      </c>
      <c r="Y575">
        <v>4.4206649999999998E-3</v>
      </c>
      <c r="Z575" s="1">
        <v>-7.8548999999999996E-5</v>
      </c>
      <c r="AA575">
        <v>0.99999020000000005</v>
      </c>
      <c r="AB575">
        <v>31</v>
      </c>
      <c r="AC575">
        <v>189.5197</v>
      </c>
      <c r="AD575">
        <v>1.938391</v>
      </c>
      <c r="AE575">
        <v>-1.6054999999999999</v>
      </c>
      <c r="AF575">
        <v>0.83889967073673199</v>
      </c>
      <c r="AG575">
        <v>1.938391</v>
      </c>
      <c r="AH575">
        <v>189.504820585836</v>
      </c>
      <c r="AI575">
        <v>89.413963920130499</v>
      </c>
      <c r="AJ575">
        <v>89.746364781374794</v>
      </c>
      <c r="AK575">
        <v>189.51659066582101</v>
      </c>
      <c r="AL575">
        <v>79.899908746292098</v>
      </c>
      <c r="AM575">
        <v>93.339843614618999</v>
      </c>
      <c r="AN575">
        <v>1.0000000337120001</v>
      </c>
    </row>
    <row r="576" spans="1:40" x14ac:dyDescent="0.25">
      <c r="A576" t="str">
        <f>"20190304155325837"</f>
        <v>20190304155325837</v>
      </c>
      <c r="B576" t="str">
        <f>"1551686005826355"</f>
        <v>1551686005826355</v>
      </c>
      <c r="C576" t="s">
        <v>40</v>
      </c>
      <c r="D576">
        <v>4.1778629999999897</v>
      </c>
      <c r="E576">
        <v>0.5222793</v>
      </c>
      <c r="F576" t="s">
        <v>41</v>
      </c>
      <c r="G576">
        <v>-158.19499999999999</v>
      </c>
      <c r="H576">
        <v>2.8732850000000001</v>
      </c>
      <c r="I576">
        <v>365.56849999999997</v>
      </c>
      <c r="J576">
        <v>-347.40359999999998</v>
      </c>
      <c r="K576">
        <v>1.1098110000000001</v>
      </c>
      <c r="L576">
        <v>367.29849999999999</v>
      </c>
      <c r="M576">
        <v>0.999946</v>
      </c>
      <c r="N576">
        <v>-9.5781349999999998E-3</v>
      </c>
      <c r="O576">
        <v>-4.0329850000000002E-3</v>
      </c>
      <c r="P576">
        <v>0.98472550000000003</v>
      </c>
      <c r="Q576">
        <v>0.16568160000000001</v>
      </c>
      <c r="R576">
        <v>5.352755E-2</v>
      </c>
      <c r="S576">
        <v>3.0434269999999999</v>
      </c>
      <c r="T576">
        <v>2.8320310000000001E-2</v>
      </c>
      <c r="U576">
        <v>-2.7801510000000001E-2</v>
      </c>
      <c r="V576">
        <v>-5.7496409999999998E-2</v>
      </c>
      <c r="W576">
        <v>0.1751045</v>
      </c>
      <c r="X576">
        <v>0.98286960000000001</v>
      </c>
      <c r="Y576">
        <v>5.1022059999999998E-3</v>
      </c>
      <c r="Z576" s="1">
        <v>-7.6851669999999898E-5</v>
      </c>
      <c r="AA576">
        <v>0.99998699999999996</v>
      </c>
      <c r="AB576">
        <v>31</v>
      </c>
      <c r="AC576">
        <v>189.20859999999999</v>
      </c>
      <c r="AD576">
        <v>1.76347399999999</v>
      </c>
      <c r="AE576">
        <v>-1.73000000000001</v>
      </c>
      <c r="AF576">
        <v>0.96679150655507895</v>
      </c>
      <c r="AG576">
        <v>1.76347399999999</v>
      </c>
      <c r="AH576">
        <v>189.19760478746599</v>
      </c>
      <c r="AI576">
        <v>89.465979642228007</v>
      </c>
      <c r="AJ576">
        <v>89.707223614540098</v>
      </c>
      <c r="AK576">
        <v>189.20829311549801</v>
      </c>
      <c r="AL576">
        <v>79.915260958073603</v>
      </c>
      <c r="AM576">
        <v>93.3479024516229</v>
      </c>
      <c r="AN576">
        <v>1.0000000368436399</v>
      </c>
    </row>
    <row r="577" spans="1:40" x14ac:dyDescent="0.25">
      <c r="A577" t="str">
        <f>"20190304155325850"</f>
        <v>20190304155325850</v>
      </c>
      <c r="B577" t="str">
        <f>"1551686005846852"</f>
        <v>1551686005846852</v>
      </c>
      <c r="C577" t="s">
        <v>40</v>
      </c>
      <c r="D577">
        <v>4.1652800000000001</v>
      </c>
      <c r="E577">
        <v>0.5222445</v>
      </c>
      <c r="F577" t="s">
        <v>41</v>
      </c>
      <c r="G577">
        <v>-158.19499999999999</v>
      </c>
      <c r="H577">
        <v>2.6811609999999999</v>
      </c>
      <c r="I577">
        <v>365.61200000000002</v>
      </c>
      <c r="J577">
        <v>-347.21480000000003</v>
      </c>
      <c r="K577">
        <v>1.109809</v>
      </c>
      <c r="L577">
        <v>367.29770000000002</v>
      </c>
      <c r="M577">
        <v>0.999946</v>
      </c>
      <c r="N577">
        <v>-9.5863370000000003E-3</v>
      </c>
      <c r="O577">
        <v>-4.0261100000000003E-3</v>
      </c>
      <c r="P577">
        <v>0.98469229999999996</v>
      </c>
      <c r="Q577">
        <v>0.16589770000000001</v>
      </c>
      <c r="R577">
        <v>5.3469450000000002E-2</v>
      </c>
      <c r="S577">
        <v>3.0437620000000001</v>
      </c>
      <c r="T577">
        <v>2.52794E-2</v>
      </c>
      <c r="U577">
        <v>-2.7130129999999999E-2</v>
      </c>
      <c r="V577">
        <v>-5.7431290000000003E-2</v>
      </c>
      <c r="W577">
        <v>0.17532790000000001</v>
      </c>
      <c r="X577">
        <v>0.98283359999999997</v>
      </c>
      <c r="Y577">
        <v>4.8874629999999999E-3</v>
      </c>
      <c r="Z577" s="1">
        <v>-7.516341E-5</v>
      </c>
      <c r="AA577">
        <v>0.99998810000000005</v>
      </c>
      <c r="AB577">
        <v>31</v>
      </c>
      <c r="AC577">
        <v>189.0198</v>
      </c>
      <c r="AD577">
        <v>1.5713520000000001</v>
      </c>
      <c r="AE577">
        <v>-1.6857000000000499</v>
      </c>
      <c r="AF577">
        <v>0.92457301035605799</v>
      </c>
      <c r="AG577">
        <v>1.5713520000000001</v>
      </c>
      <c r="AH577">
        <v>189.01199369059299</v>
      </c>
      <c r="AI577">
        <v>89.523687968931995</v>
      </c>
      <c r="AJ577">
        <v>89.7197336116201</v>
      </c>
      <c r="AK577">
        <v>189.02078653220201</v>
      </c>
      <c r="AL577">
        <v>79.902260145372296</v>
      </c>
      <c r="AM577">
        <v>93.344241465978598</v>
      </c>
      <c r="AN577">
        <v>1.0000000554392099</v>
      </c>
    </row>
    <row r="578" spans="1:40" x14ac:dyDescent="0.25">
      <c r="A578" t="str">
        <f>"20190304155325870"</f>
        <v>20190304155325870</v>
      </c>
      <c r="B578" t="str">
        <f>"1551686005866372"</f>
        <v>1551686005866372</v>
      </c>
      <c r="C578" t="s">
        <v>40</v>
      </c>
      <c r="D578">
        <v>4.2159009999999997</v>
      </c>
      <c r="E578">
        <v>0.52267920000000001</v>
      </c>
      <c r="F578" t="s">
        <v>41</v>
      </c>
      <c r="G578">
        <v>-158.19499999999999</v>
      </c>
      <c r="H578">
        <v>2.5977800000000002</v>
      </c>
      <c r="I578">
        <v>365.63589999999999</v>
      </c>
      <c r="J578">
        <v>-346.93810000000002</v>
      </c>
      <c r="K578">
        <v>1.1098129999999999</v>
      </c>
      <c r="L578">
        <v>367.29660000000001</v>
      </c>
      <c r="M578">
        <v>0.99994590000000005</v>
      </c>
      <c r="N578">
        <v>-9.5983590000000008E-3</v>
      </c>
      <c r="O578">
        <v>-4.0160350000000003E-3</v>
      </c>
      <c r="P578">
        <v>0.98473639999999996</v>
      </c>
      <c r="Q578">
        <v>0.16555349999999999</v>
      </c>
      <c r="R578">
        <v>5.3723970000000003E-2</v>
      </c>
      <c r="S578">
        <v>3.0440369999999999</v>
      </c>
      <c r="T578">
        <v>2.396417E-2</v>
      </c>
      <c r="U578">
        <v>-2.676392E-2</v>
      </c>
      <c r="V578">
        <v>-5.7676100000000001E-2</v>
      </c>
      <c r="W578">
        <v>0.17499600000000001</v>
      </c>
      <c r="X578">
        <v>0.98287829999999998</v>
      </c>
      <c r="Y578">
        <v>4.7764139999999997E-3</v>
      </c>
      <c r="Z578" s="1">
        <v>-7.4284599999999997E-5</v>
      </c>
      <c r="AA578">
        <v>0.99998860000000001</v>
      </c>
      <c r="AB578">
        <v>31</v>
      </c>
      <c r="AC578">
        <v>188.7431</v>
      </c>
      <c r="AD578">
        <v>1.48796699999999</v>
      </c>
      <c r="AE578">
        <v>-1.6607000000000101</v>
      </c>
      <c r="AF578">
        <v>0.902596721969812</v>
      </c>
      <c r="AG578">
        <v>1.48796699999999</v>
      </c>
      <c r="AH578">
        <v>188.73651835937</v>
      </c>
      <c r="AI578">
        <v>89.548304224240198</v>
      </c>
      <c r="AJ578">
        <v>89.725995854024305</v>
      </c>
      <c r="AK578">
        <v>188.74454187883799</v>
      </c>
      <c r="AL578">
        <v>79.921574082474194</v>
      </c>
      <c r="AM578">
        <v>93.358311876184004</v>
      </c>
      <c r="AN578">
        <v>0.99999994256904801</v>
      </c>
    </row>
    <row r="579" spans="1:40" x14ac:dyDescent="0.25">
      <c r="A579" t="str">
        <f>"20190304155325892"</f>
        <v>20190304155325892</v>
      </c>
      <c r="B579" t="str">
        <f>"1551686005885891"</f>
        <v>1551686005885891</v>
      </c>
      <c r="C579" t="s">
        <v>40</v>
      </c>
      <c r="D579">
        <v>4.2094040000000001</v>
      </c>
      <c r="E579">
        <v>0.52274079999999901</v>
      </c>
      <c r="F579" t="s">
        <v>41</v>
      </c>
      <c r="G579">
        <v>-158.19499999999999</v>
      </c>
      <c r="H579">
        <v>2.3731979999999999</v>
      </c>
      <c r="I579">
        <v>365.45030000000003</v>
      </c>
      <c r="J579">
        <v>-346.61070000000001</v>
      </c>
      <c r="K579">
        <v>1.1098140000000001</v>
      </c>
      <c r="L579">
        <v>367.2953</v>
      </c>
      <c r="M579">
        <v>0.9999458</v>
      </c>
      <c r="N579">
        <v>-9.6125359999999997E-3</v>
      </c>
      <c r="O579">
        <v>-4.0041829999999997E-3</v>
      </c>
      <c r="P579">
        <v>0.98473080000000002</v>
      </c>
      <c r="Q579">
        <v>0.16560610000000001</v>
      </c>
      <c r="R579">
        <v>5.3664509999999999E-2</v>
      </c>
      <c r="S579">
        <v>3.044708</v>
      </c>
      <c r="T579">
        <v>2.0381690000000001E-2</v>
      </c>
      <c r="U579">
        <v>-2.9785160000000001E-2</v>
      </c>
      <c r="V579">
        <v>-5.7605120000000003E-2</v>
      </c>
      <c r="W579">
        <v>0.17506269999999999</v>
      </c>
      <c r="X579">
        <v>0.98287060000000004</v>
      </c>
      <c r="Y579">
        <v>5.7784639999999996E-3</v>
      </c>
      <c r="Z579" s="1">
        <v>-7.3726750000000004E-5</v>
      </c>
      <c r="AA579">
        <v>0.99998330000000002</v>
      </c>
      <c r="AB579">
        <v>31</v>
      </c>
      <c r="AC579">
        <v>188.41569999999999</v>
      </c>
      <c r="AD579">
        <v>1.2633840000000001</v>
      </c>
      <c r="AE579">
        <v>-1.84499999999997</v>
      </c>
      <c r="AF579">
        <v>1.09045039739737</v>
      </c>
      <c r="AG579">
        <v>1.2633840000000001</v>
      </c>
      <c r="AH579">
        <v>188.41310699210001</v>
      </c>
      <c r="AI579">
        <v>89.6158214512553</v>
      </c>
      <c r="AJ579">
        <v>89.668401477126295</v>
      </c>
      <c r="AK579">
        <v>188.42049810892999</v>
      </c>
      <c r="AL579">
        <v>79.917692687899304</v>
      </c>
      <c r="AM579">
        <v>93.354214576293799</v>
      </c>
      <c r="AN579">
        <v>0.99999995756293103</v>
      </c>
    </row>
    <row r="580" spans="1:40" x14ac:dyDescent="0.25">
      <c r="A580" t="str">
        <f>"20190304155325914"</f>
        <v>20190304155325914</v>
      </c>
      <c r="B580" t="str">
        <f>"1551686005906387"</f>
        <v>1551686005906387</v>
      </c>
      <c r="C580" t="s">
        <v>40</v>
      </c>
      <c r="D580">
        <v>4.2131669999999897</v>
      </c>
      <c r="E580">
        <v>0.52270190000000005</v>
      </c>
      <c r="F580" t="s">
        <v>41</v>
      </c>
      <c r="G580">
        <v>-158.19499999999999</v>
      </c>
      <c r="H580">
        <v>2.353456</v>
      </c>
      <c r="I580">
        <v>365.40499999999997</v>
      </c>
      <c r="J580">
        <v>-346.30669999999998</v>
      </c>
      <c r="K580">
        <v>1.1098159999999999</v>
      </c>
      <c r="L580">
        <v>367.29410000000001</v>
      </c>
      <c r="M580">
        <v>0.9999458</v>
      </c>
      <c r="N580">
        <v>-9.6255560000000004E-3</v>
      </c>
      <c r="O580">
        <v>-3.9930399999999998E-3</v>
      </c>
      <c r="P580">
        <v>0.98469240000000002</v>
      </c>
      <c r="Q580">
        <v>0.16571179999999999</v>
      </c>
      <c r="R580">
        <v>5.4042029999999998E-2</v>
      </c>
      <c r="S580">
        <v>3.0448</v>
      </c>
      <c r="T580">
        <v>2.0098689999999999E-2</v>
      </c>
      <c r="U580">
        <v>-3.0548100000000002E-2</v>
      </c>
      <c r="V580">
        <v>-5.7971309999999998E-2</v>
      </c>
      <c r="W580">
        <v>0.17518049999999999</v>
      </c>
      <c r="X580">
        <v>0.98282809999999998</v>
      </c>
      <c r="Y580">
        <v>6.0398539999999999E-3</v>
      </c>
      <c r="Z580" s="1">
        <v>-7.3927220000000001E-5</v>
      </c>
      <c r="AA580">
        <v>0.99998180000000003</v>
      </c>
      <c r="AB580">
        <v>32</v>
      </c>
      <c r="AC580">
        <v>188.11170000000001</v>
      </c>
      <c r="AD580">
        <v>1.2436399999999901</v>
      </c>
      <c r="AE580">
        <v>-1.88910000000004</v>
      </c>
      <c r="AF580">
        <v>1.1378629426403799</v>
      </c>
      <c r="AG580">
        <v>1.2436399999999901</v>
      </c>
      <c r="AH580">
        <v>188.10952279321799</v>
      </c>
      <c r="AI580">
        <v>89.621215446551005</v>
      </c>
      <c r="AJ580">
        <v>89.653425577950998</v>
      </c>
      <c r="AK580">
        <v>188.117075083625</v>
      </c>
      <c r="AL580">
        <v>79.910837508059004</v>
      </c>
      <c r="AM580">
        <v>93.375633463240206</v>
      </c>
      <c r="AN580">
        <v>0.99999997725648704</v>
      </c>
    </row>
    <row r="581" spans="1:40" x14ac:dyDescent="0.25">
      <c r="A581" t="str">
        <f>"20190304155325936"</f>
        <v>20190304155325936</v>
      </c>
      <c r="B581" t="str">
        <f>"1551686005925911"</f>
        <v>1551686005925911</v>
      </c>
      <c r="C581" t="s">
        <v>40</v>
      </c>
      <c r="D581">
        <v>4.2276109999999996</v>
      </c>
      <c r="E581">
        <v>0.52265010000000001</v>
      </c>
      <c r="F581" t="s">
        <v>41</v>
      </c>
      <c r="G581">
        <v>-158.19499999999999</v>
      </c>
      <c r="H581">
        <v>2.3337680000000001</v>
      </c>
      <c r="I581">
        <v>365.48419999999999</v>
      </c>
      <c r="J581">
        <v>-345.99700000000001</v>
      </c>
      <c r="K581">
        <v>1.1098170000000001</v>
      </c>
      <c r="L581">
        <v>367.2928</v>
      </c>
      <c r="M581">
        <v>0.99994570000000005</v>
      </c>
      <c r="N581">
        <v>-9.6386860000000005E-3</v>
      </c>
      <c r="O581">
        <v>-3.9820150000000002E-3</v>
      </c>
      <c r="P581">
        <v>0.98467309999999997</v>
      </c>
      <c r="Q581">
        <v>0.1657382</v>
      </c>
      <c r="R581">
        <v>5.4313390000000003E-2</v>
      </c>
      <c r="S581">
        <v>3.0448909999999998</v>
      </c>
      <c r="T581">
        <v>1.981306E-2</v>
      </c>
      <c r="U581">
        <v>-2.9296880000000001E-2</v>
      </c>
      <c r="V581">
        <v>-5.8232399999999997E-2</v>
      </c>
      <c r="W581">
        <v>0.17521989999999901</v>
      </c>
      <c r="X581">
        <v>0.9828057</v>
      </c>
      <c r="Y581">
        <v>5.6396889999999998E-3</v>
      </c>
      <c r="Z581" s="1">
        <v>-7.3123139999999994E-5</v>
      </c>
      <c r="AA581">
        <v>0.99998410000000004</v>
      </c>
      <c r="AB581">
        <v>32</v>
      </c>
      <c r="AC581">
        <v>187.80199999999999</v>
      </c>
      <c r="AD581">
        <v>1.223951</v>
      </c>
      <c r="AE581">
        <v>-1.80860000000001</v>
      </c>
      <c r="AF581">
        <v>1.06067555164745</v>
      </c>
      <c r="AG581">
        <v>1.223951</v>
      </c>
      <c r="AH581">
        <v>187.79973717791</v>
      </c>
      <c r="AI581">
        <v>89.626596307324704</v>
      </c>
      <c r="AJ581">
        <v>89.676402175639794</v>
      </c>
      <c r="AK581">
        <v>187.80672078700499</v>
      </c>
      <c r="AL581">
        <v>79.908545176706099</v>
      </c>
      <c r="AM581">
        <v>93.390878280973595</v>
      </c>
      <c r="AN581">
        <v>1.00000003485912</v>
      </c>
    </row>
    <row r="582" spans="1:40" x14ac:dyDescent="0.25">
      <c r="A582" t="str">
        <f>"20190304155325960"</f>
        <v>20190304155325960</v>
      </c>
      <c r="B582" t="str">
        <f>"1551686005956163"</f>
        <v>1551686005956163</v>
      </c>
      <c r="C582" t="s">
        <v>40</v>
      </c>
      <c r="D582">
        <v>4.2428610000000004</v>
      </c>
      <c r="E582">
        <v>0.52266939999999995</v>
      </c>
      <c r="F582" t="s">
        <v>41</v>
      </c>
      <c r="G582">
        <v>-158.19499999999999</v>
      </c>
      <c r="H582">
        <v>2.272688</v>
      </c>
      <c r="I582">
        <v>365.55189999999999</v>
      </c>
      <c r="J582">
        <v>-345.66860000000003</v>
      </c>
      <c r="K582">
        <v>1.1098129999999999</v>
      </c>
      <c r="L582">
        <v>367.29160000000002</v>
      </c>
      <c r="M582">
        <v>0.99994559999999999</v>
      </c>
      <c r="N582">
        <v>-9.6523649999999996E-3</v>
      </c>
      <c r="O582">
        <v>-3.970159E-3</v>
      </c>
      <c r="P582">
        <v>0.98469949999999995</v>
      </c>
      <c r="Q582">
        <v>0.16552639999999999</v>
      </c>
      <c r="R582">
        <v>5.4480130000000002E-2</v>
      </c>
      <c r="S582">
        <v>3.0450740000000001</v>
      </c>
      <c r="T582">
        <v>1.885653E-2</v>
      </c>
      <c r="U582">
        <v>-2.8228759999999999E-2</v>
      </c>
      <c r="V582">
        <v>-5.8387260000000003E-2</v>
      </c>
      <c r="W582">
        <v>0.17502179999999901</v>
      </c>
      <c r="X582">
        <v>0.98283180000000003</v>
      </c>
      <c r="Y582">
        <v>5.3002129999999998E-3</v>
      </c>
      <c r="Z582" s="1">
        <v>-7.2075560000000002E-5</v>
      </c>
      <c r="AA582">
        <v>0.99998589999999998</v>
      </c>
      <c r="AB582">
        <v>32</v>
      </c>
      <c r="AC582">
        <v>187.4736</v>
      </c>
      <c r="AD582">
        <v>1.1628750000000001</v>
      </c>
      <c r="AE582">
        <v>-1.73970000000002</v>
      </c>
      <c r="AF582">
        <v>0.99531337028542599</v>
      </c>
      <c r="AG582">
        <v>1.1628750000000001</v>
      </c>
      <c r="AH582">
        <v>187.47181709227999</v>
      </c>
      <c r="AI582">
        <v>89.644607722050097</v>
      </c>
      <c r="AJ582">
        <v>89.695811773224307</v>
      </c>
      <c r="AK582">
        <v>187.47806573264</v>
      </c>
      <c r="AL582">
        <v>79.920073517939798</v>
      </c>
      <c r="AM582">
        <v>93.399784593767606</v>
      </c>
      <c r="AN582">
        <v>1.00000002484839</v>
      </c>
    </row>
    <row r="583" spans="1:40" x14ac:dyDescent="0.25">
      <c r="A583" t="str">
        <f>"20190304155325983"</f>
        <v>20190304155325983</v>
      </c>
      <c r="B583" t="str">
        <f>"1551686005976660"</f>
        <v>1551686005976660</v>
      </c>
      <c r="C583" t="s">
        <v>40</v>
      </c>
      <c r="D583">
        <v>4.2266199999999996</v>
      </c>
      <c r="E583">
        <v>0.5226324</v>
      </c>
      <c r="F583" t="s">
        <v>41</v>
      </c>
      <c r="G583">
        <v>-158.19499999999999</v>
      </c>
      <c r="H583">
        <v>2.1784110000000001</v>
      </c>
      <c r="I583">
        <v>365.60820000000001</v>
      </c>
      <c r="J583">
        <v>-345.34379999999999</v>
      </c>
      <c r="K583">
        <v>1.1098129999999999</v>
      </c>
      <c r="L583">
        <v>367.2903</v>
      </c>
      <c r="M583">
        <v>0.99994550000000004</v>
      </c>
      <c r="N583">
        <v>-9.6659699999999994E-3</v>
      </c>
      <c r="O583">
        <v>-3.9584240000000003E-3</v>
      </c>
      <c r="P583">
        <v>0.98472349999999997</v>
      </c>
      <c r="Q583">
        <v>0.1653338</v>
      </c>
      <c r="R583">
        <v>5.4631970000000002E-2</v>
      </c>
      <c r="S583">
        <v>3.0451969999999999</v>
      </c>
      <c r="T583">
        <v>1.7359019999999999E-2</v>
      </c>
      <c r="U583">
        <v>-2.734375E-2</v>
      </c>
      <c r="V583">
        <v>-5.8527870000000003E-2</v>
      </c>
      <c r="W583">
        <v>0.174843</v>
      </c>
      <c r="X583">
        <v>0.98285529999999999</v>
      </c>
      <c r="Y583">
        <v>5.0209490000000002E-3</v>
      </c>
      <c r="Z583" s="1">
        <v>-7.0782220000000003E-5</v>
      </c>
      <c r="AA583">
        <v>0.99998739999999997</v>
      </c>
      <c r="AB583">
        <v>32</v>
      </c>
      <c r="AC583">
        <v>187.14879999999999</v>
      </c>
      <c r="AD583">
        <v>1.0685979999999999</v>
      </c>
      <c r="AE583">
        <v>-1.6820999999999899</v>
      </c>
      <c r="AF583">
        <v>0.94120726347476702</v>
      </c>
      <c r="AG583">
        <v>1.0685979999999999</v>
      </c>
      <c r="AH583">
        <v>187.14789135611301</v>
      </c>
      <c r="AI583">
        <v>89.672853830620895</v>
      </c>
      <c r="AJ583">
        <v>89.711849549574296</v>
      </c>
      <c r="AK583">
        <v>187.15330884554999</v>
      </c>
      <c r="AL583">
        <v>79.930478835384804</v>
      </c>
      <c r="AM583">
        <v>93.407871493958496</v>
      </c>
      <c r="AN583">
        <v>1.00000006347691</v>
      </c>
    </row>
    <row r="584" spans="1:40" x14ac:dyDescent="0.25">
      <c r="A584" t="str">
        <f>"20190304155326003"</f>
        <v>20190304155326003</v>
      </c>
      <c r="B584" t="str">
        <f>"1551686005996179"</f>
        <v>1551686005996179</v>
      </c>
      <c r="C584" t="s">
        <v>40</v>
      </c>
      <c r="D584">
        <v>4.2636539999999998</v>
      </c>
      <c r="E584">
        <v>0.52259880000000003</v>
      </c>
      <c r="F584" t="s">
        <v>41</v>
      </c>
      <c r="G584">
        <v>-158.19499999999999</v>
      </c>
      <c r="H584">
        <v>2.0851850000000001</v>
      </c>
      <c r="I584">
        <v>365.63060000000002</v>
      </c>
      <c r="J584">
        <v>-345.04109999999997</v>
      </c>
      <c r="K584">
        <v>1.109809</v>
      </c>
      <c r="L584">
        <v>367.28919999999999</v>
      </c>
      <c r="M584">
        <v>0.99994550000000004</v>
      </c>
      <c r="N584">
        <v>-9.6786230000000008E-3</v>
      </c>
      <c r="O584">
        <v>-3.9468070000000001E-3</v>
      </c>
      <c r="P584">
        <v>0.9847726</v>
      </c>
      <c r="Q584">
        <v>0.16506119999999999</v>
      </c>
      <c r="R584">
        <v>5.4570920000000002E-2</v>
      </c>
      <c r="S584">
        <v>3.0453190000000001</v>
      </c>
      <c r="T584">
        <v>1.5872839999999999E-2</v>
      </c>
      <c r="U584">
        <v>-2.700806E-2</v>
      </c>
      <c r="V584">
        <v>-5.8455159999999999E-2</v>
      </c>
      <c r="W584">
        <v>0.1745833</v>
      </c>
      <c r="X584">
        <v>0.98290569999999999</v>
      </c>
      <c r="Y584">
        <v>4.9219540000000001E-3</v>
      </c>
      <c r="Z584" s="1">
        <v>-6.976316E-5</v>
      </c>
      <c r="AA584">
        <v>0.99998790000000004</v>
      </c>
      <c r="AB584">
        <v>32</v>
      </c>
      <c r="AC584">
        <v>186.84610000000001</v>
      </c>
      <c r="AD584">
        <v>0.97537600000000002</v>
      </c>
      <c r="AE584">
        <v>-1.6585999999999701</v>
      </c>
      <c r="AF584">
        <v>0.92108203863897897</v>
      </c>
      <c r="AG584">
        <v>0.97537600000000002</v>
      </c>
      <c r="AH584">
        <v>186.84609979373801</v>
      </c>
      <c r="AI584">
        <v>89.700910312444705</v>
      </c>
      <c r="AJ584">
        <v>89.7175553250961</v>
      </c>
      <c r="AK584">
        <v>186.85091586233901</v>
      </c>
      <c r="AL584">
        <v>79.945590081094196</v>
      </c>
      <c r="AM584">
        <v>93.4034736893706</v>
      </c>
      <c r="AN584">
        <v>0.99999997473100199</v>
      </c>
    </row>
    <row r="585" spans="1:40" x14ac:dyDescent="0.25">
      <c r="A585" t="str">
        <f>"20190304155326025"</f>
        <v>20190304155326025</v>
      </c>
      <c r="B585" t="str">
        <f>"1551686006016675"</f>
        <v>1551686006016675</v>
      </c>
      <c r="C585" t="s">
        <v>40</v>
      </c>
      <c r="D585">
        <v>4.2631739999999896</v>
      </c>
      <c r="E585">
        <v>0.52251979999999998</v>
      </c>
      <c r="F585" t="s">
        <v>41</v>
      </c>
      <c r="G585">
        <v>-158.19499999999999</v>
      </c>
      <c r="H585">
        <v>1.988278</v>
      </c>
      <c r="I585">
        <v>365.6266</v>
      </c>
      <c r="J585">
        <v>-344.72820000000002</v>
      </c>
      <c r="K585">
        <v>1.1098079999999999</v>
      </c>
      <c r="L585">
        <v>367.28789999999998</v>
      </c>
      <c r="M585">
        <v>0.99994530000000004</v>
      </c>
      <c r="N585">
        <v>-9.6916740000000008E-3</v>
      </c>
      <c r="O585">
        <v>-3.9345959999999899E-3</v>
      </c>
      <c r="P585">
        <v>0.98477289999999995</v>
      </c>
      <c r="Q585">
        <v>0.16500919999999999</v>
      </c>
      <c r="R585">
        <v>5.4719589999999999E-2</v>
      </c>
      <c r="S585">
        <v>3.045471</v>
      </c>
      <c r="T585">
        <v>1.4319899999999899E-2</v>
      </c>
      <c r="U585">
        <v>-2.709961E-2</v>
      </c>
      <c r="V585">
        <v>-5.8591959999999998E-2</v>
      </c>
      <c r="W585">
        <v>0.174543899999999</v>
      </c>
      <c r="X585">
        <v>0.98290460000000002</v>
      </c>
      <c r="Y585">
        <v>4.9637509999999998E-3</v>
      </c>
      <c r="Z585" s="1">
        <v>-6.9017429999999996E-5</v>
      </c>
      <c r="AA585">
        <v>0.99998770000000003</v>
      </c>
      <c r="AB585">
        <v>32</v>
      </c>
      <c r="AC585">
        <v>186.53319999999999</v>
      </c>
      <c r="AD585">
        <v>0.87846999999999997</v>
      </c>
      <c r="AE585">
        <v>-1.66129999999998</v>
      </c>
      <c r="AF585">
        <v>0.92729932547224503</v>
      </c>
      <c r="AG585">
        <v>0.87846999999999997</v>
      </c>
      <c r="AH585">
        <v>186.534156036235</v>
      </c>
      <c r="AI585">
        <v>89.730174727824902</v>
      </c>
      <c r="AJ585">
        <v>89.715173343248793</v>
      </c>
      <c r="AK585">
        <v>186.53852942952699</v>
      </c>
      <c r="AL585">
        <v>79.947883214101097</v>
      </c>
      <c r="AM585">
        <v>93.411423706531096</v>
      </c>
      <c r="AN585">
        <v>1.0000000217525</v>
      </c>
    </row>
    <row r="586" spans="1:40" x14ac:dyDescent="0.25">
      <c r="A586" t="str">
        <f>"20190304155326049"</f>
        <v>20190304155326049</v>
      </c>
      <c r="B586" t="str">
        <f>"1551686006045956"</f>
        <v>1551686006045956</v>
      </c>
      <c r="C586" t="s">
        <v>40</v>
      </c>
      <c r="D586">
        <v>4.277031</v>
      </c>
      <c r="E586">
        <v>0.52244399999999902</v>
      </c>
      <c r="F586" t="s">
        <v>41</v>
      </c>
      <c r="G586">
        <v>-158.19499999999999</v>
      </c>
      <c r="H586">
        <v>1.9187669999999999</v>
      </c>
      <c r="I586">
        <v>365.71409999999997</v>
      </c>
      <c r="J586">
        <v>-344.38929999999999</v>
      </c>
      <c r="K586">
        <v>1.109809</v>
      </c>
      <c r="L586">
        <v>367.28660000000002</v>
      </c>
      <c r="M586">
        <v>0.99994530000000004</v>
      </c>
      <c r="N586">
        <v>-9.7057580000000001E-3</v>
      </c>
      <c r="O586">
        <v>-3.9216729999999997E-3</v>
      </c>
      <c r="P586">
        <v>0.98482179999999997</v>
      </c>
      <c r="Q586">
        <v>0.16467979999999999</v>
      </c>
      <c r="R586">
        <v>5.4833260000000002E-2</v>
      </c>
      <c r="S586">
        <v>3.0455930000000002</v>
      </c>
      <c r="T586">
        <v>1.320958E-2</v>
      </c>
      <c r="U586">
        <v>-2.5695800000000001E-2</v>
      </c>
      <c r="V586">
        <v>-5.8692759999999997E-2</v>
      </c>
      <c r="W586">
        <v>0.174229299999999</v>
      </c>
      <c r="X586">
        <v>0.98295440000000001</v>
      </c>
      <c r="Y586">
        <v>4.5153989999999998E-3</v>
      </c>
      <c r="Z586" s="1">
        <v>-6.7192980000000004E-5</v>
      </c>
      <c r="AA586">
        <v>0.99998980000000004</v>
      </c>
      <c r="AB586">
        <v>32</v>
      </c>
      <c r="AC586">
        <v>186.1943</v>
      </c>
      <c r="AD586">
        <v>0.80895799999999896</v>
      </c>
      <c r="AE586">
        <v>-1.57250000000004</v>
      </c>
      <c r="AF586">
        <v>0.84224452231050995</v>
      </c>
      <c r="AG586">
        <v>0.80895799999999896</v>
      </c>
      <c r="AH586">
        <v>186.195520740614</v>
      </c>
      <c r="AI586">
        <v>89.751072887209205</v>
      </c>
      <c r="AJ586">
        <v>89.740827668029297</v>
      </c>
      <c r="AK586">
        <v>186.19918295403301</v>
      </c>
      <c r="AL586">
        <v>79.966188950144399</v>
      </c>
      <c r="AM586">
        <v>93.417106008516797</v>
      </c>
      <c r="AN586">
        <v>1.00000002076713</v>
      </c>
    </row>
    <row r="587" spans="1:40" x14ac:dyDescent="0.25">
      <c r="A587" t="str">
        <f>"20190304155326070"</f>
        <v>20190304155326070</v>
      </c>
      <c r="B587" t="str">
        <f>"1551686006066451"</f>
        <v>1551686006066451</v>
      </c>
      <c r="C587" t="s">
        <v>40</v>
      </c>
      <c r="D587">
        <v>4.2955110000000003</v>
      </c>
      <c r="E587">
        <v>0.52939159999999996</v>
      </c>
      <c r="F587" t="s">
        <v>41</v>
      </c>
      <c r="G587">
        <v>-158.19499999999999</v>
      </c>
      <c r="H587">
        <v>1.7852939999999999</v>
      </c>
      <c r="I587">
        <v>365.7475</v>
      </c>
      <c r="J587">
        <v>-344.0915</v>
      </c>
      <c r="K587">
        <v>1.1098140000000001</v>
      </c>
      <c r="L587">
        <v>367.28550000000001</v>
      </c>
      <c r="M587">
        <v>0.99994519999999998</v>
      </c>
      <c r="N587">
        <v>-9.7181400000000001E-3</v>
      </c>
      <c r="O587">
        <v>-3.9105260000000001E-3</v>
      </c>
      <c r="P587">
        <v>0.98487069999999999</v>
      </c>
      <c r="Q587">
        <v>0.1643966</v>
      </c>
      <c r="R587">
        <v>5.4804060000000002E-2</v>
      </c>
      <c r="S587">
        <v>3.0457459999999998</v>
      </c>
      <c r="T587">
        <v>1.105094E-2</v>
      </c>
      <c r="U587">
        <v>-2.5177000000000001E-2</v>
      </c>
      <c r="V587">
        <v>-5.8652959999999997E-2</v>
      </c>
      <c r="W587">
        <v>0.1739588</v>
      </c>
      <c r="X587">
        <v>0.98300460000000001</v>
      </c>
      <c r="Y587">
        <v>4.3557600000000002E-3</v>
      </c>
      <c r="Z587" s="1">
        <v>-6.5455109999999997E-5</v>
      </c>
      <c r="AA587">
        <v>0.9999905</v>
      </c>
      <c r="AB587">
        <v>32</v>
      </c>
      <c r="AC587">
        <v>185.8965</v>
      </c>
      <c r="AD587">
        <v>0.67547999999999997</v>
      </c>
      <c r="AE587">
        <v>-1.53800000000001</v>
      </c>
      <c r="AF587">
        <v>0.81099015555774201</v>
      </c>
      <c r="AG587">
        <v>0.67547999999999997</v>
      </c>
      <c r="AH587">
        <v>185.898638840708</v>
      </c>
      <c r="AI587">
        <v>89.791813351699105</v>
      </c>
      <c r="AJ587">
        <v>89.750046484176394</v>
      </c>
      <c r="AK587">
        <v>185.90163501457101</v>
      </c>
      <c r="AL587">
        <v>79.981926975365496</v>
      </c>
      <c r="AM587">
        <v>93.414620354679002</v>
      </c>
      <c r="AN587">
        <v>0.999999938717679</v>
      </c>
    </row>
    <row r="588" spans="1:40" x14ac:dyDescent="0.25">
      <c r="A588" t="str">
        <f>"20190304155326094"</f>
        <v>20190304155326094</v>
      </c>
      <c r="B588" t="str">
        <f>"1551686006085972"</f>
        <v>1551686006085972</v>
      </c>
      <c r="C588" t="s">
        <v>40</v>
      </c>
      <c r="D588">
        <v>4.2608319999999997</v>
      </c>
      <c r="E588">
        <v>0.52201769999999903</v>
      </c>
      <c r="F588" t="s">
        <v>41</v>
      </c>
      <c r="G588">
        <v>-158.19499999999999</v>
      </c>
      <c r="H588">
        <v>5.7630619999999997</v>
      </c>
      <c r="I588">
        <v>362.45229999999998</v>
      </c>
      <c r="J588">
        <v>-343.75330000000002</v>
      </c>
      <c r="K588">
        <v>1.1098129999999999</v>
      </c>
      <c r="L588">
        <v>367.28410000000002</v>
      </c>
      <c r="M588">
        <v>0.99994519999999998</v>
      </c>
      <c r="N588">
        <v>-9.7321309999999998E-3</v>
      </c>
      <c r="O588">
        <v>-3.8980740000000001E-3</v>
      </c>
      <c r="P588">
        <v>0.98485730000000005</v>
      </c>
      <c r="Q588">
        <v>0.16458680000000001</v>
      </c>
      <c r="R588">
        <v>5.4473870000000001E-2</v>
      </c>
      <c r="S588">
        <v>3.03775</v>
      </c>
      <c r="T588">
        <v>7.6040510000000006E-2</v>
      </c>
      <c r="U588">
        <v>-7.8979489999999999E-2</v>
      </c>
      <c r="V588">
        <v>-5.8310529999999999E-2</v>
      </c>
      <c r="W588">
        <v>0.17416219999999999</v>
      </c>
      <c r="X588">
        <v>0.982989</v>
      </c>
      <c r="Y588">
        <v>2.209154E-2</v>
      </c>
      <c r="Z588" s="1">
        <v>3.341E-5</v>
      </c>
      <c r="AA588">
        <v>0.99975599999999998</v>
      </c>
      <c r="AB588">
        <v>32</v>
      </c>
      <c r="AC588">
        <v>185.5583</v>
      </c>
      <c r="AD588">
        <v>4.6532489999999997</v>
      </c>
      <c r="AE588">
        <v>-4.8318000000000403</v>
      </c>
      <c r="AF588">
        <v>4.10582892902059</v>
      </c>
      <c r="AG588">
        <v>4.6532489999999997</v>
      </c>
      <c r="AH588">
        <v>185.45917743256601</v>
      </c>
      <c r="AI588">
        <v>88.563078215807195</v>
      </c>
      <c r="AJ588">
        <v>88.731751912599293</v>
      </c>
      <c r="AK588">
        <v>185.562973277037</v>
      </c>
      <c r="AL588">
        <v>79.970092795434795</v>
      </c>
      <c r="AM588">
        <v>93.394785491831001</v>
      </c>
      <c r="AN588">
        <v>0.99999998196936002</v>
      </c>
    </row>
    <row r="589" spans="1:40" x14ac:dyDescent="0.25">
      <c r="A589" t="str">
        <f>"20190304155326115"</f>
        <v>20190304155326115</v>
      </c>
      <c r="B589" t="str">
        <f>"1551686006106467"</f>
        <v>1551686006106467</v>
      </c>
      <c r="C589" t="s">
        <v>40</v>
      </c>
      <c r="D589">
        <v>4.2735099999999999</v>
      </c>
      <c r="E589">
        <v>0.52172429999999903</v>
      </c>
      <c r="F589" t="s">
        <v>41</v>
      </c>
      <c r="G589">
        <v>-158.19499999999999</v>
      </c>
      <c r="H589">
        <v>1.29827</v>
      </c>
      <c r="I589">
        <v>365.91070000000002</v>
      </c>
      <c r="J589">
        <v>-343.44929999999999</v>
      </c>
      <c r="K589">
        <v>1.109812</v>
      </c>
      <c r="L589">
        <v>367.28300000000002</v>
      </c>
      <c r="M589">
        <v>0.99994499999999997</v>
      </c>
      <c r="N589">
        <v>-9.7445899999999992E-3</v>
      </c>
      <c r="O589">
        <v>-3.8871660000000001E-3</v>
      </c>
      <c r="P589">
        <v>0.98479799999999995</v>
      </c>
      <c r="Q589">
        <v>0.1649796</v>
      </c>
      <c r="R589">
        <v>5.4357599999999999E-2</v>
      </c>
      <c r="S589">
        <v>3.0468440000000001</v>
      </c>
      <c r="T589">
        <v>3.0958650000000002E-3</v>
      </c>
      <c r="U589">
        <v>-2.2552490000000001E-2</v>
      </c>
      <c r="V589">
        <v>-5.818301E-2</v>
      </c>
      <c r="W589">
        <v>0.17456740000000001</v>
      </c>
      <c r="X589">
        <v>0.98292469999999998</v>
      </c>
      <c r="Y589">
        <v>3.5146560000000001E-3</v>
      </c>
      <c r="Z589" s="1">
        <v>-5.7168420000000001E-5</v>
      </c>
      <c r="AA589">
        <v>0.99999380000000004</v>
      </c>
      <c r="AB589">
        <v>32</v>
      </c>
      <c r="AC589">
        <v>185.2543</v>
      </c>
      <c r="AD589">
        <v>0.18845799999999999</v>
      </c>
      <c r="AE589">
        <v>-1.3722999999999901</v>
      </c>
      <c r="AF589">
        <v>0.65214057290171301</v>
      </c>
      <c r="AG589">
        <v>0.18845799999999999</v>
      </c>
      <c r="AH589">
        <v>185.258043160689</v>
      </c>
      <c r="AI589">
        <v>89.941714933366399</v>
      </c>
      <c r="AJ589">
        <v>89.798309711670896</v>
      </c>
      <c r="AK589">
        <v>185.25928683731999</v>
      </c>
      <c r="AL589">
        <v>79.946515577171596</v>
      </c>
      <c r="AM589">
        <v>93.387599777062704</v>
      </c>
      <c r="AN589">
        <v>1.00000000283275</v>
      </c>
    </row>
    <row r="590" spans="1:40" x14ac:dyDescent="0.25">
      <c r="A590" t="str">
        <f>"20190304155326137"</f>
        <v>20190304155326137</v>
      </c>
      <c r="B590" t="str">
        <f>"1551686006125988"</f>
        <v>1551686006125988</v>
      </c>
      <c r="C590" t="s">
        <v>40</v>
      </c>
      <c r="D590">
        <v>4.2919419999999997</v>
      </c>
      <c r="E590">
        <v>0.52157259999999905</v>
      </c>
      <c r="F590" t="s">
        <v>41</v>
      </c>
      <c r="G590">
        <v>-158.19499999999999</v>
      </c>
      <c r="H590">
        <v>1.265998</v>
      </c>
      <c r="I590">
        <v>366.04169999999999</v>
      </c>
      <c r="J590">
        <v>-343.12880000000001</v>
      </c>
      <c r="K590">
        <v>1.10981</v>
      </c>
      <c r="L590">
        <v>367.2817</v>
      </c>
      <c r="M590">
        <v>0.99994499999999997</v>
      </c>
      <c r="N590">
        <v>-9.7576959999999997E-3</v>
      </c>
      <c r="O590">
        <v>-3.8757850000000001E-3</v>
      </c>
      <c r="P590">
        <v>0.98480670000000003</v>
      </c>
      <c r="Q590">
        <v>0.16488349999999999</v>
      </c>
      <c r="R590">
        <v>5.449408E-2</v>
      </c>
      <c r="S590">
        <v>3.0469360000000001</v>
      </c>
      <c r="T590">
        <v>2.5702709999999998E-3</v>
      </c>
      <c r="U590">
        <v>-2.0416259999999999E-2</v>
      </c>
      <c r="V590">
        <v>-5.8308569999999997E-2</v>
      </c>
      <c r="W590">
        <v>0.17448379999999999</v>
      </c>
      <c r="X590">
        <v>0.98293209999999998</v>
      </c>
      <c r="Y590">
        <v>2.8247329999999998E-3</v>
      </c>
      <c r="Z590" s="1">
        <v>-5.3679199999999999E-5</v>
      </c>
      <c r="AA590">
        <v>0.999996</v>
      </c>
      <c r="AB590">
        <v>32</v>
      </c>
      <c r="AC590">
        <v>184.93379999999999</v>
      </c>
      <c r="AD590">
        <v>0.15618799999999999</v>
      </c>
      <c r="AE590">
        <v>-1.24</v>
      </c>
      <c r="AF590">
        <v>0.52319262458555305</v>
      </c>
      <c r="AG590">
        <v>0.15618799999999999</v>
      </c>
      <c r="AH590">
        <v>184.937085146779</v>
      </c>
      <c r="AI590">
        <v>89.951611245169303</v>
      </c>
      <c r="AJ590">
        <v>89.837908933918399</v>
      </c>
      <c r="AK590">
        <v>184.937891162954</v>
      </c>
      <c r="AL590">
        <v>79.951380129095696</v>
      </c>
      <c r="AM590">
        <v>93.394867700537304</v>
      </c>
      <c r="AN590">
        <v>0.99999999950414697</v>
      </c>
    </row>
    <row r="591" spans="1:40" x14ac:dyDescent="0.25">
      <c r="A591" t="str">
        <f>"20190304155326160"</f>
        <v>20190304155326160</v>
      </c>
      <c r="B591" t="str">
        <f>"1551686006156244"</f>
        <v>1551686006156244</v>
      </c>
      <c r="C591" t="s">
        <v>40</v>
      </c>
      <c r="D591">
        <v>4.2985629999999997</v>
      </c>
      <c r="E591">
        <v>0.52135129999999996</v>
      </c>
      <c r="F591" t="s">
        <v>41</v>
      </c>
      <c r="G591">
        <v>-158.19499999999999</v>
      </c>
      <c r="H591">
        <v>1.253822</v>
      </c>
      <c r="I591">
        <v>366.11849999999998</v>
      </c>
      <c r="J591">
        <v>-342.81560000000002</v>
      </c>
      <c r="K591">
        <v>1.1098129999999999</v>
      </c>
      <c r="L591">
        <v>367.28050000000002</v>
      </c>
      <c r="M591">
        <v>0.99994499999999997</v>
      </c>
      <c r="N591">
        <v>-9.7704720000000005E-3</v>
      </c>
      <c r="O591">
        <v>-3.864522E-3</v>
      </c>
      <c r="P591">
        <v>0.98484740000000004</v>
      </c>
      <c r="Q591">
        <v>0.1647256</v>
      </c>
      <c r="R591">
        <v>5.4233490000000002E-2</v>
      </c>
      <c r="S591">
        <v>3.046967</v>
      </c>
      <c r="T591">
        <v>2.3741719999999999E-3</v>
      </c>
      <c r="U591">
        <v>-1.9165040000000001E-2</v>
      </c>
      <c r="V591">
        <v>-5.8036820000000003E-2</v>
      </c>
      <c r="W591">
        <v>0.1743392</v>
      </c>
      <c r="X591">
        <v>0.98297389999999996</v>
      </c>
      <c r="Y591">
        <v>2.4252980000000002E-3</v>
      </c>
      <c r="Z591" s="1">
        <v>-5.1673640000000002E-5</v>
      </c>
      <c r="AA591">
        <v>0.99999709999999997</v>
      </c>
      <c r="AB591">
        <v>32</v>
      </c>
      <c r="AC591">
        <v>184.6206</v>
      </c>
      <c r="AD591">
        <v>0.144009</v>
      </c>
      <c r="AE591">
        <v>-1.1620000000000299</v>
      </c>
      <c r="AF591">
        <v>0.44848676442333801</v>
      </c>
      <c r="AG591">
        <v>0.144009</v>
      </c>
      <c r="AH591">
        <v>184.62359971259301</v>
      </c>
      <c r="AI591">
        <v>89.955308628438402</v>
      </c>
      <c r="AJ591">
        <v>89.860817640516203</v>
      </c>
      <c r="AK591">
        <v>184.62420060708601</v>
      </c>
      <c r="AL591">
        <v>79.959794659934104</v>
      </c>
      <c r="AM591">
        <v>93.378939138744101</v>
      </c>
      <c r="AN591">
        <v>1.0000000586067701</v>
      </c>
    </row>
    <row r="592" spans="1:40" x14ac:dyDescent="0.25">
      <c r="A592" t="str">
        <f>"20190304155326183"</f>
        <v>20190304155326183</v>
      </c>
      <c r="B592" t="str">
        <f>"1551686006176739"</f>
        <v>1551686006176739</v>
      </c>
      <c r="C592" t="s">
        <v>40</v>
      </c>
      <c r="D592">
        <v>4.2962730000000002</v>
      </c>
      <c r="E592">
        <v>0.52119870000000001</v>
      </c>
      <c r="F592" t="s">
        <v>41</v>
      </c>
      <c r="G592">
        <v>-158.19499999999999</v>
      </c>
      <c r="H592">
        <v>1.180051</v>
      </c>
      <c r="I592">
        <v>366.20069999999998</v>
      </c>
      <c r="J592">
        <v>-342.47699999999998</v>
      </c>
      <c r="K592">
        <v>1.1098220000000001</v>
      </c>
      <c r="L592">
        <v>367.2792</v>
      </c>
      <c r="M592">
        <v>0.99994470000000002</v>
      </c>
      <c r="N592">
        <v>-9.7841990000000004E-3</v>
      </c>
      <c r="O592">
        <v>-3.8527840000000002E-3</v>
      </c>
      <c r="P592">
        <v>0.98483189999999998</v>
      </c>
      <c r="Q592">
        <v>0.16487389999999999</v>
      </c>
      <c r="R592">
        <v>5.406358E-2</v>
      </c>
      <c r="S592">
        <v>3.0469360000000001</v>
      </c>
      <c r="T592">
        <v>1.160622E-3</v>
      </c>
      <c r="U592">
        <v>-1.7822270000000001E-2</v>
      </c>
      <c r="V592">
        <v>-5.7855620000000003E-2</v>
      </c>
      <c r="W592">
        <v>0.17450070000000001</v>
      </c>
      <c r="X592">
        <v>0.98295589999999999</v>
      </c>
      <c r="Y592">
        <v>1.9963989999999998E-3</v>
      </c>
      <c r="Z592" s="1">
        <v>-4.8551360000000001E-5</v>
      </c>
      <c r="AA592">
        <v>0.99999800000000005</v>
      </c>
      <c r="AB592">
        <v>32</v>
      </c>
      <c r="AC592">
        <v>184.28200000000001</v>
      </c>
      <c r="AD592">
        <v>7.0229000000000097E-2</v>
      </c>
      <c r="AE592">
        <v>-1.07850000000001</v>
      </c>
      <c r="AF592">
        <v>0.36845920531271298</v>
      </c>
      <c r="AG592">
        <v>7.0229000000000097E-2</v>
      </c>
      <c r="AH592">
        <v>184.28476079112201</v>
      </c>
      <c r="AI592">
        <v>89.978165220799795</v>
      </c>
      <c r="AJ592">
        <v>89.885442891939405</v>
      </c>
      <c r="AK592">
        <v>184.285142521419</v>
      </c>
      <c r="AL592">
        <v>79.950397096218396</v>
      </c>
      <c r="AM592">
        <v>93.368475433826603</v>
      </c>
      <c r="AN592">
        <v>1.00000003420544</v>
      </c>
    </row>
    <row r="593" spans="1:40" x14ac:dyDescent="0.25">
      <c r="A593" t="str">
        <f>"20190304155326205"</f>
        <v>20190304155326205</v>
      </c>
      <c r="B593" t="str">
        <f>"1551686006196260"</f>
        <v>1551686006196260</v>
      </c>
      <c r="C593" t="s">
        <v>40</v>
      </c>
      <c r="D593">
        <v>4.2883809999999896</v>
      </c>
      <c r="E593">
        <v>0.52097340000000003</v>
      </c>
      <c r="F593" t="s">
        <v>41</v>
      </c>
      <c r="G593">
        <v>-158.19499999999999</v>
      </c>
      <c r="H593">
        <v>1.2062489999999999</v>
      </c>
      <c r="I593">
        <v>366.26589999999999</v>
      </c>
      <c r="J593">
        <v>-342.16079999999999</v>
      </c>
      <c r="K593">
        <v>1.1098209999999999</v>
      </c>
      <c r="L593">
        <v>367.27800000000002</v>
      </c>
      <c r="M593">
        <v>0.99994459999999996</v>
      </c>
      <c r="N593">
        <v>-9.7969730000000005E-3</v>
      </c>
      <c r="O593">
        <v>-3.8411640000000002E-3</v>
      </c>
      <c r="P593">
        <v>0.98494190000000004</v>
      </c>
      <c r="Q593">
        <v>0.16430310000000001</v>
      </c>
      <c r="R593">
        <v>5.3796499999999997E-2</v>
      </c>
      <c r="S593">
        <v>3.0468440000000001</v>
      </c>
      <c r="T593">
        <v>1.5957359999999999E-3</v>
      </c>
      <c r="U593">
        <v>-1.6754149999999999E-2</v>
      </c>
      <c r="V593">
        <v>-5.7577349999999999E-2</v>
      </c>
      <c r="W593">
        <v>0.1739434</v>
      </c>
      <c r="X593">
        <v>0.98307100000000003</v>
      </c>
      <c r="Y593">
        <v>1.6576479999999901E-3</v>
      </c>
      <c r="Z593" s="1">
        <v>-4.7330380000000002E-5</v>
      </c>
      <c r="AA593">
        <v>0.99999859999999896</v>
      </c>
      <c r="AB593">
        <v>32</v>
      </c>
      <c r="AC593">
        <v>183.9658</v>
      </c>
      <c r="AD593">
        <v>9.6427999999999903E-2</v>
      </c>
      <c r="AE593">
        <v>-1.01210000000003</v>
      </c>
      <c r="AF593">
        <v>0.30541570434276799</v>
      </c>
      <c r="AG593">
        <v>9.6427999999999903E-2</v>
      </c>
      <c r="AH593">
        <v>183.96827998485699</v>
      </c>
      <c r="AI593">
        <v>89.969968141748396</v>
      </c>
      <c r="AJ593">
        <v>89.904880260983603</v>
      </c>
      <c r="AK593">
        <v>183.968558774858</v>
      </c>
      <c r="AL593">
        <v>79.982823857344897</v>
      </c>
      <c r="AM593">
        <v>93.351919409226895</v>
      </c>
      <c r="AN593">
        <v>1.0000000243387901</v>
      </c>
    </row>
    <row r="594" spans="1:40" x14ac:dyDescent="0.25">
      <c r="A594" t="str">
        <f>"20190304155326227"</f>
        <v>20190304155326227</v>
      </c>
      <c r="B594" t="str">
        <f>"1551686006216759"</f>
        <v>1551686006216759</v>
      </c>
      <c r="C594" t="s">
        <v>40</v>
      </c>
      <c r="D594">
        <v>4.3168980000000001</v>
      </c>
      <c r="E594">
        <v>0.5208429</v>
      </c>
      <c r="F594" t="s">
        <v>41</v>
      </c>
      <c r="G594">
        <v>-158.19499999999999</v>
      </c>
      <c r="H594">
        <v>1.0143180000000001</v>
      </c>
      <c r="I594">
        <v>366.28859999999997</v>
      </c>
      <c r="J594">
        <v>-341.84629999999999</v>
      </c>
      <c r="K594">
        <v>1.1098190000000001</v>
      </c>
      <c r="L594">
        <v>367.27679999999998</v>
      </c>
      <c r="M594">
        <v>0.99994459999999996</v>
      </c>
      <c r="N594">
        <v>-9.8096299999999997E-3</v>
      </c>
      <c r="O594">
        <v>-3.8299010000000001E-3</v>
      </c>
      <c r="P594">
        <v>0.98497129999999999</v>
      </c>
      <c r="Q594">
        <v>0.1639227</v>
      </c>
      <c r="R594">
        <v>5.441679E-2</v>
      </c>
      <c r="S594">
        <v>3.0470280000000001</v>
      </c>
      <c r="T594">
        <v>-1.58035799999999E-3</v>
      </c>
      <c r="U594">
        <v>-1.638794E-2</v>
      </c>
      <c r="V594">
        <v>-5.8186799999999997E-2</v>
      </c>
      <c r="W594">
        <v>0.1735756</v>
      </c>
      <c r="X594">
        <v>0.98310010000000003</v>
      </c>
      <c r="Y594">
        <v>1.5483509999999999E-3</v>
      </c>
      <c r="Z594" s="1">
        <v>-4.3580530000000003E-5</v>
      </c>
      <c r="AA594">
        <v>0.99999879999999997</v>
      </c>
      <c r="AB594">
        <v>32</v>
      </c>
      <c r="AC594">
        <v>183.65129999999999</v>
      </c>
      <c r="AD594">
        <v>-9.5501000000000003E-2</v>
      </c>
      <c r="AE594">
        <v>-0.98820000000000596</v>
      </c>
      <c r="AF594">
        <v>0.28479256790431501</v>
      </c>
      <c r="AG594">
        <v>-9.5501000000000003E-2</v>
      </c>
      <c r="AH594">
        <v>183.65368818308099</v>
      </c>
      <c r="AI594">
        <v>90.029794104443198</v>
      </c>
      <c r="AJ594">
        <v>89.911151258329397</v>
      </c>
      <c r="AK594">
        <v>183.65393382799101</v>
      </c>
      <c r="AL594">
        <v>80.004222512610994</v>
      </c>
      <c r="AM594">
        <v>93.387216897853705</v>
      </c>
      <c r="AN594">
        <v>0.99999999961480401</v>
      </c>
    </row>
    <row r="595" spans="1:40" x14ac:dyDescent="0.25">
      <c r="A595" t="str">
        <f>"20190304155326247"</f>
        <v>20190304155326247</v>
      </c>
      <c r="B595" t="str">
        <f>"1551686006246036"</f>
        <v>1551686006246036</v>
      </c>
      <c r="C595" t="s">
        <v>40</v>
      </c>
      <c r="D595">
        <v>4.3262109999999998</v>
      </c>
      <c r="E595">
        <v>0.5207309</v>
      </c>
      <c r="F595" t="s">
        <v>41</v>
      </c>
      <c r="G595">
        <v>-158.19499999999999</v>
      </c>
      <c r="H595">
        <v>0.9134314</v>
      </c>
      <c r="I595">
        <v>366.4547</v>
      </c>
      <c r="J595">
        <v>-341.5412</v>
      </c>
      <c r="K595">
        <v>1.10982</v>
      </c>
      <c r="L595">
        <v>367.27569999999997</v>
      </c>
      <c r="M595">
        <v>0.99994450000000001</v>
      </c>
      <c r="N595">
        <v>-9.8218899999999998E-3</v>
      </c>
      <c r="O595">
        <v>-3.8188749999999998E-3</v>
      </c>
      <c r="P595">
        <v>0.98500319999999997</v>
      </c>
      <c r="Q595">
        <v>0.16376099999999999</v>
      </c>
      <c r="R595">
        <v>5.432538E-2</v>
      </c>
      <c r="S595">
        <v>3.0470579999999998</v>
      </c>
      <c r="T595">
        <v>-3.2569169999999998E-3</v>
      </c>
      <c r="U595">
        <v>-1.364136E-2</v>
      </c>
      <c r="V595">
        <v>-5.8084759999999999E-2</v>
      </c>
      <c r="W595">
        <v>0.17342630000000001</v>
      </c>
      <c r="X595">
        <v>0.98313249999999996</v>
      </c>
      <c r="Y595">
        <v>6.5793869999999997E-4</v>
      </c>
      <c r="Z595" s="1">
        <v>-3.7010500000000001E-5</v>
      </c>
      <c r="AA595">
        <v>0.99999979999999999</v>
      </c>
      <c r="AB595">
        <v>32</v>
      </c>
      <c r="AC595">
        <v>183.34620000000001</v>
      </c>
      <c r="AD595">
        <v>-0.1963886</v>
      </c>
      <c r="AE595">
        <v>-0.82099999999996898</v>
      </c>
      <c r="AF595">
        <v>0.120783899121555</v>
      </c>
      <c r="AG595">
        <v>-0.1963886</v>
      </c>
      <c r="AH595">
        <v>183.34778801463</v>
      </c>
      <c r="AI595">
        <v>90.061370967719</v>
      </c>
      <c r="AJ595">
        <v>89.962255303286497</v>
      </c>
      <c r="AK595">
        <v>183.34793297741399</v>
      </c>
      <c r="AL595">
        <v>80.012908679426502</v>
      </c>
      <c r="AM595">
        <v>93.381179482395297</v>
      </c>
      <c r="AN595">
        <v>1.0000000167160901</v>
      </c>
    </row>
    <row r="596" spans="1:40" x14ac:dyDescent="0.25">
      <c r="A596" t="str">
        <f>"20190304155326271"</f>
        <v>20190304155326271</v>
      </c>
      <c r="B596" t="str">
        <f>"1551686006266533"</f>
        <v>1551686006266533</v>
      </c>
      <c r="C596" t="s">
        <v>40</v>
      </c>
      <c r="D596">
        <v>4.3371180000000003</v>
      </c>
      <c r="E596">
        <v>0.52060660000000003</v>
      </c>
      <c r="F596" t="s">
        <v>41</v>
      </c>
      <c r="G596">
        <v>-158.19499999999999</v>
      </c>
      <c r="H596">
        <v>0.76341769999999998</v>
      </c>
      <c r="I596">
        <v>366.50630000000001</v>
      </c>
      <c r="J596">
        <v>-341.20609999999999</v>
      </c>
      <c r="K596">
        <v>1.1098190000000001</v>
      </c>
      <c r="L596">
        <v>367.27440000000001</v>
      </c>
      <c r="M596">
        <v>0.99994450000000001</v>
      </c>
      <c r="N596">
        <v>-9.8354159999999996E-3</v>
      </c>
      <c r="O596">
        <v>-3.8065439999999998E-3</v>
      </c>
      <c r="P596">
        <v>0.98497120000000005</v>
      </c>
      <c r="Q596">
        <v>0.16363</v>
      </c>
      <c r="R596">
        <v>5.5292939999999999E-2</v>
      </c>
      <c r="S596">
        <v>3.0473629999999998</v>
      </c>
      <c r="T596">
        <v>-5.7560210000000001E-3</v>
      </c>
      <c r="U596">
        <v>-1.2786870000000001E-2</v>
      </c>
      <c r="V596">
        <v>-5.9039979999999999E-2</v>
      </c>
      <c r="W596">
        <v>0.1733085</v>
      </c>
      <c r="X596">
        <v>0.98309639999999998</v>
      </c>
      <c r="Y596">
        <v>3.8939619999999998E-4</v>
      </c>
      <c r="Z596" s="1">
        <v>-3.2532790000000001E-5</v>
      </c>
      <c r="AA596">
        <v>0.99999990000000005</v>
      </c>
      <c r="AB596">
        <v>32</v>
      </c>
      <c r="AC596">
        <v>183.0111</v>
      </c>
      <c r="AD596">
        <v>-0.34640130000000002</v>
      </c>
      <c r="AE596">
        <v>-0.768100000000004</v>
      </c>
      <c r="AF596">
        <v>7.1420756342722699E-2</v>
      </c>
      <c r="AG596">
        <v>-0.34640130000000002</v>
      </c>
      <c r="AH596">
        <v>183.012042263518</v>
      </c>
      <c r="AI596">
        <v>90.108448094722803</v>
      </c>
      <c r="AJ596">
        <v>89.977640227114406</v>
      </c>
      <c r="AK596">
        <v>183.01238402973999</v>
      </c>
      <c r="AL596">
        <v>80.0197621695024</v>
      </c>
      <c r="AM596">
        <v>93.436777615596398</v>
      </c>
      <c r="AN596">
        <v>1.0000000435517999</v>
      </c>
    </row>
    <row r="597" spans="1:40" x14ac:dyDescent="0.25">
      <c r="A597" t="str">
        <f>"20190304155326294"</f>
        <v>20190304155326294</v>
      </c>
      <c r="B597" t="str">
        <f>"1551686006286052"</f>
        <v>1551686006286052</v>
      </c>
      <c r="C597" t="s">
        <v>40</v>
      </c>
      <c r="D597">
        <v>4.3299729999999998</v>
      </c>
      <c r="E597">
        <v>0.52059089999999997</v>
      </c>
      <c r="F597" t="s">
        <v>41</v>
      </c>
      <c r="G597">
        <v>-158.19499999999999</v>
      </c>
      <c r="H597">
        <v>0.69154740000000003</v>
      </c>
      <c r="I597">
        <v>366.72820000000002</v>
      </c>
      <c r="J597">
        <v>-340.8759</v>
      </c>
      <c r="K597">
        <v>1.1098140000000001</v>
      </c>
      <c r="L597">
        <v>367.2731</v>
      </c>
      <c r="M597">
        <v>0.99994430000000001</v>
      </c>
      <c r="N597">
        <v>-9.8487680000000008E-3</v>
      </c>
      <c r="O597">
        <v>-3.7944490000000001E-3</v>
      </c>
      <c r="P597">
        <v>0.98498699999999995</v>
      </c>
      <c r="Q597">
        <v>0.1632576</v>
      </c>
      <c r="R597">
        <v>5.6104319999999999E-2</v>
      </c>
      <c r="S597">
        <v>3.0474549999999998</v>
      </c>
      <c r="T597">
        <v>-6.9634909999999996E-3</v>
      </c>
      <c r="U597">
        <v>-9.0942379999999993E-3</v>
      </c>
      <c r="V597">
        <v>-5.983977E-2</v>
      </c>
      <c r="W597">
        <v>0.1729492</v>
      </c>
      <c r="X597">
        <v>0.98311130000000002</v>
      </c>
      <c r="Y597">
        <v>-8.1032369999999997E-4</v>
      </c>
      <c r="Z597" s="1">
        <v>-2.378515E-5</v>
      </c>
      <c r="AA597">
        <v>0.99999959999999999</v>
      </c>
      <c r="AB597">
        <v>32</v>
      </c>
      <c r="AC597">
        <v>182.68090000000001</v>
      </c>
      <c r="AD597">
        <v>-0.41826659999999899</v>
      </c>
      <c r="AE597">
        <v>-0.54489999999998395</v>
      </c>
      <c r="AF597">
        <v>-0.14831012496113399</v>
      </c>
      <c r="AG597">
        <v>-0.41826659999999899</v>
      </c>
      <c r="AH597">
        <v>182.68069480320199</v>
      </c>
      <c r="AI597">
        <v>90.131184420677499</v>
      </c>
      <c r="AJ597">
        <v>90.046515820194003</v>
      </c>
      <c r="AK597">
        <v>182.68123383813301</v>
      </c>
      <c r="AL597">
        <v>80.040664003331102</v>
      </c>
      <c r="AM597">
        <v>93.483167684257893</v>
      </c>
      <c r="AN597">
        <v>1.00000002602099</v>
      </c>
    </row>
    <row r="598" spans="1:40" x14ac:dyDescent="0.25">
      <c r="A598" t="str">
        <f>"20190304155326316"</f>
        <v>20190304155326316</v>
      </c>
      <c r="B598" t="str">
        <f>"1551686006306548"</f>
        <v>1551686006306548</v>
      </c>
      <c r="C598" t="s">
        <v>40</v>
      </c>
      <c r="D598">
        <v>4.2954160000000003</v>
      </c>
      <c r="E598">
        <v>0.52054259999999997</v>
      </c>
      <c r="F598" t="s">
        <v>41</v>
      </c>
      <c r="G598">
        <v>-158.19499999999999</v>
      </c>
      <c r="H598">
        <v>0.5466356</v>
      </c>
      <c r="I598">
        <v>366.87799999999999</v>
      </c>
      <c r="J598">
        <v>-340.55970000000002</v>
      </c>
      <c r="K598">
        <v>1.109812</v>
      </c>
      <c r="L598">
        <v>367.27190000000002</v>
      </c>
      <c r="M598">
        <v>0.99994430000000001</v>
      </c>
      <c r="N598">
        <v>-9.8611589999999995E-3</v>
      </c>
      <c r="O598">
        <v>-3.7831840000000002E-3</v>
      </c>
      <c r="P598">
        <v>0.98506700000000003</v>
      </c>
      <c r="Q598">
        <v>0.16263079999999999</v>
      </c>
      <c r="R598">
        <v>5.651784E-2</v>
      </c>
      <c r="S598">
        <v>3.0476679999999998</v>
      </c>
      <c r="T598">
        <v>-9.3940499999999993E-3</v>
      </c>
      <c r="U598">
        <v>-6.5917969999999999E-3</v>
      </c>
      <c r="V598">
        <v>-6.0242480000000001E-2</v>
      </c>
      <c r="W598">
        <v>0.1723353</v>
      </c>
      <c r="X598">
        <v>0.98319449999999997</v>
      </c>
      <c r="Y598">
        <v>-1.620362E-3</v>
      </c>
      <c r="Z598" s="1">
        <v>-1.5159760000000001E-5</v>
      </c>
      <c r="AA598">
        <v>0.99999870000000002</v>
      </c>
      <c r="AB598">
        <v>32</v>
      </c>
      <c r="AC598">
        <v>182.3647</v>
      </c>
      <c r="AD598">
        <v>-0.56317640000000002</v>
      </c>
      <c r="AE598">
        <v>-0.39389999999997299</v>
      </c>
      <c r="AF598">
        <v>-0.29605270356007701</v>
      </c>
      <c r="AG598">
        <v>-0.56317640000000002</v>
      </c>
      <c r="AH598">
        <v>182.36314592004501</v>
      </c>
      <c r="AI598">
        <v>90.176940826390094</v>
      </c>
      <c r="AJ598">
        <v>90.093015260513397</v>
      </c>
      <c r="AK598">
        <v>182.36425583078699</v>
      </c>
      <c r="AL598">
        <v>80.076374007217893</v>
      </c>
      <c r="AM598">
        <v>93.506254438688501</v>
      </c>
      <c r="AN598">
        <v>1.0000000184264399</v>
      </c>
    </row>
    <row r="599" spans="1:40" x14ac:dyDescent="0.25">
      <c r="A599" t="str">
        <f>"20190304155326338"</f>
        <v>20190304155326338</v>
      </c>
      <c r="B599" t="str">
        <f>"1551686006326072"</f>
        <v>1551686006326072</v>
      </c>
      <c r="C599" t="s">
        <v>40</v>
      </c>
      <c r="D599">
        <v>4.2880240000000001</v>
      </c>
      <c r="E599">
        <v>0.52054849999999997</v>
      </c>
      <c r="F599" t="s">
        <v>41</v>
      </c>
      <c r="G599">
        <v>-158.19499999999999</v>
      </c>
      <c r="H599">
        <v>0.41625020000000001</v>
      </c>
      <c r="I599">
        <v>366.9853</v>
      </c>
      <c r="J599">
        <v>-340.23880000000003</v>
      </c>
      <c r="K599">
        <v>1.109809</v>
      </c>
      <c r="L599">
        <v>367.27069999999998</v>
      </c>
      <c r="M599">
        <v>0.99994419999999995</v>
      </c>
      <c r="N599">
        <v>-9.8736009999999992E-3</v>
      </c>
      <c r="O599">
        <v>-3.7716820000000002E-3</v>
      </c>
      <c r="P599">
        <v>0.98501669999999997</v>
      </c>
      <c r="Q599">
        <v>0.16308049999999999</v>
      </c>
      <c r="R599">
        <v>5.6097939999999999E-2</v>
      </c>
      <c r="S599">
        <v>3.0476990000000002</v>
      </c>
      <c r="T599">
        <v>-1.158941E-2</v>
      </c>
      <c r="U599">
        <v>-4.7912600000000003E-3</v>
      </c>
      <c r="V599">
        <v>-5.9810929999999998E-2</v>
      </c>
      <c r="W599">
        <v>0.17279700000000001</v>
      </c>
      <c r="X599">
        <v>0.98313980000000001</v>
      </c>
      <c r="Y599">
        <v>-2.1996559999999999E-3</v>
      </c>
      <c r="Z599" s="1">
        <v>-7.8569389999999993E-6</v>
      </c>
      <c r="AA599">
        <v>0.99999760000000004</v>
      </c>
      <c r="AB599">
        <v>32</v>
      </c>
      <c r="AC599">
        <v>182.0438</v>
      </c>
      <c r="AD599">
        <v>-0.69355880000000003</v>
      </c>
      <c r="AE599">
        <v>-0.285399999999981</v>
      </c>
      <c r="AF599">
        <v>-0.40124096045991198</v>
      </c>
      <c r="AG599">
        <v>-0.69355880000000003</v>
      </c>
      <c r="AH599">
        <v>182.04093921593301</v>
      </c>
      <c r="AI599">
        <v>90.218289926766701</v>
      </c>
      <c r="AJ599">
        <v>90.126286847741198</v>
      </c>
      <c r="AK599">
        <v>182.04270259677099</v>
      </c>
      <c r="AL599">
        <v>80.049517544775597</v>
      </c>
      <c r="AM599">
        <v>93.481392412768201</v>
      </c>
      <c r="AN599">
        <v>1.0000000084502501</v>
      </c>
    </row>
    <row r="600" spans="1:40" x14ac:dyDescent="0.25">
      <c r="A600" t="str">
        <f>"20190304155326361"</f>
        <v>20190304155326361</v>
      </c>
      <c r="B600" t="str">
        <f>"1551686006356324"</f>
        <v>1551686006356324</v>
      </c>
      <c r="C600" t="s">
        <v>40</v>
      </c>
      <c r="D600">
        <v>4.3195790000000001</v>
      </c>
      <c r="E600">
        <v>0.52046130000000002</v>
      </c>
      <c r="F600" t="s">
        <v>41</v>
      </c>
      <c r="G600">
        <v>-158.19499999999999</v>
      </c>
      <c r="H600">
        <v>0.4882531</v>
      </c>
      <c r="I600">
        <v>366.90249999999997</v>
      </c>
      <c r="J600">
        <v>-339.90699999999998</v>
      </c>
      <c r="K600">
        <v>1.1098129999999999</v>
      </c>
      <c r="L600">
        <v>367.26949999999999</v>
      </c>
      <c r="M600">
        <v>0.9999441</v>
      </c>
      <c r="N600">
        <v>-9.8863939999999997E-3</v>
      </c>
      <c r="O600">
        <v>-3.758993E-3</v>
      </c>
      <c r="P600">
        <v>0.984981</v>
      </c>
      <c r="Q600">
        <v>0.16340759999999999</v>
      </c>
      <c r="R600">
        <v>5.5770050000000002E-2</v>
      </c>
      <c r="S600">
        <v>3.0476990000000002</v>
      </c>
      <c r="T600">
        <v>-1.040435E-2</v>
      </c>
      <c r="U600">
        <v>-6.1645509999999999E-3</v>
      </c>
      <c r="V600">
        <v>-5.9469790000000002E-2</v>
      </c>
      <c r="W600">
        <v>0.17313609999999999</v>
      </c>
      <c r="X600">
        <v>0.9831008</v>
      </c>
      <c r="Y600">
        <v>-1.7363789999999999E-3</v>
      </c>
      <c r="Z600" s="1">
        <v>-1.2784130000000001E-5</v>
      </c>
      <c r="AA600">
        <v>0.99999850000000001</v>
      </c>
      <c r="AB600">
        <v>32</v>
      </c>
      <c r="AC600">
        <v>181.71199999999999</v>
      </c>
      <c r="AD600">
        <v>-0.62155989999999905</v>
      </c>
      <c r="AE600">
        <v>-0.36700000000001798</v>
      </c>
      <c r="AF600">
        <v>-0.31608638914846798</v>
      </c>
      <c r="AG600">
        <v>-0.62155989999999905</v>
      </c>
      <c r="AH600">
        <v>181.709969628902</v>
      </c>
      <c r="AI600">
        <v>90.195985758413698</v>
      </c>
      <c r="AJ600">
        <v>90.099666506081107</v>
      </c>
      <c r="AK600">
        <v>181.711307600411</v>
      </c>
      <c r="AL600">
        <v>80.029790878027896</v>
      </c>
      <c r="AM600">
        <v>93.461721214708305</v>
      </c>
      <c r="AN600">
        <v>0.99999997400324603</v>
      </c>
    </row>
    <row r="601" spans="1:40" x14ac:dyDescent="0.25">
      <c r="A601" t="str">
        <f>"20190304155326386"</f>
        <v>20190304155326386</v>
      </c>
      <c r="B601" t="str">
        <f>"1551686006375844"</f>
        <v>1551686006375844</v>
      </c>
      <c r="C601" t="s">
        <v>40</v>
      </c>
      <c r="D601">
        <v>4.3253830000000004</v>
      </c>
      <c r="E601">
        <v>0.5203702</v>
      </c>
      <c r="F601" t="s">
        <v>41</v>
      </c>
      <c r="G601">
        <v>-158.19499999999999</v>
      </c>
      <c r="H601">
        <v>0.51150720000000005</v>
      </c>
      <c r="I601">
        <v>366.89109999999999</v>
      </c>
      <c r="J601">
        <v>-339.55770000000001</v>
      </c>
      <c r="K601">
        <v>1.1098460000000001</v>
      </c>
      <c r="L601">
        <v>367.26819999999998</v>
      </c>
      <c r="M601">
        <v>0.99994300000000003</v>
      </c>
      <c r="N601">
        <v>-1.00024E-2</v>
      </c>
      <c r="O601">
        <v>-3.7453870000000002E-3</v>
      </c>
      <c r="P601">
        <v>0.98498330000000001</v>
      </c>
      <c r="Q601">
        <v>0.16362119999999999</v>
      </c>
      <c r="R601">
        <v>5.5100580000000003E-2</v>
      </c>
      <c r="S601">
        <v>3.0477289999999999</v>
      </c>
      <c r="T601">
        <v>-1.0033490000000001E-2</v>
      </c>
      <c r="U601">
        <v>-6.3476560000000001E-3</v>
      </c>
      <c r="V601">
        <v>-5.8787550000000001E-2</v>
      </c>
      <c r="W601">
        <v>0.173463899999999</v>
      </c>
      <c r="X601">
        <v>0.98308410000000002</v>
      </c>
      <c r="Y601">
        <v>-1.6627149999999999E-3</v>
      </c>
      <c r="Z601" s="1">
        <v>-1.408108E-5</v>
      </c>
      <c r="AA601">
        <v>0.99999859999999896</v>
      </c>
      <c r="AB601">
        <v>32</v>
      </c>
      <c r="AC601">
        <v>181.36269999999999</v>
      </c>
      <c r="AD601">
        <v>-0.59833879999999895</v>
      </c>
      <c r="AE601">
        <v>-0.377099999999984</v>
      </c>
      <c r="AF601">
        <v>-0.302206810457748</v>
      </c>
      <c r="AG601">
        <v>-0.59833879999999895</v>
      </c>
      <c r="AH601">
        <v>181.360866285409</v>
      </c>
      <c r="AI601">
        <v>90.189027085534207</v>
      </c>
      <c r="AJ601">
        <v>90.095473511501893</v>
      </c>
      <c r="AK601">
        <v>181.36210507730101</v>
      </c>
      <c r="AL601">
        <v>80.010721278841899</v>
      </c>
      <c r="AM601">
        <v>93.422161117661105</v>
      </c>
      <c r="AN601">
        <v>1.00000002415551</v>
      </c>
    </row>
    <row r="602" spans="1:40" x14ac:dyDescent="0.25">
      <c r="A602" t="str">
        <f>"20190304155326407"</f>
        <v>20190304155326407</v>
      </c>
      <c r="B602" t="str">
        <f>"1551686006396340"</f>
        <v>1551686006396340</v>
      </c>
      <c r="C602" t="s">
        <v>40</v>
      </c>
      <c r="D602">
        <v>4.346184</v>
      </c>
      <c r="E602">
        <v>0.52036919999999998</v>
      </c>
      <c r="F602" t="s">
        <v>41</v>
      </c>
      <c r="G602">
        <v>-158.19499999999999</v>
      </c>
      <c r="H602">
        <v>0.56378719999999904</v>
      </c>
      <c r="I602">
        <v>366.79610000000002</v>
      </c>
      <c r="J602">
        <v>-339.24689999999998</v>
      </c>
      <c r="K602">
        <v>1.1098840000000001</v>
      </c>
      <c r="L602">
        <v>367.26710000000003</v>
      </c>
      <c r="M602">
        <v>0.99994130000000003</v>
      </c>
      <c r="N602">
        <v>-1.0167580000000001E-2</v>
      </c>
      <c r="O602">
        <v>-3.7337E-3</v>
      </c>
      <c r="P602">
        <v>0.98498149999999995</v>
      </c>
      <c r="Q602">
        <v>0.16368089999999999</v>
      </c>
      <c r="R602">
        <v>5.4956640000000001E-2</v>
      </c>
      <c r="S602">
        <v>3.0477289999999999</v>
      </c>
      <c r="T602">
        <v>-9.1748239999999998E-3</v>
      </c>
      <c r="U602">
        <v>-7.9345700000000002E-3</v>
      </c>
      <c r="V602">
        <v>-5.8632400000000001E-2</v>
      </c>
      <c r="W602">
        <v>0.17368599999999901</v>
      </c>
      <c r="X602">
        <v>0.98305410000000004</v>
      </c>
      <c r="Y602">
        <v>-1.130353E-3</v>
      </c>
      <c r="Z602" s="1">
        <v>-1.9276079999999999E-5</v>
      </c>
      <c r="AA602">
        <v>0.99999930000000004</v>
      </c>
      <c r="AB602">
        <v>32</v>
      </c>
      <c r="AC602">
        <v>181.05189999999999</v>
      </c>
      <c r="AD602">
        <v>-0.54609680000000005</v>
      </c>
      <c r="AE602">
        <v>-0.47100000000000303</v>
      </c>
      <c r="AF602">
        <v>-0.20502986759580699</v>
      </c>
      <c r="AG602">
        <v>-0.54609680000000005</v>
      </c>
      <c r="AH602">
        <v>181.050749410414</v>
      </c>
      <c r="AI602">
        <v>90.1728185439584</v>
      </c>
      <c r="AJ602">
        <v>90.064884244356307</v>
      </c>
      <c r="AK602">
        <v>181.051689086388</v>
      </c>
      <c r="AL602">
        <v>79.997799241652899</v>
      </c>
      <c r="AM602">
        <v>93.413254765621204</v>
      </c>
      <c r="AN602">
        <v>0.99999997422628395</v>
      </c>
    </row>
    <row r="603" spans="1:40" x14ac:dyDescent="0.25">
      <c r="A603" t="str">
        <f>"20190304155326418"</f>
        <v>20190304155326418</v>
      </c>
      <c r="B603" t="str">
        <f>"1551686006416836"</f>
        <v>1551686006416836</v>
      </c>
      <c r="C603" t="s">
        <v>40</v>
      </c>
      <c r="D603">
        <v>4.3276969999999997</v>
      </c>
      <c r="E603">
        <v>0.52031579999999999</v>
      </c>
      <c r="F603" t="s">
        <v>41</v>
      </c>
      <c r="G603">
        <v>-158.19499999999999</v>
      </c>
      <c r="H603">
        <v>0.57964019999999905</v>
      </c>
      <c r="I603">
        <v>366.76850000000002</v>
      </c>
      <c r="J603">
        <v>-339.06349999999998</v>
      </c>
      <c r="K603">
        <v>1.1098779999999999</v>
      </c>
      <c r="L603">
        <v>367.26639999999998</v>
      </c>
      <c r="M603">
        <v>0.99994150000000004</v>
      </c>
      <c r="N603">
        <v>-1.017179E-2</v>
      </c>
      <c r="O603">
        <v>-3.727518E-3</v>
      </c>
      <c r="P603">
        <v>0.98494769999999998</v>
      </c>
      <c r="Q603">
        <v>0.1639149</v>
      </c>
      <c r="R603">
        <v>5.4867260000000001E-2</v>
      </c>
      <c r="S603">
        <v>3.0477289999999999</v>
      </c>
      <c r="T603">
        <v>-8.9243650000000001E-3</v>
      </c>
      <c r="U603">
        <v>-8.3923339999999996E-3</v>
      </c>
      <c r="V603">
        <v>-5.8536619999999998E-2</v>
      </c>
      <c r="W603">
        <v>0.17392360000000001</v>
      </c>
      <c r="X603">
        <v>0.98301780000000005</v>
      </c>
      <c r="Y603">
        <v>-9.7397480000000001E-4</v>
      </c>
      <c r="Z603" s="1">
        <v>-2.0622200000000001E-5</v>
      </c>
      <c r="AA603">
        <v>0.99999950000000004</v>
      </c>
      <c r="AB603">
        <v>32</v>
      </c>
      <c r="AC603">
        <v>180.86850000000001</v>
      </c>
      <c r="AD603">
        <v>-0.53023779999999998</v>
      </c>
      <c r="AE603">
        <v>-0.49789999999995799</v>
      </c>
      <c r="AF603">
        <v>-0.17632729129462499</v>
      </c>
      <c r="AG603">
        <v>-0.53023779999999998</v>
      </c>
      <c r="AH603">
        <v>180.86754492817599</v>
      </c>
      <c r="AI603">
        <v>90.167969806960997</v>
      </c>
      <c r="AJ603">
        <v>90.055857486247803</v>
      </c>
      <c r="AK603">
        <v>180.86840810872499</v>
      </c>
      <c r="AL603">
        <v>79.983975372348894</v>
      </c>
      <c r="AM603">
        <v>93.407817672555097</v>
      </c>
      <c r="AN603">
        <v>0.99999997481741099</v>
      </c>
    </row>
    <row r="604" spans="1:40" x14ac:dyDescent="0.25">
      <c r="A604" t="str">
        <f>"20190304155326432"</f>
        <v>20190304155326432</v>
      </c>
      <c r="B604" t="str">
        <f>"1551686006426596"</f>
        <v>1551686006426596</v>
      </c>
      <c r="C604" t="s">
        <v>40</v>
      </c>
      <c r="D604">
        <v>4.3529429999999998</v>
      </c>
      <c r="E604">
        <v>0.52030370000000004</v>
      </c>
      <c r="F604" t="s">
        <v>41</v>
      </c>
      <c r="G604">
        <v>-158.19499999999999</v>
      </c>
      <c r="H604">
        <v>0.60999919999999996</v>
      </c>
      <c r="I604">
        <v>366.78280000000001</v>
      </c>
      <c r="J604">
        <v>-338.87400000000002</v>
      </c>
      <c r="K604">
        <v>1.109874</v>
      </c>
      <c r="L604">
        <v>367.26569999999998</v>
      </c>
      <c r="M604">
        <v>0.99994130000000003</v>
      </c>
      <c r="N604">
        <v>-1.018258E-2</v>
      </c>
      <c r="O604">
        <v>-3.720775E-3</v>
      </c>
      <c r="P604">
        <v>0.98498249999999998</v>
      </c>
      <c r="Q604">
        <v>0.1638068</v>
      </c>
      <c r="R604">
        <v>5.4562449999999998E-2</v>
      </c>
      <c r="S604">
        <v>3.0476990000000002</v>
      </c>
      <c r="T604">
        <v>-8.4216589999999997E-3</v>
      </c>
      <c r="U604">
        <v>-8.1481929999999998E-3</v>
      </c>
      <c r="V604">
        <v>-5.8225440000000003E-2</v>
      </c>
      <c r="W604">
        <v>0.17382639999999999</v>
      </c>
      <c r="X604">
        <v>0.98305350000000002</v>
      </c>
      <c r="Y604">
        <v>-1.0473049999999999E-3</v>
      </c>
      <c r="Z604" s="1">
        <v>-2.0827479999999999E-5</v>
      </c>
      <c r="AA604">
        <v>0.99999950000000004</v>
      </c>
      <c r="AB604">
        <v>32</v>
      </c>
      <c r="AC604">
        <v>180.679</v>
      </c>
      <c r="AD604">
        <v>-0.49987480000000001</v>
      </c>
      <c r="AE604">
        <v>-0.48289999999997202</v>
      </c>
      <c r="AF604">
        <v>-0.18940260959065999</v>
      </c>
      <c r="AG604">
        <v>-0.49987480000000001</v>
      </c>
      <c r="AH604">
        <v>180.67816308610099</v>
      </c>
      <c r="AI604">
        <v>90.158517371571904</v>
      </c>
      <c r="AJ604">
        <v>90.060062411515901</v>
      </c>
      <c r="AK604">
        <v>180.67895385000401</v>
      </c>
      <c r="AL604">
        <v>79.989630935375203</v>
      </c>
      <c r="AM604">
        <v>93.389621295329107</v>
      </c>
      <c r="AN604">
        <v>1.0000000015312001</v>
      </c>
    </row>
    <row r="605" spans="1:40" x14ac:dyDescent="0.25">
      <c r="A605" t="str">
        <f>"20190304155326447"</f>
        <v>20190304155326447</v>
      </c>
      <c r="B605" t="str">
        <f>"1551686006436356"</f>
        <v>1551686006436356</v>
      </c>
      <c r="C605" t="s">
        <v>40</v>
      </c>
      <c r="D605">
        <v>4.3522179999999997</v>
      </c>
      <c r="E605">
        <v>0.52030370000000004</v>
      </c>
      <c r="F605" t="s">
        <v>41</v>
      </c>
      <c r="G605">
        <v>-158.19499999999999</v>
      </c>
      <c r="H605">
        <v>0.56129609999999996</v>
      </c>
      <c r="I605">
        <v>366.73020000000002</v>
      </c>
      <c r="J605">
        <v>-338.65949999999998</v>
      </c>
      <c r="K605">
        <v>1.1098699999999999</v>
      </c>
      <c r="L605">
        <v>367.26490000000001</v>
      </c>
      <c r="M605">
        <v>0.99994090000000002</v>
      </c>
      <c r="N605">
        <v>-1.0222159999999999E-2</v>
      </c>
      <c r="O605">
        <v>-3.7131059999999999E-3</v>
      </c>
      <c r="P605">
        <v>0.98498339999999995</v>
      </c>
      <c r="Q605">
        <v>0.16387650000000001</v>
      </c>
      <c r="R605">
        <v>5.4334920000000002E-2</v>
      </c>
      <c r="S605">
        <v>3.0478209999999999</v>
      </c>
      <c r="T605">
        <v>-9.2523099999999997E-3</v>
      </c>
      <c r="U605">
        <v>-9.0332030000000001E-3</v>
      </c>
      <c r="V605">
        <v>-5.7990409999999999E-2</v>
      </c>
      <c r="W605">
        <v>0.17393539999999999</v>
      </c>
      <c r="X605">
        <v>0.98304809999999998</v>
      </c>
      <c r="Y605">
        <v>-7.493825E-4</v>
      </c>
      <c r="Z605" s="1">
        <v>-2.171759E-5</v>
      </c>
      <c r="AA605">
        <v>0.99999970000000005</v>
      </c>
      <c r="AB605">
        <v>32</v>
      </c>
      <c r="AC605">
        <v>180.46449999999999</v>
      </c>
      <c r="AD605">
        <v>-0.54857389999999995</v>
      </c>
      <c r="AE605">
        <v>-0.53469999999998596</v>
      </c>
      <c r="AF605">
        <v>-0.13542123705489001</v>
      </c>
      <c r="AG605">
        <v>-0.54857389999999995</v>
      </c>
      <c r="AH605">
        <v>180.46357379571899</v>
      </c>
      <c r="AI605">
        <v>90.174167356322002</v>
      </c>
      <c r="AJ605">
        <v>90.042995180246507</v>
      </c>
      <c r="AK605">
        <v>180.46445838269099</v>
      </c>
      <c r="AL605">
        <v>79.9832889609592</v>
      </c>
      <c r="AM605">
        <v>93.375989125418698</v>
      </c>
      <c r="AN605">
        <v>0.99999998896936804</v>
      </c>
    </row>
    <row r="606" spans="1:40" x14ac:dyDescent="0.25">
      <c r="A606" t="str">
        <f>"20190304155326463"</f>
        <v>20190304155326463</v>
      </c>
      <c r="B606" t="str">
        <f>"1551686006455876"</f>
        <v>1551686006455876</v>
      </c>
      <c r="C606" t="s">
        <v>40</v>
      </c>
      <c r="D606">
        <v>4.3702350000000001</v>
      </c>
      <c r="E606">
        <v>0.520173</v>
      </c>
      <c r="F606" t="s">
        <v>41</v>
      </c>
      <c r="G606">
        <v>-158.19499999999999</v>
      </c>
      <c r="H606">
        <v>0.57222269999999997</v>
      </c>
      <c r="I606">
        <v>366.71379999999999</v>
      </c>
      <c r="J606">
        <v>-338.42660000000001</v>
      </c>
      <c r="K606">
        <v>1.1098870000000001</v>
      </c>
      <c r="L606">
        <v>367.26400000000001</v>
      </c>
      <c r="M606">
        <v>0.99993989999999999</v>
      </c>
      <c r="N606">
        <v>-1.031469E-2</v>
      </c>
      <c r="O606">
        <v>-3.7043969999999999E-3</v>
      </c>
      <c r="P606">
        <v>0.98502509999999999</v>
      </c>
      <c r="Q606">
        <v>0.16360759999999999</v>
      </c>
      <c r="R606">
        <v>5.4386200000000003E-2</v>
      </c>
      <c r="S606">
        <v>3.0477910000000001</v>
      </c>
      <c r="T606">
        <v>-9.0786219999999997E-3</v>
      </c>
      <c r="U606">
        <v>-9.3078610000000006E-3</v>
      </c>
      <c r="V606">
        <v>-5.8033510000000003E-2</v>
      </c>
      <c r="W606">
        <v>0.17375739999999901</v>
      </c>
      <c r="X606">
        <v>0.98307699999999998</v>
      </c>
      <c r="Y606">
        <v>-6.5052920000000002E-4</v>
      </c>
      <c r="Z606" s="1">
        <v>-2.2852549999999999E-5</v>
      </c>
      <c r="AA606">
        <v>0.99999979999999999</v>
      </c>
      <c r="AB606">
        <v>32</v>
      </c>
      <c r="AC606">
        <v>180.23159999999999</v>
      </c>
      <c r="AD606">
        <v>-0.53766429999999998</v>
      </c>
      <c r="AE606">
        <v>-0.55020000000001801</v>
      </c>
      <c r="AF606">
        <v>-0.11748767470916301</v>
      </c>
      <c r="AG606">
        <v>-0.53766429999999998</v>
      </c>
      <c r="AH606">
        <v>180.23079758233601</v>
      </c>
      <c r="AI606">
        <v>90.170924157624</v>
      </c>
      <c r="AJ606">
        <v>90.037349593090795</v>
      </c>
      <c r="AK606">
        <v>180.23163785367501</v>
      </c>
      <c r="AL606">
        <v>79.993644966156594</v>
      </c>
      <c r="AM606">
        <v>93.3783933503871</v>
      </c>
      <c r="AN606">
        <v>0.99999995513333895</v>
      </c>
    </row>
    <row r="607" spans="1:40" x14ac:dyDescent="0.25">
      <c r="A607" t="str">
        <f>"20190304155326485"</f>
        <v>20190304155326485</v>
      </c>
      <c r="B607" t="str">
        <f>"1551686006476372"</f>
        <v>1551686006476372</v>
      </c>
      <c r="C607" t="s">
        <v>40</v>
      </c>
      <c r="D607">
        <v>4.3311919999999997</v>
      </c>
      <c r="E607">
        <v>0.52007720000000002</v>
      </c>
      <c r="F607" t="s">
        <v>41</v>
      </c>
      <c r="G607">
        <v>-158.19499999999999</v>
      </c>
      <c r="H607">
        <v>0.1466963</v>
      </c>
      <c r="I607">
        <v>366.75170000000003</v>
      </c>
      <c r="J607">
        <v>-338.10919999999999</v>
      </c>
      <c r="K607">
        <v>1.1099239999999999</v>
      </c>
      <c r="L607">
        <v>367.26280000000003</v>
      </c>
      <c r="M607">
        <v>0.9999382</v>
      </c>
      <c r="N607">
        <v>-1.048171E-2</v>
      </c>
      <c r="O607">
        <v>-3.6930999999999999E-3</v>
      </c>
      <c r="P607">
        <v>0.98502780000000001</v>
      </c>
      <c r="Q607">
        <v>0.16352249999999999</v>
      </c>
      <c r="R607">
        <v>5.4594980000000001E-2</v>
      </c>
      <c r="S607">
        <v>3.0487980000000001</v>
      </c>
      <c r="T607">
        <v>-1.6291859999999998E-2</v>
      </c>
      <c r="U607">
        <v>-8.6669920000000001E-3</v>
      </c>
      <c r="V607">
        <v>-5.823097E-2</v>
      </c>
      <c r="W607">
        <v>0.17383680000000001</v>
      </c>
      <c r="X607">
        <v>0.98305140000000002</v>
      </c>
      <c r="Y607">
        <v>-8.5047679999999905E-4</v>
      </c>
      <c r="Z607" s="1">
        <v>-1.224702E-5</v>
      </c>
      <c r="AA607">
        <v>0.99999959999999999</v>
      </c>
      <c r="AB607">
        <v>32</v>
      </c>
      <c r="AC607">
        <v>179.91419999999999</v>
      </c>
      <c r="AD607">
        <v>-0.96322770000000002</v>
      </c>
      <c r="AE607">
        <v>-0.511099999999999</v>
      </c>
      <c r="AF607">
        <v>-0.153376754655148</v>
      </c>
      <c r="AG607">
        <v>-0.96322770000000002</v>
      </c>
      <c r="AH607">
        <v>179.90970380998201</v>
      </c>
      <c r="AI607">
        <v>90.306755741239698</v>
      </c>
      <c r="AJ607">
        <v>90.048845828780102</v>
      </c>
      <c r="AK607">
        <v>179.91234770583799</v>
      </c>
      <c r="AL607">
        <v>79.989026508909006</v>
      </c>
      <c r="AM607">
        <v>93.389949700863198</v>
      </c>
      <c r="AN607">
        <v>1.00000006697166</v>
      </c>
    </row>
    <row r="608" spans="1:40" x14ac:dyDescent="0.25">
      <c r="A608" t="str">
        <f>"20190304155326507"</f>
        <v>20190304155326507</v>
      </c>
      <c r="B608" t="str">
        <f>"1551686006495892"</f>
        <v>1551686006495892</v>
      </c>
      <c r="C608" t="s">
        <v>40</v>
      </c>
      <c r="D608">
        <v>4.3855139999999997</v>
      </c>
      <c r="E608">
        <v>0.51997669999999996</v>
      </c>
      <c r="F608" t="s">
        <v>45</v>
      </c>
      <c r="G608">
        <v>-191.72970000000001</v>
      </c>
      <c r="H608" s="1">
        <v>-6.3175129999999998E-6</v>
      </c>
      <c r="I608">
        <v>366.89519999999999</v>
      </c>
      <c r="J608">
        <v>-337.78109999999998</v>
      </c>
      <c r="K608">
        <v>1.109953</v>
      </c>
      <c r="L608">
        <v>367.26159999999999</v>
      </c>
      <c r="M608">
        <v>0.99993670000000001</v>
      </c>
      <c r="N608">
        <v>-1.0648110000000001E-2</v>
      </c>
      <c r="O608">
        <v>-3.6814560000000001E-3</v>
      </c>
      <c r="P608">
        <v>0.98509990000000003</v>
      </c>
      <c r="Q608">
        <v>0.16308789999999901</v>
      </c>
      <c r="R608">
        <v>5.4597590000000001E-2</v>
      </c>
      <c r="S608">
        <v>3.0498959999999999</v>
      </c>
      <c r="T608">
        <v>-2.3126009999999999E-2</v>
      </c>
      <c r="U608">
        <v>-7.6599119999999996E-3</v>
      </c>
      <c r="V608">
        <v>-5.8222530000000002E-2</v>
      </c>
      <c r="W608">
        <v>0.17356629999999901</v>
      </c>
      <c r="X608">
        <v>0.98309959999999996</v>
      </c>
      <c r="Y608">
        <v>-1.1700479999999999E-3</v>
      </c>
      <c r="Z608" s="1">
        <v>-6.2191629999999997E-7</v>
      </c>
      <c r="AA608">
        <v>0.99999930000000004</v>
      </c>
      <c r="AB608">
        <v>32</v>
      </c>
      <c r="AC608">
        <v>146.05139999999901</v>
      </c>
      <c r="AD608">
        <v>-1.109959317513</v>
      </c>
      <c r="AE608">
        <v>-0.36639999999999801</v>
      </c>
      <c r="AF608">
        <v>-0.17130478524027001</v>
      </c>
      <c r="AG608">
        <v>-1.109959317513</v>
      </c>
      <c r="AH608">
        <v>146.04332418727699</v>
      </c>
      <c r="AI608">
        <v>90.435451031212196</v>
      </c>
      <c r="AJ608">
        <v>90.067206335913596</v>
      </c>
      <c r="AK608">
        <v>146.04764255093701</v>
      </c>
      <c r="AL608">
        <v>80.004763312336493</v>
      </c>
      <c r="AM608">
        <v>93.3892937139113</v>
      </c>
      <c r="AN608">
        <v>0.99999997350772496</v>
      </c>
    </row>
    <row r="609" spans="1:40" x14ac:dyDescent="0.25">
      <c r="A609" t="str">
        <f>"20190304155326529"</f>
        <v>20190304155326529</v>
      </c>
      <c r="B609" t="str">
        <f>"1551686006526148"</f>
        <v>1551686006526148</v>
      </c>
      <c r="C609" t="s">
        <v>40</v>
      </c>
      <c r="D609">
        <v>4.4140180000000004</v>
      </c>
      <c r="E609">
        <v>0.51987709999999998</v>
      </c>
      <c r="F609" t="s">
        <v>46</v>
      </c>
      <c r="G609">
        <v>-223.79900000000001</v>
      </c>
      <c r="H609" s="1">
        <v>-3.1039390000000001E-6</v>
      </c>
      <c r="I609">
        <v>367.01530000000002</v>
      </c>
      <c r="J609">
        <v>-337.47210000000001</v>
      </c>
      <c r="K609">
        <v>1.109974</v>
      </c>
      <c r="L609">
        <v>367.26049999999998</v>
      </c>
      <c r="M609">
        <v>0.99993500000000002</v>
      </c>
      <c r="N609">
        <v>-1.079275E-2</v>
      </c>
      <c r="O609">
        <v>-3.6718440000000001E-3</v>
      </c>
      <c r="P609">
        <v>0.98513669999999998</v>
      </c>
      <c r="Q609">
        <v>0.16288729999999901</v>
      </c>
      <c r="R609">
        <v>5.4527119999999998E-2</v>
      </c>
      <c r="S609">
        <v>3.0506289999999998</v>
      </c>
      <c r="T609">
        <v>-2.9706949999999999E-2</v>
      </c>
      <c r="U609">
        <v>-6.5917969999999999E-3</v>
      </c>
      <c r="V609">
        <v>-5.8142989999999999E-2</v>
      </c>
      <c r="W609">
        <v>0.173508</v>
      </c>
      <c r="X609">
        <v>0.98311459999999995</v>
      </c>
      <c r="Y609">
        <v>-1.511117E-3</v>
      </c>
      <c r="Z609" s="1">
        <v>1.1637390000000001E-5</v>
      </c>
      <c r="AA609">
        <v>0.99999890000000002</v>
      </c>
      <c r="AB609">
        <v>32</v>
      </c>
      <c r="AC609">
        <v>113.67310000000001</v>
      </c>
      <c r="AD609">
        <v>-1.1099771039390001</v>
      </c>
      <c r="AE609">
        <v>-0.24519999999995401</v>
      </c>
      <c r="AF609">
        <v>-0.17219944237544799</v>
      </c>
      <c r="AG609">
        <v>-1.1099771039390001</v>
      </c>
      <c r="AH609">
        <v>113.66239654359801</v>
      </c>
      <c r="AI609">
        <v>90.559507020924002</v>
      </c>
      <c r="AJ609">
        <v>90.086803499082507</v>
      </c>
      <c r="AK609">
        <v>113.667946624602</v>
      </c>
      <c r="AL609">
        <v>80.008155134644795</v>
      </c>
      <c r="AM609">
        <v>93.384622721477598</v>
      </c>
      <c r="AN609">
        <v>0.99999997504164895</v>
      </c>
    </row>
    <row r="610" spans="1:40" x14ac:dyDescent="0.25">
      <c r="A610" t="str">
        <f>"20190304155326541"</f>
        <v>20190304155326541</v>
      </c>
      <c r="B610" t="str">
        <f>"1551686006535908"</f>
        <v>1551686006535908</v>
      </c>
      <c r="C610" t="s">
        <v>40</v>
      </c>
      <c r="D610">
        <v>4.4083420000000002</v>
      </c>
      <c r="E610">
        <v>0.51982309999999998</v>
      </c>
      <c r="F610" t="s">
        <v>46</v>
      </c>
      <c r="G610">
        <v>-247.11449999999999</v>
      </c>
      <c r="H610" s="1">
        <v>-1.793758E-6</v>
      </c>
      <c r="I610">
        <v>367.08339999999998</v>
      </c>
      <c r="J610">
        <v>-337.28429999999997</v>
      </c>
      <c r="K610">
        <v>1.1099870000000001</v>
      </c>
      <c r="L610">
        <v>367.25979999999998</v>
      </c>
      <c r="M610">
        <v>0.99993430000000005</v>
      </c>
      <c r="N610">
        <v>-1.0877090000000001E-2</v>
      </c>
      <c r="O610">
        <v>-3.6679870000000002E-3</v>
      </c>
      <c r="P610">
        <v>0.98517540000000003</v>
      </c>
      <c r="Q610">
        <v>0.16273099999999999</v>
      </c>
      <c r="R610">
        <v>5.4298199999999998E-2</v>
      </c>
      <c r="S610">
        <v>3.0517880000000002</v>
      </c>
      <c r="T610">
        <v>-3.7488939999999998E-2</v>
      </c>
      <c r="U610">
        <v>-5.9814450000000002E-3</v>
      </c>
      <c r="V610">
        <v>-5.7911209999999998E-2</v>
      </c>
      <c r="W610">
        <v>0.17343529999999999</v>
      </c>
      <c r="X610">
        <v>0.98314109999999999</v>
      </c>
      <c r="Y610">
        <v>-1.707987E-3</v>
      </c>
      <c r="Z610" s="1">
        <v>2.4938690000000002E-5</v>
      </c>
      <c r="AA610">
        <v>0.99999859999999896</v>
      </c>
      <c r="AB610">
        <v>32</v>
      </c>
      <c r="AC610">
        <v>90.169799999999896</v>
      </c>
      <c r="AD610">
        <v>-1.109988793758</v>
      </c>
      <c r="AE610">
        <v>-0.176400000000001</v>
      </c>
      <c r="AF610">
        <v>-0.15433895903505401</v>
      </c>
      <c r="AG610">
        <v>-1.109988793758</v>
      </c>
      <c r="AH610">
        <v>90.156178591575198</v>
      </c>
      <c r="AI610">
        <v>90.705380018191903</v>
      </c>
      <c r="AJ610">
        <v>90.098084928474506</v>
      </c>
      <c r="AK610">
        <v>90.163143433847495</v>
      </c>
      <c r="AL610">
        <v>80.012384581427796</v>
      </c>
      <c r="AM610">
        <v>93.371070854036702</v>
      </c>
      <c r="AN610">
        <v>0.99999996701948102</v>
      </c>
    </row>
    <row r="611" spans="1:40" x14ac:dyDescent="0.25">
      <c r="A611" t="str">
        <f>"20190304155326563"</f>
        <v>20190304155326563</v>
      </c>
      <c r="B611" t="str">
        <f>"1551686006556404"</f>
        <v>1551686006556404</v>
      </c>
      <c r="C611" t="s">
        <v>40</v>
      </c>
      <c r="D611">
        <v>4.4264359999999998</v>
      </c>
      <c r="E611">
        <v>0.51974809999999905</v>
      </c>
      <c r="F611" t="s">
        <v>46</v>
      </c>
      <c r="G611">
        <v>-253.1362</v>
      </c>
      <c r="H611" s="1">
        <v>-3.3750330000000001E-6</v>
      </c>
      <c r="I611">
        <v>367.08980000000003</v>
      </c>
      <c r="J611">
        <v>-336.98599999999999</v>
      </c>
      <c r="K611">
        <v>1.109996</v>
      </c>
      <c r="L611">
        <v>367.25869999999998</v>
      </c>
      <c r="M611">
        <v>0.99993290000000001</v>
      </c>
      <c r="N611">
        <v>-1.100318E-2</v>
      </c>
      <c r="O611">
        <v>-3.6585540000000001E-3</v>
      </c>
      <c r="P611">
        <v>0.98519190000000001</v>
      </c>
      <c r="Q611">
        <v>0.16259379999999901</v>
      </c>
      <c r="R611">
        <v>5.4407509999999999E-2</v>
      </c>
      <c r="S611">
        <v>3.052155</v>
      </c>
      <c r="T611">
        <v>-4.0260669999999998E-2</v>
      </c>
      <c r="U611">
        <v>-6.1645509999999999E-3</v>
      </c>
      <c r="V611">
        <v>-5.8010730000000003E-2</v>
      </c>
      <c r="W611">
        <v>0.1734221</v>
      </c>
      <c r="X611">
        <v>0.98313759999999994</v>
      </c>
      <c r="Y611">
        <v>-1.63877799999999E-3</v>
      </c>
      <c r="Z611" s="1">
        <v>2.7825510000000001E-5</v>
      </c>
      <c r="AA611">
        <v>0.99999859999999896</v>
      </c>
      <c r="AB611">
        <v>32</v>
      </c>
      <c r="AC611">
        <v>83.849799999999902</v>
      </c>
      <c r="AD611">
        <v>-1.1099993750329999</v>
      </c>
      <c r="AE611">
        <v>-0.16889999999995001</v>
      </c>
      <c r="AF611">
        <v>-0.13786452409466399</v>
      </c>
      <c r="AG611">
        <v>-1.1099993750329999</v>
      </c>
      <c r="AH611">
        <v>83.835165241054696</v>
      </c>
      <c r="AI611">
        <v>90.758565660678897</v>
      </c>
      <c r="AJ611">
        <v>90.094221180718904</v>
      </c>
      <c r="AK611">
        <v>83.842626606246796</v>
      </c>
      <c r="AL611">
        <v>80.013152906483299</v>
      </c>
      <c r="AM611">
        <v>93.376862614449294</v>
      </c>
      <c r="AN611">
        <v>1.0000000050486499</v>
      </c>
    </row>
    <row r="612" spans="1:40" x14ac:dyDescent="0.25">
      <c r="A612" t="str">
        <f>"20190304155326585"</f>
        <v>20190304155326585</v>
      </c>
      <c r="B612" t="str">
        <f>"1551686006575924"</f>
        <v>1551686006575924</v>
      </c>
      <c r="C612" t="s">
        <v>40</v>
      </c>
      <c r="D612">
        <v>4.438733</v>
      </c>
      <c r="E612">
        <v>0.51968009999999998</v>
      </c>
      <c r="F612" t="s">
        <v>46</v>
      </c>
      <c r="G612">
        <v>-261.22359999999998</v>
      </c>
      <c r="H612" s="1">
        <v>-4.1889569999999999E-6</v>
      </c>
      <c r="I612">
        <v>367.12689999999998</v>
      </c>
      <c r="J612">
        <v>-336.65260000000001</v>
      </c>
      <c r="K612">
        <v>1.110009</v>
      </c>
      <c r="L612">
        <v>367.25760000000002</v>
      </c>
      <c r="M612">
        <v>0.99993149999999997</v>
      </c>
      <c r="N612">
        <v>-1.113219E-2</v>
      </c>
      <c r="O612">
        <v>-3.6443920000000002E-3</v>
      </c>
      <c r="P612">
        <v>0.98532949999999997</v>
      </c>
      <c r="Q612">
        <v>0.16192279999999901</v>
      </c>
      <c r="R612">
        <v>5.3915200000000003E-2</v>
      </c>
      <c r="S612">
        <v>3.052765</v>
      </c>
      <c r="T612">
        <v>-4.4726250000000002E-2</v>
      </c>
      <c r="U612">
        <v>-5.3100589999999998E-3</v>
      </c>
      <c r="V612">
        <v>-5.7504840000000002E-2</v>
      </c>
      <c r="W612">
        <v>0.1728797</v>
      </c>
      <c r="X612">
        <v>0.98326279999999999</v>
      </c>
      <c r="Y612">
        <v>-1.904818E-3</v>
      </c>
      <c r="Z612" s="1">
        <v>3.7377109999999999E-5</v>
      </c>
      <c r="AA612">
        <v>0.99999819999999995</v>
      </c>
      <c r="AB612">
        <v>32</v>
      </c>
      <c r="AC612">
        <v>75.429000000000002</v>
      </c>
      <c r="AD612">
        <v>-1.110013188957</v>
      </c>
      <c r="AE612">
        <v>-0.130700000000047</v>
      </c>
      <c r="AF612">
        <v>-0.144179494302139</v>
      </c>
      <c r="AG612">
        <v>-1.110013188957</v>
      </c>
      <c r="AH612">
        <v>75.412644015860096</v>
      </c>
      <c r="AI612">
        <v>90.843285143188695</v>
      </c>
      <c r="AJ612">
        <v>90.109542193599495</v>
      </c>
      <c r="AK612">
        <v>75.420950633554597</v>
      </c>
      <c r="AL612">
        <v>80.044706351728607</v>
      </c>
      <c r="AM612">
        <v>93.347056243005198</v>
      </c>
      <c r="AN612">
        <v>0.99999996557967696</v>
      </c>
    </row>
    <row r="613" spans="1:40" x14ac:dyDescent="0.25">
      <c r="A613" t="str">
        <f>"20190304155326607"</f>
        <v>20190304155326607</v>
      </c>
      <c r="B613" t="str">
        <f>"1551686006596421"</f>
        <v>1551686006596421</v>
      </c>
      <c r="C613" t="s">
        <v>40</v>
      </c>
      <c r="D613">
        <v>4.4276419999999996</v>
      </c>
      <c r="E613">
        <v>0.51963009999999998</v>
      </c>
      <c r="F613" t="s">
        <v>46</v>
      </c>
      <c r="G613">
        <v>-269.959</v>
      </c>
      <c r="H613" s="1">
        <v>-4.7342009999999997E-6</v>
      </c>
      <c r="I613">
        <v>367.11149999999998</v>
      </c>
      <c r="J613">
        <v>-336.34559999999999</v>
      </c>
      <c r="K613">
        <v>1.1100179999999999</v>
      </c>
      <c r="L613">
        <v>367.25650000000002</v>
      </c>
      <c r="M613">
        <v>0.99993030000000005</v>
      </c>
      <c r="N613">
        <v>-1.1239860000000001E-2</v>
      </c>
      <c r="O613">
        <v>-3.631179E-3</v>
      </c>
      <c r="P613">
        <v>0.98543069999999999</v>
      </c>
      <c r="Q613">
        <v>0.1614495</v>
      </c>
      <c r="R613">
        <v>5.3486100000000002E-2</v>
      </c>
      <c r="S613">
        <v>3.0534059999999998</v>
      </c>
      <c r="T613">
        <v>-5.0819160000000002E-2</v>
      </c>
      <c r="U613">
        <v>-6.6833500000000002E-3</v>
      </c>
      <c r="V613">
        <v>-5.7062199999999903E-2</v>
      </c>
      <c r="W613">
        <v>0.17251429999999901</v>
      </c>
      <c r="X613">
        <v>0.98335280000000003</v>
      </c>
      <c r="Y613">
        <v>-1.4422129999999999E-3</v>
      </c>
      <c r="Z613" s="1">
        <v>3.9723710000000001E-5</v>
      </c>
      <c r="AA613">
        <v>0.99999899999999997</v>
      </c>
      <c r="AB613">
        <v>32</v>
      </c>
      <c r="AC613">
        <v>66.386599999999902</v>
      </c>
      <c r="AD613">
        <v>-1.1100227342009901</v>
      </c>
      <c r="AE613">
        <v>-0.14500000000003799</v>
      </c>
      <c r="AF613">
        <v>-9.6050943870271105E-2</v>
      </c>
      <c r="AG613">
        <v>-1.1100227342009901</v>
      </c>
      <c r="AH613">
        <v>66.3681338512054</v>
      </c>
      <c r="AI613">
        <v>90.958195119199004</v>
      </c>
      <c r="AJ613">
        <v>90.082920967343895</v>
      </c>
      <c r="AK613">
        <v>66.377485393360402</v>
      </c>
      <c r="AL613">
        <v>80.065961974185797</v>
      </c>
      <c r="AM613">
        <v>93.321047080999804</v>
      </c>
      <c r="AN613">
        <v>1.0000000038205801</v>
      </c>
    </row>
    <row r="614" spans="1:40" x14ac:dyDescent="0.25">
      <c r="A614" t="str">
        <f>"20190304155326629"</f>
        <v>20190304155326629</v>
      </c>
      <c r="B614" t="str">
        <f>"1551686006626676"</f>
        <v>1551686006626676</v>
      </c>
      <c r="C614" t="s">
        <v>40</v>
      </c>
      <c r="D614">
        <v>4.4347820000000002</v>
      </c>
      <c r="E614">
        <v>0.51954449999999996</v>
      </c>
      <c r="F614" t="s">
        <v>46</v>
      </c>
      <c r="G614">
        <v>-275.77859999999998</v>
      </c>
      <c r="H614" s="1">
        <v>-2.2375549999999998E-6</v>
      </c>
      <c r="I614">
        <v>367.11180000000002</v>
      </c>
      <c r="J614">
        <v>-336.02510000000001</v>
      </c>
      <c r="K614">
        <v>1.1100239999999999</v>
      </c>
      <c r="L614">
        <v>367.25529999999998</v>
      </c>
      <c r="M614">
        <v>0.99992919999999996</v>
      </c>
      <c r="N614">
        <v>-1.134082E-2</v>
      </c>
      <c r="O614">
        <v>-3.618989E-3</v>
      </c>
      <c r="P614">
        <v>0.98542269999999998</v>
      </c>
      <c r="Q614">
        <v>0.1616349</v>
      </c>
      <c r="R614">
        <v>5.3071420000000001E-2</v>
      </c>
      <c r="S614">
        <v>3.053925</v>
      </c>
      <c r="T614">
        <v>-5.5969600000000001E-2</v>
      </c>
      <c r="U614">
        <v>-7.2937009999999997E-3</v>
      </c>
      <c r="V614">
        <v>-5.6635440000000002E-2</v>
      </c>
      <c r="W614">
        <v>0.17279839999999999</v>
      </c>
      <c r="X614">
        <v>0.98332759999999997</v>
      </c>
      <c r="Y614">
        <v>-1.230507E-3</v>
      </c>
      <c r="Z614" s="1">
        <v>4.353089E-5</v>
      </c>
      <c r="AA614">
        <v>0.99999919999999998</v>
      </c>
      <c r="AB614">
        <v>32</v>
      </c>
      <c r="AC614">
        <v>60.246499999999997</v>
      </c>
      <c r="AD614">
        <v>-1.1100262375550001</v>
      </c>
      <c r="AE614">
        <v>-0.14349999999995999</v>
      </c>
      <c r="AF614">
        <v>-7.4521072659488694E-2</v>
      </c>
      <c r="AG614">
        <v>-1.1100262375550001</v>
      </c>
      <c r="AH614">
        <v>60.226179846352601</v>
      </c>
      <c r="AI614">
        <v>91.055895789760797</v>
      </c>
      <c r="AJ614">
        <v>90.070895095455398</v>
      </c>
      <c r="AK614">
        <v>60.236454498281503</v>
      </c>
      <c r="AL614">
        <v>80.049436166576498</v>
      </c>
      <c r="AM614">
        <v>93.296348708782105</v>
      </c>
      <c r="AN614">
        <v>1.0000000145141501</v>
      </c>
    </row>
    <row r="615" spans="1:40" x14ac:dyDescent="0.25">
      <c r="A615" t="str">
        <f>"20190304155326641"</f>
        <v>20190304155326641</v>
      </c>
      <c r="B615" t="str">
        <f>"1551686006636437"</f>
        <v>1551686006636437</v>
      </c>
      <c r="C615" t="s">
        <v>40</v>
      </c>
      <c r="D615">
        <v>4.4636199999999997</v>
      </c>
      <c r="E615">
        <v>0.51951769999999997</v>
      </c>
      <c r="F615" t="s">
        <v>46</v>
      </c>
      <c r="G615">
        <v>-279.79059999999998</v>
      </c>
      <c r="H615" s="1">
        <v>-7.2363879999999997E-7</v>
      </c>
      <c r="I615">
        <v>367.11200000000002</v>
      </c>
      <c r="J615">
        <v>-335.83819999999997</v>
      </c>
      <c r="K615">
        <v>1.110025</v>
      </c>
      <c r="L615">
        <v>367.25459999999998</v>
      </c>
      <c r="M615">
        <v>0.9999287</v>
      </c>
      <c r="N615">
        <v>-1.139562E-2</v>
      </c>
      <c r="O615">
        <v>-3.6128549999999999E-3</v>
      </c>
      <c r="P615">
        <v>0.98548369999999996</v>
      </c>
      <c r="Q615">
        <v>0.1613697</v>
      </c>
      <c r="R615">
        <v>5.2743169999999999E-2</v>
      </c>
      <c r="S615">
        <v>3.0546880000000001</v>
      </c>
      <c r="T615">
        <v>-6.0297009999999998E-2</v>
      </c>
      <c r="U615">
        <v>-7.7819819999999998E-3</v>
      </c>
      <c r="V615">
        <v>-5.6301829999999997E-2</v>
      </c>
      <c r="W615">
        <v>0.1725875</v>
      </c>
      <c r="X615">
        <v>0.98338380000000003</v>
      </c>
      <c r="Y615">
        <v>-1.0650950000000001E-3</v>
      </c>
      <c r="Z615" s="1">
        <v>4.6717959999999898E-5</v>
      </c>
      <c r="AA615">
        <v>0.99999939999999998</v>
      </c>
      <c r="AB615">
        <v>32</v>
      </c>
      <c r="AC615">
        <v>56.047599999999903</v>
      </c>
      <c r="AD615">
        <v>-1.1100257236388</v>
      </c>
      <c r="AE615">
        <v>-0.14260000000001499</v>
      </c>
      <c r="AF615">
        <v>-5.9882411440568203E-2</v>
      </c>
      <c r="AG615">
        <v>-1.1100257236388</v>
      </c>
      <c r="AH615">
        <v>56.025773975374001</v>
      </c>
      <c r="AI615">
        <v>91.135038899147006</v>
      </c>
      <c r="AJ615">
        <v>90.061239816831005</v>
      </c>
      <c r="AK615">
        <v>56.036801234099997</v>
      </c>
      <c r="AL615">
        <v>80.061704215962607</v>
      </c>
      <c r="AM615">
        <v>93.276787200074594</v>
      </c>
      <c r="AN615">
        <v>1.0000000196600101</v>
      </c>
    </row>
    <row r="616" spans="1:40" x14ac:dyDescent="0.25">
      <c r="A616" t="str">
        <f>"20190304155326654"</f>
        <v>20190304155326654</v>
      </c>
      <c r="B616" t="str">
        <f>"1551686006646196"</f>
        <v>1551686006646196</v>
      </c>
      <c r="C616" t="s">
        <v>40</v>
      </c>
      <c r="D616">
        <v>4.4529370000000004</v>
      </c>
      <c r="E616">
        <v>0.51948760000000005</v>
      </c>
      <c r="F616" t="s">
        <v>47</v>
      </c>
      <c r="G616">
        <v>-279.2303</v>
      </c>
      <c r="H616">
        <v>-0.05</v>
      </c>
      <c r="I616">
        <v>367.09339999999997</v>
      </c>
      <c r="J616">
        <v>-335.6465</v>
      </c>
      <c r="K616">
        <v>1.110026</v>
      </c>
      <c r="L616">
        <v>367.25400000000002</v>
      </c>
      <c r="M616">
        <v>0.99992809999999999</v>
      </c>
      <c r="N616">
        <v>-1.144593E-2</v>
      </c>
      <c r="O616">
        <v>-3.6064619999999999E-3</v>
      </c>
      <c r="P616">
        <v>0.98548590000000003</v>
      </c>
      <c r="Q616">
        <v>0.16141159999999999</v>
      </c>
      <c r="R616">
        <v>5.257643E-2</v>
      </c>
      <c r="S616">
        <v>3.0549010000000001</v>
      </c>
      <c r="T616">
        <v>-6.2601920000000005E-2</v>
      </c>
      <c r="U616">
        <v>-8.6975100000000003E-3</v>
      </c>
      <c r="V616">
        <v>-5.6129279999999997E-2</v>
      </c>
      <c r="W616">
        <v>0.1726791</v>
      </c>
      <c r="X616">
        <v>0.98337759999999996</v>
      </c>
      <c r="Y616">
        <v>-7.5924939999999995E-4</v>
      </c>
      <c r="Z616" s="1">
        <v>4.4742340000000003E-5</v>
      </c>
      <c r="AA616">
        <v>0.99999970000000005</v>
      </c>
      <c r="AB616">
        <v>32</v>
      </c>
      <c r="AC616">
        <v>56.416200000000003</v>
      </c>
      <c r="AD616">
        <v>-1.160026</v>
      </c>
      <c r="AE616">
        <v>-0.16060000000004401</v>
      </c>
      <c r="AF616">
        <v>-4.2859112249699197E-2</v>
      </c>
      <c r="AG616">
        <v>-1.160026</v>
      </c>
      <c r="AH616">
        <v>56.392570105351197</v>
      </c>
      <c r="AI616">
        <v>91.178438972012799</v>
      </c>
      <c r="AJ616">
        <v>90.043545555171306</v>
      </c>
      <c r="AK616">
        <v>56.404516311294898</v>
      </c>
      <c r="AL616">
        <v>80.056376087857103</v>
      </c>
      <c r="AM616">
        <v>93.266787061608994</v>
      </c>
      <c r="AN616">
        <v>1.00000003591594</v>
      </c>
    </row>
    <row r="617" spans="1:40" x14ac:dyDescent="0.25">
      <c r="A617" t="str">
        <f>"20190304155326674"</f>
        <v>20190304155326674</v>
      </c>
      <c r="B617" t="str">
        <f>"1551686006666695"</f>
        <v>1551686006666695</v>
      </c>
      <c r="C617" t="s">
        <v>40</v>
      </c>
      <c r="D617">
        <v>4.4792699999999996</v>
      </c>
      <c r="E617">
        <v>0.51942390000000005</v>
      </c>
      <c r="F617" t="s">
        <v>47</v>
      </c>
      <c r="G617">
        <v>-280.29270000000002</v>
      </c>
      <c r="H617">
        <v>-0.05</v>
      </c>
      <c r="I617">
        <v>367.09300000000002</v>
      </c>
      <c r="J617">
        <v>-335.36439999999999</v>
      </c>
      <c r="K617">
        <v>1.1100289999999999</v>
      </c>
      <c r="L617">
        <v>367.25290000000001</v>
      </c>
      <c r="M617">
        <v>0.99992729999999996</v>
      </c>
      <c r="N617">
        <v>-1.1514770000000001E-2</v>
      </c>
      <c r="O617">
        <v>-3.5967210000000002E-3</v>
      </c>
      <c r="P617">
        <v>0.98552010000000001</v>
      </c>
      <c r="Q617">
        <v>0.1613077</v>
      </c>
      <c r="R617">
        <v>5.2250289999999998E-2</v>
      </c>
      <c r="S617">
        <v>3.0551759999999999</v>
      </c>
      <c r="T617">
        <v>-6.4026E-2</v>
      </c>
      <c r="U617">
        <v>-8.8806149999999997E-3</v>
      </c>
      <c r="V617">
        <v>-5.579344E-2</v>
      </c>
      <c r="W617">
        <v>0.17264299999999999</v>
      </c>
      <c r="X617">
        <v>0.98340300000000003</v>
      </c>
      <c r="Y617">
        <v>-6.8983480000000001E-4</v>
      </c>
      <c r="Z617" s="1">
        <v>4.5151429999999998E-5</v>
      </c>
      <c r="AA617">
        <v>0.99999979999999999</v>
      </c>
      <c r="AB617">
        <v>32</v>
      </c>
      <c r="AC617">
        <v>55.0716999999999</v>
      </c>
      <c r="AD617">
        <v>-1.160029</v>
      </c>
      <c r="AE617">
        <v>-0.15989999999999299</v>
      </c>
      <c r="AF617">
        <v>-3.81747564558724E-2</v>
      </c>
      <c r="AG617">
        <v>-1.160029</v>
      </c>
      <c r="AH617">
        <v>55.047495012343397</v>
      </c>
      <c r="AI617">
        <v>91.207228664172007</v>
      </c>
      <c r="AJ617">
        <v>90.039733907559906</v>
      </c>
      <c r="AK617">
        <v>55.0597296735722</v>
      </c>
      <c r="AL617">
        <v>80.058475511204705</v>
      </c>
      <c r="AM617">
        <v>93.247199058846803</v>
      </c>
      <c r="AN617">
        <v>0.99999998690251601</v>
      </c>
    </row>
    <row r="618" spans="1:40" x14ac:dyDescent="0.25">
      <c r="A618" t="str">
        <f>"20190304155326695"</f>
        <v>20190304155326695</v>
      </c>
      <c r="B618" t="str">
        <f>"1551686006686212"</f>
        <v>1551686006686212</v>
      </c>
      <c r="C618" t="s">
        <v>40</v>
      </c>
      <c r="D618">
        <v>4.5947269999999998</v>
      </c>
      <c r="E618">
        <v>0.51941539999999997</v>
      </c>
      <c r="F618" t="s">
        <v>47</v>
      </c>
      <c r="G618">
        <v>-282.68150000000003</v>
      </c>
      <c r="H618">
        <v>-0.05</v>
      </c>
      <c r="I618">
        <v>367.09820000000002</v>
      </c>
      <c r="J618">
        <v>-335.04919999999998</v>
      </c>
      <c r="K618">
        <v>1.1100319999999999</v>
      </c>
      <c r="L618">
        <v>367.2518</v>
      </c>
      <c r="M618">
        <v>0.9999266</v>
      </c>
      <c r="N618">
        <v>-1.1583100000000001E-2</v>
      </c>
      <c r="O618">
        <v>-3.5851949999999998E-3</v>
      </c>
      <c r="P618">
        <v>0.98556849999999996</v>
      </c>
      <c r="Q618">
        <v>0.1610432</v>
      </c>
      <c r="R618">
        <v>5.2155600000000003E-2</v>
      </c>
      <c r="S618">
        <v>3.0556030000000001</v>
      </c>
      <c r="T618">
        <v>-6.7281599999999997E-2</v>
      </c>
      <c r="U618">
        <v>-8.9721680000000009E-3</v>
      </c>
      <c r="V618">
        <v>-5.5687540000000001E-2</v>
      </c>
      <c r="W618">
        <v>0.17244609999999999</v>
      </c>
      <c r="X618">
        <v>0.98344359999999997</v>
      </c>
      <c r="Y618">
        <v>-6.4871600000000003E-4</v>
      </c>
      <c r="Z618" s="1">
        <v>4.8305130000000001E-5</v>
      </c>
      <c r="AA618">
        <v>0.99999979999999999</v>
      </c>
      <c r="AB618">
        <v>32</v>
      </c>
      <c r="AC618">
        <v>52.3676999999999</v>
      </c>
      <c r="AD618">
        <v>-1.160032</v>
      </c>
      <c r="AE618">
        <v>-0.153599999999983</v>
      </c>
      <c r="AF618">
        <v>-3.4145223565982201E-2</v>
      </c>
      <c r="AG618">
        <v>-1.160032</v>
      </c>
      <c r="AH618">
        <v>52.342230192380903</v>
      </c>
      <c r="AI618">
        <v>91.269606674640201</v>
      </c>
      <c r="AJ618">
        <v>90.037376644368294</v>
      </c>
      <c r="AK618">
        <v>52.3550943237571</v>
      </c>
      <c r="AL618">
        <v>80.069929332511094</v>
      </c>
      <c r="AM618">
        <v>93.2409152745782</v>
      </c>
      <c r="AN618">
        <v>1.0000000369487101</v>
      </c>
    </row>
    <row r="619" spans="1:40" x14ac:dyDescent="0.25">
      <c r="A619" t="str">
        <f>"20190304155326708"</f>
        <v>20190304155326708</v>
      </c>
      <c r="B619" t="str">
        <f>"1551686006706708"</f>
        <v>1551686006706708</v>
      </c>
      <c r="C619" t="s">
        <v>40</v>
      </c>
      <c r="D619">
        <v>4.4960829999999996</v>
      </c>
      <c r="E619">
        <v>0.51929629999999904</v>
      </c>
      <c r="F619" t="s">
        <v>47</v>
      </c>
      <c r="G619">
        <v>-285.32850000000002</v>
      </c>
      <c r="H619">
        <v>-0.05</v>
      </c>
      <c r="I619">
        <v>367.09530000000001</v>
      </c>
      <c r="J619">
        <v>-334.8623</v>
      </c>
      <c r="K619">
        <v>1.110034</v>
      </c>
      <c r="L619">
        <v>367.25110000000001</v>
      </c>
      <c r="M619">
        <v>0.99992599999999998</v>
      </c>
      <c r="N619">
        <v>-1.162587E-2</v>
      </c>
      <c r="O619">
        <v>-3.5776969999999999E-3</v>
      </c>
      <c r="P619">
        <v>0.9856568</v>
      </c>
      <c r="Q619">
        <v>0.16052079999999999</v>
      </c>
      <c r="R619">
        <v>5.2093819999999999E-2</v>
      </c>
      <c r="S619">
        <v>3.0560909999999999</v>
      </c>
      <c r="T619">
        <v>-7.1301459999999997E-2</v>
      </c>
      <c r="U619">
        <v>-9.6130369999999996E-3</v>
      </c>
      <c r="V619">
        <v>-5.5618630000000002E-2</v>
      </c>
      <c r="W619">
        <v>0.1719675</v>
      </c>
      <c r="X619">
        <v>0.98353120000000005</v>
      </c>
      <c r="Y619">
        <v>-4.3200239999999999E-4</v>
      </c>
      <c r="Z619" s="1">
        <v>4.9417389999999998E-5</v>
      </c>
      <c r="AA619">
        <v>0.99999990000000005</v>
      </c>
      <c r="AB619">
        <v>32</v>
      </c>
      <c r="AC619">
        <v>49.5337999999999</v>
      </c>
      <c r="AD619">
        <v>-1.160034</v>
      </c>
      <c r="AE619">
        <v>-0.15579999999999899</v>
      </c>
      <c r="AF619">
        <v>-2.1418158808573999E-2</v>
      </c>
      <c r="AG619">
        <v>-1.160034</v>
      </c>
      <c r="AH619">
        <v>49.506888531381698</v>
      </c>
      <c r="AI619">
        <v>91.342295746873404</v>
      </c>
      <c r="AJ619">
        <v>90.024787864164196</v>
      </c>
      <c r="AK619">
        <v>49.520482122828</v>
      </c>
      <c r="AL619">
        <v>80.097765965703005</v>
      </c>
      <c r="AM619">
        <v>93.2366256802744</v>
      </c>
      <c r="AN619">
        <v>0.99999993721638103</v>
      </c>
    </row>
    <row r="620" spans="1:40" x14ac:dyDescent="0.25">
      <c r="A620" t="str">
        <f>"20190304155326729"</f>
        <v>20190304155326729</v>
      </c>
      <c r="B620" t="str">
        <f>"1551686006726228"</f>
        <v>1551686006726228</v>
      </c>
      <c r="C620" t="s">
        <v>40</v>
      </c>
      <c r="D620">
        <v>4.459854</v>
      </c>
      <c r="E620">
        <v>0.5191886</v>
      </c>
      <c r="F620" t="s">
        <v>47</v>
      </c>
      <c r="G620">
        <v>-288.00650000000002</v>
      </c>
      <c r="H620">
        <v>-0.05</v>
      </c>
      <c r="I620">
        <v>367.12009999999998</v>
      </c>
      <c r="J620">
        <v>-334.57069999999999</v>
      </c>
      <c r="K620">
        <v>1.1099410000000001</v>
      </c>
      <c r="L620">
        <v>367.25009999999997</v>
      </c>
      <c r="M620">
        <v>0.99992939999999997</v>
      </c>
      <c r="N620">
        <v>-1.134333E-2</v>
      </c>
      <c r="O620">
        <v>-3.566788E-3</v>
      </c>
      <c r="P620">
        <v>0.98565389999999997</v>
      </c>
      <c r="Q620">
        <v>0.16055529999999901</v>
      </c>
      <c r="R620">
        <v>5.2044890000000003E-2</v>
      </c>
      <c r="S620">
        <v>3.0564580000000001</v>
      </c>
      <c r="T620">
        <v>-7.567024E-2</v>
      </c>
      <c r="U620">
        <v>-8.5449219999999999E-3</v>
      </c>
      <c r="V620">
        <v>-5.5558660000000003E-2</v>
      </c>
      <c r="W620">
        <v>0.17172370000000001</v>
      </c>
      <c r="X620">
        <v>0.98357729999999999</v>
      </c>
      <c r="Y620">
        <v>-7.7067219999999998E-4</v>
      </c>
      <c r="Z620" s="1">
        <v>6.1744149999999994E-5</v>
      </c>
      <c r="AA620">
        <v>0.99999970000000005</v>
      </c>
      <c r="AB620">
        <v>32</v>
      </c>
      <c r="AC620">
        <v>46.5641999999999</v>
      </c>
      <c r="AD620">
        <v>-1.1599409999999899</v>
      </c>
      <c r="AE620">
        <v>-0.12999999999999501</v>
      </c>
      <c r="AF620">
        <v>-3.6073741645670399E-2</v>
      </c>
      <c r="AG620">
        <v>-1.1599409999999899</v>
      </c>
      <c r="AH620">
        <v>46.535490721769399</v>
      </c>
      <c r="AI620">
        <v>91.427855257543797</v>
      </c>
      <c r="AJ620">
        <v>90.044414976644205</v>
      </c>
      <c r="AK620">
        <v>46.549958766407102</v>
      </c>
      <c r="AL620">
        <v>80.111946736655597</v>
      </c>
      <c r="AM620">
        <v>93.232992026977499</v>
      </c>
      <c r="AN620">
        <v>1.00000004945898</v>
      </c>
    </row>
    <row r="621" spans="1:40" x14ac:dyDescent="0.25">
      <c r="A621" t="str">
        <f>"20190304155326741"</f>
        <v>20190304155326741</v>
      </c>
      <c r="B621" t="str">
        <f>"1551686006735989"</f>
        <v>1551686006735989</v>
      </c>
      <c r="C621" t="s">
        <v>40</v>
      </c>
      <c r="D621">
        <v>4.4571079999999998</v>
      </c>
      <c r="E621">
        <v>0.51913209999999999</v>
      </c>
      <c r="F621" t="s">
        <v>47</v>
      </c>
      <c r="G621">
        <v>-289.23829999999998</v>
      </c>
      <c r="H621">
        <v>-0.05</v>
      </c>
      <c r="I621">
        <v>367.13240000000002</v>
      </c>
      <c r="J621">
        <v>-334.38650000000001</v>
      </c>
      <c r="K621">
        <v>1.1097809999999999</v>
      </c>
      <c r="L621">
        <v>367.24950000000001</v>
      </c>
      <c r="M621">
        <v>0.99993540000000003</v>
      </c>
      <c r="N621">
        <v>-1.0793530000000001E-2</v>
      </c>
      <c r="O621">
        <v>-3.5597070000000001E-3</v>
      </c>
      <c r="P621">
        <v>0.98556619999999995</v>
      </c>
      <c r="Q621">
        <v>0.16102900000000001</v>
      </c>
      <c r="R621">
        <v>5.2238930000000003E-2</v>
      </c>
      <c r="S621">
        <v>3.0568240000000002</v>
      </c>
      <c r="T621">
        <v>-7.8216199999999902E-2</v>
      </c>
      <c r="U621">
        <v>-7.9345700000000002E-3</v>
      </c>
      <c r="V621">
        <v>-5.5745049999999997E-2</v>
      </c>
      <c r="W621">
        <v>0.17165610000000001</v>
      </c>
      <c r="X621">
        <v>0.98357850000000002</v>
      </c>
      <c r="Y621">
        <v>-9.633984E-4</v>
      </c>
      <c r="Z621" s="1">
        <v>7.0173049999999997E-5</v>
      </c>
      <c r="AA621">
        <v>0.99999950000000004</v>
      </c>
      <c r="AB621">
        <v>32</v>
      </c>
      <c r="AC621">
        <v>45.148200000000003</v>
      </c>
      <c r="AD621">
        <v>-1.159781</v>
      </c>
      <c r="AE621">
        <v>-0.117099999999993</v>
      </c>
      <c r="AF621">
        <v>-4.3595701822689202E-2</v>
      </c>
      <c r="AG621">
        <v>-1.159781</v>
      </c>
      <c r="AH621">
        <v>45.118557729669</v>
      </c>
      <c r="AI621">
        <v>91.472473827165402</v>
      </c>
      <c r="AJ621">
        <v>90.055361896915102</v>
      </c>
      <c r="AK621">
        <v>45.133482517513002</v>
      </c>
      <c r="AL621">
        <v>80.115877781867198</v>
      </c>
      <c r="AM621">
        <v>93.243811101457894</v>
      </c>
      <c r="AN621">
        <v>0.99999999646448101</v>
      </c>
    </row>
    <row r="622" spans="1:40" x14ac:dyDescent="0.25">
      <c r="A622" t="str">
        <f>"20190304155326754"</f>
        <v>20190304155326754</v>
      </c>
      <c r="B622" t="str">
        <f>"1551686006746725"</f>
        <v>1551686006746725</v>
      </c>
      <c r="C622" t="s">
        <v>40</v>
      </c>
      <c r="D622">
        <v>4.4663240000000002</v>
      </c>
      <c r="E622">
        <v>0.5190768</v>
      </c>
      <c r="F622" t="s">
        <v>47</v>
      </c>
      <c r="G622">
        <v>-288.81270000000001</v>
      </c>
      <c r="H622">
        <v>-0.05</v>
      </c>
      <c r="I622">
        <v>367.14249999999998</v>
      </c>
      <c r="J622">
        <v>-334.19709999999998</v>
      </c>
      <c r="K622">
        <v>1.1095980000000001</v>
      </c>
      <c r="L622">
        <v>367.24880000000002</v>
      </c>
      <c r="M622">
        <v>0.99994320000000003</v>
      </c>
      <c r="N622">
        <v>-1.005986E-2</v>
      </c>
      <c r="O622">
        <v>-3.5531550000000001E-3</v>
      </c>
      <c r="P622">
        <v>0.98548290000000005</v>
      </c>
      <c r="Q622">
        <v>0.16160089999999999</v>
      </c>
      <c r="R622">
        <v>5.2043829999999999E-2</v>
      </c>
      <c r="S622">
        <v>3.0570369999999998</v>
      </c>
      <c r="T622">
        <v>-7.7796699999999996E-2</v>
      </c>
      <c r="U622">
        <v>-7.1716310000000004E-3</v>
      </c>
      <c r="V622">
        <v>-5.5542979999999999E-2</v>
      </c>
      <c r="W622">
        <v>0.17150580000000001</v>
      </c>
      <c r="X622">
        <v>0.98361620000000005</v>
      </c>
      <c r="Y622">
        <v>-1.2064389999999999E-3</v>
      </c>
      <c r="Z622" s="1">
        <v>7.6083690000000004E-5</v>
      </c>
      <c r="AA622">
        <v>0.99999930000000004</v>
      </c>
      <c r="AB622">
        <v>33</v>
      </c>
      <c r="AC622">
        <v>45.3843999999999</v>
      </c>
      <c r="AD622">
        <v>-1.1595979999999999</v>
      </c>
      <c r="AE622">
        <v>-0.10630000000003199</v>
      </c>
      <c r="AF622">
        <v>-5.4930760348170203E-2</v>
      </c>
      <c r="AG622">
        <v>-1.1595979999999999</v>
      </c>
      <c r="AH622">
        <v>45.354882227177598</v>
      </c>
      <c r="AI622">
        <v>91.464573341295804</v>
      </c>
      <c r="AJ622">
        <v>90.069392732159798</v>
      </c>
      <c r="AK622">
        <v>45.369736904143302</v>
      </c>
      <c r="AL622">
        <v>80.124619458074505</v>
      </c>
      <c r="AM622">
        <v>93.231953981777906</v>
      </c>
      <c r="AN622">
        <v>1.00000004548167</v>
      </c>
    </row>
    <row r="623" spans="1:40" x14ac:dyDescent="0.25">
      <c r="A623" t="str">
        <f>"20190304155326776"</f>
        <v>20190304155326776</v>
      </c>
      <c r="B623" t="str">
        <f>"1551686006766244"</f>
        <v>1551686006766244</v>
      </c>
      <c r="C623" t="s">
        <v>40</v>
      </c>
      <c r="D623">
        <v>4.4047519999999896</v>
      </c>
      <c r="E623">
        <v>0.51896739999999997</v>
      </c>
      <c r="F623" t="s">
        <v>47</v>
      </c>
      <c r="G623">
        <v>-288.25240000000002</v>
      </c>
      <c r="H623">
        <v>-0.05</v>
      </c>
      <c r="I623">
        <v>367.13729999999998</v>
      </c>
      <c r="J623">
        <v>-333.8854</v>
      </c>
      <c r="K623">
        <v>1.1093200000000001</v>
      </c>
      <c r="L623">
        <v>367.24770000000001</v>
      </c>
      <c r="M623">
        <v>0.99995480000000003</v>
      </c>
      <c r="N623">
        <v>-8.8445940000000008E-3</v>
      </c>
      <c r="O623">
        <v>-3.5425460000000001E-3</v>
      </c>
      <c r="P623">
        <v>0.98539869999999996</v>
      </c>
      <c r="Q623">
        <v>0.1621233</v>
      </c>
      <c r="R623">
        <v>5.2015810000000003E-2</v>
      </c>
      <c r="S623">
        <v>3.0572509999999999</v>
      </c>
      <c r="T623">
        <v>-7.716191E-2</v>
      </c>
      <c r="U623">
        <v>-7.4157709999999998E-3</v>
      </c>
      <c r="V623">
        <v>-5.5503610000000002E-2</v>
      </c>
      <c r="W623">
        <v>0.1708316</v>
      </c>
      <c r="X623">
        <v>0.98373569999999999</v>
      </c>
      <c r="Y623">
        <v>-1.116106E-3</v>
      </c>
      <c r="Z623" s="1">
        <v>7.7085209999999999E-5</v>
      </c>
      <c r="AA623">
        <v>0.99999939999999998</v>
      </c>
      <c r="AB623">
        <v>33</v>
      </c>
      <c r="AC623">
        <v>45.632999999999903</v>
      </c>
      <c r="AD623">
        <v>-1.1593199999999999</v>
      </c>
      <c r="AE623">
        <v>-0.11040000000002601</v>
      </c>
      <c r="AF623">
        <v>-5.1230921405130199E-2</v>
      </c>
      <c r="AG623">
        <v>-1.1593199999999999</v>
      </c>
      <c r="AH623">
        <v>45.603670981509303</v>
      </c>
      <c r="AI623">
        <v>91.456237979381996</v>
      </c>
      <c r="AJ623">
        <v>90.064365746859806</v>
      </c>
      <c r="AK623">
        <v>45.6184332749324</v>
      </c>
      <c r="AL623">
        <v>80.163826521952601</v>
      </c>
      <c r="AM623">
        <v>93.229276462144</v>
      </c>
      <c r="AN623">
        <v>1.0000000068680399</v>
      </c>
    </row>
    <row r="624" spans="1:40" x14ac:dyDescent="0.25">
      <c r="A624" t="str">
        <f>"20190304155326808"</f>
        <v>20190304155326808</v>
      </c>
      <c r="B624" t="str">
        <f>"1551686006796500"</f>
        <v>1551686006796500</v>
      </c>
      <c r="C624" t="s">
        <v>40</v>
      </c>
      <c r="D624">
        <v>4.3518179999999997</v>
      </c>
      <c r="E624">
        <v>0.51877609999999996</v>
      </c>
      <c r="F624" t="s">
        <v>47</v>
      </c>
      <c r="G624">
        <v>-288.25920000000002</v>
      </c>
      <c r="H624">
        <v>-0.05</v>
      </c>
      <c r="I624">
        <v>367.15519999999998</v>
      </c>
      <c r="J624">
        <v>-333.40159999999997</v>
      </c>
      <c r="K624">
        <v>1.1089850000000001</v>
      </c>
      <c r="L624">
        <v>367.24599999999998</v>
      </c>
      <c r="M624">
        <v>0.99996940000000001</v>
      </c>
      <c r="N624">
        <v>-7.0027600000000002E-3</v>
      </c>
      <c r="O624">
        <v>-3.5256160000000001E-3</v>
      </c>
      <c r="P624">
        <v>0.98512049999999995</v>
      </c>
      <c r="Q624">
        <v>0.16400519999999999</v>
      </c>
      <c r="R624">
        <v>5.138438E-2</v>
      </c>
      <c r="S624">
        <v>3.0575869999999998</v>
      </c>
      <c r="T624">
        <v>-7.7690599999999999E-2</v>
      </c>
      <c r="U624">
        <v>-6.1950679999999998E-3</v>
      </c>
      <c r="V624">
        <v>-5.4854199999999902E-2</v>
      </c>
      <c r="W624">
        <v>0.17089969999999999</v>
      </c>
      <c r="X624">
        <v>0.98376030000000003</v>
      </c>
      <c r="Y624">
        <v>-1.498367E-3</v>
      </c>
      <c r="Z624" s="1">
        <v>8.9162070000000003E-5</v>
      </c>
      <c r="AA624">
        <v>0.99999890000000002</v>
      </c>
      <c r="AB624">
        <v>33</v>
      </c>
      <c r="AC624">
        <v>45.142399999999903</v>
      </c>
      <c r="AD624">
        <v>-1.1589849999999999</v>
      </c>
      <c r="AE624">
        <v>-9.0800000000001505E-2</v>
      </c>
      <c r="AF624">
        <v>-6.8314183798998201E-2</v>
      </c>
      <c r="AG624">
        <v>-1.1589849999999999</v>
      </c>
      <c r="AH624">
        <v>45.112703498943198</v>
      </c>
      <c r="AI624">
        <v>91.471653525656095</v>
      </c>
      <c r="AJ624">
        <v>90.086762954049803</v>
      </c>
      <c r="AK624">
        <v>45.127640421824601</v>
      </c>
      <c r="AL624">
        <v>80.159866467857</v>
      </c>
      <c r="AM624">
        <v>93.191491821032997</v>
      </c>
      <c r="AN624">
        <v>1.0000000092869099</v>
      </c>
    </row>
    <row r="625" spans="1:40" x14ac:dyDescent="0.25">
      <c r="A625" t="str">
        <f>"20190304155326829"</f>
        <v>20190304155326829</v>
      </c>
      <c r="B625" t="str">
        <f>"1551686006826756"</f>
        <v>1551686006826756</v>
      </c>
      <c r="C625" t="s">
        <v>40</v>
      </c>
      <c r="D625">
        <v>4.3258260000000002</v>
      </c>
      <c r="E625">
        <v>0.51879109999999995</v>
      </c>
      <c r="F625" t="s">
        <v>47</v>
      </c>
      <c r="G625">
        <v>-286.21120000000002</v>
      </c>
      <c r="H625">
        <v>-0.05</v>
      </c>
      <c r="I625">
        <v>367.14280000000002</v>
      </c>
      <c r="J625">
        <v>-333.06630000000001</v>
      </c>
      <c r="K625">
        <v>1.1088039999999999</v>
      </c>
      <c r="L625">
        <v>367.2448</v>
      </c>
      <c r="M625">
        <v>0.99997709999999995</v>
      </c>
      <c r="N625">
        <v>-5.8012039999999999E-3</v>
      </c>
      <c r="O625">
        <v>-3.515336E-3</v>
      </c>
      <c r="P625">
        <v>0.98483089999999995</v>
      </c>
      <c r="Q625">
        <v>0.1656513</v>
      </c>
      <c r="R625">
        <v>5.1653560000000001E-2</v>
      </c>
      <c r="S625">
        <v>3.0581360000000002</v>
      </c>
      <c r="T625">
        <v>-7.5106980000000004E-2</v>
      </c>
      <c r="U625">
        <v>-6.6833500000000002E-3</v>
      </c>
      <c r="V625">
        <v>-5.5112399999999999E-2</v>
      </c>
      <c r="W625">
        <v>0.17136199999999999</v>
      </c>
      <c r="X625">
        <v>0.98366540000000002</v>
      </c>
      <c r="Y625">
        <v>-1.3288589999999999E-3</v>
      </c>
      <c r="Z625" s="1">
        <v>8.6102289999999895E-5</v>
      </c>
      <c r="AA625">
        <v>0.99999910000000003</v>
      </c>
      <c r="AB625">
        <v>34</v>
      </c>
      <c r="AC625">
        <v>46.855099999999901</v>
      </c>
      <c r="AD625">
        <v>-1.1588039999999999</v>
      </c>
      <c r="AE625">
        <v>-0.101999999999975</v>
      </c>
      <c r="AF625">
        <v>-6.2676468105941199E-2</v>
      </c>
      <c r="AG625">
        <v>-1.1588039999999999</v>
      </c>
      <c r="AH625">
        <v>46.826527527334299</v>
      </c>
      <c r="AI625">
        <v>91.417593277875397</v>
      </c>
      <c r="AJ625">
        <v>90.076689328514405</v>
      </c>
      <c r="AK625">
        <v>46.840905577478601</v>
      </c>
      <c r="AL625">
        <v>80.132981601010897</v>
      </c>
      <c r="AM625">
        <v>93.206791676922506</v>
      </c>
      <c r="AN625">
        <v>0.99999996541745895</v>
      </c>
    </row>
    <row r="626" spans="1:40" x14ac:dyDescent="0.25">
      <c r="A626" t="str">
        <f>"20190304155326853"</f>
        <v>20190304155326853</v>
      </c>
      <c r="B626" t="str">
        <f>"1551686006846280"</f>
        <v>1551686006846280</v>
      </c>
      <c r="C626" t="s">
        <v>40</v>
      </c>
      <c r="D626">
        <v>4.314711</v>
      </c>
      <c r="E626">
        <v>0.51869449999999995</v>
      </c>
      <c r="F626" t="s">
        <v>47</v>
      </c>
      <c r="G626">
        <v>-283.61950000000002</v>
      </c>
      <c r="H626">
        <v>-0.05</v>
      </c>
      <c r="I626">
        <v>367.14359999999999</v>
      </c>
      <c r="J626">
        <v>-332.709</v>
      </c>
      <c r="K626">
        <v>1.1086780000000001</v>
      </c>
      <c r="L626">
        <v>367.24360000000001</v>
      </c>
      <c r="M626">
        <v>0.99998299999999996</v>
      </c>
      <c r="N626">
        <v>-4.672257E-3</v>
      </c>
      <c r="O626">
        <v>-3.504629E-3</v>
      </c>
      <c r="P626">
        <v>0.98457340000000004</v>
      </c>
      <c r="Q626">
        <v>0.16707669999999999</v>
      </c>
      <c r="R626">
        <v>5.1970860000000001E-2</v>
      </c>
      <c r="S626">
        <v>3.0585629999999999</v>
      </c>
      <c r="T626">
        <v>-7.1678519999999996E-2</v>
      </c>
      <c r="U626">
        <v>-6.2561040000000002E-3</v>
      </c>
      <c r="V626">
        <v>-5.5418429999999998E-2</v>
      </c>
      <c r="W626">
        <v>0.17167479999999999</v>
      </c>
      <c r="X626">
        <v>0.98359370000000002</v>
      </c>
      <c r="Y626">
        <v>-1.458141E-3</v>
      </c>
      <c r="Z626" s="1">
        <v>8.6238480000000003E-5</v>
      </c>
      <c r="AA626">
        <v>0.99999890000000002</v>
      </c>
      <c r="AB626">
        <v>34</v>
      </c>
      <c r="AC626">
        <v>49.089500000000001</v>
      </c>
      <c r="AD626">
        <v>-1.1586780000000001</v>
      </c>
      <c r="AE626">
        <v>-0.100000000000022</v>
      </c>
      <c r="AF626">
        <v>-7.2002853566365002E-2</v>
      </c>
      <c r="AG626">
        <v>-1.1586780000000001</v>
      </c>
      <c r="AH626">
        <v>49.062215590057498</v>
      </c>
      <c r="AI626">
        <v>91.352873057480195</v>
      </c>
      <c r="AJ626">
        <v>90.084086228288598</v>
      </c>
      <c r="AK626">
        <v>49.075948464842597</v>
      </c>
      <c r="AL626">
        <v>80.114790271399698</v>
      </c>
      <c r="AM626">
        <v>93.224795546666797</v>
      </c>
      <c r="AN626">
        <v>1.00000000300919</v>
      </c>
    </row>
    <row r="627" spans="1:40" x14ac:dyDescent="0.25">
      <c r="A627" t="str">
        <f>"20190304155326874"</f>
        <v>20190304155326874</v>
      </c>
      <c r="B627" t="str">
        <f>"1551686006866776"</f>
        <v>1551686006866776</v>
      </c>
      <c r="C627" t="s">
        <v>40</v>
      </c>
      <c r="D627">
        <v>4.2718309999999997</v>
      </c>
      <c r="E627">
        <v>0.51860430000000002</v>
      </c>
      <c r="F627" t="s">
        <v>47</v>
      </c>
      <c r="G627">
        <v>-281.26069999999999</v>
      </c>
      <c r="H627">
        <v>-0.05</v>
      </c>
      <c r="I627">
        <v>367.1696</v>
      </c>
      <c r="J627">
        <v>-332.37970000000001</v>
      </c>
      <c r="K627">
        <v>1.108641</v>
      </c>
      <c r="L627">
        <v>367.24239999999998</v>
      </c>
      <c r="M627">
        <v>0.99998640000000005</v>
      </c>
      <c r="N627">
        <v>-3.9177509999999997E-3</v>
      </c>
      <c r="O627">
        <v>-3.49454E-3</v>
      </c>
      <c r="P627">
        <v>0.98437859999999999</v>
      </c>
      <c r="Q627">
        <v>0.1683675</v>
      </c>
      <c r="R627">
        <v>5.1491099999999901E-2</v>
      </c>
      <c r="S627">
        <v>3.0588679999999999</v>
      </c>
      <c r="T627">
        <v>-6.888938E-2</v>
      </c>
      <c r="U627">
        <v>-4.3945310000000001E-3</v>
      </c>
      <c r="V627">
        <v>-5.4928600000000001E-2</v>
      </c>
      <c r="W627">
        <v>0.17222309999999999</v>
      </c>
      <c r="X627">
        <v>0.98352530000000005</v>
      </c>
      <c r="Y627">
        <v>-2.0567039999999999E-3</v>
      </c>
      <c r="Z627" s="1">
        <v>9.2187879999999997E-5</v>
      </c>
      <c r="AA627">
        <v>0.9999979</v>
      </c>
      <c r="AB627">
        <v>34</v>
      </c>
      <c r="AC627">
        <v>51.119</v>
      </c>
      <c r="AD627">
        <v>-1.158641</v>
      </c>
      <c r="AE627">
        <v>-7.2799999999972401E-2</v>
      </c>
      <c r="AF627">
        <v>-0.105784829002511</v>
      </c>
      <c r="AG627">
        <v>-1.158641</v>
      </c>
      <c r="AH627">
        <v>51.0926945855851</v>
      </c>
      <c r="AI627">
        <v>91.299084368395796</v>
      </c>
      <c r="AJ627">
        <v>90.118627831763803</v>
      </c>
      <c r="AK627">
        <v>51.105939766457801</v>
      </c>
      <c r="AL627">
        <v>80.0828998018833</v>
      </c>
      <c r="AM627">
        <v>93.196573559994704</v>
      </c>
      <c r="AN627">
        <v>0.99999998150582903</v>
      </c>
    </row>
    <row r="628" spans="1:40" x14ac:dyDescent="0.25">
      <c r="A628" t="str">
        <f>"20190304155326898"</f>
        <v>20190304155326898</v>
      </c>
      <c r="B628" t="str">
        <f>"1551686006886292"</f>
        <v>1551686006886292</v>
      </c>
      <c r="C628" t="s">
        <v>40</v>
      </c>
      <c r="D628">
        <v>4.2603839999999904</v>
      </c>
      <c r="E628">
        <v>0.51851939999999996</v>
      </c>
      <c r="F628" t="s">
        <v>47</v>
      </c>
      <c r="G628">
        <v>-278.86099999999999</v>
      </c>
      <c r="H628">
        <v>-0.05</v>
      </c>
      <c r="I628">
        <v>367.15690000000001</v>
      </c>
      <c r="J628">
        <v>-332.01659999999998</v>
      </c>
      <c r="K628">
        <v>1.1087209999999901</v>
      </c>
      <c r="L628">
        <v>367.24110000000002</v>
      </c>
      <c r="M628">
        <v>0.99998770000000003</v>
      </c>
      <c r="N628">
        <v>-3.5581829999999999E-3</v>
      </c>
      <c r="O628">
        <v>-3.4820630000000001E-3</v>
      </c>
      <c r="P628">
        <v>0.9843324</v>
      </c>
      <c r="Q628">
        <v>0.16876379999999999</v>
      </c>
      <c r="R628">
        <v>5.1072909999999999E-2</v>
      </c>
      <c r="S628">
        <v>3.0592350000000001</v>
      </c>
      <c r="T628">
        <v>-6.623018E-2</v>
      </c>
      <c r="U628">
        <v>-4.8828129999999997E-3</v>
      </c>
      <c r="V628">
        <v>-5.4498119999999997E-2</v>
      </c>
      <c r="W628">
        <v>0.17226529999999901</v>
      </c>
      <c r="X628">
        <v>0.98354180000000002</v>
      </c>
      <c r="Y628">
        <v>-1.884918E-3</v>
      </c>
      <c r="Z628" s="1">
        <v>8.6741430000000005E-5</v>
      </c>
      <c r="AA628">
        <v>0.99999819999999995</v>
      </c>
      <c r="AB628">
        <v>34</v>
      </c>
      <c r="AC628">
        <v>53.1555999999999</v>
      </c>
      <c r="AD628">
        <v>-1.1587209999999999</v>
      </c>
      <c r="AE628">
        <v>-8.4200000000009795E-2</v>
      </c>
      <c r="AF628">
        <v>-0.100844893460378</v>
      </c>
      <c r="AG628">
        <v>-1.1587209999999999</v>
      </c>
      <c r="AH628">
        <v>53.130324442495798</v>
      </c>
      <c r="AI628">
        <v>91.249365241963602</v>
      </c>
      <c r="AJ628">
        <v>90.1087510739425</v>
      </c>
      <c r="AK628">
        <v>53.143053915006099</v>
      </c>
      <c r="AL628">
        <v>80.080444673572003</v>
      </c>
      <c r="AM628">
        <v>93.171519993799507</v>
      </c>
      <c r="AN628">
        <v>0.999999925507429</v>
      </c>
    </row>
    <row r="629" spans="1:40" x14ac:dyDescent="0.25">
      <c r="A629" t="str">
        <f>"20190304155326920"</f>
        <v>20190304155326920</v>
      </c>
      <c r="B629" t="str">
        <f>"1551686006916548"</f>
        <v>1551686006916548</v>
      </c>
      <c r="C629" t="s">
        <v>40</v>
      </c>
      <c r="D629">
        <v>4.2314850000000002</v>
      </c>
      <c r="E629">
        <v>0.51834539999999996</v>
      </c>
      <c r="F629" t="s">
        <v>47</v>
      </c>
      <c r="G629">
        <v>-278.7824</v>
      </c>
      <c r="H629">
        <v>-0.05</v>
      </c>
      <c r="I629">
        <v>367.15609999999998</v>
      </c>
      <c r="J629">
        <v>-331.67570000000001</v>
      </c>
      <c r="K629">
        <v>1.108873</v>
      </c>
      <c r="L629">
        <v>367.24</v>
      </c>
      <c r="M629">
        <v>0.99998739999999997</v>
      </c>
      <c r="N629">
        <v>-3.6469430000000001E-3</v>
      </c>
      <c r="O629">
        <v>-3.4697019999999999E-3</v>
      </c>
      <c r="P629">
        <v>0.98443760000000002</v>
      </c>
      <c r="Q629">
        <v>0.16822999999999999</v>
      </c>
      <c r="R629">
        <v>5.0807699999999997E-2</v>
      </c>
      <c r="S629">
        <v>3.059418</v>
      </c>
      <c r="T629">
        <v>-6.6592689999999996E-2</v>
      </c>
      <c r="U629">
        <v>-4.8828129999999997E-3</v>
      </c>
      <c r="V629">
        <v>-5.4221489999999997E-2</v>
      </c>
      <c r="W629">
        <v>0.1718191</v>
      </c>
      <c r="X629">
        <v>0.98363520000000004</v>
      </c>
      <c r="Y629">
        <v>-1.8726509999999999E-3</v>
      </c>
      <c r="Z629" s="1">
        <v>8.6654629999999896E-5</v>
      </c>
      <c r="AA629">
        <v>0.99999830000000001</v>
      </c>
      <c r="AB629">
        <v>35</v>
      </c>
      <c r="AC629">
        <v>52.893300000000004</v>
      </c>
      <c r="AD629">
        <v>-1.158873</v>
      </c>
      <c r="AE629">
        <v>-8.3900000000028202E-2</v>
      </c>
      <c r="AF629">
        <v>-9.9577901048352693E-2</v>
      </c>
      <c r="AG629">
        <v>-1.158873</v>
      </c>
      <c r="AH629">
        <v>52.867894490605799</v>
      </c>
      <c r="AI629">
        <v>91.255729648064204</v>
      </c>
      <c r="AJ629">
        <v>90.107917797197999</v>
      </c>
      <c r="AK629">
        <v>52.880688065288403</v>
      </c>
      <c r="AL629">
        <v>80.106397656251403</v>
      </c>
      <c r="AM629">
        <v>93.1551550985983</v>
      </c>
      <c r="AN629">
        <v>0.99999998989083505</v>
      </c>
    </row>
    <row r="630" spans="1:40" x14ac:dyDescent="0.25">
      <c r="A630" t="str">
        <f>"20190304155326940"</f>
        <v>20190304155326940</v>
      </c>
      <c r="B630" t="str">
        <f>"1551686006936069"</f>
        <v>1551686006936069</v>
      </c>
      <c r="C630" t="s">
        <v>40</v>
      </c>
      <c r="D630">
        <v>4.2181509999999998</v>
      </c>
      <c r="E630">
        <v>0.51820299999999997</v>
      </c>
      <c r="F630" t="s">
        <v>47</v>
      </c>
      <c r="G630">
        <v>-281.11410000000001</v>
      </c>
      <c r="H630">
        <v>-0.05</v>
      </c>
      <c r="I630">
        <v>367.15570000000002</v>
      </c>
      <c r="J630">
        <v>-331.34780000000001</v>
      </c>
      <c r="K630">
        <v>1.1090370000000001</v>
      </c>
      <c r="L630">
        <v>367.23880000000003</v>
      </c>
      <c r="M630">
        <v>0.99998640000000005</v>
      </c>
      <c r="N630">
        <v>-3.9427300000000002E-3</v>
      </c>
      <c r="O630">
        <v>-3.4578619999999999E-3</v>
      </c>
      <c r="P630">
        <v>0.98447470000000004</v>
      </c>
      <c r="Q630">
        <v>0.16804479999999999</v>
      </c>
      <c r="R630">
        <v>5.0706380000000002E-2</v>
      </c>
      <c r="S630">
        <v>3.0596619999999999</v>
      </c>
      <c r="T630">
        <v>-7.0127490000000001E-2</v>
      </c>
      <c r="U630">
        <v>-5.0964360000000002E-3</v>
      </c>
      <c r="V630">
        <v>-5.4108839999999998E-2</v>
      </c>
      <c r="W630">
        <v>0.17192479999999999</v>
      </c>
      <c r="X630">
        <v>0.98362300000000003</v>
      </c>
      <c r="Y630">
        <v>-1.7910370000000001E-3</v>
      </c>
      <c r="Z630" s="1">
        <v>8.966554E-5</v>
      </c>
      <c r="AA630">
        <v>0.99999839999999995</v>
      </c>
      <c r="AB630">
        <v>35</v>
      </c>
      <c r="AC630">
        <v>50.233699999999999</v>
      </c>
      <c r="AD630">
        <v>-1.1590370000000001</v>
      </c>
      <c r="AE630">
        <v>-8.31000000000017E-2</v>
      </c>
      <c r="AF630">
        <v>-9.0554815541329298E-2</v>
      </c>
      <c r="AG630">
        <v>-1.1590370000000001</v>
      </c>
      <c r="AH630">
        <v>50.206958994958299</v>
      </c>
      <c r="AI630">
        <v>91.3224467027771</v>
      </c>
      <c r="AJ630">
        <v>90.103340318212204</v>
      </c>
      <c r="AK630">
        <v>50.220417147445303</v>
      </c>
      <c r="AL630">
        <v>80.100250659825903</v>
      </c>
      <c r="AM630">
        <v>93.148652158403706</v>
      </c>
      <c r="AN630">
        <v>1.00000005477509</v>
      </c>
    </row>
    <row r="631" spans="1:40" x14ac:dyDescent="0.25">
      <c r="A631" t="str">
        <f>"20190304155326964"</f>
        <v>20190304155326964</v>
      </c>
      <c r="B631" t="str">
        <f>"1551686006956564"</f>
        <v>1551686006956564</v>
      </c>
      <c r="C631" t="s">
        <v>40</v>
      </c>
      <c r="D631">
        <v>4.2206409999999996</v>
      </c>
      <c r="E631">
        <v>0.51809050000000001</v>
      </c>
      <c r="F631" t="s">
        <v>47</v>
      </c>
      <c r="G631">
        <v>-282.1524</v>
      </c>
      <c r="H631">
        <v>-0.05</v>
      </c>
      <c r="I631">
        <v>367.16969999999998</v>
      </c>
      <c r="J631">
        <v>-330.99979999999999</v>
      </c>
      <c r="K631">
        <v>1.1091850000000001</v>
      </c>
      <c r="L631">
        <v>367.23759999999999</v>
      </c>
      <c r="M631">
        <v>0.99998469999999995</v>
      </c>
      <c r="N631">
        <v>-4.3368410000000001E-3</v>
      </c>
      <c r="O631">
        <v>-3.4450840000000002E-3</v>
      </c>
      <c r="P631">
        <v>0.98449569999999997</v>
      </c>
      <c r="Q631">
        <v>0.16790079999999999</v>
      </c>
      <c r="R631">
        <v>5.0772079999999997E-2</v>
      </c>
      <c r="S631">
        <v>3.0598139999999998</v>
      </c>
      <c r="T631">
        <v>-7.2088840000000001E-2</v>
      </c>
      <c r="U631">
        <v>-4.3029790000000002E-3</v>
      </c>
      <c r="V631">
        <v>-5.4161859999999999E-2</v>
      </c>
      <c r="W631">
        <v>0.17216809999999999</v>
      </c>
      <c r="X631">
        <v>0.98357749999999999</v>
      </c>
      <c r="Y631">
        <v>-2.0375290000000002E-3</v>
      </c>
      <c r="Z631" s="1">
        <v>9.4632690000000006E-5</v>
      </c>
      <c r="AA631">
        <v>0.9999979</v>
      </c>
      <c r="AB631">
        <v>35</v>
      </c>
      <c r="AC631">
        <v>48.847399999999901</v>
      </c>
      <c r="AD631">
        <v>-1.1591849999999999</v>
      </c>
      <c r="AE631">
        <v>-6.7900000000008703E-2</v>
      </c>
      <c r="AF631">
        <v>-0.10032887531998901</v>
      </c>
      <c r="AG631">
        <v>-1.1591849999999999</v>
      </c>
      <c r="AH631">
        <v>48.819851289956198</v>
      </c>
      <c r="AI631">
        <v>91.3601801105725</v>
      </c>
      <c r="AJ631">
        <v>90.117747450569595</v>
      </c>
      <c r="AK631">
        <v>48.833714334677502</v>
      </c>
      <c r="AL631">
        <v>80.086099341619303</v>
      </c>
      <c r="AM631">
        <v>93.151876736931996</v>
      </c>
      <c r="AN631">
        <v>1.0000000301212499</v>
      </c>
    </row>
    <row r="632" spans="1:40" x14ac:dyDescent="0.25">
      <c r="A632" t="str">
        <f>"20190304155326987"</f>
        <v>20190304155326987</v>
      </c>
      <c r="B632" t="str">
        <f>"1551686006976085"</f>
        <v>1551686006976085</v>
      </c>
      <c r="C632" t="s">
        <v>40</v>
      </c>
      <c r="D632">
        <v>4.2397359999999997</v>
      </c>
      <c r="E632">
        <v>0.51796109999999995</v>
      </c>
      <c r="F632" t="s">
        <v>47</v>
      </c>
      <c r="G632">
        <v>-282.93540000000002</v>
      </c>
      <c r="H632">
        <v>-0.05</v>
      </c>
      <c r="I632">
        <v>367.1891</v>
      </c>
      <c r="J632">
        <v>-330.62470000000002</v>
      </c>
      <c r="K632">
        <v>1.1093109999999999</v>
      </c>
      <c r="L632">
        <v>367.23630000000003</v>
      </c>
      <c r="M632">
        <v>0.99998279999999995</v>
      </c>
      <c r="N632">
        <v>-4.7877739999999998E-3</v>
      </c>
      <c r="O632">
        <v>-3.4321600000000001E-3</v>
      </c>
      <c r="P632">
        <v>0.98462280000000002</v>
      </c>
      <c r="Q632">
        <v>0.16716010000000001</v>
      </c>
      <c r="R632">
        <v>5.0751749999999998E-2</v>
      </c>
      <c r="S632">
        <v>3.0599980000000002</v>
      </c>
      <c r="T632">
        <v>-7.3799009999999998E-2</v>
      </c>
      <c r="U632">
        <v>-3.0822750000000002E-3</v>
      </c>
      <c r="V632">
        <v>-5.4129990000000003E-2</v>
      </c>
      <c r="W632">
        <v>0.17187169999999999</v>
      </c>
      <c r="X632">
        <v>0.98363109999999998</v>
      </c>
      <c r="Y632">
        <v>-2.423438E-3</v>
      </c>
      <c r="Z632">
        <v>1.013534E-4</v>
      </c>
      <c r="AA632">
        <v>0.99999709999999997</v>
      </c>
      <c r="AB632">
        <v>35</v>
      </c>
      <c r="AC632">
        <v>47.689300000000003</v>
      </c>
      <c r="AD632">
        <v>-1.159311</v>
      </c>
      <c r="AE632">
        <v>-4.7200000000032098E-2</v>
      </c>
      <c r="AF632">
        <v>-0.116410643161313</v>
      </c>
      <c r="AG632">
        <v>-1.159311</v>
      </c>
      <c r="AH632">
        <v>47.661015387611798</v>
      </c>
      <c r="AI632">
        <v>91.393388987568997</v>
      </c>
      <c r="AJ632">
        <v>90.139942995884795</v>
      </c>
      <c r="AK632">
        <v>47.675255019881398</v>
      </c>
      <c r="AL632">
        <v>80.103338879071401</v>
      </c>
      <c r="AM632">
        <v>93.149854535655507</v>
      </c>
      <c r="AN632">
        <v>1.0000000389827399</v>
      </c>
    </row>
    <row r="633" spans="1:40" x14ac:dyDescent="0.25">
      <c r="A633" t="str">
        <f>"20190304155327010"</f>
        <v>20190304155327010</v>
      </c>
      <c r="B633" t="str">
        <f>"1551686007006342"</f>
        <v>1551686007006342</v>
      </c>
      <c r="C633" t="s">
        <v>40</v>
      </c>
      <c r="D633">
        <v>4.227684</v>
      </c>
      <c r="E633">
        <v>0.51777550000000006</v>
      </c>
      <c r="F633" t="s">
        <v>47</v>
      </c>
      <c r="G633">
        <v>-284.73899999999998</v>
      </c>
      <c r="H633">
        <v>-0.05</v>
      </c>
      <c r="I633">
        <v>367.20159999999998</v>
      </c>
      <c r="J633">
        <v>-330.28089999999997</v>
      </c>
      <c r="K633">
        <v>1.109394</v>
      </c>
      <c r="L633">
        <v>367.23520000000002</v>
      </c>
      <c r="M633">
        <v>0.99998069999999895</v>
      </c>
      <c r="N633">
        <v>-5.2043749999999998E-3</v>
      </c>
      <c r="O633">
        <v>-3.4194889999999999E-3</v>
      </c>
      <c r="P633">
        <v>0.98475429999999997</v>
      </c>
      <c r="Q633">
        <v>0.16634549999999901</v>
      </c>
      <c r="R633">
        <v>5.0877440000000003E-2</v>
      </c>
      <c r="S633">
        <v>3.0600890000000001</v>
      </c>
      <c r="T633">
        <v>-7.7313779999999999E-2</v>
      </c>
      <c r="U633">
        <v>-2.319336E-3</v>
      </c>
      <c r="V633">
        <v>-5.4243619999999999E-2</v>
      </c>
      <c r="W633">
        <v>0.1714677</v>
      </c>
      <c r="X633">
        <v>0.98369530000000005</v>
      </c>
      <c r="Y633">
        <v>-2.6598960000000001E-3</v>
      </c>
      <c r="Z633">
        <v>1.091049E-4</v>
      </c>
      <c r="AA633">
        <v>0.99999649999999995</v>
      </c>
      <c r="AB633">
        <v>35</v>
      </c>
      <c r="AC633">
        <v>45.541899999999899</v>
      </c>
      <c r="AD633">
        <v>-1.159394</v>
      </c>
      <c r="AE633">
        <v>-3.3600000000035303E-2</v>
      </c>
      <c r="AF633">
        <v>-0.122053215427905</v>
      </c>
      <c r="AG633">
        <v>-1.159394</v>
      </c>
      <c r="AH633">
        <v>45.512252305660098</v>
      </c>
      <c r="AI633">
        <v>91.459250578252394</v>
      </c>
      <c r="AJ633">
        <v>90.153653510895396</v>
      </c>
      <c r="AK633">
        <v>45.527180907329303</v>
      </c>
      <c r="AL633">
        <v>80.126834726117394</v>
      </c>
      <c r="AM633">
        <v>93.156247786162893</v>
      </c>
      <c r="AN633">
        <v>0.99999999284804197</v>
      </c>
    </row>
    <row r="634" spans="1:40" x14ac:dyDescent="0.25">
      <c r="A634" t="str">
        <f>"20190304155327030"</f>
        <v>20190304155327030</v>
      </c>
      <c r="B634" t="str">
        <f>"1551686007025861"</f>
        <v>1551686007025861</v>
      </c>
      <c r="C634" t="s">
        <v>40</v>
      </c>
      <c r="D634">
        <v>4.1888300000000003</v>
      </c>
      <c r="E634">
        <v>0.51781109999999997</v>
      </c>
      <c r="F634" t="s">
        <v>47</v>
      </c>
      <c r="G634">
        <v>-286.96780000000001</v>
      </c>
      <c r="H634">
        <v>-0.05</v>
      </c>
      <c r="I634">
        <v>367.22910000000002</v>
      </c>
      <c r="J634">
        <v>-329.9554</v>
      </c>
      <c r="K634">
        <v>1.1094520000000001</v>
      </c>
      <c r="L634">
        <v>367.23410000000001</v>
      </c>
      <c r="M634">
        <v>0.9999787</v>
      </c>
      <c r="N634">
        <v>-5.5883269999999997E-3</v>
      </c>
      <c r="O634">
        <v>-3.4076480000000001E-3</v>
      </c>
      <c r="P634">
        <v>0.98485789999999995</v>
      </c>
      <c r="Q634">
        <v>0.16563410000000001</v>
      </c>
      <c r="R634">
        <v>5.119083E-2</v>
      </c>
      <c r="S634">
        <v>3.0603030000000002</v>
      </c>
      <c r="T634">
        <v>-8.1917519999999994E-2</v>
      </c>
      <c r="U634">
        <v>-4.2724609999999998E-4</v>
      </c>
      <c r="V634">
        <v>-5.4545620000000003E-2</v>
      </c>
      <c r="W634">
        <v>0.1711346</v>
      </c>
      <c r="X634">
        <v>0.98373659999999996</v>
      </c>
      <c r="Y634">
        <v>-3.2659149999999999E-3</v>
      </c>
      <c r="Z634">
        <v>1.2498859999999999E-4</v>
      </c>
      <c r="AA634">
        <v>0.99999459999999996</v>
      </c>
      <c r="AB634">
        <v>35</v>
      </c>
      <c r="AC634">
        <v>42.987599999999901</v>
      </c>
      <c r="AD634">
        <v>-1.1594519999999999</v>
      </c>
      <c r="AE634">
        <v>-4.9999999999954499E-3</v>
      </c>
      <c r="AF634">
        <v>-0.141386052801875</v>
      </c>
      <c r="AG634">
        <v>-1.1594519999999999</v>
      </c>
      <c r="AH634">
        <v>42.956117863752198</v>
      </c>
      <c r="AI634">
        <v>91.546117855353202</v>
      </c>
      <c r="AJ634">
        <v>90.188583029788703</v>
      </c>
      <c r="AK634">
        <v>42.971995309512998</v>
      </c>
      <c r="AL634">
        <v>80.146206229665495</v>
      </c>
      <c r="AM634">
        <v>93.173651320408396</v>
      </c>
      <c r="AN634">
        <v>0.99999998707895199</v>
      </c>
    </row>
    <row r="635" spans="1:40" x14ac:dyDescent="0.25">
      <c r="A635" t="str">
        <f>"20190304155327054"</f>
        <v>20190304155327054</v>
      </c>
      <c r="B635" t="str">
        <f>"1551686007046356"</f>
        <v>1551686007046356</v>
      </c>
      <c r="C635" t="s">
        <v>40</v>
      </c>
      <c r="D635">
        <v>4.3093300000000001</v>
      </c>
      <c r="E635">
        <v>0.51792130000000003</v>
      </c>
      <c r="F635" t="s">
        <v>47</v>
      </c>
      <c r="G635">
        <v>-287.8304</v>
      </c>
      <c r="H635">
        <v>-0.05</v>
      </c>
      <c r="I635">
        <v>367.23450000000003</v>
      </c>
      <c r="J635">
        <v>-329.5915</v>
      </c>
      <c r="K635">
        <v>1.1094999999999999</v>
      </c>
      <c r="L635">
        <v>367.2328</v>
      </c>
      <c r="M635">
        <v>0.99997650000000005</v>
      </c>
      <c r="N635">
        <v>-5.9934009999999998E-3</v>
      </c>
      <c r="O635">
        <v>-3.3946330000000002E-3</v>
      </c>
      <c r="P635">
        <v>0.98479879999999997</v>
      </c>
      <c r="Q635">
        <v>0.16585329999999901</v>
      </c>
      <c r="R635">
        <v>5.1619350000000001E-2</v>
      </c>
      <c r="S635">
        <v>3.0602719999999999</v>
      </c>
      <c r="T635">
        <v>-8.4231260000000002E-2</v>
      </c>
      <c r="U635" s="1">
        <v>3.0517579999999999E-5</v>
      </c>
      <c r="V635">
        <v>-5.4961330000000003E-2</v>
      </c>
      <c r="W635">
        <v>0.17175190000000001</v>
      </c>
      <c r="X635">
        <v>0.98360590000000003</v>
      </c>
      <c r="Y635">
        <v>-3.40231E-3</v>
      </c>
      <c r="Z635">
        <v>1.3008590000000001E-4</v>
      </c>
      <c r="AA635">
        <v>0.99999420000000006</v>
      </c>
      <c r="AB635">
        <v>35</v>
      </c>
      <c r="AC635">
        <v>41.761099999999999</v>
      </c>
      <c r="AD635">
        <v>-1.1595</v>
      </c>
      <c r="AE635">
        <v>1.7000000000280101E-3</v>
      </c>
      <c r="AF635">
        <v>-0.14335560031409</v>
      </c>
      <c r="AG635">
        <v>-1.1595</v>
      </c>
      <c r="AH635">
        <v>41.728684988423801</v>
      </c>
      <c r="AI635">
        <v>91.591638332116602</v>
      </c>
      <c r="AJ635">
        <v>90.196834349253194</v>
      </c>
      <c r="AK635">
        <v>41.7450373330921</v>
      </c>
      <c r="AL635">
        <v>80.110306281270098</v>
      </c>
      <c r="AM635">
        <v>93.198212781319498</v>
      </c>
      <c r="AN635">
        <v>1.0000000147318899</v>
      </c>
    </row>
    <row r="636" spans="1:40" x14ac:dyDescent="0.25">
      <c r="A636" t="str">
        <f>"20190304155327075"</f>
        <v>20190304155327075</v>
      </c>
      <c r="B636" t="str">
        <f>"1551686007065880"</f>
        <v>1551686007065880</v>
      </c>
      <c r="C636" t="s">
        <v>40</v>
      </c>
      <c r="D636">
        <v>4.238245</v>
      </c>
      <c r="E636">
        <v>0.51805670000000004</v>
      </c>
      <c r="F636" t="s">
        <v>47</v>
      </c>
      <c r="G636">
        <v>-286.21409999999997</v>
      </c>
      <c r="H636">
        <v>-0.05</v>
      </c>
      <c r="I636">
        <v>367.23759999999999</v>
      </c>
      <c r="J636">
        <v>-329.2466</v>
      </c>
      <c r="K636">
        <v>1.109532</v>
      </c>
      <c r="L636">
        <v>367.23169999999999</v>
      </c>
      <c r="M636">
        <v>0.99997409999999998</v>
      </c>
      <c r="N636">
        <v>-6.3470769999999996E-3</v>
      </c>
      <c r="O636">
        <v>-3.3814190000000001E-3</v>
      </c>
      <c r="P636">
        <v>0.98482389999999997</v>
      </c>
      <c r="Q636">
        <v>0.16569120000000001</v>
      </c>
      <c r="R636">
        <v>5.1655479999999997E-2</v>
      </c>
      <c r="S636">
        <v>3.0600890000000001</v>
      </c>
      <c r="T636">
        <v>-8.1797720000000004E-2</v>
      </c>
      <c r="U636">
        <v>3.3569339999999902E-4</v>
      </c>
      <c r="V636">
        <v>-5.4984379999999999E-2</v>
      </c>
      <c r="W636">
        <v>0.17193789999999901</v>
      </c>
      <c r="X636">
        <v>0.98357209999999995</v>
      </c>
      <c r="Y636">
        <v>-3.488943E-3</v>
      </c>
      <c r="Z636">
        <v>1.2660850000000001E-4</v>
      </c>
      <c r="AA636">
        <v>0.99999389999999999</v>
      </c>
      <c r="AB636">
        <v>35</v>
      </c>
      <c r="AC636">
        <v>43.032499999999999</v>
      </c>
      <c r="AD636">
        <v>-1.159532</v>
      </c>
      <c r="AE636">
        <v>5.8999999999968999E-3</v>
      </c>
      <c r="AF636">
        <v>-0.15130396056932399</v>
      </c>
      <c r="AG636">
        <v>-1.159532</v>
      </c>
      <c r="AH636">
        <v>43.001012720796503</v>
      </c>
      <c r="AI636">
        <v>91.544609747770494</v>
      </c>
      <c r="AJ636">
        <v>90.201600893554101</v>
      </c>
      <c r="AK636">
        <v>43.0169094933796</v>
      </c>
      <c r="AL636">
        <v>80.099488188577993</v>
      </c>
      <c r="AM636">
        <v>93.199661002786797</v>
      </c>
      <c r="AN636">
        <v>0.99999999969940201</v>
      </c>
    </row>
    <row r="637" spans="1:40" x14ac:dyDescent="0.25">
      <c r="A637" t="str">
        <f>"20190304155327099"</f>
        <v>20190304155327099</v>
      </c>
      <c r="B637" t="str">
        <f>"1551686007096132"</f>
        <v>1551686007096132</v>
      </c>
      <c r="C637" t="s">
        <v>40</v>
      </c>
      <c r="D637">
        <v>4.2430820000000002</v>
      </c>
      <c r="E637">
        <v>0.51834119999999995</v>
      </c>
      <c r="F637" t="s">
        <v>47</v>
      </c>
      <c r="G637">
        <v>-285.24759999999998</v>
      </c>
      <c r="H637">
        <v>-0.05</v>
      </c>
      <c r="I637">
        <v>367.22160000000002</v>
      </c>
      <c r="J637">
        <v>-328.87630000000001</v>
      </c>
      <c r="K637">
        <v>1.109551</v>
      </c>
      <c r="L637">
        <v>367.23050000000001</v>
      </c>
      <c r="M637">
        <v>0.99997190000000002</v>
      </c>
      <c r="N637">
        <v>-6.6920919999999898E-3</v>
      </c>
      <c r="O637">
        <v>-3.3654879999999998E-3</v>
      </c>
      <c r="P637">
        <v>0.98478480000000002</v>
      </c>
      <c r="Q637">
        <v>0.1659265</v>
      </c>
      <c r="R637">
        <v>5.1644240000000001E-2</v>
      </c>
      <c r="S637">
        <v>3.0598450000000001</v>
      </c>
      <c r="T637">
        <v>-8.0637929999999997E-2</v>
      </c>
      <c r="U637">
        <v>-7.0190429999999896E-4</v>
      </c>
      <c r="V637">
        <v>-5.4957199999999998E-2</v>
      </c>
      <c r="W637">
        <v>0.1725119</v>
      </c>
      <c r="X637">
        <v>0.98347309999999999</v>
      </c>
      <c r="Y637">
        <v>-3.1341580000000002E-3</v>
      </c>
      <c r="Z637">
        <v>1.179382E-4</v>
      </c>
      <c r="AA637">
        <v>0.99999510000000003</v>
      </c>
      <c r="AB637">
        <v>35</v>
      </c>
      <c r="AC637">
        <v>43.628700000000002</v>
      </c>
      <c r="AD637">
        <v>-1.159551</v>
      </c>
      <c r="AE637">
        <v>-8.8999999999828001E-3</v>
      </c>
      <c r="AF637">
        <v>-0.13783784602358501</v>
      </c>
      <c r="AG637">
        <v>-1.159551</v>
      </c>
      <c r="AH637">
        <v>43.597686557777998</v>
      </c>
      <c r="AI637">
        <v>91.523507163407302</v>
      </c>
      <c r="AJ637">
        <v>90.181144944707896</v>
      </c>
      <c r="AK637">
        <v>43.6133217146281</v>
      </c>
      <c r="AL637">
        <v>80.0661014780286</v>
      </c>
      <c r="AM637">
        <v>93.198403885580404</v>
      </c>
      <c r="AN637">
        <v>0.99999999394853001</v>
      </c>
    </row>
    <row r="638" spans="1:40" x14ac:dyDescent="0.25">
      <c r="A638" t="str">
        <f>"20190304155327120"</f>
        <v>20190304155327120</v>
      </c>
      <c r="B638" t="str">
        <f>"1551686007116629"</f>
        <v>1551686007116629</v>
      </c>
      <c r="C638" t="s">
        <v>40</v>
      </c>
      <c r="D638">
        <v>4.2381769999999896</v>
      </c>
      <c r="E638">
        <v>0.51854299999999998</v>
      </c>
      <c r="F638" t="s">
        <v>47</v>
      </c>
      <c r="G638">
        <v>-283.00830000000002</v>
      </c>
      <c r="H638">
        <v>-0.05</v>
      </c>
      <c r="I638">
        <v>367.17829999999998</v>
      </c>
      <c r="J638">
        <v>-328.54</v>
      </c>
      <c r="K638">
        <v>1.109561</v>
      </c>
      <c r="L638">
        <v>367.2294</v>
      </c>
      <c r="M638">
        <v>0.99997029999999998</v>
      </c>
      <c r="N638">
        <v>-6.9727890000000001E-3</v>
      </c>
      <c r="O638">
        <v>-3.3471109999999998E-3</v>
      </c>
      <c r="P638">
        <v>0.98479470000000002</v>
      </c>
      <c r="Q638">
        <v>0.16593859999999999</v>
      </c>
      <c r="R638">
        <v>5.1420069999999998E-2</v>
      </c>
      <c r="S638">
        <v>3.0595699999999999</v>
      </c>
      <c r="T638">
        <v>-7.7346559999999995E-2</v>
      </c>
      <c r="U638">
        <v>-3.479004E-3</v>
      </c>
      <c r="V638">
        <v>-5.4716630000000002E-2</v>
      </c>
      <c r="W638">
        <v>0.172799799999999</v>
      </c>
      <c r="X638">
        <v>0.98343599999999998</v>
      </c>
      <c r="Y638">
        <v>-2.2086470000000002E-3</v>
      </c>
      <c r="Z638" s="1">
        <v>9.6880579999999994E-5</v>
      </c>
      <c r="AA638">
        <v>0.99999760000000004</v>
      </c>
      <c r="AB638">
        <v>35</v>
      </c>
      <c r="AC638">
        <v>45.531700000000001</v>
      </c>
      <c r="AD638">
        <v>-1.1595610000000001</v>
      </c>
      <c r="AE638">
        <v>-5.1100000000019401E-2</v>
      </c>
      <c r="AF638">
        <v>-0.101237952619607</v>
      </c>
      <c r="AG638">
        <v>-1.1595610000000001</v>
      </c>
      <c r="AH638">
        <v>45.502104538905499</v>
      </c>
      <c r="AI638">
        <v>91.459787658862396</v>
      </c>
      <c r="AJ638">
        <v>90.127477572723507</v>
      </c>
      <c r="AK638">
        <v>45.516989666554799</v>
      </c>
      <c r="AL638">
        <v>80.049354815591201</v>
      </c>
      <c r="AM638">
        <v>93.184551934446603</v>
      </c>
      <c r="AN638">
        <v>1.0000000232872901</v>
      </c>
    </row>
    <row r="639" spans="1:40" x14ac:dyDescent="0.25">
      <c r="A639" t="str">
        <f>"20190304155327142"</f>
        <v>20190304155327142</v>
      </c>
      <c r="B639" t="str">
        <f>"1551686007136152"</f>
        <v>1551686007136152</v>
      </c>
      <c r="C639" t="s">
        <v>40</v>
      </c>
      <c r="D639">
        <v>4.2760870000000004</v>
      </c>
      <c r="E639">
        <v>0.51872339999999995</v>
      </c>
      <c r="F639" t="s">
        <v>47</v>
      </c>
      <c r="G639">
        <v>-281.80459999999999</v>
      </c>
      <c r="H639">
        <v>-0.05</v>
      </c>
      <c r="I639">
        <v>367.14400000000001</v>
      </c>
      <c r="J639">
        <v>-328.19029999999998</v>
      </c>
      <c r="K639">
        <v>1.1095680000000001</v>
      </c>
      <c r="L639">
        <v>367.22820000000002</v>
      </c>
      <c r="M639">
        <v>0.99996850000000004</v>
      </c>
      <c r="N639">
        <v>-7.232891E-3</v>
      </c>
      <c r="O639">
        <v>-3.3203289999999999E-3</v>
      </c>
      <c r="P639">
        <v>0.98483799999999999</v>
      </c>
      <c r="Q639">
        <v>0.16581070000000001</v>
      </c>
      <c r="R639">
        <v>5.1003800000000002E-2</v>
      </c>
      <c r="S639">
        <v>3.0593569999999999</v>
      </c>
      <c r="T639">
        <v>-7.5906280000000007E-2</v>
      </c>
      <c r="U639">
        <v>-5.5847170000000003E-3</v>
      </c>
      <c r="V639">
        <v>-5.427647E-2</v>
      </c>
      <c r="W639">
        <v>0.17292759999999999</v>
      </c>
      <c r="X639">
        <v>0.98343789999999998</v>
      </c>
      <c r="Y639">
        <v>-1.4938620000000001E-3</v>
      </c>
      <c r="Z639" s="1">
        <v>8.2288099999999894E-5</v>
      </c>
      <c r="AA639">
        <v>0.99999890000000002</v>
      </c>
      <c r="AB639">
        <v>35</v>
      </c>
      <c r="AC639">
        <v>46.3856999999999</v>
      </c>
      <c r="AD639">
        <v>-1.1595679999999999</v>
      </c>
      <c r="AE639">
        <v>-8.4200000000009795E-2</v>
      </c>
      <c r="AF639">
        <v>-6.9776646995050096E-2</v>
      </c>
      <c r="AG639">
        <v>-1.1595679999999999</v>
      </c>
      <c r="AH639">
        <v>46.356754719743499</v>
      </c>
      <c r="AI639">
        <v>91.432896370990804</v>
      </c>
      <c r="AJ639">
        <v>90.086242110481393</v>
      </c>
      <c r="AK639">
        <v>46.371307668358398</v>
      </c>
      <c r="AL639">
        <v>80.041920228597107</v>
      </c>
      <c r="AM639">
        <v>93.158980270968598</v>
      </c>
      <c r="AN639">
        <v>0.99999999659691496</v>
      </c>
    </row>
    <row r="640" spans="1:40" x14ac:dyDescent="0.25">
      <c r="A640" t="str">
        <f>"20190304155327165"</f>
        <v>20190304155327165</v>
      </c>
      <c r="B640" t="str">
        <f>"1551686007156648"</f>
        <v>1551686007156648</v>
      </c>
      <c r="C640" t="s">
        <v>40</v>
      </c>
      <c r="D640">
        <v>4.2744780000000002</v>
      </c>
      <c r="E640">
        <v>0.51889620000000003</v>
      </c>
      <c r="F640" t="s">
        <v>47</v>
      </c>
      <c r="G640">
        <v>-280.95949999999999</v>
      </c>
      <c r="H640">
        <v>-0.05</v>
      </c>
      <c r="I640">
        <v>367.10750000000002</v>
      </c>
      <c r="J640">
        <v>-327.83640000000003</v>
      </c>
      <c r="K640">
        <v>1.109578</v>
      </c>
      <c r="L640">
        <v>367.22710000000001</v>
      </c>
      <c r="M640">
        <v>0.99996680000000004</v>
      </c>
      <c r="N640">
        <v>-7.465228E-3</v>
      </c>
      <c r="O640">
        <v>-3.2830789999999999E-3</v>
      </c>
      <c r="P640">
        <v>0.98492849999999998</v>
      </c>
      <c r="Q640">
        <v>0.16529630000000001</v>
      </c>
      <c r="R640">
        <v>5.0924270000000001E-2</v>
      </c>
      <c r="S640">
        <v>3.0592350000000001</v>
      </c>
      <c r="T640">
        <v>-7.5107569999999999E-2</v>
      </c>
      <c r="U640">
        <v>-7.8125E-3</v>
      </c>
      <c r="V640">
        <v>-5.41634E-2</v>
      </c>
      <c r="W640">
        <v>0.17264160000000001</v>
      </c>
      <c r="X640">
        <v>0.98349439999999999</v>
      </c>
      <c r="Y640">
        <v>-7.2867339999999905E-4</v>
      </c>
      <c r="Z640" s="1">
        <v>6.7747949999999999E-5</v>
      </c>
      <c r="AA640">
        <v>0.99999979999999999</v>
      </c>
      <c r="AB640">
        <v>35</v>
      </c>
      <c r="AC640">
        <v>46.876899999999999</v>
      </c>
      <c r="AD640">
        <v>-1.159578</v>
      </c>
      <c r="AE640">
        <v>-0.11959999999999101</v>
      </c>
      <c r="AF640">
        <v>-3.4284512109874897E-2</v>
      </c>
      <c r="AG640">
        <v>-1.159578</v>
      </c>
      <c r="AH640">
        <v>46.848373572286199</v>
      </c>
      <c r="AI640">
        <v>91.417879419679394</v>
      </c>
      <c r="AJ640">
        <v>90.041930110825504</v>
      </c>
      <c r="AK640">
        <v>46.862734693297</v>
      </c>
      <c r="AL640">
        <v>80.058557234196698</v>
      </c>
      <c r="AM640">
        <v>93.1522319616288</v>
      </c>
      <c r="AN640">
        <v>1.00000001539073</v>
      </c>
    </row>
    <row r="641" spans="1:40" x14ac:dyDescent="0.25">
      <c r="A641" t="str">
        <f>"20190304155327188"</f>
        <v>20190304155327188</v>
      </c>
      <c r="B641" t="str">
        <f>"1551686007176165"</f>
        <v>1551686007176165</v>
      </c>
      <c r="C641" t="s">
        <v>40</v>
      </c>
      <c r="D641">
        <v>4.2701460000000004</v>
      </c>
      <c r="E641">
        <v>0.51902709999999996</v>
      </c>
      <c r="F641" t="s">
        <v>47</v>
      </c>
      <c r="G641">
        <v>-280.81259999999997</v>
      </c>
      <c r="H641">
        <v>-0.05</v>
      </c>
      <c r="I641">
        <v>367.0797</v>
      </c>
      <c r="J641">
        <v>-327.47239999999999</v>
      </c>
      <c r="K641">
        <v>1.1095809999999999</v>
      </c>
      <c r="L641">
        <v>367.22590000000002</v>
      </c>
      <c r="M641">
        <v>0.9999654</v>
      </c>
      <c r="N641">
        <v>-7.6757569999999897E-3</v>
      </c>
      <c r="O641">
        <v>-3.2345529999999998E-3</v>
      </c>
      <c r="P641">
        <v>0.98493549999999996</v>
      </c>
      <c r="Q641">
        <v>0.16519900000000001</v>
      </c>
      <c r="R641">
        <v>5.1104539999999997E-2</v>
      </c>
      <c r="S641">
        <v>3.059021</v>
      </c>
      <c r="T641">
        <v>-7.5433609999999998E-2</v>
      </c>
      <c r="U641">
        <v>-9.5825200000000006E-3</v>
      </c>
      <c r="V641">
        <v>-5.4300220000000003E-2</v>
      </c>
      <c r="W641">
        <v>0.17275009999999999</v>
      </c>
      <c r="X641">
        <v>0.9834678</v>
      </c>
      <c r="Y641">
        <v>-1.016129E-4</v>
      </c>
      <c r="Z641" s="1">
        <v>5.6566939999999998E-5</v>
      </c>
      <c r="AA641">
        <v>1</v>
      </c>
      <c r="AB641">
        <v>35</v>
      </c>
      <c r="AC641">
        <v>46.659799999999997</v>
      </c>
      <c r="AD641">
        <v>-1.159581</v>
      </c>
      <c r="AE641">
        <v>-0.14620000000002101</v>
      </c>
      <c r="AF641">
        <v>-4.7258747346718699E-3</v>
      </c>
      <c r="AG641">
        <v>-1.159581</v>
      </c>
      <c r="AH641">
        <v>46.6312290344137</v>
      </c>
      <c r="AI641">
        <v>91.424483308014203</v>
      </c>
      <c r="AJ641">
        <v>90.005806681090803</v>
      </c>
      <c r="AK641">
        <v>46.645644723697501</v>
      </c>
      <c r="AL641">
        <v>80.0522457832258</v>
      </c>
      <c r="AM641">
        <v>93.160263870353802</v>
      </c>
      <c r="AN641">
        <v>1.0000000122894399</v>
      </c>
    </row>
    <row r="642" spans="1:40" x14ac:dyDescent="0.25">
      <c r="A642" t="str">
        <f>"20190304155327210"</f>
        <v>20190304155327210</v>
      </c>
      <c r="B642" t="str">
        <f>"1551686007206015"</f>
        <v>1551686007206015</v>
      </c>
      <c r="C642" t="s">
        <v>40</v>
      </c>
      <c r="D642">
        <v>4.3262510000000001</v>
      </c>
      <c r="E642">
        <v>0.51921309999999998</v>
      </c>
      <c r="F642" t="s">
        <v>47</v>
      </c>
      <c r="G642">
        <v>-279.86759999999998</v>
      </c>
      <c r="H642">
        <v>-0.05</v>
      </c>
      <c r="I642">
        <v>367.05590000000001</v>
      </c>
      <c r="J642">
        <v>-327.11750000000001</v>
      </c>
      <c r="K642">
        <v>1.109583</v>
      </c>
      <c r="L642">
        <v>367.22480000000002</v>
      </c>
      <c r="M642">
        <v>0.99996419999999997</v>
      </c>
      <c r="N642">
        <v>-7.8563869999999994E-3</v>
      </c>
      <c r="O642">
        <v>-3.1753179999999999E-3</v>
      </c>
      <c r="P642">
        <v>0.98497650000000003</v>
      </c>
      <c r="Q642">
        <v>0.16486310000000001</v>
      </c>
      <c r="R642">
        <v>5.1398310000000003E-2</v>
      </c>
      <c r="S642">
        <v>3.059021</v>
      </c>
      <c r="T642">
        <v>-7.4513079999999995E-2</v>
      </c>
      <c r="U642">
        <v>-1.0925290000000001E-2</v>
      </c>
      <c r="V642">
        <v>-5.4539520000000001E-2</v>
      </c>
      <c r="W642">
        <v>0.17259079999999999</v>
      </c>
      <c r="X642">
        <v>0.98348250000000004</v>
      </c>
      <c r="Y642">
        <v>3.963401E-4</v>
      </c>
      <c r="Z642" s="1">
        <v>4.6005959999999997E-5</v>
      </c>
      <c r="AA642">
        <v>0.99999990000000005</v>
      </c>
      <c r="AB642">
        <v>35</v>
      </c>
      <c r="AC642">
        <v>47.249899999999997</v>
      </c>
      <c r="AD642">
        <v>-1.159583</v>
      </c>
      <c r="AE642">
        <v>-0.16890000000000699</v>
      </c>
      <c r="AF642">
        <v>1.8849722794210998E-2</v>
      </c>
      <c r="AG642">
        <v>-1.159583</v>
      </c>
      <c r="AH642">
        <v>47.221757527808201</v>
      </c>
      <c r="AI642">
        <v>91.406679051497804</v>
      </c>
      <c r="AJ642">
        <v>89.977128985444807</v>
      </c>
      <c r="AK642">
        <v>47.2359965710585</v>
      </c>
      <c r="AL642">
        <v>80.0615119178985</v>
      </c>
      <c r="AM642">
        <v>93.174115327753796</v>
      </c>
      <c r="AN642">
        <v>0.99999998564635995</v>
      </c>
    </row>
    <row r="643" spans="1:40" x14ac:dyDescent="0.25">
      <c r="A643" t="str">
        <f>"20190304155327232"</f>
        <v>20190304155327232</v>
      </c>
      <c r="B643" t="str">
        <f>"1551686007226510"</f>
        <v>1551686007226510</v>
      </c>
      <c r="C643" t="s">
        <v>40</v>
      </c>
      <c r="D643">
        <v>4.3203649999999998</v>
      </c>
      <c r="E643">
        <v>0.51936389999999999</v>
      </c>
      <c r="F643" t="s">
        <v>47</v>
      </c>
      <c r="G643">
        <v>-279.18520000000001</v>
      </c>
      <c r="H643">
        <v>-0.05</v>
      </c>
      <c r="I643">
        <v>367.04880000000003</v>
      </c>
      <c r="J643">
        <v>-326.77499999999998</v>
      </c>
      <c r="K643">
        <v>1.109585</v>
      </c>
      <c r="L643">
        <v>367.22379999999998</v>
      </c>
      <c r="M643">
        <v>0.99996320000000005</v>
      </c>
      <c r="N643">
        <v>-8.0099390000000006E-3</v>
      </c>
      <c r="O643">
        <v>-3.1071649999999998E-3</v>
      </c>
      <c r="P643">
        <v>0.98504820000000004</v>
      </c>
      <c r="Q643">
        <v>0.16429150000000001</v>
      </c>
      <c r="R643">
        <v>5.1849300000000001E-2</v>
      </c>
      <c r="S643">
        <v>3.0587460000000002</v>
      </c>
      <c r="T643">
        <v>-7.399762E-2</v>
      </c>
      <c r="U643">
        <v>-1.1230469999999999E-2</v>
      </c>
      <c r="V643">
        <v>-5.492677E-2</v>
      </c>
      <c r="W643">
        <v>0.17216999999999999</v>
      </c>
      <c r="X643">
        <v>0.98353469999999998</v>
      </c>
      <c r="Y643">
        <v>5.6449319999999996E-4</v>
      </c>
      <c r="Z643" s="1">
        <v>4.1182980000000001E-5</v>
      </c>
      <c r="AA643">
        <v>0.99999979999999999</v>
      </c>
      <c r="AB643">
        <v>35</v>
      </c>
      <c r="AC643">
        <v>47.589799999999897</v>
      </c>
      <c r="AD643">
        <v>-1.1595850000000001</v>
      </c>
      <c r="AE643">
        <v>-0.174999999999954</v>
      </c>
      <c r="AF643">
        <v>2.7108971578687802E-2</v>
      </c>
      <c r="AG643">
        <v>-1.1595850000000001</v>
      </c>
      <c r="AH643">
        <v>47.561876250450403</v>
      </c>
      <c r="AI643">
        <v>91.396626069665103</v>
      </c>
      <c r="AJ643">
        <v>89.967342972719905</v>
      </c>
      <c r="AK643">
        <v>47.576017537533801</v>
      </c>
      <c r="AL643">
        <v>80.085988352856404</v>
      </c>
      <c r="AM643">
        <v>93.196436797406506</v>
      </c>
      <c r="AN643">
        <v>0.99999998253336098</v>
      </c>
    </row>
    <row r="644" spans="1:40" x14ac:dyDescent="0.25">
      <c r="A644" t="str">
        <f>"20190304155327254"</f>
        <v>20190304155327254</v>
      </c>
      <c r="B644" t="str">
        <f>"1551686007246034"</f>
        <v>1551686007246034</v>
      </c>
      <c r="C644" t="s">
        <v>40</v>
      </c>
      <c r="D644">
        <v>4.3376049999999999</v>
      </c>
      <c r="E644">
        <v>0.51947390000000004</v>
      </c>
      <c r="F644" t="s">
        <v>47</v>
      </c>
      <c r="G644">
        <v>-279.34570000000002</v>
      </c>
      <c r="H644">
        <v>-0.05</v>
      </c>
      <c r="I644">
        <v>367.0505</v>
      </c>
      <c r="J644">
        <v>-326.42230000000001</v>
      </c>
      <c r="K644">
        <v>1.1095870000000001</v>
      </c>
      <c r="L644">
        <v>367.22269999999997</v>
      </c>
      <c r="M644">
        <v>0.99996229999999997</v>
      </c>
      <c r="N644">
        <v>-8.1490199999999999E-3</v>
      </c>
      <c r="O644">
        <v>-3.0258519999999999E-3</v>
      </c>
      <c r="P644">
        <v>0.98506309999999997</v>
      </c>
      <c r="Q644">
        <v>0.1640781</v>
      </c>
      <c r="R644">
        <v>5.2239830000000001E-2</v>
      </c>
      <c r="S644">
        <v>3.058624</v>
      </c>
      <c r="T644">
        <v>-7.4779269999999995E-2</v>
      </c>
      <c r="U644">
        <v>-1.1169429999999999E-2</v>
      </c>
      <c r="V644">
        <v>-5.5241279999999997E-2</v>
      </c>
      <c r="W644">
        <v>0.17209150000000001</v>
      </c>
      <c r="X644">
        <v>0.98353080000000004</v>
      </c>
      <c r="Y644">
        <v>6.2596289999999996E-4</v>
      </c>
      <c r="Z644" s="1">
        <v>3.9109030000000003E-5</v>
      </c>
      <c r="AA644">
        <v>0.99999979999999999</v>
      </c>
      <c r="AB644">
        <v>35</v>
      </c>
      <c r="AC644">
        <v>47.0765999999999</v>
      </c>
      <c r="AD644">
        <v>-1.1595869999999999</v>
      </c>
      <c r="AE644">
        <v>-0.17219999999997501</v>
      </c>
      <c r="AF644">
        <v>2.9729631436894801E-2</v>
      </c>
      <c r="AG644">
        <v>-1.1595869999999999</v>
      </c>
      <c r="AH644">
        <v>47.048360205499598</v>
      </c>
      <c r="AI644">
        <v>91.411865989204003</v>
      </c>
      <c r="AJ644">
        <v>89.963795078645404</v>
      </c>
      <c r="AK644">
        <v>47.062657424841497</v>
      </c>
      <c r="AL644">
        <v>80.090553985402295</v>
      </c>
      <c r="AM644">
        <v>93.214713996772304</v>
      </c>
      <c r="AN644">
        <v>0.99999995896846305</v>
      </c>
    </row>
    <row r="645" spans="1:40" x14ac:dyDescent="0.25">
      <c r="A645" t="str">
        <f>"20190304155327277"</f>
        <v>20190304155327277</v>
      </c>
      <c r="B645" t="str">
        <f>"1551686007266526"</f>
        <v>1551686007266526</v>
      </c>
      <c r="C645" t="s">
        <v>40</v>
      </c>
      <c r="D645">
        <v>4.3576959999999998</v>
      </c>
      <c r="E645">
        <v>0.51959840000000002</v>
      </c>
      <c r="F645" t="s">
        <v>47</v>
      </c>
      <c r="G645">
        <v>-278.76990000000001</v>
      </c>
      <c r="H645">
        <v>-0.05</v>
      </c>
      <c r="I645">
        <v>367.04480000000001</v>
      </c>
      <c r="J645">
        <v>-326.0659</v>
      </c>
      <c r="K645">
        <v>1.109594</v>
      </c>
      <c r="L645">
        <v>367.2217</v>
      </c>
      <c r="M645">
        <v>0.99996149999999995</v>
      </c>
      <c r="N645">
        <v>-8.2722249999999994E-3</v>
      </c>
      <c r="O645">
        <v>-2.9354369999999999E-3</v>
      </c>
      <c r="P645">
        <v>0.98508340000000005</v>
      </c>
      <c r="Q645">
        <v>0.16378210000000001</v>
      </c>
      <c r="R645">
        <v>5.2784820000000003E-2</v>
      </c>
      <c r="S645">
        <v>3.0585330000000002</v>
      </c>
      <c r="T645">
        <v>-7.442725E-2</v>
      </c>
      <c r="U645">
        <v>-1.141357E-2</v>
      </c>
      <c r="V645">
        <v>-5.5700739999999999E-2</v>
      </c>
      <c r="W645">
        <v>0.17191629999999899</v>
      </c>
      <c r="X645">
        <v>0.98353559999999995</v>
      </c>
      <c r="Y645">
        <v>7.9621960000000002E-4</v>
      </c>
      <c r="Z645" s="1">
        <v>3.4159959999999901E-5</v>
      </c>
      <c r="AA645">
        <v>0.99999970000000005</v>
      </c>
      <c r="AB645">
        <v>36</v>
      </c>
      <c r="AC645">
        <v>47.2959999999999</v>
      </c>
      <c r="AD645">
        <v>-1.159594</v>
      </c>
      <c r="AE645">
        <v>-0.17689999999998901</v>
      </c>
      <c r="AF645">
        <v>3.80371976253642E-2</v>
      </c>
      <c r="AG645">
        <v>-1.159594</v>
      </c>
      <c r="AH645">
        <v>47.267902103113698</v>
      </c>
      <c r="AI645">
        <v>91.405319335987002</v>
      </c>
      <c r="AJ645">
        <v>89.953893227305599</v>
      </c>
      <c r="AK645">
        <v>47.2821390622588</v>
      </c>
      <c r="AL645">
        <v>80.100744802584003</v>
      </c>
      <c r="AM645">
        <v>93.241379272224805</v>
      </c>
      <c r="AN645">
        <v>1.0000000315547899</v>
      </c>
    </row>
    <row r="646" spans="1:40" x14ac:dyDescent="0.25">
      <c r="A646" t="str">
        <f>"20190304155327298"</f>
        <v>20190304155327298</v>
      </c>
      <c r="B646" t="str">
        <f>"1551686007287022"</f>
        <v>1551686007287022</v>
      </c>
      <c r="C646" t="s">
        <v>40</v>
      </c>
      <c r="D646">
        <v>4.3575030000000003</v>
      </c>
      <c r="E646">
        <v>0.51971509999999999</v>
      </c>
      <c r="F646" t="s">
        <v>47</v>
      </c>
      <c r="G646">
        <v>-278.49599999999998</v>
      </c>
      <c r="H646">
        <v>-0.05</v>
      </c>
      <c r="I646">
        <v>367.06169999999997</v>
      </c>
      <c r="J646">
        <v>-325.72390000000001</v>
      </c>
      <c r="K646">
        <v>1.1095930000000001</v>
      </c>
      <c r="L646">
        <v>367.2208</v>
      </c>
      <c r="M646">
        <v>0.99996099999999999</v>
      </c>
      <c r="N646">
        <v>-8.3761400000000007E-3</v>
      </c>
      <c r="O646">
        <v>-2.8432990000000001E-3</v>
      </c>
      <c r="P646">
        <v>0.9850875</v>
      </c>
      <c r="Q646">
        <v>0.16373799999999999</v>
      </c>
      <c r="R646">
        <v>5.284552E-2</v>
      </c>
      <c r="S646">
        <v>3.058411</v>
      </c>
      <c r="T646">
        <v>-7.4553729999999999E-2</v>
      </c>
      <c r="U646">
        <v>-1.0284420000000001E-2</v>
      </c>
      <c r="V646">
        <v>-5.5673439999999998E-2</v>
      </c>
      <c r="W646">
        <v>0.1719736</v>
      </c>
      <c r="X646">
        <v>0.98352709999999999</v>
      </c>
      <c r="Y646">
        <v>5.19411E-4</v>
      </c>
      <c r="Z646" s="1">
        <v>3.6979849999999998E-5</v>
      </c>
      <c r="AA646">
        <v>0.99999990000000005</v>
      </c>
      <c r="AB646">
        <v>36</v>
      </c>
      <c r="AC646">
        <v>47.227899999999998</v>
      </c>
      <c r="AD646">
        <v>-1.1595930000000001</v>
      </c>
      <c r="AE646">
        <v>-0.159100000000023</v>
      </c>
      <c r="AF646">
        <v>2.4796672950375499E-2</v>
      </c>
      <c r="AG646">
        <v>-1.1595930000000001</v>
      </c>
      <c r="AH646">
        <v>47.199707143331601</v>
      </c>
      <c r="AI646">
        <v>91.407347998054206</v>
      </c>
      <c r="AJ646">
        <v>89.969899292573999</v>
      </c>
      <c r="AK646">
        <v>47.213955831055998</v>
      </c>
      <c r="AL646">
        <v>80.097411841056399</v>
      </c>
      <c r="AM646">
        <v>93.239821934965406</v>
      </c>
      <c r="AN646">
        <v>1.0000000037264001</v>
      </c>
    </row>
    <row r="647" spans="1:40" x14ac:dyDescent="0.25">
      <c r="A647" t="str">
        <f>"20190304155327321"</f>
        <v>20190304155327321</v>
      </c>
      <c r="B647" t="str">
        <f>"1551686007316926"</f>
        <v>1551686007316926</v>
      </c>
      <c r="C647" t="s">
        <v>40</v>
      </c>
      <c r="D647">
        <v>4.3490349999999998</v>
      </c>
      <c r="E647">
        <v>0.51988459999999903</v>
      </c>
      <c r="F647" t="s">
        <v>46</v>
      </c>
      <c r="G647">
        <v>-279.85480000000001</v>
      </c>
      <c r="H647" s="1">
        <v>-7.16598E-7</v>
      </c>
      <c r="I647">
        <v>367.0564</v>
      </c>
      <c r="J647">
        <v>-325.35039999999998</v>
      </c>
      <c r="K647">
        <v>1.1095980000000001</v>
      </c>
      <c r="L647">
        <v>367.21980000000002</v>
      </c>
      <c r="M647">
        <v>0.99996039999999997</v>
      </c>
      <c r="N647">
        <v>-8.4756199999999997E-3</v>
      </c>
      <c r="O647">
        <v>-2.7393539999999998E-3</v>
      </c>
      <c r="P647">
        <v>0.98513039999999996</v>
      </c>
      <c r="Q647">
        <v>0.1634072</v>
      </c>
      <c r="R647">
        <v>5.3065790000000002E-2</v>
      </c>
      <c r="S647">
        <v>3.0582889999999998</v>
      </c>
      <c r="T647">
        <v>-7.3981169999999999E-2</v>
      </c>
      <c r="U647">
        <v>-1.095581E-2</v>
      </c>
      <c r="V647">
        <v>-5.5792990000000001E-2</v>
      </c>
      <c r="W647">
        <v>0.17174059999999999</v>
      </c>
      <c r="X647">
        <v>0.98356100000000002</v>
      </c>
      <c r="Y647">
        <v>8.4286789999999995E-4</v>
      </c>
      <c r="Z647" s="1">
        <v>2.9274240000000001E-5</v>
      </c>
      <c r="AA647">
        <v>0.99999959999999999</v>
      </c>
      <c r="AB647">
        <v>36</v>
      </c>
      <c r="AC647">
        <v>45.495599999999897</v>
      </c>
      <c r="AD647">
        <v>-1.1095987165979999</v>
      </c>
      <c r="AE647">
        <v>-0.163400000000024</v>
      </c>
      <c r="AF647">
        <v>3.8743319803571499E-2</v>
      </c>
      <c r="AG647">
        <v>-1.1095987165979999</v>
      </c>
      <c r="AH647">
        <v>45.468831022622297</v>
      </c>
      <c r="AI647">
        <v>91.397939710998401</v>
      </c>
      <c r="AJ647">
        <v>89.951179123766494</v>
      </c>
      <c r="AK647">
        <v>45.482384556226599</v>
      </c>
      <c r="AL647">
        <v>80.110963002828299</v>
      </c>
      <c r="AM647">
        <v>93.246652412321595</v>
      </c>
      <c r="AN647">
        <v>0.99999996607124897</v>
      </c>
    </row>
    <row r="648" spans="1:40" x14ac:dyDescent="0.25">
      <c r="A648" t="str">
        <f>"20190304155327334"</f>
        <v>20190304155327334</v>
      </c>
      <c r="B648" t="str">
        <f>"1551686007326686"</f>
        <v>1551686007326686</v>
      </c>
      <c r="C648" t="s">
        <v>40</v>
      </c>
      <c r="D648">
        <v>4.3922270000000001</v>
      </c>
      <c r="E648">
        <v>0.51994169999999995</v>
      </c>
      <c r="F648" t="s">
        <v>46</v>
      </c>
      <c r="G648">
        <v>-279.5446</v>
      </c>
      <c r="H648" s="1">
        <v>-8.2480879999999997E-7</v>
      </c>
      <c r="I648">
        <v>367.04649999999998</v>
      </c>
      <c r="J648">
        <v>-325.13740000000001</v>
      </c>
      <c r="K648">
        <v>1.1095969999999999</v>
      </c>
      <c r="L648">
        <v>367.21929999999998</v>
      </c>
      <c r="M648">
        <v>0.99996019999999997</v>
      </c>
      <c r="N648">
        <v>-8.5252499999999998E-3</v>
      </c>
      <c r="O648">
        <v>-2.678387E-3</v>
      </c>
      <c r="P648">
        <v>0.98514489999999999</v>
      </c>
      <c r="Q648">
        <v>0.16328239999999999</v>
      </c>
      <c r="R648">
        <v>5.318502E-2</v>
      </c>
      <c r="S648">
        <v>3.0581969999999998</v>
      </c>
      <c r="T648">
        <v>-7.4081540000000001E-2</v>
      </c>
      <c r="U648">
        <v>-1.1566160000000001E-2</v>
      </c>
      <c r="V648">
        <v>-5.5853310000000003E-2</v>
      </c>
      <c r="W648">
        <v>0.17166409999999999</v>
      </c>
      <c r="X648">
        <v>0.98357099999999997</v>
      </c>
      <c r="Y648">
        <v>1.103407E-3</v>
      </c>
      <c r="Z648" s="1">
        <v>2.3972179999999999E-5</v>
      </c>
      <c r="AA648">
        <v>0.99999939999999998</v>
      </c>
      <c r="AB648">
        <v>36</v>
      </c>
      <c r="AC648">
        <v>45.592799999999997</v>
      </c>
      <c r="AD648">
        <v>-1.1095978248088001</v>
      </c>
      <c r="AE648">
        <v>-0.17279999999999501</v>
      </c>
      <c r="AF648">
        <v>5.0649795781885297E-2</v>
      </c>
      <c r="AG648">
        <v>-1.1095978248088001</v>
      </c>
      <c r="AH648">
        <v>45.566111064821001</v>
      </c>
      <c r="AI648">
        <v>91.394954924880295</v>
      </c>
      <c r="AJ648">
        <v>89.936311915402499</v>
      </c>
      <c r="AK648">
        <v>45.579647325382297</v>
      </c>
      <c r="AL648">
        <v>80.115412881523497</v>
      </c>
      <c r="AM648">
        <v>93.250122001578006</v>
      </c>
      <c r="AN648">
        <v>1.0000000337538799</v>
      </c>
    </row>
    <row r="649" spans="1:40" x14ac:dyDescent="0.25">
      <c r="A649" t="str">
        <f>"20190304155327347"</f>
        <v>20190304155327347</v>
      </c>
      <c r="B649" t="str">
        <f>"1551686007336446"</f>
        <v>1551686007336446</v>
      </c>
      <c r="C649" t="s">
        <v>40</v>
      </c>
      <c r="D649">
        <v>4.4083480000000002</v>
      </c>
      <c r="E649">
        <v>0.51999629999999997</v>
      </c>
      <c r="F649" t="s">
        <v>46</v>
      </c>
      <c r="G649">
        <v>-279.41539999999998</v>
      </c>
      <c r="H649" s="1">
        <v>-8.6806889999999899E-7</v>
      </c>
      <c r="I649">
        <v>367.04899999999998</v>
      </c>
      <c r="J649">
        <v>-324.94670000000002</v>
      </c>
      <c r="K649">
        <v>1.1095999999999999</v>
      </c>
      <c r="L649">
        <v>367.21879999999999</v>
      </c>
      <c r="M649">
        <v>0.99995990000000001</v>
      </c>
      <c r="N649">
        <v>-8.5674600000000007E-3</v>
      </c>
      <c r="O649">
        <v>-2.6237119999999998E-3</v>
      </c>
      <c r="P649">
        <v>0.9851432</v>
      </c>
      <c r="Q649">
        <v>0.16334460000000001</v>
      </c>
      <c r="R649">
        <v>5.3024979999999999E-2</v>
      </c>
      <c r="S649">
        <v>3.0581670000000001</v>
      </c>
      <c r="T649">
        <v>-7.4216599999999994E-2</v>
      </c>
      <c r="U649">
        <v>-1.138306E-2</v>
      </c>
      <c r="V649">
        <v>-5.5639830000000001E-2</v>
      </c>
      <c r="W649">
        <v>0.171767899999999</v>
      </c>
      <c r="X649">
        <v>0.98356500000000002</v>
      </c>
      <c r="Y649">
        <v>1.0982399999999999E-3</v>
      </c>
      <c r="Z649" s="1">
        <v>2.3156790000000001E-5</v>
      </c>
      <c r="AA649">
        <v>0.99999939999999998</v>
      </c>
      <c r="AB649">
        <v>36</v>
      </c>
      <c r="AC649">
        <v>45.531300000000002</v>
      </c>
      <c r="AD649">
        <v>-1.1096008680689</v>
      </c>
      <c r="AE649">
        <v>-0.16979999999995199</v>
      </c>
      <c r="AF649">
        <v>5.0304142750362699E-2</v>
      </c>
      <c r="AG649">
        <v>-1.1096008680689</v>
      </c>
      <c r="AH649">
        <v>45.504564001196897</v>
      </c>
      <c r="AI649">
        <v>91.396844759020993</v>
      </c>
      <c r="AJ649">
        <v>89.9366609930061</v>
      </c>
      <c r="AK649">
        <v>45.518118255615697</v>
      </c>
      <c r="AL649">
        <v>80.109376128749801</v>
      </c>
      <c r="AM649">
        <v>93.237745720065007</v>
      </c>
      <c r="AN649">
        <v>1.0000000556889099</v>
      </c>
    </row>
    <row r="650" spans="1:40" x14ac:dyDescent="0.25">
      <c r="A650" t="str">
        <f>"20190304155327365"</f>
        <v>20190304155327365</v>
      </c>
      <c r="B650" t="str">
        <f>"1551686007356942"</f>
        <v>1551686007356942</v>
      </c>
      <c r="C650" t="s">
        <v>40</v>
      </c>
      <c r="D650">
        <v>4.3854110000000004</v>
      </c>
      <c r="E650">
        <v>0.52010239999999996</v>
      </c>
      <c r="F650" t="s">
        <v>46</v>
      </c>
      <c r="G650">
        <v>-278.92169999999999</v>
      </c>
      <c r="H650" s="1">
        <v>-1.0408019999999999E-6</v>
      </c>
      <c r="I650">
        <v>367.03140000000002</v>
      </c>
      <c r="J650">
        <v>-324.64080000000001</v>
      </c>
      <c r="K650">
        <v>1.109602</v>
      </c>
      <c r="L650">
        <v>367.21809999999999</v>
      </c>
      <c r="M650">
        <v>0.99995959999999995</v>
      </c>
      <c r="N650">
        <v>-8.6291259999999904E-3</v>
      </c>
      <c r="O650">
        <v>-2.5353789999999999E-3</v>
      </c>
      <c r="P650">
        <v>0.98511510000000002</v>
      </c>
      <c r="Q650">
        <v>0.16346579999999999</v>
      </c>
      <c r="R650">
        <v>5.3173940000000003E-2</v>
      </c>
      <c r="S650">
        <v>3.0581360000000002</v>
      </c>
      <c r="T650">
        <v>-7.372737E-2</v>
      </c>
      <c r="U650">
        <v>-1.2451169999999999E-2</v>
      </c>
      <c r="V650">
        <v>-5.5702759999999997E-2</v>
      </c>
      <c r="W650">
        <v>0.1719492</v>
      </c>
      <c r="X650">
        <v>0.98352969999999895</v>
      </c>
      <c r="Y650">
        <v>1.535689E-3</v>
      </c>
      <c r="Z650" s="1">
        <v>1.41025799999999E-5</v>
      </c>
      <c r="AA650">
        <v>0.99999879999999997</v>
      </c>
      <c r="AB650">
        <v>36</v>
      </c>
      <c r="AC650">
        <v>45.719099999999997</v>
      </c>
      <c r="AD650">
        <v>-1.1096030408019999</v>
      </c>
      <c r="AE650">
        <v>-0.186699999999973</v>
      </c>
      <c r="AF650">
        <v>7.07381768313671E-2</v>
      </c>
      <c r="AG650">
        <v>-1.1096030408019999</v>
      </c>
      <c r="AH650">
        <v>45.692512449388801</v>
      </c>
      <c r="AI650">
        <v>91.391103242108798</v>
      </c>
      <c r="AJ650">
        <v>89.9112984704132</v>
      </c>
      <c r="AK650">
        <v>45.706038077428801</v>
      </c>
      <c r="AL650">
        <v>80.098830939181596</v>
      </c>
      <c r="AM650">
        <v>93.241515974549301</v>
      </c>
      <c r="AN650">
        <v>0.99999999781717297</v>
      </c>
    </row>
    <row r="651" spans="1:40" x14ac:dyDescent="0.25">
      <c r="A651" t="str">
        <f>"20190304155327378"</f>
        <v>20190304155327378</v>
      </c>
      <c r="B651" t="str">
        <f>"1551686007376462"</f>
        <v>1551686007376462</v>
      </c>
      <c r="C651" t="s">
        <v>40</v>
      </c>
      <c r="D651">
        <v>4.4049589999999998</v>
      </c>
      <c r="E651">
        <v>0.52021059999999997</v>
      </c>
      <c r="F651" t="s">
        <v>46</v>
      </c>
      <c r="G651">
        <v>-278.01240000000001</v>
      </c>
      <c r="H651" s="1">
        <v>-1.3539409999999999E-6</v>
      </c>
      <c r="I651">
        <v>367.01749999999998</v>
      </c>
      <c r="J651">
        <v>-324.42989999999998</v>
      </c>
      <c r="K651">
        <v>1.1096029999999999</v>
      </c>
      <c r="L651">
        <v>367.2176</v>
      </c>
      <c r="M651">
        <v>0.99995940000000005</v>
      </c>
      <c r="N651">
        <v>-8.6678509999999903E-3</v>
      </c>
      <c r="O651">
        <v>-2.4742599999999998E-3</v>
      </c>
      <c r="P651">
        <v>0.98507400000000001</v>
      </c>
      <c r="Q651">
        <v>0.16364089999999901</v>
      </c>
      <c r="R651">
        <v>5.3396220000000001E-2</v>
      </c>
      <c r="S651">
        <v>3.0581049999999999</v>
      </c>
      <c r="T651">
        <v>-7.2772740000000002E-2</v>
      </c>
      <c r="U651">
        <v>-1.3153079999999999E-2</v>
      </c>
      <c r="V651">
        <v>-5.5865270000000002E-2</v>
      </c>
      <c r="W651">
        <v>0.17216199999999901</v>
      </c>
      <c r="X651">
        <v>0.98348329999999995</v>
      </c>
      <c r="Y651">
        <v>1.8262490000000001E-3</v>
      </c>
      <c r="Z651" s="1">
        <v>7.7827960000000002E-6</v>
      </c>
      <c r="AA651">
        <v>0.99999830000000001</v>
      </c>
      <c r="AB651">
        <v>36</v>
      </c>
      <c r="AC651">
        <v>46.417499999999897</v>
      </c>
      <c r="AD651">
        <v>-1.1096043539409901</v>
      </c>
      <c r="AE651">
        <v>-0.20010000000002001</v>
      </c>
      <c r="AF651">
        <v>8.5197427877954798E-2</v>
      </c>
      <c r="AG651">
        <v>-1.1096043539409901</v>
      </c>
      <c r="AH651">
        <v>46.391343514563701</v>
      </c>
      <c r="AI651">
        <v>91.370156908498501</v>
      </c>
      <c r="AJ651">
        <v>89.894776758225404</v>
      </c>
      <c r="AK651">
        <v>46.404689779269603</v>
      </c>
      <c r="AL651">
        <v>80.086454262752198</v>
      </c>
      <c r="AM651">
        <v>93.251105728082194</v>
      </c>
      <c r="AN651">
        <v>1.0000000420075299</v>
      </c>
    </row>
    <row r="652" spans="1:40" x14ac:dyDescent="0.25">
      <c r="A652" t="str">
        <f>"20190304155327400"</f>
        <v>20190304155327400</v>
      </c>
      <c r="B652" t="str">
        <f>"1551686007396958"</f>
        <v>1551686007396958</v>
      </c>
      <c r="C652" t="s">
        <v>40</v>
      </c>
      <c r="D652">
        <v>4.3886099999999999</v>
      </c>
      <c r="E652">
        <v>0.52031679999999902</v>
      </c>
      <c r="F652" t="s">
        <v>46</v>
      </c>
      <c r="G652">
        <v>-277.10520000000002</v>
      </c>
      <c r="H652" s="1">
        <v>-1.6858879999999999E-6</v>
      </c>
      <c r="I652">
        <v>367.01350000000002</v>
      </c>
      <c r="J652">
        <v>-324.09800000000001</v>
      </c>
      <c r="K652">
        <v>1.1096029999999999</v>
      </c>
      <c r="L652">
        <v>367.21690000000001</v>
      </c>
      <c r="M652">
        <v>0.99995909999999999</v>
      </c>
      <c r="N652">
        <v>-8.7230620000000002E-3</v>
      </c>
      <c r="O652">
        <v>-2.378514E-3</v>
      </c>
      <c r="P652">
        <v>0.98512270000000002</v>
      </c>
      <c r="Q652">
        <v>0.16351170000000001</v>
      </c>
      <c r="R652">
        <v>5.2888520000000001E-2</v>
      </c>
      <c r="S652">
        <v>3.0581049999999999</v>
      </c>
      <c r="T652">
        <v>-7.1702119999999994E-2</v>
      </c>
      <c r="U652">
        <v>-1.318359E-2</v>
      </c>
      <c r="V652">
        <v>-5.5263840000000002E-2</v>
      </c>
      <c r="W652">
        <v>0.172087299999999</v>
      </c>
      <c r="X652">
        <v>0.98353029999999997</v>
      </c>
      <c r="Y652">
        <v>1.931929E-3</v>
      </c>
      <c r="Z652" s="1">
        <v>3.9402180000000001E-6</v>
      </c>
      <c r="AA652">
        <v>0.99999819999999995</v>
      </c>
      <c r="AB652">
        <v>36</v>
      </c>
      <c r="AC652">
        <v>46.992799999999903</v>
      </c>
      <c r="AD652">
        <v>-1.109604685888</v>
      </c>
      <c r="AE652">
        <v>-0.20339999999998701</v>
      </c>
      <c r="AF652">
        <v>9.1571083070706799E-2</v>
      </c>
      <c r="AG652">
        <v>-1.109604685888</v>
      </c>
      <c r="AH652">
        <v>46.966965526931403</v>
      </c>
      <c r="AI652">
        <v>91.353370813694696</v>
      </c>
      <c r="AJ652">
        <v>89.888291059928093</v>
      </c>
      <c r="AK652">
        <v>46.980160266118297</v>
      </c>
      <c r="AL652">
        <v>80.090798591981795</v>
      </c>
      <c r="AM652">
        <v>93.216025730894202</v>
      </c>
      <c r="AN652">
        <v>0.99999999092546199</v>
      </c>
    </row>
    <row r="653" spans="1:40" x14ac:dyDescent="0.25">
      <c r="A653" t="str">
        <f>"20190304155327424"</f>
        <v>20190304155327424</v>
      </c>
      <c r="B653" t="str">
        <f>"1551686007416549"</f>
        <v>1551686007416549</v>
      </c>
      <c r="C653" t="s">
        <v>40</v>
      </c>
      <c r="D653">
        <v>4.3902850000000004</v>
      </c>
      <c r="E653">
        <v>0.52041249999999994</v>
      </c>
      <c r="F653" t="s">
        <v>46</v>
      </c>
      <c r="G653">
        <v>-276.67239999999998</v>
      </c>
      <c r="H653" s="1">
        <v>-1.878865E-6</v>
      </c>
      <c r="I653">
        <v>366.97210000000001</v>
      </c>
      <c r="J653">
        <v>-323.71730000000002</v>
      </c>
      <c r="K653">
        <v>1.1096060000000001</v>
      </c>
      <c r="L653">
        <v>367.21609999999998</v>
      </c>
      <c r="M653">
        <v>0.99995909999999999</v>
      </c>
      <c r="N653">
        <v>-8.7787869999999997E-3</v>
      </c>
      <c r="O653">
        <v>-2.2690649999999998E-3</v>
      </c>
      <c r="P653">
        <v>0.98519190000000001</v>
      </c>
      <c r="Q653">
        <v>0.1630385</v>
      </c>
      <c r="R653">
        <v>5.3062600000000001E-2</v>
      </c>
      <c r="S653">
        <v>3.0580440000000002</v>
      </c>
      <c r="T653">
        <v>-7.1548219999999996E-2</v>
      </c>
      <c r="U653">
        <v>-1.5777590000000001E-2</v>
      </c>
      <c r="V653">
        <v>-5.5330770000000001E-2</v>
      </c>
      <c r="W653">
        <v>0.17166919999999999</v>
      </c>
      <c r="X653">
        <v>0.98359960000000002</v>
      </c>
      <c r="Y653">
        <v>2.889324E-3</v>
      </c>
      <c r="Z653" s="1">
        <v>-1.3317860000000001E-5</v>
      </c>
      <c r="AA653">
        <v>0.99999579999999999</v>
      </c>
      <c r="AB653">
        <v>36</v>
      </c>
      <c r="AC653">
        <v>47.044899999999998</v>
      </c>
      <c r="AD653">
        <v>-1.1096078788649999</v>
      </c>
      <c r="AE653">
        <v>-0.24399999999997099</v>
      </c>
      <c r="AF653">
        <v>0.13717103740702999</v>
      </c>
      <c r="AG653">
        <v>-1.1096078788649999</v>
      </c>
      <c r="AH653">
        <v>47.019176195153598</v>
      </c>
      <c r="AI653">
        <v>91.351869278672297</v>
      </c>
      <c r="AJ653">
        <v>89.832849065969398</v>
      </c>
      <c r="AK653">
        <v>47.0324672498609</v>
      </c>
      <c r="AL653">
        <v>80.115115840318197</v>
      </c>
      <c r="AM653">
        <v>93.219686083706193</v>
      </c>
      <c r="AN653">
        <v>0.99999999072879597</v>
      </c>
    </row>
    <row r="654" spans="1:40" x14ac:dyDescent="0.25">
      <c r="A654" t="str">
        <f>"20190304155327444"</f>
        <v>20190304155327444</v>
      </c>
      <c r="B654" t="str">
        <f>"1551686007436071"</f>
        <v>1551686007436071</v>
      </c>
      <c r="C654" t="s">
        <v>40</v>
      </c>
      <c r="D654">
        <v>4.3861730000000003</v>
      </c>
      <c r="E654">
        <v>0.52050209999999997</v>
      </c>
      <c r="F654" t="s">
        <v>46</v>
      </c>
      <c r="G654">
        <v>-276.91649999999998</v>
      </c>
      <c r="H654" s="1">
        <v>-1.77430999999999E-6</v>
      </c>
      <c r="I654">
        <v>366.97129999999999</v>
      </c>
      <c r="J654">
        <v>-323.38119999999998</v>
      </c>
      <c r="K654">
        <v>1.1096140000000001</v>
      </c>
      <c r="L654">
        <v>367.21550000000002</v>
      </c>
      <c r="M654">
        <v>0.99995880000000004</v>
      </c>
      <c r="N654">
        <v>-8.8221080000000004E-3</v>
      </c>
      <c r="O654">
        <v>-2.172916E-3</v>
      </c>
      <c r="P654">
        <v>0.98519579999999995</v>
      </c>
      <c r="Q654">
        <v>0.1629352</v>
      </c>
      <c r="R654">
        <v>5.3302410000000001E-2</v>
      </c>
      <c r="S654">
        <v>3.057922</v>
      </c>
      <c r="T654">
        <v>-7.2500590000000004E-2</v>
      </c>
      <c r="U654">
        <v>-1.5991209999999999E-2</v>
      </c>
      <c r="V654">
        <v>-5.5476299999999999E-2</v>
      </c>
      <c r="W654">
        <v>0.1716086</v>
      </c>
      <c r="X654">
        <v>0.98360199999999998</v>
      </c>
      <c r="Y654">
        <v>3.055444E-3</v>
      </c>
      <c r="Z654" s="1">
        <v>-1.7354350000000001E-5</v>
      </c>
      <c r="AA654">
        <v>0.99999539999999998</v>
      </c>
      <c r="AB654">
        <v>36</v>
      </c>
      <c r="AC654">
        <v>46.464699999999901</v>
      </c>
      <c r="AD654">
        <v>-1.1096157743099999</v>
      </c>
      <c r="AE654">
        <v>-0.244200000000034</v>
      </c>
      <c r="AF654">
        <v>0.14314997653592701</v>
      </c>
      <c r="AG654">
        <v>-1.1096157743099999</v>
      </c>
      <c r="AH654">
        <v>46.438637989735497</v>
      </c>
      <c r="AI654">
        <v>91.368771920535394</v>
      </c>
      <c r="AJ654">
        <v>89.823382771987497</v>
      </c>
      <c r="AK654">
        <v>46.452113379523297</v>
      </c>
      <c r="AL654">
        <v>80.118640488910998</v>
      </c>
      <c r="AM654">
        <v>93.228128697936995</v>
      </c>
      <c r="AN654">
        <v>1.0000000129298201</v>
      </c>
    </row>
    <row r="655" spans="1:40" x14ac:dyDescent="0.25">
      <c r="A655" t="str">
        <f>"20190304155327467"</f>
        <v>20190304155327467</v>
      </c>
      <c r="B655" t="str">
        <f>"1551686007456564"</f>
        <v>1551686007456564</v>
      </c>
      <c r="C655" t="s">
        <v>40</v>
      </c>
      <c r="D655">
        <v>4.4126599999999998</v>
      </c>
      <c r="E655">
        <v>0.52059880000000003</v>
      </c>
      <c r="F655" t="s">
        <v>46</v>
      </c>
      <c r="G655">
        <v>-276.42939999999999</v>
      </c>
      <c r="H655" s="1">
        <v>-1.984124E-6</v>
      </c>
      <c r="I655">
        <v>366.96660000000003</v>
      </c>
      <c r="J655">
        <v>-323.01089999999999</v>
      </c>
      <c r="K655">
        <v>1.1096159999999999</v>
      </c>
      <c r="L655">
        <v>367.21469999999999</v>
      </c>
      <c r="M655">
        <v>0.99995860000000003</v>
      </c>
      <c r="N655">
        <v>-8.8644610000000006E-3</v>
      </c>
      <c r="O655">
        <v>-2.0671109999999999E-3</v>
      </c>
      <c r="P655">
        <v>0.98515850000000005</v>
      </c>
      <c r="Q655">
        <v>0.16314089999999901</v>
      </c>
      <c r="R655">
        <v>5.3362729999999997E-2</v>
      </c>
      <c r="S655">
        <v>3.0578919999999998</v>
      </c>
      <c r="T655">
        <v>-7.2267170000000006E-2</v>
      </c>
      <c r="U655">
        <v>-1.620483E-2</v>
      </c>
      <c r="V655">
        <v>-5.5433059999999999E-2</v>
      </c>
      <c r="W655">
        <v>0.1718557</v>
      </c>
      <c r="X655">
        <v>0.98356129999999997</v>
      </c>
      <c r="Y655">
        <v>3.231084E-3</v>
      </c>
      <c r="Z655" s="1">
        <v>-2.1976259999999999E-5</v>
      </c>
      <c r="AA655">
        <v>0.99999479999999996</v>
      </c>
      <c r="AB655">
        <v>36</v>
      </c>
      <c r="AC655">
        <v>46.581499999999998</v>
      </c>
      <c r="AD655">
        <v>-1.1096179841239999</v>
      </c>
      <c r="AE655">
        <v>-0.24809999999996499</v>
      </c>
      <c r="AF655">
        <v>0.15172046822333701</v>
      </c>
      <c r="AG655">
        <v>-1.1096179841239999</v>
      </c>
      <c r="AH655">
        <v>46.555496635301303</v>
      </c>
      <c r="AI655">
        <v>91.365339432192002</v>
      </c>
      <c r="AJ655">
        <v>89.813278509545896</v>
      </c>
      <c r="AK655">
        <v>46.568965396825398</v>
      </c>
      <c r="AL655">
        <v>80.104269251207</v>
      </c>
      <c r="AM655">
        <v>93.225751101401798</v>
      </c>
      <c r="AN655">
        <v>1.0000000183105699</v>
      </c>
    </row>
    <row r="656" spans="1:40" x14ac:dyDescent="0.25">
      <c r="A656" t="str">
        <f>"20190304155327489"</f>
        <v>20190304155327489</v>
      </c>
      <c r="B656" t="str">
        <f>"1551686007486820"</f>
        <v>1551686007486820</v>
      </c>
      <c r="C656" t="s">
        <v>40</v>
      </c>
      <c r="D656">
        <v>4.3829690000000001</v>
      </c>
      <c r="E656">
        <v>0.52073939999999996</v>
      </c>
      <c r="F656" t="s">
        <v>46</v>
      </c>
      <c r="G656">
        <v>-275.29579999999999</v>
      </c>
      <c r="H656" s="1">
        <v>-2.471601E-6</v>
      </c>
      <c r="I656">
        <v>366.9599</v>
      </c>
      <c r="J656">
        <v>-322.64859999999999</v>
      </c>
      <c r="K656">
        <v>1.109623</v>
      </c>
      <c r="L656">
        <v>367.21409999999997</v>
      </c>
      <c r="M656">
        <v>0.99995860000000003</v>
      </c>
      <c r="N656">
        <v>-8.9014439999999997E-3</v>
      </c>
      <c r="O656">
        <v>-1.964501E-3</v>
      </c>
      <c r="P656">
        <v>0.98518119999999998</v>
      </c>
      <c r="Q656">
        <v>0.16303190000000001</v>
      </c>
      <c r="R656">
        <v>5.3282400000000001E-2</v>
      </c>
      <c r="S656">
        <v>3.0578609999999999</v>
      </c>
      <c r="T656">
        <v>-7.1110729999999997E-2</v>
      </c>
      <c r="U656">
        <v>-1.6326899999999998E-2</v>
      </c>
      <c r="V656">
        <v>-5.5252280000000001E-2</v>
      </c>
      <c r="W656">
        <v>0.171783399999999</v>
      </c>
      <c r="X656">
        <v>0.98358409999999996</v>
      </c>
      <c r="Y656">
        <v>3.3736259999999998E-3</v>
      </c>
      <c r="Z656" s="1">
        <v>-2.6047329999999999E-5</v>
      </c>
      <c r="AA656">
        <v>0.9999943</v>
      </c>
      <c r="AB656">
        <v>36</v>
      </c>
      <c r="AC656">
        <v>47.352800000000002</v>
      </c>
      <c r="AD656">
        <v>-1.1096254716009999</v>
      </c>
      <c r="AE656">
        <v>-0.25419999999996801</v>
      </c>
      <c r="AF656">
        <v>0.161082764595152</v>
      </c>
      <c r="AG656">
        <v>-1.1096254716009999</v>
      </c>
      <c r="AH656">
        <v>47.3272207848931</v>
      </c>
      <c r="AI656">
        <v>91.343092655073306</v>
      </c>
      <c r="AJ656">
        <v>89.804989036505901</v>
      </c>
      <c r="AK656">
        <v>47.340501091204104</v>
      </c>
      <c r="AL656">
        <v>80.108474251777594</v>
      </c>
      <c r="AM656">
        <v>93.215178915332501</v>
      </c>
      <c r="AN656">
        <v>1.0000000163667799</v>
      </c>
    </row>
    <row r="657" spans="1:40" x14ac:dyDescent="0.25">
      <c r="A657" t="str">
        <f>"20190304155327511"</f>
        <v>20190304155327511</v>
      </c>
      <c r="B657" t="str">
        <f>"1551686007506340"</f>
        <v>1551686007506340</v>
      </c>
      <c r="C657" t="s">
        <v>40</v>
      </c>
      <c r="D657">
        <v>4.3649389999999997</v>
      </c>
      <c r="E657">
        <v>0.52078040000000003</v>
      </c>
      <c r="F657" t="s">
        <v>46</v>
      </c>
      <c r="G657">
        <v>-274.54640000000001</v>
      </c>
      <c r="H657" s="1">
        <v>-2.7967159999999999E-6</v>
      </c>
      <c r="I657">
        <v>366.93939999999998</v>
      </c>
      <c r="J657">
        <v>-322.30829999999997</v>
      </c>
      <c r="K657">
        <v>1.1096269999999999</v>
      </c>
      <c r="L657">
        <v>367.21350000000001</v>
      </c>
      <c r="M657">
        <v>0.99995849999999997</v>
      </c>
      <c r="N657">
        <v>-8.9325829999999991E-3</v>
      </c>
      <c r="O657">
        <v>-1.86783E-3</v>
      </c>
      <c r="P657">
        <v>0.98519239999999997</v>
      </c>
      <c r="Q657">
        <v>0.16291810000000001</v>
      </c>
      <c r="R657">
        <v>5.3419889999999998E-2</v>
      </c>
      <c r="S657">
        <v>3.0577390000000002</v>
      </c>
      <c r="T657">
        <v>-7.0536139999999997E-2</v>
      </c>
      <c r="U657">
        <v>-1.7456050000000001E-2</v>
      </c>
      <c r="V657">
        <v>-5.5294839999999998E-2</v>
      </c>
      <c r="W657">
        <v>0.17169980000000001</v>
      </c>
      <c r="X657">
        <v>0.98359629999999998</v>
      </c>
      <c r="Y657">
        <v>3.839603E-3</v>
      </c>
      <c r="Z657" s="1">
        <v>-3.5034640000000001E-5</v>
      </c>
      <c r="AA657">
        <v>0.99999260000000001</v>
      </c>
      <c r="AB657">
        <v>36</v>
      </c>
      <c r="AC657">
        <v>47.761899999999898</v>
      </c>
      <c r="AD657">
        <v>-1.109629796716</v>
      </c>
      <c r="AE657">
        <v>-0.27410000000003198</v>
      </c>
      <c r="AF657">
        <v>0.18478513079293499</v>
      </c>
      <c r="AG657">
        <v>-1.109629796716</v>
      </c>
      <c r="AH657">
        <v>47.736563686063299</v>
      </c>
      <c r="AI657">
        <v>91.3315826732983</v>
      </c>
      <c r="AJ657">
        <v>89.778212874721007</v>
      </c>
      <c r="AK657">
        <v>47.749816087435399</v>
      </c>
      <c r="AL657">
        <v>80.113336367347699</v>
      </c>
      <c r="AM657">
        <v>93.217610491287203</v>
      </c>
      <c r="AN657">
        <v>1.0000000110121701</v>
      </c>
    </row>
    <row r="658" spans="1:40" x14ac:dyDescent="0.25">
      <c r="A658" t="str">
        <f>"20190304155327534"</f>
        <v>20190304155327534</v>
      </c>
      <c r="B658" t="str">
        <f>"1551686007526836"</f>
        <v>1551686007526836</v>
      </c>
      <c r="C658" t="s">
        <v>40</v>
      </c>
      <c r="D658">
        <v>4.4912769999999904</v>
      </c>
      <c r="E658">
        <v>0.52083049999999997</v>
      </c>
      <c r="F658" t="s">
        <v>46</v>
      </c>
      <c r="G658">
        <v>-274.22059999999999</v>
      </c>
      <c r="H658" s="1">
        <v>-2.9361000000000001E-6</v>
      </c>
      <c r="I658">
        <v>366.9418</v>
      </c>
      <c r="J658">
        <v>-321.9341</v>
      </c>
      <c r="K658">
        <v>1.109631</v>
      </c>
      <c r="L658">
        <v>367.21280000000002</v>
      </c>
      <c r="M658">
        <v>0.99995829999999997</v>
      </c>
      <c r="N658">
        <v>-8.9633479999999995E-3</v>
      </c>
      <c r="O658">
        <v>-1.762099E-3</v>
      </c>
      <c r="P658">
        <v>0.98516550000000003</v>
      </c>
      <c r="Q658">
        <v>0.1631146</v>
      </c>
      <c r="R658">
        <v>5.3316799999999998E-2</v>
      </c>
      <c r="S658">
        <v>3.0576780000000001</v>
      </c>
      <c r="T658">
        <v>-7.055604E-2</v>
      </c>
      <c r="U658">
        <v>-1.7272949999999999E-2</v>
      </c>
      <c r="V658">
        <v>-5.5088129999999999E-2</v>
      </c>
      <c r="W658">
        <v>0.17192669999999999</v>
      </c>
      <c r="X658">
        <v>0.98356829999999995</v>
      </c>
      <c r="Y658">
        <v>3.8855399999999998E-3</v>
      </c>
      <c r="Z658" s="1">
        <v>-3.7379139999999999E-5</v>
      </c>
      <c r="AA658">
        <v>0.9999924</v>
      </c>
      <c r="AB658">
        <v>36</v>
      </c>
      <c r="AC658">
        <v>47.713500000000003</v>
      </c>
      <c r="AD658">
        <v>-1.1096339361000001</v>
      </c>
      <c r="AE658">
        <v>-0.27100000000001501</v>
      </c>
      <c r="AF658">
        <v>0.186819255082324</v>
      </c>
      <c r="AG658">
        <v>-1.1096339361000001</v>
      </c>
      <c r="AH658">
        <v>47.688112178963401</v>
      </c>
      <c r="AI658">
        <v>91.3329398130833</v>
      </c>
      <c r="AJ658">
        <v>89.775543639670005</v>
      </c>
      <c r="AK658">
        <v>47.701386060570698</v>
      </c>
      <c r="AL658">
        <v>80.100140069661293</v>
      </c>
      <c r="AM658">
        <v>93.205698220931495</v>
      </c>
      <c r="AN658">
        <v>1.00000004650233</v>
      </c>
    </row>
    <row r="659" spans="1:40" x14ac:dyDescent="0.25">
      <c r="A659" t="str">
        <f>"20190304155327547"</f>
        <v>20190304155327547</v>
      </c>
      <c r="B659" t="str">
        <f>"1551686007536596"</f>
        <v>1551686007536596</v>
      </c>
      <c r="C659" t="s">
        <v>40</v>
      </c>
      <c r="D659">
        <v>4.3744560000000003</v>
      </c>
      <c r="E659">
        <v>0.53045169999999997</v>
      </c>
      <c r="F659" t="s">
        <v>46</v>
      </c>
      <c r="G659">
        <v>-273.26859999999999</v>
      </c>
      <c r="H659" s="1">
        <v>-3.3473160000000001E-6</v>
      </c>
      <c r="I659">
        <v>366.92570000000001</v>
      </c>
      <c r="J659">
        <v>-321.71870000000001</v>
      </c>
      <c r="K659">
        <v>1.1096349999999999</v>
      </c>
      <c r="L659">
        <v>367.21249999999998</v>
      </c>
      <c r="M659">
        <v>0.99995829999999997</v>
      </c>
      <c r="N659">
        <v>-8.979618E-3</v>
      </c>
      <c r="O659">
        <v>-1.701251E-3</v>
      </c>
      <c r="P659">
        <v>0.98519449999999997</v>
      </c>
      <c r="Q659">
        <v>0.16297420000000001</v>
      </c>
      <c r="R659">
        <v>5.3210060000000003E-2</v>
      </c>
      <c r="S659">
        <v>3.0577390000000002</v>
      </c>
      <c r="T659">
        <v>-6.9720270000000001E-2</v>
      </c>
      <c r="U659">
        <v>-1.8035889999999999E-2</v>
      </c>
      <c r="V659">
        <v>-5.4921440000000002E-2</v>
      </c>
      <c r="W659">
        <v>0.17180210000000001</v>
      </c>
      <c r="X659">
        <v>0.98359940000000001</v>
      </c>
      <c r="Y659">
        <v>4.1956800000000002E-3</v>
      </c>
      <c r="Z659" s="1">
        <v>-4.3158870000000002E-5</v>
      </c>
      <c r="AA659">
        <v>0.99999119999999997</v>
      </c>
      <c r="AB659">
        <v>36</v>
      </c>
      <c r="AC659">
        <v>48.450099999999999</v>
      </c>
      <c r="AD659">
        <v>-1.1096383473160001</v>
      </c>
      <c r="AE659">
        <v>-0.28679999999997102</v>
      </c>
      <c r="AF659">
        <v>0.20426334655706299</v>
      </c>
      <c r="AG659">
        <v>-1.1096383473160001</v>
      </c>
      <c r="AH659">
        <v>48.425118093413303</v>
      </c>
      <c r="AI659">
        <v>91.312663905007796</v>
      </c>
      <c r="AJ659">
        <v>89.7583205014881</v>
      </c>
      <c r="AK659">
        <v>48.438260529643401</v>
      </c>
      <c r="AL659">
        <v>80.107387016614396</v>
      </c>
      <c r="AM659">
        <v>93.195917462093007</v>
      </c>
      <c r="AN659">
        <v>1.00000005290822</v>
      </c>
    </row>
    <row r="660" spans="1:40" x14ac:dyDescent="0.25">
      <c r="A660" t="str">
        <f>"20190304155327566"</f>
        <v>20190304155327566</v>
      </c>
      <c r="B660" t="str">
        <f>"1551686007556116"</f>
        <v>1551686007556116</v>
      </c>
      <c r="C660" t="s">
        <v>40</v>
      </c>
      <c r="D660">
        <v>4.4038370000000002</v>
      </c>
      <c r="E660">
        <v>0.52918050000000005</v>
      </c>
      <c r="F660" t="s">
        <v>46</v>
      </c>
      <c r="G660">
        <v>-245.88120000000001</v>
      </c>
      <c r="H660" s="1">
        <v>-2.8278330000000001E-6</v>
      </c>
      <c r="I660">
        <v>364.87360000000001</v>
      </c>
      <c r="J660">
        <v>-321.40030000000002</v>
      </c>
      <c r="K660">
        <v>1.109639</v>
      </c>
      <c r="L660">
        <v>367.21199999999999</v>
      </c>
      <c r="M660">
        <v>0.99995829999999997</v>
      </c>
      <c r="N660">
        <v>-9.0018449999999996E-3</v>
      </c>
      <c r="O660">
        <v>-1.610865E-3</v>
      </c>
      <c r="P660">
        <v>0.98521420000000004</v>
      </c>
      <c r="Q660">
        <v>0.16296729999999901</v>
      </c>
      <c r="R660">
        <v>5.2871540000000002E-2</v>
      </c>
      <c r="S660">
        <v>3.0575869999999998</v>
      </c>
      <c r="T660">
        <v>-4.4737939999999997E-2</v>
      </c>
      <c r="U660">
        <v>-9.4299320000000006E-2</v>
      </c>
      <c r="V660">
        <v>-5.449449E-2</v>
      </c>
      <c r="W660">
        <v>0.1718172</v>
      </c>
      <c r="X660">
        <v>0.98362050000000001</v>
      </c>
      <c r="Y660">
        <v>2.921122E-2</v>
      </c>
      <c r="Z660">
        <v>-3.3610109999999998E-4</v>
      </c>
      <c r="AA660">
        <v>0.99957320000000005</v>
      </c>
      <c r="AB660">
        <v>36</v>
      </c>
      <c r="AC660">
        <v>75.519099999999995</v>
      </c>
      <c r="AD660">
        <v>-1.109641827833</v>
      </c>
      <c r="AE660">
        <v>-2.3383999999999698</v>
      </c>
      <c r="AF660">
        <v>2.2162629434255301</v>
      </c>
      <c r="AG660">
        <v>-1.109641827833</v>
      </c>
      <c r="AH660">
        <v>75.506482797741</v>
      </c>
      <c r="AI660">
        <v>90.841594668566799</v>
      </c>
      <c r="AJ660">
        <v>88.318739525924599</v>
      </c>
      <c r="AK660">
        <v>75.547151309007205</v>
      </c>
      <c r="AL660">
        <v>80.106508700690199</v>
      </c>
      <c r="AM660">
        <v>93.171055956744695</v>
      </c>
      <c r="AN660">
        <v>1.0000000438382199</v>
      </c>
    </row>
    <row r="661" spans="1:40" x14ac:dyDescent="0.25">
      <c r="A661" t="str">
        <f>"20190304155327589"</f>
        <v>20190304155327589</v>
      </c>
      <c r="B661" t="str">
        <f>"1551686007586372"</f>
        <v>1551686007586372</v>
      </c>
      <c r="C661" t="s">
        <v>40</v>
      </c>
      <c r="D661">
        <v>4.3530430000000004</v>
      </c>
      <c r="E661">
        <v>0.52803199999999995</v>
      </c>
      <c r="F661" t="s">
        <v>46</v>
      </c>
      <c r="G661">
        <v>-233.96549999999999</v>
      </c>
      <c r="H661" s="1">
        <v>-3.4283120000000002E-6</v>
      </c>
      <c r="I661">
        <v>364.78379999999999</v>
      </c>
      <c r="J661">
        <v>-321.04020000000003</v>
      </c>
      <c r="K661">
        <v>1.1095809999999999</v>
      </c>
      <c r="L661">
        <v>367.2115</v>
      </c>
      <c r="M661">
        <v>0.99996019999999997</v>
      </c>
      <c r="N661">
        <v>-8.7992880000000006E-3</v>
      </c>
      <c r="O661">
        <v>-1.50735E-3</v>
      </c>
      <c r="P661">
        <v>0.98521139999999996</v>
      </c>
      <c r="Q661">
        <v>0.16303790000000001</v>
      </c>
      <c r="R661">
        <v>5.2701999999999999E-2</v>
      </c>
      <c r="S661">
        <v>3.0559690000000002</v>
      </c>
      <c r="T661">
        <v>-3.878355E-2</v>
      </c>
      <c r="U661">
        <v>-8.4869379999999994E-2</v>
      </c>
      <c r="V661">
        <v>-5.4222739999999998E-2</v>
      </c>
      <c r="W661">
        <v>0.17168900000000001</v>
      </c>
      <c r="X661">
        <v>0.98365780000000003</v>
      </c>
      <c r="Y661">
        <v>2.6250550000000001E-2</v>
      </c>
      <c r="Z661">
        <v>-2.7619640000000001E-4</v>
      </c>
      <c r="AA661">
        <v>0.99965539999999997</v>
      </c>
      <c r="AB661">
        <v>36</v>
      </c>
      <c r="AC661">
        <v>87.074700000000007</v>
      </c>
      <c r="AD661">
        <v>-1.109584428312</v>
      </c>
      <c r="AE661">
        <v>-2.42770000000001</v>
      </c>
      <c r="AF661">
        <v>2.2960675683743901</v>
      </c>
      <c r="AG661">
        <v>-1.109584428312</v>
      </c>
      <c r="AH661">
        <v>87.064133976400001</v>
      </c>
      <c r="AI661">
        <v>90.729909868125404</v>
      </c>
      <c r="AJ661">
        <v>88.489337807934604</v>
      </c>
      <c r="AK661">
        <v>87.101472599162307</v>
      </c>
      <c r="AL661">
        <v>80.113963808859097</v>
      </c>
      <c r="AM661">
        <v>93.155155342914099</v>
      </c>
      <c r="AN661">
        <v>0.99999994287747196</v>
      </c>
    </row>
    <row r="662" spans="1:40" x14ac:dyDescent="0.25">
      <c r="A662" t="str">
        <f>"20190304155327603"</f>
        <v>20190304155327603</v>
      </c>
      <c r="B662" t="str">
        <f>"1551686007596132"</f>
        <v>1551686007596132</v>
      </c>
      <c r="C662" t="s">
        <v>40</v>
      </c>
      <c r="D662">
        <v>4.5513560000000002</v>
      </c>
      <c r="E662">
        <v>0.52803199999999995</v>
      </c>
      <c r="F662" t="s">
        <v>46</v>
      </c>
      <c r="G662">
        <v>-217.25540000000001</v>
      </c>
      <c r="H662" s="1">
        <v>-2.247213E-6</v>
      </c>
      <c r="I662">
        <v>364.62849999999997</v>
      </c>
      <c r="J662">
        <v>-320.79329999999999</v>
      </c>
      <c r="K662">
        <v>1.109442</v>
      </c>
      <c r="L662">
        <v>367.21120000000002</v>
      </c>
      <c r="M662">
        <v>0.99996410000000002</v>
      </c>
      <c r="N662">
        <v>-8.3613809999999993E-3</v>
      </c>
      <c r="O662">
        <v>-1.4350770000000001E-3</v>
      </c>
      <c r="P662">
        <v>0.98507929999999999</v>
      </c>
      <c r="Q662">
        <v>0.16386779999999901</v>
      </c>
      <c r="R662">
        <v>5.2594879999999997E-2</v>
      </c>
      <c r="S662">
        <v>3.0544739999999999</v>
      </c>
      <c r="T662">
        <v>-3.2655950000000003E-2</v>
      </c>
      <c r="U662">
        <v>-7.6019290000000003E-2</v>
      </c>
      <c r="V662">
        <v>-5.4043969999999997E-2</v>
      </c>
      <c r="W662">
        <v>0.17208679999999901</v>
      </c>
      <c r="X662">
        <v>0.98359819999999998</v>
      </c>
      <c r="Y662">
        <v>2.3443060000000002E-2</v>
      </c>
      <c r="Z662">
        <v>-2.1998189999999999E-4</v>
      </c>
      <c r="AA662">
        <v>0.99972519999999998</v>
      </c>
      <c r="AB662">
        <v>36</v>
      </c>
      <c r="AC662">
        <v>103.537899999999</v>
      </c>
      <c r="AD662">
        <v>-1.1094442472129999</v>
      </c>
      <c r="AE662">
        <v>-2.58270000000004</v>
      </c>
      <c r="AF662">
        <v>2.4338280250961901</v>
      </c>
      <c r="AG662">
        <v>-1.1094442472129999</v>
      </c>
      <c r="AH662">
        <v>103.529620145249</v>
      </c>
      <c r="AI662">
        <v>90.613800031922395</v>
      </c>
      <c r="AJ662">
        <v>88.653309134746195</v>
      </c>
      <c r="AK662">
        <v>103.564166741267</v>
      </c>
      <c r="AL662">
        <v>80.090827947070494</v>
      </c>
      <c r="AM662">
        <v>93.144964018975301</v>
      </c>
      <c r="AN662">
        <v>1.0000000182354201</v>
      </c>
    </row>
    <row r="663" spans="1:40" x14ac:dyDescent="0.25">
      <c r="A663" t="str">
        <f>"20190304155327624"</f>
        <v>20190304155327624</v>
      </c>
      <c r="B663" t="str">
        <f>"1551686007616628"</f>
        <v>1551686007616628</v>
      </c>
      <c r="C663" t="s">
        <v>40</v>
      </c>
      <c r="D663">
        <v>4.3733050000000002</v>
      </c>
      <c r="E663">
        <v>0.52770410000000001</v>
      </c>
      <c r="F663" t="s">
        <v>45</v>
      </c>
      <c r="G663">
        <v>-208.13470000000001</v>
      </c>
      <c r="H663" s="1">
        <v>-5.4767170000000003E-6</v>
      </c>
      <c r="I663">
        <v>364.39170000000001</v>
      </c>
      <c r="J663">
        <v>-320.45870000000002</v>
      </c>
      <c r="K663">
        <v>1.1092029999999999</v>
      </c>
      <c r="L663">
        <v>367.21080000000001</v>
      </c>
      <c r="M663">
        <v>0.99996799999999997</v>
      </c>
      <c r="N663">
        <v>-7.9034299999999995E-3</v>
      </c>
      <c r="O663">
        <v>-1.336119E-3</v>
      </c>
      <c r="P663">
        <v>0.98504840000000005</v>
      </c>
      <c r="Q663">
        <v>0.1640886</v>
      </c>
      <c r="R663">
        <v>5.248738E-2</v>
      </c>
      <c r="S663">
        <v>3.054535</v>
      </c>
      <c r="T663">
        <v>-3.0080679999999999E-2</v>
      </c>
      <c r="U663">
        <v>-7.6446529999999999E-2</v>
      </c>
      <c r="V663">
        <v>-5.3838869999999997E-2</v>
      </c>
      <c r="W663">
        <v>0.17185710000000001</v>
      </c>
      <c r="X663">
        <v>0.98364960000000001</v>
      </c>
      <c r="Y663">
        <v>2.3681560000000001E-2</v>
      </c>
      <c r="Z663">
        <v>-2.075914E-4</v>
      </c>
      <c r="AA663">
        <v>0.99971960000000004</v>
      </c>
      <c r="AB663">
        <v>37</v>
      </c>
      <c r="AC663">
        <v>112.324</v>
      </c>
      <c r="AD663">
        <v>-1.1092084767170001</v>
      </c>
      <c r="AE663">
        <v>-2.8190999999999899</v>
      </c>
      <c r="AF663">
        <v>2.6687544986087399</v>
      </c>
      <c r="AG663">
        <v>-1.1092084767170001</v>
      </c>
      <c r="AH663">
        <v>112.316720585192</v>
      </c>
      <c r="AI663">
        <v>90.565659029718802</v>
      </c>
      <c r="AJ663">
        <v>88.6388526860067</v>
      </c>
      <c r="AK663">
        <v>112.353897649484</v>
      </c>
      <c r="AL663">
        <v>80.104187754213399</v>
      </c>
      <c r="AM663">
        <v>93.132889131602795</v>
      </c>
      <c r="AN663">
        <v>1.00000001116172</v>
      </c>
    </row>
    <row r="664" spans="1:40" x14ac:dyDescent="0.25">
      <c r="A664" t="str">
        <f>"20190304155327645"</f>
        <v>20190304155327645</v>
      </c>
      <c r="B664" t="str">
        <f>"1551686007636148"</f>
        <v>1551686007636148</v>
      </c>
      <c r="C664" t="s">
        <v>40</v>
      </c>
      <c r="D664">
        <v>4.3316359999999996</v>
      </c>
      <c r="E664">
        <v>0.52764619999999995</v>
      </c>
      <c r="F664" t="s">
        <v>45</v>
      </c>
      <c r="G664">
        <v>-197.7912</v>
      </c>
      <c r="H664" s="1">
        <v>-8.8931520000000002E-6</v>
      </c>
      <c r="I664">
        <v>364.22120000000001</v>
      </c>
      <c r="J664">
        <v>-320.10759999999999</v>
      </c>
      <c r="K664">
        <v>1.108886</v>
      </c>
      <c r="L664">
        <v>367.21039999999999</v>
      </c>
      <c r="M664">
        <v>0.99996790000000002</v>
      </c>
      <c r="N664">
        <v>-7.9183410000000006E-3</v>
      </c>
      <c r="O664">
        <v>-1.2325789999999999E-3</v>
      </c>
      <c r="P664">
        <v>0.98496899999999998</v>
      </c>
      <c r="Q664">
        <v>0.16454830000000001</v>
      </c>
      <c r="R664">
        <v>5.2537279999999999E-2</v>
      </c>
      <c r="S664">
        <v>3.0540769999999999</v>
      </c>
      <c r="T664">
        <v>-2.761626E-2</v>
      </c>
      <c r="U664">
        <v>-7.4432369999999998E-2</v>
      </c>
      <c r="V664">
        <v>-5.3786960000000002E-2</v>
      </c>
      <c r="W664">
        <v>0.17233109999999999</v>
      </c>
      <c r="X664">
        <v>0.98356949999999999</v>
      </c>
      <c r="Y664">
        <v>2.31302E-2</v>
      </c>
      <c r="Z664">
        <v>-1.9476899999999999E-4</v>
      </c>
      <c r="AA664">
        <v>0.99973239999999997</v>
      </c>
      <c r="AB664">
        <v>37</v>
      </c>
      <c r="AC664">
        <v>122.3164</v>
      </c>
      <c r="AD664">
        <v>-1.108894893152</v>
      </c>
      <c r="AE664">
        <v>-2.9891999999999799</v>
      </c>
      <c r="AF664">
        <v>2.8381952500666698</v>
      </c>
      <c r="AG664">
        <v>-1.108894893152</v>
      </c>
      <c r="AH664">
        <v>122.309945141551</v>
      </c>
      <c r="AI664">
        <v>90.519304942853296</v>
      </c>
      <c r="AJ664">
        <v>88.670693290878404</v>
      </c>
      <c r="AK664">
        <v>122.347896102429</v>
      </c>
      <c r="AL664">
        <v>80.076618151979503</v>
      </c>
      <c r="AM664">
        <v>93.130128876218706</v>
      </c>
      <c r="AN664">
        <v>1.00000000321175</v>
      </c>
    </row>
    <row r="665" spans="1:40" x14ac:dyDescent="0.25">
      <c r="A665" t="str">
        <f>"20190304155327668"</f>
        <v>20190304155327668</v>
      </c>
      <c r="B665" t="str">
        <f>"1551686007656644"</f>
        <v>1551686007656644</v>
      </c>
      <c r="C665" t="s">
        <v>40</v>
      </c>
      <c r="D665">
        <v>4.3280510000000003</v>
      </c>
      <c r="E665">
        <v>0.5274451</v>
      </c>
      <c r="F665" t="s">
        <v>45</v>
      </c>
      <c r="G665">
        <v>-189.5352</v>
      </c>
      <c r="H665" s="1">
        <v>-6.9535149999999998E-6</v>
      </c>
      <c r="I665">
        <v>364.10899999999998</v>
      </c>
      <c r="J665">
        <v>-319.73559999999998</v>
      </c>
      <c r="K665">
        <v>1.1083970000000001</v>
      </c>
      <c r="L665">
        <v>367.21010000000001</v>
      </c>
      <c r="M665">
        <v>0.99996399999999996</v>
      </c>
      <c r="N665">
        <v>-8.4185419999999993E-3</v>
      </c>
      <c r="O665">
        <v>-1.1245070000000001E-3</v>
      </c>
      <c r="P665">
        <v>0.98516570000000003</v>
      </c>
      <c r="Q665">
        <v>0.16352130000000001</v>
      </c>
      <c r="R665">
        <v>5.2053490000000001E-2</v>
      </c>
      <c r="S665">
        <v>3.0539860000000001</v>
      </c>
      <c r="T665">
        <v>-2.5936130000000002E-2</v>
      </c>
      <c r="U665">
        <v>-7.2540279999999999E-2</v>
      </c>
      <c r="V665">
        <v>-5.3197750000000002E-2</v>
      </c>
      <c r="W665">
        <v>0.17179749999999999</v>
      </c>
      <c r="X665">
        <v>0.98369490000000004</v>
      </c>
      <c r="Y665">
        <v>2.2620089999999999E-2</v>
      </c>
      <c r="Z665">
        <v>-1.9118569999999999E-4</v>
      </c>
      <c r="AA665">
        <v>0.99974410000000002</v>
      </c>
      <c r="AB665">
        <v>37</v>
      </c>
      <c r="AC665">
        <v>130.20039999999901</v>
      </c>
      <c r="AD665">
        <v>-1.1084039535150001</v>
      </c>
      <c r="AE665">
        <v>-3.10109999999997</v>
      </c>
      <c r="AF665">
        <v>2.95446760415309</v>
      </c>
      <c r="AG665">
        <v>-1.1084039535150001</v>
      </c>
      <c r="AH665">
        <v>130.19437488167301</v>
      </c>
      <c r="AI665">
        <v>90.487647719665901</v>
      </c>
      <c r="AJ665">
        <v>88.700024664687803</v>
      </c>
      <c r="AK665">
        <v>130.23260992922499</v>
      </c>
      <c r="AL665">
        <v>80.107654215659196</v>
      </c>
      <c r="AM665">
        <v>93.0955130124118</v>
      </c>
      <c r="AN665">
        <v>1.00000001894866</v>
      </c>
    </row>
    <row r="666" spans="1:40" x14ac:dyDescent="0.25">
      <c r="A666" t="str">
        <f>"20190304155327681"</f>
        <v>20190304155327681</v>
      </c>
      <c r="B666" t="str">
        <f>"1551686007676164"</f>
        <v>1551686007676164</v>
      </c>
      <c r="C666" t="s">
        <v>40</v>
      </c>
      <c r="D666">
        <v>4.3261699999999896</v>
      </c>
      <c r="E666">
        <v>0.52744199999999997</v>
      </c>
      <c r="F666" t="s">
        <v>45</v>
      </c>
      <c r="G666">
        <v>-202.2672</v>
      </c>
      <c r="H666" s="1">
        <v>-2.7205500000000002E-6</v>
      </c>
      <c r="I666">
        <v>364.41500000000002</v>
      </c>
      <c r="J666">
        <v>-319.52300000000002</v>
      </c>
      <c r="K666">
        <v>1.108034</v>
      </c>
      <c r="L666">
        <v>367.20979999999997</v>
      </c>
      <c r="M666">
        <v>0.99996050000000003</v>
      </c>
      <c r="N666">
        <v>-8.8392260000000004E-3</v>
      </c>
      <c r="O666">
        <v>-1.0635449999999999E-3</v>
      </c>
      <c r="P666">
        <v>0.98527509999999996</v>
      </c>
      <c r="Q666">
        <v>0.16284949999999901</v>
      </c>
      <c r="R666">
        <v>5.208873E-2</v>
      </c>
      <c r="S666">
        <v>3.0537719999999999</v>
      </c>
      <c r="T666">
        <v>-2.8814550000000001E-2</v>
      </c>
      <c r="U666">
        <v>-7.2662350000000001E-2</v>
      </c>
      <c r="V666">
        <v>-5.317392E-2</v>
      </c>
      <c r="W666">
        <v>0.1715401</v>
      </c>
      <c r="X666">
        <v>0.98374110000000003</v>
      </c>
      <c r="Y666">
        <v>2.2722309999999999E-2</v>
      </c>
      <c r="Z666">
        <v>-2.069936E-4</v>
      </c>
      <c r="AA666">
        <v>0.99974180000000001</v>
      </c>
      <c r="AB666">
        <v>37</v>
      </c>
      <c r="AC666">
        <v>117.255799999999</v>
      </c>
      <c r="AD666">
        <v>-1.1080367205499999</v>
      </c>
      <c r="AE666">
        <v>-2.7947999999999502</v>
      </c>
      <c r="AF666">
        <v>2.669848468239</v>
      </c>
      <c r="AG666">
        <v>-1.1080367205499999</v>
      </c>
      <c r="AH666">
        <v>117.248242152139</v>
      </c>
      <c r="AI666">
        <v>90.541308639985203</v>
      </c>
      <c r="AJ666">
        <v>88.695548731726205</v>
      </c>
      <c r="AK666">
        <v>117.28386983717699</v>
      </c>
      <c r="AL666">
        <v>80.1226243136297</v>
      </c>
      <c r="AM666">
        <v>93.093984039300693</v>
      </c>
      <c r="AN666">
        <v>1.0000000117526899</v>
      </c>
    </row>
    <row r="667" spans="1:40" x14ac:dyDescent="0.25">
      <c r="A667" t="str">
        <f>"20190304155327700"</f>
        <v>20190304155327700</v>
      </c>
      <c r="B667" t="str">
        <f>"1551686007696660"</f>
        <v>1551686007696660</v>
      </c>
      <c r="C667" t="s">
        <v>40</v>
      </c>
      <c r="D667">
        <v>4.3088649999999999</v>
      </c>
      <c r="E667">
        <v>0.52741590000000005</v>
      </c>
      <c r="F667" t="s">
        <v>45</v>
      </c>
      <c r="G667">
        <v>-208.07579999999999</v>
      </c>
      <c r="H667" s="1">
        <v>-5.4308690000000002E-6</v>
      </c>
      <c r="I667">
        <v>364.5591</v>
      </c>
      <c r="J667">
        <v>-319.20139999999998</v>
      </c>
      <c r="K667">
        <v>1.1073</v>
      </c>
      <c r="L667">
        <v>367.20960000000002</v>
      </c>
      <c r="M667">
        <v>0.99995230000000002</v>
      </c>
      <c r="N667">
        <v>-9.7159540000000006E-3</v>
      </c>
      <c r="O667">
        <v>-9.8221560000000003E-4</v>
      </c>
      <c r="P667">
        <v>0.9854792</v>
      </c>
      <c r="Q667">
        <v>0.16165570000000001</v>
      </c>
      <c r="R667">
        <v>5.1943499999999997E-2</v>
      </c>
      <c r="S667">
        <v>3.0536799999999999</v>
      </c>
      <c r="T667">
        <v>-3.0360580000000002E-2</v>
      </c>
      <c r="U667">
        <v>-7.2631840000000003E-2</v>
      </c>
      <c r="V667">
        <v>-5.2951369999999998E-2</v>
      </c>
      <c r="W667">
        <v>0.17121029999999901</v>
      </c>
      <c r="X667">
        <v>0.98381050000000003</v>
      </c>
      <c r="Y667">
        <v>2.279407E-2</v>
      </c>
      <c r="Z667">
        <v>-2.238288E-4</v>
      </c>
      <c r="AA667">
        <v>0.99974019999999997</v>
      </c>
      <c r="AB667">
        <v>37</v>
      </c>
      <c r="AC667">
        <v>111.12560000000001</v>
      </c>
      <c r="AD667">
        <v>-1.107305430869</v>
      </c>
      <c r="AE667">
        <v>-2.6505000000000201</v>
      </c>
      <c r="AF667">
        <v>2.5410921072276098</v>
      </c>
      <c r="AG667">
        <v>-1.107305430869</v>
      </c>
      <c r="AH667">
        <v>111.117123301717</v>
      </c>
      <c r="AI667">
        <v>90.570796330836799</v>
      </c>
      <c r="AJ667">
        <v>88.689954561388504</v>
      </c>
      <c r="AK667">
        <v>111.151690789046</v>
      </c>
      <c r="AL667">
        <v>80.141803668575605</v>
      </c>
      <c r="AM667">
        <v>93.080842794613602</v>
      </c>
      <c r="AN667">
        <v>0.99999995716060697</v>
      </c>
    </row>
    <row r="668" spans="1:40" x14ac:dyDescent="0.25">
      <c r="A668" t="str">
        <f>"20190304155327723"</f>
        <v>20190304155327723</v>
      </c>
      <c r="B668" t="str">
        <f>"1551686007716180"</f>
        <v>1551686007716180</v>
      </c>
      <c r="C668" t="s">
        <v>40</v>
      </c>
      <c r="D668">
        <v>4.3231739999999999</v>
      </c>
      <c r="E668">
        <v>0.52751000000000003</v>
      </c>
      <c r="F668" t="s">
        <v>46</v>
      </c>
      <c r="G668">
        <v>-218.72110000000001</v>
      </c>
      <c r="H668" s="1">
        <v>-1.7008319999999999E-6</v>
      </c>
      <c r="I668">
        <v>364.80739999999997</v>
      </c>
      <c r="J668">
        <v>-318.8116</v>
      </c>
      <c r="K668">
        <v>1.1062299999999901</v>
      </c>
      <c r="L668">
        <v>367.20929999999998</v>
      </c>
      <c r="M668">
        <v>0.99993489999999996</v>
      </c>
      <c r="N668">
        <v>-1.1395499999999999E-2</v>
      </c>
      <c r="O668">
        <v>-8.9079679999999996E-4</v>
      </c>
      <c r="P668">
        <v>0.98583140000000002</v>
      </c>
      <c r="Q668">
        <v>0.15959370000000001</v>
      </c>
      <c r="R668">
        <v>5.1641859999999998E-2</v>
      </c>
      <c r="S668">
        <v>3.0534970000000001</v>
      </c>
      <c r="T668">
        <v>-3.3649800000000001E-2</v>
      </c>
      <c r="U668">
        <v>-7.2998049999999995E-2</v>
      </c>
      <c r="V668">
        <v>-5.2562009999999999E-2</v>
      </c>
      <c r="W668">
        <v>0.17080390000000001</v>
      </c>
      <c r="X668">
        <v>0.98390200000000005</v>
      </c>
      <c r="Y668">
        <v>2.3006100000000002E-2</v>
      </c>
      <c r="Z668">
        <v>-2.5819180000000001E-4</v>
      </c>
      <c r="AA668">
        <v>0.99973529999999999</v>
      </c>
      <c r="AB668">
        <v>37</v>
      </c>
      <c r="AC668">
        <v>100.09050000000001</v>
      </c>
      <c r="AD668">
        <v>-1.10623170083199</v>
      </c>
      <c r="AE668">
        <v>-2.4019000000000101</v>
      </c>
      <c r="AF668">
        <v>2.3124506687216901</v>
      </c>
      <c r="AG668">
        <v>-1.10623170083199</v>
      </c>
      <c r="AH668">
        <v>100.080381877458</v>
      </c>
      <c r="AI668">
        <v>90.633120245021601</v>
      </c>
      <c r="AJ668">
        <v>88.676363039805096</v>
      </c>
      <c r="AK668">
        <v>100.11320598906499</v>
      </c>
      <c r="AL668">
        <v>80.165436638580402</v>
      </c>
      <c r="AM668">
        <v>93.057948153711394</v>
      </c>
      <c r="AN668">
        <v>0.99999994137722303</v>
      </c>
    </row>
    <row r="669" spans="1:40" x14ac:dyDescent="0.25">
      <c r="A669" t="str">
        <f>"20190304155327737"</f>
        <v>20190304155327737</v>
      </c>
      <c r="B669" t="str">
        <f>"1551686007726917"</f>
        <v>1551686007726917</v>
      </c>
      <c r="C669" t="s">
        <v>40</v>
      </c>
      <c r="D669">
        <v>4.2807550000000001</v>
      </c>
      <c r="E669">
        <v>0.52745469999999905</v>
      </c>
      <c r="F669" t="s">
        <v>46</v>
      </c>
      <c r="G669">
        <v>-234.3955</v>
      </c>
      <c r="H669" s="1">
        <v>-3.1789129999999999E-6</v>
      </c>
      <c r="I669">
        <v>365.14980000000003</v>
      </c>
      <c r="J669">
        <v>-318.5779</v>
      </c>
      <c r="K669">
        <v>1.1054930000000001</v>
      </c>
      <c r="L669">
        <v>367.20909999999998</v>
      </c>
      <c r="M669">
        <v>0.99992000000000003</v>
      </c>
      <c r="N669">
        <v>-1.263091E-2</v>
      </c>
      <c r="O669">
        <v>-8.3367490000000005E-4</v>
      </c>
      <c r="P669">
        <v>0.98600189999999999</v>
      </c>
      <c r="Q669">
        <v>0.158524</v>
      </c>
      <c r="R669">
        <v>5.1678210000000002E-2</v>
      </c>
      <c r="S669">
        <v>3.0534970000000001</v>
      </c>
      <c r="T669">
        <v>-4.0014620000000001E-2</v>
      </c>
      <c r="U669">
        <v>-7.4493409999999996E-2</v>
      </c>
      <c r="V669">
        <v>-5.254234E-2</v>
      </c>
      <c r="W669">
        <v>0.17095189999999999</v>
      </c>
      <c r="X669">
        <v>0.98387740000000001</v>
      </c>
      <c r="Y669">
        <v>2.3551369999999999E-2</v>
      </c>
      <c r="Z669">
        <v>-3.0266940000000001E-4</v>
      </c>
      <c r="AA669">
        <v>0.99972260000000002</v>
      </c>
      <c r="AB669">
        <v>37</v>
      </c>
      <c r="AC669">
        <v>84.182400000000001</v>
      </c>
      <c r="AD669">
        <v>-1.105496178913</v>
      </c>
      <c r="AE669">
        <v>-2.0592999999999502</v>
      </c>
      <c r="AF669">
        <v>1.98877017468416</v>
      </c>
      <c r="AG669">
        <v>-1.105496178913</v>
      </c>
      <c r="AH669">
        <v>84.169581011153596</v>
      </c>
      <c r="AI669">
        <v>90.752278342285393</v>
      </c>
      <c r="AJ669">
        <v>88.646459470962199</v>
      </c>
      <c r="AK669">
        <v>84.200330736894699</v>
      </c>
      <c r="AL669">
        <v>80.156830804549799</v>
      </c>
      <c r="AM669">
        <v>93.056882249518395</v>
      </c>
      <c r="AN669">
        <v>0.99999999391852201</v>
      </c>
    </row>
    <row r="670" spans="1:40" x14ac:dyDescent="0.25">
      <c r="A670" t="str">
        <f>"20190304155327757"</f>
        <v>20190304155327757</v>
      </c>
      <c r="B670" t="str">
        <f>"1551686007746436"</f>
        <v>1551686007746436</v>
      </c>
      <c r="C670" t="s">
        <v>40</v>
      </c>
      <c r="D670">
        <v>4.2532800000000002</v>
      </c>
      <c r="E670">
        <v>0.5274683</v>
      </c>
      <c r="F670" t="s">
        <v>46</v>
      </c>
      <c r="G670">
        <v>-240.33750000000001</v>
      </c>
      <c r="H670" s="1">
        <v>-5.3101409999999999E-6</v>
      </c>
      <c r="I670">
        <v>365.31990000000002</v>
      </c>
      <c r="J670">
        <v>-318.25830000000002</v>
      </c>
      <c r="K670">
        <v>1.104271</v>
      </c>
      <c r="L670">
        <v>367.20890000000003</v>
      </c>
      <c r="M670">
        <v>0.99990120000000005</v>
      </c>
      <c r="N670">
        <v>-1.4046110000000001E-2</v>
      </c>
      <c r="O670">
        <v>-7.4293880000000001E-4</v>
      </c>
      <c r="P670">
        <v>0.98636559999999995</v>
      </c>
      <c r="Q670">
        <v>0.15612089999999901</v>
      </c>
      <c r="R670">
        <v>5.205034E-2</v>
      </c>
      <c r="S670">
        <v>3.053375</v>
      </c>
      <c r="T670">
        <v>-4.3142680000000003E-2</v>
      </c>
      <c r="U670">
        <v>-7.3730470000000006E-2</v>
      </c>
      <c r="V670">
        <v>-5.2824709999999997E-2</v>
      </c>
      <c r="W670">
        <v>0.16994679999999901</v>
      </c>
      <c r="X670">
        <v>0.98403640000000003</v>
      </c>
      <c r="Y670">
        <v>2.3392710000000001E-2</v>
      </c>
      <c r="Z670">
        <v>-3.295072E-4</v>
      </c>
      <c r="AA670">
        <v>0.99972629999999996</v>
      </c>
      <c r="AB670">
        <v>37</v>
      </c>
      <c r="AC670">
        <v>77.9208</v>
      </c>
      <c r="AD670">
        <v>-1.104276310141</v>
      </c>
      <c r="AE670">
        <v>-1.88900000000001</v>
      </c>
      <c r="AF670">
        <v>1.83073592100704</v>
      </c>
      <c r="AG670">
        <v>-1.104276310141</v>
      </c>
      <c r="AH670">
        <v>77.906544535021894</v>
      </c>
      <c r="AI670">
        <v>90.811853190277802</v>
      </c>
      <c r="AJ670">
        <v>88.653846849522495</v>
      </c>
      <c r="AK670">
        <v>77.935875574532105</v>
      </c>
      <c r="AL670">
        <v>80.215274094817303</v>
      </c>
      <c r="AM670">
        <v>93.072783333732403</v>
      </c>
      <c r="AN670">
        <v>1.00000000067089</v>
      </c>
    </row>
    <row r="671" spans="1:40" x14ac:dyDescent="0.25">
      <c r="A671" t="str">
        <f>"20190304155327779"</f>
        <v>20190304155327779</v>
      </c>
      <c r="B671" t="str">
        <f>"1551686007776692"</f>
        <v>1551686007776692</v>
      </c>
      <c r="C671" t="s">
        <v>40</v>
      </c>
      <c r="D671">
        <v>4.1649000000000003</v>
      </c>
      <c r="E671">
        <v>0.52735089999999996</v>
      </c>
      <c r="F671" t="s">
        <v>46</v>
      </c>
      <c r="G671">
        <v>-250.6114</v>
      </c>
      <c r="H671" s="1">
        <v>-4.7228230000000003E-6</v>
      </c>
      <c r="I671">
        <v>365.59769999999997</v>
      </c>
      <c r="J671">
        <v>-317.89640000000003</v>
      </c>
      <c r="K671">
        <v>1.102616</v>
      </c>
      <c r="L671">
        <v>367.20870000000002</v>
      </c>
      <c r="M671">
        <v>0.99988310000000002</v>
      </c>
      <c r="N671">
        <v>-1.5280729999999999E-2</v>
      </c>
      <c r="O671">
        <v>-6.2870760000000004E-4</v>
      </c>
      <c r="P671">
        <v>0.98656520000000003</v>
      </c>
      <c r="Q671">
        <v>0.1546719</v>
      </c>
      <c r="R671">
        <v>5.2591249999999999E-2</v>
      </c>
      <c r="S671">
        <v>3.0532530000000002</v>
      </c>
      <c r="T671">
        <v>-4.984164E-2</v>
      </c>
      <c r="U671">
        <v>-7.2723389999999999E-2</v>
      </c>
      <c r="V671">
        <v>-5.3252899999999999E-2</v>
      </c>
      <c r="W671">
        <v>0.16971610000000001</v>
      </c>
      <c r="X671">
        <v>0.98405310000000001</v>
      </c>
      <c r="Y671">
        <v>2.3176990000000001E-2</v>
      </c>
      <c r="Z671">
        <v>-3.6561679999999998E-4</v>
      </c>
      <c r="AA671">
        <v>0.99973129999999999</v>
      </c>
      <c r="AB671">
        <v>37</v>
      </c>
      <c r="AC671">
        <v>67.284999999999997</v>
      </c>
      <c r="AD671">
        <v>-1.1026207228230001</v>
      </c>
      <c r="AE671">
        <v>-1.61100000000004</v>
      </c>
      <c r="AF671">
        <v>1.5682712444145701</v>
      </c>
      <c r="AG671">
        <v>-1.1026207228230001</v>
      </c>
      <c r="AH671">
        <v>67.267945597749105</v>
      </c>
      <c r="AI671">
        <v>90.938823072066995</v>
      </c>
      <c r="AJ671">
        <v>88.6644597487944</v>
      </c>
      <c r="AK671">
        <v>67.295258020875394</v>
      </c>
      <c r="AL671">
        <v>80.228686725887101</v>
      </c>
      <c r="AM671">
        <v>93.097590123416495</v>
      </c>
      <c r="AN671">
        <v>0.99999996478861397</v>
      </c>
    </row>
    <row r="672" spans="1:40" x14ac:dyDescent="0.25">
      <c r="A672" t="str">
        <f>"20190304155327803"</f>
        <v>20190304155327803</v>
      </c>
      <c r="B672" t="str">
        <f>"1551686007796213"</f>
        <v>1551686007796213</v>
      </c>
      <c r="C672" t="s">
        <v>40</v>
      </c>
      <c r="D672">
        <v>4.1625189999999996</v>
      </c>
      <c r="E672">
        <v>0.52737509999999999</v>
      </c>
      <c r="F672" t="s">
        <v>46</v>
      </c>
      <c r="G672">
        <v>-253.3638</v>
      </c>
      <c r="H672" s="1">
        <v>-3.5178750000000002E-6</v>
      </c>
      <c r="I672">
        <v>365.73399999999998</v>
      </c>
      <c r="J672">
        <v>-317.5138</v>
      </c>
      <c r="K672">
        <v>1.1006089999999999</v>
      </c>
      <c r="L672">
        <v>367.20859999999999</v>
      </c>
      <c r="M672">
        <v>0.99986699999999995</v>
      </c>
      <c r="N672">
        <v>-1.630655E-2</v>
      </c>
      <c r="O672">
        <v>-4.9995230000000001E-4</v>
      </c>
      <c r="P672">
        <v>0.98666480000000001</v>
      </c>
      <c r="Q672">
        <v>0.15397710000000001</v>
      </c>
      <c r="R672">
        <v>5.2760120000000001E-2</v>
      </c>
      <c r="S672">
        <v>3.052765</v>
      </c>
      <c r="T672">
        <v>-5.216026E-2</v>
      </c>
      <c r="U672">
        <v>-6.9763179999999994E-2</v>
      </c>
      <c r="V672">
        <v>-5.329735E-2</v>
      </c>
      <c r="W672">
        <v>0.170031399999999</v>
      </c>
      <c r="X672">
        <v>0.98399630000000005</v>
      </c>
      <c r="Y672">
        <v>2.2340229999999999E-2</v>
      </c>
      <c r="Z672">
        <v>-3.7263569999999998E-4</v>
      </c>
      <c r="AA672">
        <v>0.99975040000000004</v>
      </c>
      <c r="AB672">
        <v>37</v>
      </c>
      <c r="AC672">
        <v>64.150000000000006</v>
      </c>
      <c r="AD672">
        <v>-1.1006125178749999</v>
      </c>
      <c r="AE672">
        <v>-1.47459999999995</v>
      </c>
      <c r="AF672">
        <v>1.4420993444543599</v>
      </c>
      <c r="AG672">
        <v>-1.1006125178749999</v>
      </c>
      <c r="AH672">
        <v>64.131861563007305</v>
      </c>
      <c r="AI672">
        <v>90.982948701478307</v>
      </c>
      <c r="AJ672">
        <v>88.711837113807903</v>
      </c>
      <c r="AK672">
        <v>64.1575144933975</v>
      </c>
      <c r="AL672">
        <v>80.210355290990606</v>
      </c>
      <c r="AM672">
        <v>93.100349233605399</v>
      </c>
      <c r="AN672">
        <v>1.0000000014583299</v>
      </c>
    </row>
    <row r="673" spans="1:40" x14ac:dyDescent="0.25">
      <c r="A673" t="str">
        <f>"20190304155327825"</f>
        <v>20190304155327825</v>
      </c>
      <c r="B673" t="str">
        <f>"1551686007816708"</f>
        <v>1551686007816708</v>
      </c>
      <c r="C673" t="s">
        <v>40</v>
      </c>
      <c r="D673">
        <v>4.1212179999999998</v>
      </c>
      <c r="E673">
        <v>0.52725540000000004</v>
      </c>
      <c r="F673" t="s">
        <v>46</v>
      </c>
      <c r="G673">
        <v>-254.233</v>
      </c>
      <c r="H673" s="1">
        <v>-3.1406390000000001E-6</v>
      </c>
      <c r="I673">
        <v>365.7586</v>
      </c>
      <c r="J673">
        <v>-317.12490000000003</v>
      </c>
      <c r="K673">
        <v>1.0983099999999999</v>
      </c>
      <c r="L673">
        <v>367.20850000000002</v>
      </c>
      <c r="M673">
        <v>0.99985329999999994</v>
      </c>
      <c r="N673">
        <v>-1.7128399999999998E-2</v>
      </c>
      <c r="O673">
        <v>-3.8070699999999999E-4</v>
      </c>
      <c r="P673">
        <v>0.98668520000000004</v>
      </c>
      <c r="Q673">
        <v>0.15379999999999999</v>
      </c>
      <c r="R673">
        <v>5.2896659999999998E-2</v>
      </c>
      <c r="S673">
        <v>3.0525820000000001</v>
      </c>
      <c r="T673">
        <v>-5.3091999999999903E-2</v>
      </c>
      <c r="U673">
        <v>-6.9946289999999994E-2</v>
      </c>
      <c r="V673">
        <v>-5.3319140000000001E-2</v>
      </c>
      <c r="W673">
        <v>0.17066289999999901</v>
      </c>
      <c r="X673">
        <v>0.98388580000000003</v>
      </c>
      <c r="Y673">
        <v>2.252038E-2</v>
      </c>
      <c r="Z673">
        <v>-3.8863999999999999E-4</v>
      </c>
      <c r="AA673">
        <v>0.99974629999999998</v>
      </c>
      <c r="AB673">
        <v>37</v>
      </c>
      <c r="AC673">
        <v>62.8919</v>
      </c>
      <c r="AD673">
        <v>-1.0983131406389901</v>
      </c>
      <c r="AE673">
        <v>-1.44990000000001</v>
      </c>
      <c r="AF673">
        <v>1.4255184817983699</v>
      </c>
      <c r="AG673">
        <v>-1.0983131406389901</v>
      </c>
      <c r="AH673">
        <v>62.873282972952801</v>
      </c>
      <c r="AI673">
        <v>91.000522660107904</v>
      </c>
      <c r="AJ673">
        <v>88.7011621216013</v>
      </c>
      <c r="AK673">
        <v>62.899031045747002</v>
      </c>
      <c r="AL673">
        <v>80.173636427795998</v>
      </c>
      <c r="AM673">
        <v>93.1019619622856</v>
      </c>
      <c r="AN673">
        <v>1.0000000117841901</v>
      </c>
    </row>
    <row r="674" spans="1:40" x14ac:dyDescent="0.25">
      <c r="A674" t="str">
        <f>"20190304155327846"</f>
        <v>20190304155327846</v>
      </c>
      <c r="B674" t="str">
        <f>"1551686007836228"</f>
        <v>1551686007836228</v>
      </c>
      <c r="C674" t="s">
        <v>40</v>
      </c>
      <c r="D674">
        <v>4.0941749999999999</v>
      </c>
      <c r="E674">
        <v>0.52722599999999997</v>
      </c>
      <c r="F674" t="s">
        <v>46</v>
      </c>
      <c r="G674">
        <v>-252.51660000000001</v>
      </c>
      <c r="H674" s="1">
        <v>-3.877381E-6</v>
      </c>
      <c r="I674">
        <v>365.75630000000001</v>
      </c>
      <c r="J674">
        <v>-316.7602</v>
      </c>
      <c r="K674">
        <v>1.0959479999999999</v>
      </c>
      <c r="L674">
        <v>367.20839999999998</v>
      </c>
      <c r="M674">
        <v>0.99984399999999996</v>
      </c>
      <c r="N674">
        <v>-1.766241E-2</v>
      </c>
      <c r="O674">
        <v>-2.782331E-4</v>
      </c>
      <c r="P674">
        <v>0.98675330000000006</v>
      </c>
      <c r="Q674">
        <v>0.15343660000000001</v>
      </c>
      <c r="R674">
        <v>5.2681499999999999E-2</v>
      </c>
      <c r="S674">
        <v>3.0522459999999998</v>
      </c>
      <c r="T674">
        <v>-5.1886799999999997E-2</v>
      </c>
      <c r="U674">
        <v>-6.8603520000000001E-2</v>
      </c>
      <c r="V674">
        <v>-5.3005160000000003E-2</v>
      </c>
      <c r="W674">
        <v>0.17082549999999999</v>
      </c>
      <c r="X674">
        <v>0.98387460000000004</v>
      </c>
      <c r="Y674">
        <v>2.2185989999999999E-2</v>
      </c>
      <c r="Z674">
        <v>-3.8472149999999999E-4</v>
      </c>
      <c r="AA674">
        <v>0.99975380000000003</v>
      </c>
      <c r="AB674">
        <v>37</v>
      </c>
      <c r="AC674">
        <v>64.243599999999901</v>
      </c>
      <c r="AD674">
        <v>-1.095951877381</v>
      </c>
      <c r="AE674">
        <v>-1.45209999999997</v>
      </c>
      <c r="AF674">
        <v>1.43380540624035</v>
      </c>
      <c r="AG674">
        <v>-1.095951877381</v>
      </c>
      <c r="AH674">
        <v>64.2253202724023</v>
      </c>
      <c r="AI674">
        <v>90.977366647821498</v>
      </c>
      <c r="AJ674">
        <v>88.721106341671799</v>
      </c>
      <c r="AK674">
        <v>64.250670600026794</v>
      </c>
      <c r="AL674">
        <v>80.164181802661801</v>
      </c>
      <c r="AM674">
        <v>93.083765858436195</v>
      </c>
      <c r="AN674">
        <v>1.00000006348101</v>
      </c>
    </row>
    <row r="675" spans="1:40" x14ac:dyDescent="0.25">
      <c r="A675" t="str">
        <f>"20190304155327868"</f>
        <v>20190304155327868</v>
      </c>
      <c r="B675" t="str">
        <f>"1551686007856724"</f>
        <v>1551686007856724</v>
      </c>
      <c r="C675" t="s">
        <v>40</v>
      </c>
      <c r="D675">
        <v>4.1051599999999997</v>
      </c>
      <c r="E675">
        <v>0.52715669999999903</v>
      </c>
      <c r="F675" t="s">
        <v>46</v>
      </c>
      <c r="G675">
        <v>-251.3347</v>
      </c>
      <c r="H675" s="1">
        <v>-4.388286E-6</v>
      </c>
      <c r="I675">
        <v>365.73439999999999</v>
      </c>
      <c r="J675">
        <v>-316.40530000000001</v>
      </c>
      <c r="K675">
        <v>1.0934649999999999</v>
      </c>
      <c r="L675">
        <v>367.20839999999998</v>
      </c>
      <c r="M675">
        <v>0.99983949999999999</v>
      </c>
      <c r="N675">
        <v>-1.7911739999999999E-2</v>
      </c>
      <c r="O675">
        <v>-1.8114760000000001E-4</v>
      </c>
      <c r="P675">
        <v>0.98679399999999995</v>
      </c>
      <c r="Q675">
        <v>0.15323809999999999</v>
      </c>
      <c r="R675">
        <v>5.2496149999999998E-2</v>
      </c>
      <c r="S675">
        <v>3.0518800000000001</v>
      </c>
      <c r="T675">
        <v>-5.1122430000000003E-2</v>
      </c>
      <c r="U675">
        <v>-6.8756100000000001E-2</v>
      </c>
      <c r="V675">
        <v>-5.2726040000000002E-2</v>
      </c>
      <c r="W675">
        <v>0.170873</v>
      </c>
      <c r="X675">
        <v>0.98388129999999996</v>
      </c>
      <c r="Y675">
        <v>2.2335770000000001E-2</v>
      </c>
      <c r="Z675">
        <v>-3.8735519999999999E-4</v>
      </c>
      <c r="AA675">
        <v>0.99975040000000004</v>
      </c>
      <c r="AB675">
        <v>37</v>
      </c>
      <c r="AC675">
        <v>65.070599999999999</v>
      </c>
      <c r="AD675">
        <v>-1.0934693882859901</v>
      </c>
      <c r="AE675">
        <v>-1.47399999999998</v>
      </c>
      <c r="AF675">
        <v>1.4617981207331301</v>
      </c>
      <c r="AG675">
        <v>-1.0934693882859901</v>
      </c>
      <c r="AH675">
        <v>65.052505470847507</v>
      </c>
      <c r="AI675">
        <v>90.962752681363895</v>
      </c>
      <c r="AJ675">
        <v>88.712720298853</v>
      </c>
      <c r="AK675">
        <v>65.078114578432107</v>
      </c>
      <c r="AL675">
        <v>80.161419159597401</v>
      </c>
      <c r="AM675">
        <v>93.067537294494201</v>
      </c>
      <c r="AN675">
        <v>1.0000000149563799</v>
      </c>
    </row>
    <row r="676" spans="1:40" x14ac:dyDescent="0.25">
      <c r="A676" t="str">
        <f>"20190304155327890"</f>
        <v>20190304155327890</v>
      </c>
      <c r="B676" t="str">
        <f>"1551686007886005"</f>
        <v>1551686007886005</v>
      </c>
      <c r="C676" t="s">
        <v>40</v>
      </c>
      <c r="D676">
        <v>4.0857739999999998</v>
      </c>
      <c r="E676">
        <v>0.52732709999999905</v>
      </c>
      <c r="F676" t="s">
        <v>46</v>
      </c>
      <c r="G676">
        <v>-249.76580000000001</v>
      </c>
      <c r="H676" s="1">
        <v>-1.1170230000000001E-6</v>
      </c>
      <c r="I676">
        <v>365.69690000000003</v>
      </c>
      <c r="J676">
        <v>-316.03100000000001</v>
      </c>
      <c r="K676">
        <v>1.090692</v>
      </c>
      <c r="L676">
        <v>367.20839999999998</v>
      </c>
      <c r="M676">
        <v>0.99983869999999997</v>
      </c>
      <c r="N676">
        <v>-1.7959220000000001E-2</v>
      </c>
      <c r="O676" s="1">
        <v>-8.4112510000000006E-5</v>
      </c>
      <c r="P676">
        <v>0.98667389999999999</v>
      </c>
      <c r="Q676">
        <v>0.1538331</v>
      </c>
      <c r="R676">
        <v>5.3012070000000001E-2</v>
      </c>
      <c r="S676">
        <v>3.0515750000000001</v>
      </c>
      <c r="T676">
        <v>-5.0072310000000002E-2</v>
      </c>
      <c r="U676">
        <v>-6.9213869999999997E-2</v>
      </c>
      <c r="V676">
        <v>-5.3147920000000001E-2</v>
      </c>
      <c r="W676">
        <v>0.17151189999999999</v>
      </c>
      <c r="X676">
        <v>0.98374740000000005</v>
      </c>
      <c r="Y676">
        <v>2.2585060000000001E-2</v>
      </c>
      <c r="Z676">
        <v>-3.8826589999999998E-4</v>
      </c>
      <c r="AA676">
        <v>0.99974479999999999</v>
      </c>
      <c r="AB676">
        <v>37</v>
      </c>
      <c r="AC676">
        <v>66.265199999999993</v>
      </c>
      <c r="AD676">
        <v>-1.0906931170229901</v>
      </c>
      <c r="AE676">
        <v>-1.5114999999999501</v>
      </c>
      <c r="AF676">
        <v>1.5055177069530099</v>
      </c>
      <c r="AG676">
        <v>-1.0906931170229901</v>
      </c>
      <c r="AH676">
        <v>66.247388799669807</v>
      </c>
      <c r="AI676">
        <v>90.942985699099907</v>
      </c>
      <c r="AJ676">
        <v>88.698137890048002</v>
      </c>
      <c r="AK676">
        <v>66.273469185007102</v>
      </c>
      <c r="AL676">
        <v>80.124264145021101</v>
      </c>
      <c r="AM676">
        <v>93.092454371301102</v>
      </c>
      <c r="AN676">
        <v>0.99999999012434804</v>
      </c>
    </row>
    <row r="677" spans="1:40" x14ac:dyDescent="0.25">
      <c r="A677" t="str">
        <f>"20190304155327913"</f>
        <v>20190304155327913</v>
      </c>
      <c r="B677" t="str">
        <f>"1551686007906500"</f>
        <v>1551686007906500</v>
      </c>
      <c r="C677" t="s">
        <v>40</v>
      </c>
      <c r="D677">
        <v>4.0296469999999998</v>
      </c>
      <c r="E677">
        <v>0.52733619999999903</v>
      </c>
      <c r="F677" t="s">
        <v>46</v>
      </c>
      <c r="G677">
        <v>-244.64</v>
      </c>
      <c r="H677" s="1">
        <v>-3.2259980000000001E-6</v>
      </c>
      <c r="I677">
        <v>365.60340000000002</v>
      </c>
      <c r="J677">
        <v>-315.6549</v>
      </c>
      <c r="K677">
        <v>1.087828</v>
      </c>
      <c r="L677">
        <v>367.20850000000002</v>
      </c>
      <c r="M677">
        <v>0.99983909999999998</v>
      </c>
      <c r="N677">
        <v>-1.7944809999999999E-2</v>
      </c>
      <c r="O677" s="1">
        <v>6.2116519999999997E-6</v>
      </c>
      <c r="P677">
        <v>0.9867437</v>
      </c>
      <c r="Q677">
        <v>0.15336749999999999</v>
      </c>
      <c r="R677">
        <v>5.3060919999999998E-2</v>
      </c>
      <c r="S677">
        <v>3.0514830000000002</v>
      </c>
      <c r="T677">
        <v>-4.6619889999999997E-2</v>
      </c>
      <c r="U677">
        <v>-6.8603520000000001E-2</v>
      </c>
      <c r="V677">
        <v>-5.3107830000000002E-2</v>
      </c>
      <c r="W677">
        <v>0.17103309999999999</v>
      </c>
      <c r="X677">
        <v>0.98383290000000001</v>
      </c>
      <c r="Y677">
        <v>2.247685E-2</v>
      </c>
      <c r="Z677">
        <v>-3.7338870000000002E-4</v>
      </c>
      <c r="AA677">
        <v>0.99974730000000001</v>
      </c>
      <c r="AB677">
        <v>37</v>
      </c>
      <c r="AC677">
        <v>71.014899999999997</v>
      </c>
      <c r="AD677">
        <v>-1.0878312259980001</v>
      </c>
      <c r="AE677">
        <v>-1.60509999999999</v>
      </c>
      <c r="AF677">
        <v>1.6051647281638299</v>
      </c>
      <c r="AG677">
        <v>-1.0878312259980001</v>
      </c>
      <c r="AH677">
        <v>70.9982386614072</v>
      </c>
      <c r="AI677">
        <v>90.877589965482301</v>
      </c>
      <c r="AJ677">
        <v>88.7048481620524</v>
      </c>
      <c r="AK677">
        <v>71.024712766775295</v>
      </c>
      <c r="AL677">
        <v>80.152108596029606</v>
      </c>
      <c r="AM677">
        <v>93.089858197957994</v>
      </c>
      <c r="AN677">
        <v>0.99999996901266397</v>
      </c>
    </row>
    <row r="678" spans="1:40" x14ac:dyDescent="0.25">
      <c r="A678" t="str">
        <f>"20190304155327935"</f>
        <v>20190304155327935</v>
      </c>
      <c r="B678" t="str">
        <f>"1551686007926021"</f>
        <v>1551686007926021</v>
      </c>
      <c r="C678" t="s">
        <v>40</v>
      </c>
      <c r="D678">
        <v>4.0289440000000001</v>
      </c>
      <c r="E678">
        <v>0.52737809999999996</v>
      </c>
      <c r="F678" t="s">
        <v>46</v>
      </c>
      <c r="G678">
        <v>-246.00210000000001</v>
      </c>
      <c r="H678" s="1">
        <v>-2.5738639999999999E-6</v>
      </c>
      <c r="I678">
        <v>365.65359999999998</v>
      </c>
      <c r="J678">
        <v>-315.27780000000001</v>
      </c>
      <c r="K678">
        <v>1.084946</v>
      </c>
      <c r="L678">
        <v>367.20859999999999</v>
      </c>
      <c r="M678">
        <v>0.99984099999999998</v>
      </c>
      <c r="N678">
        <v>-1.7836049999999999E-2</v>
      </c>
      <c r="O678">
        <v>1.0198420000000001E-4</v>
      </c>
      <c r="P678">
        <v>0.98680409999999996</v>
      </c>
      <c r="Q678">
        <v>0.15303549999999999</v>
      </c>
      <c r="R678">
        <v>5.2894700000000003E-2</v>
      </c>
      <c r="S678">
        <v>3.051361</v>
      </c>
      <c r="T678">
        <v>-4.7655820000000002E-2</v>
      </c>
      <c r="U678">
        <v>-6.8115229999999999E-2</v>
      </c>
      <c r="V678">
        <v>-5.2845429999999999E-2</v>
      </c>
      <c r="W678">
        <v>0.1705962</v>
      </c>
      <c r="X678">
        <v>0.98392290000000004</v>
      </c>
      <c r="Y678">
        <v>2.241346E-2</v>
      </c>
      <c r="Z678">
        <v>-3.7471729999999999E-4</v>
      </c>
      <c r="AA678">
        <v>0.99974870000000005</v>
      </c>
      <c r="AB678">
        <v>37</v>
      </c>
      <c r="AC678">
        <v>69.275700000000001</v>
      </c>
      <c r="AD678">
        <v>-1.0849485738639999</v>
      </c>
      <c r="AE678">
        <v>-1.5549999999999999</v>
      </c>
      <c r="AF678">
        <v>1.5616832904640201</v>
      </c>
      <c r="AG678">
        <v>-1.0849485738639999</v>
      </c>
      <c r="AH678">
        <v>69.258562065719701</v>
      </c>
      <c r="AI678">
        <v>90.897247865471101</v>
      </c>
      <c r="AJ678">
        <v>88.708279543305594</v>
      </c>
      <c r="AK678">
        <v>69.284661993249202</v>
      </c>
      <c r="AL678">
        <v>80.177514697972896</v>
      </c>
      <c r="AM678">
        <v>93.074340211425607</v>
      </c>
      <c r="AN678">
        <v>0.99999998803536705</v>
      </c>
    </row>
    <row r="679" spans="1:40" x14ac:dyDescent="0.25">
      <c r="A679" t="str">
        <f>"20190304155327958"</f>
        <v>20190304155327958</v>
      </c>
      <c r="B679" t="str">
        <f>"1551686007946516"</f>
        <v>1551686007946516</v>
      </c>
      <c r="C679" t="s">
        <v>40</v>
      </c>
      <c r="D679">
        <v>4.0372560000000002</v>
      </c>
      <c r="E679">
        <v>0.52737819999999902</v>
      </c>
      <c r="F679" t="s">
        <v>46</v>
      </c>
      <c r="G679">
        <v>-245.62520000000001</v>
      </c>
      <c r="H679" s="1">
        <v>-2.7550829999999998E-6</v>
      </c>
      <c r="I679">
        <v>365.63279999999997</v>
      </c>
      <c r="J679">
        <v>-314.9051</v>
      </c>
      <c r="K679">
        <v>1.082139</v>
      </c>
      <c r="L679">
        <v>367.20870000000002</v>
      </c>
      <c r="M679">
        <v>0.9998454</v>
      </c>
      <c r="N679">
        <v>-1.7590620000000001E-2</v>
      </c>
      <c r="O679">
        <v>2.055069E-4</v>
      </c>
      <c r="P679">
        <v>0.98675270000000004</v>
      </c>
      <c r="Q679">
        <v>0.15334809999999999</v>
      </c>
      <c r="R679">
        <v>5.2949509999999998E-2</v>
      </c>
      <c r="S679">
        <v>3.0511170000000001</v>
      </c>
      <c r="T679">
        <v>-4.7525999999999999E-2</v>
      </c>
      <c r="U679">
        <v>-6.9030759999999997E-2</v>
      </c>
      <c r="V679">
        <v>-5.2795509999999997E-2</v>
      </c>
      <c r="W679">
        <v>0.17066709999999999</v>
      </c>
      <c r="X679">
        <v>0.98391329999999999</v>
      </c>
      <c r="Y679">
        <v>2.2818560000000002E-2</v>
      </c>
      <c r="Z679">
        <v>-3.7803309999999998E-4</v>
      </c>
      <c r="AA679">
        <v>0.9997395</v>
      </c>
      <c r="AB679">
        <v>37</v>
      </c>
      <c r="AC679">
        <v>69.279899999999998</v>
      </c>
      <c r="AD679">
        <v>-1.0821417550829999</v>
      </c>
      <c r="AE679">
        <v>-1.57590000000004</v>
      </c>
      <c r="AF679">
        <v>1.5897519986203299</v>
      </c>
      <c r="AG679">
        <v>-1.0821417550829999</v>
      </c>
      <c r="AH679">
        <v>69.262684673988801</v>
      </c>
      <c r="AI679">
        <v>90.8948655401786</v>
      </c>
      <c r="AJ679">
        <v>88.685149294574003</v>
      </c>
      <c r="AK679">
        <v>69.289377471901204</v>
      </c>
      <c r="AL679">
        <v>80.173392119394293</v>
      </c>
      <c r="AM679">
        <v>93.0714715349892</v>
      </c>
      <c r="AN679">
        <v>1.0000000034077301</v>
      </c>
    </row>
    <row r="680" spans="1:40" x14ac:dyDescent="0.25">
      <c r="A680" t="str">
        <f>"20190304155327979"</f>
        <v>20190304155327979</v>
      </c>
      <c r="B680" t="str">
        <f>"1551686007976773"</f>
        <v>1551686007976773</v>
      </c>
      <c r="C680" t="s">
        <v>40</v>
      </c>
      <c r="D680">
        <v>4.0254190000000003</v>
      </c>
      <c r="E680">
        <v>0.52742599999999995</v>
      </c>
      <c r="F680" t="s">
        <v>46</v>
      </c>
      <c r="G680">
        <v>-242.48269999999999</v>
      </c>
      <c r="H680" s="1">
        <v>-4.2515529999999998E-6</v>
      </c>
      <c r="I680">
        <v>365.57089999999999</v>
      </c>
      <c r="J680">
        <v>-314.54559999999998</v>
      </c>
      <c r="K680">
        <v>1.079545</v>
      </c>
      <c r="L680">
        <v>367.20890000000003</v>
      </c>
      <c r="M680">
        <v>0.99985159999999995</v>
      </c>
      <c r="N680">
        <v>-1.7227880000000001E-2</v>
      </c>
      <c r="O680">
        <v>3.123302E-4</v>
      </c>
      <c r="P680">
        <v>0.9867456</v>
      </c>
      <c r="Q680">
        <v>0.15326229999999999</v>
      </c>
      <c r="R680">
        <v>5.3329540000000002E-2</v>
      </c>
      <c r="S680">
        <v>3.051056</v>
      </c>
      <c r="T680">
        <v>-4.5589209999999998E-2</v>
      </c>
      <c r="U680">
        <v>-6.9000240000000004E-2</v>
      </c>
      <c r="V680">
        <v>-5.3067999999999997E-2</v>
      </c>
      <c r="W680">
        <v>0.1702245</v>
      </c>
      <c r="X680">
        <v>0.9839753</v>
      </c>
      <c r="Y680">
        <v>2.2916209999999999E-2</v>
      </c>
      <c r="Z680">
        <v>-3.679248E-4</v>
      </c>
      <c r="AA680">
        <v>0.99973730000000005</v>
      </c>
      <c r="AB680">
        <v>37</v>
      </c>
      <c r="AC680">
        <v>72.0628999999999</v>
      </c>
      <c r="AD680">
        <v>-1.0795492515530001</v>
      </c>
      <c r="AE680">
        <v>-1.6380000000000301</v>
      </c>
      <c r="AF680">
        <v>1.66013830379625</v>
      </c>
      <c r="AG680">
        <v>-1.0795492515530001</v>
      </c>
      <c r="AH680">
        <v>72.046224550939897</v>
      </c>
      <c r="AI680">
        <v>90.858234791007803</v>
      </c>
      <c r="AJ680">
        <v>88.679985117564101</v>
      </c>
      <c r="AK680">
        <v>72.073434480526302</v>
      </c>
      <c r="AL680">
        <v>80.199127707962603</v>
      </c>
      <c r="AM680">
        <v>93.087099377979996</v>
      </c>
      <c r="AN680">
        <v>0.99999999201717005</v>
      </c>
    </row>
    <row r="681" spans="1:40" x14ac:dyDescent="0.25">
      <c r="A681" t="str">
        <f>"20190304155328004"</f>
        <v>20190304155328004</v>
      </c>
      <c r="B681" t="str">
        <f>"1551686007996292"</f>
        <v>1551686007996292</v>
      </c>
      <c r="C681" t="s">
        <v>40</v>
      </c>
      <c r="D681">
        <v>4.0544019999999996</v>
      </c>
      <c r="E681">
        <v>0.52749089999999998</v>
      </c>
      <c r="F681" t="s">
        <v>46</v>
      </c>
      <c r="G681">
        <v>-241.00110000000001</v>
      </c>
      <c r="H681" s="1">
        <v>-4.9558900000000004E-6</v>
      </c>
      <c r="I681">
        <v>365.54860000000002</v>
      </c>
      <c r="J681">
        <v>-314.14600000000002</v>
      </c>
      <c r="K681">
        <v>1.0768500000000001</v>
      </c>
      <c r="L681">
        <v>367.20909999999998</v>
      </c>
      <c r="M681">
        <v>0.99986019999999998</v>
      </c>
      <c r="N681">
        <v>-1.6719069999999999E-2</v>
      </c>
      <c r="O681">
        <v>4.3147779999999999E-4</v>
      </c>
      <c r="P681">
        <v>0.98671750000000003</v>
      </c>
      <c r="Q681">
        <v>0.15336369999999999</v>
      </c>
      <c r="R681">
        <v>5.3557019999999997E-2</v>
      </c>
      <c r="S681">
        <v>3.0509949999999999</v>
      </c>
      <c r="T681">
        <v>-4.4785140000000001E-2</v>
      </c>
      <c r="U681">
        <v>-6.8878170000000002E-2</v>
      </c>
      <c r="V681">
        <v>-5.3176340000000002E-2</v>
      </c>
      <c r="W681">
        <v>0.16982559999999999</v>
      </c>
      <c r="X681">
        <v>0.98403839999999998</v>
      </c>
      <c r="Y681">
        <v>2.2996019999999999E-2</v>
      </c>
      <c r="Z681">
        <v>-3.6016219999999999E-4</v>
      </c>
      <c r="AA681">
        <v>0.9997355</v>
      </c>
      <c r="AB681">
        <v>37</v>
      </c>
      <c r="AC681">
        <v>73.144899999999893</v>
      </c>
      <c r="AD681">
        <v>-1.07685495589</v>
      </c>
      <c r="AE681">
        <v>-1.6604999999999499</v>
      </c>
      <c r="AF681">
        <v>1.69169817982187</v>
      </c>
      <c r="AG681">
        <v>-1.07685495589</v>
      </c>
      <c r="AH681">
        <v>73.128334684640606</v>
      </c>
      <c r="AI681">
        <v>90.843425279341304</v>
      </c>
      <c r="AJ681">
        <v>88.674797098342395</v>
      </c>
      <c r="AK681">
        <v>73.155825421332295</v>
      </c>
      <c r="AL681">
        <v>80.222320918651803</v>
      </c>
      <c r="AM681">
        <v>93.093191587462599</v>
      </c>
      <c r="AN681">
        <v>1.0000000151128501</v>
      </c>
    </row>
    <row r="682" spans="1:40" x14ac:dyDescent="0.25">
      <c r="A682" t="str">
        <f>"20190304155328026"</f>
        <v>20190304155328026</v>
      </c>
      <c r="B682" t="str">
        <f>"1551686008016788"</f>
        <v>1551686008016788</v>
      </c>
      <c r="C682" t="s">
        <v>40</v>
      </c>
      <c r="D682">
        <v>4.0356809999999896</v>
      </c>
      <c r="E682">
        <v>0.52755540000000001</v>
      </c>
      <c r="F682" t="s">
        <v>46</v>
      </c>
      <c r="G682">
        <v>-239.45480000000001</v>
      </c>
      <c r="H682" s="1">
        <v>-1.256224E-6</v>
      </c>
      <c r="I682">
        <v>365.54</v>
      </c>
      <c r="J682">
        <v>-313.76350000000002</v>
      </c>
      <c r="K682">
        <v>1.0745089999999999</v>
      </c>
      <c r="L682">
        <v>367.20940000000002</v>
      </c>
      <c r="M682">
        <v>0.99986909999999896</v>
      </c>
      <c r="N682">
        <v>-1.6175680000000001E-2</v>
      </c>
      <c r="O682">
        <v>5.4318710000000002E-4</v>
      </c>
      <c r="P682">
        <v>0.98668100000000003</v>
      </c>
      <c r="Q682">
        <v>0.1535599</v>
      </c>
      <c r="R682">
        <v>5.3668309999999997E-2</v>
      </c>
      <c r="S682">
        <v>3.0509339999999998</v>
      </c>
      <c r="T682">
        <v>-4.3986440000000002E-2</v>
      </c>
      <c r="U682">
        <v>-6.8176269999999997E-2</v>
      </c>
      <c r="V682">
        <v>-5.3176679999999997E-2</v>
      </c>
      <c r="W682">
        <v>0.16948679999999999</v>
      </c>
      <c r="X682">
        <v>0.98409679999999999</v>
      </c>
      <c r="Y682">
        <v>2.2878539999999999E-2</v>
      </c>
      <c r="Z682">
        <v>-3.490325E-4</v>
      </c>
      <c r="AA682">
        <v>0.99973820000000002</v>
      </c>
      <c r="AB682">
        <v>37</v>
      </c>
      <c r="AC682">
        <v>74.308700000000002</v>
      </c>
      <c r="AD682">
        <v>-1.0745102562240001</v>
      </c>
      <c r="AE682">
        <v>-1.66939999999999</v>
      </c>
      <c r="AF682">
        <v>1.70941131169977</v>
      </c>
      <c r="AG682">
        <v>-1.0745102562240001</v>
      </c>
      <c r="AH682">
        <v>74.292255882506097</v>
      </c>
      <c r="AI682">
        <v>90.828408324593397</v>
      </c>
      <c r="AJ682">
        <v>88.681897950876305</v>
      </c>
      <c r="AK682">
        <v>74.319687455176094</v>
      </c>
      <c r="AL682">
        <v>80.242018354908893</v>
      </c>
      <c r="AM682">
        <v>93.0930281200243</v>
      </c>
      <c r="AN682">
        <v>1.00000002322015</v>
      </c>
    </row>
    <row r="683" spans="1:40" x14ac:dyDescent="0.25">
      <c r="A683" t="str">
        <f>"20190304155328048"</f>
        <v>20190304155328048</v>
      </c>
      <c r="B683" t="str">
        <f>"1551686008036308"</f>
        <v>1551686008036308</v>
      </c>
      <c r="C683" t="s">
        <v>40</v>
      </c>
      <c r="D683">
        <v>4.0413009999999998</v>
      </c>
      <c r="E683">
        <v>0.52760419999999997</v>
      </c>
      <c r="F683" t="s">
        <v>46</v>
      </c>
      <c r="G683">
        <v>-236.98929999999999</v>
      </c>
      <c r="H683" s="1">
        <v>-2.109419E-6</v>
      </c>
      <c r="I683">
        <v>365.48680000000002</v>
      </c>
      <c r="J683">
        <v>-313.39729999999997</v>
      </c>
      <c r="K683">
        <v>1.072492</v>
      </c>
      <c r="L683">
        <v>367.2097</v>
      </c>
      <c r="M683">
        <v>0.99987749999999997</v>
      </c>
      <c r="N683">
        <v>-1.564043E-2</v>
      </c>
      <c r="O683">
        <v>6.4796160000000005E-4</v>
      </c>
      <c r="P683">
        <v>0.98657139999999999</v>
      </c>
      <c r="Q683">
        <v>0.15414720000000001</v>
      </c>
      <c r="R683">
        <v>5.3999129999999999E-2</v>
      </c>
      <c r="S683">
        <v>3.0508419999999998</v>
      </c>
      <c r="T683">
        <v>-4.2698739999999999E-2</v>
      </c>
      <c r="U683">
        <v>-6.8450929999999993E-2</v>
      </c>
      <c r="V683">
        <v>-5.3404180000000002E-2</v>
      </c>
      <c r="W683">
        <v>0.16954549999999999</v>
      </c>
      <c r="X683">
        <v>0.98407440000000002</v>
      </c>
      <c r="Y683">
        <v>2.307418E-2</v>
      </c>
      <c r="Z683">
        <v>-3.4087249999999999E-4</v>
      </c>
      <c r="AA683">
        <v>0.99973369999999995</v>
      </c>
      <c r="AB683">
        <v>37</v>
      </c>
      <c r="AC683">
        <v>76.407999999999902</v>
      </c>
      <c r="AD683">
        <v>-1.0724941094189999</v>
      </c>
      <c r="AE683">
        <v>-1.7228999999999799</v>
      </c>
      <c r="AF683">
        <v>1.7720661868697301</v>
      </c>
      <c r="AG683">
        <v>-1.0724941094189999</v>
      </c>
      <c r="AH683">
        <v>76.391824313547403</v>
      </c>
      <c r="AI683">
        <v>90.804128276663207</v>
      </c>
      <c r="AJ683">
        <v>88.671144343738007</v>
      </c>
      <c r="AK683">
        <v>76.419901100022898</v>
      </c>
      <c r="AL683">
        <v>80.238606004963898</v>
      </c>
      <c r="AM683">
        <v>93.106305394512702</v>
      </c>
      <c r="AN683">
        <v>1.0000000538735301</v>
      </c>
    </row>
    <row r="684" spans="1:40" x14ac:dyDescent="0.25">
      <c r="A684" t="str">
        <f>"20190304155328071"</f>
        <v>20190304155328071</v>
      </c>
      <c r="B684" t="str">
        <f>"1551686008066564"</f>
        <v>1551686008066564</v>
      </c>
      <c r="C684" t="s">
        <v>40</v>
      </c>
      <c r="D684">
        <v>4.0554899999999998</v>
      </c>
      <c r="E684">
        <v>0.52766219999999997</v>
      </c>
      <c r="F684" t="s">
        <v>46</v>
      </c>
      <c r="G684">
        <v>-232.23390000000001</v>
      </c>
      <c r="H684" s="1">
        <v>-4.0607440000000003E-6</v>
      </c>
      <c r="I684">
        <v>365.40649999999999</v>
      </c>
      <c r="J684">
        <v>-313.01729999999998</v>
      </c>
      <c r="K684">
        <v>1.0706249999999999</v>
      </c>
      <c r="L684">
        <v>367.21</v>
      </c>
      <c r="M684">
        <v>0.99988589999999999</v>
      </c>
      <c r="N684">
        <v>-1.509279E-2</v>
      </c>
      <c r="O684">
        <v>7.5572390000000001E-4</v>
      </c>
      <c r="P684">
        <v>0.98650230000000005</v>
      </c>
      <c r="Q684">
        <v>0.1544604</v>
      </c>
      <c r="R684">
        <v>5.436332E-2</v>
      </c>
      <c r="S684">
        <v>3.0508419999999998</v>
      </c>
      <c r="T684">
        <v>-4.0313839999999997E-2</v>
      </c>
      <c r="U684">
        <v>-6.7779539999999999E-2</v>
      </c>
      <c r="V684">
        <v>-5.3661090000000002E-2</v>
      </c>
      <c r="W684">
        <v>0.16931849999999901</v>
      </c>
      <c r="X684">
        <v>0.98409939999999996</v>
      </c>
      <c r="Y684">
        <v>2.2962509999999998E-2</v>
      </c>
      <c r="Z684">
        <v>-3.2359890000000001E-4</v>
      </c>
      <c r="AA684">
        <v>0.99973619999999996</v>
      </c>
      <c r="AB684">
        <v>37</v>
      </c>
      <c r="AC684">
        <v>80.783399999999901</v>
      </c>
      <c r="AD684">
        <v>-1.0706290607440001</v>
      </c>
      <c r="AE684">
        <v>-1.8034999999999799</v>
      </c>
      <c r="AF684">
        <v>1.86422910223431</v>
      </c>
      <c r="AG684">
        <v>-1.0706290607440001</v>
      </c>
      <c r="AH684">
        <v>80.767834489018298</v>
      </c>
      <c r="AI684">
        <v>90.759245358581794</v>
      </c>
      <c r="AJ684">
        <v>88.677771933535297</v>
      </c>
      <c r="AK684">
        <v>80.796439802609996</v>
      </c>
      <c r="AL684">
        <v>80.251801907579704</v>
      </c>
      <c r="AM684">
        <v>93.121140200920607</v>
      </c>
      <c r="AN684">
        <v>0.99999994805129699</v>
      </c>
    </row>
    <row r="685" spans="1:40" x14ac:dyDescent="0.25">
      <c r="A685" t="str">
        <f>"20190304155328092"</f>
        <v>20190304155328092</v>
      </c>
      <c r="B685" t="str">
        <f>"1551686008086084"</f>
        <v>1551686008086084</v>
      </c>
      <c r="C685" t="s">
        <v>40</v>
      </c>
      <c r="D685">
        <v>4.0906630000000002</v>
      </c>
      <c r="E685">
        <v>0.52761939999999996</v>
      </c>
      <c r="F685" t="s">
        <v>46</v>
      </c>
      <c r="G685">
        <v>-228.07419999999999</v>
      </c>
      <c r="H685" s="1">
        <v>-1.7809050000000001E-6</v>
      </c>
      <c r="I685">
        <v>365.3338</v>
      </c>
      <c r="J685">
        <v>-312.65440000000001</v>
      </c>
      <c r="K685">
        <v>1.0690539999999999</v>
      </c>
      <c r="L685">
        <v>367.21039999999999</v>
      </c>
      <c r="M685">
        <v>0.99989329999999998</v>
      </c>
      <c r="N685">
        <v>-1.459685E-2</v>
      </c>
      <c r="O685">
        <v>8.5884890000000004E-4</v>
      </c>
      <c r="P685">
        <v>0.9864252</v>
      </c>
      <c r="Q685">
        <v>0.15488940000000001</v>
      </c>
      <c r="R685">
        <v>5.4542380000000001E-2</v>
      </c>
      <c r="S685">
        <v>3.0507810000000002</v>
      </c>
      <c r="T685">
        <v>-3.8452149999999997E-2</v>
      </c>
      <c r="U685">
        <v>-6.7382810000000001E-2</v>
      </c>
      <c r="V685">
        <v>-5.3737210000000001E-2</v>
      </c>
      <c r="W685">
        <v>0.16925889999999999</v>
      </c>
      <c r="X685">
        <v>0.98410560000000002</v>
      </c>
      <c r="Y685">
        <v>2.293647E-2</v>
      </c>
      <c r="Z685">
        <v>-3.1025390000000001E-4</v>
      </c>
      <c r="AA685">
        <v>0.99973690000000004</v>
      </c>
      <c r="AB685">
        <v>37</v>
      </c>
      <c r="AC685">
        <v>84.580200000000005</v>
      </c>
      <c r="AD685">
        <v>-1.0690557809049901</v>
      </c>
      <c r="AE685">
        <v>-1.8765999999999901</v>
      </c>
      <c r="AF685">
        <v>1.9489374387092</v>
      </c>
      <c r="AG685">
        <v>-1.0690557809049901</v>
      </c>
      <c r="AH685">
        <v>84.565053593681696</v>
      </c>
      <c r="AI685">
        <v>90.724091821484194</v>
      </c>
      <c r="AJ685">
        <v>88.679760479906307</v>
      </c>
      <c r="AK685">
        <v>84.594264147783306</v>
      </c>
      <c r="AL685">
        <v>80.255267724105494</v>
      </c>
      <c r="AM685">
        <v>93.125539215164295</v>
      </c>
      <c r="AN685">
        <v>1.0000000474595701</v>
      </c>
    </row>
    <row r="686" spans="1:40" x14ac:dyDescent="0.25">
      <c r="A686" t="str">
        <f>"20190304155328116"</f>
        <v>20190304155328116</v>
      </c>
      <c r="B686" t="str">
        <f>"1551686008106580"</f>
        <v>1551686008106580</v>
      </c>
      <c r="C686" t="s">
        <v>40</v>
      </c>
      <c r="D686">
        <v>4.1491049999999996</v>
      </c>
      <c r="E686">
        <v>0.52756769999999997</v>
      </c>
      <c r="F686" t="s">
        <v>46</v>
      </c>
      <c r="G686">
        <v>-222.58369999999999</v>
      </c>
      <c r="H686" s="1">
        <v>-3.9400520000000001E-6</v>
      </c>
      <c r="I686">
        <v>365.2407</v>
      </c>
      <c r="J686">
        <v>-312.26600000000002</v>
      </c>
      <c r="K686">
        <v>1.067593</v>
      </c>
      <c r="L686">
        <v>367.21089999999998</v>
      </c>
      <c r="M686">
        <v>0.99990020000000002</v>
      </c>
      <c r="N686">
        <v>-1.410788E-2</v>
      </c>
      <c r="O686">
        <v>9.6979089999999998E-4</v>
      </c>
      <c r="P686">
        <v>0.98627909999999996</v>
      </c>
      <c r="Q686">
        <v>0.15585829999999901</v>
      </c>
      <c r="R686">
        <v>5.4426660000000002E-2</v>
      </c>
      <c r="S686">
        <v>3.050659</v>
      </c>
      <c r="T686">
        <v>-3.6208509999999999E-2</v>
      </c>
      <c r="U686">
        <v>-6.6711430000000002E-2</v>
      </c>
      <c r="V686">
        <v>-5.3512120000000003E-2</v>
      </c>
      <c r="W686">
        <v>0.169744799999999</v>
      </c>
      <c r="X686">
        <v>0.98403410000000002</v>
      </c>
      <c r="Y686">
        <v>2.2828770000000002E-2</v>
      </c>
      <c r="Z686">
        <v>-2.943577E-4</v>
      </c>
      <c r="AA686">
        <v>0.9997393</v>
      </c>
      <c r="AB686">
        <v>37</v>
      </c>
      <c r="AC686">
        <v>89.682299999999898</v>
      </c>
      <c r="AD686">
        <v>-1.067596940052</v>
      </c>
      <c r="AE686">
        <v>-1.97019999999997</v>
      </c>
      <c r="AF686">
        <v>2.0568894499903099</v>
      </c>
      <c r="AG686">
        <v>-1.067596940052</v>
      </c>
      <c r="AH686">
        <v>89.667646254882698</v>
      </c>
      <c r="AI686">
        <v>90.6819608460994</v>
      </c>
      <c r="AJ686">
        <v>88.685920454061602</v>
      </c>
      <c r="AK686">
        <v>89.697588274862099</v>
      </c>
      <c r="AL686">
        <v>80.227018247344503</v>
      </c>
      <c r="AM686">
        <v>93.112698716641802</v>
      </c>
      <c r="AN686">
        <v>0.99999997703837096</v>
      </c>
    </row>
    <row r="687" spans="1:40" x14ac:dyDescent="0.25">
      <c r="A687" t="str">
        <f>"20190304155328149"</f>
        <v>20190304155328149</v>
      </c>
      <c r="B687" t="str">
        <f>"1551686008146597"</f>
        <v>1551686008146597</v>
      </c>
      <c r="C687" t="s">
        <v>40</v>
      </c>
      <c r="D687">
        <v>4.1228490000000004</v>
      </c>
      <c r="E687">
        <v>0.52761340000000001</v>
      </c>
      <c r="F687" t="s">
        <v>46</v>
      </c>
      <c r="G687">
        <v>-214.9855</v>
      </c>
      <c r="H687" s="1">
        <v>-2.9377409999999999E-6</v>
      </c>
      <c r="I687">
        <v>365.08260000000001</v>
      </c>
      <c r="J687">
        <v>-311.70429999999999</v>
      </c>
      <c r="K687">
        <v>1.0658430000000001</v>
      </c>
      <c r="L687">
        <v>367.21159999999998</v>
      </c>
      <c r="M687">
        <v>0.99990860000000004</v>
      </c>
      <c r="N687">
        <v>-1.348569E-2</v>
      </c>
      <c r="O687">
        <v>1.1308430000000001E-3</v>
      </c>
      <c r="P687">
        <v>0.9861413</v>
      </c>
      <c r="Q687">
        <v>0.15673989999999999</v>
      </c>
      <c r="R687">
        <v>5.4390300000000003E-2</v>
      </c>
      <c r="S687">
        <v>3.050751</v>
      </c>
      <c r="T687">
        <v>-3.3480169999999997E-2</v>
      </c>
      <c r="U687">
        <v>-6.674194E-2</v>
      </c>
      <c r="V687">
        <v>-5.3316299999999997E-2</v>
      </c>
      <c r="W687">
        <v>0.17001260000000001</v>
      </c>
      <c r="X687">
        <v>0.9839985</v>
      </c>
      <c r="Y687">
        <v>2.2999559999999999E-2</v>
      </c>
      <c r="Z687">
        <v>-2.7846210000000003E-4</v>
      </c>
      <c r="AA687">
        <v>0.99973540000000005</v>
      </c>
      <c r="AB687">
        <v>38</v>
      </c>
      <c r="AC687">
        <v>96.718800000000002</v>
      </c>
      <c r="AD687">
        <v>-1.0658459377409999</v>
      </c>
      <c r="AE687">
        <v>-2.12899999999996</v>
      </c>
      <c r="AF687">
        <v>2.23811067628555</v>
      </c>
      <c r="AG687">
        <v>-1.0658459377409999</v>
      </c>
      <c r="AH687">
        <v>96.704592101564202</v>
      </c>
      <c r="AI687">
        <v>90.631300471220996</v>
      </c>
      <c r="AJ687">
        <v>88.674195249549101</v>
      </c>
      <c r="AK687">
        <v>96.736359764528203</v>
      </c>
      <c r="AL687">
        <v>80.211448154451404</v>
      </c>
      <c r="AM687">
        <v>93.101442497896997</v>
      </c>
      <c r="AN687">
        <v>0.999999980003349</v>
      </c>
    </row>
    <row r="688" spans="1:40" x14ac:dyDescent="0.25">
      <c r="A688" t="str">
        <f>"20190304155328170"</f>
        <v>20190304155328170</v>
      </c>
      <c r="B688" t="str">
        <f>"1551686008166117"</f>
        <v>1551686008166117</v>
      </c>
      <c r="C688" t="s">
        <v>40</v>
      </c>
      <c r="D688">
        <v>4.1582030000000003</v>
      </c>
      <c r="E688">
        <v>0.52758099999999997</v>
      </c>
      <c r="F688" t="s">
        <v>45</v>
      </c>
      <c r="G688">
        <v>-204.42400000000001</v>
      </c>
      <c r="H688" s="1">
        <v>-3.7217599999999998E-6</v>
      </c>
      <c r="I688">
        <v>364.85059999999999</v>
      </c>
      <c r="J688">
        <v>-311.35239999999999</v>
      </c>
      <c r="K688">
        <v>1.0649280000000001</v>
      </c>
      <c r="L688">
        <v>367.21210000000002</v>
      </c>
      <c r="M688">
        <v>0.99991300000000005</v>
      </c>
      <c r="N688">
        <v>-1.3145499999999999E-2</v>
      </c>
      <c r="O688">
        <v>1.2314559999999999E-3</v>
      </c>
      <c r="P688">
        <v>0.98609950000000002</v>
      </c>
      <c r="Q688">
        <v>0.15694340000000001</v>
      </c>
      <c r="R688">
        <v>5.455935E-2</v>
      </c>
      <c r="S688">
        <v>3.0506899999999999</v>
      </c>
      <c r="T688">
        <v>-3.0309079999999999E-2</v>
      </c>
      <c r="U688">
        <v>-6.7138669999999998E-2</v>
      </c>
      <c r="V688">
        <v>-5.3385559999999999E-2</v>
      </c>
      <c r="W688">
        <v>0.16988059999999999</v>
      </c>
      <c r="X688">
        <v>0.98401760000000005</v>
      </c>
      <c r="Y688">
        <v>2.3230959999999998E-2</v>
      </c>
      <c r="Z688">
        <v>-2.641559E-4</v>
      </c>
      <c r="AA688">
        <v>0.99973009999999995</v>
      </c>
      <c r="AB688">
        <v>38</v>
      </c>
      <c r="AC688">
        <v>106.928399999999</v>
      </c>
      <c r="AD688">
        <v>-1.0649317217600001</v>
      </c>
      <c r="AE688">
        <v>-2.3615000000000301</v>
      </c>
      <c r="AF688">
        <v>2.4929400377328599</v>
      </c>
      <c r="AG688">
        <v>-1.0649317217600001</v>
      </c>
      <c r="AH688">
        <v>106.914811120279</v>
      </c>
      <c r="AI688">
        <v>90.570524292786999</v>
      </c>
      <c r="AJ688">
        <v>88.6642723873953</v>
      </c>
      <c r="AK688">
        <v>106.949173285672</v>
      </c>
      <c r="AL688">
        <v>80.219123398958601</v>
      </c>
      <c r="AM688">
        <v>93.105403354903004</v>
      </c>
      <c r="AN688">
        <v>1.00000003669131</v>
      </c>
    </row>
    <row r="689" spans="1:40" x14ac:dyDescent="0.25">
      <c r="A689" t="str">
        <f>"20190304155328193"</f>
        <v>20190304155328193</v>
      </c>
      <c r="B689" t="str">
        <f>"1551686008186613"</f>
        <v>1551686008186613</v>
      </c>
      <c r="C689" t="s">
        <v>40</v>
      </c>
      <c r="D689">
        <v>4.1732279999999999</v>
      </c>
      <c r="E689">
        <v>0.52756990000000004</v>
      </c>
      <c r="F689" t="s">
        <v>45</v>
      </c>
      <c r="G689">
        <v>-202.4068</v>
      </c>
      <c r="H689" s="1">
        <v>-2.691387E-6</v>
      </c>
      <c r="I689">
        <v>364.83519999999999</v>
      </c>
      <c r="J689">
        <v>-310.96199999999999</v>
      </c>
      <c r="K689">
        <v>1.0640639999999999</v>
      </c>
      <c r="L689">
        <v>367.21269999999998</v>
      </c>
      <c r="M689">
        <v>0.99991719999999895</v>
      </c>
      <c r="N689">
        <v>-1.281098E-2</v>
      </c>
      <c r="O689">
        <v>1.3425290000000001E-3</v>
      </c>
      <c r="P689">
        <v>0.98601360000000005</v>
      </c>
      <c r="Q689">
        <v>0.15738729999999901</v>
      </c>
      <c r="R689">
        <v>5.4834849999999997E-2</v>
      </c>
      <c r="S689">
        <v>3.0507200000000001</v>
      </c>
      <c r="T689">
        <v>-2.982044E-2</v>
      </c>
      <c r="U689">
        <v>-6.6558839999999994E-2</v>
      </c>
      <c r="V689">
        <v>-5.3551069999999999E-2</v>
      </c>
      <c r="W689">
        <v>0.169994799999999</v>
      </c>
      <c r="X689">
        <v>0.98398890000000006</v>
      </c>
      <c r="Y689">
        <v>2.3151970000000001E-2</v>
      </c>
      <c r="Z689">
        <v>-2.5739270000000003E-4</v>
      </c>
      <c r="AA689">
        <v>0.99973190000000001</v>
      </c>
      <c r="AB689">
        <v>38</v>
      </c>
      <c r="AC689">
        <v>108.5552</v>
      </c>
      <c r="AD689">
        <v>-1.0640666913869901</v>
      </c>
      <c r="AE689">
        <v>-2.3774999999999902</v>
      </c>
      <c r="AF689">
        <v>2.52300600182636</v>
      </c>
      <c r="AG689">
        <v>-1.0640666913869901</v>
      </c>
      <c r="AH689">
        <v>108.541486282056</v>
      </c>
      <c r="AI689">
        <v>90.561519078432497</v>
      </c>
      <c r="AJ689">
        <v>88.668420955415797</v>
      </c>
      <c r="AK689">
        <v>108.576019643045</v>
      </c>
      <c r="AL689">
        <v>80.212483798203493</v>
      </c>
      <c r="AM689">
        <v>93.115102709655005</v>
      </c>
      <c r="AN689">
        <v>1.0000000522241901</v>
      </c>
    </row>
    <row r="690" spans="1:40" x14ac:dyDescent="0.25">
      <c r="A690" t="str">
        <f>"20190304155328216"</f>
        <v>20190304155328216</v>
      </c>
      <c r="B690" t="str">
        <f>"1551686008206132"</f>
        <v>1551686008206132</v>
      </c>
      <c r="C690" t="s">
        <v>40</v>
      </c>
      <c r="D690">
        <v>4.1511610000000001</v>
      </c>
      <c r="E690">
        <v>0.52753809999999901</v>
      </c>
      <c r="F690" t="s">
        <v>45</v>
      </c>
      <c r="G690">
        <v>-195.58680000000001</v>
      </c>
      <c r="H690" s="1">
        <v>-8.0195559999999999E-6</v>
      </c>
      <c r="I690">
        <v>364.72320000000002</v>
      </c>
      <c r="J690">
        <v>-310.58010000000002</v>
      </c>
      <c r="K690">
        <v>1.0633570000000001</v>
      </c>
      <c r="L690">
        <v>367.2133</v>
      </c>
      <c r="M690">
        <v>0.99992049999999999</v>
      </c>
      <c r="N690">
        <v>-1.252701E-2</v>
      </c>
      <c r="O690">
        <v>1.450799E-3</v>
      </c>
      <c r="P690">
        <v>0.98603339999999995</v>
      </c>
      <c r="Q690">
        <v>0.1571767</v>
      </c>
      <c r="R690">
        <v>5.5078000000000002E-2</v>
      </c>
      <c r="S690">
        <v>3.0507200000000001</v>
      </c>
      <c r="T690">
        <v>-2.8135899999999998E-2</v>
      </c>
      <c r="U690">
        <v>-6.5826419999999997E-2</v>
      </c>
      <c r="V690">
        <v>-5.3687510000000001E-2</v>
      </c>
      <c r="W690">
        <v>0.16950509999999999</v>
      </c>
      <c r="X690">
        <v>0.98406590000000005</v>
      </c>
      <c r="Y690">
        <v>2.3020550000000001E-2</v>
      </c>
      <c r="Z690">
        <v>-2.4556600000000001E-4</v>
      </c>
      <c r="AA690">
        <v>0.99973489999999998</v>
      </c>
      <c r="AB690">
        <v>38</v>
      </c>
      <c r="AC690">
        <v>114.9933</v>
      </c>
      <c r="AD690">
        <v>-1.0633650195559901</v>
      </c>
      <c r="AE690">
        <v>-2.49009999999998</v>
      </c>
      <c r="AF690">
        <v>2.65671556151002</v>
      </c>
      <c r="AG690">
        <v>-1.0633650195559901</v>
      </c>
      <c r="AH690">
        <v>114.979738671204</v>
      </c>
      <c r="AI690">
        <v>90.5297310252503</v>
      </c>
      <c r="AJ690">
        <v>88.676362371187594</v>
      </c>
      <c r="AK690">
        <v>115.01534327053101</v>
      </c>
      <c r="AL690">
        <v>80.240954333864806</v>
      </c>
      <c r="AM690">
        <v>93.122779944683401</v>
      </c>
      <c r="AN690">
        <v>1.0000000115994101</v>
      </c>
    </row>
    <row r="691" spans="1:40" x14ac:dyDescent="0.25">
      <c r="A691" t="str">
        <f>"20190304155328239"</f>
        <v>20190304155328239</v>
      </c>
      <c r="B691" t="str">
        <f>"1551686008226630"</f>
        <v>1551686008226630</v>
      </c>
      <c r="C691" t="s">
        <v>40</v>
      </c>
      <c r="D691">
        <v>4.1550180000000001</v>
      </c>
      <c r="E691">
        <v>0.52752860000000001</v>
      </c>
      <c r="F691" t="s">
        <v>45</v>
      </c>
      <c r="G691">
        <v>-197.07929999999999</v>
      </c>
      <c r="H691" s="1">
        <v>-8.5504700000000001E-6</v>
      </c>
      <c r="I691">
        <v>364.80509999999998</v>
      </c>
      <c r="J691">
        <v>-310.20049999999998</v>
      </c>
      <c r="K691">
        <v>1.062756</v>
      </c>
      <c r="L691">
        <v>367.21390000000002</v>
      </c>
      <c r="M691">
        <v>0.99992329999999996</v>
      </c>
      <c r="N691">
        <v>-1.2286460000000001E-2</v>
      </c>
      <c r="O691">
        <v>1.55817E-3</v>
      </c>
      <c r="P691">
        <v>0.98600319999999997</v>
      </c>
      <c r="Q691">
        <v>0.1573541</v>
      </c>
      <c r="R691">
        <v>5.5114200000000002E-2</v>
      </c>
      <c r="S691">
        <v>3.050659</v>
      </c>
      <c r="T691">
        <v>-2.8581019999999999E-2</v>
      </c>
      <c r="U691">
        <v>-6.4727779999999999E-2</v>
      </c>
      <c r="V691">
        <v>-5.3617669999999999E-2</v>
      </c>
      <c r="W691">
        <v>0.16944489999999901</v>
      </c>
      <c r="X691">
        <v>0.98408010000000001</v>
      </c>
      <c r="Y691">
        <v>2.2768460000000001E-2</v>
      </c>
      <c r="Z691">
        <v>-2.4199550000000001E-4</v>
      </c>
      <c r="AA691">
        <v>0.99974070000000004</v>
      </c>
      <c r="AB691">
        <v>38</v>
      </c>
      <c r="AC691">
        <v>113.1212</v>
      </c>
      <c r="AD691">
        <v>-1.0627645504700001</v>
      </c>
      <c r="AE691">
        <v>-2.4088000000000398</v>
      </c>
      <c r="AF691">
        <v>2.5848443953020599</v>
      </c>
      <c r="AG691">
        <v>-1.0627645504700001</v>
      </c>
      <c r="AH691">
        <v>113.107330214526</v>
      </c>
      <c r="AI691">
        <v>90.538198879477903</v>
      </c>
      <c r="AJ691">
        <v>88.690846119706094</v>
      </c>
      <c r="AK691">
        <v>113.141853605531</v>
      </c>
      <c r="AL691">
        <v>80.244454406446394</v>
      </c>
      <c r="AM691">
        <v>93.118680752277996</v>
      </c>
      <c r="AN691">
        <v>1.0000000359441199</v>
      </c>
    </row>
    <row r="692" spans="1:40" x14ac:dyDescent="0.25">
      <c r="A692" t="str">
        <f>"20190304155328260"</f>
        <v>20190304155328260</v>
      </c>
      <c r="B692" t="str">
        <f>"1551686008256885"</f>
        <v>1551686008256885</v>
      </c>
      <c r="C692" t="s">
        <v>40</v>
      </c>
      <c r="D692">
        <v>4.1642510000000001</v>
      </c>
      <c r="E692">
        <v>0.52749840000000003</v>
      </c>
      <c r="F692" t="s">
        <v>45</v>
      </c>
      <c r="G692">
        <v>-194.37260000000001</v>
      </c>
      <c r="H692" s="1">
        <v>-7.577642E-6</v>
      </c>
      <c r="I692">
        <v>364.76679999999999</v>
      </c>
      <c r="J692">
        <v>-309.82650000000001</v>
      </c>
      <c r="K692">
        <v>1.062262</v>
      </c>
      <c r="L692">
        <v>367.21460000000002</v>
      </c>
      <c r="M692">
        <v>0.99992559999999997</v>
      </c>
      <c r="N692">
        <v>-1.2084360000000001E-2</v>
      </c>
      <c r="O692">
        <v>1.663501E-3</v>
      </c>
      <c r="P692">
        <v>0.98592869999999999</v>
      </c>
      <c r="Q692">
        <v>0.15773509999999999</v>
      </c>
      <c r="R692">
        <v>5.5356700000000002E-2</v>
      </c>
      <c r="S692">
        <v>3.050659</v>
      </c>
      <c r="T692">
        <v>-2.7990939999999999E-2</v>
      </c>
      <c r="U692">
        <v>-6.4453129999999997E-2</v>
      </c>
      <c r="V692">
        <v>-5.3755810000000001E-2</v>
      </c>
      <c r="W692">
        <v>0.169626799999999</v>
      </c>
      <c r="X692">
        <v>0.98404119999999995</v>
      </c>
      <c r="Y692">
        <v>2.2783890000000001E-2</v>
      </c>
      <c r="Z692">
        <v>-2.373633E-4</v>
      </c>
      <c r="AA692">
        <v>0.99974039999999997</v>
      </c>
      <c r="AB692">
        <v>38</v>
      </c>
      <c r="AC692">
        <v>115.4539</v>
      </c>
      <c r="AD692">
        <v>-1.0622695776419999</v>
      </c>
      <c r="AE692">
        <v>-2.44780000000002</v>
      </c>
      <c r="AF692">
        <v>2.6396449565815399</v>
      </c>
      <c r="AG692">
        <v>-1.0622695776419999</v>
      </c>
      <c r="AH692">
        <v>115.43989985121701</v>
      </c>
      <c r="AI692">
        <v>90.527078956560501</v>
      </c>
      <c r="AJ692">
        <v>88.690104850566001</v>
      </c>
      <c r="AK692">
        <v>115.474961008053</v>
      </c>
      <c r="AL692">
        <v>80.233878970768799</v>
      </c>
      <c r="AM692">
        <v>93.1268231221962</v>
      </c>
      <c r="AN692">
        <v>1.00000001084221</v>
      </c>
    </row>
    <row r="693" spans="1:40" x14ac:dyDescent="0.25">
      <c r="A693" t="str">
        <f>"20190304155328283"</f>
        <v>20190304155328283</v>
      </c>
      <c r="B693" t="str">
        <f>"1551686008276405"</f>
        <v>1551686008276405</v>
      </c>
      <c r="C693" t="s">
        <v>40</v>
      </c>
      <c r="D693">
        <v>4.1589340000000004</v>
      </c>
      <c r="E693">
        <v>0.52749729999999995</v>
      </c>
      <c r="F693" t="s">
        <v>45</v>
      </c>
      <c r="G693">
        <v>-188.45930000000001</v>
      </c>
      <c r="H693" s="1">
        <v>-7.2278359999999998E-6</v>
      </c>
      <c r="I693">
        <v>364.69170000000003</v>
      </c>
      <c r="J693">
        <v>-309.45010000000002</v>
      </c>
      <c r="K693">
        <v>1.0618570000000001</v>
      </c>
      <c r="L693">
        <v>367.21539999999999</v>
      </c>
      <c r="M693">
        <v>0.99992749999999997</v>
      </c>
      <c r="N693">
        <v>-1.1913460000000001E-2</v>
      </c>
      <c r="O693">
        <v>1.769287E-3</v>
      </c>
      <c r="P693">
        <v>0.98584179999999999</v>
      </c>
      <c r="Q693">
        <v>0.15821879999999999</v>
      </c>
      <c r="R693">
        <v>5.5522460000000003E-2</v>
      </c>
      <c r="S693">
        <v>3.050659</v>
      </c>
      <c r="T693">
        <v>-2.6700970000000001E-2</v>
      </c>
      <c r="U693">
        <v>-6.3415529999999998E-2</v>
      </c>
      <c r="V693">
        <v>-5.3818079999999997E-2</v>
      </c>
      <c r="W693">
        <v>0.16994119999999999</v>
      </c>
      <c r="X693">
        <v>0.98398350000000001</v>
      </c>
      <c r="Y693">
        <v>2.2549949999999999E-2</v>
      </c>
      <c r="Z693">
        <v>-2.2742810000000001E-4</v>
      </c>
      <c r="AA693">
        <v>0.99974569999999996</v>
      </c>
      <c r="AB693">
        <v>38</v>
      </c>
      <c r="AC693">
        <v>120.99079999999999</v>
      </c>
      <c r="AD693">
        <v>-1.061864227836</v>
      </c>
      <c r="AE693">
        <v>-2.5236999999999599</v>
      </c>
      <c r="AF693">
        <v>2.73756791458564</v>
      </c>
      <c r="AG693">
        <v>-1.061864227836</v>
      </c>
      <c r="AH693">
        <v>120.976830911448</v>
      </c>
      <c r="AI693">
        <v>90.502767396921399</v>
      </c>
      <c r="AJ693">
        <v>88.703682994439703</v>
      </c>
      <c r="AK693">
        <v>121.01245990021999</v>
      </c>
      <c r="AL693">
        <v>80.2155993124844</v>
      </c>
      <c r="AM693">
        <v>93.130621193052093</v>
      </c>
      <c r="AN693">
        <v>0.99999996273228697</v>
      </c>
    </row>
    <row r="694" spans="1:40" x14ac:dyDescent="0.25">
      <c r="A694" t="str">
        <f>"20190304155328305"</f>
        <v>20190304155328305</v>
      </c>
      <c r="B694" t="str">
        <f>"1551686008295925"</f>
        <v>1551686008295925</v>
      </c>
      <c r="C694" t="s">
        <v>40</v>
      </c>
      <c r="D694">
        <v>4.1829210000000003</v>
      </c>
      <c r="E694">
        <v>0.52747650000000001</v>
      </c>
      <c r="F694" t="s">
        <v>45</v>
      </c>
      <c r="G694">
        <v>-180</v>
      </c>
      <c r="H694">
        <v>1.005171E-3</v>
      </c>
      <c r="I694">
        <v>364.55029999999999</v>
      </c>
      <c r="J694">
        <v>-309.07499999999999</v>
      </c>
      <c r="K694">
        <v>1.0615209999999999</v>
      </c>
      <c r="L694">
        <v>367.21609999999998</v>
      </c>
      <c r="M694">
        <v>0.99992899999999996</v>
      </c>
      <c r="N694">
        <v>-1.177404E-2</v>
      </c>
      <c r="O694">
        <v>1.8741649999999999E-3</v>
      </c>
      <c r="P694">
        <v>0.9858401</v>
      </c>
      <c r="Q694">
        <v>0.15814039999999999</v>
      </c>
      <c r="R694">
        <v>5.5778130000000002E-2</v>
      </c>
      <c r="S694">
        <v>3.0506289999999998</v>
      </c>
      <c r="T694">
        <v>-2.5000100000000001E-2</v>
      </c>
      <c r="U694">
        <v>-6.2805180000000002E-2</v>
      </c>
      <c r="V694">
        <v>-5.3969789999999997E-2</v>
      </c>
      <c r="W694">
        <v>0.1697255</v>
      </c>
      <c r="X694">
        <v>0.98401249999999996</v>
      </c>
      <c r="Y694">
        <v>2.2455269999999999E-2</v>
      </c>
      <c r="Z694">
        <v>-2.1751060000000001E-4</v>
      </c>
      <c r="AA694">
        <v>0.99974779999999996</v>
      </c>
      <c r="AB694">
        <v>38</v>
      </c>
      <c r="AC694">
        <v>129.07499999999999</v>
      </c>
      <c r="AD694">
        <v>-1.0605158290000001</v>
      </c>
      <c r="AE694">
        <v>-2.6657999999999902</v>
      </c>
      <c r="AF694">
        <v>2.90752372158141</v>
      </c>
      <c r="AG694">
        <v>-1.0605158290000001</v>
      </c>
      <c r="AH694">
        <v>129.06106795024701</v>
      </c>
      <c r="AI694">
        <v>90.470678742122203</v>
      </c>
      <c r="AJ694">
        <v>88.709443004539196</v>
      </c>
      <c r="AK694">
        <v>129.09817058530899</v>
      </c>
      <c r="AL694">
        <v>80.228140977503003</v>
      </c>
      <c r="AM694">
        <v>93.139336264026994</v>
      </c>
      <c r="AN694">
        <v>1.00000004186957</v>
      </c>
    </row>
    <row r="695" spans="1:40" x14ac:dyDescent="0.25">
      <c r="A695" t="str">
        <f>"20190304155328327"</f>
        <v>20190304155328327</v>
      </c>
      <c r="B695" t="str">
        <f>"1551686008316421"</f>
        <v>1551686008316421</v>
      </c>
      <c r="C695" t="s">
        <v>40</v>
      </c>
      <c r="D695">
        <v>4.1804699999999997</v>
      </c>
      <c r="E695">
        <v>0.52746870000000001</v>
      </c>
      <c r="F695" t="s">
        <v>45</v>
      </c>
      <c r="G695">
        <v>-180.62639999999999</v>
      </c>
      <c r="H695" s="1">
        <v>-7.7834629999999997E-6</v>
      </c>
      <c r="I695">
        <v>364.61020000000002</v>
      </c>
      <c r="J695">
        <v>-308.70209999999997</v>
      </c>
      <c r="K695">
        <v>1.0612349999999999</v>
      </c>
      <c r="L695">
        <v>367.21690000000001</v>
      </c>
      <c r="M695">
        <v>0.99993019999999999</v>
      </c>
      <c r="N695">
        <v>-1.165824E-2</v>
      </c>
      <c r="O695">
        <v>1.9784199999999998E-3</v>
      </c>
      <c r="P695">
        <v>0.98583160000000003</v>
      </c>
      <c r="Q695">
        <v>0.15834960000000001</v>
      </c>
      <c r="R695">
        <v>5.533213E-2</v>
      </c>
      <c r="S695">
        <v>3.0506289999999998</v>
      </c>
      <c r="T695">
        <v>-2.52111E-2</v>
      </c>
      <c r="U695">
        <v>-6.1889649999999997E-2</v>
      </c>
      <c r="V695">
        <v>-5.3421320000000001E-2</v>
      </c>
      <c r="W695">
        <v>0.1698209</v>
      </c>
      <c r="X695">
        <v>0.98402590000000001</v>
      </c>
      <c r="Y695">
        <v>2.2259600000000001E-2</v>
      </c>
      <c r="Z695">
        <v>-2.1503000000000001E-4</v>
      </c>
      <c r="AA695">
        <v>0.99975219999999998</v>
      </c>
      <c r="AB695">
        <v>38</v>
      </c>
      <c r="AC695">
        <v>128.07569999999899</v>
      </c>
      <c r="AD695">
        <v>-1.0612427834629901</v>
      </c>
      <c r="AE695">
        <v>-2.60669999999998</v>
      </c>
      <c r="AF695">
        <v>2.8599033397356499</v>
      </c>
      <c r="AG695">
        <v>-1.0612427834629901</v>
      </c>
      <c r="AH695">
        <v>128.06150291027001</v>
      </c>
      <c r="AI695">
        <v>90.474679614422499</v>
      </c>
      <c r="AJ695">
        <v>88.720668156251605</v>
      </c>
      <c r="AK695">
        <v>128.09782906433301</v>
      </c>
      <c r="AL695">
        <v>80.222593769035299</v>
      </c>
      <c r="AM695">
        <v>93.107453256065497</v>
      </c>
      <c r="AN695">
        <v>0.99999997368908</v>
      </c>
    </row>
    <row r="696" spans="1:40" x14ac:dyDescent="0.25">
      <c r="A696" t="str">
        <f>"20190304155328349"</f>
        <v>20190304155328349</v>
      </c>
      <c r="B696" t="str">
        <f>"1551686008346677"</f>
        <v>1551686008346677</v>
      </c>
      <c r="C696" t="s">
        <v>40</v>
      </c>
      <c r="D696">
        <v>4.1632920000000002</v>
      </c>
      <c r="E696">
        <v>0.52741990000000005</v>
      </c>
      <c r="F696" t="s">
        <v>45</v>
      </c>
      <c r="G696">
        <v>-180</v>
      </c>
      <c r="H696">
        <v>2.722894E-2</v>
      </c>
      <c r="I696">
        <v>364.54910000000001</v>
      </c>
      <c r="J696">
        <v>-308.32850000000002</v>
      </c>
      <c r="K696">
        <v>1.0609980000000001</v>
      </c>
      <c r="L696">
        <v>367.21769999999998</v>
      </c>
      <c r="M696">
        <v>0.99993100000000001</v>
      </c>
      <c r="N696">
        <v>-1.156072E-2</v>
      </c>
      <c r="O696">
        <v>2.0828639999999998E-3</v>
      </c>
      <c r="P696">
        <v>0.98586050000000003</v>
      </c>
      <c r="Q696">
        <v>0.15816259999999999</v>
      </c>
      <c r="R696">
        <v>5.5349280000000001E-2</v>
      </c>
      <c r="S696">
        <v>3.0505979999999999</v>
      </c>
      <c r="T696">
        <v>-2.4508829999999999E-2</v>
      </c>
      <c r="U696">
        <v>-6.3232419999999998E-2</v>
      </c>
      <c r="V696">
        <v>-5.3335269999999997E-2</v>
      </c>
      <c r="W696">
        <v>0.16953799999999999</v>
      </c>
      <c r="X696">
        <v>0.98407940000000005</v>
      </c>
      <c r="Y696">
        <v>2.2804129999999999E-2</v>
      </c>
      <c r="Z696">
        <v>-2.1608820000000001E-4</v>
      </c>
      <c r="AA696">
        <v>0.99973990000000001</v>
      </c>
      <c r="AB696">
        <v>38</v>
      </c>
      <c r="AC696">
        <v>128.32849999999999</v>
      </c>
      <c r="AD696">
        <v>-1.03376905999999</v>
      </c>
      <c r="AE696">
        <v>-2.6685999999999601</v>
      </c>
      <c r="AF696">
        <v>2.93571246169848</v>
      </c>
      <c r="AG696">
        <v>-1.03376905999999</v>
      </c>
      <c r="AH696">
        <v>128.31433973471599</v>
      </c>
      <c r="AI696">
        <v>90.461474747875201</v>
      </c>
      <c r="AJ696">
        <v>88.689354637987506</v>
      </c>
      <c r="AK696">
        <v>128.35208166478299</v>
      </c>
      <c r="AL696">
        <v>80.239041750982395</v>
      </c>
      <c r="AM696">
        <v>93.102289280980003</v>
      </c>
      <c r="AN696">
        <v>1.0000000249871599</v>
      </c>
    </row>
    <row r="697" spans="1:40" x14ac:dyDescent="0.25">
      <c r="A697" t="str">
        <f>"20190304155328373"</f>
        <v>20190304155328373</v>
      </c>
      <c r="B697" t="str">
        <f>"1551686008366197"</f>
        <v>1551686008366197</v>
      </c>
      <c r="C697" t="s">
        <v>40</v>
      </c>
      <c r="D697">
        <v>4.1997439999999999</v>
      </c>
      <c r="E697">
        <v>0.52737210000000001</v>
      </c>
      <c r="F697" t="s">
        <v>45</v>
      </c>
      <c r="G697">
        <v>-180.27940000000001</v>
      </c>
      <c r="H697" s="1">
        <v>-7.8041409999999992E-6</v>
      </c>
      <c r="I697">
        <v>364.58519999999999</v>
      </c>
      <c r="J697">
        <v>-307.93639999999999</v>
      </c>
      <c r="K697">
        <v>1.060792</v>
      </c>
      <c r="L697">
        <v>367.21859999999998</v>
      </c>
      <c r="M697">
        <v>0.99993180000000004</v>
      </c>
      <c r="N697">
        <v>-1.147916E-2</v>
      </c>
      <c r="O697">
        <v>2.1926340000000002E-3</v>
      </c>
      <c r="P697">
        <v>0.98582460000000005</v>
      </c>
      <c r="Q697">
        <v>0.15840509999999999</v>
      </c>
      <c r="R697">
        <v>5.529717E-2</v>
      </c>
      <c r="S697">
        <v>3.0505680000000002</v>
      </c>
      <c r="T697">
        <v>-2.5276779999999999E-2</v>
      </c>
      <c r="U697">
        <v>-6.2713619999999998E-2</v>
      </c>
      <c r="V697">
        <v>-5.3175159999999999E-2</v>
      </c>
      <c r="W697">
        <v>0.16970009999999999</v>
      </c>
      <c r="X697">
        <v>0.98406009999999999</v>
      </c>
      <c r="Y697">
        <v>2.2744070000000002E-2</v>
      </c>
      <c r="Z697">
        <v>-2.1777919999999999E-4</v>
      </c>
      <c r="AA697">
        <v>0.99974130000000005</v>
      </c>
      <c r="AB697">
        <v>38</v>
      </c>
      <c r="AC697">
        <v>127.656999999999</v>
      </c>
      <c r="AD697">
        <v>-1.0607998041410001</v>
      </c>
      <c r="AE697">
        <v>-2.6333999999999902</v>
      </c>
      <c r="AF697">
        <v>2.9131160937792</v>
      </c>
      <c r="AG697">
        <v>-1.0607998041410001</v>
      </c>
      <c r="AH697">
        <v>127.642108411476</v>
      </c>
      <c r="AI697">
        <v>90.476035153722293</v>
      </c>
      <c r="AJ697">
        <v>88.692592207172396</v>
      </c>
      <c r="AK697">
        <v>127.679753216112</v>
      </c>
      <c r="AL697">
        <v>80.229617309137893</v>
      </c>
      <c r="AM697">
        <v>93.093055006278504</v>
      </c>
      <c r="AN697">
        <v>1.00000000099652</v>
      </c>
    </row>
    <row r="698" spans="1:40" x14ac:dyDescent="0.25">
      <c r="A698" t="str">
        <f>"20190304155328394"</f>
        <v>20190304155328394</v>
      </c>
      <c r="B698" t="str">
        <f>"1551686008386693"</f>
        <v>1551686008386693</v>
      </c>
      <c r="C698" t="s">
        <v>40</v>
      </c>
      <c r="D698">
        <v>4.2220170000000001</v>
      </c>
      <c r="E698">
        <v>0.52731079999999997</v>
      </c>
      <c r="F698" t="s">
        <v>45</v>
      </c>
      <c r="G698">
        <v>-180</v>
      </c>
      <c r="H698">
        <v>2.8496750000000001E-2</v>
      </c>
      <c r="I698">
        <v>364.5872</v>
      </c>
      <c r="J698">
        <v>-307.55880000000002</v>
      </c>
      <c r="K698">
        <v>1.060632</v>
      </c>
      <c r="L698">
        <v>367.21949999999998</v>
      </c>
      <c r="M698">
        <v>0.99993220000000005</v>
      </c>
      <c r="N698">
        <v>-1.1423900000000001E-2</v>
      </c>
      <c r="O698">
        <v>2.2984989999999999E-3</v>
      </c>
      <c r="P698">
        <v>0.98581770000000002</v>
      </c>
      <c r="Q698">
        <v>0.158487299999999</v>
      </c>
      <c r="R698">
        <v>5.518692E-2</v>
      </c>
      <c r="S698">
        <v>3.0505680000000002</v>
      </c>
      <c r="T698">
        <v>-2.461445E-2</v>
      </c>
      <c r="U698">
        <v>-6.2744140000000004E-2</v>
      </c>
      <c r="V698">
        <v>-5.2960460000000001E-2</v>
      </c>
      <c r="W698">
        <v>0.16972779999999901</v>
      </c>
      <c r="X698">
        <v>0.98406689999999997</v>
      </c>
      <c r="Y698">
        <v>2.285997E-2</v>
      </c>
      <c r="Z698">
        <v>-2.1510139999999999E-4</v>
      </c>
      <c r="AA698">
        <v>0.99973860000000003</v>
      </c>
      <c r="AB698">
        <v>38</v>
      </c>
      <c r="AC698">
        <v>127.55880000000001</v>
      </c>
      <c r="AD698">
        <v>-1.0321352500000001</v>
      </c>
      <c r="AE698">
        <v>-2.6322999999999799</v>
      </c>
      <c r="AF698">
        <v>2.9253144819848198</v>
      </c>
      <c r="AG698">
        <v>-1.0321352500000001</v>
      </c>
      <c r="AH698">
        <v>127.544065321349</v>
      </c>
      <c r="AI698">
        <v>90.463527295054604</v>
      </c>
      <c r="AJ698">
        <v>88.686110619988995</v>
      </c>
      <c r="AK698">
        <v>127.58178305185</v>
      </c>
      <c r="AL698">
        <v>80.228006844380602</v>
      </c>
      <c r="AM698">
        <v>93.080569345536503</v>
      </c>
      <c r="AN698">
        <v>1.0000000000459299</v>
      </c>
    </row>
    <row r="699" spans="1:40" x14ac:dyDescent="0.25">
      <c r="A699" t="str">
        <f>"20190304155328417"</f>
        <v>20190304155328417</v>
      </c>
      <c r="B699" t="str">
        <f>"1551686008406213"</f>
        <v>1551686008406213</v>
      </c>
      <c r="C699" t="s">
        <v>40</v>
      </c>
      <c r="D699">
        <v>4.3099970000000001</v>
      </c>
      <c r="E699">
        <v>0.52728430000000004</v>
      </c>
      <c r="F699" t="s">
        <v>45</v>
      </c>
      <c r="G699">
        <v>-180</v>
      </c>
      <c r="H699">
        <v>2.2925689999999999E-2</v>
      </c>
      <c r="I699">
        <v>364.6087</v>
      </c>
      <c r="J699">
        <v>-307.1773</v>
      </c>
      <c r="K699">
        <v>1.0605020000000001</v>
      </c>
      <c r="L699">
        <v>367.22050000000002</v>
      </c>
      <c r="M699">
        <v>0.99993220000000005</v>
      </c>
      <c r="N699">
        <v>-1.1395000000000001E-2</v>
      </c>
      <c r="O699">
        <v>2.4057639999999999E-3</v>
      </c>
      <c r="P699">
        <v>0.98581030000000003</v>
      </c>
      <c r="Q699">
        <v>0.158475799999999</v>
      </c>
      <c r="R699">
        <v>5.5347529999999999E-2</v>
      </c>
      <c r="S699">
        <v>3.0506289999999998</v>
      </c>
      <c r="T699">
        <v>-2.4817229999999999E-2</v>
      </c>
      <c r="U699">
        <v>-6.2438960000000002E-2</v>
      </c>
      <c r="V699">
        <v>-5.3014789999999999E-2</v>
      </c>
      <c r="W699">
        <v>0.1696879</v>
      </c>
      <c r="X699">
        <v>0.98407080000000002</v>
      </c>
      <c r="Y699">
        <v>2.286682E-2</v>
      </c>
      <c r="Z699">
        <v>-2.1546480000000001E-4</v>
      </c>
      <c r="AA699">
        <v>0.99973849999999997</v>
      </c>
      <c r="AB699">
        <v>38</v>
      </c>
      <c r="AC699">
        <v>127.1773</v>
      </c>
      <c r="AD699">
        <v>-1.0375763099999999</v>
      </c>
      <c r="AE699">
        <v>-2.6118000000000099</v>
      </c>
      <c r="AF699">
        <v>2.9175767552009702</v>
      </c>
      <c r="AG699">
        <v>-1.0375763099999999</v>
      </c>
      <c r="AH699">
        <v>127.16218764267801</v>
      </c>
      <c r="AI699">
        <v>90.467369940567494</v>
      </c>
      <c r="AJ699">
        <v>88.685650867425494</v>
      </c>
      <c r="AK699">
        <v>127.199885160299</v>
      </c>
      <c r="AL699">
        <v>80.230326056105895</v>
      </c>
      <c r="AM699">
        <v>93.083711283571404</v>
      </c>
      <c r="AN699">
        <v>0.99999994538889503</v>
      </c>
    </row>
    <row r="700" spans="1:40" x14ac:dyDescent="0.25">
      <c r="A700" t="str">
        <f>"20190304155328441"</f>
        <v>20190304155328441</v>
      </c>
      <c r="B700" t="str">
        <f>"1551686008436469"</f>
        <v>1551686008436469</v>
      </c>
      <c r="C700" t="s">
        <v>40</v>
      </c>
      <c r="D700">
        <v>4.2239620000000002</v>
      </c>
      <c r="E700">
        <v>0.52729820000000005</v>
      </c>
      <c r="F700" t="s">
        <v>45</v>
      </c>
      <c r="G700">
        <v>-180</v>
      </c>
      <c r="H700">
        <v>1.476734E-2</v>
      </c>
      <c r="I700">
        <v>364.65320000000003</v>
      </c>
      <c r="J700">
        <v>-306.78320000000002</v>
      </c>
      <c r="K700">
        <v>1.0603959999999999</v>
      </c>
      <c r="L700">
        <v>367.22160000000002</v>
      </c>
      <c r="M700">
        <v>0.99993200000000004</v>
      </c>
      <c r="N700">
        <v>-1.139418E-2</v>
      </c>
      <c r="O700">
        <v>2.516393E-3</v>
      </c>
      <c r="P700">
        <v>0.98575369999999995</v>
      </c>
      <c r="Q700">
        <v>0.15872999999999901</v>
      </c>
      <c r="R700">
        <v>5.5628909999999997E-2</v>
      </c>
      <c r="S700">
        <v>3.050659</v>
      </c>
      <c r="T700">
        <v>-2.5084499999999999E-2</v>
      </c>
      <c r="U700">
        <v>-6.1584470000000002E-2</v>
      </c>
      <c r="V700">
        <v>-5.3187470000000001E-2</v>
      </c>
      <c r="W700">
        <v>0.1699407</v>
      </c>
      <c r="X700">
        <v>0.9840179</v>
      </c>
      <c r="Y700">
        <v>2.2697289999999998E-2</v>
      </c>
      <c r="Z700">
        <v>-2.146548E-4</v>
      </c>
      <c r="AA700">
        <v>0.99974240000000003</v>
      </c>
      <c r="AB700">
        <v>38</v>
      </c>
      <c r="AC700">
        <v>126.78319999999999</v>
      </c>
      <c r="AD700">
        <v>-1.04562866</v>
      </c>
      <c r="AE700">
        <v>-2.5683999999999898</v>
      </c>
      <c r="AF700">
        <v>2.8872526016586302</v>
      </c>
      <c r="AG700">
        <v>-1.04562866</v>
      </c>
      <c r="AH700">
        <v>126.76771591228299</v>
      </c>
      <c r="AI700">
        <v>90.472464288148402</v>
      </c>
      <c r="AJ700">
        <v>88.695260923435598</v>
      </c>
      <c r="AK700">
        <v>126.80490276206901</v>
      </c>
      <c r="AL700">
        <v>80.215628632900803</v>
      </c>
      <c r="AM700">
        <v>93.093902074591895</v>
      </c>
      <c r="AN700">
        <v>0.99999998800095002</v>
      </c>
    </row>
    <row r="701" spans="1:40" x14ac:dyDescent="0.25">
      <c r="A701" t="str">
        <f>"20190304155328462"</f>
        <v>20190304155328462</v>
      </c>
      <c r="B701" t="str">
        <f>"1551686008455989"</f>
        <v>1551686008455989</v>
      </c>
      <c r="C701" t="s">
        <v>40</v>
      </c>
      <c r="D701">
        <v>4.2467370000000004</v>
      </c>
      <c r="E701">
        <v>0.52725949999999999</v>
      </c>
      <c r="F701" t="s">
        <v>45</v>
      </c>
      <c r="G701">
        <v>-179.99340000000001</v>
      </c>
      <c r="H701">
        <v>5.6568180000000003E-2</v>
      </c>
      <c r="I701">
        <v>364.66590000000002</v>
      </c>
      <c r="J701">
        <v>-306.40929999999997</v>
      </c>
      <c r="K701">
        <v>1.0603199999999999</v>
      </c>
      <c r="L701">
        <v>367.2226</v>
      </c>
      <c r="M701">
        <v>0.99993129999999997</v>
      </c>
      <c r="N701">
        <v>-1.14167E-2</v>
      </c>
      <c r="O701">
        <v>2.6218259999999998E-3</v>
      </c>
      <c r="P701">
        <v>0.98572400000000004</v>
      </c>
      <c r="Q701">
        <v>0.1587837</v>
      </c>
      <c r="R701">
        <v>5.6002219999999998E-2</v>
      </c>
      <c r="S701">
        <v>3.0507200000000001</v>
      </c>
      <c r="T701">
        <v>-2.4153350000000001E-2</v>
      </c>
      <c r="U701">
        <v>-6.149292E-2</v>
      </c>
      <c r="V701">
        <v>-5.3457499999999998E-2</v>
      </c>
      <c r="W701">
        <v>0.17001640000000001</v>
      </c>
      <c r="X701">
        <v>0.98399020000000004</v>
      </c>
      <c r="Y701">
        <v>2.2772400000000002E-2</v>
      </c>
      <c r="Z701">
        <v>-2.10977E-4</v>
      </c>
      <c r="AA701">
        <v>0.99974070000000004</v>
      </c>
      <c r="AB701">
        <v>38</v>
      </c>
      <c r="AC701">
        <v>126.415899999999</v>
      </c>
      <c r="AD701">
        <v>-1.00375182</v>
      </c>
      <c r="AE701">
        <v>-2.55669999999997</v>
      </c>
      <c r="AF701">
        <v>2.8879713399299498</v>
      </c>
      <c r="AG701">
        <v>-1.00375182</v>
      </c>
      <c r="AH701">
        <v>126.4007961378</v>
      </c>
      <c r="AI701">
        <v>90.454858923912596</v>
      </c>
      <c r="AJ701">
        <v>88.691149180741604</v>
      </c>
      <c r="AK701">
        <v>126.43776793524199</v>
      </c>
      <c r="AL701">
        <v>80.211227383290606</v>
      </c>
      <c r="AM701">
        <v>93.109666269803895</v>
      </c>
      <c r="AN701">
        <v>0.99999999713562404</v>
      </c>
    </row>
    <row r="702" spans="1:40" x14ac:dyDescent="0.25">
      <c r="A702" t="str">
        <f>"20190304155328485"</f>
        <v>20190304155328485</v>
      </c>
      <c r="B702" t="str">
        <f>"1551686008476484"</f>
        <v>1551686008476484</v>
      </c>
      <c r="C702" t="s">
        <v>40</v>
      </c>
      <c r="D702">
        <v>4.2381960000000003</v>
      </c>
      <c r="E702">
        <v>0.52720900000000004</v>
      </c>
      <c r="F702" t="s">
        <v>45</v>
      </c>
      <c r="G702">
        <v>-180</v>
      </c>
      <c r="H702">
        <v>4.6509139999999997E-2</v>
      </c>
      <c r="I702">
        <v>364.74040000000002</v>
      </c>
      <c r="J702">
        <v>-306.03309999999999</v>
      </c>
      <c r="K702">
        <v>1.0602609999999999</v>
      </c>
      <c r="L702">
        <v>367.22370000000001</v>
      </c>
      <c r="M702">
        <v>0.9999306</v>
      </c>
      <c r="N702">
        <v>-1.1459169999999999E-2</v>
      </c>
      <c r="O702">
        <v>2.7266769999999998E-3</v>
      </c>
      <c r="P702">
        <v>0.985684</v>
      </c>
      <c r="Q702">
        <v>0.15899179999999999</v>
      </c>
      <c r="R702">
        <v>5.6111849999999998E-2</v>
      </c>
      <c r="S702">
        <v>3.0507810000000002</v>
      </c>
      <c r="T702">
        <v>-2.4467470000000002E-2</v>
      </c>
      <c r="U702">
        <v>-5.9906010000000003E-2</v>
      </c>
      <c r="V702">
        <v>-5.34636E-2</v>
      </c>
      <c r="W702">
        <v>0.17026540000000001</v>
      </c>
      <c r="X702">
        <v>0.98394680000000001</v>
      </c>
      <c r="Y702">
        <v>2.235699E-2</v>
      </c>
      <c r="Z702">
        <v>-2.0838240000000001E-4</v>
      </c>
      <c r="AA702">
        <v>0.99975000000000003</v>
      </c>
      <c r="AB702">
        <v>38</v>
      </c>
      <c r="AC702">
        <v>126.0331</v>
      </c>
      <c r="AD702">
        <v>-1.0137518599999999</v>
      </c>
      <c r="AE702">
        <v>-2.4832999999999799</v>
      </c>
      <c r="AF702">
        <v>2.82678207819523</v>
      </c>
      <c r="AG702">
        <v>-1.0137518599999999</v>
      </c>
      <c r="AH702">
        <v>126.017709831955</v>
      </c>
      <c r="AI702">
        <v>90.460791133809707</v>
      </c>
      <c r="AJ702">
        <v>88.7149780316213</v>
      </c>
      <c r="AK702">
        <v>126.05348698485901</v>
      </c>
      <c r="AL702">
        <v>80.196749515903406</v>
      </c>
      <c r="AM702">
        <v>93.110157322941205</v>
      </c>
      <c r="AN702">
        <v>0.99999998409617896</v>
      </c>
    </row>
    <row r="703" spans="1:40" x14ac:dyDescent="0.25">
      <c r="A703" t="str">
        <f>"20190304155328506"</f>
        <v>20190304155328506</v>
      </c>
      <c r="B703" t="str">
        <f>"1551686008496004"</f>
        <v>1551686008496004</v>
      </c>
      <c r="C703" t="s">
        <v>40</v>
      </c>
      <c r="D703">
        <v>4.2523220000000004</v>
      </c>
      <c r="E703">
        <v>0.52715330000000005</v>
      </c>
      <c r="F703" t="s">
        <v>45</v>
      </c>
      <c r="G703">
        <v>-180</v>
      </c>
      <c r="H703">
        <v>4.9043980000000001E-2</v>
      </c>
      <c r="I703">
        <v>364.80689999999998</v>
      </c>
      <c r="J703">
        <v>-305.66609999999997</v>
      </c>
      <c r="K703">
        <v>1.0602119999999999</v>
      </c>
      <c r="L703">
        <v>367.22480000000002</v>
      </c>
      <c r="M703">
        <v>0.99992979999999998</v>
      </c>
      <c r="N703">
        <v>-1.151075E-2</v>
      </c>
      <c r="O703">
        <v>2.8290889999999999E-3</v>
      </c>
      <c r="P703">
        <v>0.985738</v>
      </c>
      <c r="Q703">
        <v>0.15859589999999901</v>
      </c>
      <c r="R703">
        <v>5.6290399999999997E-2</v>
      </c>
      <c r="S703">
        <v>3.0508120000000001</v>
      </c>
      <c r="T703">
        <v>-2.447796E-2</v>
      </c>
      <c r="U703">
        <v>-5.85021999999999E-2</v>
      </c>
      <c r="V703">
        <v>-5.3541440000000003E-2</v>
      </c>
      <c r="W703">
        <v>0.16992099999999999</v>
      </c>
      <c r="X703">
        <v>0.98400209999999999</v>
      </c>
      <c r="Y703">
        <v>2.1999370000000001E-2</v>
      </c>
      <c r="Z703">
        <v>-2.0501459999999999E-4</v>
      </c>
      <c r="AA703">
        <v>0.99975789999999998</v>
      </c>
      <c r="AB703">
        <v>38</v>
      </c>
      <c r="AC703">
        <v>125.66609999999901</v>
      </c>
      <c r="AD703">
        <v>-1.0111680199999999</v>
      </c>
      <c r="AE703">
        <v>-2.4179000000000301</v>
      </c>
      <c r="AF703">
        <v>2.7732549503565802</v>
      </c>
      <c r="AG703">
        <v>-1.0111680199999999</v>
      </c>
      <c r="AH703">
        <v>125.650623808956</v>
      </c>
      <c r="AI703">
        <v>90.460963124105504</v>
      </c>
      <c r="AJ703">
        <v>88.735620997342593</v>
      </c>
      <c r="AK703">
        <v>125.685292168034</v>
      </c>
      <c r="AL703">
        <v>80.2167739631453</v>
      </c>
      <c r="AM703">
        <v>93.114501930760994</v>
      </c>
      <c r="AN703">
        <v>0.99999998242134103</v>
      </c>
    </row>
    <row r="704" spans="1:40" x14ac:dyDescent="0.25">
      <c r="A704" t="str">
        <f>"20190304155328528"</f>
        <v>20190304155328528</v>
      </c>
      <c r="B704" t="str">
        <f>"1551686008516501"</f>
        <v>1551686008516501</v>
      </c>
      <c r="C704" t="s">
        <v>40</v>
      </c>
      <c r="D704">
        <v>4.2596449999999999</v>
      </c>
      <c r="E704">
        <v>0.52709700000000004</v>
      </c>
      <c r="F704" t="s">
        <v>45</v>
      </c>
      <c r="G704">
        <v>-181.74780000000001</v>
      </c>
      <c r="H704" s="1">
        <v>-7.7914479999999993E-6</v>
      </c>
      <c r="I704">
        <v>364.8809</v>
      </c>
      <c r="J704">
        <v>-305.28739999999999</v>
      </c>
      <c r="K704">
        <v>1.060171</v>
      </c>
      <c r="L704">
        <v>367.226</v>
      </c>
      <c r="M704">
        <v>0.99992890000000001</v>
      </c>
      <c r="N704">
        <v>-1.157122E-2</v>
      </c>
      <c r="O704">
        <v>2.9339589999999999E-3</v>
      </c>
      <c r="P704">
        <v>0.98574980000000001</v>
      </c>
      <c r="Q704">
        <v>0.15859529999999999</v>
      </c>
      <c r="R704">
        <v>5.6079850000000001E-2</v>
      </c>
      <c r="S704">
        <v>3.0509029999999999</v>
      </c>
      <c r="T704">
        <v>-2.6102899999999998E-2</v>
      </c>
      <c r="U704">
        <v>-5.7708740000000001E-2</v>
      </c>
      <c r="V704">
        <v>-5.3227919999999998E-2</v>
      </c>
      <c r="W704">
        <v>0.16998070000000001</v>
      </c>
      <c r="X704">
        <v>0.98400880000000002</v>
      </c>
      <c r="Y704">
        <v>2.184357E-2</v>
      </c>
      <c r="Z704">
        <v>-2.10986E-4</v>
      </c>
      <c r="AA704">
        <v>0.99976140000000002</v>
      </c>
      <c r="AB704">
        <v>38</v>
      </c>
      <c r="AC704">
        <v>123.539599999999</v>
      </c>
      <c r="AD704">
        <v>-1.0601787914480001</v>
      </c>
      <c r="AE704">
        <v>-2.3451</v>
      </c>
      <c r="AF704">
        <v>2.7073749248469698</v>
      </c>
      <c r="AG704">
        <v>-1.0601787914480001</v>
      </c>
      <c r="AH704">
        <v>123.523093683977</v>
      </c>
      <c r="AI704">
        <v>90.491630291373795</v>
      </c>
      <c r="AJ704">
        <v>88.744394109951799</v>
      </c>
      <c r="AK704">
        <v>123.55730869241999</v>
      </c>
      <c r="AL704">
        <v>80.213302927210194</v>
      </c>
      <c r="AM704">
        <v>93.096279042719104</v>
      </c>
      <c r="AN704">
        <v>0.99999998415872804</v>
      </c>
    </row>
    <row r="705" spans="1:40" x14ac:dyDescent="0.25">
      <c r="A705" t="str">
        <f>"20190304155328550"</f>
        <v>20190304155328550</v>
      </c>
      <c r="B705" t="str">
        <f>"1551686008546757"</f>
        <v>1551686008546757</v>
      </c>
      <c r="C705" t="s">
        <v>40</v>
      </c>
      <c r="D705">
        <v>4.3620580000000002</v>
      </c>
      <c r="E705">
        <v>0.52706799999999998</v>
      </c>
      <c r="F705" t="s">
        <v>45</v>
      </c>
      <c r="G705">
        <v>-183.3245</v>
      </c>
      <c r="H705" s="1">
        <v>-7.6569109999999996E-6</v>
      </c>
      <c r="I705">
        <v>364.89100000000002</v>
      </c>
      <c r="J705">
        <v>-304.91410000000002</v>
      </c>
      <c r="K705">
        <v>1.060138</v>
      </c>
      <c r="L705">
        <v>367.22719999999998</v>
      </c>
      <c r="M705">
        <v>0.99992780000000003</v>
      </c>
      <c r="N705">
        <v>-1.1635950000000001E-2</v>
      </c>
      <c r="O705">
        <v>3.0379629999999999E-3</v>
      </c>
      <c r="P705">
        <v>0.98578169999999998</v>
      </c>
      <c r="Q705">
        <v>0.15835859999999999</v>
      </c>
      <c r="R705">
        <v>5.6190410000000003E-2</v>
      </c>
      <c r="S705">
        <v>3.0509029999999999</v>
      </c>
      <c r="T705">
        <v>-2.6520370000000001E-2</v>
      </c>
      <c r="U705">
        <v>-5.841064E-2</v>
      </c>
      <c r="V705">
        <v>-5.3236100000000001E-2</v>
      </c>
      <c r="W705">
        <v>0.16980770000000001</v>
      </c>
      <c r="X705">
        <v>0.98403819999999997</v>
      </c>
      <c r="Y705">
        <v>2.2177410000000002E-2</v>
      </c>
      <c r="Z705">
        <v>-2.1648650000000001E-4</v>
      </c>
      <c r="AA705">
        <v>0.99975400000000003</v>
      </c>
      <c r="AB705">
        <v>38</v>
      </c>
      <c r="AC705">
        <v>121.5896</v>
      </c>
      <c r="AD705">
        <v>-1.0601456569109999</v>
      </c>
      <c r="AE705">
        <v>-2.3362000000000198</v>
      </c>
      <c r="AF705">
        <v>2.70539329742738</v>
      </c>
      <c r="AG705">
        <v>-1.0601456569109999</v>
      </c>
      <c r="AH705">
        <v>121.572702299005</v>
      </c>
      <c r="AI705">
        <v>90.499497813480502</v>
      </c>
      <c r="AJ705">
        <v>88.725190478865599</v>
      </c>
      <c r="AK705">
        <v>121.60742167314601</v>
      </c>
      <c r="AL705">
        <v>80.223361066730007</v>
      </c>
      <c r="AM705">
        <v>93.096661607627993</v>
      </c>
      <c r="AN705">
        <v>0.99999995819086895</v>
      </c>
    </row>
    <row r="706" spans="1:40" x14ac:dyDescent="0.25">
      <c r="A706" t="str">
        <f>"20190304155328573"</f>
        <v>20190304155328573</v>
      </c>
      <c r="B706" t="str">
        <f>"1551686008566277"</f>
        <v>1551686008566277</v>
      </c>
      <c r="C706" t="s">
        <v>40</v>
      </c>
      <c r="D706">
        <v>4.2943569999999998</v>
      </c>
      <c r="E706">
        <v>0.52697299999999903</v>
      </c>
      <c r="F706" t="s">
        <v>45</v>
      </c>
      <c r="G706">
        <v>-192.42850000000001</v>
      </c>
      <c r="H706" s="1">
        <v>-6.8435959999999999E-6</v>
      </c>
      <c r="I706">
        <v>365.09739999999999</v>
      </c>
      <c r="J706">
        <v>-304.52879999999999</v>
      </c>
      <c r="K706">
        <v>1.060117</v>
      </c>
      <c r="L706">
        <v>367.2285</v>
      </c>
      <c r="M706">
        <v>0.9999266</v>
      </c>
      <c r="N706">
        <v>-1.17053E-2</v>
      </c>
      <c r="O706">
        <v>3.146107E-3</v>
      </c>
      <c r="P706">
        <v>0.98581280000000004</v>
      </c>
      <c r="Q706">
        <v>0.15810579999999999</v>
      </c>
      <c r="R706">
        <v>5.6356440000000001E-2</v>
      </c>
      <c r="S706">
        <v>3.0511780000000002</v>
      </c>
      <c r="T706">
        <v>-2.8756500000000001E-2</v>
      </c>
      <c r="U706">
        <v>-5.776978E-2</v>
      </c>
      <c r="V706">
        <v>-5.3295530000000001E-2</v>
      </c>
      <c r="W706">
        <v>0.16962349999999901</v>
      </c>
      <c r="X706">
        <v>0.98406680000000002</v>
      </c>
      <c r="Y706">
        <v>2.2073659999999998E-2</v>
      </c>
      <c r="Z706">
        <v>-2.2604330000000001E-4</v>
      </c>
      <c r="AA706">
        <v>0.99975630000000004</v>
      </c>
      <c r="AB706">
        <v>38</v>
      </c>
      <c r="AC706">
        <v>112.100299999999</v>
      </c>
      <c r="AD706">
        <v>-1.0601238435960001</v>
      </c>
      <c r="AE706">
        <v>-2.1311</v>
      </c>
      <c r="AF706">
        <v>2.4835710991381199</v>
      </c>
      <c r="AG706">
        <v>-1.0601238435960001</v>
      </c>
      <c r="AH706">
        <v>112.08301966915199</v>
      </c>
      <c r="AI706">
        <v>90.541776142745107</v>
      </c>
      <c r="AJ706">
        <v>88.730629667695993</v>
      </c>
      <c r="AK706">
        <v>112.115544355472</v>
      </c>
      <c r="AL706">
        <v>80.2340707799965</v>
      </c>
      <c r="AM706">
        <v>93.100021896483298</v>
      </c>
      <c r="AN706">
        <v>1.00000000606623</v>
      </c>
    </row>
    <row r="707" spans="1:40" x14ac:dyDescent="0.25">
      <c r="A707" t="str">
        <f>"20190304155328596"</f>
        <v>20190304155328596</v>
      </c>
      <c r="B707" t="str">
        <f>"1551686008586773"</f>
        <v>1551686008586773</v>
      </c>
      <c r="C707" t="s">
        <v>40</v>
      </c>
      <c r="D707">
        <v>4.3946249999999996</v>
      </c>
      <c r="E707">
        <v>0.52694730000000001</v>
      </c>
      <c r="F707" t="s">
        <v>45</v>
      </c>
      <c r="G707">
        <v>-197.24090000000001</v>
      </c>
      <c r="H707" s="1">
        <v>-8.546138E-6</v>
      </c>
      <c r="I707">
        <v>365.24439999999998</v>
      </c>
      <c r="J707">
        <v>-304.14389999999997</v>
      </c>
      <c r="K707">
        <v>1.0600959999999999</v>
      </c>
      <c r="L707">
        <v>367.22980000000001</v>
      </c>
      <c r="M707">
        <v>0.99992539999999996</v>
      </c>
      <c r="N707">
        <v>-1.1775330000000001E-2</v>
      </c>
      <c r="O707">
        <v>3.255431E-3</v>
      </c>
      <c r="P707">
        <v>0.98580900000000005</v>
      </c>
      <c r="Q707">
        <v>0.15791369999999999</v>
      </c>
      <c r="R707">
        <v>5.6953860000000002E-2</v>
      </c>
      <c r="S707">
        <v>3.0512389999999998</v>
      </c>
      <c r="T707">
        <v>-3.0149700000000001E-2</v>
      </c>
      <c r="U707">
        <v>-5.6426999999999998E-2</v>
      </c>
      <c r="V707">
        <v>-5.3785149999999997E-2</v>
      </c>
      <c r="W707">
        <v>0.1695004</v>
      </c>
      <c r="X707">
        <v>0.98406139999999998</v>
      </c>
      <c r="Y707">
        <v>2.1742649999999999E-2</v>
      </c>
      <c r="Z707">
        <v>-2.2927719999999999E-4</v>
      </c>
      <c r="AA707">
        <v>0.99976350000000003</v>
      </c>
      <c r="AB707">
        <v>38</v>
      </c>
      <c r="AC707">
        <v>106.902999999999</v>
      </c>
      <c r="AD707">
        <v>-1.0601045461380001</v>
      </c>
      <c r="AE707">
        <v>-1.98540000000002</v>
      </c>
      <c r="AF707">
        <v>2.3331995765383602</v>
      </c>
      <c r="AG707">
        <v>-1.0601045461380001</v>
      </c>
      <c r="AH707">
        <v>106.885462481953</v>
      </c>
      <c r="AI707">
        <v>90.568113368175801</v>
      </c>
      <c r="AJ707">
        <v>88.7494907347414</v>
      </c>
      <c r="AK707">
        <v>106.91618087031399</v>
      </c>
      <c r="AL707">
        <v>80.241227793417295</v>
      </c>
      <c r="AM707">
        <v>93.128462265353406</v>
      </c>
      <c r="AN707">
        <v>1.0000000334653201</v>
      </c>
    </row>
    <row r="708" spans="1:40" x14ac:dyDescent="0.25">
      <c r="A708" t="str">
        <f>"20190304155328616"</f>
        <v>20190304155328616</v>
      </c>
      <c r="B708" t="str">
        <f>"1551686008606293"</f>
        <v>1551686008606293</v>
      </c>
      <c r="C708" t="s">
        <v>40</v>
      </c>
      <c r="D708">
        <v>4.3286829999999998</v>
      </c>
      <c r="E708">
        <v>0.52685890000000002</v>
      </c>
      <c r="F708" t="s">
        <v>45</v>
      </c>
      <c r="G708">
        <v>-202.5804</v>
      </c>
      <c r="H708" s="1">
        <v>-2.6372299999999999E-6</v>
      </c>
      <c r="I708">
        <v>365.4248</v>
      </c>
      <c r="J708">
        <v>-303.78359999999998</v>
      </c>
      <c r="K708">
        <v>1.0600780000000001</v>
      </c>
      <c r="L708">
        <v>367.23110000000003</v>
      </c>
      <c r="M708">
        <v>0.99992440000000005</v>
      </c>
      <c r="N708">
        <v>-1.183829E-2</v>
      </c>
      <c r="O708">
        <v>3.3580569999999998E-3</v>
      </c>
      <c r="P708">
        <v>0.98582579999999997</v>
      </c>
      <c r="Q708">
        <v>0.15771740000000001</v>
      </c>
      <c r="R708">
        <v>5.7211190000000002E-2</v>
      </c>
      <c r="S708">
        <v>3.0514220000000001</v>
      </c>
      <c r="T708">
        <v>-3.1850099999999999E-2</v>
      </c>
      <c r="U708">
        <v>-5.4229739999999999E-2</v>
      </c>
      <c r="V708">
        <v>-5.3940790000000002E-2</v>
      </c>
      <c r="W708">
        <v>0.1693665</v>
      </c>
      <c r="X708">
        <v>0.9840759</v>
      </c>
      <c r="Y708">
        <v>2.112435E-2</v>
      </c>
      <c r="Z708">
        <v>-2.3058900000000001E-4</v>
      </c>
      <c r="AA708">
        <v>0.99977680000000002</v>
      </c>
      <c r="AB708">
        <v>38</v>
      </c>
      <c r="AC708">
        <v>101.203199999999</v>
      </c>
      <c r="AD708">
        <v>-1.06008063722999</v>
      </c>
      <c r="AE708">
        <v>-1.80630000000002</v>
      </c>
      <c r="AF708">
        <v>2.1459243283190701</v>
      </c>
      <c r="AG708">
        <v>-1.06008063722999</v>
      </c>
      <c r="AH708">
        <v>101.185464601017</v>
      </c>
      <c r="AI708">
        <v>90.600108638039401</v>
      </c>
      <c r="AJ708">
        <v>88.785062863499704</v>
      </c>
      <c r="AK708">
        <v>101.213768869181</v>
      </c>
      <c r="AL708">
        <v>80.249011904822098</v>
      </c>
      <c r="AM708">
        <v>93.137451009579095</v>
      </c>
      <c r="AN708">
        <v>0.99999999855444199</v>
      </c>
    </row>
    <row r="709" spans="1:40" x14ac:dyDescent="0.25">
      <c r="A709" t="str">
        <f>"20190304155328641"</f>
        <v>20190304155328641</v>
      </c>
      <c r="B709" t="str">
        <f>"1551686008636199"</f>
        <v>1551686008636199</v>
      </c>
      <c r="C709" t="s">
        <v>40</v>
      </c>
      <c r="D709">
        <v>4.3296049999999999</v>
      </c>
      <c r="E709">
        <v>0.526783</v>
      </c>
      <c r="F709" t="s">
        <v>45</v>
      </c>
      <c r="G709">
        <v>-206.33099999999999</v>
      </c>
      <c r="H709" s="1">
        <v>-4.4759319999999998E-6</v>
      </c>
      <c r="I709">
        <v>365.55279999999999</v>
      </c>
      <c r="J709">
        <v>-303.38729999999998</v>
      </c>
      <c r="K709">
        <v>1.060071</v>
      </c>
      <c r="L709">
        <v>367.23250000000002</v>
      </c>
      <c r="M709">
        <v>0.99992329999999996</v>
      </c>
      <c r="N709">
        <v>-1.1902360000000001E-2</v>
      </c>
      <c r="O709">
        <v>3.4716339999999999E-3</v>
      </c>
      <c r="P709">
        <v>0.98581160000000001</v>
      </c>
      <c r="Q709">
        <v>0.1577721</v>
      </c>
      <c r="R709">
        <v>5.730764E-2</v>
      </c>
      <c r="S709">
        <v>3.0514830000000002</v>
      </c>
      <c r="T709">
        <v>-3.3193830000000001E-2</v>
      </c>
      <c r="U709">
        <v>-5.2551269999999997E-2</v>
      </c>
      <c r="V709">
        <v>-5.3925609999999999E-2</v>
      </c>
      <c r="W709">
        <v>0.169484</v>
      </c>
      <c r="X709">
        <v>0.9840565</v>
      </c>
      <c r="Y709">
        <v>2.0687690000000002E-2</v>
      </c>
      <c r="Z709">
        <v>-2.3208690000000001E-4</v>
      </c>
      <c r="AA709">
        <v>0.99978599999999995</v>
      </c>
      <c r="AB709">
        <v>38</v>
      </c>
      <c r="AC709">
        <v>97.056299999999993</v>
      </c>
      <c r="AD709">
        <v>-1.0600754759319999</v>
      </c>
      <c r="AE709">
        <v>-1.67970000000002</v>
      </c>
      <c r="AF709">
        <v>2.0164171635228398</v>
      </c>
      <c r="AG709">
        <v>-1.0600754759319999</v>
      </c>
      <c r="AH709">
        <v>97.038310504508402</v>
      </c>
      <c r="AI709">
        <v>90.6257562316774</v>
      </c>
      <c r="AJ709">
        <v>88.809588003968102</v>
      </c>
      <c r="AK709">
        <v>97.0650472815082</v>
      </c>
      <c r="AL709">
        <v>80.242180874161505</v>
      </c>
      <c r="AM709">
        <v>93.136631544183501</v>
      </c>
      <c r="AN709">
        <v>0.99999999643106097</v>
      </c>
    </row>
    <row r="710" spans="1:40" x14ac:dyDescent="0.25">
      <c r="A710" t="str">
        <f>"20190304155328663"</f>
        <v>20190304155328663</v>
      </c>
      <c r="B710" t="str">
        <f>"1551686008656694"</f>
        <v>1551686008656694</v>
      </c>
      <c r="C710" t="s">
        <v>40</v>
      </c>
      <c r="D710">
        <v>4.3406229999999999</v>
      </c>
      <c r="E710">
        <v>0.52668579999999998</v>
      </c>
      <c r="F710" t="s">
        <v>45</v>
      </c>
      <c r="G710">
        <v>-209.1071</v>
      </c>
      <c r="H710" s="1">
        <v>-5.6076770000000001E-6</v>
      </c>
      <c r="I710">
        <v>365.63729999999998</v>
      </c>
      <c r="J710">
        <v>-303.00740000000002</v>
      </c>
      <c r="K710">
        <v>1.060063</v>
      </c>
      <c r="L710">
        <v>367.23399999999998</v>
      </c>
      <c r="M710">
        <v>0.99992219999999998</v>
      </c>
      <c r="N710">
        <v>-1.1957499999999999E-2</v>
      </c>
      <c r="O710">
        <v>3.580017E-3</v>
      </c>
      <c r="P710">
        <v>0.98574030000000001</v>
      </c>
      <c r="Q710">
        <v>0.15825529999999999</v>
      </c>
      <c r="R710">
        <v>5.7199380000000001E-2</v>
      </c>
      <c r="S710">
        <v>3.0516969999999999</v>
      </c>
      <c r="T710">
        <v>-3.4312960000000003E-2</v>
      </c>
      <c r="U710">
        <v>-5.1635739999999999E-2</v>
      </c>
      <c r="V710">
        <v>-5.3710359999999999E-2</v>
      </c>
      <c r="W710">
        <v>0.17002110000000001</v>
      </c>
      <c r="X710">
        <v>0.98397559999999995</v>
      </c>
      <c r="Y710">
        <v>2.04949E-2</v>
      </c>
      <c r="Z710">
        <v>-2.3520750000000001E-4</v>
      </c>
      <c r="AA710">
        <v>0.99978999999999996</v>
      </c>
      <c r="AB710">
        <v>38</v>
      </c>
      <c r="AC710">
        <v>93.900300000000001</v>
      </c>
      <c r="AD710">
        <v>-1.0600686076770001</v>
      </c>
      <c r="AE710">
        <v>-1.59670000000005</v>
      </c>
      <c r="AF710">
        <v>1.9326321982180199</v>
      </c>
      <c r="AG710">
        <v>-1.0600686076770001</v>
      </c>
      <c r="AH710">
        <v>93.882019909680096</v>
      </c>
      <c r="AI710">
        <v>90.646790646846796</v>
      </c>
      <c r="AJ710">
        <v>88.820689726489206</v>
      </c>
      <c r="AK710">
        <v>93.907893571244301</v>
      </c>
      <c r="AL710">
        <v>80.210953938305707</v>
      </c>
      <c r="AM710">
        <v>93.124392535301894</v>
      </c>
      <c r="AN710">
        <v>0.99999997930594897</v>
      </c>
    </row>
    <row r="711" spans="1:40" x14ac:dyDescent="0.25">
      <c r="A711" t="str">
        <f>"20190304155328684"</f>
        <v>20190304155328684</v>
      </c>
      <c r="B711" t="str">
        <f>"1551686008676213"</f>
        <v>1551686008676213</v>
      </c>
      <c r="C711" t="s">
        <v>40</v>
      </c>
      <c r="D711">
        <v>4.4351390000000004</v>
      </c>
      <c r="E711">
        <v>0.52669140000000003</v>
      </c>
      <c r="F711" t="s">
        <v>45</v>
      </c>
      <c r="G711">
        <v>-206.07830000000001</v>
      </c>
      <c r="H711" s="1">
        <v>-4.3477989999999999E-6</v>
      </c>
      <c r="I711">
        <v>365.59980000000002</v>
      </c>
      <c r="J711">
        <v>-302.63729999999998</v>
      </c>
      <c r="K711">
        <v>1.0600620000000001</v>
      </c>
      <c r="L711">
        <v>367.23540000000003</v>
      </c>
      <c r="M711">
        <v>0.99992110000000001</v>
      </c>
      <c r="N711">
        <v>-1.200529E-2</v>
      </c>
      <c r="O711">
        <v>3.6860560000000001E-3</v>
      </c>
      <c r="P711">
        <v>0.98573449999999996</v>
      </c>
      <c r="Q711">
        <v>0.15842390000000001</v>
      </c>
      <c r="R711">
        <v>5.682599E-2</v>
      </c>
      <c r="S711">
        <v>3.051758</v>
      </c>
      <c r="T711">
        <v>-3.3375620000000002E-2</v>
      </c>
      <c r="U711">
        <v>-5.1452640000000001E-2</v>
      </c>
      <c r="V711">
        <v>-5.3232090000000003E-2</v>
      </c>
      <c r="W711">
        <v>0.17023679999999999</v>
      </c>
      <c r="X711">
        <v>0.98396430000000001</v>
      </c>
      <c r="Y711">
        <v>2.054071E-2</v>
      </c>
      <c r="Z711">
        <v>-2.3168860000000001E-4</v>
      </c>
      <c r="AA711">
        <v>0.99978900000000004</v>
      </c>
      <c r="AB711">
        <v>38</v>
      </c>
      <c r="AC711">
        <v>96.558999999999898</v>
      </c>
      <c r="AD711">
        <v>-1.060066347799</v>
      </c>
      <c r="AE711">
        <v>-1.6356000000000099</v>
      </c>
      <c r="AF711">
        <v>1.99129650008868</v>
      </c>
      <c r="AG711">
        <v>-1.060066347799</v>
      </c>
      <c r="AH711">
        <v>96.540682261019796</v>
      </c>
      <c r="AI711">
        <v>90.628978070925299</v>
      </c>
      <c r="AJ711">
        <v>88.818356092976302</v>
      </c>
      <c r="AK711">
        <v>96.567035440859399</v>
      </c>
      <c r="AL711">
        <v>80.198412447784506</v>
      </c>
      <c r="AM711">
        <v>93.096660908733597</v>
      </c>
      <c r="AN711">
        <v>0.99999998357724895</v>
      </c>
    </row>
    <row r="712" spans="1:40" x14ac:dyDescent="0.25">
      <c r="A712" t="str">
        <f>"20190304155328707"</f>
        <v>20190304155328707</v>
      </c>
      <c r="B712" t="str">
        <f>"1551686008696709"</f>
        <v>1551686008696709</v>
      </c>
      <c r="C712" t="s">
        <v>40</v>
      </c>
      <c r="D712">
        <v>4.3478260000000004</v>
      </c>
      <c r="E712">
        <v>0.5266016</v>
      </c>
      <c r="F712" t="s">
        <v>45</v>
      </c>
      <c r="G712">
        <v>-206.87110000000001</v>
      </c>
      <c r="H712" s="1">
        <v>-4.7181429999999999E-6</v>
      </c>
      <c r="I712">
        <v>365.59500000000003</v>
      </c>
      <c r="J712">
        <v>-302.25229999999999</v>
      </c>
      <c r="K712">
        <v>1.060055</v>
      </c>
      <c r="L712">
        <v>367.23689999999999</v>
      </c>
      <c r="M712">
        <v>0.99992020000000004</v>
      </c>
      <c r="N712">
        <v>-1.205062E-2</v>
      </c>
      <c r="O712">
        <v>3.7966979999999998E-3</v>
      </c>
      <c r="P712">
        <v>0.98568270000000002</v>
      </c>
      <c r="Q712">
        <v>0.15879550000000001</v>
      </c>
      <c r="R712">
        <v>5.6688599999999999E-2</v>
      </c>
      <c r="S712">
        <v>3.0518489999999998</v>
      </c>
      <c r="T712">
        <v>-3.3781890000000002E-2</v>
      </c>
      <c r="U712">
        <v>-5.2276610000000001E-2</v>
      </c>
      <c r="V712">
        <v>-5.2985190000000001E-2</v>
      </c>
      <c r="W712">
        <v>0.1706521</v>
      </c>
      <c r="X712">
        <v>0.98390569999999999</v>
      </c>
      <c r="Y712">
        <v>2.0920589999999999E-2</v>
      </c>
      <c r="Z712">
        <v>-2.3812320000000001E-4</v>
      </c>
      <c r="AA712">
        <v>0.99978109999999998</v>
      </c>
      <c r="AB712">
        <v>38</v>
      </c>
      <c r="AC712">
        <v>95.381199999999893</v>
      </c>
      <c r="AD712">
        <v>-1.060059718143</v>
      </c>
      <c r="AE712">
        <v>-1.6418999999999599</v>
      </c>
      <c r="AF712">
        <v>2.0038006306120999</v>
      </c>
      <c r="AG712">
        <v>-1.060059718143</v>
      </c>
      <c r="AH712">
        <v>95.362502563034894</v>
      </c>
      <c r="AI712">
        <v>90.636739204887206</v>
      </c>
      <c r="AJ712">
        <v>88.796251949052404</v>
      </c>
      <c r="AK712">
        <v>95.389443014717898</v>
      </c>
      <c r="AL712">
        <v>80.174264298456904</v>
      </c>
      <c r="AM712">
        <v>93.082509023670696</v>
      </c>
      <c r="AN712">
        <v>0.99999999804311701</v>
      </c>
    </row>
    <row r="713" spans="1:40" x14ac:dyDescent="0.25">
      <c r="A713" t="str">
        <f>"20190304155328728"</f>
        <v>20190304155328728</v>
      </c>
      <c r="B713" t="str">
        <f>"1551686008726672"</f>
        <v>1551686008726672</v>
      </c>
      <c r="C713" t="s">
        <v>40</v>
      </c>
      <c r="D713">
        <v>4.3379940000000001</v>
      </c>
      <c r="E713">
        <v>0.52652529999999997</v>
      </c>
      <c r="F713" t="s">
        <v>45</v>
      </c>
      <c r="G713">
        <v>-205.0556</v>
      </c>
      <c r="H713" s="1">
        <v>-3.8753949999999998E-6</v>
      </c>
      <c r="I713">
        <v>365.58170000000001</v>
      </c>
      <c r="J713">
        <v>-301.88400000000001</v>
      </c>
      <c r="K713">
        <v>1.0600510000000001</v>
      </c>
      <c r="L713">
        <v>367.23840000000001</v>
      </c>
      <c r="M713">
        <v>0.99991940000000001</v>
      </c>
      <c r="N713">
        <v>-1.2094580000000001E-2</v>
      </c>
      <c r="O713">
        <v>3.9037910000000002E-3</v>
      </c>
      <c r="P713">
        <v>0.98557479999999997</v>
      </c>
      <c r="Q713">
        <v>0.15943589999999999</v>
      </c>
      <c r="R713">
        <v>5.6766549999999999E-2</v>
      </c>
      <c r="S713">
        <v>3.0519099999999999</v>
      </c>
      <c r="T713">
        <v>-3.3285139999999998E-2</v>
      </c>
      <c r="U713">
        <v>-5.1971440000000001E-2</v>
      </c>
      <c r="V713">
        <v>-5.2958640000000001E-2</v>
      </c>
      <c r="W713">
        <v>0.17133480000000001</v>
      </c>
      <c r="X713">
        <v>0.98378849999999995</v>
      </c>
      <c r="Y713">
        <v>2.092743E-2</v>
      </c>
      <c r="Z713">
        <v>-2.3604410000000001E-4</v>
      </c>
      <c r="AA713">
        <v>0.99978100000000003</v>
      </c>
      <c r="AB713">
        <v>38</v>
      </c>
      <c r="AC713">
        <v>96.828400000000002</v>
      </c>
      <c r="AD713">
        <v>-1.0600548753949901</v>
      </c>
      <c r="AE713">
        <v>-1.6567000000000001</v>
      </c>
      <c r="AF713">
        <v>2.0344690318829901</v>
      </c>
      <c r="AG713">
        <v>-1.0600548753949901</v>
      </c>
      <c r="AH713">
        <v>96.809594609172294</v>
      </c>
      <c r="AI713">
        <v>90.627219209582194</v>
      </c>
      <c r="AJ713">
        <v>88.796097286929594</v>
      </c>
      <c r="AK713">
        <v>96.836771884304397</v>
      </c>
      <c r="AL713">
        <v>80.134564004557305</v>
      </c>
      <c r="AM713">
        <v>93.081333738430402</v>
      </c>
      <c r="AN713">
        <v>1.00000002198696</v>
      </c>
    </row>
    <row r="714" spans="1:40" x14ac:dyDescent="0.25">
      <c r="A714" t="str">
        <f>"20190304155328752"</f>
        <v>20190304155328752</v>
      </c>
      <c r="B714" t="str">
        <f>"1551686008746193"</f>
        <v>1551686008746193</v>
      </c>
      <c r="C714" t="s">
        <v>40</v>
      </c>
      <c r="D714">
        <v>4.3660399999999999</v>
      </c>
      <c r="E714">
        <v>0.52643600000000002</v>
      </c>
      <c r="F714" t="s">
        <v>45</v>
      </c>
      <c r="G714">
        <v>-203.35319999999999</v>
      </c>
      <c r="H714" s="1">
        <v>-3.0195559999999999E-6</v>
      </c>
      <c r="I714">
        <v>365.58730000000003</v>
      </c>
      <c r="J714">
        <v>-301.49529999999999</v>
      </c>
      <c r="K714">
        <v>1.060052</v>
      </c>
      <c r="L714">
        <v>367.24009999999998</v>
      </c>
      <c r="M714">
        <v>0.99991830000000004</v>
      </c>
      <c r="N714">
        <v>-1.2143670000000001E-2</v>
      </c>
      <c r="O714">
        <v>4.0197660000000001E-3</v>
      </c>
      <c r="P714">
        <v>0.98560990000000004</v>
      </c>
      <c r="Q714">
        <v>0.15913749999999999</v>
      </c>
      <c r="R714">
        <v>5.6997569999999997E-2</v>
      </c>
      <c r="S714">
        <v>3.0521850000000001</v>
      </c>
      <c r="T714">
        <v>-3.2837270000000002E-2</v>
      </c>
      <c r="U714">
        <v>-5.1147459999999999E-2</v>
      </c>
      <c r="V714">
        <v>-5.3076859999999997E-2</v>
      </c>
      <c r="W714">
        <v>0.17108480000000001</v>
      </c>
      <c r="X714">
        <v>0.98382559999999997</v>
      </c>
      <c r="Y714">
        <v>2.0772100000000002E-2</v>
      </c>
      <c r="Z714">
        <v>-2.3230460000000001E-4</v>
      </c>
      <c r="AA714">
        <v>0.99978420000000001</v>
      </c>
      <c r="AB714">
        <v>38</v>
      </c>
      <c r="AC714">
        <v>98.142099999999999</v>
      </c>
      <c r="AD714">
        <v>-1.0600550195559999</v>
      </c>
      <c r="AE714">
        <v>-1.6527999999999501</v>
      </c>
      <c r="AF714">
        <v>2.0470852086866</v>
      </c>
      <c r="AG714">
        <v>-1.0600550195559999</v>
      </c>
      <c r="AH714">
        <v>98.123218160825601</v>
      </c>
      <c r="AI714">
        <v>90.6188250389974</v>
      </c>
      <c r="AJ714">
        <v>88.804846262845302</v>
      </c>
      <c r="AK714">
        <v>98.150294022652204</v>
      </c>
      <c r="AL714">
        <v>80.149102264987803</v>
      </c>
      <c r="AM714">
        <v>93.088082694850996</v>
      </c>
      <c r="AN714">
        <v>0.99999998653692901</v>
      </c>
    </row>
    <row r="715" spans="1:40" x14ac:dyDescent="0.25">
      <c r="A715" t="str">
        <f>"20190304155328774"</f>
        <v>20190304155328774</v>
      </c>
      <c r="B715" t="str">
        <f>"1551686008766689"</f>
        <v>1551686008766689</v>
      </c>
      <c r="C715" t="s">
        <v>40</v>
      </c>
      <c r="D715">
        <v>4.3086929999999999</v>
      </c>
      <c r="E715">
        <v>0.52633909999999995</v>
      </c>
      <c r="F715" t="s">
        <v>45</v>
      </c>
      <c r="G715">
        <v>-207.5172</v>
      </c>
      <c r="H715" s="1">
        <v>-4.9937710000000002E-6</v>
      </c>
      <c r="I715">
        <v>365.70940000000002</v>
      </c>
      <c r="J715">
        <v>-301.11810000000003</v>
      </c>
      <c r="K715">
        <v>1.0600540000000001</v>
      </c>
      <c r="L715">
        <v>367.24169999999998</v>
      </c>
      <c r="M715">
        <v>0.99991730000000001</v>
      </c>
      <c r="N715">
        <v>-1.21928E-2</v>
      </c>
      <c r="O715">
        <v>4.1340889999999996E-3</v>
      </c>
      <c r="P715">
        <v>0.98553690000000005</v>
      </c>
      <c r="Q715">
        <v>0.15949279999999999</v>
      </c>
      <c r="R715">
        <v>5.7266190000000002E-2</v>
      </c>
      <c r="S715">
        <v>3.0522459999999998</v>
      </c>
      <c r="T715">
        <v>-3.4428830000000001E-2</v>
      </c>
      <c r="U715">
        <v>-4.9713130000000001E-2</v>
      </c>
      <c r="V715">
        <v>-5.3234459999999997E-2</v>
      </c>
      <c r="W715">
        <v>0.17148649999999999</v>
      </c>
      <c r="X715">
        <v>0.98374720000000004</v>
      </c>
      <c r="Y715">
        <v>2.0416239999999999E-2</v>
      </c>
      <c r="Z715">
        <v>-2.358444E-4</v>
      </c>
      <c r="AA715">
        <v>0.9997916</v>
      </c>
      <c r="AB715">
        <v>38</v>
      </c>
      <c r="AC715">
        <v>93.600899999999996</v>
      </c>
      <c r="AD715">
        <v>-1.0600589937710001</v>
      </c>
      <c r="AE715">
        <v>-1.53229999999996</v>
      </c>
      <c r="AF715">
        <v>1.9190239783423999</v>
      </c>
      <c r="AG715">
        <v>-1.0600589937710001</v>
      </c>
      <c r="AH715">
        <v>93.581765067431405</v>
      </c>
      <c r="AI715">
        <v>90.648860855325296</v>
      </c>
      <c r="AJ715">
        <v>88.8252351672147</v>
      </c>
      <c r="AK715">
        <v>93.607441644538397</v>
      </c>
      <c r="AL715">
        <v>80.125741845642395</v>
      </c>
      <c r="AM715">
        <v>93.097480601798495</v>
      </c>
      <c r="AN715">
        <v>1.0000000404607901</v>
      </c>
    </row>
    <row r="716" spans="1:40" x14ac:dyDescent="0.25">
      <c r="A716" t="str">
        <f>"20190304155328795"</f>
        <v>20190304155328795</v>
      </c>
      <c r="B716" t="str">
        <f>"1551686008786208"</f>
        <v>1551686008786208</v>
      </c>
      <c r="C716" t="s">
        <v>40</v>
      </c>
      <c r="D716">
        <v>4.3869309999999997</v>
      </c>
      <c r="E716">
        <v>0.52627000000000002</v>
      </c>
      <c r="F716" t="s">
        <v>45</v>
      </c>
      <c r="G716">
        <v>-206.94909999999999</v>
      </c>
      <c r="H716" s="1">
        <v>-4.7183299999999998E-6</v>
      </c>
      <c r="I716">
        <v>365.75790000000001</v>
      </c>
      <c r="J716">
        <v>-300.74970000000002</v>
      </c>
      <c r="K716">
        <v>1.0600579999999999</v>
      </c>
      <c r="L716">
        <v>367.24340000000001</v>
      </c>
      <c r="M716">
        <v>0.99991609999999997</v>
      </c>
      <c r="N716">
        <v>-1.224392E-2</v>
      </c>
      <c r="O716">
        <v>4.243363E-3</v>
      </c>
      <c r="P716">
        <v>0.98557709999999998</v>
      </c>
      <c r="Q716">
        <v>0.15907779999999999</v>
      </c>
      <c r="R716">
        <v>5.772476E-2</v>
      </c>
      <c r="S716">
        <v>3.0524290000000001</v>
      </c>
      <c r="T716">
        <v>-3.4361120000000002E-2</v>
      </c>
      <c r="U716">
        <v>-4.8095699999999998E-2</v>
      </c>
      <c r="V716">
        <v>-5.3586429999999997E-2</v>
      </c>
      <c r="W716">
        <v>0.17112239999999901</v>
      </c>
      <c r="X716">
        <v>0.98379150000000004</v>
      </c>
      <c r="Y716">
        <v>1.9994950000000001E-2</v>
      </c>
      <c r="Z716">
        <v>-2.307686E-4</v>
      </c>
      <c r="AA716">
        <v>0.99980000000000002</v>
      </c>
      <c r="AB716">
        <v>38</v>
      </c>
      <c r="AC716">
        <v>93.800600000000003</v>
      </c>
      <c r="AD716">
        <v>-1.06006271833</v>
      </c>
      <c r="AE716">
        <v>-1.4855</v>
      </c>
      <c r="AF716">
        <v>1.8833059608387399</v>
      </c>
      <c r="AG716">
        <v>-1.06006271833</v>
      </c>
      <c r="AH716">
        <v>93.781476815603696</v>
      </c>
      <c r="AI716">
        <v>90.647487045977002</v>
      </c>
      <c r="AJ716">
        <v>88.849549134281801</v>
      </c>
      <c r="AK716">
        <v>93.806374879453301</v>
      </c>
      <c r="AL716">
        <v>80.146916313739595</v>
      </c>
      <c r="AM716">
        <v>93.117779800723795</v>
      </c>
      <c r="AN716">
        <v>1.0000000483670699</v>
      </c>
    </row>
    <row r="717" spans="1:40" x14ac:dyDescent="0.25">
      <c r="A717" t="str">
        <f>"20190304155328820"</f>
        <v>20190304155328820</v>
      </c>
      <c r="B717" t="str">
        <f>"1551686008816464"</f>
        <v>1551686008816464</v>
      </c>
      <c r="C717" t="s">
        <v>40</v>
      </c>
      <c r="D717">
        <v>4.3961110000000003</v>
      </c>
      <c r="E717">
        <v>0.52615829999999997</v>
      </c>
      <c r="F717" t="s">
        <v>46</v>
      </c>
      <c r="G717">
        <v>-212.20679999999999</v>
      </c>
      <c r="H717" s="1">
        <v>-3.985846E-6</v>
      </c>
      <c r="I717">
        <v>365.89429999999999</v>
      </c>
      <c r="J717">
        <v>-300.33859999999999</v>
      </c>
      <c r="K717">
        <v>1.0600560000000001</v>
      </c>
      <c r="L717">
        <v>367.24529999999999</v>
      </c>
      <c r="M717">
        <v>0.99991479999999999</v>
      </c>
      <c r="N717">
        <v>-1.2303369999999999E-2</v>
      </c>
      <c r="O717">
        <v>4.3592290000000001E-3</v>
      </c>
      <c r="P717">
        <v>0.98559350000000001</v>
      </c>
      <c r="Q717">
        <v>0.15879489999999999</v>
      </c>
      <c r="R717">
        <v>5.8219550000000002E-2</v>
      </c>
      <c r="S717">
        <v>3.0524900000000001</v>
      </c>
      <c r="T717">
        <v>-3.6545279999999999E-2</v>
      </c>
      <c r="U717">
        <v>-4.6508790000000001E-2</v>
      </c>
      <c r="V717">
        <v>-5.396666E-2</v>
      </c>
      <c r="W717">
        <v>0.17089779999999999</v>
      </c>
      <c r="X717">
        <v>0.98380970000000001</v>
      </c>
      <c r="Y717">
        <v>1.9590639999999999E-2</v>
      </c>
      <c r="Z717">
        <v>-2.3635050000000001E-4</v>
      </c>
      <c r="AA717">
        <v>0.99980809999999998</v>
      </c>
      <c r="AB717">
        <v>38</v>
      </c>
      <c r="AC717">
        <v>88.131799999999998</v>
      </c>
      <c r="AD717">
        <v>-1.06005998584599</v>
      </c>
      <c r="AE717">
        <v>-1.35099999999999</v>
      </c>
      <c r="AF717">
        <v>1.7349519977908501</v>
      </c>
      <c r="AG717">
        <v>-1.06005998584599</v>
      </c>
      <c r="AH717">
        <v>88.1123280079333</v>
      </c>
      <c r="AI717">
        <v>90.689146066239502</v>
      </c>
      <c r="AJ717">
        <v>88.871978692421294</v>
      </c>
      <c r="AK717">
        <v>88.135782362136297</v>
      </c>
      <c r="AL717">
        <v>80.159976784710594</v>
      </c>
      <c r="AM717">
        <v>93.139800363737393</v>
      </c>
      <c r="AN717">
        <v>0.99999999212524204</v>
      </c>
    </row>
    <row r="718" spans="1:40" x14ac:dyDescent="0.25">
      <c r="A718" t="str">
        <f>"20190304155328853"</f>
        <v>20190304155328853</v>
      </c>
      <c r="B718" t="str">
        <f>"1551686008846720"</f>
        <v>1551686008846720</v>
      </c>
      <c r="C718" t="s">
        <v>40</v>
      </c>
      <c r="D718">
        <v>4.3937049999999997</v>
      </c>
      <c r="E718">
        <v>0.52600429999999998</v>
      </c>
      <c r="F718" t="s">
        <v>46</v>
      </c>
      <c r="G718">
        <v>-216.50219999999999</v>
      </c>
      <c r="H718" s="1">
        <v>-2.1335369999999999E-6</v>
      </c>
      <c r="I718">
        <v>366.01909999999998</v>
      </c>
      <c r="J718">
        <v>-299.77940000000001</v>
      </c>
      <c r="K718">
        <v>1.0600579999999999</v>
      </c>
      <c r="L718">
        <v>367.24790000000002</v>
      </c>
      <c r="M718">
        <v>0.99991319999999995</v>
      </c>
      <c r="N718">
        <v>-1.239094E-2</v>
      </c>
      <c r="O718">
        <v>4.5047000000000004E-3</v>
      </c>
      <c r="P718">
        <v>0.98566410000000004</v>
      </c>
      <c r="Q718">
        <v>0.15831500000000001</v>
      </c>
      <c r="R718">
        <v>5.8335659999999998E-2</v>
      </c>
      <c r="S718">
        <v>3.0527039999999999</v>
      </c>
      <c r="T718">
        <v>-3.859949E-2</v>
      </c>
      <c r="U718">
        <v>-4.4647220000000001E-2</v>
      </c>
      <c r="V718">
        <v>-5.3938489999999999E-2</v>
      </c>
      <c r="W718">
        <v>0.1705055</v>
      </c>
      <c r="X718">
        <v>0.98387930000000001</v>
      </c>
      <c r="Y718">
        <v>1.912529E-2</v>
      </c>
      <c r="Z718">
        <v>-2.405505E-4</v>
      </c>
      <c r="AA718">
        <v>0.99981710000000001</v>
      </c>
      <c r="AB718">
        <v>38</v>
      </c>
      <c r="AC718">
        <v>83.277199999999993</v>
      </c>
      <c r="AD718">
        <v>-1.0600601335369999</v>
      </c>
      <c r="AE718">
        <v>-1.2288000000000301</v>
      </c>
      <c r="AF718">
        <v>1.6036952928183099</v>
      </c>
      <c r="AG718">
        <v>-1.0600601335369999</v>
      </c>
      <c r="AH718">
        <v>83.257331459319502</v>
      </c>
      <c r="AI718">
        <v>90.729334299737403</v>
      </c>
      <c r="AJ718">
        <v>88.896510264448395</v>
      </c>
      <c r="AK718">
        <v>83.279522139634693</v>
      </c>
      <c r="AL718">
        <v>80.182788631436196</v>
      </c>
      <c r="AM718">
        <v>93.137943147992303</v>
      </c>
      <c r="AN718">
        <v>0.99999998160110903</v>
      </c>
    </row>
    <row r="719" spans="1:40" x14ac:dyDescent="0.25">
      <c r="A719" t="str">
        <f>"20190304155328876"</f>
        <v>20190304155328876</v>
      </c>
      <c r="B719" t="str">
        <f>"1551686008866240"</f>
        <v>1551686008866240</v>
      </c>
      <c r="C719" t="s">
        <v>40</v>
      </c>
      <c r="D719">
        <v>4.4216959999999998</v>
      </c>
      <c r="E719">
        <v>0.5258988</v>
      </c>
      <c r="F719" t="s">
        <v>46</v>
      </c>
      <c r="G719">
        <v>-221.2637</v>
      </c>
      <c r="H719" s="1">
        <v>-4.3449590000000003E-6</v>
      </c>
      <c r="I719">
        <v>366.15050000000002</v>
      </c>
      <c r="J719">
        <v>-299.39980000000003</v>
      </c>
      <c r="K719">
        <v>1.060068</v>
      </c>
      <c r="L719">
        <v>367.24970000000002</v>
      </c>
      <c r="M719">
        <v>0.99991180000000002</v>
      </c>
      <c r="N719">
        <v>-1.2458220000000001E-2</v>
      </c>
      <c r="O719">
        <v>4.6014430000000002E-3</v>
      </c>
      <c r="P719">
        <v>0.98565939999999996</v>
      </c>
      <c r="Q719">
        <v>0.1581727</v>
      </c>
      <c r="R719">
        <v>5.8798429999999999E-2</v>
      </c>
      <c r="S719">
        <v>3.0527340000000001</v>
      </c>
      <c r="T719">
        <v>-4.121578E-2</v>
      </c>
      <c r="U719">
        <v>-4.2663569999999998E-2</v>
      </c>
      <c r="V719">
        <v>-5.4303730000000001E-2</v>
      </c>
      <c r="W719">
        <v>0.1704299</v>
      </c>
      <c r="X719">
        <v>0.98387239999999998</v>
      </c>
      <c r="Y719">
        <v>1.8572109999999999E-2</v>
      </c>
      <c r="Z719">
        <v>-2.4586470000000001E-4</v>
      </c>
      <c r="AA719">
        <v>0.99982749999999998</v>
      </c>
      <c r="AB719">
        <v>38</v>
      </c>
      <c r="AC719">
        <v>78.136099999999999</v>
      </c>
      <c r="AD719">
        <v>-1.0600723449589999</v>
      </c>
      <c r="AE719">
        <v>-1.09919999999999</v>
      </c>
      <c r="AF719">
        <v>1.45848667758979</v>
      </c>
      <c r="AG719">
        <v>-1.0600723449589999</v>
      </c>
      <c r="AH719">
        <v>78.115838944217799</v>
      </c>
      <c r="AI719">
        <v>90.777350179820601</v>
      </c>
      <c r="AJ719">
        <v>88.9303651601506</v>
      </c>
      <c r="AK719">
        <v>78.136644608814805</v>
      </c>
      <c r="AL719">
        <v>80.187185436834497</v>
      </c>
      <c r="AM719">
        <v>93.159170684736495</v>
      </c>
      <c r="AN719">
        <v>1.0000000726938301</v>
      </c>
    </row>
    <row r="720" spans="1:40" x14ac:dyDescent="0.25">
      <c r="A720" t="str">
        <f>"20190304155328896"</f>
        <v>20190304155328896</v>
      </c>
      <c r="B720" t="str">
        <f>"1551686008886736"</f>
        <v>1551686008886736</v>
      </c>
      <c r="C720" t="s">
        <v>40</v>
      </c>
      <c r="D720">
        <v>4.469068</v>
      </c>
      <c r="E720">
        <v>0.52583899999999995</v>
      </c>
      <c r="F720" t="s">
        <v>46</v>
      </c>
      <c r="G720">
        <v>-223.18109999999999</v>
      </c>
      <c r="H720" s="1">
        <v>-3.505542E-6</v>
      </c>
      <c r="I720">
        <v>366.24549999999999</v>
      </c>
      <c r="J720">
        <v>-299.04399999999998</v>
      </c>
      <c r="K720">
        <v>1.060071</v>
      </c>
      <c r="L720">
        <v>367.25150000000002</v>
      </c>
      <c r="M720">
        <v>0.99991070000000004</v>
      </c>
      <c r="N720">
        <v>-1.252733E-2</v>
      </c>
      <c r="O720">
        <v>4.6972999999999997E-3</v>
      </c>
      <c r="P720">
        <v>0.98565159999999996</v>
      </c>
      <c r="Q720">
        <v>0.1582151</v>
      </c>
      <c r="R720">
        <v>5.8814619999999998E-2</v>
      </c>
      <c r="S720">
        <v>3.0528559999999998</v>
      </c>
      <c r="T720">
        <v>-4.2459959999999998E-2</v>
      </c>
      <c r="U720">
        <v>-4.0222170000000002E-2</v>
      </c>
      <c r="V720">
        <v>-5.4223390000000003E-2</v>
      </c>
      <c r="W720">
        <v>0.17054129999999901</v>
      </c>
      <c r="X720">
        <v>0.98385750000000005</v>
      </c>
      <c r="Y720">
        <v>1.7867939999999999E-2</v>
      </c>
      <c r="Z720">
        <v>-2.426649E-4</v>
      </c>
      <c r="AA720">
        <v>0.99984030000000002</v>
      </c>
      <c r="AB720">
        <v>38</v>
      </c>
      <c r="AC720">
        <v>75.862899999999996</v>
      </c>
      <c r="AD720">
        <v>-1.060074505542</v>
      </c>
      <c r="AE720">
        <v>-1.00600000000002</v>
      </c>
      <c r="AF720">
        <v>1.3621016748819299</v>
      </c>
      <c r="AG720">
        <v>-1.060074505542</v>
      </c>
      <c r="AH720">
        <v>75.842530637575194</v>
      </c>
      <c r="AI720">
        <v>90.800659585267397</v>
      </c>
      <c r="AJ720">
        <v>88.971101209474099</v>
      </c>
      <c r="AK720">
        <v>75.862167991967894</v>
      </c>
      <c r="AL720">
        <v>80.180707588777196</v>
      </c>
      <c r="AM720">
        <v>93.154553952576293</v>
      </c>
      <c r="AN720">
        <v>1.00000004566751</v>
      </c>
    </row>
    <row r="721" spans="1:40" x14ac:dyDescent="0.25">
      <c r="A721" t="str">
        <f>"20190304155328918"</f>
        <v>20190304155328918</v>
      </c>
      <c r="B721" t="str">
        <f>"1551686008906257"</f>
        <v>1551686008906257</v>
      </c>
      <c r="C721" t="s">
        <v>40</v>
      </c>
      <c r="D721">
        <v>4.4768140000000001</v>
      </c>
      <c r="E721">
        <v>0.52579699999999996</v>
      </c>
      <c r="F721" t="s">
        <v>46</v>
      </c>
      <c r="G721">
        <v>-224.08969999999999</v>
      </c>
      <c r="H721" s="1">
        <v>-3.1094330000000001E-6</v>
      </c>
      <c r="I721">
        <v>366.28109999999998</v>
      </c>
      <c r="J721">
        <v>-298.66370000000001</v>
      </c>
      <c r="K721">
        <v>1.0600670000000001</v>
      </c>
      <c r="L721">
        <v>367.2534</v>
      </c>
      <c r="M721">
        <v>0.99990900000000005</v>
      </c>
      <c r="N721">
        <v>-1.261191E-2</v>
      </c>
      <c r="O721">
        <v>4.8046139999999996E-3</v>
      </c>
      <c r="P721">
        <v>0.98567009999999999</v>
      </c>
      <c r="Q721">
        <v>0.15813099999999999</v>
      </c>
      <c r="R721">
        <v>5.8730539999999998E-2</v>
      </c>
      <c r="S721">
        <v>3.0529480000000002</v>
      </c>
      <c r="T721">
        <v>-4.3177599999999997E-2</v>
      </c>
      <c r="U721">
        <v>-3.9520260000000001E-2</v>
      </c>
      <c r="V721">
        <v>-5.4030559999999998E-2</v>
      </c>
      <c r="W721">
        <v>0.17054169999999999</v>
      </c>
      <c r="X721">
        <v>0.98386799999999996</v>
      </c>
      <c r="Y721">
        <v>1.7744949999999999E-2</v>
      </c>
      <c r="Z721">
        <v>-2.4474050000000003E-4</v>
      </c>
      <c r="AA721">
        <v>0.99984249999999997</v>
      </c>
      <c r="AB721">
        <v>38</v>
      </c>
      <c r="AC721">
        <v>74.573999999999998</v>
      </c>
      <c r="AD721">
        <v>-1.0600701094329901</v>
      </c>
      <c r="AE721">
        <v>-0.97230000000001804</v>
      </c>
      <c r="AF721">
        <v>1.3303477587299899</v>
      </c>
      <c r="AG721">
        <v>-1.0600701094329901</v>
      </c>
      <c r="AH721">
        <v>74.553405031384301</v>
      </c>
      <c r="AI721">
        <v>90.814500488739696</v>
      </c>
      <c r="AJ721">
        <v>88.977709695179698</v>
      </c>
      <c r="AK721">
        <v>74.572808553585503</v>
      </c>
      <c r="AL721">
        <v>80.180683947655496</v>
      </c>
      <c r="AM721">
        <v>93.143324739795702</v>
      </c>
      <c r="AN721">
        <v>1.0000000071384001</v>
      </c>
    </row>
    <row r="722" spans="1:40" x14ac:dyDescent="0.25">
      <c r="A722" t="str">
        <f>"20190304155328940"</f>
        <v>20190304155328940</v>
      </c>
      <c r="B722" t="str">
        <f>"1551686008936513"</f>
        <v>1551686008936513</v>
      </c>
      <c r="C722" t="s">
        <v>40</v>
      </c>
      <c r="D722">
        <v>4.4128379999999998</v>
      </c>
      <c r="E722">
        <v>0.52568230000000005</v>
      </c>
      <c r="F722" t="s">
        <v>46</v>
      </c>
      <c r="G722">
        <v>-225.36580000000001</v>
      </c>
      <c r="H722" s="1">
        <v>-2.5579889999999998E-6</v>
      </c>
      <c r="I722">
        <v>366.30380000000002</v>
      </c>
      <c r="J722">
        <v>-298.29140000000001</v>
      </c>
      <c r="K722">
        <v>1.0600830000000001</v>
      </c>
      <c r="L722">
        <v>367.25529999999998</v>
      </c>
      <c r="M722">
        <v>0.99990730000000005</v>
      </c>
      <c r="N722">
        <v>-1.27049E-2</v>
      </c>
      <c r="O722">
        <v>4.9106000000000002E-3</v>
      </c>
      <c r="P722">
        <v>0.98567360000000004</v>
      </c>
      <c r="Q722">
        <v>0.15817419999999999</v>
      </c>
      <c r="R722">
        <v>5.8553239999999999E-2</v>
      </c>
      <c r="S722">
        <v>3.0530089999999999</v>
      </c>
      <c r="T722">
        <v>-4.415405E-2</v>
      </c>
      <c r="U722">
        <v>-3.9550780000000001E-2</v>
      </c>
      <c r="V722">
        <v>-5.374686E-2</v>
      </c>
      <c r="W722">
        <v>0.170677</v>
      </c>
      <c r="X722">
        <v>0.98386010000000002</v>
      </c>
      <c r="Y722">
        <v>1.7860520000000001E-2</v>
      </c>
      <c r="Z722">
        <v>-2.512452E-4</v>
      </c>
      <c r="AA722">
        <v>0.99984039999999996</v>
      </c>
      <c r="AB722">
        <v>38</v>
      </c>
      <c r="AC722">
        <v>72.925600000000003</v>
      </c>
      <c r="AD722">
        <v>-1.0600855579889901</v>
      </c>
      <c r="AE722">
        <v>-0.95149999999995305</v>
      </c>
      <c r="AF722">
        <v>1.30934922548926</v>
      </c>
      <c r="AG722">
        <v>-1.0600855579889901</v>
      </c>
      <c r="AH722">
        <v>72.904644855557507</v>
      </c>
      <c r="AI722">
        <v>90.832928507341506</v>
      </c>
      <c r="AJ722">
        <v>88.971092716349105</v>
      </c>
      <c r="AK722">
        <v>72.924107250617197</v>
      </c>
      <c r="AL722">
        <v>80.172816707055901</v>
      </c>
      <c r="AM722">
        <v>93.126877878462906</v>
      </c>
      <c r="AN722">
        <v>1.0000000298304299</v>
      </c>
    </row>
    <row r="723" spans="1:40" x14ac:dyDescent="0.25">
      <c r="A723" t="str">
        <f>"20190304155328963"</f>
        <v>20190304155328963</v>
      </c>
      <c r="B723" t="str">
        <f>"1551686008956033"</f>
        <v>1551686008956033</v>
      </c>
      <c r="C723" t="s">
        <v>40</v>
      </c>
      <c r="D723">
        <v>4.4350829999999997</v>
      </c>
      <c r="E723">
        <v>0.52559659999999997</v>
      </c>
      <c r="F723" t="s">
        <v>46</v>
      </c>
      <c r="G723">
        <v>-226.16309999999999</v>
      </c>
      <c r="H723" s="1">
        <v>-2.2123969999999999E-6</v>
      </c>
      <c r="I723">
        <v>366.32380000000001</v>
      </c>
      <c r="J723">
        <v>-297.90870000000001</v>
      </c>
      <c r="K723">
        <v>1.0601039999999999</v>
      </c>
      <c r="L723">
        <v>367.25729999999999</v>
      </c>
      <c r="M723">
        <v>0.9999055</v>
      </c>
      <c r="N723">
        <v>-1.280733E-2</v>
      </c>
      <c r="O723">
        <v>5.0163919999999997E-3</v>
      </c>
      <c r="P723">
        <v>0.98567349999999998</v>
      </c>
      <c r="Q723">
        <v>0.15819949999999999</v>
      </c>
      <c r="R723">
        <v>5.8488850000000002E-2</v>
      </c>
      <c r="S723">
        <v>3.0531619999999999</v>
      </c>
      <c r="T723">
        <v>-4.4872879999999997E-2</v>
      </c>
      <c r="U723">
        <v>-3.9428709999999999E-2</v>
      </c>
      <c r="V723">
        <v>-5.3577720000000002E-2</v>
      </c>
      <c r="W723">
        <v>0.17080339999999999</v>
      </c>
      <c r="X723">
        <v>0.98384740000000004</v>
      </c>
      <c r="Y723">
        <v>1.792558E-2</v>
      </c>
      <c r="Z723">
        <v>-2.5599999999999999E-4</v>
      </c>
      <c r="AA723">
        <v>0.99983929999999999</v>
      </c>
      <c r="AB723">
        <v>38</v>
      </c>
      <c r="AC723">
        <v>71.745599999999996</v>
      </c>
      <c r="AD723">
        <v>-1.060106212397</v>
      </c>
      <c r="AE723">
        <v>-0.93349999999998001</v>
      </c>
      <c r="AF723">
        <v>1.29313951111237</v>
      </c>
      <c r="AG723">
        <v>-1.060106212397</v>
      </c>
      <c r="AH723">
        <v>71.724357210074601</v>
      </c>
      <c r="AI723">
        <v>90.846648536788607</v>
      </c>
      <c r="AJ723">
        <v>88.967109461638799</v>
      </c>
      <c r="AK723">
        <v>71.743846092714705</v>
      </c>
      <c r="AL723">
        <v>80.165466693369396</v>
      </c>
      <c r="AM723">
        <v>93.117097265520499</v>
      </c>
      <c r="AN723">
        <v>1.0000000400093501</v>
      </c>
    </row>
    <row r="724" spans="1:40" x14ac:dyDescent="0.25">
      <c r="A724" t="str">
        <f>"20190304155328985"</f>
        <v>20190304155328985</v>
      </c>
      <c r="B724" t="str">
        <f>"1551686008976529"</f>
        <v>1551686008976529</v>
      </c>
      <c r="C724" t="s">
        <v>40</v>
      </c>
      <c r="D724">
        <v>4.4520999999999997</v>
      </c>
      <c r="E724">
        <v>0.52550580000000002</v>
      </c>
      <c r="F724" t="s">
        <v>46</v>
      </c>
      <c r="G724">
        <v>-226.56460000000001</v>
      </c>
      <c r="H724" s="1">
        <v>-2.0370999999999999E-6</v>
      </c>
      <c r="I724">
        <v>366.34089999999998</v>
      </c>
      <c r="J724">
        <v>-297.53649999999999</v>
      </c>
      <c r="K724">
        <v>1.060119</v>
      </c>
      <c r="L724">
        <v>367.25920000000002</v>
      </c>
      <c r="M724">
        <v>0.9999036</v>
      </c>
      <c r="N724">
        <v>-1.291401E-2</v>
      </c>
      <c r="O724">
        <v>5.1169320000000003E-3</v>
      </c>
      <c r="P724">
        <v>0.98560919999999996</v>
      </c>
      <c r="Q724">
        <v>0.1585859</v>
      </c>
      <c r="R724">
        <v>5.8523690000000003E-2</v>
      </c>
      <c r="S724">
        <v>3.0532530000000002</v>
      </c>
      <c r="T724">
        <v>-4.5368430000000001E-2</v>
      </c>
      <c r="U724">
        <v>-3.9215090000000001E-2</v>
      </c>
      <c r="V724">
        <v>-5.3514449999999998E-2</v>
      </c>
      <c r="W724">
        <v>0.17129339999999901</v>
      </c>
      <c r="X724">
        <v>0.98376560000000002</v>
      </c>
      <c r="Y724">
        <v>1.7955700000000002E-2</v>
      </c>
      <c r="Z724">
        <v>-2.5929749999999998E-4</v>
      </c>
      <c r="AA724">
        <v>0.99983880000000003</v>
      </c>
      <c r="AB724">
        <v>38</v>
      </c>
      <c r="AC724">
        <v>70.971899999999906</v>
      </c>
      <c r="AD724">
        <v>-1.0601210370999901</v>
      </c>
      <c r="AE724">
        <v>-0.91830000000004397</v>
      </c>
      <c r="AF724">
        <v>1.28119080734147</v>
      </c>
      <c r="AG724">
        <v>-1.0601210370999901</v>
      </c>
      <c r="AH724">
        <v>70.950443644158199</v>
      </c>
      <c r="AI724">
        <v>90.855893778064001</v>
      </c>
      <c r="AJ724">
        <v>88.965491333189405</v>
      </c>
      <c r="AK724">
        <v>70.969928559925904</v>
      </c>
      <c r="AL724">
        <v>80.136971329457793</v>
      </c>
      <c r="AM724">
        <v>93.113681898786993</v>
      </c>
      <c r="AN724">
        <v>0.99999999049286104</v>
      </c>
    </row>
    <row r="725" spans="1:40" x14ac:dyDescent="0.25">
      <c r="A725" t="str">
        <f>"20190304155329008"</f>
        <v>20190304155329008</v>
      </c>
      <c r="B725" t="str">
        <f>"1551686008996049"</f>
        <v>1551686008996049</v>
      </c>
      <c r="C725" t="s">
        <v>40</v>
      </c>
      <c r="D725">
        <v>4.5037430000000001</v>
      </c>
      <c r="E725">
        <v>0.52547369999999904</v>
      </c>
      <c r="F725" t="s">
        <v>46</v>
      </c>
      <c r="G725">
        <v>-225.46639999999999</v>
      </c>
      <c r="H725" s="1">
        <v>-2.5058339999999999E-6</v>
      </c>
      <c r="I725">
        <v>366.35449999999997</v>
      </c>
      <c r="J725">
        <v>-297.1463</v>
      </c>
      <c r="K725">
        <v>1.0601389999999999</v>
      </c>
      <c r="L725">
        <v>367.26130000000001</v>
      </c>
      <c r="M725">
        <v>0.9999017</v>
      </c>
      <c r="N725">
        <v>-1.3027220000000001E-2</v>
      </c>
      <c r="O725">
        <v>5.2204770000000003E-3</v>
      </c>
      <c r="P725">
        <v>0.98557380000000006</v>
      </c>
      <c r="Q725">
        <v>0.1586659</v>
      </c>
      <c r="R725">
        <v>5.890608E-2</v>
      </c>
      <c r="S725">
        <v>3.0533139999999999</v>
      </c>
      <c r="T725">
        <v>-4.4912929999999997E-2</v>
      </c>
      <c r="U725">
        <v>-3.8330080000000002E-2</v>
      </c>
      <c r="V725">
        <v>-5.3795500000000003E-2</v>
      </c>
      <c r="W725">
        <v>0.1714841</v>
      </c>
      <c r="X725">
        <v>0.98371699999999995</v>
      </c>
      <c r="Y725">
        <v>1.7769320000000002E-2</v>
      </c>
      <c r="Z725">
        <v>-2.5521730000000001E-4</v>
      </c>
      <c r="AA725">
        <v>0.99984209999999996</v>
      </c>
      <c r="AB725">
        <v>38</v>
      </c>
      <c r="AC725">
        <v>71.679900000000004</v>
      </c>
      <c r="AD725">
        <v>-1.060141505834</v>
      </c>
      <c r="AE725">
        <v>-0.90680000000003202</v>
      </c>
      <c r="AF725">
        <v>1.2807424898916</v>
      </c>
      <c r="AG725">
        <v>-1.060141505834</v>
      </c>
      <c r="AH725">
        <v>71.658516493857405</v>
      </c>
      <c r="AI725">
        <v>90.847456921779099</v>
      </c>
      <c r="AJ725">
        <v>88.976069687169101</v>
      </c>
      <c r="AK725">
        <v>71.677801217937997</v>
      </c>
      <c r="AL725">
        <v>80.125880463409402</v>
      </c>
      <c r="AM725">
        <v>93.130156395439499</v>
      </c>
      <c r="AN725">
        <v>0.999999944231028</v>
      </c>
    </row>
    <row r="726" spans="1:40" x14ac:dyDescent="0.25">
      <c r="A726" t="str">
        <f>"20190304155329029"</f>
        <v>20190304155329029</v>
      </c>
      <c r="B726" t="str">
        <f>"1551686009026307"</f>
        <v>1551686009026307</v>
      </c>
      <c r="C726" t="s">
        <v>40</v>
      </c>
      <c r="D726">
        <v>4.4655279999999999</v>
      </c>
      <c r="E726">
        <v>0.52535129999999997</v>
      </c>
      <c r="F726" t="s">
        <v>46</v>
      </c>
      <c r="G726">
        <v>-226.2602</v>
      </c>
      <c r="H726" s="1">
        <v>-2.1572650000000002E-6</v>
      </c>
      <c r="I726">
        <v>366.39980000000003</v>
      </c>
      <c r="J726">
        <v>-296.7996</v>
      </c>
      <c r="K726">
        <v>1.060155</v>
      </c>
      <c r="L726">
        <v>367.26319999999998</v>
      </c>
      <c r="M726">
        <v>0.99989969999999995</v>
      </c>
      <c r="N726">
        <v>-1.3129E-2</v>
      </c>
      <c r="O726">
        <v>5.3129969999999999E-3</v>
      </c>
      <c r="P726">
        <v>0.98548899999999995</v>
      </c>
      <c r="Q726">
        <v>0.15899199999999999</v>
      </c>
      <c r="R726">
        <v>5.9439680000000002E-2</v>
      </c>
      <c r="S726">
        <v>3.053528</v>
      </c>
      <c r="T726">
        <v>-4.566717E-2</v>
      </c>
      <c r="U726">
        <v>-3.7109379999999997E-2</v>
      </c>
      <c r="V726">
        <v>-5.4238910000000001E-2</v>
      </c>
      <c r="W726">
        <v>0.17190929999999999</v>
      </c>
      <c r="X726">
        <v>0.98361849999999995</v>
      </c>
      <c r="Y726">
        <v>1.7461270000000001E-2</v>
      </c>
      <c r="Z726">
        <v>-2.5490279999999999E-4</v>
      </c>
      <c r="AA726">
        <v>0.9998475</v>
      </c>
      <c r="AB726">
        <v>38</v>
      </c>
      <c r="AC726">
        <v>70.539400000000001</v>
      </c>
      <c r="AD726">
        <v>-1.0601571572649999</v>
      </c>
      <c r="AE726">
        <v>-0.86339999999995498</v>
      </c>
      <c r="AF726">
        <v>1.2379161570091699</v>
      </c>
      <c r="AG726">
        <v>-1.0601571572649999</v>
      </c>
      <c r="AH726">
        <v>70.517890427815303</v>
      </c>
      <c r="AI726">
        <v>90.861180043796793</v>
      </c>
      <c r="AJ726">
        <v>88.994296534997801</v>
      </c>
      <c r="AK726">
        <v>70.536722634378506</v>
      </c>
      <c r="AL726">
        <v>80.101151720452705</v>
      </c>
      <c r="AM726">
        <v>93.156220198952397</v>
      </c>
      <c r="AN726">
        <v>1.0000000101633599</v>
      </c>
    </row>
    <row r="727" spans="1:40" x14ac:dyDescent="0.25">
      <c r="A727" t="str">
        <f>"20190304155329053"</f>
        <v>20190304155329053</v>
      </c>
      <c r="B727" t="str">
        <f>"1551686009046800"</f>
        <v>1551686009046800</v>
      </c>
      <c r="C727" t="s">
        <v>40</v>
      </c>
      <c r="D727">
        <v>4.5336629999999998</v>
      </c>
      <c r="E727">
        <v>0.52531419999999995</v>
      </c>
      <c r="F727" t="s">
        <v>46</v>
      </c>
      <c r="G727">
        <v>-225.99590000000001</v>
      </c>
      <c r="H727" s="1">
        <v>-2.2590840000000001E-6</v>
      </c>
      <c r="I727">
        <v>366.46499999999997</v>
      </c>
      <c r="J727">
        <v>-296.3879</v>
      </c>
      <c r="K727">
        <v>1.0601780000000001</v>
      </c>
      <c r="L727">
        <v>367.26549999999997</v>
      </c>
      <c r="M727">
        <v>0.99989740000000005</v>
      </c>
      <c r="N727">
        <v>-1.325526E-2</v>
      </c>
      <c r="O727">
        <v>5.4236450000000004E-3</v>
      </c>
      <c r="P727">
        <v>0.98550760000000004</v>
      </c>
      <c r="Q727">
        <v>0.15864779999999901</v>
      </c>
      <c r="R727">
        <v>6.0048949999999997E-2</v>
      </c>
      <c r="S727">
        <v>3.0536500000000002</v>
      </c>
      <c r="T727">
        <v>-4.5722840000000001E-2</v>
      </c>
      <c r="U727">
        <v>-3.4423830000000002E-2</v>
      </c>
      <c r="V727">
        <v>-5.4739139999999999E-2</v>
      </c>
      <c r="W727">
        <v>0.17168949999999999</v>
      </c>
      <c r="X727">
        <v>0.98362919999999998</v>
      </c>
      <c r="Y727">
        <v>1.669238E-2</v>
      </c>
      <c r="Z727">
        <v>-2.4491939999999999E-4</v>
      </c>
      <c r="AA727">
        <v>0.99986059999999999</v>
      </c>
      <c r="AB727">
        <v>38</v>
      </c>
      <c r="AC727">
        <v>70.391999999999996</v>
      </c>
      <c r="AD727">
        <v>-1.0601802590839999</v>
      </c>
      <c r="AE727">
        <v>-0.80049999999999899</v>
      </c>
      <c r="AF727">
        <v>1.18203490698721</v>
      </c>
      <c r="AG727">
        <v>-1.0601802590839999</v>
      </c>
      <c r="AH727">
        <v>70.370661911874706</v>
      </c>
      <c r="AI727">
        <v>90.863011544253396</v>
      </c>
      <c r="AJ727">
        <v>89.037677903092998</v>
      </c>
      <c r="AK727">
        <v>70.388573267388097</v>
      </c>
      <c r="AL727">
        <v>80.113935603864405</v>
      </c>
      <c r="AM727">
        <v>93.185234872969204</v>
      </c>
      <c r="AN727">
        <v>1.00000003047541</v>
      </c>
    </row>
    <row r="728" spans="1:40" x14ac:dyDescent="0.25">
      <c r="A728" t="str">
        <f>"20190304155329077"</f>
        <v>20190304155329077</v>
      </c>
      <c r="B728" t="str">
        <f>"1551686009066321"</f>
        <v>1551686009066321</v>
      </c>
      <c r="C728" t="s">
        <v>40</v>
      </c>
      <c r="D728">
        <v>4.4543480000000004</v>
      </c>
      <c r="E728">
        <v>0.52521909999999905</v>
      </c>
      <c r="F728" t="s">
        <v>46</v>
      </c>
      <c r="G728">
        <v>-228.3399</v>
      </c>
      <c r="H728" s="1">
        <v>-1.369033E-6</v>
      </c>
      <c r="I728">
        <v>366.5419</v>
      </c>
      <c r="J728">
        <v>-296.00630000000001</v>
      </c>
      <c r="K728">
        <v>1.0601940000000001</v>
      </c>
      <c r="L728">
        <v>367.26769999999999</v>
      </c>
      <c r="M728">
        <v>0.99989530000000004</v>
      </c>
      <c r="N728">
        <v>-1.3378849999999999E-2</v>
      </c>
      <c r="O728">
        <v>5.5272630000000001E-3</v>
      </c>
      <c r="P728">
        <v>0.98544759999999998</v>
      </c>
      <c r="Q728">
        <v>0.15888740000000001</v>
      </c>
      <c r="R728">
        <v>6.0397100000000002E-2</v>
      </c>
      <c r="S728">
        <v>3.0537719999999999</v>
      </c>
      <c r="T728">
        <v>-4.7577380000000002E-2</v>
      </c>
      <c r="U728">
        <v>-3.2470699999999998E-2</v>
      </c>
      <c r="V728">
        <v>-5.4985630000000001E-2</v>
      </c>
      <c r="W728">
        <v>0.1720497</v>
      </c>
      <c r="X728">
        <v>0.98355250000000005</v>
      </c>
      <c r="Y728">
        <v>1.6156009999999998E-2</v>
      </c>
      <c r="Z728">
        <v>-2.460955E-4</v>
      </c>
      <c r="AA728">
        <v>0.99986949999999997</v>
      </c>
      <c r="AB728">
        <v>38</v>
      </c>
      <c r="AC728">
        <v>67.666399999999996</v>
      </c>
      <c r="AD728">
        <v>-1.0601953690329999</v>
      </c>
      <c r="AE728">
        <v>-0.72579999999999201</v>
      </c>
      <c r="AF728">
        <v>1.0995624528566901</v>
      </c>
      <c r="AG728">
        <v>-1.0601953690329999</v>
      </c>
      <c r="AH728">
        <v>67.644750247099196</v>
      </c>
      <c r="AI728">
        <v>90.897803972256696</v>
      </c>
      <c r="AJ728">
        <v>89.068741627574198</v>
      </c>
      <c r="AK728">
        <v>67.661992934000097</v>
      </c>
      <c r="AL728">
        <v>80.092985817652107</v>
      </c>
      <c r="AM728">
        <v>93.199797222901793</v>
      </c>
      <c r="AN728">
        <v>1.00000001951641</v>
      </c>
    </row>
    <row r="729" spans="1:40" x14ac:dyDescent="0.25">
      <c r="A729" t="str">
        <f>"20190304155329097"</f>
        <v>20190304155329097</v>
      </c>
      <c r="B729" t="str">
        <f>"1551686009086816"</f>
        <v>1551686009086816</v>
      </c>
      <c r="C729" t="s">
        <v>40</v>
      </c>
      <c r="D729">
        <v>4.4211660000000004</v>
      </c>
      <c r="E729">
        <v>0.52513199999999904</v>
      </c>
      <c r="F729" t="s">
        <v>46</v>
      </c>
      <c r="G729">
        <v>-227.7037</v>
      </c>
      <c r="H729" s="1">
        <v>-1.5742519999999899E-6</v>
      </c>
      <c r="I729">
        <v>366.58440000000002</v>
      </c>
      <c r="J729">
        <v>-295.64460000000003</v>
      </c>
      <c r="K729">
        <v>1.0602100000000001</v>
      </c>
      <c r="L729">
        <v>367.26979999999998</v>
      </c>
      <c r="M729">
        <v>0.99989309999999998</v>
      </c>
      <c r="N729">
        <v>-1.3501499999999901E-2</v>
      </c>
      <c r="O729">
        <v>5.6264619999999996E-3</v>
      </c>
      <c r="P729">
        <v>0.98538009999999998</v>
      </c>
      <c r="Q729">
        <v>0.15912770000000001</v>
      </c>
      <c r="R729">
        <v>6.0865629999999997E-2</v>
      </c>
      <c r="S729">
        <v>3.0538020000000001</v>
      </c>
      <c r="T729">
        <v>-4.7401190000000003E-2</v>
      </c>
      <c r="U729">
        <v>-3.0548100000000002E-2</v>
      </c>
      <c r="V729">
        <v>-5.5357280000000002E-2</v>
      </c>
      <c r="W729">
        <v>0.17240949999999999</v>
      </c>
      <c r="X729">
        <v>0.98346860000000003</v>
      </c>
      <c r="Y729">
        <v>1.5625799999999999E-2</v>
      </c>
      <c r="Z729">
        <v>-2.3812740000000001E-4</v>
      </c>
      <c r="AA729">
        <v>0.99987789999999999</v>
      </c>
      <c r="AB729">
        <v>38</v>
      </c>
      <c r="AC729">
        <v>67.940899999999999</v>
      </c>
      <c r="AD729">
        <v>-1.060211574252</v>
      </c>
      <c r="AE729">
        <v>-0.68539999999995804</v>
      </c>
      <c r="AF729">
        <v>1.06743095026548</v>
      </c>
      <c r="AG729">
        <v>-1.060211574252</v>
      </c>
      <c r="AH729">
        <v>67.919430068162299</v>
      </c>
      <c r="AI729">
        <v>90.894195027429305</v>
      </c>
      <c r="AJ729">
        <v>89.099605905533195</v>
      </c>
      <c r="AK729">
        <v>67.936090836901599</v>
      </c>
      <c r="AL729">
        <v>80.072057629857895</v>
      </c>
      <c r="AM729">
        <v>93.221653617342596</v>
      </c>
      <c r="AN729">
        <v>0.99999997566260301</v>
      </c>
    </row>
    <row r="730" spans="1:40" x14ac:dyDescent="0.25">
      <c r="A730" t="str">
        <f>"20190304155329120"</f>
        <v>20190304155329120</v>
      </c>
      <c r="B730" t="str">
        <f>"1551686009116097"</f>
        <v>1551686009116097</v>
      </c>
      <c r="C730" t="s">
        <v>40</v>
      </c>
      <c r="D730">
        <v>4.4363199999999896</v>
      </c>
      <c r="E730">
        <v>0.52500329999999995</v>
      </c>
      <c r="F730" t="s">
        <v>46</v>
      </c>
      <c r="G730">
        <v>-227.36349999999999</v>
      </c>
      <c r="H730" s="1">
        <v>-1.675611E-6</v>
      </c>
      <c r="I730">
        <v>366.6386</v>
      </c>
      <c r="J730">
        <v>-295.27949999999998</v>
      </c>
      <c r="K730">
        <v>1.06023</v>
      </c>
      <c r="L730">
        <v>367.27190000000002</v>
      </c>
      <c r="M730">
        <v>0.99989079999999997</v>
      </c>
      <c r="N730">
        <v>-1.362764E-2</v>
      </c>
      <c r="O730">
        <v>5.7270000000000003E-3</v>
      </c>
      <c r="P730">
        <v>0.98539639999999995</v>
      </c>
      <c r="Q730">
        <v>0.15906970000000001</v>
      </c>
      <c r="R730">
        <v>6.0752689999999998E-2</v>
      </c>
      <c r="S730">
        <v>3.053925</v>
      </c>
      <c r="T730">
        <v>-4.7418710000000003E-2</v>
      </c>
      <c r="U730">
        <v>-2.8228759999999999E-2</v>
      </c>
      <c r="V730">
        <v>-5.5145130000000001E-2</v>
      </c>
      <c r="W730">
        <v>0.1724762</v>
      </c>
      <c r="X730">
        <v>0.98346880000000003</v>
      </c>
      <c r="Y730">
        <v>1.4966780000000001E-2</v>
      </c>
      <c r="Z730">
        <v>-2.2905580000000001E-4</v>
      </c>
      <c r="AA730">
        <v>0.99988790000000005</v>
      </c>
      <c r="AB730">
        <v>38</v>
      </c>
      <c r="AC730">
        <v>67.915999999999997</v>
      </c>
      <c r="AD730">
        <v>-1.060231675611</v>
      </c>
      <c r="AE730">
        <v>-0.63330000000001896</v>
      </c>
      <c r="AF730">
        <v>1.0220315938529501</v>
      </c>
      <c r="AG730">
        <v>-1.060231675611</v>
      </c>
      <c r="AH730">
        <v>67.894714193281601</v>
      </c>
      <c r="AI730">
        <v>90.8945465676845</v>
      </c>
      <c r="AJ730">
        <v>89.137581252118807</v>
      </c>
      <c r="AK730">
        <v>67.910682923765293</v>
      </c>
      <c r="AL730">
        <v>80.068177650923502</v>
      </c>
      <c r="AM730">
        <v>93.209332231152302</v>
      </c>
      <c r="AN730">
        <v>0.99999995275129705</v>
      </c>
    </row>
    <row r="731" spans="1:40" x14ac:dyDescent="0.25">
      <c r="A731" t="str">
        <f>"20190304155329141"</f>
        <v>20190304155329141</v>
      </c>
      <c r="B731" t="str">
        <f>"1551686009136592"</f>
        <v>1551686009136592</v>
      </c>
      <c r="C731" t="s">
        <v>40</v>
      </c>
      <c r="D731">
        <v>4.416061</v>
      </c>
      <c r="E731">
        <v>0.52491709999999903</v>
      </c>
      <c r="F731" t="s">
        <v>46</v>
      </c>
      <c r="G731">
        <v>-228.52789999999999</v>
      </c>
      <c r="H731" s="1">
        <v>-1.270917E-6</v>
      </c>
      <c r="I731">
        <v>366.6703</v>
      </c>
      <c r="J731">
        <v>-294.91129999999998</v>
      </c>
      <c r="K731">
        <v>1.0602450000000001</v>
      </c>
      <c r="L731">
        <v>367.27409999999998</v>
      </c>
      <c r="M731">
        <v>0.99988860000000002</v>
      </c>
      <c r="N731">
        <v>-1.375153E-2</v>
      </c>
      <c r="O731">
        <v>5.8288530000000002E-3</v>
      </c>
      <c r="P731">
        <v>0.98539849999999996</v>
      </c>
      <c r="Q731">
        <v>0.15901270000000001</v>
      </c>
      <c r="R731">
        <v>6.0869970000000002E-2</v>
      </c>
      <c r="S731">
        <v>3.0539860000000001</v>
      </c>
      <c r="T731">
        <v>-4.8507090000000003E-2</v>
      </c>
      <c r="U731">
        <v>-2.752686E-2</v>
      </c>
      <c r="V731">
        <v>-5.5162320000000001E-2</v>
      </c>
      <c r="W731">
        <v>0.17254149999999999</v>
      </c>
      <c r="X731">
        <v>0.98345640000000001</v>
      </c>
      <c r="Y731">
        <v>1.4838560000000001E-2</v>
      </c>
      <c r="Z731">
        <v>-2.32294E-4</v>
      </c>
      <c r="AA731">
        <v>0.9998899</v>
      </c>
      <c r="AB731">
        <v>38</v>
      </c>
      <c r="AC731">
        <v>66.383399999999995</v>
      </c>
      <c r="AD731">
        <v>-1.060246270917</v>
      </c>
      <c r="AE731">
        <v>-0.60379999999997802</v>
      </c>
      <c r="AF731">
        <v>0.99051270594302399</v>
      </c>
      <c r="AG731">
        <v>-1.060246270917</v>
      </c>
      <c r="AH731">
        <v>66.361825398077102</v>
      </c>
      <c r="AI731">
        <v>90.915220524993799</v>
      </c>
      <c r="AJ731">
        <v>89.144870061381297</v>
      </c>
      <c r="AK731">
        <v>66.377685314723806</v>
      </c>
      <c r="AL731">
        <v>80.064379471704299</v>
      </c>
      <c r="AM731">
        <v>93.210370954376401</v>
      </c>
      <c r="AN731">
        <v>0.99999997073549496</v>
      </c>
    </row>
    <row r="732" spans="1:40" x14ac:dyDescent="0.25">
      <c r="A732" t="str">
        <f>"20190304155329164"</f>
        <v>20190304155329164</v>
      </c>
      <c r="B732" t="str">
        <f>"1551686009156112"</f>
        <v>1551686009156112</v>
      </c>
      <c r="C732" t="s">
        <v>40</v>
      </c>
      <c r="D732">
        <v>4.398498</v>
      </c>
      <c r="E732">
        <v>0.52484379999999997</v>
      </c>
      <c r="F732" t="s">
        <v>46</v>
      </c>
      <c r="G732">
        <v>-229.41929999999999</v>
      </c>
      <c r="H732" s="1">
        <v>-9.5667999999999996E-7</v>
      </c>
      <c r="I732">
        <v>366.71129999999999</v>
      </c>
      <c r="J732">
        <v>-294.53160000000003</v>
      </c>
      <c r="K732">
        <v>1.060262</v>
      </c>
      <c r="L732">
        <v>367.2765</v>
      </c>
      <c r="M732">
        <v>0.99988630000000001</v>
      </c>
      <c r="N732">
        <v>-1.3869390000000001E-2</v>
      </c>
      <c r="O732">
        <v>5.9334269999999998E-3</v>
      </c>
      <c r="P732">
        <v>0.98536849999999998</v>
      </c>
      <c r="Q732">
        <v>0.15915750000000001</v>
      </c>
      <c r="R732">
        <v>6.0973680000000002E-2</v>
      </c>
      <c r="S732">
        <v>3.0540470000000002</v>
      </c>
      <c r="T732">
        <v>-4.9441699999999998E-2</v>
      </c>
      <c r="U732">
        <v>-2.624512E-2</v>
      </c>
      <c r="V732">
        <v>-5.5162559999999999E-2</v>
      </c>
      <c r="W732">
        <v>0.1728017</v>
      </c>
      <c r="X732">
        <v>0.98341069999999997</v>
      </c>
      <c r="Y732">
        <v>1.4523319999999999E-2</v>
      </c>
      <c r="Z732">
        <v>-2.320356E-4</v>
      </c>
      <c r="AA732">
        <v>0.99989450000000002</v>
      </c>
      <c r="AB732">
        <v>38</v>
      </c>
      <c r="AC732">
        <v>65.112300000000005</v>
      </c>
      <c r="AD732">
        <v>-1.0602629566799999</v>
      </c>
      <c r="AE732">
        <v>-0.56520000000000403</v>
      </c>
      <c r="AF732">
        <v>0.95131402931729003</v>
      </c>
      <c r="AG732">
        <v>-1.0602629566799999</v>
      </c>
      <c r="AH732">
        <v>65.090541883750305</v>
      </c>
      <c r="AI732">
        <v>90.933111531536198</v>
      </c>
      <c r="AJ732">
        <v>89.1626679261215</v>
      </c>
      <c r="AK732">
        <v>65.106127197368593</v>
      </c>
      <c r="AL732">
        <v>80.049243757450299</v>
      </c>
      <c r="AM732">
        <v>93.210533770283106</v>
      </c>
      <c r="AN732">
        <v>0.99999997021156595</v>
      </c>
    </row>
    <row r="733" spans="1:40" x14ac:dyDescent="0.25">
      <c r="A733" t="str">
        <f>"20190304155329186"</f>
        <v>20190304155329186</v>
      </c>
      <c r="B733" t="str">
        <f>"1551686009176608"</f>
        <v>1551686009176608</v>
      </c>
      <c r="C733" t="s">
        <v>40</v>
      </c>
      <c r="D733">
        <v>4.4160059999999897</v>
      </c>
      <c r="E733">
        <v>0.52478859999999905</v>
      </c>
      <c r="F733" t="s">
        <v>46</v>
      </c>
      <c r="G733">
        <v>-229.21190000000001</v>
      </c>
      <c r="H733" s="1">
        <v>-1.022217E-6</v>
      </c>
      <c r="I733">
        <v>366.73009999999999</v>
      </c>
      <c r="J733">
        <v>-294.1585</v>
      </c>
      <c r="K733">
        <v>1.0602750000000001</v>
      </c>
      <c r="L733">
        <v>367.27879999999999</v>
      </c>
      <c r="M733">
        <v>0.9998842</v>
      </c>
      <c r="N733">
        <v>-1.3978569999999999E-2</v>
      </c>
      <c r="O733">
        <v>6.0360250000000004E-3</v>
      </c>
      <c r="P733">
        <v>0.98534509999999997</v>
      </c>
      <c r="Q733">
        <v>0.159326</v>
      </c>
      <c r="R733">
        <v>6.091448E-2</v>
      </c>
      <c r="S733">
        <v>3.054138</v>
      </c>
      <c r="T733">
        <v>-4.9574380000000001E-2</v>
      </c>
      <c r="U733">
        <v>-2.554321E-2</v>
      </c>
      <c r="V733">
        <v>-5.5002780000000001E-2</v>
      </c>
      <c r="W733">
        <v>0.17307690000000001</v>
      </c>
      <c r="X733">
        <v>0.98337129999999995</v>
      </c>
      <c r="Y733">
        <v>1.439589E-2</v>
      </c>
      <c r="Z733">
        <v>-2.3105369999999999E-4</v>
      </c>
      <c r="AA733">
        <v>0.99989629999999996</v>
      </c>
      <c r="AB733">
        <v>37</v>
      </c>
      <c r="AC733">
        <v>64.946599999999904</v>
      </c>
      <c r="AD733">
        <v>-1.060276022217</v>
      </c>
      <c r="AE733">
        <v>-0.54869999999999597</v>
      </c>
      <c r="AF733">
        <v>0.94049692053579903</v>
      </c>
      <c r="AG733">
        <v>-1.060276022217</v>
      </c>
      <c r="AH733">
        <v>64.924802015609998</v>
      </c>
      <c r="AI733">
        <v>90.935506438805504</v>
      </c>
      <c r="AJ733">
        <v>89.1700747053995</v>
      </c>
      <c r="AK733">
        <v>64.940269759733695</v>
      </c>
      <c r="AL733">
        <v>80.033235207274203</v>
      </c>
      <c r="AM733">
        <v>93.201381728320101</v>
      </c>
      <c r="AN733">
        <v>1.00000001639251</v>
      </c>
    </row>
    <row r="734" spans="1:40" x14ac:dyDescent="0.25">
      <c r="A734" t="str">
        <f>"20190304155329208"</f>
        <v>20190304155329208</v>
      </c>
      <c r="B734" t="str">
        <f>"1551686009196129"</f>
        <v>1551686009196129</v>
      </c>
      <c r="C734" t="s">
        <v>40</v>
      </c>
      <c r="D734">
        <v>4.3914730000000004</v>
      </c>
      <c r="E734">
        <v>0.5247214</v>
      </c>
      <c r="F734" t="s">
        <v>46</v>
      </c>
      <c r="G734">
        <v>-228.85</v>
      </c>
      <c r="H734" s="1">
        <v>-1.141952E-6</v>
      </c>
      <c r="I734">
        <v>366.74299999999999</v>
      </c>
      <c r="J734">
        <v>-293.78919999999999</v>
      </c>
      <c r="K734">
        <v>1.0602879999999999</v>
      </c>
      <c r="L734">
        <v>367.28109999999998</v>
      </c>
      <c r="M734">
        <v>0.99988220000000005</v>
      </c>
      <c r="N734">
        <v>-1.4079599999999999E-2</v>
      </c>
      <c r="O734">
        <v>6.1373640000000002E-3</v>
      </c>
      <c r="P734">
        <v>0.98532370000000002</v>
      </c>
      <c r="Q734">
        <v>0.15939389999999901</v>
      </c>
      <c r="R734">
        <v>6.1083730000000003E-2</v>
      </c>
      <c r="S734">
        <v>3.0541990000000001</v>
      </c>
      <c r="T734">
        <v>-4.9584509999999998E-2</v>
      </c>
      <c r="U734">
        <v>-2.505493E-2</v>
      </c>
      <c r="V734">
        <v>-5.5072410000000002E-2</v>
      </c>
      <c r="W734">
        <v>0.17324410000000001</v>
      </c>
      <c r="X734">
        <v>0.98333789999999999</v>
      </c>
      <c r="Y734">
        <v>1.4337229999999999E-2</v>
      </c>
      <c r="Z734">
        <v>-2.3053989999999999E-4</v>
      </c>
      <c r="AA734">
        <v>0.99989720000000004</v>
      </c>
      <c r="AB734">
        <v>37</v>
      </c>
      <c r="AC734">
        <v>64.9392</v>
      </c>
      <c r="AD734">
        <v>-1.060289141952</v>
      </c>
      <c r="AE734">
        <v>-0.53809999999992897</v>
      </c>
      <c r="AF734">
        <v>0.93643519659200503</v>
      </c>
      <c r="AG734">
        <v>-1.060289141952</v>
      </c>
      <c r="AH734">
        <v>64.917369092989205</v>
      </c>
      <c r="AI734">
        <v>90.935625932167994</v>
      </c>
      <c r="AJ734">
        <v>89.173563804084793</v>
      </c>
      <c r="AK734">
        <v>64.932780118345093</v>
      </c>
      <c r="AL734">
        <v>80.023507818419304</v>
      </c>
      <c r="AM734">
        <v>93.2055346752568</v>
      </c>
      <c r="AN734">
        <v>0.99999995705221301</v>
      </c>
    </row>
    <row r="735" spans="1:40" x14ac:dyDescent="0.25">
      <c r="A735" t="str">
        <f>"20190304155329231"</f>
        <v>20190304155329231</v>
      </c>
      <c r="B735" t="str">
        <f>"1551686009226385"</f>
        <v>1551686009226385</v>
      </c>
      <c r="C735" t="s">
        <v>40</v>
      </c>
      <c r="D735">
        <v>4.3787010000000004</v>
      </c>
      <c r="E735">
        <v>0.52465039999999996</v>
      </c>
      <c r="F735" t="s">
        <v>46</v>
      </c>
      <c r="G735">
        <v>-229.018</v>
      </c>
      <c r="H735" s="1">
        <v>-1.078003E-6</v>
      </c>
      <c r="I735">
        <v>366.76850000000002</v>
      </c>
      <c r="J735">
        <v>-293.4171</v>
      </c>
      <c r="K735">
        <v>1.0602959999999999</v>
      </c>
      <c r="L735">
        <v>367.2835</v>
      </c>
      <c r="M735">
        <v>0.99988010000000005</v>
      </c>
      <c r="N735">
        <v>-1.417357E-2</v>
      </c>
      <c r="O735">
        <v>6.2395180000000003E-3</v>
      </c>
      <c r="P735">
        <v>0.98536060000000003</v>
      </c>
      <c r="Q735">
        <v>0.15941529999999901</v>
      </c>
      <c r="R735">
        <v>6.0428959999999997E-2</v>
      </c>
      <c r="S735">
        <v>3.0542910000000001</v>
      </c>
      <c r="T735">
        <v>-4.9997930000000003E-2</v>
      </c>
      <c r="U735">
        <v>-2.4169920000000001E-2</v>
      </c>
      <c r="V735">
        <v>-5.4316830000000003E-2</v>
      </c>
      <c r="W735">
        <v>0.1733587</v>
      </c>
      <c r="X735">
        <v>0.98335980000000001</v>
      </c>
      <c r="Y735">
        <v>1.4149429999999999E-2</v>
      </c>
      <c r="Z735">
        <v>-2.297872E-4</v>
      </c>
      <c r="AA735">
        <v>0.99989989999999995</v>
      </c>
      <c r="AB735">
        <v>37</v>
      </c>
      <c r="AC735">
        <v>64.399100000000004</v>
      </c>
      <c r="AD735">
        <v>-1.0602970780030001</v>
      </c>
      <c r="AE735">
        <v>-0.51499999999998602</v>
      </c>
      <c r="AF735">
        <v>0.91660122098045704</v>
      </c>
      <c r="AG735">
        <v>-1.0602970780030001</v>
      </c>
      <c r="AH735">
        <v>64.377182309420107</v>
      </c>
      <c r="AI735">
        <v>90.943484913543799</v>
      </c>
      <c r="AJ735">
        <v>89.184278789018293</v>
      </c>
      <c r="AK735">
        <v>64.392437364897404</v>
      </c>
      <c r="AL735">
        <v>80.016841543823006</v>
      </c>
      <c r="AM735">
        <v>93.161575094974296</v>
      </c>
      <c r="AN735">
        <v>1.0000000265714799</v>
      </c>
    </row>
    <row r="736" spans="1:40" x14ac:dyDescent="0.25">
      <c r="A736" t="str">
        <f>"20190304155329255"</f>
        <v>20190304155329255</v>
      </c>
      <c r="B736" t="str">
        <f>"1551686009246880"</f>
        <v>1551686009246880</v>
      </c>
      <c r="C736" t="s">
        <v>40</v>
      </c>
      <c r="D736">
        <v>4.3538230000000002</v>
      </c>
      <c r="E736">
        <v>0.52461169999999901</v>
      </c>
      <c r="F736" t="s">
        <v>46</v>
      </c>
      <c r="G736">
        <v>-229.55590000000001</v>
      </c>
      <c r="H736" s="1">
        <v>-8.9883329999999996E-7</v>
      </c>
      <c r="I736">
        <v>366.75389999999999</v>
      </c>
      <c r="J736">
        <v>-293.0179</v>
      </c>
      <c r="K736">
        <v>1.0603049999999901</v>
      </c>
      <c r="L736">
        <v>367.28609999999998</v>
      </c>
      <c r="M736">
        <v>0.99987809999999999</v>
      </c>
      <c r="N736">
        <v>-1.426437E-2</v>
      </c>
      <c r="O736">
        <v>6.3496150000000003E-3</v>
      </c>
      <c r="P736">
        <v>0.98527620000000005</v>
      </c>
      <c r="Q736">
        <v>0.15983829999999999</v>
      </c>
      <c r="R736">
        <v>6.0682930000000003E-2</v>
      </c>
      <c r="S736">
        <v>3.0542910000000001</v>
      </c>
      <c r="T736">
        <v>-5.07108E-2</v>
      </c>
      <c r="U736">
        <v>-2.5329589999999999E-2</v>
      </c>
      <c r="V736">
        <v>-5.4462370000000003E-2</v>
      </c>
      <c r="W736">
        <v>0.1738701</v>
      </c>
      <c r="X736">
        <v>0.98326139999999995</v>
      </c>
      <c r="Y736">
        <v>1.463894E-2</v>
      </c>
      <c r="Z736">
        <v>-2.4078310000000001E-4</v>
      </c>
      <c r="AA736">
        <v>0.99989280000000003</v>
      </c>
      <c r="AB736">
        <v>37</v>
      </c>
      <c r="AC736">
        <v>63.461999999999897</v>
      </c>
      <c r="AD736">
        <v>-1.0603058988332901</v>
      </c>
      <c r="AE736">
        <v>-0.53219999999998802</v>
      </c>
      <c r="AF736">
        <v>0.93492857185909894</v>
      </c>
      <c r="AG736">
        <v>-1.0603058988332901</v>
      </c>
      <c r="AH736">
        <v>63.439632985120603</v>
      </c>
      <c r="AI736">
        <v>90.957426768893299</v>
      </c>
      <c r="AJ736">
        <v>89.155676329902704</v>
      </c>
      <c r="AK736">
        <v>63.455380964268002</v>
      </c>
      <c r="AL736">
        <v>79.987088085036802</v>
      </c>
      <c r="AM736">
        <v>93.170345761825899</v>
      </c>
      <c r="AN736">
        <v>0.99999997107499305</v>
      </c>
    </row>
    <row r="737" spans="1:40" x14ac:dyDescent="0.25">
      <c r="A737" t="str">
        <f>"20190304155329277"</f>
        <v>20190304155329277</v>
      </c>
      <c r="B737" t="str">
        <f>"1551686009266401"</f>
        <v>1551686009266401</v>
      </c>
      <c r="C737" t="s">
        <v>40</v>
      </c>
      <c r="D737">
        <v>4.3117190000000001</v>
      </c>
      <c r="E737">
        <v>0.52455620000000003</v>
      </c>
      <c r="F737" t="s">
        <v>46</v>
      </c>
      <c r="G737">
        <v>-228.38679999999999</v>
      </c>
      <c r="H737" s="1">
        <v>-1.2890840000000001E-6</v>
      </c>
      <c r="I737">
        <v>366.7824</v>
      </c>
      <c r="J737">
        <v>-292.65699999999998</v>
      </c>
      <c r="K737">
        <v>1.0603119999999999</v>
      </c>
      <c r="L737">
        <v>367.2885</v>
      </c>
      <c r="M737">
        <v>0.99987649999999995</v>
      </c>
      <c r="N737">
        <v>-1.4337010000000001E-2</v>
      </c>
      <c r="O737">
        <v>6.4483980000000002E-3</v>
      </c>
      <c r="P737">
        <v>0.98519389999999996</v>
      </c>
      <c r="Q737">
        <v>0.16036689999999901</v>
      </c>
      <c r="R737">
        <v>6.0628799999999997E-2</v>
      </c>
      <c r="S737">
        <v>3.0545040000000001</v>
      </c>
      <c r="T737">
        <v>-5.0110700000000001E-2</v>
      </c>
      <c r="U737">
        <v>-2.3803709999999999E-2</v>
      </c>
      <c r="V737">
        <v>-5.4312119999999998E-2</v>
      </c>
      <c r="W737">
        <v>0.17446879999999901</v>
      </c>
      <c r="X737">
        <v>0.98316369999999997</v>
      </c>
      <c r="Y737">
        <v>1.423785E-2</v>
      </c>
      <c r="Z737">
        <v>-2.3219110000000001E-4</v>
      </c>
      <c r="AA737">
        <v>0.99989859999999997</v>
      </c>
      <c r="AB737">
        <v>37</v>
      </c>
      <c r="AC737">
        <v>64.270199999999903</v>
      </c>
      <c r="AD737">
        <v>-1.0603132890839999</v>
      </c>
      <c r="AE737">
        <v>-0.50610000000000299</v>
      </c>
      <c r="AF737">
        <v>0.92032140126608997</v>
      </c>
      <c r="AG737">
        <v>-1.0603132890839999</v>
      </c>
      <c r="AH737">
        <v>64.248113924287097</v>
      </c>
      <c r="AI737">
        <v>90.945393225831907</v>
      </c>
      <c r="AJ737">
        <v>89.179323365285498</v>
      </c>
      <c r="AK737">
        <v>64.263453055222698</v>
      </c>
      <c r="AL737">
        <v>79.9522531087499</v>
      </c>
      <c r="AM737">
        <v>93.161930767947993</v>
      </c>
      <c r="AN737">
        <v>1.0000000147750101</v>
      </c>
    </row>
    <row r="738" spans="1:40" x14ac:dyDescent="0.25">
      <c r="A738" t="str">
        <f>"20190304155329298"</f>
        <v>20190304155329298</v>
      </c>
      <c r="B738" t="str">
        <f>"1551686009286896"</f>
        <v>1551686009286896</v>
      </c>
      <c r="C738" t="s">
        <v>40</v>
      </c>
      <c r="D738">
        <v>4.3086449999999896</v>
      </c>
      <c r="E738">
        <v>0.52450779999999997</v>
      </c>
      <c r="F738" t="s">
        <v>46</v>
      </c>
      <c r="G738">
        <v>-226.44</v>
      </c>
      <c r="H738" s="1">
        <v>-2.0135540000000001E-6</v>
      </c>
      <c r="I738">
        <v>366.77510000000001</v>
      </c>
      <c r="J738">
        <v>-292.28989999999999</v>
      </c>
      <c r="K738">
        <v>1.060317</v>
      </c>
      <c r="L738">
        <v>367.291</v>
      </c>
      <c r="M738">
        <v>0.99987479999999995</v>
      </c>
      <c r="N738">
        <v>-1.4402170000000001E-2</v>
      </c>
      <c r="O738">
        <v>6.5492569999999898E-3</v>
      </c>
      <c r="P738">
        <v>0.98503309999999999</v>
      </c>
      <c r="Q738">
        <v>0.16108140000000001</v>
      </c>
      <c r="R738">
        <v>6.133926E-2</v>
      </c>
      <c r="S738">
        <v>3.0545040000000001</v>
      </c>
      <c r="T738">
        <v>-4.891086E-2</v>
      </c>
      <c r="U738">
        <v>-2.368164E-2</v>
      </c>
      <c r="V738">
        <v>-5.4924180000000003E-2</v>
      </c>
      <c r="W738">
        <v>0.17524489999999901</v>
      </c>
      <c r="X738">
        <v>0.98299159999999997</v>
      </c>
      <c r="Y738">
        <v>1.429888E-2</v>
      </c>
      <c r="Z738">
        <v>-2.279964E-4</v>
      </c>
      <c r="AA738">
        <v>0.9998977</v>
      </c>
      <c r="AB738">
        <v>37</v>
      </c>
      <c r="AC738">
        <v>65.849899999999906</v>
      </c>
      <c r="AD738">
        <v>-1.0603190135539999</v>
      </c>
      <c r="AE738">
        <v>-0.51589999999998704</v>
      </c>
      <c r="AF738">
        <v>0.94695609288546201</v>
      </c>
      <c r="AG738">
        <v>-1.0603190135539999</v>
      </c>
      <c r="AH738">
        <v>65.828041732198301</v>
      </c>
      <c r="AI738">
        <v>90.922711147966893</v>
      </c>
      <c r="AJ738">
        <v>89.175839900727993</v>
      </c>
      <c r="AK738">
        <v>65.843390560848206</v>
      </c>
      <c r="AL738">
        <v>79.907089538782103</v>
      </c>
      <c r="AM738">
        <v>93.198048660523696</v>
      </c>
      <c r="AN738">
        <v>0.99999996309761996</v>
      </c>
    </row>
    <row r="739" spans="1:40" x14ac:dyDescent="0.25">
      <c r="A739" t="str">
        <f>"20190304155329320"</f>
        <v>20190304155329320</v>
      </c>
      <c r="B739" t="str">
        <f>"1551686009316178"</f>
        <v>1551686009316178</v>
      </c>
      <c r="C739" t="s">
        <v>40</v>
      </c>
      <c r="D739">
        <v>4.2733230000000004</v>
      </c>
      <c r="E739">
        <v>0.52441099999999996</v>
      </c>
      <c r="F739" t="s">
        <v>46</v>
      </c>
      <c r="G739">
        <v>-223.32040000000001</v>
      </c>
      <c r="H739" s="1">
        <v>-3.346622E-6</v>
      </c>
      <c r="I739">
        <v>366.80439999999999</v>
      </c>
      <c r="J739">
        <v>-291.92770000000002</v>
      </c>
      <c r="K739">
        <v>1.060324</v>
      </c>
      <c r="L739">
        <v>367.29340000000002</v>
      </c>
      <c r="M739">
        <v>0.99987349999999997</v>
      </c>
      <c r="N739">
        <v>-1.4458540000000001E-2</v>
      </c>
      <c r="O739">
        <v>6.6480330000000002E-3</v>
      </c>
      <c r="P739">
        <v>0.98503379999999996</v>
      </c>
      <c r="Q739">
        <v>0.16111629999999999</v>
      </c>
      <c r="R739">
        <v>6.1238979999999998E-2</v>
      </c>
      <c r="S739">
        <v>3.0545960000000001</v>
      </c>
      <c r="T739">
        <v>-4.6960590000000003E-2</v>
      </c>
      <c r="U739">
        <v>-2.1545410000000001E-2</v>
      </c>
      <c r="V739">
        <v>-5.4726419999999998E-2</v>
      </c>
      <c r="W739">
        <v>0.1753354</v>
      </c>
      <c r="X739">
        <v>0.98298649999999999</v>
      </c>
      <c r="Y739">
        <v>1.369853E-2</v>
      </c>
      <c r="Z739">
        <v>-2.1041310000000001E-4</v>
      </c>
      <c r="AA739">
        <v>0.99990610000000002</v>
      </c>
      <c r="AB739">
        <v>37</v>
      </c>
      <c r="AC739">
        <v>68.607299999999995</v>
      </c>
      <c r="AD739">
        <v>-1.060327346622</v>
      </c>
      <c r="AE739">
        <v>-0.48900000000003202</v>
      </c>
      <c r="AF739">
        <v>0.94491471921363002</v>
      </c>
      <c r="AG739">
        <v>-1.060327346622</v>
      </c>
      <c r="AH739">
        <v>68.586150844328301</v>
      </c>
      <c r="AI739">
        <v>90.8856260100318</v>
      </c>
      <c r="AJ739">
        <v>89.210683209755302</v>
      </c>
      <c r="AK739">
        <v>68.600854554076307</v>
      </c>
      <c r="AL739">
        <v>79.9018228077895</v>
      </c>
      <c r="AM739">
        <v>93.186574038077595</v>
      </c>
      <c r="AN739">
        <v>0.99999997136071195</v>
      </c>
    </row>
    <row r="740" spans="1:40" x14ac:dyDescent="0.25">
      <c r="A740" t="str">
        <f>"20190304155329343"</f>
        <v>20190304155329343</v>
      </c>
      <c r="B740" t="str">
        <f>"1551686009336692"</f>
        <v>1551686009336692</v>
      </c>
      <c r="C740" t="s">
        <v>40</v>
      </c>
      <c r="D740">
        <v>4.2785780000000004</v>
      </c>
      <c r="E740">
        <v>0.52435769999999904</v>
      </c>
      <c r="F740" t="s">
        <v>46</v>
      </c>
      <c r="G740">
        <v>-224.07849999999999</v>
      </c>
      <c r="H740" s="1">
        <v>-3.0155070000000002E-6</v>
      </c>
      <c r="I740">
        <v>366.83780000000002</v>
      </c>
      <c r="J740">
        <v>-291.55239999999998</v>
      </c>
      <c r="K740">
        <v>1.0603309999999999</v>
      </c>
      <c r="L740">
        <v>367.29599999999999</v>
      </c>
      <c r="M740">
        <v>0.99987199999999998</v>
      </c>
      <c r="N740">
        <v>-1.450916E-2</v>
      </c>
      <c r="O740">
        <v>6.7509559999999998E-3</v>
      </c>
      <c r="P740">
        <v>0.9851029</v>
      </c>
      <c r="Q740">
        <v>0.16059370000000001</v>
      </c>
      <c r="R740">
        <v>6.1497459999999997E-2</v>
      </c>
      <c r="S740">
        <v>3.0546259999999998</v>
      </c>
      <c r="T740">
        <v>-4.7736760000000003E-2</v>
      </c>
      <c r="U740">
        <v>-2.0507810000000001E-2</v>
      </c>
      <c r="V740">
        <v>-5.4882960000000001E-2</v>
      </c>
      <c r="W740">
        <v>0.17486360000000001</v>
      </c>
      <c r="X740">
        <v>0.98306190000000004</v>
      </c>
      <c r="Y740">
        <v>1.346173E-2</v>
      </c>
      <c r="Z740">
        <v>-2.1039710000000001E-4</v>
      </c>
      <c r="AA740">
        <v>0.9999093</v>
      </c>
      <c r="AB740">
        <v>37</v>
      </c>
      <c r="AC740">
        <v>67.473899999999901</v>
      </c>
      <c r="AD740">
        <v>-1.060334015507</v>
      </c>
      <c r="AE740">
        <v>-0.45819999999997602</v>
      </c>
      <c r="AF740">
        <v>0.91352522873212005</v>
      </c>
      <c r="AG740">
        <v>-1.060334015507</v>
      </c>
      <c r="AH740">
        <v>67.452611634375103</v>
      </c>
      <c r="AI740">
        <v>90.900515037448997</v>
      </c>
      <c r="AJ740">
        <v>89.224078370653601</v>
      </c>
      <c r="AK740">
        <v>67.467130166220997</v>
      </c>
      <c r="AL740">
        <v>79.929280024938606</v>
      </c>
      <c r="AM740">
        <v>93.195425484409498</v>
      </c>
      <c r="AN740">
        <v>1.00000005856746</v>
      </c>
    </row>
    <row r="741" spans="1:40" x14ac:dyDescent="0.25">
      <c r="A741" t="str">
        <f>"20190304155329364"</f>
        <v>20190304155329364</v>
      </c>
      <c r="B741" t="str">
        <f>"1551686009356193"</f>
        <v>1551686009356193</v>
      </c>
      <c r="C741" t="s">
        <v>40</v>
      </c>
      <c r="D741">
        <v>4.2769339999999998</v>
      </c>
      <c r="E741">
        <v>0.52431190000000005</v>
      </c>
      <c r="F741" t="s">
        <v>46</v>
      </c>
      <c r="G741">
        <v>-226.43369999999999</v>
      </c>
      <c r="H741" s="1">
        <v>-1.9980490000000001E-6</v>
      </c>
      <c r="I741">
        <v>366.87759999999997</v>
      </c>
      <c r="J741">
        <v>-291.1934</v>
      </c>
      <c r="K741">
        <v>1.06033</v>
      </c>
      <c r="L741">
        <v>367.29849999999999</v>
      </c>
      <c r="M741">
        <v>0.9998707</v>
      </c>
      <c r="N741">
        <v>-1.4550820000000001E-2</v>
      </c>
      <c r="O741">
        <v>6.8494749999999998E-3</v>
      </c>
      <c r="P741">
        <v>0.98513720000000005</v>
      </c>
      <c r="Q741">
        <v>0.16030320000000001</v>
      </c>
      <c r="R741">
        <v>6.1708010000000001E-2</v>
      </c>
      <c r="S741">
        <v>3.0547179999999998</v>
      </c>
      <c r="T741">
        <v>-4.9740199999999998E-2</v>
      </c>
      <c r="U741">
        <v>-1.9622799999999999E-2</v>
      </c>
      <c r="V741">
        <v>-5.4996070000000001E-2</v>
      </c>
      <c r="W741">
        <v>0.17461479999999999</v>
      </c>
      <c r="X741">
        <v>0.98309979999999997</v>
      </c>
      <c r="Y741">
        <v>1.3270209999999999E-2</v>
      </c>
      <c r="Z741">
        <v>-2.1644890000000001E-4</v>
      </c>
      <c r="AA741">
        <v>0.99991189999999996</v>
      </c>
      <c r="AB741">
        <v>37</v>
      </c>
      <c r="AC741">
        <v>64.759699999999995</v>
      </c>
      <c r="AD741">
        <v>-1.060331998049</v>
      </c>
      <c r="AE741">
        <v>-0.42090000000001698</v>
      </c>
      <c r="AF741">
        <v>0.86427533255490896</v>
      </c>
      <c r="AG741">
        <v>-1.060331998049</v>
      </c>
      <c r="AH741">
        <v>64.737942699984004</v>
      </c>
      <c r="AI741">
        <v>90.938270544832903</v>
      </c>
      <c r="AJ741">
        <v>89.235125721322802</v>
      </c>
      <c r="AK741">
        <v>64.7523937845001</v>
      </c>
      <c r="AL741">
        <v>79.943757938931896</v>
      </c>
      <c r="AM741">
        <v>93.201874161881307</v>
      </c>
      <c r="AN741">
        <v>1.00000005642726</v>
      </c>
    </row>
    <row r="742" spans="1:40" x14ac:dyDescent="0.25">
      <c r="A742" t="str">
        <f>"20190304155329378"</f>
        <v>20190304155329378</v>
      </c>
      <c r="B742" t="str">
        <f>"1551686009376689"</f>
        <v>1551686009376689</v>
      </c>
      <c r="C742" t="s">
        <v>40</v>
      </c>
      <c r="D742">
        <v>4.2543069999999998</v>
      </c>
      <c r="E742">
        <v>0.52425940000000004</v>
      </c>
      <c r="F742" t="s">
        <v>46</v>
      </c>
      <c r="G742">
        <v>-227.46979999999999</v>
      </c>
      <c r="H742" s="1">
        <v>-1.5685150000000001E-6</v>
      </c>
      <c r="I742">
        <v>366.9051</v>
      </c>
      <c r="J742">
        <v>-290.94740000000002</v>
      </c>
      <c r="K742">
        <v>1.0603309999999999</v>
      </c>
      <c r="L742">
        <v>367.30029999999999</v>
      </c>
      <c r="M742">
        <v>0.99986989999999998</v>
      </c>
      <c r="N742">
        <v>-1.4576159999999999E-2</v>
      </c>
      <c r="O742">
        <v>6.9169949999999996E-3</v>
      </c>
      <c r="P742">
        <v>0.98509999999999998</v>
      </c>
      <c r="Q742">
        <v>0.1605125</v>
      </c>
      <c r="R742">
        <v>6.175974E-2</v>
      </c>
      <c r="S742">
        <v>3.0546880000000001</v>
      </c>
      <c r="T742">
        <v>-5.0828579999999998E-2</v>
      </c>
      <c r="U742">
        <v>-1.8859859999999999E-2</v>
      </c>
      <c r="V742">
        <v>-5.4981559999999999E-2</v>
      </c>
      <c r="W742">
        <v>0.17484810000000001</v>
      </c>
      <c r="X742">
        <v>0.98305909999999996</v>
      </c>
      <c r="Y742">
        <v>1.3087990000000001E-2</v>
      </c>
      <c r="Z742">
        <v>-2.1854479999999999E-4</v>
      </c>
      <c r="AA742">
        <v>0.99991430000000003</v>
      </c>
      <c r="AB742">
        <v>37</v>
      </c>
      <c r="AC742">
        <v>63.477600000000002</v>
      </c>
      <c r="AD742">
        <v>-1.060332568515</v>
      </c>
      <c r="AE742">
        <v>-0.39519999999998801</v>
      </c>
      <c r="AF742">
        <v>0.83407868927517803</v>
      </c>
      <c r="AG742">
        <v>-1.060332568515</v>
      </c>
      <c r="AH742">
        <v>63.455642207528399</v>
      </c>
      <c r="AI742">
        <v>90.957230585826593</v>
      </c>
      <c r="AJ742">
        <v>89.246931634641101</v>
      </c>
      <c r="AK742">
        <v>63.4699812540197</v>
      </c>
      <c r="AL742">
        <v>79.930181532064793</v>
      </c>
      <c r="AM742">
        <v>93.201163397369001</v>
      </c>
      <c r="AN742">
        <v>1.00000001205322</v>
      </c>
    </row>
    <row r="743" spans="1:40" x14ac:dyDescent="0.25">
      <c r="A743" t="str">
        <f>"20190304155329393"</f>
        <v>20190304155329393</v>
      </c>
      <c r="B743" t="str">
        <f>"1551686009386449"</f>
        <v>1551686009386449</v>
      </c>
      <c r="C743" t="s">
        <v>40</v>
      </c>
      <c r="D743">
        <v>4.2623319999999998</v>
      </c>
      <c r="E743">
        <v>0.52422729999999995</v>
      </c>
      <c r="F743" t="s">
        <v>46</v>
      </c>
      <c r="G743">
        <v>-227.00630000000001</v>
      </c>
      <c r="H743" s="1">
        <v>-1.745791E-6</v>
      </c>
      <c r="I743">
        <v>366.9151</v>
      </c>
      <c r="J743">
        <v>-290.71460000000002</v>
      </c>
      <c r="K743">
        <v>1.0603320000000001</v>
      </c>
      <c r="L743">
        <v>367.30189999999999</v>
      </c>
      <c r="M743">
        <v>0.99986909999999896</v>
      </c>
      <c r="N743">
        <v>-1.459742E-2</v>
      </c>
      <c r="O743">
        <v>6.9811469999999896E-3</v>
      </c>
      <c r="P743">
        <v>0.98510070000000005</v>
      </c>
      <c r="Q743">
        <v>0.16043940000000001</v>
      </c>
      <c r="R743">
        <v>6.193502E-2</v>
      </c>
      <c r="S743">
        <v>3.0547789999999999</v>
      </c>
      <c r="T743">
        <v>-5.0657149999999998E-2</v>
      </c>
      <c r="U743">
        <v>-1.8402100000000001E-2</v>
      </c>
      <c r="V743">
        <v>-5.5093160000000002E-2</v>
      </c>
      <c r="W743">
        <v>0.17479649999999999</v>
      </c>
      <c r="X743">
        <v>0.98306199999999999</v>
      </c>
      <c r="Y743">
        <v>1.300217E-2</v>
      </c>
      <c r="Z743">
        <v>-2.1656409999999999E-4</v>
      </c>
      <c r="AA743">
        <v>0.99991540000000001</v>
      </c>
      <c r="AB743">
        <v>37</v>
      </c>
      <c r="AC743">
        <v>63.708300000000001</v>
      </c>
      <c r="AD743">
        <v>-1.060333745791</v>
      </c>
      <c r="AE743">
        <v>-0.38679999999999298</v>
      </c>
      <c r="AF743">
        <v>0.83136467758330101</v>
      </c>
      <c r="AG743">
        <v>-1.060333745791</v>
      </c>
      <c r="AH743">
        <v>63.686405570945503</v>
      </c>
      <c r="AI743">
        <v>90.953764953508497</v>
      </c>
      <c r="AJ743">
        <v>89.252101270390298</v>
      </c>
      <c r="AK743">
        <v>63.700657213458598</v>
      </c>
      <c r="AL743">
        <v>79.933183953257</v>
      </c>
      <c r="AM743">
        <v>93.207638030284102</v>
      </c>
      <c r="AN743">
        <v>0.99999998426751702</v>
      </c>
    </row>
    <row r="744" spans="1:40" x14ac:dyDescent="0.25">
      <c r="A744" t="str">
        <f>"20190304155329409"</f>
        <v>20190304155329409</v>
      </c>
      <c r="B744" t="str">
        <f>"1551686009406945"</f>
        <v>1551686009406945</v>
      </c>
      <c r="C744" t="s">
        <v>40</v>
      </c>
      <c r="D744">
        <v>4.2746829999999996</v>
      </c>
      <c r="E744">
        <v>0.52416419999999997</v>
      </c>
      <c r="F744" t="s">
        <v>46</v>
      </c>
      <c r="G744">
        <v>-227.37299999999999</v>
      </c>
      <c r="H744" s="1">
        <v>-1.5925190000000001E-6</v>
      </c>
      <c r="I744">
        <v>366.93869999999998</v>
      </c>
      <c r="J744">
        <v>-290.44029999999998</v>
      </c>
      <c r="K744">
        <v>1.0603340000000001</v>
      </c>
      <c r="L744">
        <v>367.30399999999997</v>
      </c>
      <c r="M744">
        <v>0.99986819999999998</v>
      </c>
      <c r="N744">
        <v>-1.462025E-2</v>
      </c>
      <c r="O744">
        <v>7.0570869999999897E-3</v>
      </c>
      <c r="P744">
        <v>0.98503779999999996</v>
      </c>
      <c r="Q744">
        <v>0.16055059999999999</v>
      </c>
      <c r="R744">
        <v>6.2642909999999996E-2</v>
      </c>
      <c r="S744">
        <v>3.05484</v>
      </c>
      <c r="T744">
        <v>-5.113769E-2</v>
      </c>
      <c r="U744">
        <v>-1.7517089999999999E-2</v>
      </c>
      <c r="V744">
        <v>-5.5726520000000002E-2</v>
      </c>
      <c r="W744">
        <v>0.1749289</v>
      </c>
      <c r="X744">
        <v>0.98300279999999995</v>
      </c>
      <c r="Y744">
        <v>1.2788330000000001E-2</v>
      </c>
      <c r="Z744">
        <v>-2.154767E-4</v>
      </c>
      <c r="AA744">
        <v>0.99991819999999998</v>
      </c>
      <c r="AB744">
        <v>37</v>
      </c>
      <c r="AC744">
        <v>63.067299999999904</v>
      </c>
      <c r="AD744">
        <v>-1.0603355925189999</v>
      </c>
      <c r="AE744">
        <v>-0.36530000000004698</v>
      </c>
      <c r="AF744">
        <v>0.81018090046944402</v>
      </c>
      <c r="AG744">
        <v>-1.0603355925189999</v>
      </c>
      <c r="AH744">
        <v>63.0453305977844</v>
      </c>
      <c r="AI744">
        <v>90.963465684682603</v>
      </c>
      <c r="AJ744">
        <v>89.2637457722211</v>
      </c>
      <c r="AK744">
        <v>63.059451431519598</v>
      </c>
      <c r="AL744">
        <v>79.9254798006653</v>
      </c>
      <c r="AM744">
        <v>93.244630205992806</v>
      </c>
      <c r="AN744">
        <v>1.00000003494717</v>
      </c>
    </row>
    <row r="745" spans="1:40" x14ac:dyDescent="0.25">
      <c r="A745" t="str">
        <f>"20190304155329432"</f>
        <v>20190304155329432</v>
      </c>
      <c r="B745" t="str">
        <f>"1551686009426465"</f>
        <v>1551686009426465</v>
      </c>
      <c r="C745" t="s">
        <v>40</v>
      </c>
      <c r="D745">
        <v>4.2348919999999897</v>
      </c>
      <c r="E745">
        <v>0.52412519999999996</v>
      </c>
      <c r="F745" t="s">
        <v>46</v>
      </c>
      <c r="G745">
        <v>-227.33629999999999</v>
      </c>
      <c r="H745" s="1">
        <v>-1.588443E-6</v>
      </c>
      <c r="I745">
        <v>367.00380000000001</v>
      </c>
      <c r="J745">
        <v>-290.0702</v>
      </c>
      <c r="K745">
        <v>1.060338</v>
      </c>
      <c r="L745">
        <v>367.30669999999998</v>
      </c>
      <c r="M745">
        <v>0.99986719999999896</v>
      </c>
      <c r="N745">
        <v>-1.464709E-2</v>
      </c>
      <c r="O745">
        <v>7.1595180000000001E-3</v>
      </c>
      <c r="P745">
        <v>0.98507610000000001</v>
      </c>
      <c r="Q745">
        <v>0.16025889999999901</v>
      </c>
      <c r="R745">
        <v>6.2787389999999998E-2</v>
      </c>
      <c r="S745">
        <v>3.0548709999999999</v>
      </c>
      <c r="T745">
        <v>-5.1330920000000002E-2</v>
      </c>
      <c r="U745">
        <v>-1.452637E-2</v>
      </c>
      <c r="V745">
        <v>-5.5769489999999998E-2</v>
      </c>
      <c r="W745">
        <v>0.1746645</v>
      </c>
      <c r="X745">
        <v>0.98304729999999996</v>
      </c>
      <c r="Y745">
        <v>1.1912020000000001E-2</v>
      </c>
      <c r="Z745">
        <v>-2.027473E-4</v>
      </c>
      <c r="AA745">
        <v>0.99992899999999996</v>
      </c>
      <c r="AB745">
        <v>37</v>
      </c>
      <c r="AC745">
        <v>62.733899999999998</v>
      </c>
      <c r="AD745">
        <v>-1.060339588443</v>
      </c>
      <c r="AE745">
        <v>-0.30289999999996498</v>
      </c>
      <c r="AF745">
        <v>0.75187006827706204</v>
      </c>
      <c r="AG745">
        <v>-1.060339588443</v>
      </c>
      <c r="AH745">
        <v>62.7122075209043</v>
      </c>
      <c r="AI745">
        <v>90.968596588208499</v>
      </c>
      <c r="AJ745">
        <v>89.313101556143096</v>
      </c>
      <c r="AK745">
        <v>62.725677364117502</v>
      </c>
      <c r="AL745">
        <v>79.9408649029278</v>
      </c>
      <c r="AM745">
        <v>93.246980072345494</v>
      </c>
      <c r="AN745">
        <v>0.99999995880619896</v>
      </c>
    </row>
    <row r="746" spans="1:40" x14ac:dyDescent="0.25">
      <c r="A746" t="str">
        <f>"20190304155329455"</f>
        <v>20190304155329455</v>
      </c>
      <c r="B746" t="str">
        <f>"1551686009446960"</f>
        <v>1551686009446960</v>
      </c>
      <c r="C746" t="s">
        <v>40</v>
      </c>
      <c r="D746">
        <v>4.2537060000000002</v>
      </c>
      <c r="E746">
        <v>0.5241209</v>
      </c>
      <c r="F746" t="s">
        <v>46</v>
      </c>
      <c r="G746">
        <v>-228.589</v>
      </c>
      <c r="H746" s="1">
        <v>-1.1545130000000001E-6</v>
      </c>
      <c r="I746">
        <v>367.02960000000002</v>
      </c>
      <c r="J746">
        <v>-289.68889999999999</v>
      </c>
      <c r="K746">
        <v>1.060343</v>
      </c>
      <c r="L746">
        <v>367.30950000000001</v>
      </c>
      <c r="M746">
        <v>0.99986600000000003</v>
      </c>
      <c r="N746">
        <v>-1.4670509999999999E-2</v>
      </c>
      <c r="O746">
        <v>7.2651310000000002E-3</v>
      </c>
      <c r="P746">
        <v>0.985124</v>
      </c>
      <c r="Q746">
        <v>0.15985489999999999</v>
      </c>
      <c r="R746">
        <v>6.3065280000000001E-2</v>
      </c>
      <c r="S746">
        <v>3.0549010000000001</v>
      </c>
      <c r="T746">
        <v>-5.2686450000000003E-2</v>
      </c>
      <c r="U746">
        <v>-1.376343E-2</v>
      </c>
      <c r="V746">
        <v>-5.5943010000000001E-2</v>
      </c>
      <c r="W746">
        <v>0.1742842</v>
      </c>
      <c r="X746">
        <v>0.98310500000000001</v>
      </c>
      <c r="Y746">
        <v>1.176777E-2</v>
      </c>
      <c r="Z746">
        <v>-2.065058E-4</v>
      </c>
      <c r="AA746">
        <v>0.99993069999999895</v>
      </c>
      <c r="AB746">
        <v>37</v>
      </c>
      <c r="AC746">
        <v>61.099899999999899</v>
      </c>
      <c r="AD746">
        <v>-1.0603441545129999</v>
      </c>
      <c r="AE746">
        <v>-0.27989999999999698</v>
      </c>
      <c r="AF746">
        <v>0.72362123131341805</v>
      </c>
      <c r="AG746">
        <v>-1.0603441545129999</v>
      </c>
      <c r="AH746">
        <v>61.077858936753401</v>
      </c>
      <c r="AI746">
        <v>90.994515550600099</v>
      </c>
      <c r="AJ746">
        <v>89.321218792578406</v>
      </c>
      <c r="AK746">
        <v>61.091348075733002</v>
      </c>
      <c r="AL746">
        <v>79.962994549514804</v>
      </c>
      <c r="AM746">
        <v>93.256870189443404</v>
      </c>
      <c r="AN746">
        <v>1.0000000218812499</v>
      </c>
    </row>
    <row r="747" spans="1:40" x14ac:dyDescent="0.25">
      <c r="A747" t="str">
        <f>"20190304155329478"</f>
        <v>20190304155329478</v>
      </c>
      <c r="B747" t="str">
        <f>"1551686009466481"</f>
        <v>1551686009466481</v>
      </c>
      <c r="C747" t="s">
        <v>40</v>
      </c>
      <c r="D747">
        <v>4.3354489999999997</v>
      </c>
      <c r="E747">
        <v>0.52419110000000002</v>
      </c>
      <c r="F747" t="s">
        <v>46</v>
      </c>
      <c r="G747">
        <v>-229.82159999999999</v>
      </c>
      <c r="H747" s="1">
        <v>-7.2742230000000002E-7</v>
      </c>
      <c r="I747">
        <v>367.05829999999997</v>
      </c>
      <c r="J747">
        <v>-289.32119999999998</v>
      </c>
      <c r="K747">
        <v>1.0603469999999999</v>
      </c>
      <c r="L747">
        <v>367.31229999999999</v>
      </c>
      <c r="M747">
        <v>0.99986509999999995</v>
      </c>
      <c r="N747">
        <v>-1.468967E-2</v>
      </c>
      <c r="O747">
        <v>7.3664330000000004E-3</v>
      </c>
      <c r="P747">
        <v>0.98515509999999995</v>
      </c>
      <c r="Q747">
        <v>0.1596996</v>
      </c>
      <c r="R747">
        <v>6.2972959999999994E-2</v>
      </c>
      <c r="S747">
        <v>3.054932</v>
      </c>
      <c r="T747">
        <v>-5.4107549999999997E-2</v>
      </c>
      <c r="U747">
        <v>-1.281738E-2</v>
      </c>
      <c r="V747">
        <v>-5.5750760000000003E-2</v>
      </c>
      <c r="W747">
        <v>0.17414849999999901</v>
      </c>
      <c r="X747">
        <v>0.98313989999999996</v>
      </c>
      <c r="Y747">
        <v>1.15593E-2</v>
      </c>
      <c r="Z747">
        <v>-2.095213E-4</v>
      </c>
      <c r="AA747">
        <v>0.99993319999999997</v>
      </c>
      <c r="AB747">
        <v>37</v>
      </c>
      <c r="AC747">
        <v>59.499600000000001</v>
      </c>
      <c r="AD747">
        <v>-1.0603477274223001</v>
      </c>
      <c r="AE747">
        <v>-0.25400000000001899</v>
      </c>
      <c r="AF747">
        <v>0.69212035468353705</v>
      </c>
      <c r="AG747">
        <v>-1.0603477274223001</v>
      </c>
      <c r="AH747">
        <v>59.477224899406998</v>
      </c>
      <c r="AI747">
        <v>91.0212800413331</v>
      </c>
      <c r="AJ747">
        <v>89.333294626898393</v>
      </c>
      <c r="AK747">
        <v>59.490702211547799</v>
      </c>
      <c r="AL747">
        <v>79.970889657342894</v>
      </c>
      <c r="AM747">
        <v>93.245586846333396</v>
      </c>
      <c r="AN747">
        <v>0.99999995513241702</v>
      </c>
    </row>
    <row r="748" spans="1:40" x14ac:dyDescent="0.25">
      <c r="A748" t="str">
        <f>"20190304155329499"</f>
        <v>20190304155329499</v>
      </c>
      <c r="B748" t="str">
        <f>"1551686009496737"</f>
        <v>1551686009496737</v>
      </c>
      <c r="C748" t="s">
        <v>40</v>
      </c>
      <c r="D748">
        <v>4.3522669999999897</v>
      </c>
      <c r="E748">
        <v>0.52418279999999995</v>
      </c>
      <c r="F748" t="s">
        <v>46</v>
      </c>
      <c r="G748">
        <v>-229.99100000000001</v>
      </c>
      <c r="H748" s="1">
        <v>-4.7328139999999998E-6</v>
      </c>
      <c r="I748">
        <v>367.04199999999997</v>
      </c>
      <c r="J748">
        <v>-288.96800000000002</v>
      </c>
      <c r="K748">
        <v>1.0603499999999999</v>
      </c>
      <c r="L748">
        <v>367.31490000000002</v>
      </c>
      <c r="M748">
        <v>0.99986399999999998</v>
      </c>
      <c r="N748">
        <v>-1.4705050000000001E-2</v>
      </c>
      <c r="O748">
        <v>7.4637690000000003E-3</v>
      </c>
      <c r="P748">
        <v>0.98504720000000001</v>
      </c>
      <c r="Q748">
        <v>0.16049469999999999</v>
      </c>
      <c r="R748">
        <v>6.2637600000000002E-2</v>
      </c>
      <c r="S748">
        <v>3.0549620000000002</v>
      </c>
      <c r="T748">
        <v>-5.459833E-2</v>
      </c>
      <c r="U748">
        <v>-1.3916019999999999E-2</v>
      </c>
      <c r="V748">
        <v>-5.5320309999999998E-2</v>
      </c>
      <c r="W748">
        <v>0.17495749999999999</v>
      </c>
      <c r="X748">
        <v>0.98302060000000002</v>
      </c>
      <c r="Y748">
        <v>1.2016010000000001E-2</v>
      </c>
      <c r="Z748">
        <v>-2.1935379999999999E-4</v>
      </c>
      <c r="AA748">
        <v>0.99992780000000003</v>
      </c>
      <c r="AB748">
        <v>37</v>
      </c>
      <c r="AC748">
        <v>58.976999999999997</v>
      </c>
      <c r="AD748">
        <v>-1.0603547328139999</v>
      </c>
      <c r="AE748">
        <v>-0.27290000000004899</v>
      </c>
      <c r="AF748">
        <v>0.71290027050944405</v>
      </c>
      <c r="AG748">
        <v>-1.0603547328139999</v>
      </c>
      <c r="AH748">
        <v>58.954263307576802</v>
      </c>
      <c r="AI748">
        <v>91.0303387335683</v>
      </c>
      <c r="AJ748">
        <v>89.307188595681893</v>
      </c>
      <c r="AK748">
        <v>58.9681078303704</v>
      </c>
      <c r="AL748">
        <v>79.923814933607304</v>
      </c>
      <c r="AM748">
        <v>93.220970747830904</v>
      </c>
      <c r="AN748">
        <v>0.99999998176455296</v>
      </c>
    </row>
    <row r="749" spans="1:40" x14ac:dyDescent="0.25">
      <c r="A749" t="str">
        <f>"20190304155329522"</f>
        <v>20190304155329522</v>
      </c>
      <c r="B749" t="str">
        <f>"1551686009516257"</f>
        <v>1551686009516257</v>
      </c>
      <c r="C749" t="s">
        <v>40</v>
      </c>
      <c r="D749">
        <v>4.345872</v>
      </c>
      <c r="E749">
        <v>0.52416099999999999</v>
      </c>
      <c r="F749" t="s">
        <v>46</v>
      </c>
      <c r="G749">
        <v>-227.84299999999999</v>
      </c>
      <c r="H749" s="1">
        <v>-1.41030399999999E-6</v>
      </c>
      <c r="I749">
        <v>367.0224</v>
      </c>
      <c r="J749">
        <v>-288.60230000000001</v>
      </c>
      <c r="K749">
        <v>1.06036</v>
      </c>
      <c r="L749">
        <v>367.31779999999998</v>
      </c>
      <c r="M749">
        <v>0.9998631</v>
      </c>
      <c r="N749">
        <v>-1.47183E-2</v>
      </c>
      <c r="O749">
        <v>7.5637450000000002E-3</v>
      </c>
      <c r="P749">
        <v>0.98494400000000004</v>
      </c>
      <c r="Q749">
        <v>0.16123309999999999</v>
      </c>
      <c r="R749">
        <v>6.2366060000000001E-2</v>
      </c>
      <c r="S749">
        <v>3.0551149999999998</v>
      </c>
      <c r="T749">
        <v>-5.2997830000000003E-2</v>
      </c>
      <c r="U749">
        <v>-1.461792E-2</v>
      </c>
      <c r="V749">
        <v>-5.4951449999999999E-2</v>
      </c>
      <c r="W749">
        <v>0.17570720000000001</v>
      </c>
      <c r="X749">
        <v>0.98290759999999999</v>
      </c>
      <c r="Y749">
        <v>1.234556E-2</v>
      </c>
      <c r="Z749">
        <v>-2.178123E-4</v>
      </c>
      <c r="AA749">
        <v>0.99992380000000003</v>
      </c>
      <c r="AB749">
        <v>37</v>
      </c>
      <c r="AC749">
        <v>60.759300000000003</v>
      </c>
      <c r="AD749">
        <v>-1.060361410304</v>
      </c>
      <c r="AE749">
        <v>-0.29539999999997202</v>
      </c>
      <c r="AF749">
        <v>0.75477929715243797</v>
      </c>
      <c r="AG749">
        <v>-1.060361410304</v>
      </c>
      <c r="AH749">
        <v>60.736829025836698</v>
      </c>
      <c r="AI749">
        <v>91.000107743416294</v>
      </c>
      <c r="AJ749">
        <v>89.288019428625603</v>
      </c>
      <c r="AK749">
        <v>60.750773313774303</v>
      </c>
      <c r="AL749">
        <v>79.880184769412693</v>
      </c>
      <c r="AM749">
        <v>93.199906076556999</v>
      </c>
      <c r="AN749">
        <v>1.00000001606335</v>
      </c>
    </row>
    <row r="750" spans="1:40" x14ac:dyDescent="0.25">
      <c r="A750" t="str">
        <f>"20190304155329544"</f>
        <v>20190304155329544</v>
      </c>
      <c r="B750" t="str">
        <f>"1551686009536752"</f>
        <v>1551686009536752</v>
      </c>
      <c r="C750" t="s">
        <v>40</v>
      </c>
      <c r="D750">
        <v>4.3474589999999997</v>
      </c>
      <c r="E750">
        <v>0.5241384</v>
      </c>
      <c r="F750" t="s">
        <v>46</v>
      </c>
      <c r="G750">
        <v>-225.5626</v>
      </c>
      <c r="H750" s="1">
        <v>-2.3484249999999999E-6</v>
      </c>
      <c r="I750">
        <v>367.00920000000002</v>
      </c>
      <c r="J750">
        <v>-288.23559999999998</v>
      </c>
      <c r="K750">
        <v>1.06037</v>
      </c>
      <c r="L750">
        <v>367.32060000000001</v>
      </c>
      <c r="M750">
        <v>0.99986220000000003</v>
      </c>
      <c r="N750">
        <v>-1.47291E-2</v>
      </c>
      <c r="O750">
        <v>7.6645680000000001E-3</v>
      </c>
      <c r="P750">
        <v>0.98489199999999999</v>
      </c>
      <c r="Q750">
        <v>0.16159409999999999</v>
      </c>
      <c r="R750">
        <v>6.2251859999999999E-2</v>
      </c>
      <c r="S750">
        <v>3.0552060000000001</v>
      </c>
      <c r="T750">
        <v>-5.1390169999999999E-2</v>
      </c>
      <c r="U750">
        <v>-1.4953610000000001E-2</v>
      </c>
      <c r="V750">
        <v>-5.4738269999999999E-2</v>
      </c>
      <c r="W750">
        <v>0.1760785</v>
      </c>
      <c r="X750">
        <v>0.98285310000000004</v>
      </c>
      <c r="Y750">
        <v>1.255623E-2</v>
      </c>
      <c r="Z750">
        <v>-2.1409670000000001E-4</v>
      </c>
      <c r="AA750">
        <v>0.99992110000000001</v>
      </c>
      <c r="AB750">
        <v>37</v>
      </c>
      <c r="AC750">
        <v>62.672999999999902</v>
      </c>
      <c r="AD750">
        <v>-1.0603723484250001</v>
      </c>
      <c r="AE750">
        <v>-0.31139999999999102</v>
      </c>
      <c r="AF750">
        <v>0.791577820670056</v>
      </c>
      <c r="AG750">
        <v>-1.0603723484250001</v>
      </c>
      <c r="AH750">
        <v>62.6508379008567</v>
      </c>
      <c r="AI750">
        <v>90.969567441574597</v>
      </c>
      <c r="AJ750">
        <v>89.2761205334849</v>
      </c>
      <c r="AK750">
        <v>62.664810497143499</v>
      </c>
      <c r="AL750">
        <v>79.858574433368304</v>
      </c>
      <c r="AM750">
        <v>93.187694316147599</v>
      </c>
      <c r="AN750">
        <v>1.0000000662722199</v>
      </c>
    </row>
    <row r="751" spans="1:40" x14ac:dyDescent="0.25">
      <c r="A751" t="str">
        <f>"20190304155329557"</f>
        <v>20190304155329557</v>
      </c>
      <c r="B751" t="str">
        <f>"1551686009546513"</f>
        <v>1551686009546513</v>
      </c>
      <c r="C751" t="s">
        <v>40</v>
      </c>
      <c r="D751">
        <v>4.3340259999999997</v>
      </c>
      <c r="E751">
        <v>0.52412829999999999</v>
      </c>
      <c r="F751" t="s">
        <v>46</v>
      </c>
      <c r="G751">
        <v>-224.4238</v>
      </c>
      <c r="H751" s="1">
        <v>-2.839744E-6</v>
      </c>
      <c r="I751">
        <v>366.99360000000001</v>
      </c>
      <c r="J751">
        <v>-288.00850000000003</v>
      </c>
      <c r="K751">
        <v>1.0603720000000001</v>
      </c>
      <c r="L751">
        <v>367.32240000000002</v>
      </c>
      <c r="M751">
        <v>0.99986149999999996</v>
      </c>
      <c r="N751">
        <v>-1.473476E-2</v>
      </c>
      <c r="O751">
        <v>7.7269890000000001E-3</v>
      </c>
      <c r="P751">
        <v>0.98479459999999996</v>
      </c>
      <c r="Q751">
        <v>0.16214919999999999</v>
      </c>
      <c r="R751">
        <v>6.2349040000000001E-2</v>
      </c>
      <c r="S751">
        <v>3.0552980000000001</v>
      </c>
      <c r="T751">
        <v>-5.07704E-2</v>
      </c>
      <c r="U751">
        <v>-1.5655519999999999E-2</v>
      </c>
      <c r="V751">
        <v>-5.4774400000000001E-2</v>
      </c>
      <c r="W751">
        <v>0.17663760000000001</v>
      </c>
      <c r="X751">
        <v>0.98275069999999998</v>
      </c>
      <c r="Y751">
        <v>1.2848200000000001E-2</v>
      </c>
      <c r="Z751">
        <v>-2.1594849999999999E-4</v>
      </c>
      <c r="AA751">
        <v>0.99991739999999996</v>
      </c>
      <c r="AB751">
        <v>37</v>
      </c>
      <c r="AC751">
        <v>63.584699999999998</v>
      </c>
      <c r="AD751">
        <v>-1.06037483974399</v>
      </c>
      <c r="AE751">
        <v>-0.32880000000000098</v>
      </c>
      <c r="AF751">
        <v>0.81993381951238398</v>
      </c>
      <c r="AG751">
        <v>-1.06037483974399</v>
      </c>
      <c r="AH751">
        <v>63.562583649479301</v>
      </c>
      <c r="AI751">
        <v>90.955661516682895</v>
      </c>
      <c r="AJ751">
        <v>89.260946627097496</v>
      </c>
      <c r="AK751">
        <v>63.576715285285097</v>
      </c>
      <c r="AL751">
        <v>79.826029665842299</v>
      </c>
      <c r="AM751">
        <v>93.190125692236904</v>
      </c>
      <c r="AN751">
        <v>1.0000000074897999</v>
      </c>
    </row>
    <row r="752" spans="1:40" x14ac:dyDescent="0.25">
      <c r="A752" t="str">
        <f>"20190304155329577"</f>
        <v>20190304155329577</v>
      </c>
      <c r="B752" t="str">
        <f>"1551686009567015"</f>
        <v>1551686009567015</v>
      </c>
      <c r="C752" t="s">
        <v>40</v>
      </c>
      <c r="D752">
        <v>4.3585940000000001</v>
      </c>
      <c r="E752">
        <v>0.52410879999999904</v>
      </c>
      <c r="F752" t="s">
        <v>46</v>
      </c>
      <c r="G752">
        <v>-222.3098</v>
      </c>
      <c r="H752" s="1">
        <v>-3.7468479999999999E-6</v>
      </c>
      <c r="I752">
        <v>366.9923</v>
      </c>
      <c r="J752">
        <v>-287.69009999999997</v>
      </c>
      <c r="K752">
        <v>1.0603750000000001</v>
      </c>
      <c r="L752">
        <v>367.32499999999999</v>
      </c>
      <c r="M752">
        <v>0.99986090000000005</v>
      </c>
      <c r="N752">
        <v>-1.4741580000000001E-2</v>
      </c>
      <c r="O752">
        <v>7.8146080000000007E-3</v>
      </c>
      <c r="P752">
        <v>0.98466869999999995</v>
      </c>
      <c r="Q752">
        <v>0.16296469999999999</v>
      </c>
      <c r="R752">
        <v>6.2213209999999998E-2</v>
      </c>
      <c r="S752">
        <v>3.0554199999999998</v>
      </c>
      <c r="T752">
        <v>-4.9314379999999998E-2</v>
      </c>
      <c r="U752">
        <v>-1.5350340000000001E-2</v>
      </c>
      <c r="V752">
        <v>-5.4552999999999997E-2</v>
      </c>
      <c r="W752">
        <v>0.1774579</v>
      </c>
      <c r="X752">
        <v>0.98261520000000002</v>
      </c>
      <c r="Y752">
        <v>1.2835910000000001E-2</v>
      </c>
      <c r="Z752">
        <v>-2.0911979999999999E-4</v>
      </c>
      <c r="AA752">
        <v>0.99991759999999996</v>
      </c>
      <c r="AB752">
        <v>37</v>
      </c>
      <c r="AC752">
        <v>65.380299999999906</v>
      </c>
      <c r="AD752">
        <v>-1.0603787468479999</v>
      </c>
      <c r="AE752">
        <v>-0.33269999999998801</v>
      </c>
      <c r="AF752">
        <v>0.84344486987160905</v>
      </c>
      <c r="AG752">
        <v>-1.0603787468479999</v>
      </c>
      <c r="AH752">
        <v>65.358511296738996</v>
      </c>
      <c r="AI752">
        <v>90.929409786914405</v>
      </c>
      <c r="AJ752">
        <v>89.260644896351806</v>
      </c>
      <c r="AK752">
        <v>65.372553883577496</v>
      </c>
      <c r="AL752">
        <v>79.778275283453596</v>
      </c>
      <c r="AM752">
        <v>93.177694804413704</v>
      </c>
      <c r="AN752">
        <v>0.999999983676224</v>
      </c>
    </row>
    <row r="753" spans="1:40" x14ac:dyDescent="0.25">
      <c r="A753" t="str">
        <f>"20190304155329591"</f>
        <v>20190304155329591</v>
      </c>
      <c r="B753" t="str">
        <f>"1551686009586530"</f>
        <v>1551686009586530</v>
      </c>
      <c r="C753" t="s">
        <v>40</v>
      </c>
      <c r="D753">
        <v>4.3951830000000003</v>
      </c>
      <c r="E753">
        <v>0.52409430000000001</v>
      </c>
      <c r="F753" t="s">
        <v>46</v>
      </c>
      <c r="G753">
        <v>-219.53489999999999</v>
      </c>
      <c r="H753" s="1">
        <v>-8.4477409999999895E-7</v>
      </c>
      <c r="I753">
        <v>366.98390000000001</v>
      </c>
      <c r="J753">
        <v>-287.45839999999998</v>
      </c>
      <c r="K753">
        <v>1.0603800000000001</v>
      </c>
      <c r="L753">
        <v>367.32690000000002</v>
      </c>
      <c r="M753">
        <v>0.99986030000000004</v>
      </c>
      <c r="N753">
        <v>-1.474573E-2</v>
      </c>
      <c r="O753">
        <v>7.8785250000000008E-3</v>
      </c>
      <c r="P753">
        <v>0.98462309999999997</v>
      </c>
      <c r="Q753">
        <v>0.1631156</v>
      </c>
      <c r="R753">
        <v>6.2534300000000001E-2</v>
      </c>
      <c r="S753">
        <v>3.055542</v>
      </c>
      <c r="T753">
        <v>-4.7538879999999999E-2</v>
      </c>
      <c r="U753">
        <v>-1.528931E-2</v>
      </c>
      <c r="V753">
        <v>-5.481196E-2</v>
      </c>
      <c r="W753">
        <v>0.177612299999999</v>
      </c>
      <c r="X753">
        <v>0.98257289999999997</v>
      </c>
      <c r="Y753">
        <v>1.287982E-2</v>
      </c>
      <c r="Z753">
        <v>-2.0155250000000001E-4</v>
      </c>
      <c r="AA753">
        <v>0.99991699999999994</v>
      </c>
      <c r="AB753">
        <v>37</v>
      </c>
      <c r="AC753">
        <v>67.923499999999905</v>
      </c>
      <c r="AD753">
        <v>-1.0603808447741001</v>
      </c>
      <c r="AE753">
        <v>-0.34300000000001701</v>
      </c>
      <c r="AF753">
        <v>0.877970529954616</v>
      </c>
      <c r="AG753">
        <v>-1.0603808447741001</v>
      </c>
      <c r="AH753">
        <v>67.902140435674994</v>
      </c>
      <c r="AI753">
        <v>90.894601140181095</v>
      </c>
      <c r="AJ753">
        <v>89.259210349903</v>
      </c>
      <c r="AK753">
        <v>67.916094672276103</v>
      </c>
      <c r="AL753">
        <v>79.769286101125005</v>
      </c>
      <c r="AM753">
        <v>93.192885172469104</v>
      </c>
      <c r="AN753">
        <v>0.99999999194236999</v>
      </c>
    </row>
    <row r="754" spans="1:40" x14ac:dyDescent="0.25">
      <c r="A754" t="str">
        <f>"20190304155329605"</f>
        <v>20190304155329605</v>
      </c>
      <c r="B754" t="str">
        <f>"1551686009596289"</f>
        <v>1551686009596289</v>
      </c>
      <c r="C754" t="s">
        <v>40</v>
      </c>
      <c r="D754">
        <v>4.3809360000000002</v>
      </c>
      <c r="E754">
        <v>0.52408029999999906</v>
      </c>
      <c r="F754" t="s">
        <v>46</v>
      </c>
      <c r="G754">
        <v>-219.56039999999999</v>
      </c>
      <c r="H754" s="1">
        <v>-8.2714829999999997E-7</v>
      </c>
      <c r="I754">
        <v>367.01760000000002</v>
      </c>
      <c r="J754">
        <v>-287.24239999999998</v>
      </c>
      <c r="K754">
        <v>1.0603830000000001</v>
      </c>
      <c r="L754">
        <v>367.32859999999999</v>
      </c>
      <c r="M754">
        <v>0.99985990000000002</v>
      </c>
      <c r="N754">
        <v>-1.4749170000000001E-2</v>
      </c>
      <c r="O754">
        <v>7.9382749999999998E-3</v>
      </c>
      <c r="P754">
        <v>0.98461109999999996</v>
      </c>
      <c r="Q754">
        <v>0.16323260000000001</v>
      </c>
      <c r="R754">
        <v>6.2422400000000003E-2</v>
      </c>
      <c r="S754">
        <v>3.055634</v>
      </c>
      <c r="T754">
        <v>-4.772055E-2</v>
      </c>
      <c r="U754">
        <v>-1.3916019999999999E-2</v>
      </c>
      <c r="V754">
        <v>-5.4641149999999999E-2</v>
      </c>
      <c r="W754">
        <v>0.17773239999999901</v>
      </c>
      <c r="X754">
        <v>0.98256069999999995</v>
      </c>
      <c r="Y754">
        <v>1.249012E-2</v>
      </c>
      <c r="Z754">
        <v>-1.9652649999999999E-4</v>
      </c>
      <c r="AA754">
        <v>0.99992199999999998</v>
      </c>
      <c r="AB754">
        <v>37</v>
      </c>
      <c r="AC754">
        <v>67.681999999999903</v>
      </c>
      <c r="AD754">
        <v>-1.0603838271482999</v>
      </c>
      <c r="AE754">
        <v>-0.31099999999997802</v>
      </c>
      <c r="AF754">
        <v>0.84811870116252697</v>
      </c>
      <c r="AG754">
        <v>-1.0603838271482999</v>
      </c>
      <c r="AH754">
        <v>67.660790267722604</v>
      </c>
      <c r="AI754">
        <v>90.897798755013994</v>
      </c>
      <c r="AJ754">
        <v>89.281842894600899</v>
      </c>
      <c r="AK754">
        <v>67.674413620251599</v>
      </c>
      <c r="AL754">
        <v>79.762293659613604</v>
      </c>
      <c r="AM754">
        <v>93.182995144753093</v>
      </c>
      <c r="AN754">
        <v>0.99999999523378602</v>
      </c>
    </row>
    <row r="755" spans="1:40" x14ac:dyDescent="0.25">
      <c r="A755" t="str">
        <f>"20190304155329621"</f>
        <v>20190304155329621</v>
      </c>
      <c r="B755" t="str">
        <f>"1551686009616786"</f>
        <v>1551686009616786</v>
      </c>
      <c r="C755" t="s">
        <v>40</v>
      </c>
      <c r="D755">
        <v>4.3795029999999997</v>
      </c>
      <c r="E755">
        <v>0.52405829999999998</v>
      </c>
      <c r="F755" t="s">
        <v>46</v>
      </c>
      <c r="G755">
        <v>-219.27369999999999</v>
      </c>
      <c r="H755" s="1">
        <v>-9.2579140000000003E-7</v>
      </c>
      <c r="I755">
        <v>367.0136</v>
      </c>
      <c r="J755">
        <v>-286.96640000000002</v>
      </c>
      <c r="K755">
        <v>1.060384</v>
      </c>
      <c r="L755">
        <v>367.33089999999999</v>
      </c>
      <c r="M755">
        <v>0.9998591</v>
      </c>
      <c r="N755">
        <v>-1.475284E-2</v>
      </c>
      <c r="O755">
        <v>8.0151240000000002E-3</v>
      </c>
      <c r="P755">
        <v>0.98458590000000001</v>
      </c>
      <c r="Q755">
        <v>0.1632642</v>
      </c>
      <c r="R755">
        <v>6.2733839999999999E-2</v>
      </c>
      <c r="S755">
        <v>3.0556950000000001</v>
      </c>
      <c r="T755">
        <v>-4.7672029999999997E-2</v>
      </c>
      <c r="U755">
        <v>-1.416016E-2</v>
      </c>
      <c r="V755">
        <v>-5.4876460000000002E-2</v>
      </c>
      <c r="W755">
        <v>0.1777676</v>
      </c>
      <c r="X755">
        <v>0.9825412</v>
      </c>
      <c r="Y755">
        <v>1.264674E-2</v>
      </c>
      <c r="Z755">
        <v>-1.987329E-4</v>
      </c>
      <c r="AA755">
        <v>0.99992000000000003</v>
      </c>
      <c r="AB755">
        <v>37</v>
      </c>
      <c r="AC755">
        <v>67.692700000000002</v>
      </c>
      <c r="AD755">
        <v>-1.0603849257914</v>
      </c>
      <c r="AE755">
        <v>-0.31729999999998798</v>
      </c>
      <c r="AF755">
        <v>0.85970326247455098</v>
      </c>
      <c r="AG755">
        <v>-1.0603849257914</v>
      </c>
      <c r="AH755">
        <v>67.671376651770103</v>
      </c>
      <c r="AI755">
        <v>90.897657341540693</v>
      </c>
      <c r="AJ755">
        <v>89.272148413100496</v>
      </c>
      <c r="AK755">
        <v>67.685144040890407</v>
      </c>
      <c r="AL755">
        <v>79.760244029428193</v>
      </c>
      <c r="AM755">
        <v>93.196737534233407</v>
      </c>
      <c r="AN755">
        <v>0.99999997758466497</v>
      </c>
    </row>
    <row r="756" spans="1:40" x14ac:dyDescent="0.25">
      <c r="A756" t="str">
        <f>"20190304155329644"</f>
        <v>20190304155329644</v>
      </c>
      <c r="B756" t="str">
        <f>"1551686009636305"</f>
        <v>1551686009636305</v>
      </c>
      <c r="C756" t="s">
        <v>40</v>
      </c>
      <c r="D756">
        <v>4.3760050000000001</v>
      </c>
      <c r="E756">
        <v>0.52404899999999999</v>
      </c>
      <c r="F756" t="s">
        <v>46</v>
      </c>
      <c r="G756">
        <v>-219.59610000000001</v>
      </c>
      <c r="H756" s="1">
        <v>-8.0774720000000002E-7</v>
      </c>
      <c r="I756">
        <v>367.04489999999998</v>
      </c>
      <c r="J756">
        <v>-286.60270000000003</v>
      </c>
      <c r="K756">
        <v>1.0603830000000001</v>
      </c>
      <c r="L756">
        <v>367.33390000000003</v>
      </c>
      <c r="M756">
        <v>0.99985829999999998</v>
      </c>
      <c r="N756">
        <v>-1.4756500000000001E-2</v>
      </c>
      <c r="O756">
        <v>8.1155250000000002E-3</v>
      </c>
      <c r="P756">
        <v>0.98458860000000004</v>
      </c>
      <c r="Q756">
        <v>0.163101</v>
      </c>
      <c r="R756">
        <v>6.311551E-2</v>
      </c>
      <c r="S756">
        <v>3.0557249999999998</v>
      </c>
      <c r="T756">
        <v>-4.8095939999999997E-2</v>
      </c>
      <c r="U756">
        <v>-1.2969970000000001E-2</v>
      </c>
      <c r="V756">
        <v>-5.5159180000000002E-2</v>
      </c>
      <c r="W756">
        <v>0.17760799999999999</v>
      </c>
      <c r="X756">
        <v>0.98255429999999999</v>
      </c>
      <c r="Y756">
        <v>1.2357669999999999E-2</v>
      </c>
      <c r="Z756">
        <v>-1.9640390000000001E-4</v>
      </c>
      <c r="AA756">
        <v>0.99992360000000002</v>
      </c>
      <c r="AB756">
        <v>37</v>
      </c>
      <c r="AC756">
        <v>67.006600000000006</v>
      </c>
      <c r="AD756">
        <v>-1.0603838077472001</v>
      </c>
      <c r="AE756">
        <v>-0.289000000000044</v>
      </c>
      <c r="AF756">
        <v>0.83263485527205106</v>
      </c>
      <c r="AG756">
        <v>-1.0603838077472001</v>
      </c>
      <c r="AH756">
        <v>66.985272266301493</v>
      </c>
      <c r="AI756">
        <v>90.906852338144503</v>
      </c>
      <c r="AJ756">
        <v>89.2878433618488</v>
      </c>
      <c r="AK756">
        <v>66.998838760179197</v>
      </c>
      <c r="AL756">
        <v>79.7695369981206</v>
      </c>
      <c r="AM756">
        <v>93.213129749548699</v>
      </c>
      <c r="AN756">
        <v>1.0000000446253801</v>
      </c>
    </row>
    <row r="757" spans="1:40" x14ac:dyDescent="0.25">
      <c r="A757" t="str">
        <f>"20190304155329658"</f>
        <v>20190304155329658</v>
      </c>
      <c r="B757" t="str">
        <f>"1551686009647042"</f>
        <v>1551686009647042</v>
      </c>
      <c r="C757" t="s">
        <v>40</v>
      </c>
      <c r="D757">
        <v>4.3885740000000002</v>
      </c>
      <c r="E757">
        <v>0.52404849999999903</v>
      </c>
      <c r="F757" t="s">
        <v>46</v>
      </c>
      <c r="G757">
        <v>-220.64519999999999</v>
      </c>
      <c r="H757" s="1">
        <v>-4.446551E-6</v>
      </c>
      <c r="I757">
        <v>367.0736</v>
      </c>
      <c r="J757">
        <v>-286.35570000000001</v>
      </c>
      <c r="K757">
        <v>1.0603860000000001</v>
      </c>
      <c r="L757">
        <v>367.33589999999998</v>
      </c>
      <c r="M757">
        <v>0.99985760000000001</v>
      </c>
      <c r="N757">
        <v>-1.475841E-2</v>
      </c>
      <c r="O757">
        <v>8.1838120000000004E-3</v>
      </c>
      <c r="P757">
        <v>0.98458120000000005</v>
      </c>
      <c r="Q757">
        <v>0.16317229999999999</v>
      </c>
      <c r="R757">
        <v>6.3046210000000005E-2</v>
      </c>
      <c r="S757">
        <v>3.0558779999999999</v>
      </c>
      <c r="T757">
        <v>-4.9128770000000002E-2</v>
      </c>
      <c r="U757">
        <v>-1.205444E-2</v>
      </c>
      <c r="V757">
        <v>-5.502257E-2</v>
      </c>
      <c r="W757">
        <v>0.1776808</v>
      </c>
      <c r="X757">
        <v>0.9825488</v>
      </c>
      <c r="Y757">
        <v>1.2126140000000001E-2</v>
      </c>
      <c r="Z757">
        <v>-1.9773969999999999E-4</v>
      </c>
      <c r="AA757">
        <v>0.99992639999999999</v>
      </c>
      <c r="AB757">
        <v>36</v>
      </c>
      <c r="AC757">
        <v>65.710499999999996</v>
      </c>
      <c r="AD757">
        <v>-1.0603904465509999</v>
      </c>
      <c r="AE757">
        <v>-0.26229999999998199</v>
      </c>
      <c r="AF757">
        <v>0.79990386408146197</v>
      </c>
      <c r="AG757">
        <v>-1.0603904465509999</v>
      </c>
      <c r="AH757">
        <v>65.689046177249296</v>
      </c>
      <c r="AI757">
        <v>90.924752625107701</v>
      </c>
      <c r="AJ757">
        <v>89.302336493216302</v>
      </c>
      <c r="AK757">
        <v>65.702473787276006</v>
      </c>
      <c r="AL757">
        <v>79.765298476391607</v>
      </c>
      <c r="AM757">
        <v>93.205206467267104</v>
      </c>
      <c r="AN757">
        <v>1.0000000471397399</v>
      </c>
    </row>
    <row r="758" spans="1:40" x14ac:dyDescent="0.25">
      <c r="A758" t="str">
        <f>"20190304155329679"</f>
        <v>20190304155329679</v>
      </c>
      <c r="B758" t="str">
        <f>"1551686009666561"</f>
        <v>1551686009666561</v>
      </c>
      <c r="C758" t="s">
        <v>40</v>
      </c>
      <c r="D758">
        <v>4.3814190000000002</v>
      </c>
      <c r="E758">
        <v>0.52402269999999995</v>
      </c>
      <c r="F758" t="s">
        <v>46</v>
      </c>
      <c r="G758">
        <v>-220.6045</v>
      </c>
      <c r="H758" s="1">
        <v>-4.4621040000000001E-6</v>
      </c>
      <c r="I758">
        <v>367.08440000000002</v>
      </c>
      <c r="J758">
        <v>-286.04000000000002</v>
      </c>
      <c r="K758">
        <v>1.060389</v>
      </c>
      <c r="L758">
        <v>367.33859999999999</v>
      </c>
      <c r="M758">
        <v>0.99985690000000005</v>
      </c>
      <c r="N758">
        <v>-1.4760209999999999E-2</v>
      </c>
      <c r="O758">
        <v>8.2706389999999998E-3</v>
      </c>
      <c r="P758">
        <v>0.98460550000000002</v>
      </c>
      <c r="Q758">
        <v>0.16303670000000001</v>
      </c>
      <c r="R758">
        <v>6.3017499999999907E-2</v>
      </c>
      <c r="S758">
        <v>3.055847</v>
      </c>
      <c r="T758">
        <v>-4.9282550000000001E-2</v>
      </c>
      <c r="U758">
        <v>-1.1688230000000001E-2</v>
      </c>
      <c r="V758">
        <v>-5.4908190000000003E-2</v>
      </c>
      <c r="W758">
        <v>0.17754800000000001</v>
      </c>
      <c r="X758">
        <v>0.98257919999999999</v>
      </c>
      <c r="Y758">
        <v>1.209318E-2</v>
      </c>
      <c r="Z758">
        <v>-1.980645E-4</v>
      </c>
      <c r="AA758">
        <v>0.99992689999999995</v>
      </c>
      <c r="AB758">
        <v>36</v>
      </c>
      <c r="AC758">
        <v>65.435500000000005</v>
      </c>
      <c r="AD758">
        <v>-1.0603934621040001</v>
      </c>
      <c r="AE758">
        <v>-0.25419999999996801</v>
      </c>
      <c r="AF758">
        <v>0.79523480974361704</v>
      </c>
      <c r="AG758">
        <v>-1.0603934621040001</v>
      </c>
      <c r="AH758">
        <v>65.413980894223499</v>
      </c>
      <c r="AI758">
        <v>90.928643391459403</v>
      </c>
      <c r="AJ758">
        <v>89.303492108902205</v>
      </c>
      <c r="AK758">
        <v>65.427408088101302</v>
      </c>
      <c r="AL758">
        <v>79.7730302468688</v>
      </c>
      <c r="AM758">
        <v>93.198458631878594</v>
      </c>
      <c r="AN758">
        <v>1.0000000429528499</v>
      </c>
    </row>
    <row r="759" spans="1:40" x14ac:dyDescent="0.25">
      <c r="A759" t="str">
        <f>"20190304155329700"</f>
        <v>20190304155329700</v>
      </c>
      <c r="B759" t="str">
        <f>"1551686009696817"</f>
        <v>1551686009696817</v>
      </c>
      <c r="C759" t="s">
        <v>40</v>
      </c>
      <c r="D759">
        <v>4.4138400000000004</v>
      </c>
      <c r="E759">
        <v>0.52398199999999995</v>
      </c>
      <c r="F759" t="s">
        <v>46</v>
      </c>
      <c r="G759">
        <v>-221.62960000000001</v>
      </c>
      <c r="H759" s="1">
        <v>-4.0219499999999997E-6</v>
      </c>
      <c r="I759">
        <v>367.0865</v>
      </c>
      <c r="J759">
        <v>-285.6848</v>
      </c>
      <c r="K759">
        <v>1.0603940000000001</v>
      </c>
      <c r="L759">
        <v>367.34160000000003</v>
      </c>
      <c r="M759">
        <v>0.99985619999999997</v>
      </c>
      <c r="N759">
        <v>-1.476149E-2</v>
      </c>
      <c r="O759">
        <v>8.3684910000000005E-3</v>
      </c>
      <c r="P759">
        <v>0.98459099999999999</v>
      </c>
      <c r="Q759">
        <v>0.16315539999999901</v>
      </c>
      <c r="R759">
        <v>6.2937080000000006E-2</v>
      </c>
      <c r="S759">
        <v>3.0559690000000002</v>
      </c>
      <c r="T759">
        <v>-5.0310609999999999E-2</v>
      </c>
      <c r="U759">
        <v>-1.196289E-2</v>
      </c>
      <c r="V759">
        <v>-5.4731759999999997E-2</v>
      </c>
      <c r="W759">
        <v>0.1776672</v>
      </c>
      <c r="X759">
        <v>0.98256739999999998</v>
      </c>
      <c r="Y759">
        <v>1.2280599999999999E-2</v>
      </c>
      <c r="Z759">
        <v>-2.05961E-4</v>
      </c>
      <c r="AA759">
        <v>0.99992449999999999</v>
      </c>
      <c r="AB759">
        <v>36</v>
      </c>
      <c r="AC759">
        <v>64.0551999999999</v>
      </c>
      <c r="AD759">
        <v>-1.06039802195</v>
      </c>
      <c r="AE759">
        <v>-0.25510000000002703</v>
      </c>
      <c r="AF759">
        <v>0.79097798360183402</v>
      </c>
      <c r="AG759">
        <v>-1.06039802195</v>
      </c>
      <c r="AH759">
        <v>64.033273483847196</v>
      </c>
      <c r="AI759">
        <v>90.948665302853598</v>
      </c>
      <c r="AJ759">
        <v>89.292283638978603</v>
      </c>
      <c r="AK759">
        <v>64.046937500497805</v>
      </c>
      <c r="AL759">
        <v>79.766089266876705</v>
      </c>
      <c r="AM759">
        <v>93.188240847248494</v>
      </c>
      <c r="AN759">
        <v>0.99999994752564703</v>
      </c>
    </row>
    <row r="760" spans="1:40" x14ac:dyDescent="0.25">
      <c r="A760" t="str">
        <f>"20190304155329723"</f>
        <v>20190304155329723</v>
      </c>
      <c r="B760" t="str">
        <f>"1551686009716337"</f>
        <v>1551686009716337</v>
      </c>
      <c r="C760" t="s">
        <v>40</v>
      </c>
      <c r="D760">
        <v>4.4231680000000004</v>
      </c>
      <c r="E760">
        <v>0.52395570000000002</v>
      </c>
      <c r="F760" t="s">
        <v>46</v>
      </c>
      <c r="G760">
        <v>-221.98249999999999</v>
      </c>
      <c r="H760" s="1">
        <v>-3.8688799999999998E-6</v>
      </c>
      <c r="I760">
        <v>367.09609999999998</v>
      </c>
      <c r="J760">
        <v>-285.32100000000003</v>
      </c>
      <c r="K760">
        <v>1.060398</v>
      </c>
      <c r="L760">
        <v>367.34480000000002</v>
      </c>
      <c r="M760">
        <v>0.9998553</v>
      </c>
      <c r="N760">
        <v>-1.476208E-2</v>
      </c>
      <c r="O760">
        <v>8.4683199999999997E-3</v>
      </c>
      <c r="P760">
        <v>0.98462320000000003</v>
      </c>
      <c r="Q760">
        <v>0.16311129999999999</v>
      </c>
      <c r="R760">
        <v>6.2545900000000001E-2</v>
      </c>
      <c r="S760">
        <v>3.0560909999999999</v>
      </c>
      <c r="T760">
        <v>-5.0872090000000002E-2</v>
      </c>
      <c r="U760">
        <v>-1.177979E-2</v>
      </c>
      <c r="V760">
        <v>-5.4241629999999999E-2</v>
      </c>
      <c r="W760">
        <v>0.17762500000000001</v>
      </c>
      <c r="X760">
        <v>0.98260230000000004</v>
      </c>
      <c r="Y760">
        <v>1.2320299999999999E-2</v>
      </c>
      <c r="Z760">
        <v>-2.094268E-4</v>
      </c>
      <c r="AA760">
        <v>0.99992409999999998</v>
      </c>
      <c r="AB760">
        <v>36</v>
      </c>
      <c r="AC760">
        <v>63.338499999999897</v>
      </c>
      <c r="AD760">
        <v>-1.0604018688800001</v>
      </c>
      <c r="AE760">
        <v>-0.248700000000042</v>
      </c>
      <c r="AF760">
        <v>0.784900156137188</v>
      </c>
      <c r="AG760">
        <v>-1.0604018688800001</v>
      </c>
      <c r="AH760">
        <v>63.316375500997701</v>
      </c>
      <c r="AI760">
        <v>90.959407503363906</v>
      </c>
      <c r="AJ760">
        <v>89.289770418578001</v>
      </c>
      <c r="AK760">
        <v>63.330118640043402</v>
      </c>
      <c r="AL760">
        <v>79.768547158813803</v>
      </c>
      <c r="AM760">
        <v>93.159635850888506</v>
      </c>
      <c r="AN760">
        <v>1.0000000375076701</v>
      </c>
    </row>
    <row r="761" spans="1:40" x14ac:dyDescent="0.25">
      <c r="A761" t="str">
        <f>"20190304155329744"</f>
        <v>20190304155329744</v>
      </c>
      <c r="B761" t="str">
        <f>"1551686009736833"</f>
        <v>1551686009736833</v>
      </c>
      <c r="C761" t="s">
        <v>40</v>
      </c>
      <c r="D761">
        <v>4.5322760000000004</v>
      </c>
      <c r="E761">
        <v>0.52398259999999997</v>
      </c>
      <c r="F761" t="s">
        <v>46</v>
      </c>
      <c r="G761">
        <v>-222.56610000000001</v>
      </c>
      <c r="H761" s="1">
        <v>-3.6209879999999998E-6</v>
      </c>
      <c r="I761">
        <v>367.0822</v>
      </c>
      <c r="J761">
        <v>-284.97039999999998</v>
      </c>
      <c r="K761">
        <v>1.0603929999999999</v>
      </c>
      <c r="L761">
        <v>367.34789999999998</v>
      </c>
      <c r="M761">
        <v>0.99985449999999998</v>
      </c>
      <c r="N761">
        <v>-1.476207E-2</v>
      </c>
      <c r="O761">
        <v>8.5656980000000001E-3</v>
      </c>
      <c r="P761">
        <v>0.9846935</v>
      </c>
      <c r="Q761">
        <v>0.16289699999999999</v>
      </c>
      <c r="R761">
        <v>6.1997289999999997E-2</v>
      </c>
      <c r="S761">
        <v>3.0562130000000001</v>
      </c>
      <c r="T761">
        <v>-5.1642300000000002E-2</v>
      </c>
      <c r="U761">
        <v>-1.2786870000000001E-2</v>
      </c>
      <c r="V761">
        <v>-5.3596190000000002E-2</v>
      </c>
      <c r="W761">
        <v>0.1774114</v>
      </c>
      <c r="X761">
        <v>0.98267629999999995</v>
      </c>
      <c r="Y761">
        <v>1.2746830000000001E-2</v>
      </c>
      <c r="Z761">
        <v>-2.2006320000000001E-4</v>
      </c>
      <c r="AA761">
        <v>0.9999188</v>
      </c>
      <c r="AB761">
        <v>36</v>
      </c>
      <c r="AC761">
        <v>62.4042999999999</v>
      </c>
      <c r="AD761">
        <v>-1.060396620988</v>
      </c>
      <c r="AE761">
        <v>-0.26569999999998101</v>
      </c>
      <c r="AF761">
        <v>0.80005380342348498</v>
      </c>
      <c r="AG761">
        <v>-1.060396620988</v>
      </c>
      <c r="AH761">
        <v>62.3817221670446</v>
      </c>
      <c r="AI761">
        <v>90.973769293486697</v>
      </c>
      <c r="AJ761">
        <v>89.265214366071007</v>
      </c>
      <c r="AK761">
        <v>62.395863545659097</v>
      </c>
      <c r="AL761">
        <v>79.780983008365496</v>
      </c>
      <c r="AM761">
        <v>93.121878429530298</v>
      </c>
      <c r="AN761">
        <v>1.00000003350708</v>
      </c>
    </row>
    <row r="762" spans="1:40" x14ac:dyDescent="0.25">
      <c r="A762" t="str">
        <f>"20190304155329758"</f>
        <v>20190304155329758</v>
      </c>
      <c r="B762" t="str">
        <f>"1551686009746594"</f>
        <v>1551686009746594</v>
      </c>
      <c r="C762" t="s">
        <v>40</v>
      </c>
      <c r="D762">
        <v>4.421017</v>
      </c>
      <c r="E762">
        <v>0.52398919999999904</v>
      </c>
      <c r="F762" t="s">
        <v>46</v>
      </c>
      <c r="G762">
        <v>-223.01089999999999</v>
      </c>
      <c r="H762" s="1">
        <v>-3.4337339999999999E-6</v>
      </c>
      <c r="I762">
        <v>367.06200000000001</v>
      </c>
      <c r="J762">
        <v>-284.74059999999997</v>
      </c>
      <c r="K762">
        <v>1.0603959999999999</v>
      </c>
      <c r="L762">
        <v>367.34989999999999</v>
      </c>
      <c r="M762">
        <v>0.99985400000000002</v>
      </c>
      <c r="N762">
        <v>-1.476177E-2</v>
      </c>
      <c r="O762">
        <v>8.6294690000000007E-3</v>
      </c>
      <c r="P762">
        <v>0.98472740000000003</v>
      </c>
      <c r="Q762">
        <v>0.16286110000000001</v>
      </c>
      <c r="R762">
        <v>6.1550939999999998E-2</v>
      </c>
      <c r="S762">
        <v>3.0561829999999999</v>
      </c>
      <c r="T762">
        <v>-5.2304509999999999E-2</v>
      </c>
      <c r="U762">
        <v>-1.409912E-2</v>
      </c>
      <c r="V762">
        <v>-5.3086250000000001E-2</v>
      </c>
      <c r="W762">
        <v>0.177375799999999</v>
      </c>
      <c r="X762">
        <v>0.98271039999999998</v>
      </c>
      <c r="Y762">
        <v>1.323977E-2</v>
      </c>
      <c r="Z762">
        <v>-2.313099E-4</v>
      </c>
      <c r="AA762">
        <v>0.99991229999999998</v>
      </c>
      <c r="AB762">
        <v>36</v>
      </c>
      <c r="AC762">
        <v>61.729699999999902</v>
      </c>
      <c r="AD762">
        <v>-1.0603994337339999</v>
      </c>
      <c r="AE762">
        <v>-0.28790000000003602</v>
      </c>
      <c r="AF762">
        <v>0.82039966894024396</v>
      </c>
      <c r="AG762">
        <v>-1.0603994337339999</v>
      </c>
      <c r="AH762">
        <v>61.706707852406602</v>
      </c>
      <c r="AI762">
        <v>90.984415914212804</v>
      </c>
      <c r="AJ762">
        <v>89.238289143931993</v>
      </c>
      <c r="AK762">
        <v>61.721271021894196</v>
      </c>
      <c r="AL762">
        <v>79.783055545602096</v>
      </c>
      <c r="AM762">
        <v>93.092126200686494</v>
      </c>
      <c r="AN762">
        <v>1.00000002731643</v>
      </c>
    </row>
    <row r="763" spans="1:40" x14ac:dyDescent="0.25">
      <c r="A763" t="str">
        <f>"20190304155329772"</f>
        <v>20190304155329772</v>
      </c>
      <c r="B763" t="str">
        <f>"1551686009766113"</f>
        <v>1551686009766113</v>
      </c>
      <c r="C763" t="s">
        <v>40</v>
      </c>
      <c r="D763">
        <v>4.3323460000000003</v>
      </c>
      <c r="E763">
        <v>0.55705819999999995</v>
      </c>
      <c r="F763" t="s">
        <v>46</v>
      </c>
      <c r="G763">
        <v>-223.17490000000001</v>
      </c>
      <c r="H763" s="1">
        <v>-3.367932E-6</v>
      </c>
      <c r="I763">
        <v>367.03629999999998</v>
      </c>
      <c r="J763">
        <v>-284.517</v>
      </c>
      <c r="K763">
        <v>1.0604009999999999</v>
      </c>
      <c r="L763">
        <v>367.3519</v>
      </c>
      <c r="M763">
        <v>0.99985329999999994</v>
      </c>
      <c r="N763">
        <v>-1.476128E-2</v>
      </c>
      <c r="O763">
        <v>8.6919279999999998E-3</v>
      </c>
      <c r="P763">
        <v>0.98471370000000003</v>
      </c>
      <c r="Q763">
        <v>0.1629939</v>
      </c>
      <c r="R763">
        <v>6.1416220000000001E-2</v>
      </c>
      <c r="S763">
        <v>3.0562130000000001</v>
      </c>
      <c r="T763">
        <v>-5.2639720000000001E-2</v>
      </c>
      <c r="U763">
        <v>-1.556396E-2</v>
      </c>
      <c r="V763">
        <v>-5.2890489999999998E-2</v>
      </c>
      <c r="W763">
        <v>0.17750859999999999</v>
      </c>
      <c r="X763">
        <v>0.98269700000000004</v>
      </c>
      <c r="Y763">
        <v>1.378125E-2</v>
      </c>
      <c r="Z763">
        <v>-2.4179449999999999E-4</v>
      </c>
      <c r="AA763">
        <v>0.99990500000000004</v>
      </c>
      <c r="AB763">
        <v>36</v>
      </c>
      <c r="AC763">
        <v>61.342099999999903</v>
      </c>
      <c r="AD763">
        <v>-1.0604043679320001</v>
      </c>
      <c r="AE763">
        <v>-0.31560000000001698</v>
      </c>
      <c r="AF763">
        <v>0.84857369915868597</v>
      </c>
      <c r="AG763">
        <v>-1.0604043679320001</v>
      </c>
      <c r="AH763">
        <v>61.318715342383697</v>
      </c>
      <c r="AI763">
        <v>90.990640847419002</v>
      </c>
      <c r="AJ763">
        <v>89.207149270457293</v>
      </c>
      <c r="AK763">
        <v>61.333754050984901</v>
      </c>
      <c r="AL763">
        <v>79.7753242143786</v>
      </c>
      <c r="AM763">
        <v>93.080787659004798</v>
      </c>
      <c r="AN763">
        <v>1.00000005040769</v>
      </c>
    </row>
    <row r="764" spans="1:40" x14ac:dyDescent="0.25">
      <c r="A764" t="str">
        <f>"20190304155329789"</f>
        <v>20190304155329789</v>
      </c>
      <c r="B764" t="str">
        <f>"1551686009786609"</f>
        <v>1551686009786609</v>
      </c>
      <c r="C764" t="s">
        <v>40</v>
      </c>
      <c r="D764">
        <v>4.2660539999999996</v>
      </c>
      <c r="E764">
        <v>0.57006939999999995</v>
      </c>
      <c r="F764" t="s">
        <v>41</v>
      </c>
      <c r="G764">
        <v>-166.44030000000001</v>
      </c>
      <c r="H764">
        <v>1.4626110000000001</v>
      </c>
      <c r="I764">
        <v>356.61509999999998</v>
      </c>
      <c r="J764">
        <v>-284.2482</v>
      </c>
      <c r="K764">
        <v>1.0604020000000001</v>
      </c>
      <c r="L764">
        <v>367.35430000000002</v>
      </c>
      <c r="M764">
        <v>0.99985259999999998</v>
      </c>
      <c r="N764">
        <v>-1.4760509999999999E-2</v>
      </c>
      <c r="O764">
        <v>8.7666089999999999E-3</v>
      </c>
      <c r="P764">
        <v>0.984684</v>
      </c>
      <c r="Q764">
        <v>0.16354929999999901</v>
      </c>
      <c r="R764">
        <v>6.0408070000000001E-2</v>
      </c>
      <c r="S764">
        <v>3.0621339999999999</v>
      </c>
      <c r="T764">
        <v>1.043296E-2</v>
      </c>
      <c r="U764">
        <v>-0.27844239999999998</v>
      </c>
      <c r="V764">
        <v>-5.1808849999999997E-2</v>
      </c>
      <c r="W764">
        <v>0.17806279999999999</v>
      </c>
      <c r="X764">
        <v>0.98265429999999998</v>
      </c>
      <c r="Y764">
        <v>9.9285760000000001E-2</v>
      </c>
      <c r="Z764">
        <v>-4.0656999999999998E-4</v>
      </c>
      <c r="AA764">
        <v>0.99505889999999997</v>
      </c>
      <c r="AB764">
        <v>36</v>
      </c>
      <c r="AC764">
        <v>117.8079</v>
      </c>
      <c r="AD764">
        <v>0.40220899999999998</v>
      </c>
      <c r="AE764">
        <v>-10.7392</v>
      </c>
      <c r="AF764">
        <v>11.771539498578701</v>
      </c>
      <c r="AG764">
        <v>0.40220899999999998</v>
      </c>
      <c r="AH764">
        <v>117.707854616139</v>
      </c>
      <c r="AI764">
        <v>89.805192202298301</v>
      </c>
      <c r="AJ764">
        <v>84.289043459778597</v>
      </c>
      <c r="AK764">
        <v>118.295688647475</v>
      </c>
      <c r="AL764">
        <v>79.743056281210102</v>
      </c>
      <c r="AM764">
        <v>93.018032409096406</v>
      </c>
      <c r="AN764">
        <v>0.99999999549532603</v>
      </c>
    </row>
    <row r="765" spans="1:40" x14ac:dyDescent="0.25">
      <c r="A765" t="str">
        <f>"20190304155329823"</f>
        <v>20190304155329823</v>
      </c>
      <c r="B765" t="str">
        <f>"1551686009816865"</f>
        <v>1551686009816865</v>
      </c>
      <c r="C765" t="s">
        <v>40</v>
      </c>
      <c r="D765">
        <v>4.287344</v>
      </c>
      <c r="E765">
        <v>0.57586499999999996</v>
      </c>
      <c r="F765" t="s">
        <v>41</v>
      </c>
      <c r="G765">
        <v>-158.78319999999999</v>
      </c>
      <c r="H765">
        <v>3.1651099999999999</v>
      </c>
      <c r="I765">
        <v>351.6121</v>
      </c>
      <c r="J765">
        <v>-283.70069999999998</v>
      </c>
      <c r="K765">
        <v>1.060403</v>
      </c>
      <c r="L765">
        <v>367.35919999999999</v>
      </c>
      <c r="M765">
        <v>0.9998513</v>
      </c>
      <c r="N765">
        <v>-1.475827E-2</v>
      </c>
      <c r="O765">
        <v>8.9181309999999993E-3</v>
      </c>
      <c r="P765">
        <v>0.9846338</v>
      </c>
      <c r="Q765">
        <v>0.16385429999999901</v>
      </c>
      <c r="R765">
        <v>6.0400969999999998E-2</v>
      </c>
      <c r="S765">
        <v>3.0617070000000002</v>
      </c>
      <c r="T765">
        <v>5.1362989999999997E-2</v>
      </c>
      <c r="U765">
        <v>-0.38415529999999998</v>
      </c>
      <c r="V765">
        <v>-5.1653230000000001E-2</v>
      </c>
      <c r="W765">
        <v>0.17836489999999999</v>
      </c>
      <c r="X765">
        <v>0.98260769999999997</v>
      </c>
      <c r="Y765">
        <v>0.13333320000000001</v>
      </c>
      <c r="Z765">
        <v>4.0627220000000002E-4</v>
      </c>
      <c r="AA765">
        <v>0.99107120000000004</v>
      </c>
      <c r="AB765">
        <v>36</v>
      </c>
      <c r="AC765">
        <v>124.9175</v>
      </c>
      <c r="AD765">
        <v>2.1047069999999999</v>
      </c>
      <c r="AE765">
        <v>-15.7470999999999</v>
      </c>
      <c r="AF765">
        <v>16.8559154078144</v>
      </c>
      <c r="AG765">
        <v>2.1047069999999999</v>
      </c>
      <c r="AH765">
        <v>124.737224634513</v>
      </c>
      <c r="AI765">
        <v>89.042037998426494</v>
      </c>
      <c r="AJ765">
        <v>82.304158623104797</v>
      </c>
      <c r="AK765">
        <v>125.888549460672</v>
      </c>
      <c r="AL765">
        <v>79.725465604223999</v>
      </c>
      <c r="AM765">
        <v>93.009126165084695</v>
      </c>
      <c r="AN765">
        <v>0.99999999291036601</v>
      </c>
    </row>
    <row r="766" spans="1:40" x14ac:dyDescent="0.25">
      <c r="A766" t="str">
        <f>"20190304155329844"</f>
        <v>20190304155329844</v>
      </c>
      <c r="B766" t="str">
        <f>"1551686009836385"</f>
        <v>1551686009836385</v>
      </c>
      <c r="C766" t="s">
        <v>40</v>
      </c>
      <c r="D766">
        <v>4.2734680000000003</v>
      </c>
      <c r="E766">
        <v>0.57759179999999999</v>
      </c>
      <c r="F766" t="s">
        <v>43</v>
      </c>
      <c r="G766">
        <v>0</v>
      </c>
      <c r="H766">
        <v>0</v>
      </c>
      <c r="I766">
        <v>0</v>
      </c>
      <c r="J766">
        <v>-283.35300000000001</v>
      </c>
      <c r="K766">
        <v>1.0604100000000001</v>
      </c>
      <c r="L766">
        <v>367.36239999999998</v>
      </c>
      <c r="M766">
        <v>0.99985060000000003</v>
      </c>
      <c r="N766">
        <v>-1.4756439999999999E-2</v>
      </c>
      <c r="O766">
        <v>9.0139839999999992E-3</v>
      </c>
      <c r="P766">
        <v>0.98461520000000002</v>
      </c>
      <c r="Q766">
        <v>0.1637777</v>
      </c>
      <c r="R766">
        <v>6.0908820000000002E-2</v>
      </c>
      <c r="S766">
        <v>3.060486</v>
      </c>
      <c r="T766">
        <v>7.6334360000000004E-2</v>
      </c>
      <c r="U766">
        <v>-0.43011470000000002</v>
      </c>
      <c r="V766">
        <v>-5.2066290000000001E-2</v>
      </c>
      <c r="W766">
        <v>0.17828659999999999</v>
      </c>
      <c r="X766">
        <v>0.98260020000000003</v>
      </c>
      <c r="Y766">
        <v>0.148066899999999</v>
      </c>
      <c r="Z766">
        <v>1.0953320000000001E-3</v>
      </c>
      <c r="AA766">
        <v>0.98897670000000004</v>
      </c>
      <c r="AB766">
        <v>36</v>
      </c>
      <c r="AC766">
        <v>3.060486</v>
      </c>
      <c r="AD766">
        <v>7.6334360000000004E-2</v>
      </c>
      <c r="AE766">
        <v>-0.43011470000000002</v>
      </c>
      <c r="AF766">
        <v>0.45740835297394999</v>
      </c>
      <c r="AG766">
        <v>7.6334360000000004E-2</v>
      </c>
      <c r="AH766">
        <v>3.0546206960014102</v>
      </c>
      <c r="AI766">
        <v>88.584265847016397</v>
      </c>
      <c r="AJ766">
        <v>81.4836306771289</v>
      </c>
      <c r="AK766">
        <v>3.0896208395735298</v>
      </c>
      <c r="AL766">
        <v>79.730025864542299</v>
      </c>
      <c r="AM766">
        <v>93.033167866384701</v>
      </c>
      <c r="AN766">
        <v>1.0000000816669701</v>
      </c>
    </row>
    <row r="767" spans="1:40" x14ac:dyDescent="0.25">
      <c r="A767" t="str">
        <f>"20190304155329868"</f>
        <v>20190304155329868</v>
      </c>
      <c r="B767" t="str">
        <f>"1551686009856881"</f>
        <v>1551686009856881</v>
      </c>
      <c r="C767" t="s">
        <v>40</v>
      </c>
      <c r="D767">
        <v>4.2934159999999997</v>
      </c>
      <c r="E767">
        <v>0.57888859999999998</v>
      </c>
      <c r="F767" t="s">
        <v>43</v>
      </c>
      <c r="G767">
        <v>0</v>
      </c>
      <c r="H767">
        <v>0</v>
      </c>
      <c r="I767">
        <v>0</v>
      </c>
      <c r="J767">
        <v>-282.97919999999999</v>
      </c>
      <c r="K767">
        <v>1.0604070000000001</v>
      </c>
      <c r="L767">
        <v>367.36590000000001</v>
      </c>
      <c r="M767">
        <v>0.99984969999999995</v>
      </c>
      <c r="N767">
        <v>-1.4754140000000001E-2</v>
      </c>
      <c r="O767">
        <v>9.1172200000000005E-3</v>
      </c>
      <c r="P767">
        <v>0.9846454</v>
      </c>
      <c r="Q767">
        <v>0.16350020000000001</v>
      </c>
      <c r="R767">
        <v>6.1165799999999999E-2</v>
      </c>
      <c r="S767">
        <v>3.060028</v>
      </c>
      <c r="T767">
        <v>8.5098030000000005E-2</v>
      </c>
      <c r="U767">
        <v>-0.44198609999999999</v>
      </c>
      <c r="V767">
        <v>-5.2221249999999997E-2</v>
      </c>
      <c r="W767">
        <v>0.1780069</v>
      </c>
      <c r="X767">
        <v>0.98264260000000003</v>
      </c>
      <c r="Y767">
        <v>0.15193899999999999</v>
      </c>
      <c r="Z767">
        <v>1.3605609999999999E-3</v>
      </c>
      <c r="AA767">
        <v>0.98838899999999996</v>
      </c>
      <c r="AB767">
        <v>36</v>
      </c>
      <c r="AC767">
        <v>3.060028</v>
      </c>
      <c r="AD767">
        <v>8.5098030000000005E-2</v>
      </c>
      <c r="AE767">
        <v>-0.44198609999999999</v>
      </c>
      <c r="AF767">
        <v>0.46951401994952302</v>
      </c>
      <c r="AG767">
        <v>8.5098030000000005E-2</v>
      </c>
      <c r="AH767">
        <v>3.0535573927106401</v>
      </c>
      <c r="AI767">
        <v>88.422199114056596</v>
      </c>
      <c r="AJ767">
        <v>81.258677602832094</v>
      </c>
      <c r="AK767">
        <v>3.0906144761546699</v>
      </c>
      <c r="AL767">
        <v>79.746311133311494</v>
      </c>
      <c r="AM767">
        <v>93.042047246409595</v>
      </c>
      <c r="AN767">
        <v>0.99999999736696599</v>
      </c>
    </row>
    <row r="768" spans="1:40" x14ac:dyDescent="0.25">
      <c r="A768" t="str">
        <f>"20190304155329890"</f>
        <v>20190304155329890</v>
      </c>
      <c r="B768" t="str">
        <f>"1551686009886163"</f>
        <v>1551686009886163</v>
      </c>
      <c r="C768" t="s">
        <v>40</v>
      </c>
      <c r="D768">
        <v>4.3600349999999999</v>
      </c>
      <c r="E768">
        <v>0.58047539999999997</v>
      </c>
      <c r="F768" t="s">
        <v>43</v>
      </c>
      <c r="G768">
        <v>0</v>
      </c>
      <c r="H768">
        <v>0</v>
      </c>
      <c r="I768">
        <v>0</v>
      </c>
      <c r="J768">
        <v>-282.62169999999998</v>
      </c>
      <c r="K768">
        <v>1.0604089999999999</v>
      </c>
      <c r="L768">
        <v>367.36919999999998</v>
      </c>
      <c r="M768">
        <v>0.99984879999999998</v>
      </c>
      <c r="N768">
        <v>-1.4751709999999999E-2</v>
      </c>
      <c r="O768">
        <v>9.2128139999999997E-3</v>
      </c>
      <c r="P768">
        <v>0.9846357</v>
      </c>
      <c r="Q768">
        <v>0.16333439999999999</v>
      </c>
      <c r="R768">
        <v>6.1763390000000001E-2</v>
      </c>
      <c r="S768">
        <v>3.0597530000000002</v>
      </c>
      <c r="T768">
        <v>9.0700509999999998E-2</v>
      </c>
      <c r="U768">
        <v>-0.45156859999999999</v>
      </c>
      <c r="V768">
        <v>-5.2724229999999997E-2</v>
      </c>
      <c r="W768">
        <v>0.17783889999999999</v>
      </c>
      <c r="X768">
        <v>0.98264620000000003</v>
      </c>
      <c r="Y768">
        <v>0.15506879999999901</v>
      </c>
      <c r="Z768">
        <v>1.54209799999999E-3</v>
      </c>
      <c r="AA768">
        <v>0.98790250000000002</v>
      </c>
      <c r="AB768">
        <v>36</v>
      </c>
      <c r="AC768">
        <v>3.0597530000000002</v>
      </c>
      <c r="AD768">
        <v>9.0700509999999998E-2</v>
      </c>
      <c r="AE768">
        <v>-0.45156859999999999</v>
      </c>
      <c r="AF768">
        <v>0.47932921898574599</v>
      </c>
      <c r="AG768">
        <v>9.0700509999999998E-2</v>
      </c>
      <c r="AH768">
        <v>3.0528370667498401</v>
      </c>
      <c r="AI768">
        <v>88.318813958252903</v>
      </c>
      <c r="AJ768">
        <v>81.076778845059394</v>
      </c>
      <c r="AK768">
        <v>3.0915687342851599</v>
      </c>
      <c r="AL768">
        <v>79.756093303945093</v>
      </c>
      <c r="AM768">
        <v>93.071280308257897</v>
      </c>
      <c r="AN768">
        <v>1.0000000365783701</v>
      </c>
    </row>
    <row r="769" spans="1:40" x14ac:dyDescent="0.25">
      <c r="A769" t="str">
        <f>"20190304155329912"</f>
        <v>20190304155329912</v>
      </c>
      <c r="B769" t="str">
        <f>"1551686009906660"</f>
        <v>1551686009906660</v>
      </c>
      <c r="C769" t="s">
        <v>40</v>
      </c>
      <c r="D769">
        <v>4.242915</v>
      </c>
      <c r="E769">
        <v>0.58114330000000003</v>
      </c>
      <c r="F769" t="s">
        <v>43</v>
      </c>
      <c r="G769">
        <v>0</v>
      </c>
      <c r="H769">
        <v>0</v>
      </c>
      <c r="I769">
        <v>0</v>
      </c>
      <c r="J769">
        <v>-282.26209999999998</v>
      </c>
      <c r="K769">
        <v>1.0604119999999999</v>
      </c>
      <c r="L769">
        <v>367.37270000000001</v>
      </c>
      <c r="M769">
        <v>0.99984799999999996</v>
      </c>
      <c r="N769">
        <v>-1.474907E-2</v>
      </c>
      <c r="O769">
        <v>9.3049259999999998E-3</v>
      </c>
      <c r="P769">
        <v>0.98457640000000002</v>
      </c>
      <c r="Q769">
        <v>0.16352809999999901</v>
      </c>
      <c r="R769">
        <v>6.2192879999999999E-2</v>
      </c>
      <c r="S769">
        <v>3.0596920000000001</v>
      </c>
      <c r="T769">
        <v>9.7287299999999993E-2</v>
      </c>
      <c r="U769">
        <v>-0.46255489999999999</v>
      </c>
      <c r="V769">
        <v>-5.3062079999999998E-2</v>
      </c>
      <c r="W769">
        <v>0.17802939999999901</v>
      </c>
      <c r="X769">
        <v>0.98259350000000001</v>
      </c>
      <c r="Y769">
        <v>0.15862200000000001</v>
      </c>
      <c r="Z769">
        <v>1.760916E-3</v>
      </c>
      <c r="AA769">
        <v>0.98733780000000004</v>
      </c>
      <c r="AB769">
        <v>36</v>
      </c>
      <c r="AC769">
        <v>3.0596920000000001</v>
      </c>
      <c r="AD769">
        <v>9.7287299999999993E-2</v>
      </c>
      <c r="AE769">
        <v>-0.46255489999999999</v>
      </c>
      <c r="AF769">
        <v>0.49052332886911798</v>
      </c>
      <c r="AG769">
        <v>9.7287299999999993E-2</v>
      </c>
      <c r="AH769">
        <v>3.0522381010554001</v>
      </c>
      <c r="AI769">
        <v>88.197480827506894</v>
      </c>
      <c r="AJ769">
        <v>80.8700968580698</v>
      </c>
      <c r="AK769">
        <v>3.09293313546226</v>
      </c>
      <c r="AL769">
        <v>79.7450012760372</v>
      </c>
      <c r="AM769">
        <v>93.091088088357395</v>
      </c>
      <c r="AN769">
        <v>1.00000001892026</v>
      </c>
    </row>
    <row r="770" spans="1:40" x14ac:dyDescent="0.25">
      <c r="A770" t="str">
        <f>"20190304155329934"</f>
        <v>20190304155329934</v>
      </c>
      <c r="B770" t="str">
        <f>"1551686009926669"</f>
        <v>1551686009926669</v>
      </c>
      <c r="C770" t="s">
        <v>40</v>
      </c>
      <c r="D770">
        <v>4.1847409999999998</v>
      </c>
      <c r="E770">
        <v>0.58162389999999997</v>
      </c>
      <c r="F770" t="s">
        <v>43</v>
      </c>
      <c r="G770">
        <v>0</v>
      </c>
      <c r="H770">
        <v>0</v>
      </c>
      <c r="I770">
        <v>0</v>
      </c>
      <c r="J770">
        <v>-281.91430000000003</v>
      </c>
      <c r="K770">
        <v>1.060411</v>
      </c>
      <c r="L770">
        <v>367.37599999999998</v>
      </c>
      <c r="M770">
        <v>0.99984740000000005</v>
      </c>
      <c r="N770">
        <v>-1.474634E-2</v>
      </c>
      <c r="O770">
        <v>9.3894519999999995E-3</v>
      </c>
      <c r="P770">
        <v>0.98457249999999996</v>
      </c>
      <c r="Q770">
        <v>0.16347149999999999</v>
      </c>
      <c r="R770">
        <v>6.2405639999999998E-2</v>
      </c>
      <c r="S770">
        <v>3.0594790000000001</v>
      </c>
      <c r="T770">
        <v>0.1022406</v>
      </c>
      <c r="U770">
        <v>-0.46646120000000002</v>
      </c>
      <c r="V770">
        <v>-5.3190090000000002E-2</v>
      </c>
      <c r="W770">
        <v>0.17797079999999901</v>
      </c>
      <c r="X770">
        <v>0.98259719999999995</v>
      </c>
      <c r="Y770">
        <v>0.15994029999999901</v>
      </c>
      <c r="Z770">
        <v>1.9195810000000001E-3</v>
      </c>
      <c r="AA770">
        <v>0.98712489999999997</v>
      </c>
      <c r="AB770">
        <v>36</v>
      </c>
      <c r="AC770">
        <v>3.0594790000000001</v>
      </c>
      <c r="AD770">
        <v>0.1022406</v>
      </c>
      <c r="AE770">
        <v>-0.46646120000000002</v>
      </c>
      <c r="AF770">
        <v>0.49463075663841599</v>
      </c>
      <c r="AG770">
        <v>0.1022406</v>
      </c>
      <c r="AH770">
        <v>3.0516333514294001</v>
      </c>
      <c r="AI770">
        <v>88.105807508034701</v>
      </c>
      <c r="AJ770">
        <v>80.793157535909003</v>
      </c>
      <c r="AK770">
        <v>3.0931503095157402</v>
      </c>
      <c r="AL770">
        <v>79.748413353677805</v>
      </c>
      <c r="AM770">
        <v>93.098519047918899</v>
      </c>
      <c r="AN770">
        <v>1.0000000243873399</v>
      </c>
    </row>
    <row r="771" spans="1:40" x14ac:dyDescent="0.25">
      <c r="A771" t="str">
        <f>"20190304155329956"</f>
        <v>20190304155329956</v>
      </c>
      <c r="B771" t="str">
        <f>"1551686009946187"</f>
        <v>1551686009946187</v>
      </c>
      <c r="C771" t="s">
        <v>40</v>
      </c>
      <c r="D771">
        <v>4.4033910000000001</v>
      </c>
      <c r="E771">
        <v>0.58247230000000005</v>
      </c>
      <c r="F771" t="s">
        <v>43</v>
      </c>
      <c r="G771">
        <v>0</v>
      </c>
      <c r="H771">
        <v>0</v>
      </c>
      <c r="I771">
        <v>0</v>
      </c>
      <c r="J771">
        <v>-281.54689999999999</v>
      </c>
      <c r="K771">
        <v>1.060408</v>
      </c>
      <c r="L771">
        <v>367.37950000000001</v>
      </c>
      <c r="M771">
        <v>0.99984649999999997</v>
      </c>
      <c r="N771">
        <v>-1.4743269999999999E-2</v>
      </c>
      <c r="O771">
        <v>9.4737889999999998E-3</v>
      </c>
      <c r="P771">
        <v>0.98454140000000001</v>
      </c>
      <c r="Q771">
        <v>0.163748</v>
      </c>
      <c r="R771">
        <v>6.2168319999999999E-2</v>
      </c>
      <c r="S771">
        <v>3.0592649999999999</v>
      </c>
      <c r="T771">
        <v>0.10522620000000001</v>
      </c>
      <c r="U771">
        <v>-0.46936040000000001</v>
      </c>
      <c r="V771">
        <v>-5.2867869999999997E-2</v>
      </c>
      <c r="W771">
        <v>0.17824429999999999</v>
      </c>
      <c r="X771">
        <v>0.98256500000000002</v>
      </c>
      <c r="Y771">
        <v>0.1609429</v>
      </c>
      <c r="Z771">
        <v>2.020132E-3</v>
      </c>
      <c r="AA771">
        <v>0.98696170000000005</v>
      </c>
      <c r="AB771">
        <v>36</v>
      </c>
      <c r="AC771">
        <v>3.0592649999999999</v>
      </c>
      <c r="AD771">
        <v>0.10522620000000001</v>
      </c>
      <c r="AE771">
        <v>-0.46936040000000001</v>
      </c>
      <c r="AF771">
        <v>0.49774997647029001</v>
      </c>
      <c r="AG771">
        <v>0.10522620000000001</v>
      </c>
      <c r="AH771">
        <v>3.0511538335764001</v>
      </c>
      <c r="AI771">
        <v>88.050553158815106</v>
      </c>
      <c r="AJ771">
        <v>80.734670597428106</v>
      </c>
      <c r="AK771">
        <v>3.0932777612737201</v>
      </c>
      <c r="AL771">
        <v>79.7324881914667</v>
      </c>
      <c r="AM771">
        <v>93.079885523048205</v>
      </c>
      <c r="AN771">
        <v>1.0000000106929099</v>
      </c>
    </row>
    <row r="772" spans="1:40" x14ac:dyDescent="0.25">
      <c r="A772" t="str">
        <f>"20190304155329978"</f>
        <v>20190304155329978</v>
      </c>
      <c r="B772" t="str">
        <f>"1551686009966683"</f>
        <v>1551686009966683</v>
      </c>
      <c r="C772" t="s">
        <v>40</v>
      </c>
      <c r="D772">
        <v>4.2734310000000004</v>
      </c>
      <c r="E772">
        <v>0.5830225</v>
      </c>
      <c r="F772" t="s">
        <v>43</v>
      </c>
      <c r="G772">
        <v>0</v>
      </c>
      <c r="H772">
        <v>0</v>
      </c>
      <c r="I772">
        <v>0</v>
      </c>
      <c r="J772">
        <v>-281.20589999999999</v>
      </c>
      <c r="K772">
        <v>1.0604039999999999</v>
      </c>
      <c r="L772">
        <v>367.38279999999997</v>
      </c>
      <c r="M772">
        <v>0.99984589999999995</v>
      </c>
      <c r="N772">
        <v>-1.474026E-2</v>
      </c>
      <c r="O772">
        <v>9.5472219999999993E-3</v>
      </c>
      <c r="P772">
        <v>0.98446259999999997</v>
      </c>
      <c r="Q772">
        <v>0.1641417</v>
      </c>
      <c r="R772">
        <v>6.2377809999999999E-2</v>
      </c>
      <c r="S772">
        <v>3.0592350000000001</v>
      </c>
      <c r="T772">
        <v>0.10799350000000001</v>
      </c>
      <c r="U772">
        <v>-0.47695920000000003</v>
      </c>
      <c r="V772">
        <v>-5.300415E-2</v>
      </c>
      <c r="W772">
        <v>0.17863470000000001</v>
      </c>
      <c r="X772">
        <v>0.98248670000000005</v>
      </c>
      <c r="Y772">
        <v>0.16340539999999901</v>
      </c>
      <c r="Z772">
        <v>2.1289170000000001E-3</v>
      </c>
      <c r="AA772">
        <v>0.98655669999999995</v>
      </c>
      <c r="AB772">
        <v>36</v>
      </c>
      <c r="AC772">
        <v>3.0592350000000001</v>
      </c>
      <c r="AD772">
        <v>0.10799350000000001</v>
      </c>
      <c r="AE772">
        <v>-0.47695920000000003</v>
      </c>
      <c r="AF772">
        <v>0.50553280395116695</v>
      </c>
      <c r="AG772">
        <v>0.10799350000000001</v>
      </c>
      <c r="AH772">
        <v>3.0508298464682202</v>
      </c>
      <c r="AI772">
        <v>87.999936182372707</v>
      </c>
      <c r="AJ772">
        <v>80.591386988972801</v>
      </c>
      <c r="AK772">
        <v>3.0943155566319098</v>
      </c>
      <c r="AL772">
        <v>79.709754501988002</v>
      </c>
      <c r="AM772">
        <v>93.088054954377</v>
      </c>
      <c r="AN772">
        <v>0.99999995581909995</v>
      </c>
    </row>
    <row r="773" spans="1:40" x14ac:dyDescent="0.25">
      <c r="A773" t="str">
        <f>"20190304155330001"</f>
        <v>20190304155330001</v>
      </c>
      <c r="B773" t="str">
        <f>"1551686009996939"</f>
        <v>1551686009996939</v>
      </c>
      <c r="C773" t="s">
        <v>40</v>
      </c>
      <c r="D773">
        <v>4.2443489999999997</v>
      </c>
      <c r="E773">
        <v>0.5837445</v>
      </c>
      <c r="F773" t="s">
        <v>43</v>
      </c>
      <c r="G773">
        <v>0</v>
      </c>
      <c r="H773">
        <v>0</v>
      </c>
      <c r="I773">
        <v>0</v>
      </c>
      <c r="J773">
        <v>-280.8476</v>
      </c>
      <c r="K773">
        <v>1.0606340000000001</v>
      </c>
      <c r="L773">
        <v>367.38630000000001</v>
      </c>
      <c r="M773">
        <v>0.99983200000000005</v>
      </c>
      <c r="N773">
        <v>-1.5605330000000001E-2</v>
      </c>
      <c r="O773">
        <v>9.6114800000000004E-3</v>
      </c>
      <c r="P773">
        <v>0.9846509</v>
      </c>
      <c r="Q773">
        <v>0.16303979999999901</v>
      </c>
      <c r="R773">
        <v>6.2295830000000003E-2</v>
      </c>
      <c r="S773">
        <v>3.0592039999999998</v>
      </c>
      <c r="T773">
        <v>0.1115801</v>
      </c>
      <c r="U773">
        <v>-0.48089599999999999</v>
      </c>
      <c r="V773">
        <v>-5.2854320000000003E-2</v>
      </c>
      <c r="W773">
        <v>0.1783865</v>
      </c>
      <c r="X773">
        <v>0.98253990000000002</v>
      </c>
      <c r="Y773">
        <v>0.1647052</v>
      </c>
      <c r="Z773">
        <v>2.1884550000000002E-3</v>
      </c>
      <c r="AA773">
        <v>0.98634040000000001</v>
      </c>
      <c r="AB773">
        <v>36</v>
      </c>
      <c r="AC773">
        <v>3.0592039999999998</v>
      </c>
      <c r="AD773">
        <v>0.1115801</v>
      </c>
      <c r="AE773">
        <v>-0.48089599999999999</v>
      </c>
      <c r="AF773">
        <v>0.50961923268360498</v>
      </c>
      <c r="AG773">
        <v>0.1115801</v>
      </c>
      <c r="AH773">
        <v>3.0504797135278601</v>
      </c>
      <c r="AI773">
        <v>87.933785374516702</v>
      </c>
      <c r="AJ773">
        <v>80.515640630102297</v>
      </c>
      <c r="AK773">
        <v>3.0947679014236402</v>
      </c>
      <c r="AL773">
        <v>79.7242078013808</v>
      </c>
      <c r="AM773">
        <v>93.079176176946604</v>
      </c>
      <c r="AN773">
        <v>0.99999998880846097</v>
      </c>
    </row>
    <row r="774" spans="1:40" x14ac:dyDescent="0.25">
      <c r="A774" t="str">
        <f>"20190304155330024"</f>
        <v>20190304155330024</v>
      </c>
      <c r="B774" t="str">
        <f>"1551686010016459"</f>
        <v>1551686010016459</v>
      </c>
      <c r="C774" t="s">
        <v>40</v>
      </c>
      <c r="D774">
        <v>4.2511580000000002</v>
      </c>
      <c r="E774">
        <v>0.58404679999999998</v>
      </c>
      <c r="F774" t="s">
        <v>43</v>
      </c>
      <c r="G774">
        <v>0</v>
      </c>
      <c r="H774">
        <v>0</v>
      </c>
      <c r="I774">
        <v>0</v>
      </c>
      <c r="J774">
        <v>-280.4923</v>
      </c>
      <c r="K774">
        <v>1.0613049999999999</v>
      </c>
      <c r="L774">
        <v>367.38979999999998</v>
      </c>
      <c r="M774">
        <v>0.99981260000000005</v>
      </c>
      <c r="N774">
        <v>-1.677039E-2</v>
      </c>
      <c r="O774">
        <v>9.66937E-3</v>
      </c>
      <c r="P774">
        <v>0.98489559999999998</v>
      </c>
      <c r="Q774">
        <v>0.16170129999999999</v>
      </c>
      <c r="R774">
        <v>6.1915610000000003E-2</v>
      </c>
      <c r="S774">
        <v>3.0590519999999999</v>
      </c>
      <c r="T774">
        <v>0.1118585</v>
      </c>
      <c r="U774">
        <v>-0.48648069999999999</v>
      </c>
      <c r="V774">
        <v>-5.2411510000000001E-2</v>
      </c>
      <c r="W774">
        <v>0.1781983</v>
      </c>
      <c r="X774">
        <v>0.98259779999999997</v>
      </c>
      <c r="Y774">
        <v>0.16652829999999999</v>
      </c>
      <c r="Z774">
        <v>2.1316019999999998E-3</v>
      </c>
      <c r="AA774">
        <v>0.98603439999999998</v>
      </c>
      <c r="AB774">
        <v>36</v>
      </c>
      <c r="AC774">
        <v>3.0590519999999999</v>
      </c>
      <c r="AD774">
        <v>0.1118585</v>
      </c>
      <c r="AE774">
        <v>-0.48648069999999999</v>
      </c>
      <c r="AF774">
        <v>0.51536911442373001</v>
      </c>
      <c r="AG774">
        <v>0.1118585</v>
      </c>
      <c r="AH774">
        <v>3.0502264679427902</v>
      </c>
      <c r="AI774">
        <v>87.929104793128303</v>
      </c>
      <c r="AJ774">
        <v>80.409826460327395</v>
      </c>
      <c r="AK774">
        <v>3.0954804399096001</v>
      </c>
      <c r="AL774">
        <v>79.735166760083004</v>
      </c>
      <c r="AM774">
        <v>93.053248480053696</v>
      </c>
      <c r="AN774">
        <v>1.0000000185341</v>
      </c>
    </row>
    <row r="775" spans="1:40" x14ac:dyDescent="0.25">
      <c r="A775" t="str">
        <f>"20190304155330046"</f>
        <v>20190304155330046</v>
      </c>
      <c r="B775" t="str">
        <f>"1551686010036958"</f>
        <v>1551686010036958</v>
      </c>
      <c r="C775" t="s">
        <v>40</v>
      </c>
      <c r="D775">
        <v>4.1325149999999997</v>
      </c>
      <c r="E775">
        <v>0.58428919999999995</v>
      </c>
      <c r="F775" t="s">
        <v>43</v>
      </c>
      <c r="G775">
        <v>0</v>
      </c>
      <c r="H775">
        <v>0</v>
      </c>
      <c r="I775">
        <v>0</v>
      </c>
      <c r="J775">
        <v>-280.14260000000002</v>
      </c>
      <c r="K775">
        <v>1.0620620000000001</v>
      </c>
      <c r="L775">
        <v>367.39319999999998</v>
      </c>
      <c r="M775">
        <v>0.99981589999999998</v>
      </c>
      <c r="N775">
        <v>-1.6539959999999999E-2</v>
      </c>
      <c r="O775">
        <v>9.7281450000000005E-3</v>
      </c>
      <c r="P775">
        <v>0.98485690000000004</v>
      </c>
      <c r="Q775">
        <v>0.16215399999999999</v>
      </c>
      <c r="R775">
        <v>6.1346390000000001E-2</v>
      </c>
      <c r="S775">
        <v>3.058929</v>
      </c>
      <c r="T775">
        <v>0.10919810000000001</v>
      </c>
      <c r="U775">
        <v>-0.49020390000000003</v>
      </c>
      <c r="V775">
        <v>-5.1784789999999997E-2</v>
      </c>
      <c r="W775">
        <v>0.17842359999999999</v>
      </c>
      <c r="X775">
        <v>0.98259010000000002</v>
      </c>
      <c r="Y775">
        <v>0.16776579999999999</v>
      </c>
      <c r="Z775">
        <v>2.0828370000000001E-3</v>
      </c>
      <c r="AA775">
        <v>0.9858247</v>
      </c>
      <c r="AB775">
        <v>35</v>
      </c>
      <c r="AC775">
        <v>3.058929</v>
      </c>
      <c r="AD775">
        <v>0.10919810000000001</v>
      </c>
      <c r="AE775">
        <v>-0.49020390000000003</v>
      </c>
      <c r="AF775">
        <v>0.51929727193477004</v>
      </c>
      <c r="AG775">
        <v>0.10919810000000001</v>
      </c>
      <c r="AH775">
        <v>3.0502250336889301</v>
      </c>
      <c r="AI775">
        <v>87.978744715220699</v>
      </c>
      <c r="AJ775">
        <v>80.338098272478007</v>
      </c>
      <c r="AK775">
        <v>3.0960404774203401</v>
      </c>
      <c r="AL775">
        <v>79.722047327238101</v>
      </c>
      <c r="AM775">
        <v>93.016830161165998</v>
      </c>
      <c r="AN775">
        <v>0.99999997506515603</v>
      </c>
    </row>
    <row r="776" spans="1:40" x14ac:dyDescent="0.25">
      <c r="A776" t="str">
        <f>"20190304155330069"</f>
        <v>20190304155330069</v>
      </c>
      <c r="B776" t="str">
        <f>"1551686010056475"</f>
        <v>1551686010056475</v>
      </c>
      <c r="C776" t="s">
        <v>40</v>
      </c>
      <c r="D776">
        <v>4.2189670000000001</v>
      </c>
      <c r="E776">
        <v>0.58448120000000003</v>
      </c>
      <c r="F776" t="s">
        <v>43</v>
      </c>
      <c r="G776">
        <v>0</v>
      </c>
      <c r="H776">
        <v>0</v>
      </c>
      <c r="I776">
        <v>0</v>
      </c>
      <c r="J776">
        <v>-279.79050000000001</v>
      </c>
      <c r="K776">
        <v>1.062832</v>
      </c>
      <c r="L776">
        <v>367.39670000000001</v>
      </c>
      <c r="M776">
        <v>0.99984430000000002</v>
      </c>
      <c r="N776">
        <v>-1.4689300000000001E-2</v>
      </c>
      <c r="O776">
        <v>9.7869169999999991E-3</v>
      </c>
      <c r="P776">
        <v>0.98448429999999998</v>
      </c>
      <c r="Q776">
        <v>0.1643377</v>
      </c>
      <c r="R776">
        <v>6.1513499999999999E-2</v>
      </c>
      <c r="S776">
        <v>3.0582579999999999</v>
      </c>
      <c r="T776">
        <v>0.112946</v>
      </c>
      <c r="U776">
        <v>-0.49398799999999998</v>
      </c>
      <c r="V776">
        <v>-5.1898010000000001E-2</v>
      </c>
      <c r="W776">
        <v>0.17878250000000001</v>
      </c>
      <c r="X776">
        <v>0.98251889999999997</v>
      </c>
      <c r="Y776">
        <v>0.16903470000000001</v>
      </c>
      <c r="Z776">
        <v>2.3522259999999998E-3</v>
      </c>
      <c r="AA776">
        <v>0.98560729999999996</v>
      </c>
      <c r="AB776">
        <v>35</v>
      </c>
      <c r="AC776">
        <v>3.0582579999999999</v>
      </c>
      <c r="AD776">
        <v>0.112946</v>
      </c>
      <c r="AE776">
        <v>-0.49398799999999998</v>
      </c>
      <c r="AF776">
        <v>0.52320301115771894</v>
      </c>
      <c r="AG776">
        <v>0.112946</v>
      </c>
      <c r="AH776">
        <v>3.0492231684531599</v>
      </c>
      <c r="AI776">
        <v>87.909209199976104</v>
      </c>
      <c r="AJ776">
        <v>80.263677364751302</v>
      </c>
      <c r="AK776">
        <v>3.0958456229004798</v>
      </c>
      <c r="AL776">
        <v>79.701147960173401</v>
      </c>
      <c r="AM776">
        <v>93.023632493195393</v>
      </c>
      <c r="AN776">
        <v>0.99999998730271</v>
      </c>
    </row>
    <row r="777" spans="1:40" x14ac:dyDescent="0.25">
      <c r="A777" t="str">
        <f>"20190304155330092"</f>
        <v>20190304155330092</v>
      </c>
      <c r="B777" t="str">
        <f>"1551686010086732"</f>
        <v>1551686010086732</v>
      </c>
      <c r="C777" t="s">
        <v>40</v>
      </c>
      <c r="D777">
        <v>4.2871160000000001</v>
      </c>
      <c r="E777">
        <v>0.58425190000000005</v>
      </c>
      <c r="F777" t="s">
        <v>43</v>
      </c>
      <c r="G777">
        <v>0</v>
      </c>
      <c r="H777">
        <v>0</v>
      </c>
      <c r="I777">
        <v>0</v>
      </c>
      <c r="J777">
        <v>-279.42500000000001</v>
      </c>
      <c r="K777">
        <v>1.063952</v>
      </c>
      <c r="L777">
        <v>367.40039999999999</v>
      </c>
      <c r="M777">
        <v>0.99987420000000005</v>
      </c>
      <c r="N777">
        <v>-1.2440430000000001E-2</v>
      </c>
      <c r="O777">
        <v>9.8459529999999993E-3</v>
      </c>
      <c r="P777">
        <v>0.98409199999999997</v>
      </c>
      <c r="Q777">
        <v>0.1666502</v>
      </c>
      <c r="R777">
        <v>6.1571029999999999E-2</v>
      </c>
      <c r="S777">
        <v>3.058014</v>
      </c>
      <c r="T777">
        <v>0.1209282</v>
      </c>
      <c r="U777">
        <v>-0.49487300000000001</v>
      </c>
      <c r="V777">
        <v>-5.190036E-2</v>
      </c>
      <c r="W777">
        <v>0.17887999999999901</v>
      </c>
      <c r="X777">
        <v>0.98250099999999996</v>
      </c>
      <c r="Y777">
        <v>0.16936180000000001</v>
      </c>
      <c r="Z777">
        <v>2.773555E-3</v>
      </c>
      <c r="AA777">
        <v>0.98555000000000004</v>
      </c>
      <c r="AB777">
        <v>35</v>
      </c>
      <c r="AC777">
        <v>3.058014</v>
      </c>
      <c r="AD777">
        <v>0.1209282</v>
      </c>
      <c r="AE777">
        <v>-0.49487300000000001</v>
      </c>
      <c r="AF777">
        <v>0.52416164250432595</v>
      </c>
      <c r="AG777">
        <v>0.1209282</v>
      </c>
      <c r="AH777">
        <v>3.0483475756357699</v>
      </c>
      <c r="AI777">
        <v>87.761086151751599</v>
      </c>
      <c r="AJ777">
        <v>80.243432685134593</v>
      </c>
      <c r="AK777">
        <v>3.0954469788566201</v>
      </c>
      <c r="AL777">
        <v>79.695469791776503</v>
      </c>
      <c r="AM777">
        <v>93.023824139832698</v>
      </c>
      <c r="AN777">
        <v>0.99999995838456301</v>
      </c>
    </row>
    <row r="778" spans="1:40" x14ac:dyDescent="0.25">
      <c r="A778" t="str">
        <f>"20190304155330113"</f>
        <v>20190304155330113</v>
      </c>
      <c r="B778" t="str">
        <f>"1551686010106254"</f>
        <v>1551686010106254</v>
      </c>
      <c r="C778" t="s">
        <v>40</v>
      </c>
      <c r="D778">
        <v>4.368239</v>
      </c>
      <c r="E778">
        <v>0.52725290000000002</v>
      </c>
      <c r="F778" t="s">
        <v>43</v>
      </c>
      <c r="G778">
        <v>0</v>
      </c>
      <c r="H778">
        <v>0</v>
      </c>
      <c r="I778">
        <v>0</v>
      </c>
      <c r="J778">
        <v>-279.08819999999997</v>
      </c>
      <c r="K778">
        <v>1.0652900000000001</v>
      </c>
      <c r="L778">
        <v>367.40379999999999</v>
      </c>
      <c r="M778">
        <v>0.99989530000000004</v>
      </c>
      <c r="N778">
        <v>-1.054882E-2</v>
      </c>
      <c r="O778">
        <v>9.9063989999999998E-3</v>
      </c>
      <c r="P778">
        <v>0.98363619999999996</v>
      </c>
      <c r="Q778">
        <v>0.169282399999999</v>
      </c>
      <c r="R778">
        <v>6.167135E-2</v>
      </c>
      <c r="S778">
        <v>3.057709</v>
      </c>
      <c r="T778">
        <v>0.12772320000000001</v>
      </c>
      <c r="U778">
        <v>-0.49295040000000001</v>
      </c>
      <c r="V778">
        <v>-5.1944490000000003E-2</v>
      </c>
      <c r="W778">
        <v>0.17964939999999999</v>
      </c>
      <c r="X778">
        <v>0.98235830000000002</v>
      </c>
      <c r="Y778">
        <v>0.16881360000000001</v>
      </c>
      <c r="Z778">
        <v>3.120027E-3</v>
      </c>
      <c r="AA778">
        <v>0.98564309999999999</v>
      </c>
      <c r="AB778">
        <v>35</v>
      </c>
      <c r="AC778">
        <v>3.057709</v>
      </c>
      <c r="AD778">
        <v>0.12772320000000001</v>
      </c>
      <c r="AE778">
        <v>-0.49295040000000001</v>
      </c>
      <c r="AF778">
        <v>0.52233050004528203</v>
      </c>
      <c r="AG778">
        <v>0.12772320000000001</v>
      </c>
      <c r="AH778">
        <v>3.0474927204863</v>
      </c>
      <c r="AI778">
        <v>87.634539493572703</v>
      </c>
      <c r="AJ778">
        <v>80.2741898623498</v>
      </c>
      <c r="AK778">
        <v>3.0945685076457399</v>
      </c>
      <c r="AL778">
        <v>79.650660805824202</v>
      </c>
      <c r="AM778">
        <v>93.026829273057203</v>
      </c>
      <c r="AN778">
        <v>0.99999998327030404</v>
      </c>
    </row>
    <row r="779" spans="1:40" x14ac:dyDescent="0.25">
      <c r="A779" t="str">
        <f>"20190304155330135"</f>
        <v>20190304155330135</v>
      </c>
      <c r="B779" t="str">
        <f>"1551686010126757"</f>
        <v>1551686010126757</v>
      </c>
      <c r="C779" t="s">
        <v>40</v>
      </c>
      <c r="D779">
        <v>4.3662580000000002</v>
      </c>
      <c r="E779">
        <v>0.51693299999999998</v>
      </c>
      <c r="F779" t="s">
        <v>41</v>
      </c>
      <c r="G779">
        <v>-158.19499999999999</v>
      </c>
      <c r="H779">
        <v>1.2183550000000001</v>
      </c>
      <c r="I779">
        <v>365.77539999999999</v>
      </c>
      <c r="J779">
        <v>-278.7423</v>
      </c>
      <c r="K779">
        <v>1.0668230000000001</v>
      </c>
      <c r="L779">
        <v>367.40730000000002</v>
      </c>
      <c r="M779">
        <v>0.99991209999999997</v>
      </c>
      <c r="N779">
        <v>-8.7469430000000001E-3</v>
      </c>
      <c r="O779">
        <v>9.9718729999999992E-3</v>
      </c>
      <c r="P779">
        <v>0.98326460000000004</v>
      </c>
      <c r="Q779">
        <v>0.17134360000000001</v>
      </c>
      <c r="R779">
        <v>6.190561E-2</v>
      </c>
      <c r="S779">
        <v>3.0518489999999998</v>
      </c>
      <c r="T779">
        <v>3.8661960000000001E-3</v>
      </c>
      <c r="U779">
        <v>-4.110718E-2</v>
      </c>
      <c r="V779">
        <v>-5.2115479999999999E-2</v>
      </c>
      <c r="W779">
        <v>0.1799374</v>
      </c>
      <c r="X779">
        <v>0.98229650000000002</v>
      </c>
      <c r="Y779">
        <v>2.3438670000000002E-2</v>
      </c>
      <c r="Z779" s="1">
        <v>1.21838E-5</v>
      </c>
      <c r="AA779">
        <v>0.99972530000000004</v>
      </c>
      <c r="AB779">
        <v>35</v>
      </c>
      <c r="AC779">
        <v>120.54730000000001</v>
      </c>
      <c r="AD779">
        <v>0.151532</v>
      </c>
      <c r="AE779">
        <v>-1.6319000000000301</v>
      </c>
      <c r="AF779">
        <v>2.8339426385923501</v>
      </c>
      <c r="AG779">
        <v>0.151532</v>
      </c>
      <c r="AH779">
        <v>120.524841755697</v>
      </c>
      <c r="AI779">
        <v>89.927983805850701</v>
      </c>
      <c r="AJ779">
        <v>88.653032553204795</v>
      </c>
      <c r="AK779">
        <v>120.558250124418</v>
      </c>
      <c r="AL779">
        <v>79.633885947689905</v>
      </c>
      <c r="AM779">
        <v>93.036965017347399</v>
      </c>
      <c r="AN779">
        <v>0.99999995254331897</v>
      </c>
    </row>
    <row r="780" spans="1:40" x14ac:dyDescent="0.25">
      <c r="A780" t="str">
        <f>"20190304155330157"</f>
        <v>20190304155330157</v>
      </c>
      <c r="B780" t="str">
        <f>"1551686010146267"</f>
        <v>1551686010146267</v>
      </c>
      <c r="C780" t="s">
        <v>40</v>
      </c>
      <c r="D780">
        <v>4.3403580000000002</v>
      </c>
      <c r="E780">
        <v>0.51431519999999997</v>
      </c>
      <c r="F780" t="s">
        <v>41</v>
      </c>
      <c r="G780">
        <v>-158.78319999999999</v>
      </c>
      <c r="H780">
        <v>1.646045</v>
      </c>
      <c r="I780">
        <v>369.0924</v>
      </c>
      <c r="J780">
        <v>-278.39280000000002</v>
      </c>
      <c r="K780">
        <v>1.068592</v>
      </c>
      <c r="L780">
        <v>367.41079999999999</v>
      </c>
      <c r="M780">
        <v>0.99992110000000001</v>
      </c>
      <c r="N780">
        <v>-7.5683619999999899E-3</v>
      </c>
      <c r="O780">
        <v>1.00368E-2</v>
      </c>
      <c r="P780">
        <v>0.98313530000000005</v>
      </c>
      <c r="Q780">
        <v>0.17199619999999999</v>
      </c>
      <c r="R780">
        <v>6.2149839999999998E-2</v>
      </c>
      <c r="S780">
        <v>3.0458069999999999</v>
      </c>
      <c r="T780">
        <v>1.4708880000000001E-2</v>
      </c>
      <c r="U780">
        <v>4.278564E-2</v>
      </c>
      <c r="V780">
        <v>-5.2294170000000001E-2</v>
      </c>
      <c r="W780">
        <v>0.1794317</v>
      </c>
      <c r="X780">
        <v>0.98237960000000002</v>
      </c>
      <c r="Y780">
        <v>-4.0099999999999997E-3</v>
      </c>
      <c r="Z780">
        <v>1.2991979999999999E-4</v>
      </c>
      <c r="AA780">
        <v>0.99999199999999999</v>
      </c>
      <c r="AB780">
        <v>35</v>
      </c>
      <c r="AC780">
        <v>119.6096</v>
      </c>
      <c r="AD780">
        <v>0.57745299999999999</v>
      </c>
      <c r="AE780">
        <v>1.6816</v>
      </c>
      <c r="AF780">
        <v>-0.480972202085027</v>
      </c>
      <c r="AG780">
        <v>0.57745299999999999</v>
      </c>
      <c r="AH780">
        <v>119.617665818378</v>
      </c>
      <c r="AI780">
        <v>89.723409622836598</v>
      </c>
      <c r="AJ780">
        <v>90.230380090937004</v>
      </c>
      <c r="AK780">
        <v>119.620026592805</v>
      </c>
      <c r="AL780">
        <v>79.663340793303206</v>
      </c>
      <c r="AM780">
        <v>93.047101070988603</v>
      </c>
      <c r="AN780">
        <v>1.00000004683851</v>
      </c>
    </row>
    <row r="781" spans="1:40" x14ac:dyDescent="0.25">
      <c r="A781" t="str">
        <f>"20190304155330180"</f>
        <v>20190304155330180</v>
      </c>
      <c r="B781" t="str">
        <f>"1551686010176524"</f>
        <v>1551686010176524</v>
      </c>
      <c r="C781" t="s">
        <v>40</v>
      </c>
      <c r="D781">
        <v>4.3410510000000002</v>
      </c>
      <c r="E781">
        <v>0.51277359999999905</v>
      </c>
      <c r="F781" t="s">
        <v>41</v>
      </c>
      <c r="G781">
        <v>-158.78319999999999</v>
      </c>
      <c r="H781">
        <v>1.74935999999999</v>
      </c>
      <c r="I781">
        <v>369.91550000000001</v>
      </c>
      <c r="J781">
        <v>-278.04500000000002</v>
      </c>
      <c r="K781">
        <v>1.070867</v>
      </c>
      <c r="L781">
        <v>367.41430000000003</v>
      </c>
      <c r="M781">
        <v>0.99992190000000003</v>
      </c>
      <c r="N781">
        <v>-7.3816069999999897E-3</v>
      </c>
      <c r="O781">
        <v>1.0097989999999999E-2</v>
      </c>
      <c r="P781">
        <v>0.98303850000000004</v>
      </c>
      <c r="Q781">
        <v>0.17243889999999901</v>
      </c>
      <c r="R781">
        <v>6.2452470000000003E-2</v>
      </c>
      <c r="S781">
        <v>3.044403</v>
      </c>
      <c r="T781">
        <v>1.7329689999999998E-2</v>
      </c>
      <c r="U781">
        <v>6.3751219999999997E-2</v>
      </c>
      <c r="V781">
        <v>-5.2534299999999999E-2</v>
      </c>
      <c r="W781">
        <v>0.1796912</v>
      </c>
      <c r="X781">
        <v>0.98231930000000001</v>
      </c>
      <c r="Y781">
        <v>-1.0839669999999999E-2</v>
      </c>
      <c r="Z781">
        <v>1.411699E-4</v>
      </c>
      <c r="AA781">
        <v>0.99994119999999997</v>
      </c>
      <c r="AB781">
        <v>35</v>
      </c>
      <c r="AC781">
        <v>119.26179999999999</v>
      </c>
      <c r="AD781">
        <v>0.67849299999999901</v>
      </c>
      <c r="AE781">
        <v>2.5011999999999799</v>
      </c>
      <c r="AF781">
        <v>-1.29669340015657</v>
      </c>
      <c r="AG781">
        <v>0.67849299999999901</v>
      </c>
      <c r="AH781">
        <v>119.27711794842099</v>
      </c>
      <c r="AI781">
        <v>89.674102880854903</v>
      </c>
      <c r="AJ781">
        <v>90.622853182543594</v>
      </c>
      <c r="AK781">
        <v>119.286095722035</v>
      </c>
      <c r="AL781">
        <v>79.648226332005706</v>
      </c>
      <c r="AM781">
        <v>93.061254075821907</v>
      </c>
      <c r="AN781">
        <v>0.99999999359321001</v>
      </c>
    </row>
    <row r="782" spans="1:40" x14ac:dyDescent="0.25">
      <c r="A782" t="str">
        <f>"20190304155330201"</f>
        <v>20190304155330201</v>
      </c>
      <c r="B782" t="str">
        <f>"1551686010197022"</f>
        <v>1551686010197022</v>
      </c>
      <c r="C782" t="s">
        <v>40</v>
      </c>
      <c r="D782">
        <v>4.3404210000000001</v>
      </c>
      <c r="E782">
        <v>0.51225790000000004</v>
      </c>
      <c r="F782" t="s">
        <v>41</v>
      </c>
      <c r="G782">
        <v>-158.19499999999999</v>
      </c>
      <c r="H782">
        <v>1.750016</v>
      </c>
      <c r="I782">
        <v>370.4665</v>
      </c>
      <c r="J782">
        <v>-277.70030000000003</v>
      </c>
      <c r="K782">
        <v>1.0735250000000001</v>
      </c>
      <c r="L782">
        <v>367.4178</v>
      </c>
      <c r="M782">
        <v>0.99992099999999995</v>
      </c>
      <c r="N782">
        <v>-7.4389979999999996E-3</v>
      </c>
      <c r="O782">
        <v>1.014787E-2</v>
      </c>
      <c r="P782">
        <v>0.98310030000000004</v>
      </c>
      <c r="Q782">
        <v>0.17206640000000001</v>
      </c>
      <c r="R782">
        <v>6.2506500000000007E-2</v>
      </c>
      <c r="S782">
        <v>3.0438230000000002</v>
      </c>
      <c r="T782">
        <v>1.7250540000000002E-2</v>
      </c>
      <c r="U782">
        <v>7.7514650000000004E-2</v>
      </c>
      <c r="V782">
        <v>-5.2536890000000003E-2</v>
      </c>
      <c r="W782">
        <v>0.17937639999999999</v>
      </c>
      <c r="X782">
        <v>0.98237669999999999</v>
      </c>
      <c r="Y782">
        <v>-1.531273E-2</v>
      </c>
      <c r="Z782">
        <v>1.4656169999999999E-4</v>
      </c>
      <c r="AA782">
        <v>0.99988279999999996</v>
      </c>
      <c r="AB782">
        <v>35</v>
      </c>
      <c r="AC782">
        <v>119.50530000000001</v>
      </c>
      <c r="AD782">
        <v>0.67649099999999995</v>
      </c>
      <c r="AE782">
        <v>3.04869999999999</v>
      </c>
      <c r="AF782">
        <v>-1.8357266159155201</v>
      </c>
      <c r="AG782">
        <v>0.67649099999999995</v>
      </c>
      <c r="AH782">
        <v>119.52625724663601</v>
      </c>
      <c r="AI782">
        <v>89.675760825931306</v>
      </c>
      <c r="AJ782">
        <v>90.879899707004896</v>
      </c>
      <c r="AK782">
        <v>119.54226743570899</v>
      </c>
      <c r="AL782">
        <v>79.666561006534295</v>
      </c>
      <c r="AM782">
        <v>93.061226175203402</v>
      </c>
      <c r="AN782">
        <v>0.99999999919536098</v>
      </c>
    </row>
    <row r="783" spans="1:40" x14ac:dyDescent="0.25">
      <c r="A783" t="str">
        <f>"20190304155330224"</f>
        <v>20190304155330224</v>
      </c>
      <c r="B783" t="str">
        <f>"1551686010216539"</f>
        <v>1551686010216539</v>
      </c>
      <c r="C783" t="s">
        <v>40</v>
      </c>
      <c r="D783">
        <v>4.369936</v>
      </c>
      <c r="E783">
        <v>0.5119494</v>
      </c>
      <c r="F783" t="s">
        <v>41</v>
      </c>
      <c r="G783">
        <v>-158.19499999999999</v>
      </c>
      <c r="H783">
        <v>1.69720299999999</v>
      </c>
      <c r="I783">
        <v>370.6268</v>
      </c>
      <c r="J783">
        <v>-277.35230000000001</v>
      </c>
      <c r="K783">
        <v>1.076384</v>
      </c>
      <c r="L783">
        <v>367.42140000000001</v>
      </c>
      <c r="M783">
        <v>0.99992239999999999</v>
      </c>
      <c r="N783">
        <v>-7.1893159999999899E-3</v>
      </c>
      <c r="O783">
        <v>1.018266E-2</v>
      </c>
      <c r="P783">
        <v>0.98301369999999999</v>
      </c>
      <c r="Q783">
        <v>0.17246829999999999</v>
      </c>
      <c r="R783">
        <v>6.2759960000000004E-2</v>
      </c>
      <c r="S783">
        <v>3.0436100000000001</v>
      </c>
      <c r="T783">
        <v>1.5886310000000001E-2</v>
      </c>
      <c r="U783">
        <v>8.1726069999999998E-2</v>
      </c>
      <c r="V783">
        <v>-5.2754589999999997E-2</v>
      </c>
      <c r="W783">
        <v>0.1795331</v>
      </c>
      <c r="X783">
        <v>0.9823364</v>
      </c>
      <c r="Y783">
        <v>-1.666225E-2</v>
      </c>
      <c r="Z783">
        <v>1.427628E-4</v>
      </c>
      <c r="AA783">
        <v>0.99986120000000001</v>
      </c>
      <c r="AB783">
        <v>35</v>
      </c>
      <c r="AC783">
        <v>119.15730000000001</v>
      </c>
      <c r="AD783">
        <v>0.62081899999999901</v>
      </c>
      <c r="AE783">
        <v>3.2053999999999898</v>
      </c>
      <c r="AF783">
        <v>-1.99181025864276</v>
      </c>
      <c r="AG783">
        <v>0.62081899999999901</v>
      </c>
      <c r="AH783">
        <v>119.180529547592</v>
      </c>
      <c r="AI783">
        <v>89.701586990985803</v>
      </c>
      <c r="AJ783">
        <v>90.957469298758596</v>
      </c>
      <c r="AK783">
        <v>119.198789203505</v>
      </c>
      <c r="AL783">
        <v>79.657434524188702</v>
      </c>
      <c r="AM783">
        <v>93.074012733287802</v>
      </c>
      <c r="AN783">
        <v>0.999999991763319</v>
      </c>
    </row>
    <row r="784" spans="1:40" x14ac:dyDescent="0.25">
      <c r="A784" t="str">
        <f>"20190304155330246"</f>
        <v>20190304155330246</v>
      </c>
      <c r="B784" t="str">
        <f>"1551686010237035"</f>
        <v>1551686010237035</v>
      </c>
      <c r="C784" t="s">
        <v>40</v>
      </c>
      <c r="D784">
        <v>4.347283</v>
      </c>
      <c r="E784">
        <v>0.51178670000000004</v>
      </c>
      <c r="F784" t="s">
        <v>41</v>
      </c>
      <c r="G784">
        <v>-158.19499999999999</v>
      </c>
      <c r="H784">
        <v>1.779514</v>
      </c>
      <c r="I784">
        <v>370.75880000000001</v>
      </c>
      <c r="J784">
        <v>-277.0034</v>
      </c>
      <c r="K784">
        <v>1.0793919999999999</v>
      </c>
      <c r="L784">
        <v>367.42500000000001</v>
      </c>
      <c r="M784">
        <v>0.99992380000000003</v>
      </c>
      <c r="N784">
        <v>-6.9558010000000002E-3</v>
      </c>
      <c r="O784">
        <v>1.020777E-2</v>
      </c>
      <c r="P784">
        <v>0.98291390000000001</v>
      </c>
      <c r="Q784">
        <v>0.17290710000000001</v>
      </c>
      <c r="R784">
        <v>6.3118030000000006E-2</v>
      </c>
      <c r="S784">
        <v>3.0432429999999999</v>
      </c>
      <c r="T784">
        <v>1.7959949999999999E-2</v>
      </c>
      <c r="U784">
        <v>8.5235599999999995E-2</v>
      </c>
      <c r="V784">
        <v>-5.30879E-2</v>
      </c>
      <c r="W784">
        <v>0.17974229999999899</v>
      </c>
      <c r="X784">
        <v>0.98228020000000005</v>
      </c>
      <c r="Y784">
        <v>-1.779259E-2</v>
      </c>
      <c r="Z784">
        <v>1.4062119999999999E-4</v>
      </c>
      <c r="AA784">
        <v>0.99984170000000006</v>
      </c>
      <c r="AB784">
        <v>35</v>
      </c>
      <c r="AC784">
        <v>118.80840000000001</v>
      </c>
      <c r="AD784">
        <v>0.70012200000000002</v>
      </c>
      <c r="AE784">
        <v>3.3337999999999899</v>
      </c>
      <c r="AF784">
        <v>-2.1207546639964701</v>
      </c>
      <c r="AG784">
        <v>0.70012200000000002</v>
      </c>
      <c r="AH784">
        <v>118.83211788926199</v>
      </c>
      <c r="AI784">
        <v>89.662488678549707</v>
      </c>
      <c r="AJ784">
        <v>91.022428917353906</v>
      </c>
      <c r="AK784">
        <v>118.85310266546399</v>
      </c>
      <c r="AL784">
        <v>79.645250183022796</v>
      </c>
      <c r="AM784">
        <v>93.093573763537194</v>
      </c>
      <c r="AN784">
        <v>1.00000000542387</v>
      </c>
    </row>
    <row r="785" spans="1:40" x14ac:dyDescent="0.25">
      <c r="A785" t="str">
        <f>"20190304155330269"</f>
        <v>20190304155330269</v>
      </c>
      <c r="B785" t="str">
        <f>"1551686010266316"</f>
        <v>1551686010266316</v>
      </c>
      <c r="C785" t="s">
        <v>40</v>
      </c>
      <c r="D785">
        <v>4.36911</v>
      </c>
      <c r="E785">
        <v>0.51154270000000002</v>
      </c>
      <c r="F785" t="s">
        <v>41</v>
      </c>
      <c r="G785">
        <v>-158.19499999999999</v>
      </c>
      <c r="H785">
        <v>1.8592390000000001</v>
      </c>
      <c r="I785">
        <v>370.83150000000001</v>
      </c>
      <c r="J785">
        <v>-276.65559999999999</v>
      </c>
      <c r="K785">
        <v>1.0824750000000001</v>
      </c>
      <c r="L785">
        <v>367.42849999999999</v>
      </c>
      <c r="M785">
        <v>0.99992380000000003</v>
      </c>
      <c r="N785">
        <v>-6.9239310000000004E-3</v>
      </c>
      <c r="O785">
        <v>1.022579E-2</v>
      </c>
      <c r="P785">
        <v>0.98296709999999998</v>
      </c>
      <c r="Q785">
        <v>0.1725892</v>
      </c>
      <c r="R785">
        <v>6.3156050000000005E-2</v>
      </c>
      <c r="S785">
        <v>3.0430299999999999</v>
      </c>
      <c r="T785">
        <v>1.9976379999999998E-2</v>
      </c>
      <c r="U785">
        <v>8.7249759999999996E-2</v>
      </c>
      <c r="V785">
        <v>-5.3105390000000002E-2</v>
      </c>
      <c r="W785">
        <v>0.17939369999999999</v>
      </c>
      <c r="X785">
        <v>0.98234299999999997</v>
      </c>
      <c r="Y785">
        <v>-1.8437849999999999E-2</v>
      </c>
      <c r="Z785">
        <v>1.412408E-4</v>
      </c>
      <c r="AA785">
        <v>0.99983</v>
      </c>
      <c r="AB785">
        <v>35</v>
      </c>
      <c r="AC785">
        <v>118.4606</v>
      </c>
      <c r="AD785">
        <v>0.77676399999999901</v>
      </c>
      <c r="AE785">
        <v>3.40300000000002</v>
      </c>
      <c r="AF785">
        <v>-2.1913457366974902</v>
      </c>
      <c r="AG785">
        <v>0.77676399999999901</v>
      </c>
      <c r="AH785">
        <v>118.48411504652</v>
      </c>
      <c r="AI785">
        <v>89.624447109829902</v>
      </c>
      <c r="AJ785">
        <v>91.059555952407294</v>
      </c>
      <c r="AK785">
        <v>118.506923328582</v>
      </c>
      <c r="AL785">
        <v>79.665553724311394</v>
      </c>
      <c r="AM785">
        <v>93.094393522971401</v>
      </c>
      <c r="AN785">
        <v>1.0000000258478701</v>
      </c>
    </row>
    <row r="786" spans="1:40" x14ac:dyDescent="0.25">
      <c r="A786" t="str">
        <f>"20190304155330292"</f>
        <v>20190304155330292</v>
      </c>
      <c r="B786" t="str">
        <f>"1551686010286811"</f>
        <v>1551686010286811</v>
      </c>
      <c r="C786" t="s">
        <v>40</v>
      </c>
      <c r="D786">
        <v>4.3991889999999998</v>
      </c>
      <c r="E786">
        <v>0.5113605</v>
      </c>
      <c r="F786" t="s">
        <v>41</v>
      </c>
      <c r="G786">
        <v>-158.19499999999999</v>
      </c>
      <c r="H786">
        <v>1.8301350000000001</v>
      </c>
      <c r="I786">
        <v>370.91309999999999</v>
      </c>
      <c r="J786">
        <v>-276.29239999999999</v>
      </c>
      <c r="K786">
        <v>1.085674</v>
      </c>
      <c r="L786">
        <v>367.4323</v>
      </c>
      <c r="M786">
        <v>0.99992239999999999</v>
      </c>
      <c r="N786">
        <v>-7.1278959999999999E-3</v>
      </c>
      <c r="O786">
        <v>1.0237609999999999E-2</v>
      </c>
      <c r="P786">
        <v>0.98290630000000001</v>
      </c>
      <c r="Q786">
        <v>0.17277139999999999</v>
      </c>
      <c r="R786">
        <v>6.3606259999999998E-2</v>
      </c>
      <c r="S786">
        <v>3.0428769999999998</v>
      </c>
      <c r="T786">
        <v>1.920724E-2</v>
      </c>
      <c r="U786">
        <v>8.950806E-2</v>
      </c>
      <c r="V786">
        <v>-5.354283E-2</v>
      </c>
      <c r="W786">
        <v>0.17977650000000001</v>
      </c>
      <c r="X786">
        <v>0.98224929999999999</v>
      </c>
      <c r="Y786">
        <v>-1.9168879999999999E-2</v>
      </c>
      <c r="Z786">
        <v>1.4541099999999999E-4</v>
      </c>
      <c r="AA786">
        <v>0.99981620000000004</v>
      </c>
      <c r="AB786">
        <v>35</v>
      </c>
      <c r="AC786">
        <v>118.09739999999999</v>
      </c>
      <c r="AD786">
        <v>0.74446099999999904</v>
      </c>
      <c r="AE786">
        <v>3.4807999999999799</v>
      </c>
      <c r="AF786">
        <v>-2.27146180943567</v>
      </c>
      <c r="AG786">
        <v>0.74446099999999904</v>
      </c>
      <c r="AH786">
        <v>118.122156847464</v>
      </c>
      <c r="AI786">
        <v>89.638966763465206</v>
      </c>
      <c r="AJ786">
        <v>91.101648836833903</v>
      </c>
      <c r="AK786">
        <v>118.146340185505</v>
      </c>
      <c r="AL786">
        <v>79.643258748804996</v>
      </c>
      <c r="AM786">
        <v>93.120129553019794</v>
      </c>
      <c r="AN786">
        <v>1.00000005597357</v>
      </c>
    </row>
    <row r="787" spans="1:40" x14ac:dyDescent="0.25">
      <c r="A787" t="str">
        <f>"20190304155330314"</f>
        <v>20190304155330314</v>
      </c>
      <c r="B787" t="str">
        <f>"1551686010306331"</f>
        <v>1551686010306331</v>
      </c>
      <c r="C787" t="s">
        <v>40</v>
      </c>
      <c r="D787">
        <v>4.4023459999999996</v>
      </c>
      <c r="E787">
        <v>0.51120810000000005</v>
      </c>
      <c r="F787" t="s">
        <v>41</v>
      </c>
      <c r="G787">
        <v>-158.19499999999999</v>
      </c>
      <c r="H787">
        <v>1.8456630000000001</v>
      </c>
      <c r="I787">
        <v>371.01889999999997</v>
      </c>
      <c r="J787">
        <v>-275.95490000000001</v>
      </c>
      <c r="K787">
        <v>1.0885419999999999</v>
      </c>
      <c r="L787">
        <v>367.4357</v>
      </c>
      <c r="M787">
        <v>0.99991969999999997</v>
      </c>
      <c r="N787">
        <v>-7.475181E-3</v>
      </c>
      <c r="O787">
        <v>1.0244700000000001E-2</v>
      </c>
      <c r="P787">
        <v>0.98293299999999995</v>
      </c>
      <c r="Q787">
        <v>0.172654</v>
      </c>
      <c r="R787">
        <v>6.3510929999999993E-2</v>
      </c>
      <c r="S787">
        <v>3.0427249999999999</v>
      </c>
      <c r="T787">
        <v>1.9582990000000002E-2</v>
      </c>
      <c r="U787">
        <v>9.2407230000000007E-2</v>
      </c>
      <c r="V787">
        <v>-5.34385E-2</v>
      </c>
      <c r="W787">
        <v>0.18000070000000001</v>
      </c>
      <c r="X787">
        <v>0.98221389999999997</v>
      </c>
      <c r="Y787">
        <v>-2.01151E-2</v>
      </c>
      <c r="Z787">
        <v>1.5296759999999999E-4</v>
      </c>
      <c r="AA787">
        <v>0.99979759999999995</v>
      </c>
      <c r="AB787">
        <v>35</v>
      </c>
      <c r="AC787">
        <v>117.7599</v>
      </c>
      <c r="AD787">
        <v>0.75712100000000004</v>
      </c>
      <c r="AE787">
        <v>3.58319999999997</v>
      </c>
      <c r="AF787">
        <v>-2.3764653936879401</v>
      </c>
      <c r="AG787">
        <v>0.75712100000000004</v>
      </c>
      <c r="AH787">
        <v>117.78556528319599</v>
      </c>
      <c r="AI787">
        <v>89.631784982554706</v>
      </c>
      <c r="AJ787">
        <v>91.155854414257703</v>
      </c>
      <c r="AK787">
        <v>117.811969718947</v>
      </c>
      <c r="AL787">
        <v>79.630199791805197</v>
      </c>
      <c r="AM787">
        <v>93.114173866476605</v>
      </c>
      <c r="AN787">
        <v>1.0000000353179701</v>
      </c>
    </row>
    <row r="788" spans="1:40" x14ac:dyDescent="0.25">
      <c r="A788" t="str">
        <f>"20190304155330336"</f>
        <v>20190304155330336</v>
      </c>
      <c r="B788" t="str">
        <f>"1551686010326509"</f>
        <v>1551686010326509</v>
      </c>
      <c r="C788" t="s">
        <v>40</v>
      </c>
      <c r="D788">
        <v>4.4137839999999997</v>
      </c>
      <c r="E788">
        <v>0.51104179999999999</v>
      </c>
      <c r="F788" t="s">
        <v>41</v>
      </c>
      <c r="G788">
        <v>-158.19499999999999</v>
      </c>
      <c r="H788">
        <v>1.804497</v>
      </c>
      <c r="I788">
        <v>371.03789999999998</v>
      </c>
      <c r="J788">
        <v>-275.60570000000001</v>
      </c>
      <c r="K788">
        <v>1.0913219999999999</v>
      </c>
      <c r="L788">
        <v>367.4393</v>
      </c>
      <c r="M788">
        <v>0.99991609999999997</v>
      </c>
      <c r="N788">
        <v>-7.9292600000000005E-3</v>
      </c>
      <c r="O788">
        <v>1.024839E-2</v>
      </c>
      <c r="P788">
        <v>0.98296059999999996</v>
      </c>
      <c r="Q788">
        <v>0.17257159999999999</v>
      </c>
      <c r="R788">
        <v>6.3308660000000003E-2</v>
      </c>
      <c r="S788">
        <v>3.0428470000000001</v>
      </c>
      <c r="T788">
        <v>1.850212E-2</v>
      </c>
      <c r="U788">
        <v>9.3078610000000006E-2</v>
      </c>
      <c r="V788">
        <v>-5.3230689999999997E-2</v>
      </c>
      <c r="W788">
        <v>0.1803652</v>
      </c>
      <c r="X788">
        <v>0.98215830000000004</v>
      </c>
      <c r="Y788">
        <v>-2.0330620000000001E-2</v>
      </c>
      <c r="Z788">
        <v>1.623719E-4</v>
      </c>
      <c r="AA788">
        <v>0.9997933</v>
      </c>
      <c r="AB788">
        <v>35</v>
      </c>
      <c r="AC788">
        <v>117.41070000000001</v>
      </c>
      <c r="AD788">
        <v>0.713175</v>
      </c>
      <c r="AE788">
        <v>3.59859999999997</v>
      </c>
      <c r="AF788">
        <v>-2.3950143143105298</v>
      </c>
      <c r="AG788">
        <v>0.713175</v>
      </c>
      <c r="AH788">
        <v>117.437085803271</v>
      </c>
      <c r="AI788">
        <v>89.652129305096096</v>
      </c>
      <c r="AJ788">
        <v>91.168329334011702</v>
      </c>
      <c r="AK788">
        <v>117.463670273457</v>
      </c>
      <c r="AL788">
        <v>79.608967810704797</v>
      </c>
      <c r="AM788">
        <v>93.102262527104799</v>
      </c>
      <c r="AN788">
        <v>1.0000000189939</v>
      </c>
    </row>
    <row r="789" spans="1:40" x14ac:dyDescent="0.25">
      <c r="A789" t="str">
        <f>"20190304155330351"</f>
        <v>20190304155330351</v>
      </c>
      <c r="B789" t="str">
        <f>"1551686010347005"</f>
        <v>1551686010347005</v>
      </c>
      <c r="C789" t="s">
        <v>40</v>
      </c>
      <c r="D789">
        <v>4.4195219999999997</v>
      </c>
      <c r="E789">
        <v>0.51085849999999999</v>
      </c>
      <c r="F789" t="s">
        <v>41</v>
      </c>
      <c r="G789">
        <v>-158.19499999999999</v>
      </c>
      <c r="H789">
        <v>1.7374179999999999</v>
      </c>
      <c r="I789">
        <v>371.07420000000002</v>
      </c>
      <c r="J789">
        <v>-275.37110000000001</v>
      </c>
      <c r="K789">
        <v>1.0930580000000001</v>
      </c>
      <c r="L789">
        <v>367.44170000000003</v>
      </c>
      <c r="M789">
        <v>0.99991339999999995</v>
      </c>
      <c r="N789">
        <v>-8.2647609999999903E-3</v>
      </c>
      <c r="O789">
        <v>1.024956E-2</v>
      </c>
      <c r="P789">
        <v>0.98305330000000002</v>
      </c>
      <c r="Q789">
        <v>0.17206920000000001</v>
      </c>
      <c r="R789">
        <v>6.3233380000000006E-2</v>
      </c>
      <c r="S789">
        <v>3.042999</v>
      </c>
      <c r="T789">
        <v>1.674747E-2</v>
      </c>
      <c r="U789">
        <v>9.4207760000000001E-2</v>
      </c>
      <c r="V789">
        <v>-5.3152289999999998E-2</v>
      </c>
      <c r="W789">
        <v>0.18019299999999999</v>
      </c>
      <c r="X789">
        <v>0.98219409999999896</v>
      </c>
      <c r="Y789">
        <v>-2.069853E-2</v>
      </c>
      <c r="Z789">
        <v>1.696984E-4</v>
      </c>
      <c r="AA789">
        <v>0.9997857</v>
      </c>
      <c r="AB789">
        <v>35</v>
      </c>
      <c r="AC789">
        <v>117.17610000000001</v>
      </c>
      <c r="AD789">
        <v>0.64436000000000004</v>
      </c>
      <c r="AE789">
        <v>3.6324999999999901</v>
      </c>
      <c r="AF789">
        <v>-2.4311913432149201</v>
      </c>
      <c r="AG789">
        <v>0.64436000000000004</v>
      </c>
      <c r="AH789">
        <v>117.20363652260301</v>
      </c>
      <c r="AI789">
        <v>89.685071235361804</v>
      </c>
      <c r="AJ789">
        <v>91.188333684101096</v>
      </c>
      <c r="AK789">
        <v>117.23062016930299</v>
      </c>
      <c r="AL789">
        <v>79.618997941837705</v>
      </c>
      <c r="AM789">
        <v>93.097589624479596</v>
      </c>
      <c r="AN789">
        <v>0.99999996662802604</v>
      </c>
    </row>
    <row r="790" spans="1:40" x14ac:dyDescent="0.25">
      <c r="A790" t="str">
        <f>"20190304155330369"</f>
        <v>20190304155330369</v>
      </c>
      <c r="B790" t="str">
        <f>"1551686010366525"</f>
        <v>1551686010366525</v>
      </c>
      <c r="C790" t="s">
        <v>40</v>
      </c>
      <c r="D790">
        <v>4.4018649999999999</v>
      </c>
      <c r="E790">
        <v>0.51072980000000001</v>
      </c>
      <c r="F790" t="s">
        <v>41</v>
      </c>
      <c r="G790">
        <v>-158.19499999999999</v>
      </c>
      <c r="H790">
        <v>1.6410769999999999</v>
      </c>
      <c r="I790">
        <v>371.1234</v>
      </c>
      <c r="J790">
        <v>-275.08390000000003</v>
      </c>
      <c r="K790">
        <v>1.0950420000000001</v>
      </c>
      <c r="L790">
        <v>367.44459999999998</v>
      </c>
      <c r="M790">
        <v>0.99990979999999996</v>
      </c>
      <c r="N790">
        <v>-8.68986699999999E-3</v>
      </c>
      <c r="O790">
        <v>1.025004E-2</v>
      </c>
      <c r="P790">
        <v>0.98305050000000005</v>
      </c>
      <c r="Q790">
        <v>0.1720921</v>
      </c>
      <c r="R790">
        <v>6.321707E-2</v>
      </c>
      <c r="S790">
        <v>3.0430600000000001</v>
      </c>
      <c r="T790">
        <v>1.4234299999999899E-2</v>
      </c>
      <c r="U790">
        <v>9.5611570000000007E-2</v>
      </c>
      <c r="V790">
        <v>-5.3134819999999999E-2</v>
      </c>
      <c r="W790">
        <v>0.18063389999999999</v>
      </c>
      <c r="X790">
        <v>0.98211409999999999</v>
      </c>
      <c r="Y790">
        <v>-2.1158150000000001E-2</v>
      </c>
      <c r="Z790">
        <v>1.7946799999999901E-4</v>
      </c>
      <c r="AA790">
        <v>0.99977609999999995</v>
      </c>
      <c r="AB790">
        <v>35</v>
      </c>
      <c r="AC790">
        <v>116.88890000000001</v>
      </c>
      <c r="AD790">
        <v>0.54603500000000005</v>
      </c>
      <c r="AE790">
        <v>3.6788000000000198</v>
      </c>
      <c r="AF790">
        <v>-2.48039162409655</v>
      </c>
      <c r="AG790">
        <v>0.54603500000000005</v>
      </c>
      <c r="AH790">
        <v>116.91791941827201</v>
      </c>
      <c r="AI790">
        <v>89.7324769728082</v>
      </c>
      <c r="AJ790">
        <v>91.215336857130893</v>
      </c>
      <c r="AK790">
        <v>116.945501743024</v>
      </c>
      <c r="AL790">
        <v>79.593315251459799</v>
      </c>
      <c r="AM790">
        <v>93.096825242366904</v>
      </c>
      <c r="AN790">
        <v>1.00000001017222</v>
      </c>
    </row>
    <row r="791" spans="1:40" x14ac:dyDescent="0.25">
      <c r="A791" t="str">
        <f>"20190304155330392"</f>
        <v>20190304155330392</v>
      </c>
      <c r="B791" t="str">
        <f>"1551686010387021"</f>
        <v>1551686010387021</v>
      </c>
      <c r="C791" t="s">
        <v>40</v>
      </c>
      <c r="D791">
        <v>4.3945800000000004</v>
      </c>
      <c r="E791">
        <v>0.51058669999999995</v>
      </c>
      <c r="F791" t="s">
        <v>41</v>
      </c>
      <c r="G791">
        <v>-158.19499999999999</v>
      </c>
      <c r="H791">
        <v>1.5948580000000001</v>
      </c>
      <c r="I791">
        <v>371.15100000000001</v>
      </c>
      <c r="J791">
        <v>-274.72879999999998</v>
      </c>
      <c r="K791">
        <v>1.097253</v>
      </c>
      <c r="L791">
        <v>367.44830000000002</v>
      </c>
      <c r="M791">
        <v>0.99990489999999999</v>
      </c>
      <c r="N791">
        <v>-9.2185570000000005E-3</v>
      </c>
      <c r="O791">
        <v>1.025031E-2</v>
      </c>
      <c r="P791">
        <v>0.98311190000000004</v>
      </c>
      <c r="Q791">
        <v>0.1719135</v>
      </c>
      <c r="R791">
        <v>6.2742649999999997E-2</v>
      </c>
      <c r="S791">
        <v>3.0432429999999999</v>
      </c>
      <c r="T791">
        <v>1.301515E-2</v>
      </c>
      <c r="U791">
        <v>9.6496579999999998E-2</v>
      </c>
      <c r="V791">
        <v>-5.2658940000000001E-2</v>
      </c>
      <c r="W791">
        <v>0.18097530000000001</v>
      </c>
      <c r="X791">
        <v>0.98207690000000003</v>
      </c>
      <c r="Y791">
        <v>-2.1446440000000001E-2</v>
      </c>
      <c r="Z791">
        <v>1.9132970000000001E-4</v>
      </c>
      <c r="AA791">
        <v>0.99977000000000005</v>
      </c>
      <c r="AB791">
        <v>35</v>
      </c>
      <c r="AC791">
        <v>116.5338</v>
      </c>
      <c r="AD791">
        <v>0.49760499999999902</v>
      </c>
      <c r="AE791">
        <v>3.7026999999999899</v>
      </c>
      <c r="AF791">
        <v>-2.5079013596446602</v>
      </c>
      <c r="AG791">
        <v>0.49760499999999902</v>
      </c>
      <c r="AH791">
        <v>116.563509524029</v>
      </c>
      <c r="AI791">
        <v>89.7554646666228</v>
      </c>
      <c r="AJ791">
        <v>91.232546943303902</v>
      </c>
      <c r="AK791">
        <v>116.591547431725</v>
      </c>
      <c r="AL791">
        <v>79.573426902450095</v>
      </c>
      <c r="AM791">
        <v>93.069259107897693</v>
      </c>
      <c r="AN791">
        <v>1.00000003034281</v>
      </c>
    </row>
    <row r="792" spans="1:40" x14ac:dyDescent="0.25">
      <c r="A792" t="str">
        <f>"20190304155330407"</f>
        <v>20190304155330407</v>
      </c>
      <c r="B792" t="str">
        <f>"1551686010396781"</f>
        <v>1551686010396781</v>
      </c>
      <c r="C792" t="s">
        <v>40</v>
      </c>
      <c r="D792">
        <v>4.4134580000000003</v>
      </c>
      <c r="E792">
        <v>0.51051029999999997</v>
      </c>
      <c r="F792" t="s">
        <v>41</v>
      </c>
      <c r="G792">
        <v>-158.19499999999999</v>
      </c>
      <c r="H792">
        <v>1.528394</v>
      </c>
      <c r="I792">
        <v>371.14670000000001</v>
      </c>
      <c r="J792">
        <v>-274.49310000000003</v>
      </c>
      <c r="K792">
        <v>1.0985830000000001</v>
      </c>
      <c r="L792">
        <v>367.45069999999998</v>
      </c>
      <c r="M792">
        <v>0.99990179999999995</v>
      </c>
      <c r="N792">
        <v>-9.5624639999999997E-3</v>
      </c>
      <c r="O792">
        <v>1.025015E-2</v>
      </c>
      <c r="P792">
        <v>0.98314449999999998</v>
      </c>
      <c r="Q792">
        <v>0.17171900000000001</v>
      </c>
      <c r="R792">
        <v>6.2767400000000001E-2</v>
      </c>
      <c r="S792">
        <v>3.043396</v>
      </c>
      <c r="T792">
        <v>1.126194E-2</v>
      </c>
      <c r="U792">
        <v>9.6588129999999994E-2</v>
      </c>
      <c r="V792">
        <v>-5.2682800000000002E-2</v>
      </c>
      <c r="W792">
        <v>0.1811188</v>
      </c>
      <c r="X792">
        <v>0.98204910000000001</v>
      </c>
      <c r="Y792">
        <v>-2.1475000000000001E-2</v>
      </c>
      <c r="Z792">
        <v>1.9889800000000001E-4</v>
      </c>
      <c r="AA792">
        <v>0.99976940000000003</v>
      </c>
      <c r="AB792">
        <v>35</v>
      </c>
      <c r="AC792">
        <v>116.29810000000001</v>
      </c>
      <c r="AD792">
        <v>0.429811</v>
      </c>
      <c r="AE792">
        <v>3.6960000000000202</v>
      </c>
      <c r="AF792">
        <v>-2.5036442475800502</v>
      </c>
      <c r="AG792">
        <v>0.429811</v>
      </c>
      <c r="AH792">
        <v>116.328288810857</v>
      </c>
      <c r="AI792">
        <v>89.788352919198601</v>
      </c>
      <c r="AJ792">
        <v>91.232942628937096</v>
      </c>
      <c r="AK792">
        <v>116.35602154455199</v>
      </c>
      <c r="AL792">
        <v>79.565066123726297</v>
      </c>
      <c r="AM792">
        <v>93.070733900089905</v>
      </c>
      <c r="AN792">
        <v>0.99999996597004404</v>
      </c>
    </row>
    <row r="793" spans="1:40" x14ac:dyDescent="0.25">
      <c r="A793" t="str">
        <f>"20190304155330425"</f>
        <v>20190304155330425</v>
      </c>
      <c r="B793" t="str">
        <f>"1551686010416301"</f>
        <v>1551686010416301</v>
      </c>
      <c r="C793" t="s">
        <v>40</v>
      </c>
      <c r="D793">
        <v>4.3950180000000003</v>
      </c>
      <c r="E793">
        <v>0.5102951</v>
      </c>
      <c r="F793" t="s">
        <v>41</v>
      </c>
      <c r="G793">
        <v>-158.19499999999999</v>
      </c>
      <c r="H793">
        <v>1.4770939999999999</v>
      </c>
      <c r="I793">
        <v>371.18009999999998</v>
      </c>
      <c r="J793">
        <v>-274.2122</v>
      </c>
      <c r="K793">
        <v>1.100025</v>
      </c>
      <c r="L793">
        <v>367.45359999999999</v>
      </c>
      <c r="M793">
        <v>0.99989799999999995</v>
      </c>
      <c r="N793">
        <v>-9.9593330000000008E-3</v>
      </c>
      <c r="O793">
        <v>1.024955E-2</v>
      </c>
      <c r="P793">
        <v>0.98318240000000001</v>
      </c>
      <c r="Q793">
        <v>0.1715267</v>
      </c>
      <c r="R793">
        <v>6.2700480000000003E-2</v>
      </c>
      <c r="S793">
        <v>3.0434570000000001</v>
      </c>
      <c r="T793">
        <v>9.9077220000000008E-3</v>
      </c>
      <c r="U793">
        <v>9.7595210000000002E-2</v>
      </c>
      <c r="V793">
        <v>-5.2615759999999998E-2</v>
      </c>
      <c r="W793">
        <v>0.1813167</v>
      </c>
      <c r="X793">
        <v>0.98201620000000001</v>
      </c>
      <c r="Y793">
        <v>-2.1805410000000001E-2</v>
      </c>
      <c r="Z793">
        <v>2.0854550000000001E-4</v>
      </c>
      <c r="AA793">
        <v>0.99976220000000005</v>
      </c>
      <c r="AB793">
        <v>35</v>
      </c>
      <c r="AC793">
        <v>116.0172</v>
      </c>
      <c r="AD793">
        <v>0.37706899999999999</v>
      </c>
      <c r="AE793">
        <v>3.7264999999999802</v>
      </c>
      <c r="AF793">
        <v>-2.53709454226659</v>
      </c>
      <c r="AG793">
        <v>0.37706899999999999</v>
      </c>
      <c r="AH793">
        <v>116.04807750158101</v>
      </c>
      <c r="AI793">
        <v>89.813876924798393</v>
      </c>
      <c r="AJ793">
        <v>91.252426230858504</v>
      </c>
      <c r="AK793">
        <v>116.07642017895</v>
      </c>
      <c r="AL793">
        <v>79.553536649635802</v>
      </c>
      <c r="AM793">
        <v>93.066936339499904</v>
      </c>
      <c r="AN793">
        <v>0.99999999048085297</v>
      </c>
    </row>
    <row r="794" spans="1:40" x14ac:dyDescent="0.25">
      <c r="A794" t="str">
        <f>"20190304155330440"</f>
        <v>20190304155330440</v>
      </c>
      <c r="B794" t="str">
        <f>"1551686010437078"</f>
        <v>1551686010437078</v>
      </c>
      <c r="C794" t="s">
        <v>40</v>
      </c>
      <c r="D794">
        <v>4.4237489999999999</v>
      </c>
      <c r="E794">
        <v>0.51017029999999997</v>
      </c>
      <c r="F794" t="s">
        <v>41</v>
      </c>
      <c r="G794">
        <v>-158.19499999999999</v>
      </c>
      <c r="H794">
        <v>1.3964219999999901</v>
      </c>
      <c r="I794">
        <v>371.2226</v>
      </c>
      <c r="J794">
        <v>-273.96559999999999</v>
      </c>
      <c r="K794">
        <v>1.1011789999999999</v>
      </c>
      <c r="L794">
        <v>367.45609999999999</v>
      </c>
      <c r="M794">
        <v>0.99989459999999997</v>
      </c>
      <c r="N794">
        <v>-1.0293989999999999E-2</v>
      </c>
      <c r="O794">
        <v>1.0249670000000001E-2</v>
      </c>
      <c r="P794">
        <v>0.98324319999999998</v>
      </c>
      <c r="Q794">
        <v>0.17121629999999999</v>
      </c>
      <c r="R794">
        <v>6.2595520000000002E-2</v>
      </c>
      <c r="S794">
        <v>3.0436709999999998</v>
      </c>
      <c r="T794">
        <v>7.7781680000000002E-3</v>
      </c>
      <c r="U794">
        <v>9.8876950000000005E-2</v>
      </c>
      <c r="V794">
        <v>-5.2509729999999998E-2</v>
      </c>
      <c r="W794">
        <v>0.18133640000000001</v>
      </c>
      <c r="X794">
        <v>0.98201819999999895</v>
      </c>
      <c r="Y794">
        <v>-2.222352E-2</v>
      </c>
      <c r="Z794">
        <v>2.1770289999999999E-4</v>
      </c>
      <c r="AA794">
        <v>0.999753</v>
      </c>
      <c r="AB794">
        <v>35</v>
      </c>
      <c r="AC794">
        <v>115.7706</v>
      </c>
      <c r="AD794">
        <v>0.29524299999999898</v>
      </c>
      <c r="AE794">
        <v>3.7665000000000002</v>
      </c>
      <c r="AF794">
        <v>-2.5796121855899998</v>
      </c>
      <c r="AG794">
        <v>0.29524299999999898</v>
      </c>
      <c r="AH794">
        <v>115.802373086318</v>
      </c>
      <c r="AI794">
        <v>89.853958556749603</v>
      </c>
      <c r="AJ794">
        <v>91.276109004669806</v>
      </c>
      <c r="AK794">
        <v>115.831477500202</v>
      </c>
      <c r="AL794">
        <v>79.552388504853894</v>
      </c>
      <c r="AM794">
        <v>93.060761465545696</v>
      </c>
      <c r="AN794">
        <v>0.99999995342043502</v>
      </c>
    </row>
    <row r="795" spans="1:40" x14ac:dyDescent="0.25">
      <c r="A795" t="str">
        <f>"20190304155330459"</f>
        <v>20190304155330459</v>
      </c>
      <c r="B795" t="str">
        <f>"1551686010456597"</f>
        <v>1551686010456597</v>
      </c>
      <c r="C795" t="s">
        <v>40</v>
      </c>
      <c r="D795">
        <v>4.424874</v>
      </c>
      <c r="E795">
        <v>0.51002069999999999</v>
      </c>
      <c r="F795" t="s">
        <v>41</v>
      </c>
      <c r="G795">
        <v>-158.19499999999999</v>
      </c>
      <c r="H795">
        <v>1.3326800000000001</v>
      </c>
      <c r="I795">
        <v>371.23669999999998</v>
      </c>
      <c r="J795">
        <v>-273.68860000000001</v>
      </c>
      <c r="K795">
        <v>1.1023229999999999</v>
      </c>
      <c r="L795">
        <v>367.459</v>
      </c>
      <c r="M795">
        <v>0.99989090000000003</v>
      </c>
      <c r="N795">
        <v>-1.064732E-2</v>
      </c>
      <c r="O795">
        <v>1.0249629999999999E-2</v>
      </c>
      <c r="P795">
        <v>0.98333230000000005</v>
      </c>
      <c r="Q795">
        <v>0.17069690000000001</v>
      </c>
      <c r="R795">
        <v>6.2613000000000002E-2</v>
      </c>
      <c r="S795">
        <v>3.0437319999999999</v>
      </c>
      <c r="T795">
        <v>6.0887340000000002E-3</v>
      </c>
      <c r="U795">
        <v>9.9395750000000005E-2</v>
      </c>
      <c r="V795">
        <v>-5.2525479999999999E-2</v>
      </c>
      <c r="W795">
        <v>0.18116479999999999</v>
      </c>
      <c r="X795">
        <v>0.98204910000000001</v>
      </c>
      <c r="Y795">
        <v>-2.2393039999999999E-2</v>
      </c>
      <c r="Z795">
        <v>2.2646299999999999E-4</v>
      </c>
      <c r="AA795">
        <v>0.9997492</v>
      </c>
      <c r="AB795">
        <v>35</v>
      </c>
      <c r="AC795">
        <v>115.4936</v>
      </c>
      <c r="AD795">
        <v>0.23035699999999901</v>
      </c>
      <c r="AE795">
        <v>3.7776999999999799</v>
      </c>
      <c r="AF795">
        <v>-2.5936575975932299</v>
      </c>
      <c r="AG795">
        <v>0.23035699999999901</v>
      </c>
      <c r="AH795">
        <v>115.525795692798</v>
      </c>
      <c r="AI795">
        <v>89.885781861270402</v>
      </c>
      <c r="AJ795">
        <v>91.286125515419698</v>
      </c>
      <c r="AK795">
        <v>115.55513659952599</v>
      </c>
      <c r="AL795">
        <v>79.562386783413501</v>
      </c>
      <c r="AM795">
        <v>93.061581625581695</v>
      </c>
      <c r="AN795">
        <v>1.00000002280954</v>
      </c>
    </row>
    <row r="796" spans="1:40" x14ac:dyDescent="0.25">
      <c r="A796" t="str">
        <f>"20190304155330482"</f>
        <v>20190304155330482</v>
      </c>
      <c r="B796" t="str">
        <f>"1551686010477094"</f>
        <v>1551686010477094</v>
      </c>
      <c r="C796" t="s">
        <v>40</v>
      </c>
      <c r="D796">
        <v>4.4352269999999896</v>
      </c>
      <c r="E796">
        <v>0.50988219999999995</v>
      </c>
      <c r="F796" t="s">
        <v>41</v>
      </c>
      <c r="G796">
        <v>-158.19499999999999</v>
      </c>
      <c r="H796">
        <v>1.2505949999999999</v>
      </c>
      <c r="I796">
        <v>371.27800000000002</v>
      </c>
      <c r="J796">
        <v>-273.32839999999999</v>
      </c>
      <c r="K796">
        <v>1.1036349999999999</v>
      </c>
      <c r="L796">
        <v>367.46260000000001</v>
      </c>
      <c r="M796">
        <v>0.99988619999999995</v>
      </c>
      <c r="N796">
        <v>-1.107673E-2</v>
      </c>
      <c r="O796">
        <v>1.024975E-2</v>
      </c>
      <c r="P796">
        <v>0.9833942</v>
      </c>
      <c r="Q796">
        <v>0.17028660000000001</v>
      </c>
      <c r="R796">
        <v>6.2758620000000001E-2</v>
      </c>
      <c r="S796">
        <v>3.0437620000000001</v>
      </c>
      <c r="T796">
        <v>3.9099449999999997E-3</v>
      </c>
      <c r="U796">
        <v>0.100647</v>
      </c>
      <c r="V796">
        <v>-5.2670059999999998E-2</v>
      </c>
      <c r="W796">
        <v>0.181177</v>
      </c>
      <c r="X796">
        <v>0.98203910000000005</v>
      </c>
      <c r="Y796">
        <v>-2.2802989999999999E-2</v>
      </c>
      <c r="Z796">
        <v>2.383614E-4</v>
      </c>
      <c r="AA796">
        <v>0.99973990000000001</v>
      </c>
      <c r="AB796">
        <v>35</v>
      </c>
      <c r="AC796">
        <v>115.13339999999999</v>
      </c>
      <c r="AD796">
        <v>0.14695999999999901</v>
      </c>
      <c r="AE796">
        <v>3.8154000000000101</v>
      </c>
      <c r="AF796">
        <v>-2.6350343924931301</v>
      </c>
      <c r="AG796">
        <v>0.14695999999999901</v>
      </c>
      <c r="AH796">
        <v>115.16627315361301</v>
      </c>
      <c r="AI796">
        <v>89.926905856948295</v>
      </c>
      <c r="AJ796">
        <v>91.310713701225694</v>
      </c>
      <c r="AK796">
        <v>115.196508087631</v>
      </c>
      <c r="AL796">
        <v>79.561675954026001</v>
      </c>
      <c r="AM796">
        <v>93.0700239431699</v>
      </c>
      <c r="AN796">
        <v>1.0000000172390999</v>
      </c>
    </row>
    <row r="797" spans="1:40" x14ac:dyDescent="0.25">
      <c r="A797" t="str">
        <f>"20190304155330505"</f>
        <v>20190304155330505</v>
      </c>
      <c r="B797" t="str">
        <f>"1551686010496614"</f>
        <v>1551686010496614</v>
      </c>
      <c r="C797" t="s">
        <v>40</v>
      </c>
      <c r="D797">
        <v>4.4295980000000004</v>
      </c>
      <c r="E797">
        <v>0.50973440000000003</v>
      </c>
      <c r="F797" t="s">
        <v>41</v>
      </c>
      <c r="G797">
        <v>-158.19499999999999</v>
      </c>
      <c r="H797">
        <v>1.1692309999999999</v>
      </c>
      <c r="I797">
        <v>371.33080000000001</v>
      </c>
      <c r="J797">
        <v>-272.97469999999998</v>
      </c>
      <c r="K797">
        <v>1.104724</v>
      </c>
      <c r="L797">
        <v>367.46620000000001</v>
      </c>
      <c r="M797">
        <v>0.99988189999999999</v>
      </c>
      <c r="N797">
        <v>-1.1459860000000001E-2</v>
      </c>
      <c r="O797">
        <v>1.024957E-2</v>
      </c>
      <c r="P797">
        <v>0.98347070000000003</v>
      </c>
      <c r="Q797">
        <v>0.16975079999999901</v>
      </c>
      <c r="R797">
        <v>6.3008629999999996E-2</v>
      </c>
      <c r="S797">
        <v>3.0438540000000001</v>
      </c>
      <c r="T797">
        <v>1.7365219999999999E-3</v>
      </c>
      <c r="U797">
        <v>0.10226440000000001</v>
      </c>
      <c r="V797">
        <v>-5.2918390000000003E-2</v>
      </c>
      <c r="W797">
        <v>0.18101890000000001</v>
      </c>
      <c r="X797">
        <v>0.98205489999999995</v>
      </c>
      <c r="Y797">
        <v>-2.3332660000000002E-2</v>
      </c>
      <c r="Z797">
        <v>2.5036390000000001E-4</v>
      </c>
      <c r="AA797">
        <v>0.9997277</v>
      </c>
      <c r="AB797">
        <v>35</v>
      </c>
      <c r="AC797">
        <v>114.77970000000001</v>
      </c>
      <c r="AD797">
        <v>6.4506999999999801E-2</v>
      </c>
      <c r="AE797">
        <v>3.86459999999999</v>
      </c>
      <c r="AF797">
        <v>-2.6878764126332602</v>
      </c>
      <c r="AG797">
        <v>6.4506999999999801E-2</v>
      </c>
      <c r="AH797">
        <v>114.813246898335</v>
      </c>
      <c r="AI797">
        <v>89.967817598123801</v>
      </c>
      <c r="AJ797">
        <v>91.341098286230206</v>
      </c>
      <c r="AK797">
        <v>114.84472344910201</v>
      </c>
      <c r="AL797">
        <v>79.570886664790507</v>
      </c>
      <c r="AM797">
        <v>93.084421148207895</v>
      </c>
      <c r="AN797">
        <v>1.0000000123857</v>
      </c>
    </row>
    <row r="798" spans="1:40" x14ac:dyDescent="0.25">
      <c r="A798" t="str">
        <f>"20190304155330526"</f>
        <v>20190304155330526</v>
      </c>
      <c r="B798" t="str">
        <f>"1551686010516134"</f>
        <v>1551686010516134</v>
      </c>
      <c r="C798" t="s">
        <v>40</v>
      </c>
      <c r="D798">
        <v>4.4366719999999997</v>
      </c>
      <c r="E798">
        <v>0.50967489999999904</v>
      </c>
      <c r="F798" t="s">
        <v>41</v>
      </c>
      <c r="G798">
        <v>-158.19499999999999</v>
      </c>
      <c r="H798">
        <v>1.0689709999999999</v>
      </c>
      <c r="I798">
        <v>371.4042</v>
      </c>
      <c r="J798">
        <v>-272.64580000000001</v>
      </c>
      <c r="K798">
        <v>1.1055969999999999</v>
      </c>
      <c r="L798">
        <v>367.46969999999999</v>
      </c>
      <c r="M798">
        <v>0.99987809999999999</v>
      </c>
      <c r="N798">
        <v>-1.1785520000000001E-2</v>
      </c>
      <c r="O798">
        <v>1.024896E-2</v>
      </c>
      <c r="P798">
        <v>0.98354850000000005</v>
      </c>
      <c r="Q798">
        <v>0.1692562</v>
      </c>
      <c r="R798">
        <v>6.3129179999999993E-2</v>
      </c>
      <c r="S798">
        <v>3.0438839999999998</v>
      </c>
      <c r="T798">
        <v>-9.4580650000000005E-4</v>
      </c>
      <c r="U798">
        <v>0.1044312</v>
      </c>
      <c r="V798">
        <v>-5.3038599999999998E-2</v>
      </c>
      <c r="W798">
        <v>0.1808449</v>
      </c>
      <c r="X798">
        <v>0.98208050000000002</v>
      </c>
      <c r="Y798">
        <v>-2.404353E-2</v>
      </c>
      <c r="Z798">
        <v>2.6304529999999999E-4</v>
      </c>
      <c r="AA798">
        <v>0.99971089999999996</v>
      </c>
      <c r="AB798">
        <v>35</v>
      </c>
      <c r="AC798">
        <v>114.4508</v>
      </c>
      <c r="AD798">
        <v>-3.6625999999999999E-2</v>
      </c>
      <c r="AE798">
        <v>3.9345000000000101</v>
      </c>
      <c r="AF798">
        <v>-2.7612099881082601</v>
      </c>
      <c r="AG798">
        <v>-3.6625999999999999E-2</v>
      </c>
      <c r="AH798">
        <v>114.485103604635</v>
      </c>
      <c r="AI798">
        <v>90.018324698963198</v>
      </c>
      <c r="AJ798">
        <v>91.381620911180207</v>
      </c>
      <c r="AK798">
        <v>114.518402754433</v>
      </c>
      <c r="AL798">
        <v>79.581023719195798</v>
      </c>
      <c r="AM798">
        <v>93.091333750410001</v>
      </c>
      <c r="AN798">
        <v>1.0000000397130999</v>
      </c>
    </row>
    <row r="799" spans="1:40" x14ac:dyDescent="0.25">
      <c r="A799" t="str">
        <f>"20190304155330548"</f>
        <v>20190304155330548</v>
      </c>
      <c r="B799" t="str">
        <f>"1551686010536630"</f>
        <v>1551686010536630</v>
      </c>
      <c r="C799" t="s">
        <v>40</v>
      </c>
      <c r="D799">
        <v>4.4312610000000001</v>
      </c>
      <c r="E799">
        <v>0.50955220000000001</v>
      </c>
      <c r="F799" t="s">
        <v>41</v>
      </c>
      <c r="G799">
        <v>-158.19499999999999</v>
      </c>
      <c r="H799">
        <v>0.9995174</v>
      </c>
      <c r="I799">
        <v>371.42039999999997</v>
      </c>
      <c r="J799">
        <v>-272.30860000000001</v>
      </c>
      <c r="K799">
        <v>1.106366</v>
      </c>
      <c r="L799">
        <v>367.47309999999999</v>
      </c>
      <c r="M799">
        <v>0.9998745</v>
      </c>
      <c r="N799">
        <v>-1.208919E-2</v>
      </c>
      <c r="O799">
        <v>1.0247640000000001E-2</v>
      </c>
      <c r="P799">
        <v>0.9836433</v>
      </c>
      <c r="Q799">
        <v>0.16875109999999999</v>
      </c>
      <c r="R799">
        <v>6.3001379999999996E-2</v>
      </c>
      <c r="S799">
        <v>3.0439150000000001</v>
      </c>
      <c r="T799">
        <v>-2.8189420000000001E-3</v>
      </c>
      <c r="U799">
        <v>0.105072</v>
      </c>
      <c r="V799">
        <v>-5.2910909999999998E-2</v>
      </c>
      <c r="W799">
        <v>0.18063950000000001</v>
      </c>
      <c r="X799">
        <v>0.98212520000000003</v>
      </c>
      <c r="Y799">
        <v>-2.4254560000000001E-2</v>
      </c>
      <c r="Z799">
        <v>2.7226000000000003E-4</v>
      </c>
      <c r="AA799">
        <v>0.99970579999999998</v>
      </c>
      <c r="AB799">
        <v>35</v>
      </c>
      <c r="AC799">
        <v>114.11360000000001</v>
      </c>
      <c r="AD799">
        <v>-0.106848599999999</v>
      </c>
      <c r="AE799">
        <v>3.9472999999999798</v>
      </c>
      <c r="AF799">
        <v>-2.7776098212605498</v>
      </c>
      <c r="AG799">
        <v>-0.106848599999999</v>
      </c>
      <c r="AH799">
        <v>114.147960703265</v>
      </c>
      <c r="AI799">
        <v>90.053616029148003</v>
      </c>
      <c r="AJ799">
        <v>91.393926963585201</v>
      </c>
      <c r="AK799">
        <v>114.18180006313</v>
      </c>
      <c r="AL799">
        <v>79.592989457445</v>
      </c>
      <c r="AM799">
        <v>93.083765683777798</v>
      </c>
      <c r="AN799">
        <v>1.00000005091615</v>
      </c>
    </row>
    <row r="800" spans="1:40" x14ac:dyDescent="0.25">
      <c r="A800" t="str">
        <f>"20190304155330563"</f>
        <v>20190304155330563</v>
      </c>
      <c r="B800" t="str">
        <f>"1551686010556150"</f>
        <v>1551686010556150</v>
      </c>
      <c r="C800" t="s">
        <v>40</v>
      </c>
      <c r="D800">
        <v>4.4505939999999997</v>
      </c>
      <c r="E800">
        <v>0.50944029999999996</v>
      </c>
      <c r="F800" t="s">
        <v>41</v>
      </c>
      <c r="G800">
        <v>-158.19499999999999</v>
      </c>
      <c r="H800">
        <v>0.91335109999999997</v>
      </c>
      <c r="I800">
        <v>371.4384</v>
      </c>
      <c r="J800">
        <v>-272.07429999999999</v>
      </c>
      <c r="K800">
        <v>1.1068370000000001</v>
      </c>
      <c r="L800">
        <v>367.47559999999999</v>
      </c>
      <c r="M800">
        <v>0.99987210000000004</v>
      </c>
      <c r="N800">
        <v>-1.228505E-2</v>
      </c>
      <c r="O800">
        <v>1.024571E-2</v>
      </c>
      <c r="P800">
        <v>0.98365139999999995</v>
      </c>
      <c r="Q800">
        <v>0.16867860000000001</v>
      </c>
      <c r="R800">
        <v>6.3067910000000005E-2</v>
      </c>
      <c r="S800">
        <v>3.044006</v>
      </c>
      <c r="T800">
        <v>-5.1463840000000004E-3</v>
      </c>
      <c r="U800">
        <v>0.1057739</v>
      </c>
      <c r="V800">
        <v>-5.2979030000000003E-2</v>
      </c>
      <c r="W800">
        <v>0.18075959999999999</v>
      </c>
      <c r="X800">
        <v>0.98209939999999996</v>
      </c>
      <c r="Y800">
        <v>-2.4485460000000001E-2</v>
      </c>
      <c r="Z800">
        <v>2.7967440000000002E-4</v>
      </c>
      <c r="AA800">
        <v>0.99970009999999998</v>
      </c>
      <c r="AB800">
        <v>35</v>
      </c>
      <c r="AC800">
        <v>113.8793</v>
      </c>
      <c r="AD800">
        <v>-0.19348589999999999</v>
      </c>
      <c r="AE800">
        <v>3.9628000000000099</v>
      </c>
      <c r="AF800">
        <v>-2.7957216329342001</v>
      </c>
      <c r="AG800">
        <v>-0.19348589999999999</v>
      </c>
      <c r="AH800">
        <v>113.913598045263</v>
      </c>
      <c r="AI800">
        <v>90.097289329823596</v>
      </c>
      <c r="AJ800">
        <v>91.405898009047604</v>
      </c>
      <c r="AK800">
        <v>113.948064116334</v>
      </c>
      <c r="AL800">
        <v>79.585992747891595</v>
      </c>
      <c r="AM800">
        <v>93.087809150003494</v>
      </c>
      <c r="AN800">
        <v>1.0000000210461299</v>
      </c>
    </row>
    <row r="801" spans="1:40" x14ac:dyDescent="0.25">
      <c r="A801" t="str">
        <f>"20190304155330581"</f>
        <v>20190304155330581</v>
      </c>
      <c r="B801" t="str">
        <f>"1551686010576645"</f>
        <v>1551686010576645</v>
      </c>
      <c r="C801" t="s">
        <v>40</v>
      </c>
      <c r="D801">
        <v>4.4343139999999996</v>
      </c>
      <c r="E801">
        <v>0.50933099999999998</v>
      </c>
      <c r="F801" t="s">
        <v>41</v>
      </c>
      <c r="G801">
        <v>-158.19499999999999</v>
      </c>
      <c r="H801">
        <v>0.88552809999999904</v>
      </c>
      <c r="I801">
        <v>371.47840000000002</v>
      </c>
      <c r="J801">
        <v>-271.79349999999999</v>
      </c>
      <c r="K801">
        <v>1.107327</v>
      </c>
      <c r="L801">
        <v>367.47840000000002</v>
      </c>
      <c r="M801">
        <v>0.99986949999999997</v>
      </c>
      <c r="N801">
        <v>-1.2501079999999999E-2</v>
      </c>
      <c r="O801">
        <v>1.024255E-2</v>
      </c>
      <c r="P801">
        <v>0.98368909999999998</v>
      </c>
      <c r="Q801">
        <v>0.1685767</v>
      </c>
      <c r="R801">
        <v>6.2749650000000004E-2</v>
      </c>
      <c r="S801">
        <v>3.044006</v>
      </c>
      <c r="T801">
        <v>-5.9132580000000002E-3</v>
      </c>
      <c r="U801">
        <v>0.1069946</v>
      </c>
      <c r="V801">
        <v>-5.2662769999999998E-2</v>
      </c>
      <c r="W801">
        <v>0.1808707</v>
      </c>
      <c r="X801">
        <v>0.98209590000000002</v>
      </c>
      <c r="Y801">
        <v>-2.4888939999999998E-2</v>
      </c>
      <c r="Z801">
        <v>2.8791830000000001E-4</v>
      </c>
      <c r="AA801">
        <v>0.99969019999999997</v>
      </c>
      <c r="AB801">
        <v>35</v>
      </c>
      <c r="AC801">
        <v>113.5985</v>
      </c>
      <c r="AD801">
        <v>-0.22179889999999999</v>
      </c>
      <c r="AE801">
        <v>4</v>
      </c>
      <c r="AF801">
        <v>-2.8361502182070302</v>
      </c>
      <c r="AG801">
        <v>-0.22179889999999999</v>
      </c>
      <c r="AH801">
        <v>113.633080857854</v>
      </c>
      <c r="AI801">
        <v>90.111799911349706</v>
      </c>
      <c r="AJ801">
        <v>91.429739528960397</v>
      </c>
      <c r="AK801">
        <v>113.668685257021</v>
      </c>
      <c r="AL801">
        <v>79.579519937472099</v>
      </c>
      <c r="AM801">
        <v>93.069422645159705</v>
      </c>
      <c r="AN801">
        <v>0.99999996712968497</v>
      </c>
    </row>
    <row r="802" spans="1:40" x14ac:dyDescent="0.25">
      <c r="A802" t="str">
        <f>"20190304155330604"</f>
        <v>20190304155330604</v>
      </c>
      <c r="B802" t="str">
        <f>"1551686010597142"</f>
        <v>1551686010597142</v>
      </c>
      <c r="C802" t="s">
        <v>40</v>
      </c>
      <c r="D802">
        <v>4.4480789999999999</v>
      </c>
      <c r="E802">
        <v>0.50922000000000001</v>
      </c>
      <c r="F802" t="s">
        <v>41</v>
      </c>
      <c r="G802">
        <v>-158.19499999999999</v>
      </c>
      <c r="H802">
        <v>0.85685129999999998</v>
      </c>
      <c r="I802">
        <v>371.46100000000001</v>
      </c>
      <c r="J802">
        <v>-271.44600000000003</v>
      </c>
      <c r="K802">
        <v>1.107839</v>
      </c>
      <c r="L802">
        <v>367.48200000000003</v>
      </c>
      <c r="M802">
        <v>0.99986660000000005</v>
      </c>
      <c r="N802">
        <v>-1.2741580000000001E-2</v>
      </c>
      <c r="O802">
        <v>1.0237120000000001E-2</v>
      </c>
      <c r="P802">
        <v>0.98368829999999996</v>
      </c>
      <c r="Q802">
        <v>0.168626</v>
      </c>
      <c r="R802">
        <v>6.2632499999999994E-2</v>
      </c>
      <c r="S802">
        <v>3.0440670000000001</v>
      </c>
      <c r="T802">
        <v>-6.7095760000000001E-3</v>
      </c>
      <c r="U802">
        <v>0.10672</v>
      </c>
      <c r="V802">
        <v>-5.2550380000000001E-2</v>
      </c>
      <c r="W802">
        <v>0.18115590000000001</v>
      </c>
      <c r="X802">
        <v>0.98204939999999996</v>
      </c>
      <c r="Y802">
        <v>-2.4803490000000001E-2</v>
      </c>
      <c r="Z802">
        <v>2.9325560000000001E-4</v>
      </c>
      <c r="AA802">
        <v>0.99969229999999998</v>
      </c>
      <c r="AB802">
        <v>34</v>
      </c>
      <c r="AC802">
        <v>113.250999999999</v>
      </c>
      <c r="AD802">
        <v>-0.25098769999999898</v>
      </c>
      <c r="AE802">
        <v>3.9790000000000401</v>
      </c>
      <c r="AF802">
        <v>-2.8193196461627901</v>
      </c>
      <c r="AG802">
        <v>-0.25098769999999898</v>
      </c>
      <c r="AH802">
        <v>113.285245685432</v>
      </c>
      <c r="AI802">
        <v>90.126901442821705</v>
      </c>
      <c r="AJ802">
        <v>91.425620599260796</v>
      </c>
      <c r="AK802">
        <v>113.320600281244</v>
      </c>
      <c r="AL802">
        <v>79.562905194907302</v>
      </c>
      <c r="AM802">
        <v>93.063029288632407</v>
      </c>
      <c r="AN802">
        <v>1.00000001329165</v>
      </c>
    </row>
    <row r="803" spans="1:40" x14ac:dyDescent="0.25">
      <c r="A803" t="str">
        <f>"20190304155330626"</f>
        <v>20190304155330626</v>
      </c>
      <c r="B803" t="str">
        <f>"1551686010616662"</f>
        <v>1551686010616662</v>
      </c>
      <c r="C803" t="s">
        <v>40</v>
      </c>
      <c r="D803">
        <v>4.4538849999999996</v>
      </c>
      <c r="E803">
        <v>0.50910200000000005</v>
      </c>
      <c r="F803" t="s">
        <v>41</v>
      </c>
      <c r="G803">
        <v>-158.19499999999999</v>
      </c>
      <c r="H803">
        <v>0.85133359999999902</v>
      </c>
      <c r="I803">
        <v>371.47280000000001</v>
      </c>
      <c r="J803">
        <v>-271.10359999999997</v>
      </c>
      <c r="K803">
        <v>1.108268</v>
      </c>
      <c r="L803">
        <v>367.4855</v>
      </c>
      <c r="M803">
        <v>0.99986379999999997</v>
      </c>
      <c r="N803">
        <v>-1.295396E-2</v>
      </c>
      <c r="O803">
        <v>1.023101E-2</v>
      </c>
      <c r="P803">
        <v>0.98370409999999997</v>
      </c>
      <c r="Q803">
        <v>0.16861119999999999</v>
      </c>
      <c r="R803">
        <v>6.2423199999999998E-2</v>
      </c>
      <c r="S803">
        <v>3.044098</v>
      </c>
      <c r="T803">
        <v>-6.8923229999999997E-3</v>
      </c>
      <c r="U803">
        <v>0.1072693</v>
      </c>
      <c r="V803">
        <v>-5.234664E-2</v>
      </c>
      <c r="W803">
        <v>0.18135000000000001</v>
      </c>
      <c r="X803">
        <v>0.98202440000000002</v>
      </c>
      <c r="Y803">
        <v>-2.4989379999999999E-2</v>
      </c>
      <c r="Z803">
        <v>2.9954439999999998E-4</v>
      </c>
      <c r="AA803">
        <v>0.99968769999999996</v>
      </c>
      <c r="AB803">
        <v>34</v>
      </c>
      <c r="AC803">
        <v>112.908599999999</v>
      </c>
      <c r="AD803">
        <v>-0.25693440000000001</v>
      </c>
      <c r="AE803">
        <v>3.9872999999999998</v>
      </c>
      <c r="AF803">
        <v>-2.8318107379216002</v>
      </c>
      <c r="AG803">
        <v>-0.25693440000000001</v>
      </c>
      <c r="AH803">
        <v>112.94290298043001</v>
      </c>
      <c r="AI803">
        <v>90.130301292745003</v>
      </c>
      <c r="AJ803">
        <v>91.436272775151906</v>
      </c>
      <c r="AK803">
        <v>112.978690472975</v>
      </c>
      <c r="AL803">
        <v>79.551596190077603</v>
      </c>
      <c r="AM803">
        <v>93.051253808629198</v>
      </c>
      <c r="AN803">
        <v>0.99999995770732397</v>
      </c>
    </row>
    <row r="804" spans="1:40" x14ac:dyDescent="0.25">
      <c r="A804" t="str">
        <f>"20190304155330648"</f>
        <v>20190304155330648</v>
      </c>
      <c r="B804" t="str">
        <f>"1551686010646918"</f>
        <v>1551686010646918</v>
      </c>
      <c r="C804" t="s">
        <v>40</v>
      </c>
      <c r="D804">
        <v>4.4544059999999996</v>
      </c>
      <c r="E804">
        <v>0.50896909999999995</v>
      </c>
      <c r="F804" t="s">
        <v>41</v>
      </c>
      <c r="G804">
        <v>-158.19499999999999</v>
      </c>
      <c r="H804">
        <v>0.83437589999999995</v>
      </c>
      <c r="I804">
        <v>371.4597</v>
      </c>
      <c r="J804">
        <v>-270.76490000000001</v>
      </c>
      <c r="K804">
        <v>1.108627</v>
      </c>
      <c r="L804">
        <v>367.4889</v>
      </c>
      <c r="M804">
        <v>0.99986140000000001</v>
      </c>
      <c r="N804">
        <v>-1.3142360000000001E-2</v>
      </c>
      <c r="O804">
        <v>1.022402E-2</v>
      </c>
      <c r="P804">
        <v>0.98375060000000003</v>
      </c>
      <c r="Q804">
        <v>0.16822379999999901</v>
      </c>
      <c r="R804">
        <v>6.273637E-2</v>
      </c>
      <c r="S804">
        <v>3.0441280000000002</v>
      </c>
      <c r="T804">
        <v>-7.3820350000000003E-3</v>
      </c>
      <c r="U804">
        <v>0.1071472</v>
      </c>
      <c r="V804">
        <v>-5.2665190000000001E-2</v>
      </c>
      <c r="W804">
        <v>0.18114839999999999</v>
      </c>
      <c r="X804">
        <v>0.98204460000000005</v>
      </c>
      <c r="Y804">
        <v>-2.4955919999999999E-2</v>
      </c>
      <c r="Z804">
        <v>3.038553E-4</v>
      </c>
      <c r="AA804">
        <v>0.99968849999999998</v>
      </c>
      <c r="AB804">
        <v>34</v>
      </c>
      <c r="AC804">
        <v>112.5699</v>
      </c>
      <c r="AD804">
        <v>-0.27425110000000003</v>
      </c>
      <c r="AE804">
        <v>3.9707999999999899</v>
      </c>
      <c r="AF804">
        <v>-2.8195594343280699</v>
      </c>
      <c r="AG804">
        <v>-0.27425110000000003</v>
      </c>
      <c r="AH804">
        <v>112.603948852836</v>
      </c>
      <c r="AI804">
        <v>90.139501997667395</v>
      </c>
      <c r="AJ804">
        <v>91.434364489502499</v>
      </c>
      <c r="AK804">
        <v>112.63957753082001</v>
      </c>
      <c r="AL804">
        <v>79.5633417988102</v>
      </c>
      <c r="AM804">
        <v>93.069723464941504</v>
      </c>
      <c r="AN804">
        <v>0.99999998072472795</v>
      </c>
    </row>
    <row r="805" spans="1:40" x14ac:dyDescent="0.25">
      <c r="A805" t="str">
        <f>"20190304155330663"</f>
        <v>20190304155330663</v>
      </c>
      <c r="B805" t="str">
        <f>"1551686010656678"</f>
        <v>1551686010656678</v>
      </c>
      <c r="C805" t="s">
        <v>40</v>
      </c>
      <c r="D805">
        <v>4.4362380000000003</v>
      </c>
      <c r="E805">
        <v>0.50892209999999904</v>
      </c>
      <c r="F805" t="s">
        <v>41</v>
      </c>
      <c r="G805">
        <v>-158.19499999999999</v>
      </c>
      <c r="H805">
        <v>0.75666789999999995</v>
      </c>
      <c r="I805">
        <v>371.5222</v>
      </c>
      <c r="J805">
        <v>-270.5342</v>
      </c>
      <c r="K805">
        <v>1.1088370000000001</v>
      </c>
      <c r="L805">
        <v>367.49130000000002</v>
      </c>
      <c r="M805">
        <v>0.99985999999999997</v>
      </c>
      <c r="N805">
        <v>-1.326013E-2</v>
      </c>
      <c r="O805">
        <v>1.021886E-2</v>
      </c>
      <c r="P805">
        <v>0.98375539999999995</v>
      </c>
      <c r="Q805">
        <v>0.16820779999999999</v>
      </c>
      <c r="R805">
        <v>6.2705819999999995E-2</v>
      </c>
      <c r="S805">
        <v>3.0442200000000001</v>
      </c>
      <c r="T805">
        <v>-9.5156430000000007E-3</v>
      </c>
      <c r="U805">
        <v>0.10906979999999999</v>
      </c>
      <c r="V805">
        <v>-5.263938E-2</v>
      </c>
      <c r="W805">
        <v>0.1812483</v>
      </c>
      <c r="X805">
        <v>0.9820276</v>
      </c>
      <c r="Y805">
        <v>-2.559032E-2</v>
      </c>
      <c r="Z805">
        <v>3.1325679999999999E-4</v>
      </c>
      <c r="AA805">
        <v>0.99967249999999996</v>
      </c>
      <c r="AB805">
        <v>34</v>
      </c>
      <c r="AC805">
        <v>112.33920000000001</v>
      </c>
      <c r="AD805">
        <v>-0.35216909999999901</v>
      </c>
      <c r="AE805">
        <v>4.0308999999999697</v>
      </c>
      <c r="AF805">
        <v>-2.88258186460149</v>
      </c>
      <c r="AG805">
        <v>-0.35216909999999901</v>
      </c>
      <c r="AH805">
        <v>112.373425198067</v>
      </c>
      <c r="AI805">
        <v>90.179500639927198</v>
      </c>
      <c r="AJ805">
        <v>91.469418263748395</v>
      </c>
      <c r="AK805">
        <v>112.41094249238699</v>
      </c>
      <c r="AL805">
        <v>79.557522114579598</v>
      </c>
      <c r="AM805">
        <v>93.068274951986595</v>
      </c>
      <c r="AN805">
        <v>1.00000002887071</v>
      </c>
    </row>
    <row r="806" spans="1:40" x14ac:dyDescent="0.25">
      <c r="A806" t="str">
        <f>"20190304155330678"</f>
        <v>20190304155330678</v>
      </c>
      <c r="B806" t="str">
        <f>"1551686010666438"</f>
        <v>1551686010666438</v>
      </c>
      <c r="C806" t="s">
        <v>40</v>
      </c>
      <c r="D806">
        <v>4.412585</v>
      </c>
      <c r="E806">
        <v>0.50886319999999996</v>
      </c>
      <c r="F806" t="s">
        <v>41</v>
      </c>
      <c r="G806">
        <v>-158.19499999999999</v>
      </c>
      <c r="H806">
        <v>0.75475740000000002</v>
      </c>
      <c r="I806">
        <v>371.52980000000002</v>
      </c>
      <c r="J806">
        <v>-270.30869999999999</v>
      </c>
      <c r="K806">
        <v>1.109019</v>
      </c>
      <c r="L806">
        <v>367.49360000000001</v>
      </c>
      <c r="M806">
        <v>0.99985860000000004</v>
      </c>
      <c r="N806">
        <v>-1.336529E-2</v>
      </c>
      <c r="O806">
        <v>1.021332E-2</v>
      </c>
      <c r="P806">
        <v>0.9837669</v>
      </c>
      <c r="Q806">
        <v>0.16812160000000001</v>
      </c>
      <c r="R806">
        <v>6.275406E-2</v>
      </c>
      <c r="S806">
        <v>3.0441889999999998</v>
      </c>
      <c r="T806">
        <v>-9.5925330000000003E-3</v>
      </c>
      <c r="U806">
        <v>0.10943600000000001</v>
      </c>
      <c r="V806">
        <v>-5.2693070000000002E-2</v>
      </c>
      <c r="W806">
        <v>0.1812656</v>
      </c>
      <c r="X806">
        <v>0.98202149999999999</v>
      </c>
      <c r="Y806">
        <v>-2.5716300000000001E-2</v>
      </c>
      <c r="Z806">
        <v>3.1672660000000002E-4</v>
      </c>
      <c r="AA806">
        <v>0.99966929999999998</v>
      </c>
      <c r="AB806">
        <v>34</v>
      </c>
      <c r="AC806">
        <v>112.11369999999999</v>
      </c>
      <c r="AD806">
        <v>-0.35426159999999901</v>
      </c>
      <c r="AE806">
        <v>4.0362</v>
      </c>
      <c r="AF806">
        <v>-2.8908053330052401</v>
      </c>
      <c r="AG806">
        <v>-0.35426159999999901</v>
      </c>
      <c r="AH806">
        <v>112.147959784601</v>
      </c>
      <c r="AI806">
        <v>90.180929614662105</v>
      </c>
      <c r="AJ806">
        <v>91.476569667777298</v>
      </c>
      <c r="AK806">
        <v>112.185770669025</v>
      </c>
      <c r="AL806">
        <v>79.556513917673001</v>
      </c>
      <c r="AM806">
        <v>93.071417519259796</v>
      </c>
      <c r="AN806">
        <v>1.00000000191581</v>
      </c>
    </row>
    <row r="807" spans="1:40" x14ac:dyDescent="0.25">
      <c r="A807" t="str">
        <f>"20190304155330694"</f>
        <v>20190304155330694</v>
      </c>
      <c r="B807" t="str">
        <f>"1551686010686934"</f>
        <v>1551686010686934</v>
      </c>
      <c r="C807" t="s">
        <v>40</v>
      </c>
      <c r="D807">
        <v>4.4364850000000002</v>
      </c>
      <c r="E807">
        <v>0.50879830000000004</v>
      </c>
      <c r="F807" t="s">
        <v>41</v>
      </c>
      <c r="G807">
        <v>-158.19499999999999</v>
      </c>
      <c r="H807">
        <v>0.73918130000000004</v>
      </c>
      <c r="I807">
        <v>371.54649999999998</v>
      </c>
      <c r="J807">
        <v>-270.0659</v>
      </c>
      <c r="K807">
        <v>1.109183</v>
      </c>
      <c r="L807">
        <v>367.49610000000001</v>
      </c>
      <c r="M807">
        <v>0.99985729999999995</v>
      </c>
      <c r="N807">
        <v>-1.346928E-2</v>
      </c>
      <c r="O807">
        <v>1.020688E-2</v>
      </c>
      <c r="P807">
        <v>0.98376419999999998</v>
      </c>
      <c r="Q807">
        <v>0.1681897</v>
      </c>
      <c r="R807">
        <v>6.2615980000000002E-2</v>
      </c>
      <c r="S807">
        <v>3.0441889999999998</v>
      </c>
      <c r="T807">
        <v>-1.003969E-2</v>
      </c>
      <c r="U807">
        <v>0.1100464</v>
      </c>
      <c r="V807">
        <v>-5.2561200000000002E-2</v>
      </c>
      <c r="W807">
        <v>0.18143580000000001</v>
      </c>
      <c r="X807">
        <v>0.98199709999999996</v>
      </c>
      <c r="Y807">
        <v>-2.5922839999999999E-2</v>
      </c>
      <c r="Z807">
        <v>3.2118179999999997E-4</v>
      </c>
      <c r="AA807">
        <v>0.99966390000000005</v>
      </c>
      <c r="AB807">
        <v>34</v>
      </c>
      <c r="AC807">
        <v>111.87090000000001</v>
      </c>
      <c r="AD807">
        <v>-0.37000169999999999</v>
      </c>
      <c r="AE807">
        <v>4.0503999999999598</v>
      </c>
      <c r="AF807">
        <v>-2.9082008819982099</v>
      </c>
      <c r="AG807">
        <v>-0.37000169999999999</v>
      </c>
      <c r="AH807">
        <v>111.90519459154</v>
      </c>
      <c r="AI807">
        <v>90.189377298143697</v>
      </c>
      <c r="AJ807">
        <v>91.488672085172098</v>
      </c>
      <c r="AK807">
        <v>111.943588964257</v>
      </c>
      <c r="AL807">
        <v>79.546597380165295</v>
      </c>
      <c r="AM807">
        <v>93.0638216138437</v>
      </c>
      <c r="AN807">
        <v>0.99999996683774395</v>
      </c>
    </row>
    <row r="808" spans="1:40" x14ac:dyDescent="0.25">
      <c r="A808" t="str">
        <f>"20190304155330716"</f>
        <v>20190304155330716</v>
      </c>
      <c r="B808" t="str">
        <f>"1551686010706453"</f>
        <v>1551686010706453</v>
      </c>
      <c r="C808" t="s">
        <v>40</v>
      </c>
      <c r="D808">
        <v>4.4257759999999999</v>
      </c>
      <c r="E808">
        <v>0.5087351</v>
      </c>
      <c r="F808" t="s">
        <v>41</v>
      </c>
      <c r="G808">
        <v>-158.19499999999999</v>
      </c>
      <c r="H808">
        <v>0.73464750000000001</v>
      </c>
      <c r="I808">
        <v>371.5401</v>
      </c>
      <c r="J808">
        <v>-269.73259999999999</v>
      </c>
      <c r="K808">
        <v>1.109381</v>
      </c>
      <c r="L808">
        <v>367.49950000000001</v>
      </c>
      <c r="M808">
        <v>0.99985559999999996</v>
      </c>
      <c r="N808">
        <v>-1.35995E-2</v>
      </c>
      <c r="O808">
        <v>1.019775E-2</v>
      </c>
      <c r="P808">
        <v>0.98387630000000004</v>
      </c>
      <c r="Q808">
        <v>0.1674861</v>
      </c>
      <c r="R808">
        <v>6.2738660000000002E-2</v>
      </c>
      <c r="S808">
        <v>3.0442499999999999</v>
      </c>
      <c r="T808">
        <v>-1.018953E-2</v>
      </c>
      <c r="U808">
        <v>0.1100464</v>
      </c>
      <c r="V808">
        <v>-5.2691429999999997E-2</v>
      </c>
      <c r="W808">
        <v>0.18086179999999999</v>
      </c>
      <c r="X808">
        <v>0.98209599999999997</v>
      </c>
      <c r="Y808">
        <v>-2.5931220000000001E-2</v>
      </c>
      <c r="Z808">
        <v>3.2431220000000001E-4</v>
      </c>
      <c r="AA808">
        <v>0.99966370000000004</v>
      </c>
      <c r="AB808">
        <v>34</v>
      </c>
      <c r="AC808">
        <v>111.5376</v>
      </c>
      <c r="AD808">
        <v>-0.3747335</v>
      </c>
      <c r="AE808">
        <v>4.04059999999998</v>
      </c>
      <c r="AF808">
        <v>-2.9028194682011299</v>
      </c>
      <c r="AG808">
        <v>-0.3747335</v>
      </c>
      <c r="AH808">
        <v>111.57175025790301</v>
      </c>
      <c r="AI808">
        <v>90.1923722099787</v>
      </c>
      <c r="AJ808">
        <v>91.490357472015603</v>
      </c>
      <c r="AK808">
        <v>111.61013503115601</v>
      </c>
      <c r="AL808">
        <v>79.580038402215393</v>
      </c>
      <c r="AM808">
        <v>93.071089569746107</v>
      </c>
      <c r="AN808">
        <v>0.99999996535534097</v>
      </c>
    </row>
    <row r="809" spans="1:40" x14ac:dyDescent="0.25">
      <c r="A809" t="str">
        <f>"20190304155330731"</f>
        <v>20190304155330731</v>
      </c>
      <c r="B809" t="str">
        <f>"1551686010726950"</f>
        <v>1551686010726950</v>
      </c>
      <c r="C809" t="s">
        <v>40</v>
      </c>
      <c r="D809">
        <v>4.465198</v>
      </c>
      <c r="E809">
        <v>0.50869299999999995</v>
      </c>
      <c r="F809" t="s">
        <v>41</v>
      </c>
      <c r="G809">
        <v>-158.19499999999999</v>
      </c>
      <c r="H809">
        <v>0.64591719999999997</v>
      </c>
      <c r="I809">
        <v>371.55720000000002</v>
      </c>
      <c r="J809">
        <v>-269.4991</v>
      </c>
      <c r="K809">
        <v>1.1094999999999999</v>
      </c>
      <c r="L809">
        <v>367.50189999999998</v>
      </c>
      <c r="M809">
        <v>0.99985440000000003</v>
      </c>
      <c r="N809">
        <v>-1.3681540000000001E-2</v>
      </c>
      <c r="O809">
        <v>1.019134E-2</v>
      </c>
      <c r="P809">
        <v>0.98389099999999996</v>
      </c>
      <c r="Q809">
        <v>0.1673685</v>
      </c>
      <c r="R809">
        <v>6.2821420000000003E-2</v>
      </c>
      <c r="S809">
        <v>3.0442499999999999</v>
      </c>
      <c r="T809">
        <v>-1.2647149999999999E-2</v>
      </c>
      <c r="U809">
        <v>0.11074829999999999</v>
      </c>
      <c r="V809">
        <v>-5.2779819999999998E-2</v>
      </c>
      <c r="W809">
        <v>0.18082529999999999</v>
      </c>
      <c r="X809">
        <v>0.98209800000000003</v>
      </c>
      <c r="Y809">
        <v>-2.61675E-2</v>
      </c>
      <c r="Z809">
        <v>3.3049490000000001E-4</v>
      </c>
      <c r="AA809">
        <v>0.99965749999999998</v>
      </c>
      <c r="AB809">
        <v>34</v>
      </c>
      <c r="AC809">
        <v>111.30410000000001</v>
      </c>
      <c r="AD809">
        <v>-0.46358280000000002</v>
      </c>
      <c r="AE809">
        <v>4.0553000000000399</v>
      </c>
      <c r="AF809">
        <v>-2.9205945782189202</v>
      </c>
      <c r="AG809">
        <v>-0.46358280000000002</v>
      </c>
      <c r="AH809">
        <v>111.33772251736499</v>
      </c>
      <c r="AI809">
        <v>90.238482071574595</v>
      </c>
      <c r="AJ809">
        <v>91.502629771812394</v>
      </c>
      <c r="AK809">
        <v>111.37698701732199</v>
      </c>
      <c r="AL809">
        <v>79.582165018118801</v>
      </c>
      <c r="AM809">
        <v>93.076225190740104</v>
      </c>
      <c r="AN809">
        <v>0.99999999006166096</v>
      </c>
    </row>
    <row r="810" spans="1:40" x14ac:dyDescent="0.25">
      <c r="A810" t="str">
        <f>"20190304155330745"</f>
        <v>20190304155330745</v>
      </c>
      <c r="B810" t="str">
        <f>"1551686010736710"</f>
        <v>1551686010736710</v>
      </c>
      <c r="C810" t="s">
        <v>40</v>
      </c>
      <c r="D810">
        <v>4.9416229999999999</v>
      </c>
      <c r="E810">
        <v>0.50837359999999998</v>
      </c>
      <c r="F810" t="s">
        <v>41</v>
      </c>
      <c r="G810">
        <v>-158.19499999999999</v>
      </c>
      <c r="H810">
        <v>0.62677479999999997</v>
      </c>
      <c r="I810">
        <v>371.56209999999999</v>
      </c>
      <c r="J810">
        <v>-269.28730000000002</v>
      </c>
      <c r="K810">
        <v>1.109604</v>
      </c>
      <c r="L810">
        <v>367.50400000000002</v>
      </c>
      <c r="M810">
        <v>0.99985369999999996</v>
      </c>
      <c r="N810">
        <v>-1.375095E-2</v>
      </c>
      <c r="O810">
        <v>1.0185130000000001E-2</v>
      </c>
      <c r="P810">
        <v>0.98387749999999996</v>
      </c>
      <c r="Q810">
        <v>0.16752110000000001</v>
      </c>
      <c r="R810">
        <v>6.2625299999999995E-2</v>
      </c>
      <c r="S810">
        <v>3.0443120000000001</v>
      </c>
      <c r="T810">
        <v>-1.3200760000000001E-2</v>
      </c>
      <c r="U810">
        <v>0.1110535</v>
      </c>
      <c r="V810">
        <v>-5.2589869999999997E-2</v>
      </c>
      <c r="W810">
        <v>0.1810457</v>
      </c>
      <c r="X810">
        <v>0.98206760000000004</v>
      </c>
      <c r="Y810">
        <v>-2.627297E-2</v>
      </c>
      <c r="Z810">
        <v>3.3353229999999998E-4</v>
      </c>
      <c r="AA810">
        <v>0.99965479999999995</v>
      </c>
      <c r="AB810">
        <v>34</v>
      </c>
      <c r="AC810">
        <v>111.09229999999999</v>
      </c>
      <c r="AD810">
        <v>-0.48282920000000001</v>
      </c>
      <c r="AE810">
        <v>4.0580999999999596</v>
      </c>
      <c r="AF810">
        <v>-2.9262378972893601</v>
      </c>
      <c r="AG810">
        <v>-0.48282920000000001</v>
      </c>
      <c r="AH810">
        <v>111.125776450779</v>
      </c>
      <c r="AI810">
        <v>90.248855990863206</v>
      </c>
      <c r="AJ810">
        <v>91.5084020130314</v>
      </c>
      <c r="AK810">
        <v>111.165346147333</v>
      </c>
      <c r="AL810">
        <v>79.569325267157893</v>
      </c>
      <c r="AM810">
        <v>93.065269973941298</v>
      </c>
      <c r="AN810">
        <v>1.0000000054424301</v>
      </c>
    </row>
    <row r="811" spans="1:40" x14ac:dyDescent="0.25">
      <c r="A811" t="str">
        <f>"20190304155330760"</f>
        <v>20190304155330760</v>
      </c>
      <c r="B811" t="str">
        <f>"1551686010756230"</f>
        <v>1551686010756230</v>
      </c>
      <c r="C811" t="s">
        <v>40</v>
      </c>
      <c r="D811">
        <v>4.3127630000000003</v>
      </c>
      <c r="E811">
        <v>0.50911269999999997</v>
      </c>
      <c r="F811" t="s">
        <v>41</v>
      </c>
      <c r="G811">
        <v>-158.19499999999999</v>
      </c>
      <c r="H811">
        <v>0.7154334</v>
      </c>
      <c r="I811">
        <v>371.642</v>
      </c>
      <c r="J811">
        <v>-269.05970000000002</v>
      </c>
      <c r="K811">
        <v>1.109694</v>
      </c>
      <c r="L811">
        <v>367.50630000000001</v>
      </c>
      <c r="M811">
        <v>0.99985270000000004</v>
      </c>
      <c r="N811">
        <v>-1.381975E-2</v>
      </c>
      <c r="O811">
        <v>1.0178629999999999E-2</v>
      </c>
      <c r="P811">
        <v>0.98391930000000005</v>
      </c>
      <c r="Q811">
        <v>0.1672052</v>
      </c>
      <c r="R811">
        <v>6.2810669999999999E-2</v>
      </c>
      <c r="S811">
        <v>3.0437620000000001</v>
      </c>
      <c r="T811">
        <v>-1.0797259999999999E-2</v>
      </c>
      <c r="U811">
        <v>0.1133728</v>
      </c>
      <c r="V811">
        <v>-5.2781500000000002E-2</v>
      </c>
      <c r="W811">
        <v>0.1807976</v>
      </c>
      <c r="X811">
        <v>0.98210299999999995</v>
      </c>
      <c r="Y811">
        <v>-2.704701E-2</v>
      </c>
      <c r="Z811">
        <v>3.3946539999999998E-4</v>
      </c>
      <c r="AA811">
        <v>0.99963409999999997</v>
      </c>
      <c r="AB811">
        <v>34</v>
      </c>
      <c r="AC811">
        <v>110.8647</v>
      </c>
      <c r="AD811">
        <v>-0.39426060000000002</v>
      </c>
      <c r="AE811">
        <v>4.1356999999999804</v>
      </c>
      <c r="AF811">
        <v>-3.00688921124449</v>
      </c>
      <c r="AG811">
        <v>-0.39426060000000002</v>
      </c>
      <c r="AH811">
        <v>110.899654917853</v>
      </c>
      <c r="AI811">
        <v>90.203617176650695</v>
      </c>
      <c r="AJ811">
        <v>91.553114501877204</v>
      </c>
      <c r="AK811">
        <v>110.94111178931099</v>
      </c>
      <c r="AL811">
        <v>79.583778610444099</v>
      </c>
      <c r="AM811">
        <v>93.076307288148797</v>
      </c>
      <c r="AN811">
        <v>0.99999998075850405</v>
      </c>
    </row>
    <row r="812" spans="1:40" x14ac:dyDescent="0.25">
      <c r="A812" t="str">
        <f>"20190304155330794"</f>
        <v>20190304155330794</v>
      </c>
      <c r="B812" t="str">
        <f>"1551686010786486"</f>
        <v>1551686010786486</v>
      </c>
      <c r="C812" t="s">
        <v>40</v>
      </c>
      <c r="D812">
        <v>4.6849059999999998</v>
      </c>
      <c r="E812">
        <v>0.56475569999999997</v>
      </c>
      <c r="F812" t="s">
        <v>41</v>
      </c>
      <c r="G812">
        <v>-158.19499999999999</v>
      </c>
      <c r="H812">
        <v>0.70062019999999903</v>
      </c>
      <c r="I812">
        <v>371.4341</v>
      </c>
      <c r="J812">
        <v>-268.54989999999998</v>
      </c>
      <c r="K812">
        <v>1.109864</v>
      </c>
      <c r="L812">
        <v>367.51150000000001</v>
      </c>
      <c r="M812">
        <v>0.99985100000000005</v>
      </c>
      <c r="N812">
        <v>-1.395276E-2</v>
      </c>
      <c r="O812">
        <v>1.016357E-2</v>
      </c>
      <c r="P812">
        <v>0.98402179999999995</v>
      </c>
      <c r="Q812">
        <v>0.16676099999999999</v>
      </c>
      <c r="R812">
        <v>6.2383429999999997E-2</v>
      </c>
      <c r="S812">
        <v>3.0440670000000001</v>
      </c>
      <c r="T812">
        <v>-1.122975E-2</v>
      </c>
      <c r="U812">
        <v>0.1078491</v>
      </c>
      <c r="V812">
        <v>-5.2367289999999997E-2</v>
      </c>
      <c r="W812">
        <v>0.1804857</v>
      </c>
      <c r="X812">
        <v>0.98218260000000002</v>
      </c>
      <c r="Y812">
        <v>-2.5246770000000002E-2</v>
      </c>
      <c r="Z812">
        <v>3.2705320000000001E-4</v>
      </c>
      <c r="AA812">
        <v>0.99968120000000005</v>
      </c>
      <c r="AB812">
        <v>34</v>
      </c>
      <c r="AC812">
        <v>110.3549</v>
      </c>
      <c r="AD812">
        <v>-0.40924379999999999</v>
      </c>
      <c r="AE812">
        <v>3.9225999999999801</v>
      </c>
      <c r="AF812">
        <v>-2.8006499461121401</v>
      </c>
      <c r="AG812">
        <v>-0.40924379999999999</v>
      </c>
      <c r="AH812">
        <v>110.38755432825999</v>
      </c>
      <c r="AI812">
        <v>90.212345425895805</v>
      </c>
      <c r="AJ812">
        <v>91.453343232614202</v>
      </c>
      <c r="AK812">
        <v>110.423834706023</v>
      </c>
      <c r="AL812">
        <v>79.601948697259402</v>
      </c>
      <c r="AM812">
        <v>93.0519644798038</v>
      </c>
      <c r="AN812">
        <v>1.0000000403545899</v>
      </c>
    </row>
    <row r="813" spans="1:40" x14ac:dyDescent="0.25">
      <c r="A813" t="str">
        <f>"20190304155330816"</f>
        <v>20190304155330816</v>
      </c>
      <c r="B813" t="str">
        <f>"1551686010806986"</f>
        <v>1551686010806986</v>
      </c>
      <c r="C813" t="s">
        <v>40</v>
      </c>
      <c r="D813">
        <v>4.6714859999999998</v>
      </c>
      <c r="E813">
        <v>0.56578709999999999</v>
      </c>
      <c r="F813" t="s">
        <v>46</v>
      </c>
      <c r="G813">
        <v>-217.42519999999999</v>
      </c>
      <c r="H813" s="1">
        <v>-2.9129000000000001E-6</v>
      </c>
      <c r="I813">
        <v>361.90949999999998</v>
      </c>
      <c r="J813">
        <v>-268.19459999999998</v>
      </c>
      <c r="K813">
        <v>1.1099490000000001</v>
      </c>
      <c r="L813">
        <v>367.51499999999999</v>
      </c>
      <c r="M813">
        <v>0.99985000000000002</v>
      </c>
      <c r="N813">
        <v>-1.403222E-2</v>
      </c>
      <c r="O813">
        <v>1.015346E-2</v>
      </c>
      <c r="P813">
        <v>0.98415419999999998</v>
      </c>
      <c r="Q813">
        <v>0.16613629999999999</v>
      </c>
      <c r="R813">
        <v>6.1962839999999998E-2</v>
      </c>
      <c r="S813">
        <v>3.0814509999999999</v>
      </c>
      <c r="T813">
        <v>-6.6895250000000003E-2</v>
      </c>
      <c r="U813">
        <v>-0.33764650000000002</v>
      </c>
      <c r="V813">
        <v>-5.1955729999999999E-2</v>
      </c>
      <c r="W813">
        <v>0.17994109999999999</v>
      </c>
      <c r="X813">
        <v>0.98230430000000002</v>
      </c>
      <c r="Y813">
        <v>0.11896420000000001</v>
      </c>
      <c r="Z813">
        <v>-2.2023849999999998E-3</v>
      </c>
      <c r="AA813">
        <v>0.99289609999999995</v>
      </c>
      <c r="AB813">
        <v>34</v>
      </c>
      <c r="AC813">
        <v>50.769399999999898</v>
      </c>
      <c r="AD813">
        <v>-1.1099519128999999</v>
      </c>
      <c r="AE813">
        <v>-5.6055000000000001</v>
      </c>
      <c r="AF813">
        <v>6.1178578588001598</v>
      </c>
      <c r="AG813">
        <v>-1.1099519128999999</v>
      </c>
      <c r="AH813">
        <v>50.6859268391066</v>
      </c>
      <c r="AI813">
        <v>91.245461308186194</v>
      </c>
      <c r="AJ813">
        <v>83.117618083848498</v>
      </c>
      <c r="AK813">
        <v>51.065872728943901</v>
      </c>
      <c r="AL813">
        <v>79.633670593181705</v>
      </c>
      <c r="AM813">
        <v>93.027649134250098</v>
      </c>
      <c r="AN813">
        <v>0.99999996757376597</v>
      </c>
    </row>
    <row r="814" spans="1:40" x14ac:dyDescent="0.25">
      <c r="A814" t="str">
        <f>"20190304155330839"</f>
        <v>20190304155330839</v>
      </c>
      <c r="B814" t="str">
        <f>"1551686010826502"</f>
        <v>1551686010826502</v>
      </c>
      <c r="C814" t="s">
        <v>40</v>
      </c>
      <c r="D814">
        <v>4.6427160000000001</v>
      </c>
      <c r="E814">
        <v>0.56498599999999999</v>
      </c>
      <c r="F814" t="s">
        <v>46</v>
      </c>
      <c r="G814">
        <v>-232.06460000000001</v>
      </c>
      <c r="H814" s="1">
        <v>-4.4817840000000004E-6</v>
      </c>
      <c r="I814">
        <v>363.44209999999998</v>
      </c>
      <c r="J814">
        <v>-267.8689</v>
      </c>
      <c r="K814">
        <v>1.110015</v>
      </c>
      <c r="L814">
        <v>367.51839999999999</v>
      </c>
      <c r="M814">
        <v>0.99984919999999999</v>
      </c>
      <c r="N814">
        <v>-1.409588E-2</v>
      </c>
      <c r="O814">
        <v>1.0144419999999999E-2</v>
      </c>
      <c r="P814">
        <v>0.9842322</v>
      </c>
      <c r="Q814">
        <v>0.16577239999999999</v>
      </c>
      <c r="R814">
        <v>6.1696590000000003E-2</v>
      </c>
      <c r="S814">
        <v>3.086182</v>
      </c>
      <c r="T814">
        <v>-9.4810610000000003E-2</v>
      </c>
      <c r="U814">
        <v>-0.3479004</v>
      </c>
      <c r="V814">
        <v>-5.1697710000000001E-2</v>
      </c>
      <c r="W814">
        <v>0.17964089999999999</v>
      </c>
      <c r="X814">
        <v>0.98237289999999999</v>
      </c>
      <c r="Y814">
        <v>0.1220101</v>
      </c>
      <c r="Z814">
        <v>-2.8988709999999999E-3</v>
      </c>
      <c r="AA814">
        <v>0.99252459999999998</v>
      </c>
      <c r="AB814">
        <v>34</v>
      </c>
      <c r="AC814">
        <v>35.804299999999898</v>
      </c>
      <c r="AD814">
        <v>-1.1100194817839999</v>
      </c>
      <c r="AE814">
        <v>-4.0762999999999998</v>
      </c>
      <c r="AF814">
        <v>4.4351318730739804</v>
      </c>
      <c r="AG814">
        <v>-1.1100194817839999</v>
      </c>
      <c r="AH814">
        <v>35.727201707884298</v>
      </c>
      <c r="AI814">
        <v>91.766020964769098</v>
      </c>
      <c r="AJ814">
        <v>82.923572907260706</v>
      </c>
      <c r="AK814">
        <v>36.018543555470799</v>
      </c>
      <c r="AL814">
        <v>79.651156157978903</v>
      </c>
      <c r="AM814">
        <v>93.012431150115404</v>
      </c>
      <c r="AN814">
        <v>1.0000000104132301</v>
      </c>
    </row>
    <row r="815" spans="1:40" x14ac:dyDescent="0.25">
      <c r="A815" t="str">
        <f>"20190304155330860"</f>
        <v>20190304155330860</v>
      </c>
      <c r="B815" t="str">
        <f>"1551686010856758"</f>
        <v>1551686010856758</v>
      </c>
      <c r="C815" t="s">
        <v>40</v>
      </c>
      <c r="D815">
        <v>4.6707260000000002</v>
      </c>
      <c r="E815">
        <v>0.56527519999999998</v>
      </c>
      <c r="F815" t="s">
        <v>46</v>
      </c>
      <c r="G815">
        <v>-233.33500000000001</v>
      </c>
      <c r="H815" s="1">
        <v>-3.894172E-6</v>
      </c>
      <c r="I815">
        <v>363.6825</v>
      </c>
      <c r="J815">
        <v>-267.53269999999998</v>
      </c>
      <c r="K815">
        <v>1.1100730000000001</v>
      </c>
      <c r="L815">
        <v>367.52179999999998</v>
      </c>
      <c r="M815">
        <v>0.99984850000000003</v>
      </c>
      <c r="N815">
        <v>-1.415377E-2</v>
      </c>
      <c r="O815">
        <v>1.013494E-2</v>
      </c>
      <c r="P815">
        <v>0.98437260000000004</v>
      </c>
      <c r="Q815">
        <v>0.16514029999999999</v>
      </c>
      <c r="R815">
        <v>6.1150900000000001E-2</v>
      </c>
      <c r="S815">
        <v>3.0862729999999998</v>
      </c>
      <c r="T815">
        <v>-9.9201319999999996E-2</v>
      </c>
      <c r="U815">
        <v>-0.342804</v>
      </c>
      <c r="V815">
        <v>-5.1159759999999999E-2</v>
      </c>
      <c r="W815">
        <v>0.1790677</v>
      </c>
      <c r="X815">
        <v>0.98250570000000004</v>
      </c>
      <c r="Y815">
        <v>0.1203728</v>
      </c>
      <c r="Z815">
        <v>-2.9647150000000001E-3</v>
      </c>
      <c r="AA815">
        <v>0.99272439999999995</v>
      </c>
      <c r="AB815">
        <v>34</v>
      </c>
      <c r="AC815">
        <v>34.197699999999898</v>
      </c>
      <c r="AD815">
        <v>-1.1100768941719901</v>
      </c>
      <c r="AE815">
        <v>-3.83929999999997</v>
      </c>
      <c r="AF815">
        <v>4.1813780915190204</v>
      </c>
      <c r="AG815">
        <v>-1.1100768941719901</v>
      </c>
      <c r="AH815">
        <v>34.121522344225397</v>
      </c>
      <c r="AI815">
        <v>91.849523111233097</v>
      </c>
      <c r="AJ815">
        <v>83.013594927952397</v>
      </c>
      <c r="AK815">
        <v>34.394686806870098</v>
      </c>
      <c r="AL815">
        <v>79.684539381662304</v>
      </c>
      <c r="AM815">
        <v>92.980739367045302</v>
      </c>
      <c r="AN815">
        <v>1.00000000637951</v>
      </c>
    </row>
    <row r="816" spans="1:40" x14ac:dyDescent="0.25">
      <c r="A816" t="str">
        <f>"20190304155330885"</f>
        <v>20190304155330885</v>
      </c>
      <c r="B816" t="str">
        <f>"1551686010876277"</f>
        <v>1551686010876277</v>
      </c>
      <c r="C816" t="s">
        <v>40</v>
      </c>
      <c r="D816">
        <v>4.6762249999999996</v>
      </c>
      <c r="E816">
        <v>0.5654264</v>
      </c>
      <c r="F816" t="s">
        <v>46</v>
      </c>
      <c r="G816">
        <v>-233.61150000000001</v>
      </c>
      <c r="H816" s="1">
        <v>-3.7703429999999998E-6</v>
      </c>
      <c r="I816">
        <v>363.71190000000001</v>
      </c>
      <c r="J816">
        <v>-267.17840000000001</v>
      </c>
      <c r="K816">
        <v>1.1101289999999999</v>
      </c>
      <c r="L816">
        <v>367.52539999999999</v>
      </c>
      <c r="M816">
        <v>0.99984790000000001</v>
      </c>
      <c r="N816">
        <v>-1.420654E-2</v>
      </c>
      <c r="O816">
        <v>1.0124380000000001E-2</v>
      </c>
      <c r="P816">
        <v>0.98440130000000003</v>
      </c>
      <c r="Q816">
        <v>0.16506119999999999</v>
      </c>
      <c r="R816">
        <v>6.0902709999999999E-2</v>
      </c>
      <c r="S816">
        <v>3.0861209999999999</v>
      </c>
      <c r="T816">
        <v>-0.1009936</v>
      </c>
      <c r="U816">
        <v>-0.3466187</v>
      </c>
      <c r="V816">
        <v>-5.0921550000000003E-2</v>
      </c>
      <c r="W816">
        <v>0.17904049999999999</v>
      </c>
      <c r="X816">
        <v>0.98252300000000004</v>
      </c>
      <c r="Y816">
        <v>0.12157569999999999</v>
      </c>
      <c r="Z816">
        <v>-3.0360819999999998E-3</v>
      </c>
      <c r="AA816">
        <v>0.9925775</v>
      </c>
      <c r="AB816">
        <v>34</v>
      </c>
      <c r="AC816">
        <v>33.566899999999997</v>
      </c>
      <c r="AD816">
        <v>-1.110132770343</v>
      </c>
      <c r="AE816">
        <v>-3.8134999999999701</v>
      </c>
      <c r="AF816">
        <v>4.1487029140461296</v>
      </c>
      <c r="AG816">
        <v>-1.110132770343</v>
      </c>
      <c r="AH816">
        <v>33.4904018946891</v>
      </c>
      <c r="AI816">
        <v>91.884142141390498</v>
      </c>
      <c r="AJ816">
        <v>82.938324757510102</v>
      </c>
      <c r="AK816">
        <v>33.7646434855249</v>
      </c>
      <c r="AL816">
        <v>79.686123101258303</v>
      </c>
      <c r="AM816">
        <v>92.966833160132097</v>
      </c>
      <c r="AN816">
        <v>0.99999997521182604</v>
      </c>
    </row>
    <row r="817" spans="1:40" x14ac:dyDescent="0.25">
      <c r="A817" t="str">
        <f>"20190304155330906"</f>
        <v>20190304155330906</v>
      </c>
      <c r="B817" t="str">
        <f>"1551686010896774"</f>
        <v>1551686010896774</v>
      </c>
      <c r="C817" t="s">
        <v>40</v>
      </c>
      <c r="D817">
        <v>4.6649699999999896</v>
      </c>
      <c r="E817">
        <v>0.56564700000000001</v>
      </c>
      <c r="F817" t="s">
        <v>46</v>
      </c>
      <c r="G817">
        <v>-233.54220000000001</v>
      </c>
      <c r="H817" s="1">
        <v>-3.797399E-6</v>
      </c>
      <c r="I817">
        <v>363.7269</v>
      </c>
      <c r="J817">
        <v>-266.84719999999999</v>
      </c>
      <c r="K817">
        <v>1.1101700000000001</v>
      </c>
      <c r="L817">
        <v>367.52870000000001</v>
      </c>
      <c r="M817">
        <v>0.99984740000000005</v>
      </c>
      <c r="N817">
        <v>-1.4249400000000001E-2</v>
      </c>
      <c r="O817">
        <v>1.011483E-2</v>
      </c>
      <c r="P817">
        <v>0.9844387</v>
      </c>
      <c r="Q817">
        <v>0.16530049999999999</v>
      </c>
      <c r="R817">
        <v>5.9637799999999998E-2</v>
      </c>
      <c r="S817">
        <v>3.086182</v>
      </c>
      <c r="T817">
        <v>-0.1018564</v>
      </c>
      <c r="U817">
        <v>-0.34851070000000001</v>
      </c>
      <c r="V817">
        <v>-4.9666130000000003E-2</v>
      </c>
      <c r="W817">
        <v>0.17932239999999999</v>
      </c>
      <c r="X817">
        <v>0.98253590000000002</v>
      </c>
      <c r="Y817">
        <v>0.1221631</v>
      </c>
      <c r="Z817">
        <v>-3.0716049999999998E-3</v>
      </c>
      <c r="AA817">
        <v>0.99250530000000003</v>
      </c>
      <c r="AB817">
        <v>34</v>
      </c>
      <c r="AC817">
        <v>33.3049999999999</v>
      </c>
      <c r="AD817">
        <v>-1.110173797399</v>
      </c>
      <c r="AE817">
        <v>-3.8018000000000098</v>
      </c>
      <c r="AF817">
        <v>4.1339797775278804</v>
      </c>
      <c r="AG817">
        <v>-1.110173797399</v>
      </c>
      <c r="AH817">
        <v>33.228391433973201</v>
      </c>
      <c r="AI817">
        <v>91.898934337510099</v>
      </c>
      <c r="AJ817">
        <v>82.908210056820394</v>
      </c>
      <c r="AK817">
        <v>33.5029591521523</v>
      </c>
      <c r="AL817">
        <v>79.669706202683898</v>
      </c>
      <c r="AM817">
        <v>92.893776813540399</v>
      </c>
      <c r="AN817">
        <v>1.0000000211998701</v>
      </c>
    </row>
    <row r="818" spans="1:40" x14ac:dyDescent="0.25">
      <c r="A818" t="str">
        <f>"20190304155330928"</f>
        <v>20190304155330928</v>
      </c>
      <c r="B818" t="str">
        <f>"1551686010916294"</f>
        <v>1551686010916294</v>
      </c>
      <c r="C818" t="s">
        <v>40</v>
      </c>
      <c r="D818">
        <v>4.6849800000000004</v>
      </c>
      <c r="E818">
        <v>0.56584499999999904</v>
      </c>
      <c r="F818" t="s">
        <v>46</v>
      </c>
      <c r="G818">
        <v>-233.84989999999999</v>
      </c>
      <c r="H818" s="1">
        <v>-3.664269E-6</v>
      </c>
      <c r="I818">
        <v>363.73309999999998</v>
      </c>
      <c r="J818">
        <v>-266.51350000000002</v>
      </c>
      <c r="K818">
        <v>1.110206</v>
      </c>
      <c r="L818">
        <v>367.53210000000001</v>
      </c>
      <c r="M818">
        <v>0.99984689999999998</v>
      </c>
      <c r="N818">
        <v>-1.428687E-2</v>
      </c>
      <c r="O818">
        <v>1.010514E-2</v>
      </c>
      <c r="P818">
        <v>0.98446650000000002</v>
      </c>
      <c r="Q818">
        <v>0.16547029999999999</v>
      </c>
      <c r="R818">
        <v>5.8699750000000002E-2</v>
      </c>
      <c r="S818">
        <v>3.0863649999999998</v>
      </c>
      <c r="T818">
        <v>-0.10383870000000001</v>
      </c>
      <c r="U818">
        <v>-0.35501100000000002</v>
      </c>
      <c r="V818">
        <v>-4.8737530000000001E-2</v>
      </c>
      <c r="W818">
        <v>0.17952879999999999</v>
      </c>
      <c r="X818">
        <v>0.98254470000000005</v>
      </c>
      <c r="Y818">
        <v>0.1242052</v>
      </c>
      <c r="Z818">
        <v>-3.1674709999999998E-3</v>
      </c>
      <c r="AA818">
        <v>0.99225149999999995</v>
      </c>
      <c r="AB818">
        <v>34</v>
      </c>
      <c r="AC818">
        <v>32.663600000000002</v>
      </c>
      <c r="AD818">
        <v>-1.110209664269</v>
      </c>
      <c r="AE818">
        <v>-3.7990000000000301</v>
      </c>
      <c r="AF818">
        <v>4.1242089575671503</v>
      </c>
      <c r="AG818">
        <v>-1.110209664269</v>
      </c>
      <c r="AH818">
        <v>32.5863950729115</v>
      </c>
      <c r="AI818">
        <v>91.935866074183807</v>
      </c>
      <c r="AJ818">
        <v>82.786864856454997</v>
      </c>
      <c r="AK818">
        <v>32.865100165254098</v>
      </c>
      <c r="AL818">
        <v>79.657685178594605</v>
      </c>
      <c r="AM818">
        <v>92.839736324354803</v>
      </c>
      <c r="AN818">
        <v>1.00000001217901</v>
      </c>
    </row>
    <row r="819" spans="1:40" x14ac:dyDescent="0.25">
      <c r="A819" t="str">
        <f>"20190304155330950"</f>
        <v>20190304155330950</v>
      </c>
      <c r="B819" t="str">
        <f>"1551686010946551"</f>
        <v>1551686010946551</v>
      </c>
      <c r="C819" t="s">
        <v>40</v>
      </c>
      <c r="D819">
        <v>4.704644</v>
      </c>
      <c r="E819">
        <v>0.56565650000000001</v>
      </c>
      <c r="F819" t="s">
        <v>46</v>
      </c>
      <c r="G819">
        <v>-234.3921</v>
      </c>
      <c r="H819" s="1">
        <v>-3.4448809999999999E-6</v>
      </c>
      <c r="I819">
        <v>363.7894</v>
      </c>
      <c r="J819">
        <v>-266.18220000000002</v>
      </c>
      <c r="K819">
        <v>1.1102339999999999</v>
      </c>
      <c r="L819">
        <v>367.53539999999998</v>
      </c>
      <c r="M819">
        <v>0.99984660000000003</v>
      </c>
      <c r="N819">
        <v>-1.4319299999999899E-2</v>
      </c>
      <c r="O819">
        <v>1.0096020000000001E-2</v>
      </c>
      <c r="P819">
        <v>0.98456719999999998</v>
      </c>
      <c r="Q819">
        <v>0.165257399999999</v>
      </c>
      <c r="R819">
        <v>5.7599249999999998E-2</v>
      </c>
      <c r="S819">
        <v>3.0867</v>
      </c>
      <c r="T819">
        <v>-0.10668519999999899</v>
      </c>
      <c r="U819">
        <v>-0.35964970000000002</v>
      </c>
      <c r="V819">
        <v>-4.7644640000000002E-2</v>
      </c>
      <c r="W819">
        <v>0.17934919999999999</v>
      </c>
      <c r="X819">
        <v>0.98263109999999998</v>
      </c>
      <c r="Y819">
        <v>0.12564910000000001</v>
      </c>
      <c r="Z819">
        <v>-3.270167E-3</v>
      </c>
      <c r="AA819">
        <v>0.99206939999999999</v>
      </c>
      <c r="AB819">
        <v>34</v>
      </c>
      <c r="AC819">
        <v>31.790099999999999</v>
      </c>
      <c r="AD819">
        <v>-1.110237444881</v>
      </c>
      <c r="AE819">
        <v>-3.74599999999998</v>
      </c>
      <c r="AF819">
        <v>4.0619090015177504</v>
      </c>
      <c r="AG819">
        <v>-1.110237444881</v>
      </c>
      <c r="AH819">
        <v>31.712506306916499</v>
      </c>
      <c r="AI819">
        <v>91.988840140762093</v>
      </c>
      <c r="AJ819">
        <v>82.700989654910103</v>
      </c>
      <c r="AK819">
        <v>31.990854758615701</v>
      </c>
      <c r="AL819">
        <v>79.668145285587201</v>
      </c>
      <c r="AM819">
        <v>92.775915138600695</v>
      </c>
      <c r="AN819">
        <v>1.0000000129742801</v>
      </c>
    </row>
    <row r="820" spans="1:40" x14ac:dyDescent="0.25">
      <c r="A820" t="str">
        <f>"20190304155330972"</f>
        <v>20190304155330972</v>
      </c>
      <c r="B820" t="str">
        <f>"1551686010967046"</f>
        <v>1551686010967046</v>
      </c>
      <c r="C820" t="s">
        <v>40</v>
      </c>
      <c r="D820">
        <v>4.6552740000000004</v>
      </c>
      <c r="E820">
        <v>0.56561209999999995</v>
      </c>
      <c r="F820" t="s">
        <v>46</v>
      </c>
      <c r="G820">
        <v>-234.78899999999999</v>
      </c>
      <c r="H820" s="1">
        <v>-3.2898919999999998E-6</v>
      </c>
      <c r="I820">
        <v>363.86430000000001</v>
      </c>
      <c r="J820">
        <v>-265.83420000000001</v>
      </c>
      <c r="K820">
        <v>1.1102540000000001</v>
      </c>
      <c r="L820">
        <v>367.53890000000001</v>
      </c>
      <c r="M820">
        <v>0.99984629999999997</v>
      </c>
      <c r="N820">
        <v>-1.434875E-2</v>
      </c>
      <c r="O820">
        <v>1.008656E-2</v>
      </c>
      <c r="P820">
        <v>0.98480140000000005</v>
      </c>
      <c r="Q820">
        <v>0.164279799999999</v>
      </c>
      <c r="R820">
        <v>5.6378539999999998E-2</v>
      </c>
      <c r="S820">
        <v>3.0864560000000001</v>
      </c>
      <c r="T820">
        <v>-0.109154</v>
      </c>
      <c r="U820">
        <v>-0.36093140000000001</v>
      </c>
      <c r="V820">
        <v>-4.6430730000000003E-2</v>
      </c>
      <c r="W820">
        <v>0.1784039</v>
      </c>
      <c r="X820">
        <v>0.98286130000000005</v>
      </c>
      <c r="Y820">
        <v>0.12605050000000001</v>
      </c>
      <c r="Z820">
        <v>-3.3397489999999999E-3</v>
      </c>
      <c r="AA820">
        <v>0.99201819999999996</v>
      </c>
      <c r="AB820">
        <v>34</v>
      </c>
      <c r="AC820">
        <v>31.045199999999902</v>
      </c>
      <c r="AD820">
        <v>-1.110257289892</v>
      </c>
      <c r="AE820">
        <v>-3.6745999999999901</v>
      </c>
      <c r="AF820">
        <v>3.9825613271823799</v>
      </c>
      <c r="AG820">
        <v>-1.110257289892</v>
      </c>
      <c r="AH820">
        <v>30.967493399130401</v>
      </c>
      <c r="AI820">
        <v>92.036550617297294</v>
      </c>
      <c r="AJ820">
        <v>82.671725081210795</v>
      </c>
      <c r="AK820">
        <v>31.2422648570764</v>
      </c>
      <c r="AL820">
        <v>79.723195233839206</v>
      </c>
      <c r="AM820">
        <v>92.704662977945205</v>
      </c>
      <c r="AN820">
        <v>1.0000000496306101</v>
      </c>
    </row>
    <row r="821" spans="1:40" x14ac:dyDescent="0.25">
      <c r="A821" t="str">
        <f>"20190304155330995"</f>
        <v>20190304155330995</v>
      </c>
      <c r="B821" t="str">
        <f>"1551686010986570"</f>
        <v>1551686010986570</v>
      </c>
      <c r="C821" t="s">
        <v>40</v>
      </c>
      <c r="D821">
        <v>4.7335180000000001</v>
      </c>
      <c r="E821">
        <v>0.56511909999999999</v>
      </c>
      <c r="F821" t="s">
        <v>46</v>
      </c>
      <c r="G821">
        <v>-234.80600000000001</v>
      </c>
      <c r="H821" s="1">
        <v>-3.284243E-6</v>
      </c>
      <c r="I821">
        <v>363.86369999999999</v>
      </c>
      <c r="J821">
        <v>-265.50689999999997</v>
      </c>
      <c r="K821">
        <v>1.110271</v>
      </c>
      <c r="L821">
        <v>367.54219999999998</v>
      </c>
      <c r="M821">
        <v>0.99984600000000001</v>
      </c>
      <c r="N821">
        <v>-1.4372640000000001E-2</v>
      </c>
      <c r="O821">
        <v>1.007751E-2</v>
      </c>
      <c r="P821">
        <v>0.98491119999999999</v>
      </c>
      <c r="Q821">
        <v>0.16400880000000001</v>
      </c>
      <c r="R821">
        <v>5.5237099999999997E-2</v>
      </c>
      <c r="S821">
        <v>3.0856319999999999</v>
      </c>
      <c r="T821">
        <v>-0.11041049999999999</v>
      </c>
      <c r="U821">
        <v>-0.36547849999999998</v>
      </c>
      <c r="V821">
        <v>-4.5297179999999999E-2</v>
      </c>
      <c r="W821">
        <v>0.17815799999999901</v>
      </c>
      <c r="X821">
        <v>0.98295869999999996</v>
      </c>
      <c r="Y821">
        <v>0.12751019999999999</v>
      </c>
      <c r="Z821">
        <v>-3.407579E-3</v>
      </c>
      <c r="AA821">
        <v>0.99183140000000003</v>
      </c>
      <c r="AB821">
        <v>34</v>
      </c>
      <c r="AC821">
        <v>30.700899999999901</v>
      </c>
      <c r="AD821">
        <v>-1.110274284243</v>
      </c>
      <c r="AE821">
        <v>-3.6784999999999801</v>
      </c>
      <c r="AF821">
        <v>3.9825988044053098</v>
      </c>
      <c r="AG821">
        <v>-1.110274284243</v>
      </c>
      <c r="AH821">
        <v>30.622783541250499</v>
      </c>
      <c r="AI821">
        <v>92.059108012793004</v>
      </c>
      <c r="AJ821">
        <v>82.590076040594795</v>
      </c>
      <c r="AK821">
        <v>30.9006257871484</v>
      </c>
      <c r="AL821">
        <v>79.737512687655695</v>
      </c>
      <c r="AM821">
        <v>92.638465305123106</v>
      </c>
      <c r="AN821">
        <v>0.99999995669282005</v>
      </c>
    </row>
    <row r="822" spans="1:40" x14ac:dyDescent="0.25">
      <c r="A822" t="str">
        <f>"20190304155331017"</f>
        <v>20190304155331017</v>
      </c>
      <c r="B822" t="str">
        <f>"1551686011007065"</f>
        <v>1551686011007065</v>
      </c>
      <c r="C822" t="s">
        <v>40</v>
      </c>
      <c r="D822">
        <v>4.7197809999999896</v>
      </c>
      <c r="E822">
        <v>0.56465390000000004</v>
      </c>
      <c r="F822" t="s">
        <v>46</v>
      </c>
      <c r="G822">
        <v>-234.7859</v>
      </c>
      <c r="H822" s="1">
        <v>-3.2813010000000001E-6</v>
      </c>
      <c r="I822">
        <v>363.90050000000002</v>
      </c>
      <c r="J822">
        <v>-265.16770000000002</v>
      </c>
      <c r="K822">
        <v>1.110285</v>
      </c>
      <c r="L822">
        <v>367.54559999999998</v>
      </c>
      <c r="M822">
        <v>0.99984580000000001</v>
      </c>
      <c r="N822">
        <v>-1.439404E-2</v>
      </c>
      <c r="O822">
        <v>1.0068000000000001E-2</v>
      </c>
      <c r="P822">
        <v>0.98506020000000005</v>
      </c>
      <c r="Q822">
        <v>0.16367309999999999</v>
      </c>
      <c r="R822">
        <v>5.3551799999999997E-2</v>
      </c>
      <c r="S822">
        <v>3.0850219999999999</v>
      </c>
      <c r="T822">
        <v>-0.1114942</v>
      </c>
      <c r="U822">
        <v>-0.36569210000000002</v>
      </c>
      <c r="V822">
        <v>-4.361976E-2</v>
      </c>
      <c r="W822">
        <v>0.177845</v>
      </c>
      <c r="X822">
        <v>0.9830913</v>
      </c>
      <c r="Y822">
        <v>0.12758920000000001</v>
      </c>
      <c r="Z822">
        <v>-3.436864E-3</v>
      </c>
      <c r="AA822">
        <v>0.99182110000000001</v>
      </c>
      <c r="AB822">
        <v>34</v>
      </c>
      <c r="AC822">
        <v>30.381799999999998</v>
      </c>
      <c r="AD822">
        <v>-1.110288281301</v>
      </c>
      <c r="AE822">
        <v>-3.64509999999995</v>
      </c>
      <c r="AF822">
        <v>3.94563621169568</v>
      </c>
      <c r="AG822">
        <v>-1.110288281301</v>
      </c>
      <c r="AH822">
        <v>30.303660840936399</v>
      </c>
      <c r="AI822">
        <v>92.080759517750707</v>
      </c>
      <c r="AJ822">
        <v>82.581634323879598</v>
      </c>
      <c r="AK822">
        <v>30.579611598990901</v>
      </c>
      <c r="AL822">
        <v>79.755737922989098</v>
      </c>
      <c r="AM822">
        <v>92.540547365005196</v>
      </c>
      <c r="AN822">
        <v>1.0000000158115701</v>
      </c>
    </row>
    <row r="823" spans="1:40" x14ac:dyDescent="0.25">
      <c r="A823" t="str">
        <f>"20190304155331039"</f>
        <v>20190304155331039</v>
      </c>
      <c r="B823" t="str">
        <f>"1551686011036342"</f>
        <v>1551686011036342</v>
      </c>
      <c r="C823" t="s">
        <v>40</v>
      </c>
      <c r="D823">
        <v>4.7317910000000003</v>
      </c>
      <c r="E823">
        <v>0.56412209999999996</v>
      </c>
      <c r="F823" t="s">
        <v>46</v>
      </c>
      <c r="G823">
        <v>-234.5966</v>
      </c>
      <c r="H823" s="1">
        <v>-3.3454549999999998E-6</v>
      </c>
      <c r="I823">
        <v>363.9015</v>
      </c>
      <c r="J823">
        <v>-264.839</v>
      </c>
      <c r="K823">
        <v>1.1102879999999999</v>
      </c>
      <c r="L823">
        <v>367.5489</v>
      </c>
      <c r="M823">
        <v>0.9998456</v>
      </c>
      <c r="N823">
        <v>-1.441167E-2</v>
      </c>
      <c r="O823">
        <v>1.005845E-2</v>
      </c>
      <c r="P823">
        <v>0.98524920000000005</v>
      </c>
      <c r="Q823">
        <v>0.1633732</v>
      </c>
      <c r="R823">
        <v>5.0924690000000002E-2</v>
      </c>
      <c r="S823">
        <v>3.084076</v>
      </c>
      <c r="T823">
        <v>-0.11200789999999999</v>
      </c>
      <c r="U823">
        <v>-0.36761470000000002</v>
      </c>
      <c r="V823">
        <v>-4.1000330000000001E-2</v>
      </c>
      <c r="W823">
        <v>0.17756440000000001</v>
      </c>
      <c r="X823">
        <v>0.98325469999999904</v>
      </c>
      <c r="Y823">
        <v>0.12822339999999999</v>
      </c>
      <c r="Z823">
        <v>-3.4666720000000001E-3</v>
      </c>
      <c r="AA823">
        <v>0.99173929999999999</v>
      </c>
      <c r="AB823">
        <v>34</v>
      </c>
      <c r="AC823">
        <v>30.2424</v>
      </c>
      <c r="AD823">
        <v>-1.1102913454550001</v>
      </c>
      <c r="AE823">
        <v>-3.6474000000000002</v>
      </c>
      <c r="AF823">
        <v>3.9461960768567499</v>
      </c>
      <c r="AG823">
        <v>-1.1102913454550001</v>
      </c>
      <c r="AH823">
        <v>30.164105022635201</v>
      </c>
      <c r="AI823">
        <v>92.090217085252505</v>
      </c>
      <c r="AJ823">
        <v>82.546652218894295</v>
      </c>
      <c r="AK823">
        <v>30.441393564772198</v>
      </c>
      <c r="AL823">
        <v>79.772074713246099</v>
      </c>
      <c r="AM823">
        <v>92.387769662627704</v>
      </c>
      <c r="AN823">
        <v>0.99999997413977804</v>
      </c>
    </row>
    <row r="824" spans="1:40" x14ac:dyDescent="0.25">
      <c r="A824" t="str">
        <f>"20190304155331062"</f>
        <v>20190304155331062</v>
      </c>
      <c r="B824" t="str">
        <f>"1551686011056838"</f>
        <v>1551686011056838</v>
      </c>
      <c r="C824" t="s">
        <v>40</v>
      </c>
      <c r="D824">
        <v>4.6415499999999996</v>
      </c>
      <c r="E824">
        <v>0.56355719999999898</v>
      </c>
      <c r="F824" t="s">
        <v>46</v>
      </c>
      <c r="G824">
        <v>-234.47329999999999</v>
      </c>
      <c r="H824" s="1">
        <v>-3.3935420000000001E-6</v>
      </c>
      <c r="I824">
        <v>363.87849999999997</v>
      </c>
      <c r="J824">
        <v>-264.49459999999999</v>
      </c>
      <c r="K824">
        <v>1.1102989999999999</v>
      </c>
      <c r="L824">
        <v>367.5523</v>
      </c>
      <c r="M824">
        <v>0.9998454</v>
      </c>
      <c r="N824">
        <v>-1.442731E-2</v>
      </c>
      <c r="O824">
        <v>1.004845E-2</v>
      </c>
      <c r="P824">
        <v>0.98557099999999997</v>
      </c>
      <c r="Q824">
        <v>0.16237550000000001</v>
      </c>
      <c r="R824">
        <v>4.7794009999999998E-2</v>
      </c>
      <c r="S824">
        <v>3.0828250000000001</v>
      </c>
      <c r="T824">
        <v>-0.11271979999999999</v>
      </c>
      <c r="U824">
        <v>-0.3726196</v>
      </c>
      <c r="V824">
        <v>-3.7876840000000002E-2</v>
      </c>
      <c r="W824">
        <v>0.1765864</v>
      </c>
      <c r="X824">
        <v>0.98355610000000004</v>
      </c>
      <c r="Y824">
        <v>0.12984480000000001</v>
      </c>
      <c r="Z824">
        <v>-3.5265560000000001E-3</v>
      </c>
      <c r="AA824">
        <v>0.99152799999999996</v>
      </c>
      <c r="AB824">
        <v>34</v>
      </c>
      <c r="AC824">
        <v>30.0213</v>
      </c>
      <c r="AD824">
        <v>-1.110302393542</v>
      </c>
      <c r="AE824">
        <v>-3.6738000000000199</v>
      </c>
      <c r="AF824">
        <v>3.9699634129798098</v>
      </c>
      <c r="AG824">
        <v>-1.110302393542</v>
      </c>
      <c r="AH824">
        <v>29.942512967507302</v>
      </c>
      <c r="AI824">
        <v>92.105213149167895</v>
      </c>
      <c r="AJ824">
        <v>82.447421724905197</v>
      </c>
      <c r="AK824">
        <v>30.2249477040878</v>
      </c>
      <c r="AL824">
        <v>79.829010052386707</v>
      </c>
      <c r="AM824">
        <v>92.2053761988346</v>
      </c>
      <c r="AN824">
        <v>1.0000000067602699</v>
      </c>
    </row>
    <row r="825" spans="1:40" x14ac:dyDescent="0.25">
      <c r="A825" t="str">
        <f>"20190304155331085"</f>
        <v>20190304155331085</v>
      </c>
      <c r="B825" t="str">
        <f>"1551686011076358"</f>
        <v>1551686011076358</v>
      </c>
      <c r="C825" t="s">
        <v>40</v>
      </c>
      <c r="D825">
        <v>4.7095370000000001</v>
      </c>
      <c r="E825">
        <v>0.56347979999999998</v>
      </c>
      <c r="F825" t="s">
        <v>46</v>
      </c>
      <c r="G825">
        <v>-234.40479999999999</v>
      </c>
      <c r="H825" s="1">
        <v>-3.422837E-6</v>
      </c>
      <c r="I825">
        <v>363.85590000000002</v>
      </c>
      <c r="J825">
        <v>-264.15620000000001</v>
      </c>
      <c r="K825">
        <v>1.1103130000000001</v>
      </c>
      <c r="L825">
        <v>367.5557</v>
      </c>
      <c r="M825">
        <v>0.9998454</v>
      </c>
      <c r="N825">
        <v>-1.4440130000000001E-2</v>
      </c>
      <c r="O825">
        <v>1.003828E-2</v>
      </c>
      <c r="P825">
        <v>0.98575559999999995</v>
      </c>
      <c r="Q825">
        <v>0.1620944</v>
      </c>
      <c r="R825">
        <v>4.484846E-2</v>
      </c>
      <c r="S825">
        <v>3.0809630000000001</v>
      </c>
      <c r="T825">
        <v>-0.1136863</v>
      </c>
      <c r="U825">
        <v>-0.37847900000000001</v>
      </c>
      <c r="V825">
        <v>-3.4939640000000001E-2</v>
      </c>
      <c r="W825">
        <v>0.1763198</v>
      </c>
      <c r="X825">
        <v>0.98371260000000005</v>
      </c>
      <c r="Y825">
        <v>0.13176019999999999</v>
      </c>
      <c r="Z825">
        <v>-3.6009890000000002E-3</v>
      </c>
      <c r="AA825">
        <v>0.99127509999999996</v>
      </c>
      <c r="AB825">
        <v>34</v>
      </c>
      <c r="AC825">
        <v>29.7514</v>
      </c>
      <c r="AD825">
        <v>-1.1103164228369999</v>
      </c>
      <c r="AE825">
        <v>-3.6997999999999802</v>
      </c>
      <c r="AF825">
        <v>3.9928211748209401</v>
      </c>
      <c r="AG825">
        <v>-1.1103164228369999</v>
      </c>
      <c r="AH825">
        <v>29.672060246380799</v>
      </c>
      <c r="AI825">
        <v>92.123859796450105</v>
      </c>
      <c r="AJ825">
        <v>82.336030465505004</v>
      </c>
      <c r="AK825">
        <v>29.960083156723201</v>
      </c>
      <c r="AL825">
        <v>79.844528177989503</v>
      </c>
      <c r="AM825">
        <v>92.034184297822506</v>
      </c>
      <c r="AN825">
        <v>0.99999996485706399</v>
      </c>
    </row>
    <row r="826" spans="1:40" x14ac:dyDescent="0.25">
      <c r="A826" t="str">
        <f>"20190304155331107"</f>
        <v>20190304155331107</v>
      </c>
      <c r="B826" t="str">
        <f>"1551686011096855"</f>
        <v>1551686011096855</v>
      </c>
      <c r="C826" t="s">
        <v>40</v>
      </c>
      <c r="D826">
        <v>4.6214690000000003</v>
      </c>
      <c r="E826">
        <v>0.56344899999999998</v>
      </c>
      <c r="F826" t="s">
        <v>46</v>
      </c>
      <c r="G826">
        <v>-234.01490000000001</v>
      </c>
      <c r="H826" s="1">
        <v>-3.588215E-6</v>
      </c>
      <c r="I826">
        <v>363.7629</v>
      </c>
      <c r="J826">
        <v>-263.82080000000002</v>
      </c>
      <c r="K826">
        <v>1.1103190000000001</v>
      </c>
      <c r="L826">
        <v>367.5591</v>
      </c>
      <c r="M826">
        <v>0.9998454</v>
      </c>
      <c r="N826">
        <v>-1.445077E-2</v>
      </c>
      <c r="O826">
        <v>1.002896E-2</v>
      </c>
      <c r="P826">
        <v>0.98581070000000004</v>
      </c>
      <c r="Q826">
        <v>0.16247059999999999</v>
      </c>
      <c r="R826">
        <v>4.2201669999999997E-2</v>
      </c>
      <c r="S826">
        <v>3.0796199999999998</v>
      </c>
      <c r="T826">
        <v>-0.1134439</v>
      </c>
      <c r="U826">
        <v>-0.38751219999999997</v>
      </c>
      <c r="V826">
        <v>-3.2301539999999997E-2</v>
      </c>
      <c r="W826">
        <v>0.17670649999999999</v>
      </c>
      <c r="X826">
        <v>0.98373339999999998</v>
      </c>
      <c r="Y826">
        <v>0.1346637</v>
      </c>
      <c r="Z826">
        <v>-3.6706579999999998E-3</v>
      </c>
      <c r="AA826">
        <v>0.99088449999999995</v>
      </c>
      <c r="AB826">
        <v>33</v>
      </c>
      <c r="AC826">
        <v>29.805900000000001</v>
      </c>
      <c r="AD826">
        <v>-1.1103225882150001</v>
      </c>
      <c r="AE826">
        <v>-3.79619999999999</v>
      </c>
      <c r="AF826">
        <v>4.0893781825038102</v>
      </c>
      <c r="AG826">
        <v>-1.1103225882150001</v>
      </c>
      <c r="AH826">
        <v>29.7257330278422</v>
      </c>
      <c r="AI826">
        <v>92.119189993374306</v>
      </c>
      <c r="AJ826">
        <v>82.166970047826496</v>
      </c>
      <c r="AK826">
        <v>30.026239095364399</v>
      </c>
      <c r="AL826">
        <v>79.822018710807001</v>
      </c>
      <c r="AM826">
        <v>91.880669294024997</v>
      </c>
      <c r="AN826">
        <v>0.99999998945209001</v>
      </c>
    </row>
    <row r="827" spans="1:40" x14ac:dyDescent="0.25">
      <c r="A827" t="str">
        <f>"20190304155331129"</f>
        <v>20190304155331129</v>
      </c>
      <c r="B827" t="str">
        <f>"1551686011127110"</f>
        <v>1551686011127110</v>
      </c>
      <c r="C827" t="s">
        <v>40</v>
      </c>
      <c r="D827">
        <v>4.6873290000000001</v>
      </c>
      <c r="E827">
        <v>0.56305939999999999</v>
      </c>
      <c r="F827" t="s">
        <v>46</v>
      </c>
      <c r="G827">
        <v>-233.60120000000001</v>
      </c>
      <c r="H827" s="1">
        <v>-3.781213E-6</v>
      </c>
      <c r="I827">
        <v>363.67540000000002</v>
      </c>
      <c r="J827">
        <v>-263.49770000000001</v>
      </c>
      <c r="K827">
        <v>1.1103289999999999</v>
      </c>
      <c r="L827">
        <v>367.56229999999999</v>
      </c>
      <c r="M827">
        <v>0.9998454</v>
      </c>
      <c r="N827">
        <v>-1.445929E-2</v>
      </c>
      <c r="O827">
        <v>1.001984E-2</v>
      </c>
      <c r="P827">
        <v>0.98581620000000003</v>
      </c>
      <c r="Q827">
        <v>0.1629516</v>
      </c>
      <c r="R827">
        <v>4.0168460000000003E-2</v>
      </c>
      <c r="S827">
        <v>3.0787659999999999</v>
      </c>
      <c r="T827">
        <v>-0.113119</v>
      </c>
      <c r="U827">
        <v>-0.39566040000000002</v>
      </c>
      <c r="V827">
        <v>-3.0277490000000001E-2</v>
      </c>
      <c r="W827">
        <v>0.17719550000000001</v>
      </c>
      <c r="X827">
        <v>0.98370979999999997</v>
      </c>
      <c r="Y827">
        <v>0.13726720000000001</v>
      </c>
      <c r="Z827">
        <v>-3.7298460000000002E-3</v>
      </c>
      <c r="AA827">
        <v>0.99052700000000005</v>
      </c>
      <c r="AB827">
        <v>33</v>
      </c>
      <c r="AC827">
        <v>29.8965</v>
      </c>
      <c r="AD827">
        <v>-1.1103327812129999</v>
      </c>
      <c r="AE827">
        <v>-3.8868999999999598</v>
      </c>
      <c r="AF827">
        <v>4.18062368408295</v>
      </c>
      <c r="AG827">
        <v>-1.1103327812129999</v>
      </c>
      <c r="AH827">
        <v>29.815606975085299</v>
      </c>
      <c r="AI827">
        <v>92.112066380005302</v>
      </c>
      <c r="AJ827">
        <v>82.018254740161396</v>
      </c>
      <c r="AK827">
        <v>30.127742573344399</v>
      </c>
      <c r="AL827">
        <v>79.793551668318202</v>
      </c>
      <c r="AM827">
        <v>91.762943599987906</v>
      </c>
      <c r="AN827">
        <v>0.99999997111849404</v>
      </c>
    </row>
    <row r="828" spans="1:40" x14ac:dyDescent="0.25">
      <c r="A828" t="str">
        <f>"20190304155331151"</f>
        <v>20190304155331151</v>
      </c>
      <c r="B828" t="str">
        <f>"1551686011146634"</f>
        <v>1551686011146634</v>
      </c>
      <c r="C828" t="s">
        <v>40</v>
      </c>
      <c r="D828">
        <v>4.6948780000000001</v>
      </c>
      <c r="E828">
        <v>0.56254169999999903</v>
      </c>
      <c r="F828" t="s">
        <v>46</v>
      </c>
      <c r="G828">
        <v>-232.78270000000001</v>
      </c>
      <c r="H828" s="1">
        <v>-4.1486439999999999E-6</v>
      </c>
      <c r="I828">
        <v>363.58359999999999</v>
      </c>
      <c r="J828">
        <v>-263.16520000000003</v>
      </c>
      <c r="K828">
        <v>1.1103369999999999</v>
      </c>
      <c r="L828">
        <v>367.56560000000002</v>
      </c>
      <c r="M828">
        <v>0.99984519999999999</v>
      </c>
      <c r="N828">
        <v>-1.446646E-2</v>
      </c>
      <c r="O828">
        <v>1.0010730000000001E-2</v>
      </c>
      <c r="P828">
        <v>0.98586799999999997</v>
      </c>
      <c r="Q828">
        <v>0.1631002</v>
      </c>
      <c r="R828">
        <v>3.8244130000000001E-2</v>
      </c>
      <c r="S828">
        <v>3.0777890000000001</v>
      </c>
      <c r="T828">
        <v>-0.1112605</v>
      </c>
      <c r="U828">
        <v>-0.39868160000000002</v>
      </c>
      <c r="V828">
        <v>-2.8361419999999998E-2</v>
      </c>
      <c r="W828">
        <v>0.177351799999999</v>
      </c>
      <c r="X828">
        <v>0.98373880000000002</v>
      </c>
      <c r="Y828">
        <v>0.13825699999999999</v>
      </c>
      <c r="Z828">
        <v>-3.7086110000000001E-3</v>
      </c>
      <c r="AA828">
        <v>0.99038950000000003</v>
      </c>
      <c r="AB828">
        <v>33</v>
      </c>
      <c r="AC828">
        <v>30.3825</v>
      </c>
      <c r="AD828">
        <v>-1.110341148644</v>
      </c>
      <c r="AE828">
        <v>-3.9820000000000202</v>
      </c>
      <c r="AF828">
        <v>4.2803630991973698</v>
      </c>
      <c r="AG828">
        <v>-1.110341148644</v>
      </c>
      <c r="AH828">
        <v>30.301324308416799</v>
      </c>
      <c r="AI828">
        <v>92.077957291817498</v>
      </c>
      <c r="AJ828">
        <v>81.959600640413498</v>
      </c>
      <c r="AK828">
        <v>30.622289603672499</v>
      </c>
      <c r="AL828">
        <v>79.784452813203004</v>
      </c>
      <c r="AM828">
        <v>91.651393307303394</v>
      </c>
      <c r="AN828">
        <v>1.00000002886654</v>
      </c>
    </row>
    <row r="829" spans="1:40" x14ac:dyDescent="0.25">
      <c r="A829" t="str">
        <f>"20190304155331173"</f>
        <v>20190304155331173</v>
      </c>
      <c r="B829" t="str">
        <f>"1551686011166153"</f>
        <v>1551686011166153</v>
      </c>
      <c r="C829" t="s">
        <v>40</v>
      </c>
      <c r="D829">
        <v>4.6137389999999998</v>
      </c>
      <c r="E829">
        <v>0.56231929999999997</v>
      </c>
      <c r="F829" t="s">
        <v>46</v>
      </c>
      <c r="G829">
        <v>-232.5985</v>
      </c>
      <c r="H829" s="1">
        <v>-4.2264580000000002E-6</v>
      </c>
      <c r="I829">
        <v>363.59019999999998</v>
      </c>
      <c r="J829">
        <v>-262.83190000000002</v>
      </c>
      <c r="K829">
        <v>1.1103449999999999</v>
      </c>
      <c r="L829">
        <v>367.56889999999999</v>
      </c>
      <c r="M829">
        <v>0.99984530000000005</v>
      </c>
      <c r="N829">
        <v>-1.447234E-2</v>
      </c>
      <c r="O829">
        <v>1.0000800000000001E-2</v>
      </c>
      <c r="P829">
        <v>0.985823</v>
      </c>
      <c r="Q829">
        <v>0.1636717</v>
      </c>
      <c r="R829">
        <v>3.6938789999999999E-2</v>
      </c>
      <c r="S829">
        <v>3.077026</v>
      </c>
      <c r="T829">
        <v>-0.11177339999999999</v>
      </c>
      <c r="U829">
        <v>-0.400177</v>
      </c>
      <c r="V829">
        <v>-2.7066679999999999E-2</v>
      </c>
      <c r="W829">
        <v>0.17792810000000001</v>
      </c>
      <c r="X829">
        <v>0.98367119999999997</v>
      </c>
      <c r="Y829">
        <v>0.13875019999999999</v>
      </c>
      <c r="Z829">
        <v>-3.7350230000000001E-3</v>
      </c>
      <c r="AA829">
        <v>0.99032039999999999</v>
      </c>
      <c r="AB829">
        <v>33</v>
      </c>
      <c r="AC829">
        <v>30.2334</v>
      </c>
      <c r="AD829">
        <v>-1.1103492264579999</v>
      </c>
      <c r="AE829">
        <v>-3.9786999999999999</v>
      </c>
      <c r="AF829">
        <v>4.2752226047389401</v>
      </c>
      <c r="AG829">
        <v>-1.1103492264579999</v>
      </c>
      <c r="AH829">
        <v>30.152116761860899</v>
      </c>
      <c r="AI829">
        <v>92.088093152282696</v>
      </c>
      <c r="AJ829">
        <v>81.929912248815</v>
      </c>
      <c r="AK829">
        <v>30.473932285572499</v>
      </c>
      <c r="AL829">
        <v>79.750899537672396</v>
      </c>
      <c r="AM829">
        <v>91.576151990728803</v>
      </c>
      <c r="AN829">
        <v>1.0000000218226299</v>
      </c>
    </row>
    <row r="830" spans="1:40" x14ac:dyDescent="0.25">
      <c r="A830" t="str">
        <f>"20190304155331196"</f>
        <v>20190304155331196</v>
      </c>
      <c r="B830" t="str">
        <f>"1551686011186647"</f>
        <v>1551686011186647</v>
      </c>
      <c r="C830" t="s">
        <v>40</v>
      </c>
      <c r="D830">
        <v>4.5754489999999999</v>
      </c>
      <c r="E830">
        <v>0.56209519999999902</v>
      </c>
      <c r="F830" t="s">
        <v>46</v>
      </c>
      <c r="G830">
        <v>-231.43129999999999</v>
      </c>
      <c r="H830" s="1">
        <v>-4.7498209999999998E-6</v>
      </c>
      <c r="I830">
        <v>363.46260000000001</v>
      </c>
      <c r="J830">
        <v>-262.50130000000001</v>
      </c>
      <c r="K830">
        <v>1.1103510000000001</v>
      </c>
      <c r="L830">
        <v>367.57220000000001</v>
      </c>
      <c r="M830">
        <v>0.9998454</v>
      </c>
      <c r="N830">
        <v>-1.4476950000000001E-2</v>
      </c>
      <c r="O830">
        <v>9.9912300000000002E-3</v>
      </c>
      <c r="P830">
        <v>0.98573540000000004</v>
      </c>
      <c r="Q830">
        <v>0.16437860000000001</v>
      </c>
      <c r="R830">
        <v>3.6135430000000003E-2</v>
      </c>
      <c r="S830">
        <v>3.076263</v>
      </c>
      <c r="T830">
        <v>-0.108779</v>
      </c>
      <c r="U830">
        <v>-0.40228269999999999</v>
      </c>
      <c r="V830">
        <v>-2.6273350000000001E-2</v>
      </c>
      <c r="W830">
        <v>0.17863799999999999</v>
      </c>
      <c r="X830">
        <v>0.98356399999999999</v>
      </c>
      <c r="Y830">
        <v>0.13944389999999901</v>
      </c>
      <c r="Z830">
        <v>-3.6760989999999999E-3</v>
      </c>
      <c r="AA830">
        <v>0.99022319999999997</v>
      </c>
      <c r="AB830">
        <v>33</v>
      </c>
      <c r="AC830">
        <v>31.07</v>
      </c>
      <c r="AD830">
        <v>-1.1103557498209999</v>
      </c>
      <c r="AE830">
        <v>-4.1096000000000004</v>
      </c>
      <c r="AF830">
        <v>4.4143140449479397</v>
      </c>
      <c r="AG830">
        <v>-1.1103557498209999</v>
      </c>
      <c r="AH830">
        <v>30.988488163603201</v>
      </c>
      <c r="AI830">
        <v>92.031608756423296</v>
      </c>
      <c r="AJ830">
        <v>81.892752885414396</v>
      </c>
      <c r="AK830">
        <v>31.321006641619299</v>
      </c>
      <c r="AL830">
        <v>79.709562617995104</v>
      </c>
      <c r="AM830">
        <v>91.530143613297597</v>
      </c>
      <c r="AN830">
        <v>0.99999998303011095</v>
      </c>
    </row>
    <row r="831" spans="1:40" x14ac:dyDescent="0.25">
      <c r="A831" t="str">
        <f>"20190304155331218"</f>
        <v>20190304155331218</v>
      </c>
      <c r="B831" t="str">
        <f>"1551686011207142"</f>
        <v>1551686011207142</v>
      </c>
      <c r="C831" t="s">
        <v>40</v>
      </c>
      <c r="D831">
        <v>4.5624330000000004</v>
      </c>
      <c r="E831">
        <v>0.5617164</v>
      </c>
      <c r="F831" t="s">
        <v>46</v>
      </c>
      <c r="G831">
        <v>-230.1035</v>
      </c>
      <c r="H831" s="1">
        <v>-5.3430329999999998E-6</v>
      </c>
      <c r="I831">
        <v>363.32960000000003</v>
      </c>
      <c r="J831">
        <v>-262.17450000000002</v>
      </c>
      <c r="K831">
        <v>1.1103540000000001</v>
      </c>
      <c r="L831">
        <v>367.57549999999998</v>
      </c>
      <c r="M831">
        <v>0.9998454</v>
      </c>
      <c r="N831">
        <v>-1.4480460000000001E-2</v>
      </c>
      <c r="O831">
        <v>9.9816680000000008E-3</v>
      </c>
      <c r="P831">
        <v>0.98571249999999999</v>
      </c>
      <c r="Q831">
        <v>0.16466259999999999</v>
      </c>
      <c r="R831">
        <v>3.5459150000000002E-2</v>
      </c>
      <c r="S831">
        <v>3.075745</v>
      </c>
      <c r="T831">
        <v>-0.1054136</v>
      </c>
      <c r="U831">
        <v>-0.40277099999999999</v>
      </c>
      <c r="V831">
        <v>-2.560695E-2</v>
      </c>
      <c r="W831">
        <v>0.17892459999999999</v>
      </c>
      <c r="X831">
        <v>0.98352949999999995</v>
      </c>
      <c r="Y831">
        <v>0.13961680000000001</v>
      </c>
      <c r="Z831">
        <v>-3.5939850000000001E-3</v>
      </c>
      <c r="AA831">
        <v>0.9901991</v>
      </c>
      <c r="AB831">
        <v>33</v>
      </c>
      <c r="AC831">
        <v>32.070999999999998</v>
      </c>
      <c r="AD831">
        <v>-1.1103593430329901</v>
      </c>
      <c r="AE831">
        <v>-4.2458999999999403</v>
      </c>
      <c r="AF831">
        <v>4.5604716837307402</v>
      </c>
      <c r="AG831">
        <v>-1.1103593430329901</v>
      </c>
      <c r="AH831">
        <v>31.989331978422101</v>
      </c>
      <c r="AI831">
        <v>91.968072576236295</v>
      </c>
      <c r="AJ831">
        <v>81.886455573331304</v>
      </c>
      <c r="AK831">
        <v>32.331844368585998</v>
      </c>
      <c r="AL831">
        <v>79.692872960891705</v>
      </c>
      <c r="AM831">
        <v>91.491402935325894</v>
      </c>
      <c r="AN831">
        <v>1.0000000028718501</v>
      </c>
    </row>
    <row r="832" spans="1:40" x14ac:dyDescent="0.25">
      <c r="A832" t="str">
        <f>"20190304155331241"</f>
        <v>20190304155331241</v>
      </c>
      <c r="B832" t="str">
        <f>"1551686011236422"</f>
        <v>1551686011236422</v>
      </c>
      <c r="C832" t="s">
        <v>40</v>
      </c>
      <c r="D832">
        <v>4.5812030000000004</v>
      </c>
      <c r="E832">
        <v>0.561413099999999</v>
      </c>
      <c r="F832" t="s">
        <v>46</v>
      </c>
      <c r="G832">
        <v>-229.37129999999999</v>
      </c>
      <c r="H832" s="1">
        <v>-1.8817459999999999E-6</v>
      </c>
      <c r="I832">
        <v>363.29579999999999</v>
      </c>
      <c r="J832">
        <v>-261.84019999999998</v>
      </c>
      <c r="K832">
        <v>1.110358</v>
      </c>
      <c r="L832">
        <v>367.5788</v>
      </c>
      <c r="M832">
        <v>0.99984530000000005</v>
      </c>
      <c r="N832">
        <v>-1.448314E-2</v>
      </c>
      <c r="O832">
        <v>9.9720520000000003E-3</v>
      </c>
      <c r="P832">
        <v>0.98577870000000001</v>
      </c>
      <c r="Q832">
        <v>0.16422539999999999</v>
      </c>
      <c r="R832">
        <v>3.5644389999999998E-2</v>
      </c>
      <c r="S832">
        <v>3.0753170000000001</v>
      </c>
      <c r="T832">
        <v>-0.1040963</v>
      </c>
      <c r="U832">
        <v>-0.40121459999999998</v>
      </c>
      <c r="V832">
        <v>-2.5801299999999999E-2</v>
      </c>
      <c r="W832">
        <v>0.17849110000000001</v>
      </c>
      <c r="X832">
        <v>0.98360320000000001</v>
      </c>
      <c r="Y832">
        <v>0.13913519999999999</v>
      </c>
      <c r="Z832">
        <v>-3.5487549999999998E-3</v>
      </c>
      <c r="AA832">
        <v>0.99026700000000001</v>
      </c>
      <c r="AB832">
        <v>33</v>
      </c>
      <c r="AC832">
        <v>32.468899999999898</v>
      </c>
      <c r="AD832">
        <v>-1.1103598817460001</v>
      </c>
      <c r="AE832">
        <v>-4.2830000000000101</v>
      </c>
      <c r="AF832">
        <v>4.6013134404529303</v>
      </c>
      <c r="AG832">
        <v>-1.1103598817460001</v>
      </c>
      <c r="AH832">
        <v>32.387341937257197</v>
      </c>
      <c r="AI832">
        <v>91.944039447574497</v>
      </c>
      <c r="AJ832">
        <v>81.914024569447506</v>
      </c>
      <c r="AK832">
        <v>32.731405441946798</v>
      </c>
      <c r="AL832">
        <v>79.718117207882102</v>
      </c>
      <c r="AM832">
        <v>91.502604574973603</v>
      </c>
      <c r="AN832">
        <v>1.0000000174555601</v>
      </c>
    </row>
    <row r="833" spans="1:40" x14ac:dyDescent="0.25">
      <c r="A833" t="str">
        <f>"20190304155331262"</f>
        <v>20190304155331262</v>
      </c>
      <c r="B833" t="str">
        <f>"1551686011256918"</f>
        <v>1551686011256918</v>
      </c>
      <c r="C833" t="s">
        <v>40</v>
      </c>
      <c r="D833">
        <v>4.5781210000000003</v>
      </c>
      <c r="E833">
        <v>0.56144419999999995</v>
      </c>
      <c r="F833" t="s">
        <v>46</v>
      </c>
      <c r="G833">
        <v>-228.93639999999999</v>
      </c>
      <c r="H833" s="1">
        <v>-2.0240550000000001E-6</v>
      </c>
      <c r="I833">
        <v>363.31729999999999</v>
      </c>
      <c r="J833">
        <v>-261.51560000000001</v>
      </c>
      <c r="K833">
        <v>1.1103609999999999</v>
      </c>
      <c r="L833">
        <v>367.58199999999999</v>
      </c>
      <c r="M833">
        <v>0.9998454</v>
      </c>
      <c r="N833">
        <v>-1.448493E-2</v>
      </c>
      <c r="O833">
        <v>9.9633310000000006E-3</v>
      </c>
      <c r="P833">
        <v>0.98582800000000004</v>
      </c>
      <c r="Q833">
        <v>0.16376370000000001</v>
      </c>
      <c r="R833">
        <v>3.6391420000000001E-2</v>
      </c>
      <c r="S833">
        <v>3.0749819999999999</v>
      </c>
      <c r="T833">
        <v>-0.103766899999999</v>
      </c>
      <c r="U833">
        <v>-0.39825440000000001</v>
      </c>
      <c r="V833">
        <v>-2.6555840000000001E-2</v>
      </c>
      <c r="W833">
        <v>0.1780322</v>
      </c>
      <c r="X833">
        <v>0.98366620000000005</v>
      </c>
      <c r="Y833">
        <v>0.1382042</v>
      </c>
      <c r="Z833">
        <v>-3.5181879999999998E-3</v>
      </c>
      <c r="AA833">
        <v>0.99039750000000004</v>
      </c>
      <c r="AB833">
        <v>33</v>
      </c>
      <c r="AC833">
        <v>32.5792</v>
      </c>
      <c r="AD833">
        <v>-1.110363024055</v>
      </c>
      <c r="AE833">
        <v>-4.2647000000000004</v>
      </c>
      <c r="AF833">
        <v>4.58388485507749</v>
      </c>
      <c r="AG833">
        <v>-1.110363024055</v>
      </c>
      <c r="AH833">
        <v>32.497974457338202</v>
      </c>
      <c r="AI833">
        <v>91.9377059566866</v>
      </c>
      <c r="AJ833">
        <v>81.9713152895322</v>
      </c>
      <c r="AK833">
        <v>32.838441653641297</v>
      </c>
      <c r="AL833">
        <v>79.744837372940097</v>
      </c>
      <c r="AM833">
        <v>91.546427099951202</v>
      </c>
      <c r="AN833">
        <v>0.99999993494868999</v>
      </c>
    </row>
    <row r="834" spans="1:40" x14ac:dyDescent="0.25">
      <c r="A834" t="str">
        <f>"20190304155331286"</f>
        <v>20190304155331286</v>
      </c>
      <c r="B834" t="str">
        <f>"1551686011276438"</f>
        <v>1551686011276438</v>
      </c>
      <c r="C834" t="s">
        <v>40</v>
      </c>
      <c r="D834">
        <v>4.5761799999999999</v>
      </c>
      <c r="E834">
        <v>0.56119259999999904</v>
      </c>
      <c r="F834" t="s">
        <v>46</v>
      </c>
      <c r="G834">
        <v>-229.10849999999999</v>
      </c>
      <c r="H834" s="1">
        <v>-1.9413430000000001E-6</v>
      </c>
      <c r="I834">
        <v>363.40800000000002</v>
      </c>
      <c r="J834">
        <v>-261.1671</v>
      </c>
      <c r="K834">
        <v>1.11036</v>
      </c>
      <c r="L834">
        <v>367.58539999999999</v>
      </c>
      <c r="M834">
        <v>0.9998456</v>
      </c>
      <c r="N834">
        <v>-1.448615E-2</v>
      </c>
      <c r="O834">
        <v>9.9530739999999993E-3</v>
      </c>
      <c r="P834">
        <v>0.98584059999999996</v>
      </c>
      <c r="Q834">
        <v>0.16353280000000001</v>
      </c>
      <c r="R834">
        <v>3.7087920000000003E-2</v>
      </c>
      <c r="S834">
        <v>3.075256</v>
      </c>
      <c r="T834">
        <v>-0.10536710000000001</v>
      </c>
      <c r="U834">
        <v>-0.39608759999999998</v>
      </c>
      <c r="V834">
        <v>-2.7262430000000001E-2</v>
      </c>
      <c r="W834">
        <v>0.17780319999999999</v>
      </c>
      <c r="X834">
        <v>0.98368840000000002</v>
      </c>
      <c r="Y834">
        <v>0.137493899999999</v>
      </c>
      <c r="Z834">
        <v>-3.541556E-3</v>
      </c>
      <c r="AA834">
        <v>0.9904963</v>
      </c>
      <c r="AB834">
        <v>33</v>
      </c>
      <c r="AC834">
        <v>32.058599999999998</v>
      </c>
      <c r="AD834">
        <v>-1.1103619413429999</v>
      </c>
      <c r="AE834">
        <v>-4.1773999999999702</v>
      </c>
      <c r="AF834">
        <v>4.4910106063324902</v>
      </c>
      <c r="AG834">
        <v>-1.1103619413429999</v>
      </c>
      <c r="AH834">
        <v>31.977709068201001</v>
      </c>
      <c r="AI834">
        <v>91.969370689371203</v>
      </c>
      <c r="AJ834">
        <v>82.005558141591194</v>
      </c>
      <c r="AK834">
        <v>32.310616787017203</v>
      </c>
      <c r="AL834">
        <v>79.758171958058796</v>
      </c>
      <c r="AM834">
        <v>91.587517384748693</v>
      </c>
      <c r="AN834">
        <v>1.0000000431571501</v>
      </c>
    </row>
    <row r="835" spans="1:40" x14ac:dyDescent="0.25">
      <c r="A835" t="str">
        <f>"20190304155331308"</f>
        <v>20190304155331308</v>
      </c>
      <c r="B835" t="str">
        <f>"1551686011296934"</f>
        <v>1551686011296934</v>
      </c>
      <c r="C835" t="s">
        <v>40</v>
      </c>
      <c r="D835">
        <v>4.5602109999999998</v>
      </c>
      <c r="E835">
        <v>0.5610271</v>
      </c>
      <c r="F835" t="s">
        <v>46</v>
      </c>
      <c r="G835">
        <v>-228.76589999999999</v>
      </c>
      <c r="H835" s="1">
        <v>-2.0444860000000001E-6</v>
      </c>
      <c r="I835">
        <v>363.45859999999999</v>
      </c>
      <c r="J835">
        <v>-260.83949999999999</v>
      </c>
      <c r="K835">
        <v>1.110355</v>
      </c>
      <c r="L835">
        <v>367.58870000000002</v>
      </c>
      <c r="M835">
        <v>0.99984569999999995</v>
      </c>
      <c r="N835">
        <v>-1.4486840000000001E-2</v>
      </c>
      <c r="O835">
        <v>9.9437129999999999E-3</v>
      </c>
      <c r="P835">
        <v>0.98581739999999995</v>
      </c>
      <c r="Q835">
        <v>0.163514299999999</v>
      </c>
      <c r="R835">
        <v>3.7783810000000001E-2</v>
      </c>
      <c r="S835">
        <v>3.075348</v>
      </c>
      <c r="T835">
        <v>-0.10538939999999999</v>
      </c>
      <c r="U835">
        <v>-0.39169310000000002</v>
      </c>
      <c r="V835">
        <v>-2.796798E-2</v>
      </c>
      <c r="W835">
        <v>0.177785</v>
      </c>
      <c r="X835">
        <v>0.98367179999999999</v>
      </c>
      <c r="Y835">
        <v>0.1360894</v>
      </c>
      <c r="Z835">
        <v>-3.507858E-3</v>
      </c>
      <c r="AA835">
        <v>0.99069039999999997</v>
      </c>
      <c r="AB835">
        <v>33</v>
      </c>
      <c r="AC835">
        <v>32.073599999999999</v>
      </c>
      <c r="AD835">
        <v>-1.110357044486</v>
      </c>
      <c r="AE835">
        <v>-4.1301000000000201</v>
      </c>
      <c r="AF835">
        <v>4.4436211696111103</v>
      </c>
      <c r="AG835">
        <v>-1.110357044486</v>
      </c>
      <c r="AH835">
        <v>31.993223375794301</v>
      </c>
      <c r="AI835">
        <v>91.968825282364705</v>
      </c>
      <c r="AJ835">
        <v>82.092630108840396</v>
      </c>
      <c r="AK835">
        <v>32.319421465099303</v>
      </c>
      <c r="AL835">
        <v>79.759230785300403</v>
      </c>
      <c r="AM835">
        <v>91.628607858062907</v>
      </c>
      <c r="AN835">
        <v>0.99999996212275899</v>
      </c>
    </row>
    <row r="836" spans="1:40" x14ac:dyDescent="0.25">
      <c r="A836" t="str">
        <f>"20190304155331330"</f>
        <v>20190304155331330</v>
      </c>
      <c r="B836" t="str">
        <f>"1551686011326215"</f>
        <v>1551686011326215</v>
      </c>
      <c r="C836" t="s">
        <v>40</v>
      </c>
      <c r="D836">
        <v>4.3113570000000001</v>
      </c>
      <c r="E836">
        <v>0.5609286</v>
      </c>
      <c r="F836" t="s">
        <v>46</v>
      </c>
      <c r="G836">
        <v>-228.62440000000001</v>
      </c>
      <c r="H836" s="1">
        <v>-2.0748699999999998E-6</v>
      </c>
      <c r="I836">
        <v>363.52530000000002</v>
      </c>
      <c r="J836">
        <v>-260.52289999999999</v>
      </c>
      <c r="K836">
        <v>1.1103620000000001</v>
      </c>
      <c r="L836">
        <v>367.59190000000001</v>
      </c>
      <c r="M836">
        <v>0.99984589999999995</v>
      </c>
      <c r="N836">
        <v>-1.4486829999999999E-2</v>
      </c>
      <c r="O836">
        <v>9.9344759999999994E-3</v>
      </c>
      <c r="P836">
        <v>0.98584680000000002</v>
      </c>
      <c r="Q836">
        <v>0.16321910000000001</v>
      </c>
      <c r="R836">
        <v>3.8288410000000002E-2</v>
      </c>
      <c r="S836">
        <v>3.075653</v>
      </c>
      <c r="T836">
        <v>-0.1060083</v>
      </c>
      <c r="U836">
        <v>-0.38793949999999999</v>
      </c>
      <c r="V836">
        <v>-2.848125E-2</v>
      </c>
      <c r="W836">
        <v>0.17749029999999999</v>
      </c>
      <c r="X836">
        <v>0.98371030000000004</v>
      </c>
      <c r="Y836">
        <v>0.13487769999999999</v>
      </c>
      <c r="Z836">
        <v>-3.4935410000000002E-3</v>
      </c>
      <c r="AA836">
        <v>0.99085610000000002</v>
      </c>
      <c r="AB836">
        <v>33</v>
      </c>
      <c r="AC836">
        <v>31.898499999999899</v>
      </c>
      <c r="AD836">
        <v>-1.1103640748700001</v>
      </c>
      <c r="AE836">
        <v>-4.0665999999999896</v>
      </c>
      <c r="AF836">
        <v>4.37810730442511</v>
      </c>
      <c r="AG836">
        <v>-1.1103640748700001</v>
      </c>
      <c r="AH836">
        <v>31.818584200184699</v>
      </c>
      <c r="AI836">
        <v>91.979983266512093</v>
      </c>
      <c r="AJ836">
        <v>82.165529834810997</v>
      </c>
      <c r="AK836">
        <v>32.137564196000703</v>
      </c>
      <c r="AL836">
        <v>79.776388827306604</v>
      </c>
      <c r="AM836">
        <v>91.658414750014501</v>
      </c>
      <c r="AN836">
        <v>0.99999997126087004</v>
      </c>
    </row>
    <row r="837" spans="1:40" x14ac:dyDescent="0.25">
      <c r="A837" t="str">
        <f>"20190304155331345"</f>
        <v>20190304155331345</v>
      </c>
      <c r="B837" t="str">
        <f>"1551686011336951"</f>
        <v>1551686011336951</v>
      </c>
      <c r="C837" t="s">
        <v>40</v>
      </c>
      <c r="D837">
        <v>4.8023099999999896</v>
      </c>
      <c r="E837">
        <v>0.57930179999999998</v>
      </c>
      <c r="F837" t="s">
        <v>46</v>
      </c>
      <c r="G837">
        <v>-228.73050000000001</v>
      </c>
      <c r="H837" s="1">
        <v>-2.016894E-6</v>
      </c>
      <c r="I837">
        <v>363.60750000000002</v>
      </c>
      <c r="J837">
        <v>-260.29340000000002</v>
      </c>
      <c r="K837">
        <v>1.110363</v>
      </c>
      <c r="L837">
        <v>367.59410000000003</v>
      </c>
      <c r="M837">
        <v>0.99984580000000001</v>
      </c>
      <c r="N837">
        <v>-1.448647E-2</v>
      </c>
      <c r="O837">
        <v>9.9279220000000005E-3</v>
      </c>
      <c r="P837">
        <v>0.98582599999999998</v>
      </c>
      <c r="Q837">
        <v>0.1633722</v>
      </c>
      <c r="R837">
        <v>3.8171379999999998E-2</v>
      </c>
      <c r="S837">
        <v>3.075806</v>
      </c>
      <c r="T837">
        <v>-0.1074238</v>
      </c>
      <c r="U837">
        <v>-0.38546750000000002</v>
      </c>
      <c r="V837">
        <v>-2.8371170000000001E-2</v>
      </c>
      <c r="W837">
        <v>0.17764279999999999</v>
      </c>
      <c r="X837">
        <v>0.98368599999999995</v>
      </c>
      <c r="Y837">
        <v>0.13407910000000001</v>
      </c>
      <c r="Z837">
        <v>-3.5090849999999999E-3</v>
      </c>
      <c r="AA837">
        <v>0.99096439999999997</v>
      </c>
      <c r="AB837">
        <v>33</v>
      </c>
      <c r="AC837">
        <v>31.562899999999999</v>
      </c>
      <c r="AD837">
        <v>-1.110365016894</v>
      </c>
      <c r="AE837">
        <v>-3.9866000000000001</v>
      </c>
      <c r="AF837">
        <v>4.2945589186731299</v>
      </c>
      <c r="AG837">
        <v>-1.110365016894</v>
      </c>
      <c r="AH837">
        <v>31.4834095526288</v>
      </c>
      <c r="AI837">
        <v>92.001366646399006</v>
      </c>
      <c r="AJ837">
        <v>82.232392169736499</v>
      </c>
      <c r="AK837">
        <v>31.794358364893199</v>
      </c>
      <c r="AL837">
        <v>79.767510601909095</v>
      </c>
      <c r="AM837">
        <v>91.652049324550504</v>
      </c>
      <c r="AN837">
        <v>1.0000000171375001</v>
      </c>
    </row>
    <row r="838" spans="1:40" x14ac:dyDescent="0.25">
      <c r="A838" t="str">
        <f>"20190304155331363"</f>
        <v>20190304155331363</v>
      </c>
      <c r="B838" t="str">
        <f>"1551686011356488"</f>
        <v>1551686011356488</v>
      </c>
      <c r="C838" t="s">
        <v>40</v>
      </c>
      <c r="D838">
        <v>4.585833</v>
      </c>
      <c r="E838">
        <v>0.53901980000000005</v>
      </c>
      <c r="F838" t="s">
        <v>43</v>
      </c>
      <c r="G838">
        <v>0</v>
      </c>
      <c r="H838">
        <v>0</v>
      </c>
      <c r="I838">
        <v>0</v>
      </c>
      <c r="J838">
        <v>-260.02699999999999</v>
      </c>
      <c r="K838">
        <v>1.110357</v>
      </c>
      <c r="L838">
        <v>367.59679999999997</v>
      </c>
      <c r="M838">
        <v>0.99984589999999995</v>
      </c>
      <c r="N838">
        <v>-1.448574E-2</v>
      </c>
      <c r="O838">
        <v>9.9203590000000001E-3</v>
      </c>
      <c r="P838">
        <v>0.9858401</v>
      </c>
      <c r="Q838">
        <v>0.1632181</v>
      </c>
      <c r="R838">
        <v>3.84607E-2</v>
      </c>
      <c r="S838">
        <v>3.0468139999999999</v>
      </c>
      <c r="T838">
        <v>0.1007569</v>
      </c>
      <c r="U838">
        <v>-0.52713009999999905</v>
      </c>
      <c r="V838">
        <v>-2.8667479999999999E-2</v>
      </c>
      <c r="W838">
        <v>0.1774879</v>
      </c>
      <c r="X838">
        <v>0.9837053</v>
      </c>
      <c r="Y838">
        <v>0.1801816</v>
      </c>
      <c r="Z838">
        <v>2.1097849999999999E-3</v>
      </c>
      <c r="AA838">
        <v>0.98363109999999998</v>
      </c>
      <c r="AB838">
        <v>33</v>
      </c>
      <c r="AC838">
        <v>3.0468139999999999</v>
      </c>
      <c r="AD838">
        <v>0.1007569</v>
      </c>
      <c r="AE838">
        <v>-0.52713009999999905</v>
      </c>
      <c r="AF838">
        <v>0.55674165809350895</v>
      </c>
      <c r="AG838">
        <v>0.1007569</v>
      </c>
      <c r="AH838">
        <v>3.0382081571281598</v>
      </c>
      <c r="AI838">
        <v>88.131668133183396</v>
      </c>
      <c r="AJ838">
        <v>79.615943852954899</v>
      </c>
      <c r="AK838">
        <v>3.0904404269932799</v>
      </c>
      <c r="AL838">
        <v>79.776528316889298</v>
      </c>
      <c r="AM838">
        <v>91.669260970778694</v>
      </c>
      <c r="AN838">
        <v>0.99999994815202298</v>
      </c>
    </row>
    <row r="839" spans="1:40" x14ac:dyDescent="0.25">
      <c r="A839" t="str">
        <f>"20190304155331385"</f>
        <v>20190304155331385</v>
      </c>
      <c r="B839" t="str">
        <f>"1551686011376967"</f>
        <v>1551686011376967</v>
      </c>
      <c r="C839" t="s">
        <v>40</v>
      </c>
      <c r="D839">
        <v>4.4369649999999998</v>
      </c>
      <c r="E839">
        <v>0.53820369999999995</v>
      </c>
      <c r="F839" t="s">
        <v>48</v>
      </c>
      <c r="G839">
        <v>-259.02229999999997</v>
      </c>
      <c r="H839">
        <v>1.052033</v>
      </c>
      <c r="I839">
        <v>367.52760000000001</v>
      </c>
      <c r="J839">
        <v>-259.6943</v>
      </c>
      <c r="K839">
        <v>1.1103590000000001</v>
      </c>
      <c r="L839">
        <v>367.6001</v>
      </c>
      <c r="M839">
        <v>0.99984589999999995</v>
      </c>
      <c r="N839">
        <v>-1.4484449999999999E-2</v>
      </c>
      <c r="O839">
        <v>9.9106560000000003E-3</v>
      </c>
      <c r="P839">
        <v>0.98580780000000001</v>
      </c>
      <c r="Q839">
        <v>0.1634391</v>
      </c>
      <c r="R839">
        <v>3.8343339999999997E-2</v>
      </c>
      <c r="S839">
        <v>3.0809329999999999</v>
      </c>
      <c r="T839">
        <v>-0.1789502</v>
      </c>
      <c r="U839">
        <v>-0.21163940000000001</v>
      </c>
      <c r="V839">
        <v>-2.8559850000000001E-2</v>
      </c>
      <c r="W839">
        <v>0.177707</v>
      </c>
      <c r="X839">
        <v>0.98366889999999996</v>
      </c>
      <c r="Y839">
        <v>7.8243259999999995E-2</v>
      </c>
      <c r="Z839">
        <v>-3.2669090000000001E-3</v>
      </c>
      <c r="AA839">
        <v>0.99692890000000001</v>
      </c>
      <c r="AB839">
        <v>33</v>
      </c>
      <c r="AC839">
        <v>0.67200000000002502</v>
      </c>
      <c r="AD839">
        <v>-5.83260000000001E-2</v>
      </c>
      <c r="AE839">
        <v>-7.2499999999990905E-2</v>
      </c>
      <c r="AF839">
        <v>7.85720017749445E-2</v>
      </c>
      <c r="AG839">
        <v>-5.83260000000001E-2</v>
      </c>
      <c r="AH839">
        <v>0.66628679784425504</v>
      </c>
      <c r="AI839">
        <v>94.968601169256203</v>
      </c>
      <c r="AJ839">
        <v>83.274445124707995</v>
      </c>
      <c r="AK839">
        <v>0.67343416806728296</v>
      </c>
      <c r="AL839">
        <v>79.7637722928784</v>
      </c>
      <c r="AM839">
        <v>91.663058879382206</v>
      </c>
      <c r="AN839">
        <v>0.99999997385411499</v>
      </c>
    </row>
    <row r="840" spans="1:40" x14ac:dyDescent="0.25">
      <c r="A840" t="str">
        <f>"20190304155331411"</f>
        <v>20190304155331411</v>
      </c>
      <c r="B840" t="str">
        <f>"1551686011406247"</f>
        <v>1551686011406247</v>
      </c>
      <c r="C840" t="s">
        <v>40</v>
      </c>
      <c r="D840">
        <v>4.5237619999999996</v>
      </c>
      <c r="E840">
        <v>0.53662749999999904</v>
      </c>
      <c r="F840" t="s">
        <v>46</v>
      </c>
      <c r="G840">
        <v>-215.92</v>
      </c>
      <c r="H840" s="1">
        <v>-2.683046E-6</v>
      </c>
      <c r="I840">
        <v>364.69850000000002</v>
      </c>
      <c r="J840">
        <v>-259.32729999999998</v>
      </c>
      <c r="K840">
        <v>1.1103609999999999</v>
      </c>
      <c r="L840">
        <v>367.6037</v>
      </c>
      <c r="M840">
        <v>0.99984620000000002</v>
      </c>
      <c r="N840">
        <v>-1.448268E-2</v>
      </c>
      <c r="O840">
        <v>9.9004729999999999E-3</v>
      </c>
      <c r="P840">
        <v>0.98579629999999996</v>
      </c>
      <c r="Q840">
        <v>0.16351479999999999</v>
      </c>
      <c r="R840">
        <v>3.8326470000000001E-2</v>
      </c>
      <c r="S840">
        <v>3.0639949999999998</v>
      </c>
      <c r="T840">
        <v>-7.7719930000000007E-2</v>
      </c>
      <c r="U840">
        <v>-0.20309450000000001</v>
      </c>
      <c r="V840">
        <v>-2.855384E-2</v>
      </c>
      <c r="W840">
        <v>0.1777812</v>
      </c>
      <c r="X840">
        <v>0.98365570000000002</v>
      </c>
      <c r="Y840">
        <v>7.5976790000000002E-2</v>
      </c>
      <c r="Z840">
        <v>-1.6209480000000001E-3</v>
      </c>
      <c r="AA840">
        <v>0.99710829999999995</v>
      </c>
      <c r="AB840">
        <v>33</v>
      </c>
      <c r="AC840">
        <v>43.4072999999999</v>
      </c>
      <c r="AD840">
        <v>-1.110363683046</v>
      </c>
      <c r="AE840">
        <v>-2.9051999999999798</v>
      </c>
      <c r="AF840">
        <v>3.3326844300321801</v>
      </c>
      <c r="AG840">
        <v>-1.110363683046</v>
      </c>
      <c r="AH840">
        <v>43.348168209843301</v>
      </c>
      <c r="AI840">
        <v>91.462995513723897</v>
      </c>
      <c r="AJ840">
        <v>85.603646744171996</v>
      </c>
      <c r="AK840">
        <v>43.4902676488392</v>
      </c>
      <c r="AL840">
        <v>79.759452493148501</v>
      </c>
      <c r="AM840">
        <v>91.662731409508893</v>
      </c>
      <c r="AN840">
        <v>1.00000000649733</v>
      </c>
    </row>
    <row r="841" spans="1:40" x14ac:dyDescent="0.25">
      <c r="A841" t="str">
        <f>"20190304155331425"</f>
        <v>20190304155331425</v>
      </c>
      <c r="B841" t="str">
        <f>"1551686011416983"</f>
        <v>1551686011416983</v>
      </c>
      <c r="C841" t="s">
        <v>40</v>
      </c>
      <c r="D841">
        <v>4.3875640000000002</v>
      </c>
      <c r="E841">
        <v>0.53655580000000003</v>
      </c>
      <c r="F841" t="s">
        <v>41</v>
      </c>
      <c r="G841">
        <v>-158.19499999999999</v>
      </c>
      <c r="H841">
        <v>0.11234329999999999</v>
      </c>
      <c r="I841">
        <v>361.3374</v>
      </c>
      <c r="J841">
        <v>-259.12369999999999</v>
      </c>
      <c r="K841">
        <v>1.110366</v>
      </c>
      <c r="L841">
        <v>367.60570000000001</v>
      </c>
      <c r="M841">
        <v>0.99984620000000002</v>
      </c>
      <c r="N841">
        <v>-1.4481559999999999E-2</v>
      </c>
      <c r="O841">
        <v>9.8947589999999995E-3</v>
      </c>
      <c r="P841">
        <v>0.98581399999999997</v>
      </c>
      <c r="Q841">
        <v>0.16349530000000001</v>
      </c>
      <c r="R841">
        <v>3.7949820000000002E-2</v>
      </c>
      <c r="S841">
        <v>3.0556030000000001</v>
      </c>
      <c r="T841">
        <v>-3.015137E-2</v>
      </c>
      <c r="U841">
        <v>-0.1893311</v>
      </c>
      <c r="V841">
        <v>-2.8182459999999999E-2</v>
      </c>
      <c r="W841">
        <v>0.17776059999999999</v>
      </c>
      <c r="X841">
        <v>0.98367009999999999</v>
      </c>
      <c r="Y841">
        <v>7.1708439999999998E-2</v>
      </c>
      <c r="Z841">
        <v>-8.2762089999999905E-4</v>
      </c>
      <c r="AA841">
        <v>0.99742529999999996</v>
      </c>
      <c r="AB841">
        <v>33</v>
      </c>
      <c r="AC841">
        <v>100.92870000000001</v>
      </c>
      <c r="AD841">
        <v>-0.99802270000000004</v>
      </c>
      <c r="AE841">
        <v>-6.2683000000000098</v>
      </c>
      <c r="AF841">
        <v>7.2660552021658296</v>
      </c>
      <c r="AG841">
        <v>-0.99802270000000004</v>
      </c>
      <c r="AH841">
        <v>100.851904804923</v>
      </c>
      <c r="AI841">
        <v>90.565510410647406</v>
      </c>
      <c r="AJ841">
        <v>85.879143716024501</v>
      </c>
      <c r="AK841">
        <v>101.118239256287</v>
      </c>
      <c r="AL841">
        <v>79.760651551894895</v>
      </c>
      <c r="AM841">
        <v>91.641093307714598</v>
      </c>
      <c r="AN841">
        <v>0.99999997379900996</v>
      </c>
    </row>
    <row r="842" spans="1:40" x14ac:dyDescent="0.25">
      <c r="A842" t="str">
        <f>"20190304155331441"</f>
        <v>20190304155331441</v>
      </c>
      <c r="B842" t="str">
        <f>"1551686011436804"</f>
        <v>1551686011436804</v>
      </c>
      <c r="C842" t="s">
        <v>40</v>
      </c>
      <c r="D842">
        <v>4.421049</v>
      </c>
      <c r="E842">
        <v>0.53636280000000003</v>
      </c>
      <c r="F842" t="s">
        <v>41</v>
      </c>
      <c r="G842">
        <v>-158.19499999999999</v>
      </c>
      <c r="H842">
        <v>0.36006259999999901</v>
      </c>
      <c r="I842">
        <v>361.33499999999998</v>
      </c>
      <c r="J842">
        <v>-258.8734</v>
      </c>
      <c r="K842">
        <v>1.110371</v>
      </c>
      <c r="L842">
        <v>367.60820000000001</v>
      </c>
      <c r="M842">
        <v>0.99984629999999997</v>
      </c>
      <c r="N842">
        <v>-1.4480059999999999E-2</v>
      </c>
      <c r="O842">
        <v>9.8878560000000004E-3</v>
      </c>
      <c r="P842">
        <v>0.98577729999999997</v>
      </c>
      <c r="Q842">
        <v>0.16373560000000001</v>
      </c>
      <c r="R842">
        <v>3.7872639999999999E-2</v>
      </c>
      <c r="S842">
        <v>3.05423</v>
      </c>
      <c r="T842">
        <v>-2.2702460000000001E-2</v>
      </c>
      <c r="U842">
        <v>-0.18975829999999999</v>
      </c>
      <c r="V842">
        <v>-2.811228E-2</v>
      </c>
      <c r="W842">
        <v>0.17799889999999999</v>
      </c>
      <c r="X842">
        <v>0.98362899999999998</v>
      </c>
      <c r="Y842">
        <v>7.1870840000000005E-2</v>
      </c>
      <c r="Z842">
        <v>-7.1813970000000004E-4</v>
      </c>
      <c r="AA842">
        <v>0.99741369999999896</v>
      </c>
      <c r="AB842">
        <v>33</v>
      </c>
      <c r="AC842">
        <v>100.6784</v>
      </c>
      <c r="AD842">
        <v>-0.75030839999999999</v>
      </c>
      <c r="AE842">
        <v>-6.2732000000000303</v>
      </c>
      <c r="AF842">
        <v>7.2680890231930499</v>
      </c>
      <c r="AG842">
        <v>-0.75030839999999999</v>
      </c>
      <c r="AH842">
        <v>100.605876144448</v>
      </c>
      <c r="AI842">
        <v>90.426187514312204</v>
      </c>
      <c r="AJ842">
        <v>85.867948865097404</v>
      </c>
      <c r="AK842">
        <v>100.870859992052</v>
      </c>
      <c r="AL842">
        <v>79.7467765425408</v>
      </c>
      <c r="AM842">
        <v>91.637077244977903</v>
      </c>
      <c r="AN842">
        <v>0.99999995916450302</v>
      </c>
    </row>
    <row r="843" spans="1:40" x14ac:dyDescent="0.25">
      <c r="A843" t="str">
        <f>"20190304155331465"</f>
        <v>20190304155331465</v>
      </c>
      <c r="B843" t="str">
        <f>"1551686011456325"</f>
        <v>1551686011456325</v>
      </c>
      <c r="C843" t="s">
        <v>40</v>
      </c>
      <c r="D843">
        <v>4.4295819999999999</v>
      </c>
      <c r="E843">
        <v>0.53552369999999905</v>
      </c>
      <c r="F843" t="s">
        <v>41</v>
      </c>
      <c r="G843">
        <v>-158.19499999999999</v>
      </c>
      <c r="H843">
        <v>0.72763299999999997</v>
      </c>
      <c r="I843">
        <v>361.40480000000002</v>
      </c>
      <c r="J843">
        <v>-258.53699999999998</v>
      </c>
      <c r="K843">
        <v>1.110368</v>
      </c>
      <c r="L843">
        <v>367.61149999999998</v>
      </c>
      <c r="M843">
        <v>0.99984660000000003</v>
      </c>
      <c r="N843">
        <v>-1.4477810000000001E-2</v>
      </c>
      <c r="O843">
        <v>9.8783369999999992E-3</v>
      </c>
      <c r="P843">
        <v>0.98581240000000003</v>
      </c>
      <c r="Q843">
        <v>0.16357260000000001</v>
      </c>
      <c r="R843">
        <v>3.7658009999999999E-2</v>
      </c>
      <c r="S843">
        <v>3.0524439999999999</v>
      </c>
      <c r="T843">
        <v>-1.1601449999999999E-2</v>
      </c>
      <c r="U843">
        <v>-0.18807979999999999</v>
      </c>
      <c r="V843">
        <v>-2.7906279999999999E-2</v>
      </c>
      <c r="W843">
        <v>0.1778342</v>
      </c>
      <c r="X843">
        <v>0.98366469999999995</v>
      </c>
      <c r="Y843">
        <v>7.1354130000000002E-2</v>
      </c>
      <c r="Z843">
        <v>-5.4715069999999996E-4</v>
      </c>
      <c r="AA843">
        <v>0.99745090000000003</v>
      </c>
      <c r="AB843">
        <v>33</v>
      </c>
      <c r="AC843">
        <v>100.342</v>
      </c>
      <c r="AD843">
        <v>-0.38273499999999999</v>
      </c>
      <c r="AE843">
        <v>-6.2066999999999499</v>
      </c>
      <c r="AF843">
        <v>7.1976085670386798</v>
      </c>
      <c r="AG843">
        <v>-0.38273499999999999</v>
      </c>
      <c r="AH843">
        <v>100.274331481263</v>
      </c>
      <c r="AI843">
        <v>90.218128801651503</v>
      </c>
      <c r="AJ843">
        <v>85.894397709216094</v>
      </c>
      <c r="AK843">
        <v>100.533047348515</v>
      </c>
      <c r="AL843">
        <v>79.756366604176804</v>
      </c>
      <c r="AM843">
        <v>91.625028647098503</v>
      </c>
      <c r="AN843">
        <v>1.0000000025895801</v>
      </c>
    </row>
    <row r="844" spans="1:40" x14ac:dyDescent="0.25">
      <c r="A844" t="str">
        <f>"20190304155331488"</f>
        <v>20190304155331488</v>
      </c>
      <c r="B844" t="str">
        <f>"1551686011476821"</f>
        <v>1551686011476821</v>
      </c>
      <c r="C844" t="s">
        <v>40</v>
      </c>
      <c r="D844">
        <v>4.6549050000000003</v>
      </c>
      <c r="E844">
        <v>0.53464529999999999</v>
      </c>
      <c r="F844" t="s">
        <v>41</v>
      </c>
      <c r="G844">
        <v>-158.19499999999999</v>
      </c>
      <c r="H844">
        <v>1.0183150000000001</v>
      </c>
      <c r="I844">
        <v>361.62479999999999</v>
      </c>
      <c r="J844">
        <v>-258.19920000000002</v>
      </c>
      <c r="K844">
        <v>1.110368</v>
      </c>
      <c r="L844">
        <v>367.6148</v>
      </c>
      <c r="M844">
        <v>0.99984669999999998</v>
      </c>
      <c r="N844">
        <v>-1.4475500000000001E-2</v>
      </c>
      <c r="O844">
        <v>9.8686399999999997E-3</v>
      </c>
      <c r="P844">
        <v>0.98574530000000005</v>
      </c>
      <c r="Q844">
        <v>0.16391929999999999</v>
      </c>
      <c r="R844">
        <v>3.7910399999999997E-2</v>
      </c>
      <c r="S844">
        <v>3.0505979999999999</v>
      </c>
      <c r="T844">
        <v>-2.7959349999999998E-3</v>
      </c>
      <c r="U844">
        <v>-0.1820068</v>
      </c>
      <c r="V844">
        <v>-2.8169039999999999E-2</v>
      </c>
      <c r="W844">
        <v>0.17817769999999999</v>
      </c>
      <c r="X844">
        <v>0.98359510000000006</v>
      </c>
      <c r="Y844">
        <v>6.940462E-2</v>
      </c>
      <c r="Z844">
        <v>-4.0089640000000001E-4</v>
      </c>
      <c r="AA844">
        <v>0.99758849999999999</v>
      </c>
      <c r="AB844">
        <v>33</v>
      </c>
      <c r="AC844">
        <v>100.0042</v>
      </c>
      <c r="AD844">
        <v>-9.2053000000000093E-2</v>
      </c>
      <c r="AE844">
        <v>-5.99</v>
      </c>
      <c r="AF844">
        <v>6.9767110464911903</v>
      </c>
      <c r="AG844">
        <v>-9.2053000000000093E-2</v>
      </c>
      <c r="AH844">
        <v>99.940125440813901</v>
      </c>
      <c r="AI844">
        <v>90.052645943908601</v>
      </c>
      <c r="AJ844">
        <v>86.006722568198697</v>
      </c>
      <c r="AK844">
        <v>100.18339005996199</v>
      </c>
      <c r="AL844">
        <v>79.736366618883395</v>
      </c>
      <c r="AM844">
        <v>91.640437281422706</v>
      </c>
      <c r="AN844">
        <v>1.0000000541678999</v>
      </c>
    </row>
    <row r="845" spans="1:40" x14ac:dyDescent="0.25">
      <c r="A845" t="str">
        <f>"20190304155331510"</f>
        <v>20190304155331510</v>
      </c>
      <c r="B845" t="str">
        <f>"1551686011506101"</f>
        <v>1551686011506101</v>
      </c>
      <c r="C845" t="s">
        <v>40</v>
      </c>
      <c r="D845">
        <v>4.4414040000000004</v>
      </c>
      <c r="E845">
        <v>0.53534689999999996</v>
      </c>
      <c r="F845" t="s">
        <v>41</v>
      </c>
      <c r="G845">
        <v>-158.19499999999999</v>
      </c>
      <c r="H845">
        <v>0.84979769999999899</v>
      </c>
      <c r="I845">
        <v>361.9049</v>
      </c>
      <c r="J845">
        <v>-257.8818</v>
      </c>
      <c r="K845">
        <v>1.110374</v>
      </c>
      <c r="L845">
        <v>367.61799999999999</v>
      </c>
      <c r="M845">
        <v>0.99984660000000003</v>
      </c>
      <c r="N845">
        <v>-1.4473140000000001E-2</v>
      </c>
      <c r="O845">
        <v>9.8590569999999992E-3</v>
      </c>
      <c r="P845">
        <v>0.98572870000000001</v>
      </c>
      <c r="Q845">
        <v>0.16391520000000001</v>
      </c>
      <c r="R845">
        <v>3.8351980000000001E-2</v>
      </c>
      <c r="S845">
        <v>3.0514070000000002</v>
      </c>
      <c r="T845">
        <v>-7.9480409999999994E-3</v>
      </c>
      <c r="U845">
        <v>-0.17422489999999999</v>
      </c>
      <c r="V845">
        <v>-2.862027E-2</v>
      </c>
      <c r="W845">
        <v>0.1781711</v>
      </c>
      <c r="X845">
        <v>0.98358319999999999</v>
      </c>
      <c r="Y845">
        <v>6.6842840000000001E-2</v>
      </c>
      <c r="Z845">
        <v>-4.542042E-4</v>
      </c>
      <c r="AA845">
        <v>0.99776339999999997</v>
      </c>
      <c r="AB845">
        <v>33</v>
      </c>
      <c r="AC845">
        <v>99.686800000000005</v>
      </c>
      <c r="AD845">
        <v>-0.26057629999999998</v>
      </c>
      <c r="AE845">
        <v>-5.7131000000000496</v>
      </c>
      <c r="AF845">
        <v>6.6956975221599304</v>
      </c>
      <c r="AG845">
        <v>-0.26057629999999998</v>
      </c>
      <c r="AH845">
        <v>99.624943874075797</v>
      </c>
      <c r="AI845">
        <v>90.149523623248101</v>
      </c>
      <c r="AJ845">
        <v>86.154987690788204</v>
      </c>
      <c r="AK845">
        <v>99.8500360902746</v>
      </c>
      <c r="AL845">
        <v>79.736750213309094</v>
      </c>
      <c r="AM845">
        <v>91.666720321202703</v>
      </c>
      <c r="AN845">
        <v>0.99999998602616103</v>
      </c>
    </row>
    <row r="846" spans="1:40" x14ac:dyDescent="0.25">
      <c r="A846" t="str">
        <f>"20190304155331532"</f>
        <v>20190304155331532</v>
      </c>
      <c r="B846" t="str">
        <f>"1551686011526596"</f>
        <v>1551686011526596</v>
      </c>
      <c r="C846" t="s">
        <v>40</v>
      </c>
      <c r="D846">
        <v>4.4779470000000003</v>
      </c>
      <c r="E846">
        <v>0.53538299999999905</v>
      </c>
      <c r="F846" t="s">
        <v>41</v>
      </c>
      <c r="G846">
        <v>-158.19499999999999</v>
      </c>
      <c r="H846">
        <v>0.99515299999999995</v>
      </c>
      <c r="I846">
        <v>361.78680000000003</v>
      </c>
      <c r="J846">
        <v>-257.5641</v>
      </c>
      <c r="K846">
        <v>1.1103749999999999</v>
      </c>
      <c r="L846">
        <v>367.62110000000001</v>
      </c>
      <c r="M846">
        <v>0.99984689999999998</v>
      </c>
      <c r="N846">
        <v>-1.447061E-2</v>
      </c>
      <c r="O846">
        <v>9.8468289999999997E-3</v>
      </c>
      <c r="P846">
        <v>0.98576909999999895</v>
      </c>
      <c r="Q846">
        <v>0.16353799999999999</v>
      </c>
      <c r="R846">
        <v>3.8919519999999999E-2</v>
      </c>
      <c r="S846">
        <v>3.050964</v>
      </c>
      <c r="T846">
        <v>-3.5237070000000001E-3</v>
      </c>
      <c r="U846">
        <v>-0.17846679999999901</v>
      </c>
      <c r="V846">
        <v>-2.9199180000000002E-2</v>
      </c>
      <c r="W846">
        <v>0.17779200000000001</v>
      </c>
      <c r="X846">
        <v>0.98363480000000003</v>
      </c>
      <c r="Y846">
        <v>6.8222140000000001E-2</v>
      </c>
      <c r="Z846">
        <v>-4.024163E-4</v>
      </c>
      <c r="AA846">
        <v>0.9976701</v>
      </c>
      <c r="AB846">
        <v>33</v>
      </c>
      <c r="AC846">
        <v>99.369100000000003</v>
      </c>
      <c r="AD846">
        <v>-0.11522199999999901</v>
      </c>
      <c r="AE846">
        <v>-5.8342999999999803</v>
      </c>
      <c r="AF846">
        <v>6.8125808665130503</v>
      </c>
      <c r="AG846">
        <v>-0.11522199999999901</v>
      </c>
      <c r="AH846">
        <v>99.306693032604898</v>
      </c>
      <c r="AI846">
        <v>90.066322333223098</v>
      </c>
      <c r="AJ846">
        <v>86.0755763656705</v>
      </c>
      <c r="AK846">
        <v>99.540161820463595</v>
      </c>
      <c r="AL846">
        <v>79.758823650908397</v>
      </c>
      <c r="AM846">
        <v>91.700324782232698</v>
      </c>
      <c r="AN846">
        <v>1.0000000035738501</v>
      </c>
    </row>
    <row r="847" spans="1:40" x14ac:dyDescent="0.25">
      <c r="A847" t="str">
        <f>"20190304155331553"</f>
        <v>20190304155331553</v>
      </c>
      <c r="B847" t="str">
        <f>"1551686011547105"</f>
        <v>1551686011547105</v>
      </c>
      <c r="C847" t="s">
        <v>40</v>
      </c>
      <c r="D847">
        <v>4.4592169999999998</v>
      </c>
      <c r="E847">
        <v>0.5356107</v>
      </c>
      <c r="F847" t="s">
        <v>41</v>
      </c>
      <c r="G847">
        <v>-158.19499999999999</v>
      </c>
      <c r="H847">
        <v>1.0769759999999999</v>
      </c>
      <c r="I847">
        <v>361.85230000000001</v>
      </c>
      <c r="J847">
        <v>-257.24459999999999</v>
      </c>
      <c r="K847">
        <v>1.1103700000000001</v>
      </c>
      <c r="L847">
        <v>367.62419999999997</v>
      </c>
      <c r="M847">
        <v>0.99984700000000004</v>
      </c>
      <c r="N847">
        <v>-1.446794E-2</v>
      </c>
      <c r="O847">
        <v>9.8291460000000004E-3</v>
      </c>
      <c r="P847">
        <v>0.98572249999999995</v>
      </c>
      <c r="Q847">
        <v>0.16359089999999901</v>
      </c>
      <c r="R847">
        <v>3.9864860000000002E-2</v>
      </c>
      <c r="S847">
        <v>3.0504760000000002</v>
      </c>
      <c r="T847">
        <v>-1.022577E-3</v>
      </c>
      <c r="U847">
        <v>-0.17709349999999999</v>
      </c>
      <c r="V847">
        <v>-3.01604E-2</v>
      </c>
      <c r="W847">
        <v>0.17784269999999999</v>
      </c>
      <c r="X847">
        <v>0.98359660000000004</v>
      </c>
      <c r="Y847">
        <v>6.7766510000000002E-2</v>
      </c>
      <c r="Z847">
        <v>-3.6321349999999999E-4</v>
      </c>
      <c r="AA847">
        <v>0.99770119999999896</v>
      </c>
      <c r="AB847">
        <v>33</v>
      </c>
      <c r="AC847">
        <v>99.049599999999998</v>
      </c>
      <c r="AD847">
        <v>-3.3394000000000097E-2</v>
      </c>
      <c r="AE847">
        <v>-5.7718999999999596</v>
      </c>
      <c r="AF847">
        <v>6.7452952644840796</v>
      </c>
      <c r="AG847">
        <v>-3.3394000000000097E-2</v>
      </c>
      <c r="AH847">
        <v>98.988064185773595</v>
      </c>
      <c r="AI847">
        <v>90.019284228083393</v>
      </c>
      <c r="AJ847">
        <v>86.101747971207303</v>
      </c>
      <c r="AK847">
        <v>99.217624314489299</v>
      </c>
      <c r="AL847">
        <v>79.755871400984702</v>
      </c>
      <c r="AM847">
        <v>91.756332152625703</v>
      </c>
      <c r="AN847">
        <v>0.99999997360150406</v>
      </c>
    </row>
    <row r="848" spans="1:40" x14ac:dyDescent="0.25">
      <c r="A848" t="str">
        <f>"20190304155331569"</f>
        <v>20190304155331569</v>
      </c>
      <c r="B848" t="str">
        <f>"1551686011566612"</f>
        <v>1551686011566612</v>
      </c>
      <c r="C848" t="s">
        <v>40</v>
      </c>
      <c r="D848">
        <v>4.4667620000000001</v>
      </c>
      <c r="E848">
        <v>0.5357653</v>
      </c>
      <c r="F848" t="s">
        <v>41</v>
      </c>
      <c r="G848">
        <v>-158.19499999999999</v>
      </c>
      <c r="H848">
        <v>1.098268</v>
      </c>
      <c r="I848">
        <v>361.90789999999998</v>
      </c>
      <c r="J848">
        <v>-257.01260000000002</v>
      </c>
      <c r="K848">
        <v>1.110366</v>
      </c>
      <c r="L848">
        <v>367.62639999999999</v>
      </c>
      <c r="M848">
        <v>0.99984740000000005</v>
      </c>
      <c r="N848">
        <v>-1.446596E-2</v>
      </c>
      <c r="O848">
        <v>9.8116920000000003E-3</v>
      </c>
      <c r="P848">
        <v>0.98574289999999998</v>
      </c>
      <c r="Q848">
        <v>0.1633812</v>
      </c>
      <c r="R848">
        <v>4.0222540000000001E-2</v>
      </c>
      <c r="S848">
        <v>3.0506289999999998</v>
      </c>
      <c r="T848">
        <v>-3.700256E-4</v>
      </c>
      <c r="U848">
        <v>-0.17605589999999999</v>
      </c>
      <c r="V848">
        <v>-3.053351E-2</v>
      </c>
      <c r="W848">
        <v>0.17763109999999999</v>
      </c>
      <c r="X848">
        <v>0.98362340000000004</v>
      </c>
      <c r="Y848">
        <v>6.7408060000000006E-2</v>
      </c>
      <c r="Z848">
        <v>-3.5144940000000002E-4</v>
      </c>
      <c r="AA848">
        <v>0.99772539999999998</v>
      </c>
      <c r="AB848">
        <v>33</v>
      </c>
      <c r="AC848">
        <v>98.817599999999999</v>
      </c>
      <c r="AD848">
        <v>-1.2097999999999901E-2</v>
      </c>
      <c r="AE848">
        <v>-5.7184999999999997</v>
      </c>
      <c r="AF848">
        <v>6.6878937241601202</v>
      </c>
      <c r="AG848">
        <v>-1.2097999999999901E-2</v>
      </c>
      <c r="AH848">
        <v>98.756726843396095</v>
      </c>
      <c r="AI848">
        <v>90.007002867939406</v>
      </c>
      <c r="AJ848">
        <v>86.125793948626907</v>
      </c>
      <c r="AK848">
        <v>98.982923606288793</v>
      </c>
      <c r="AL848">
        <v>79.768192115078605</v>
      </c>
      <c r="AM848">
        <v>91.777997211309199</v>
      </c>
      <c r="AN848">
        <v>1.00000004797384</v>
      </c>
    </row>
    <row r="849" spans="1:40" x14ac:dyDescent="0.25">
      <c r="A849" t="str">
        <f>"20190304155331588"</f>
        <v>20190304155331588</v>
      </c>
      <c r="B849" t="str">
        <f>"1551686011576373"</f>
        <v>1551686011576373</v>
      </c>
      <c r="C849" t="s">
        <v>40</v>
      </c>
      <c r="D849">
        <v>4.4467809999999997</v>
      </c>
      <c r="E849">
        <v>0.53581919999999905</v>
      </c>
      <c r="F849" t="s">
        <v>41</v>
      </c>
      <c r="G849">
        <v>-158.19499999999999</v>
      </c>
      <c r="H849">
        <v>1.1417980000000001</v>
      </c>
      <c r="I849">
        <v>361.92610000000002</v>
      </c>
      <c r="J849">
        <v>-256.74720000000002</v>
      </c>
      <c r="K849">
        <v>1.11036</v>
      </c>
      <c r="L849">
        <v>367.62900000000002</v>
      </c>
      <c r="M849">
        <v>0.99984770000000001</v>
      </c>
      <c r="N849">
        <v>-1.446366E-2</v>
      </c>
      <c r="O849">
        <v>9.7861019999999996E-3</v>
      </c>
      <c r="P849">
        <v>0.98571399999999998</v>
      </c>
      <c r="Q849">
        <v>0.1633947</v>
      </c>
      <c r="R849">
        <v>4.0871280000000003E-2</v>
      </c>
      <c r="S849">
        <v>3.0504150000000001</v>
      </c>
      <c r="T849">
        <v>9.7298619999999997E-4</v>
      </c>
      <c r="U849">
        <v>-0.17596439999999999</v>
      </c>
      <c r="V849">
        <v>-3.120556E-2</v>
      </c>
      <c r="W849">
        <v>0.17764279999999999</v>
      </c>
      <c r="X849">
        <v>0.98360009999999998</v>
      </c>
      <c r="Y849">
        <v>6.7356849999999996E-2</v>
      </c>
      <c r="Z849">
        <v>-3.3226579999999999E-4</v>
      </c>
      <c r="AA849">
        <v>0.99772890000000003</v>
      </c>
      <c r="AB849">
        <v>33</v>
      </c>
      <c r="AC849">
        <v>98.552199999999999</v>
      </c>
      <c r="AD849">
        <v>3.1437999999999799E-2</v>
      </c>
      <c r="AE849">
        <v>-5.7028999999999996</v>
      </c>
      <c r="AF849">
        <v>6.66716877254221</v>
      </c>
      <c r="AG849">
        <v>3.1437999999999799E-2</v>
      </c>
      <c r="AH849">
        <v>98.4916548602624</v>
      </c>
      <c r="AI849">
        <v>89.981753258030096</v>
      </c>
      <c r="AJ849">
        <v>86.127400333494805</v>
      </c>
      <c r="AK849">
        <v>98.717061366829896</v>
      </c>
      <c r="AL849">
        <v>79.767509949346604</v>
      </c>
      <c r="AM849">
        <v>91.817148425611904</v>
      </c>
      <c r="AN849">
        <v>0.99999995404338005</v>
      </c>
    </row>
    <row r="850" spans="1:40" x14ac:dyDescent="0.25">
      <c r="A850" t="str">
        <f>"20190304155331609"</f>
        <v>20190304155331609</v>
      </c>
      <c r="B850" t="str">
        <f>"1551686011606629"</f>
        <v>1551686011606629</v>
      </c>
      <c r="C850" t="s">
        <v>40</v>
      </c>
      <c r="D850">
        <v>4.4905780000000002</v>
      </c>
      <c r="E850">
        <v>0.53584659999999995</v>
      </c>
      <c r="F850" t="s">
        <v>41</v>
      </c>
      <c r="G850">
        <v>-158.19499999999999</v>
      </c>
      <c r="H850">
        <v>1.17746</v>
      </c>
      <c r="I850">
        <v>361.99430000000001</v>
      </c>
      <c r="J850">
        <v>-256.42930000000001</v>
      </c>
      <c r="K850">
        <v>1.1103559999999999</v>
      </c>
      <c r="L850">
        <v>367.63209999999998</v>
      </c>
      <c r="M850">
        <v>0.99984790000000001</v>
      </c>
      <c r="N850">
        <v>-1.4460829999999999E-2</v>
      </c>
      <c r="O850">
        <v>9.7450320000000007E-3</v>
      </c>
      <c r="P850">
        <v>0.98582559999999997</v>
      </c>
      <c r="Q850">
        <v>0.1626301</v>
      </c>
      <c r="R850">
        <v>4.1224709999999998E-2</v>
      </c>
      <c r="S850">
        <v>3.0503999999999998</v>
      </c>
      <c r="T850">
        <v>2.0796059999999999E-3</v>
      </c>
      <c r="U850">
        <v>-0.17440799999999901</v>
      </c>
      <c r="V850">
        <v>-3.1595039999999998E-2</v>
      </c>
      <c r="W850">
        <v>0.176877799999999</v>
      </c>
      <c r="X850">
        <v>0.98372550000000003</v>
      </c>
      <c r="Y850">
        <v>6.6808859999999998E-2</v>
      </c>
      <c r="Z850">
        <v>-3.1327550000000002E-4</v>
      </c>
      <c r="AA850">
        <v>0.99776569999999998</v>
      </c>
      <c r="AB850">
        <v>33</v>
      </c>
      <c r="AC850">
        <v>98.234300000000005</v>
      </c>
      <c r="AD850">
        <v>6.7103999999999997E-2</v>
      </c>
      <c r="AE850">
        <v>-5.6377999999999702</v>
      </c>
      <c r="AF850">
        <v>6.5949257229700304</v>
      </c>
      <c r="AG850">
        <v>6.7103999999999997E-2</v>
      </c>
      <c r="AH850">
        <v>98.174642521127396</v>
      </c>
      <c r="AI850">
        <v>89.960925451930905</v>
      </c>
      <c r="AJ850">
        <v>86.156904036762299</v>
      </c>
      <c r="AK850">
        <v>98.3959246228697</v>
      </c>
      <c r="AL850">
        <v>79.812046267606306</v>
      </c>
      <c r="AM850">
        <v>91.839578594071199</v>
      </c>
      <c r="AN850">
        <v>0.99999993101784301</v>
      </c>
    </row>
    <row r="851" spans="1:40" x14ac:dyDescent="0.25">
      <c r="A851" t="str">
        <f>"20190304155331632"</f>
        <v>20190304155331632</v>
      </c>
      <c r="B851" t="str">
        <f>"1551686011627125"</f>
        <v>1551686011627125</v>
      </c>
      <c r="C851" t="s">
        <v>40</v>
      </c>
      <c r="D851">
        <v>4.5370780000000002</v>
      </c>
      <c r="E851">
        <v>0.4854562</v>
      </c>
      <c r="F851" t="s">
        <v>41</v>
      </c>
      <c r="G851">
        <v>-158.19499999999999</v>
      </c>
      <c r="H851">
        <v>1.168741</v>
      </c>
      <c r="I851">
        <v>362.03370000000001</v>
      </c>
      <c r="J851">
        <v>-256.10750000000002</v>
      </c>
      <c r="K851">
        <v>1.110344</v>
      </c>
      <c r="L851">
        <v>367.6352</v>
      </c>
      <c r="M851">
        <v>0.99984859999999998</v>
      </c>
      <c r="N851">
        <v>-1.4457940000000001E-2</v>
      </c>
      <c r="O851">
        <v>9.6920779999999998E-3</v>
      </c>
      <c r="P851">
        <v>0.98588759999999998</v>
      </c>
      <c r="Q851">
        <v>0.1621097</v>
      </c>
      <c r="R851">
        <v>4.1791250000000002E-2</v>
      </c>
      <c r="S851">
        <v>3.0501100000000001</v>
      </c>
      <c r="T851">
        <v>1.815557E-3</v>
      </c>
      <c r="U851">
        <v>-0.17382810000000001</v>
      </c>
      <c r="V851">
        <v>-3.2208840000000002E-2</v>
      </c>
      <c r="W851">
        <v>0.1763564</v>
      </c>
      <c r="X851">
        <v>0.98379930000000004</v>
      </c>
      <c r="Y851">
        <v>6.6572339999999994E-2</v>
      </c>
      <c r="Z851">
        <v>-3.1608899999999998E-4</v>
      </c>
      <c r="AA851">
        <v>0.99778160000000005</v>
      </c>
      <c r="AB851">
        <v>32</v>
      </c>
      <c r="AC851">
        <v>97.912499999999994</v>
      </c>
      <c r="AD851">
        <v>5.8396999999999998E-2</v>
      </c>
      <c r="AE851">
        <v>-5.6014999999999802</v>
      </c>
      <c r="AF851">
        <v>6.5503092191642196</v>
      </c>
      <c r="AG851">
        <v>5.8396999999999998E-2</v>
      </c>
      <c r="AH851">
        <v>97.853569619190395</v>
      </c>
      <c r="AI851">
        <v>89.965883411892705</v>
      </c>
      <c r="AJ851">
        <v>86.1703389878287</v>
      </c>
      <c r="AK851">
        <v>98.072580512057499</v>
      </c>
      <c r="AL851">
        <v>79.842398395147299</v>
      </c>
      <c r="AM851">
        <v>91.875150421804094</v>
      </c>
      <c r="AN851">
        <v>1.0000000259377899</v>
      </c>
    </row>
    <row r="852" spans="1:40" x14ac:dyDescent="0.25">
      <c r="A852" t="str">
        <f>"20190304155331654"</f>
        <v>20190304155331654</v>
      </c>
      <c r="B852" t="str">
        <f>"1551686011646648"</f>
        <v>1551686011646648</v>
      </c>
      <c r="C852" t="s">
        <v>40</v>
      </c>
      <c r="D852">
        <v>4.4910990000000002</v>
      </c>
      <c r="E852">
        <v>0.4675433</v>
      </c>
      <c r="F852" t="s">
        <v>45</v>
      </c>
      <c r="G852">
        <v>-202.95599999999999</v>
      </c>
      <c r="H852" s="1">
        <v>-3.6993459999999999E-6</v>
      </c>
      <c r="I852">
        <v>371.6198</v>
      </c>
      <c r="J852">
        <v>-255.78489999999999</v>
      </c>
      <c r="K852">
        <v>1.1103339999999999</v>
      </c>
      <c r="L852">
        <v>367.63819999999998</v>
      </c>
      <c r="M852">
        <v>0.99984919999999999</v>
      </c>
      <c r="N852">
        <v>-1.445492E-2</v>
      </c>
      <c r="O852">
        <v>9.6275059999999992E-3</v>
      </c>
      <c r="P852">
        <v>0.98597069999999998</v>
      </c>
      <c r="Q852">
        <v>0.16150780000000001</v>
      </c>
      <c r="R852">
        <v>4.2153639999999999E-2</v>
      </c>
      <c r="S852">
        <v>3.0437319999999999</v>
      </c>
      <c r="T852">
        <v>-6.3584210000000002E-2</v>
      </c>
      <c r="U852">
        <v>0.22817989999999999</v>
      </c>
      <c r="V852">
        <v>-3.2630859999999998E-2</v>
      </c>
      <c r="W852">
        <v>0.1757532</v>
      </c>
      <c r="X852">
        <v>0.98389329999999997</v>
      </c>
      <c r="Y852">
        <v>-6.5128580000000005E-2</v>
      </c>
      <c r="Z852">
        <v>1.0889230000000001E-3</v>
      </c>
      <c r="AA852">
        <v>0.99787630000000005</v>
      </c>
      <c r="AB852">
        <v>32</v>
      </c>
      <c r="AC852">
        <v>52.828899999999997</v>
      </c>
      <c r="AD852">
        <v>-1.1103376993459999</v>
      </c>
      <c r="AE852">
        <v>3.98160000000001</v>
      </c>
      <c r="AF852">
        <v>-3.4712270306625599</v>
      </c>
      <c r="AG852">
        <v>-1.1103376993459999</v>
      </c>
      <c r="AH852">
        <v>52.841577575596702</v>
      </c>
      <c r="AI852">
        <v>91.201166648762495</v>
      </c>
      <c r="AJ852">
        <v>93.758428848296006</v>
      </c>
      <c r="AK852">
        <v>52.9671085446695</v>
      </c>
      <c r="AL852">
        <v>79.877507265619499</v>
      </c>
      <c r="AM852">
        <v>91.899520545565693</v>
      </c>
      <c r="AN852">
        <v>0.99999999305973397</v>
      </c>
    </row>
    <row r="853" spans="1:40" x14ac:dyDescent="0.25">
      <c r="A853" t="str">
        <f>"20190304155331670"</f>
        <v>20190304155331670</v>
      </c>
      <c r="B853" t="str">
        <f>"1551686011667143"</f>
        <v>1551686011667143</v>
      </c>
      <c r="C853" t="s">
        <v>40</v>
      </c>
      <c r="D853">
        <v>4.483962</v>
      </c>
      <c r="E853">
        <v>0.4617851</v>
      </c>
      <c r="F853" t="s">
        <v>46</v>
      </c>
      <c r="G853">
        <v>-221.31960000000001</v>
      </c>
      <c r="H853" s="1">
        <v>-4.222876E-6</v>
      </c>
      <c r="I853">
        <v>371.84840000000003</v>
      </c>
      <c r="J853">
        <v>-255.56229999999999</v>
      </c>
      <c r="K853">
        <v>1.1103270000000001</v>
      </c>
      <c r="L853">
        <v>367.6404</v>
      </c>
      <c r="M853">
        <v>0.99984980000000001</v>
      </c>
      <c r="N853">
        <v>-1.445274E-2</v>
      </c>
      <c r="O853">
        <v>9.5759169999999998E-3</v>
      </c>
      <c r="P853">
        <v>0.98596550000000005</v>
      </c>
      <c r="Q853">
        <v>0.16159019999999999</v>
      </c>
      <c r="R853">
        <v>4.1964090000000003E-2</v>
      </c>
      <c r="S853">
        <v>3.0428310000000001</v>
      </c>
      <c r="T853">
        <v>-9.802806E-2</v>
      </c>
      <c r="U853">
        <v>0.37170409999999998</v>
      </c>
      <c r="V853">
        <v>-3.2489160000000003E-2</v>
      </c>
      <c r="W853">
        <v>0.17583399999999999</v>
      </c>
      <c r="X853">
        <v>0.98388359999999997</v>
      </c>
      <c r="Y853">
        <v>-0.1116626</v>
      </c>
      <c r="Z853">
        <v>2.4324569999999998E-3</v>
      </c>
      <c r="AA853">
        <v>0.99374320000000005</v>
      </c>
      <c r="AB853">
        <v>32</v>
      </c>
      <c r="AC853">
        <v>34.2426999999999</v>
      </c>
      <c r="AD853">
        <v>-1.1103312228760001</v>
      </c>
      <c r="AE853">
        <v>4.2080000000000197</v>
      </c>
      <c r="AF853">
        <v>-3.8758530915563099</v>
      </c>
      <c r="AG853">
        <v>-1.1103312228760001</v>
      </c>
      <c r="AH853">
        <v>34.245958662885101</v>
      </c>
      <c r="AI853">
        <v>91.845235881742099</v>
      </c>
      <c r="AJ853">
        <v>96.457085368623495</v>
      </c>
      <c r="AK853">
        <v>34.482470290741297</v>
      </c>
      <c r="AL853">
        <v>79.872805008566601</v>
      </c>
      <c r="AM853">
        <v>91.891296484977502</v>
      </c>
      <c r="AN853">
        <v>1.0000000397112301</v>
      </c>
    </row>
    <row r="854" spans="1:40" x14ac:dyDescent="0.25">
      <c r="A854" t="str">
        <f>"20190304155331687"</f>
        <v>20190304155331687</v>
      </c>
      <c r="B854" t="str">
        <f>"1551686011676900"</f>
        <v>1551686011676900</v>
      </c>
      <c r="C854" t="s">
        <v>40</v>
      </c>
      <c r="D854">
        <v>4.4425480000000004</v>
      </c>
      <c r="E854">
        <v>0.460115</v>
      </c>
      <c r="F854" t="s">
        <v>46</v>
      </c>
      <c r="G854">
        <v>-223.6044</v>
      </c>
      <c r="H854" s="1">
        <v>-3.36669E-6</v>
      </c>
      <c r="I854">
        <v>372.02420000000001</v>
      </c>
      <c r="J854">
        <v>-255.2979</v>
      </c>
      <c r="K854">
        <v>1.1103209999999999</v>
      </c>
      <c r="L854">
        <v>367.6429</v>
      </c>
      <c r="M854">
        <v>0.99985049999999998</v>
      </c>
      <c r="N854">
        <v>-1.445011E-2</v>
      </c>
      <c r="O854">
        <v>9.5085250000000003E-3</v>
      </c>
      <c r="P854">
        <v>0.98596569999999994</v>
      </c>
      <c r="Q854">
        <v>0.16151559999999901</v>
      </c>
      <c r="R854">
        <v>4.2244669999999998E-2</v>
      </c>
      <c r="S854">
        <v>3.042252</v>
      </c>
      <c r="T854">
        <v>-0.1056981</v>
      </c>
      <c r="U854">
        <v>0.41732789999999997</v>
      </c>
      <c r="V854">
        <v>-3.2833510000000003E-2</v>
      </c>
      <c r="W854">
        <v>0.17575750000000001</v>
      </c>
      <c r="X854">
        <v>0.98388580000000003</v>
      </c>
      <c r="Y854">
        <v>-0.1263726</v>
      </c>
      <c r="Z854">
        <v>2.9102640000000001E-3</v>
      </c>
      <c r="AA854">
        <v>0.99197860000000004</v>
      </c>
      <c r="AB854">
        <v>32</v>
      </c>
      <c r="AC854">
        <v>31.6935</v>
      </c>
      <c r="AD854">
        <v>-1.11032436668999</v>
      </c>
      <c r="AE854">
        <v>4.3813000000000004</v>
      </c>
      <c r="AF854">
        <v>-4.0748046977451704</v>
      </c>
      <c r="AG854">
        <v>-1.11032436668999</v>
      </c>
      <c r="AH854">
        <v>31.69555970743</v>
      </c>
      <c r="AI854">
        <v>91.989938998952198</v>
      </c>
      <c r="AJ854">
        <v>97.325804362999406</v>
      </c>
      <c r="AK854">
        <v>31.975699502767601</v>
      </c>
      <c r="AL854">
        <v>79.877257097844407</v>
      </c>
      <c r="AM854">
        <v>91.911323123732302</v>
      </c>
      <c r="AN854">
        <v>1.0000000028134</v>
      </c>
    </row>
    <row r="855" spans="1:40" x14ac:dyDescent="0.25">
      <c r="A855" t="str">
        <f>"20190304155331710"</f>
        <v>20190304155331710</v>
      </c>
      <c r="B855" t="str">
        <f>"1551686011707157"</f>
        <v>1551686011707157</v>
      </c>
      <c r="C855" t="s">
        <v>40</v>
      </c>
      <c r="D855">
        <v>4.4611159999999996</v>
      </c>
      <c r="E855">
        <v>0.45748460000000002</v>
      </c>
      <c r="F855" t="s">
        <v>46</v>
      </c>
      <c r="G855">
        <v>-224.8296</v>
      </c>
      <c r="H855" s="1">
        <v>-2.824713E-6</v>
      </c>
      <c r="I855">
        <v>371.96280000000002</v>
      </c>
      <c r="J855">
        <v>-254.97929999999999</v>
      </c>
      <c r="K855">
        <v>1.1103130000000001</v>
      </c>
      <c r="L855">
        <v>367.64580000000001</v>
      </c>
      <c r="M855">
        <v>0.9998513</v>
      </c>
      <c r="N855">
        <v>-1.44469E-2</v>
      </c>
      <c r="O855">
        <v>9.4199750000000006E-3</v>
      </c>
      <c r="P855">
        <v>0.98609159999999996</v>
      </c>
      <c r="Q855">
        <v>0.160659</v>
      </c>
      <c r="R855">
        <v>4.2572150000000003E-2</v>
      </c>
      <c r="S855">
        <v>3.0423580000000001</v>
      </c>
      <c r="T855">
        <v>-0.11086940000000001</v>
      </c>
      <c r="U855">
        <v>0.43136600000000003</v>
      </c>
      <c r="V855">
        <v>-3.3244009999999997E-2</v>
      </c>
      <c r="W855">
        <v>0.17490020000000001</v>
      </c>
      <c r="X855">
        <v>0.98402480000000003</v>
      </c>
      <c r="Y855">
        <v>-0.130931399999999</v>
      </c>
      <c r="Z855">
        <v>3.1180299999999999E-3</v>
      </c>
      <c r="AA855">
        <v>0.99138649999999995</v>
      </c>
      <c r="AB855">
        <v>32</v>
      </c>
      <c r="AC855">
        <v>30.149699999999999</v>
      </c>
      <c r="AD855">
        <v>-1.1103158247129901</v>
      </c>
      <c r="AE855">
        <v>4.3170000000000002</v>
      </c>
      <c r="AF855">
        <v>-4.0274170744958298</v>
      </c>
      <c r="AG855">
        <v>-1.1103158247129901</v>
      </c>
      <c r="AH855">
        <v>30.148965399942199</v>
      </c>
      <c r="AI855">
        <v>92.090562754945495</v>
      </c>
      <c r="AJ855">
        <v>97.608749849152403</v>
      </c>
      <c r="AK855">
        <v>30.437033433129798</v>
      </c>
      <c r="AL855">
        <v>79.927149841680205</v>
      </c>
      <c r="AM855">
        <v>91.934928175507594</v>
      </c>
      <c r="AN855">
        <v>1.00000002558798</v>
      </c>
    </row>
    <row r="856" spans="1:40" x14ac:dyDescent="0.25">
      <c r="A856" t="str">
        <f>"20190304155331732"</f>
        <v>20190304155331732</v>
      </c>
      <c r="B856" t="str">
        <f>"1551686011726677"</f>
        <v>1551686011726677</v>
      </c>
      <c r="C856" t="s">
        <v>40</v>
      </c>
      <c r="D856">
        <v>4.4315730000000002</v>
      </c>
      <c r="E856">
        <v>0.45639560000000001</v>
      </c>
      <c r="F856" t="s">
        <v>46</v>
      </c>
      <c r="G856">
        <v>-227.2466</v>
      </c>
      <c r="H856" s="1">
        <v>-1.7389509999999999E-6</v>
      </c>
      <c r="I856">
        <v>371.779</v>
      </c>
      <c r="J856">
        <v>-254.65549999999999</v>
      </c>
      <c r="K856">
        <v>1.110303</v>
      </c>
      <c r="L856">
        <v>367.64870000000002</v>
      </c>
      <c r="M856">
        <v>0.99985230000000003</v>
      </c>
      <c r="N856">
        <v>-1.4443569999999999E-2</v>
      </c>
      <c r="O856">
        <v>9.3242949999999998E-3</v>
      </c>
      <c r="P856">
        <v>0.98610030000000004</v>
      </c>
      <c r="Q856">
        <v>0.16056010000000001</v>
      </c>
      <c r="R856">
        <v>4.2743589999999998E-2</v>
      </c>
      <c r="S856">
        <v>3.0425870000000002</v>
      </c>
      <c r="T856">
        <v>-0.1218134</v>
      </c>
      <c r="U856">
        <v>0.45346069999999999</v>
      </c>
      <c r="V856">
        <v>-3.3507380000000003E-2</v>
      </c>
      <c r="W856">
        <v>0.174798799999999</v>
      </c>
      <c r="X856">
        <v>0.98403390000000002</v>
      </c>
      <c r="Y856">
        <v>-0.13803489999999999</v>
      </c>
      <c r="Z856">
        <v>3.5127460000000002E-3</v>
      </c>
      <c r="AA856">
        <v>0.99042110000000005</v>
      </c>
      <c r="AB856">
        <v>32</v>
      </c>
      <c r="AC856">
        <v>27.4088999999999</v>
      </c>
      <c r="AD856">
        <v>-1.1103047389509999</v>
      </c>
      <c r="AE856">
        <v>4.1302999999999699</v>
      </c>
      <c r="AF856">
        <v>-3.8683182448703199</v>
      </c>
      <c r="AG856">
        <v>-1.1103047389509999</v>
      </c>
      <c r="AH856">
        <v>27.402256466642001</v>
      </c>
      <c r="AI856">
        <v>92.297527929129302</v>
      </c>
      <c r="AJ856">
        <v>98.0352276979538</v>
      </c>
      <c r="AK856">
        <v>27.696214942128002</v>
      </c>
      <c r="AL856">
        <v>79.933050686141598</v>
      </c>
      <c r="AM856">
        <v>91.950227501735696</v>
      </c>
      <c r="AN856">
        <v>1.00000004067255</v>
      </c>
    </row>
    <row r="857" spans="1:40" x14ac:dyDescent="0.25">
      <c r="A857" t="str">
        <f>"20190304155331754"</f>
        <v>20190304155331754</v>
      </c>
      <c r="B857" t="str">
        <f>"1551686011747172"</f>
        <v>1551686011747172</v>
      </c>
      <c r="C857" t="s">
        <v>40</v>
      </c>
      <c r="D857">
        <v>4.4106050000000003</v>
      </c>
      <c r="E857">
        <v>0.4555709</v>
      </c>
      <c r="F857" t="s">
        <v>46</v>
      </c>
      <c r="G857">
        <v>-227.44710000000001</v>
      </c>
      <c r="H857" s="1">
        <v>-1.6553540000000001E-6</v>
      </c>
      <c r="I857">
        <v>371.78809999999999</v>
      </c>
      <c r="J857">
        <v>-254.33539999999999</v>
      </c>
      <c r="K857">
        <v>1.1102959999999999</v>
      </c>
      <c r="L857">
        <v>367.65159999999997</v>
      </c>
      <c r="M857">
        <v>0.99985329999999994</v>
      </c>
      <c r="N857">
        <v>-1.444026E-2</v>
      </c>
      <c r="O857">
        <v>9.2248759999999999E-3</v>
      </c>
      <c r="P857">
        <v>0.98616490000000001</v>
      </c>
      <c r="Q857">
        <v>0.1600558</v>
      </c>
      <c r="R857">
        <v>4.3142180000000002E-2</v>
      </c>
      <c r="S857">
        <v>3.0424190000000002</v>
      </c>
      <c r="T857">
        <v>-0.124153</v>
      </c>
      <c r="U857">
        <v>0.4628601</v>
      </c>
      <c r="V857">
        <v>-3.4001749999999997E-2</v>
      </c>
      <c r="W857">
        <v>0.17429269999999999</v>
      </c>
      <c r="X857">
        <v>0.9841067</v>
      </c>
      <c r="Y857">
        <v>-0.14112450000000001</v>
      </c>
      <c r="Z857">
        <v>3.6455770000000001E-3</v>
      </c>
      <c r="AA857">
        <v>0.98998520000000001</v>
      </c>
      <c r="AB857">
        <v>32</v>
      </c>
      <c r="AC857">
        <v>26.888299999999902</v>
      </c>
      <c r="AD857">
        <v>-1.110297655354</v>
      </c>
      <c r="AE857">
        <v>4.1365000000000096</v>
      </c>
      <c r="AF857">
        <v>-3.8817910355133298</v>
      </c>
      <c r="AG857">
        <v>-1.110297655354</v>
      </c>
      <c r="AH857">
        <v>26.880543749340301</v>
      </c>
      <c r="AI857">
        <v>92.340994741390503</v>
      </c>
      <c r="AJ857">
        <v>98.217216989938194</v>
      </c>
      <c r="AK857">
        <v>27.182065682855601</v>
      </c>
      <c r="AL857">
        <v>79.962500054347203</v>
      </c>
      <c r="AM857">
        <v>91.978832288471295</v>
      </c>
      <c r="AN857">
        <v>1.00000003063062</v>
      </c>
    </row>
    <row r="858" spans="1:40" x14ac:dyDescent="0.25">
      <c r="A858" t="str">
        <f>"20190304155331771"</f>
        <v>20190304155331771</v>
      </c>
      <c r="B858" t="str">
        <f>"1551686011766693"</f>
        <v>1551686011766693</v>
      </c>
      <c r="C858" t="s">
        <v>40</v>
      </c>
      <c r="D858">
        <v>4.7202650000000004</v>
      </c>
      <c r="E858">
        <v>0.45508169999999998</v>
      </c>
      <c r="F858" t="s">
        <v>46</v>
      </c>
      <c r="G858">
        <v>-227.45400000000001</v>
      </c>
      <c r="H858" s="1">
        <v>-1.6588399999999999E-6</v>
      </c>
      <c r="I858">
        <v>371.81229999999999</v>
      </c>
      <c r="J858">
        <v>-254.0968</v>
      </c>
      <c r="K858">
        <v>1.1102959999999999</v>
      </c>
      <c r="L858">
        <v>367.65379999999999</v>
      </c>
      <c r="M858">
        <v>0.99985400000000002</v>
      </c>
      <c r="N858">
        <v>-1.4437770000000001E-2</v>
      </c>
      <c r="O858">
        <v>9.1478280000000002E-3</v>
      </c>
      <c r="P858">
        <v>0.98622410000000005</v>
      </c>
      <c r="Q858">
        <v>0.15967139999999999</v>
      </c>
      <c r="R858">
        <v>4.3213969999999997E-2</v>
      </c>
      <c r="S858">
        <v>3.0419160000000001</v>
      </c>
      <c r="T858">
        <v>-0.12564120000000001</v>
      </c>
      <c r="U858">
        <v>0.4708252</v>
      </c>
      <c r="V858">
        <v>-3.4147709999999998E-2</v>
      </c>
      <c r="W858">
        <v>0.17390720000000001</v>
      </c>
      <c r="X858">
        <v>0.98416979999999998</v>
      </c>
      <c r="Y858">
        <v>-0.1437512</v>
      </c>
      <c r="Z858">
        <v>3.750317E-3</v>
      </c>
      <c r="AA858">
        <v>0.98960669999999995</v>
      </c>
      <c r="AB858">
        <v>32</v>
      </c>
      <c r="AC858">
        <v>26.642799999999902</v>
      </c>
      <c r="AD858">
        <v>-1.11029765884</v>
      </c>
      <c r="AE858">
        <v>4.1585000000000001</v>
      </c>
      <c r="AF858">
        <v>-3.9079513825523802</v>
      </c>
      <c r="AG858">
        <v>-1.11029765884</v>
      </c>
      <c r="AH858">
        <v>26.634574600130598</v>
      </c>
      <c r="AI858">
        <v>92.361810447974705</v>
      </c>
      <c r="AJ858">
        <v>98.347149581518096</v>
      </c>
      <c r="AK858">
        <v>26.942631813346299</v>
      </c>
      <c r="AL858">
        <v>79.984929695544906</v>
      </c>
      <c r="AM858">
        <v>91.987192750233106</v>
      </c>
      <c r="AN858">
        <v>0.99999998777106103</v>
      </c>
    </row>
    <row r="859" spans="1:40" x14ac:dyDescent="0.25">
      <c r="A859" t="str">
        <f>"20190304155331788"</f>
        <v>20190304155331788</v>
      </c>
      <c r="B859" t="str">
        <f>"1551686011776453"</f>
        <v>1551686011776453</v>
      </c>
      <c r="C859" t="s">
        <v>40</v>
      </c>
      <c r="D859">
        <v>4.3753310000000001</v>
      </c>
      <c r="E859">
        <v>0.4549301</v>
      </c>
      <c r="F859" t="s">
        <v>46</v>
      </c>
      <c r="G859">
        <v>-227.04320000000001</v>
      </c>
      <c r="H859" s="1">
        <v>-1.8525400000000001E-6</v>
      </c>
      <c r="I859">
        <v>371.87799999999999</v>
      </c>
      <c r="J859">
        <v>-253.85220000000001</v>
      </c>
      <c r="K859">
        <v>1.1102920000000001</v>
      </c>
      <c r="L859">
        <v>367.65589999999997</v>
      </c>
      <c r="M859">
        <v>0.99985469999999999</v>
      </c>
      <c r="N859">
        <v>-1.443521E-2</v>
      </c>
      <c r="O859">
        <v>9.0658890000000006E-3</v>
      </c>
      <c r="P859">
        <v>0.98627260000000005</v>
      </c>
      <c r="Q859">
        <v>0.15911549999999999</v>
      </c>
      <c r="R859">
        <v>4.4142090000000002E-2</v>
      </c>
      <c r="S859">
        <v>3.0413209999999999</v>
      </c>
      <c r="T859">
        <v>-0.1248177</v>
      </c>
      <c r="U859">
        <v>0.47488399999999997</v>
      </c>
      <c r="V859">
        <v>-3.5154539999999998E-2</v>
      </c>
      <c r="W859">
        <v>0.17335029999999901</v>
      </c>
      <c r="X859">
        <v>0.98423260000000001</v>
      </c>
      <c r="Y859">
        <v>-0.14515110000000001</v>
      </c>
      <c r="Z859">
        <v>3.7744480000000001E-3</v>
      </c>
      <c r="AA859">
        <v>0.98940229999999996</v>
      </c>
      <c r="AB859">
        <v>32</v>
      </c>
      <c r="AC859">
        <v>26.809000000000001</v>
      </c>
      <c r="AD859">
        <v>-1.1102938525399999</v>
      </c>
      <c r="AE859">
        <v>4.2221000000000597</v>
      </c>
      <c r="AF859">
        <v>-3.9722054741013499</v>
      </c>
      <c r="AG859">
        <v>-1.1102938525399999</v>
      </c>
      <c r="AH859">
        <v>26.801322059699299</v>
      </c>
      <c r="AI859">
        <v>92.346622337148503</v>
      </c>
      <c r="AJ859">
        <v>98.430398097919806</v>
      </c>
      <c r="AK859">
        <v>27.116821954557899</v>
      </c>
      <c r="AL859">
        <v>80.017329853891994</v>
      </c>
      <c r="AM859">
        <v>92.045604751203896</v>
      </c>
      <c r="AN859">
        <v>0.99999998954772995</v>
      </c>
    </row>
    <row r="860" spans="1:40" x14ac:dyDescent="0.25">
      <c r="A860" t="str">
        <f>"20190304155331810"</f>
        <v>20190304155331810</v>
      </c>
      <c r="B860" t="str">
        <f>"1551686011806709"</f>
        <v>1551686011806709</v>
      </c>
      <c r="C860" t="s">
        <v>40</v>
      </c>
      <c r="D860">
        <v>4.4000149999999998</v>
      </c>
      <c r="E860">
        <v>0.4545496</v>
      </c>
      <c r="F860" t="s">
        <v>46</v>
      </c>
      <c r="G860">
        <v>-226.83770000000001</v>
      </c>
      <c r="H860" s="1">
        <v>-1.9485539999999999E-6</v>
      </c>
      <c r="I860">
        <v>371.90750000000003</v>
      </c>
      <c r="J860">
        <v>-253.53720000000001</v>
      </c>
      <c r="K860">
        <v>1.1102920000000001</v>
      </c>
      <c r="L860">
        <v>367.65859999999998</v>
      </c>
      <c r="M860">
        <v>0.99985590000000002</v>
      </c>
      <c r="N860">
        <v>-1.4431889999999999E-2</v>
      </c>
      <c r="O860">
        <v>8.9550889999999994E-3</v>
      </c>
      <c r="P860">
        <v>0.98625070000000004</v>
      </c>
      <c r="Q860">
        <v>0.15902740000000001</v>
      </c>
      <c r="R860">
        <v>4.4946920000000001E-2</v>
      </c>
      <c r="S860">
        <v>3.0405120000000001</v>
      </c>
      <c r="T860">
        <v>-0.12496409999999999</v>
      </c>
      <c r="U860">
        <v>0.47851559999999999</v>
      </c>
      <c r="V860">
        <v>-3.6066519999999998E-2</v>
      </c>
      <c r="W860">
        <v>0.1732591</v>
      </c>
      <c r="X860">
        <v>0.98421570000000003</v>
      </c>
      <c r="Y860">
        <v>-0.1464522</v>
      </c>
      <c r="Z860">
        <v>3.8166900000000002E-3</v>
      </c>
      <c r="AA860">
        <v>0.98921040000000005</v>
      </c>
      <c r="AB860">
        <v>32</v>
      </c>
      <c r="AC860">
        <v>26.6995</v>
      </c>
      <c r="AD860">
        <v>-1.110293948554</v>
      </c>
      <c r="AE860">
        <v>4.2489000000000399</v>
      </c>
      <c r="AF860">
        <v>-4.0028571683990002</v>
      </c>
      <c r="AG860">
        <v>-1.110293948554</v>
      </c>
      <c r="AH860">
        <v>26.691465004265901</v>
      </c>
      <c r="AI860">
        <v>92.355666420313099</v>
      </c>
      <c r="AJ860">
        <v>98.528954730767893</v>
      </c>
      <c r="AK860">
        <v>27.012773316280398</v>
      </c>
      <c r="AL860">
        <v>80.022635889026603</v>
      </c>
      <c r="AM860">
        <v>92.098661035146307</v>
      </c>
      <c r="AN860">
        <v>1.0000000268621001</v>
      </c>
    </row>
    <row r="861" spans="1:40" x14ac:dyDescent="0.25">
      <c r="A861" t="str">
        <f>"20190304155331832"</f>
        <v>20190304155331832</v>
      </c>
      <c r="B861" t="str">
        <f>"1551686011826232"</f>
        <v>1551686011826232</v>
      </c>
      <c r="C861" t="s">
        <v>40</v>
      </c>
      <c r="D861">
        <v>4.3642370000000001</v>
      </c>
      <c r="E861">
        <v>0.4541442</v>
      </c>
      <c r="F861" t="s">
        <v>46</v>
      </c>
      <c r="G861">
        <v>-225.95650000000001</v>
      </c>
      <c r="H861" s="1">
        <v>-2.3652319999999999E-6</v>
      </c>
      <c r="I861">
        <v>372.05270000000002</v>
      </c>
      <c r="J861">
        <v>-253.2148</v>
      </c>
      <c r="K861">
        <v>1.1102799999999999</v>
      </c>
      <c r="L861">
        <v>367.66140000000001</v>
      </c>
      <c r="M861">
        <v>0.99985690000000005</v>
      </c>
      <c r="N861">
        <v>-1.442849E-2</v>
      </c>
      <c r="O861">
        <v>8.8356939999999998E-3</v>
      </c>
      <c r="P861">
        <v>0.98627659999999995</v>
      </c>
      <c r="Q861">
        <v>0.15868570000000001</v>
      </c>
      <c r="R861">
        <v>4.5584649999999997E-2</v>
      </c>
      <c r="S861">
        <v>3.03952</v>
      </c>
      <c r="T861">
        <v>-0.12235890000000001</v>
      </c>
      <c r="U861">
        <v>0.48425289999999999</v>
      </c>
      <c r="V861">
        <v>-3.6820140000000001E-2</v>
      </c>
      <c r="W861">
        <v>0.17291489999999901</v>
      </c>
      <c r="X861">
        <v>0.98424829999999996</v>
      </c>
      <c r="Y861">
        <v>-0.14844460000000001</v>
      </c>
      <c r="Z861">
        <v>3.819682E-3</v>
      </c>
      <c r="AA861">
        <v>0.98891340000000005</v>
      </c>
      <c r="AB861">
        <v>32</v>
      </c>
      <c r="AC861">
        <v>27.258299999999899</v>
      </c>
      <c r="AD861">
        <v>-1.110282365232</v>
      </c>
      <c r="AE861">
        <v>4.3913000000000002</v>
      </c>
      <c r="AF861">
        <v>-4.1435568621756804</v>
      </c>
      <c r="AG861">
        <v>-1.110282365232</v>
      </c>
      <c r="AH861">
        <v>27.251970291648199</v>
      </c>
      <c r="AI861">
        <v>92.306537947496196</v>
      </c>
      <c r="AJ861">
        <v>98.645386432810099</v>
      </c>
      <c r="AK861">
        <v>27.5875275292568</v>
      </c>
      <c r="AL861">
        <v>80.0426590556186</v>
      </c>
      <c r="AM861">
        <v>92.142401798374294</v>
      </c>
      <c r="AN861">
        <v>1.00000000070225</v>
      </c>
    </row>
    <row r="862" spans="1:40" x14ac:dyDescent="0.25">
      <c r="A862" t="str">
        <f>"20190304155331855"</f>
        <v>20190304155331855</v>
      </c>
      <c r="B862" t="str">
        <f>"1551686011846361"</f>
        <v>1551686011846361</v>
      </c>
      <c r="C862" t="s">
        <v>40</v>
      </c>
      <c r="D862">
        <v>4.3579220000000003</v>
      </c>
      <c r="E862">
        <v>0.45386860000000001</v>
      </c>
      <c r="F862" t="s">
        <v>46</v>
      </c>
      <c r="G862">
        <v>-225.7962</v>
      </c>
      <c r="H862" s="1">
        <v>-2.4413970000000002E-6</v>
      </c>
      <c r="I862">
        <v>372.08069999999998</v>
      </c>
      <c r="J862">
        <v>-252.8946</v>
      </c>
      <c r="K862">
        <v>1.1102730000000001</v>
      </c>
      <c r="L862">
        <v>367.66410000000002</v>
      </c>
      <c r="M862">
        <v>0.99985800000000002</v>
      </c>
      <c r="N862">
        <v>-1.442513E-2</v>
      </c>
      <c r="O862">
        <v>8.7093650000000002E-3</v>
      </c>
      <c r="P862">
        <v>0.98633150000000003</v>
      </c>
      <c r="Q862">
        <v>0.15815799999999999</v>
      </c>
      <c r="R862">
        <v>4.6218950000000002E-2</v>
      </c>
      <c r="S862">
        <v>3.0389400000000002</v>
      </c>
      <c r="T862">
        <v>-0.12305820000000001</v>
      </c>
      <c r="U862">
        <v>0.4898071</v>
      </c>
      <c r="V862">
        <v>-3.7575999999999998E-2</v>
      </c>
      <c r="W862">
        <v>0.17238609999999999</v>
      </c>
      <c r="X862">
        <v>0.98431250000000003</v>
      </c>
      <c r="Y862">
        <v>-0.15035709999999999</v>
      </c>
      <c r="Z862">
        <v>3.8902089999999999E-3</v>
      </c>
      <c r="AA862">
        <v>0.98862410000000001</v>
      </c>
      <c r="AB862">
        <v>32</v>
      </c>
      <c r="AC862">
        <v>27.098400000000002</v>
      </c>
      <c r="AD862">
        <v>-1.110275441397</v>
      </c>
      <c r="AE862">
        <v>4.4165999999999599</v>
      </c>
      <c r="AF862">
        <v>-4.1735731354340402</v>
      </c>
      <c r="AG862">
        <v>-1.110275441397</v>
      </c>
      <c r="AH862">
        <v>27.091539944507002</v>
      </c>
      <c r="AI862">
        <v>92.319471461484994</v>
      </c>
      <c r="AJ862">
        <v>98.757822201188901</v>
      </c>
      <c r="AK862">
        <v>27.433610058419301</v>
      </c>
      <c r="AL862">
        <v>80.073419079175807</v>
      </c>
      <c r="AM862">
        <v>92.186197249600795</v>
      </c>
      <c r="AN862">
        <v>1.00000001045272</v>
      </c>
    </row>
    <row r="863" spans="1:40" x14ac:dyDescent="0.25">
      <c r="A863" t="str">
        <f>"20190304155331877"</f>
        <v>20190304155331877</v>
      </c>
      <c r="B863" t="str">
        <f>"1551686011866857"</f>
        <v>1551686011866857</v>
      </c>
      <c r="C863" t="s">
        <v>40</v>
      </c>
      <c r="D863">
        <v>4.3316400000000002</v>
      </c>
      <c r="E863">
        <v>0.45366980000000001</v>
      </c>
      <c r="F863" t="s">
        <v>46</v>
      </c>
      <c r="G863">
        <v>-225.94669999999999</v>
      </c>
      <c r="H863" s="1">
        <v>-2.3677229999999998E-6</v>
      </c>
      <c r="I863">
        <v>372.04629999999997</v>
      </c>
      <c r="J863">
        <v>-252.57550000000001</v>
      </c>
      <c r="K863">
        <v>1.1102639999999999</v>
      </c>
      <c r="L863">
        <v>367.66680000000002</v>
      </c>
      <c r="M863">
        <v>0.99985919999999895</v>
      </c>
      <c r="N863">
        <v>-1.442178E-2</v>
      </c>
      <c r="O863">
        <v>8.5729910000000003E-3</v>
      </c>
      <c r="P863">
        <v>0.98637260000000004</v>
      </c>
      <c r="Q863">
        <v>0.15786789999999901</v>
      </c>
      <c r="R863">
        <v>4.6335719999999997E-2</v>
      </c>
      <c r="S863">
        <v>3.038513</v>
      </c>
      <c r="T863">
        <v>-0.12518870000000001</v>
      </c>
      <c r="U863">
        <v>0.4941101</v>
      </c>
      <c r="V863">
        <v>-3.7823429999999998E-2</v>
      </c>
      <c r="W863">
        <v>0.17209389999999999</v>
      </c>
      <c r="X863">
        <v>0.98435410000000001</v>
      </c>
      <c r="Y863">
        <v>-0.15187129999999999</v>
      </c>
      <c r="Z863">
        <v>3.981966E-3</v>
      </c>
      <c r="AA863">
        <v>0.98839219999999905</v>
      </c>
      <c r="AB863">
        <v>32</v>
      </c>
      <c r="AC863">
        <v>26.628799999999998</v>
      </c>
      <c r="AD863">
        <v>-1.110266367723</v>
      </c>
      <c r="AE863">
        <v>4.3794999999999398</v>
      </c>
      <c r="AF863">
        <v>-4.14401255765448</v>
      </c>
      <c r="AG863">
        <v>-1.110266367723</v>
      </c>
      <c r="AH863">
        <v>26.620312397584701</v>
      </c>
      <c r="AI863">
        <v>92.3598886028593</v>
      </c>
      <c r="AJ863">
        <v>98.848276659853397</v>
      </c>
      <c r="AK863">
        <v>26.963800986327801</v>
      </c>
      <c r="AL863">
        <v>80.090414385524895</v>
      </c>
      <c r="AM863">
        <v>92.200485881147699</v>
      </c>
      <c r="AN863">
        <v>0.99999995823049104</v>
      </c>
    </row>
    <row r="864" spans="1:40" x14ac:dyDescent="0.25">
      <c r="A864" t="str">
        <f>"20190304155331900"</f>
        <v>20190304155331900</v>
      </c>
      <c r="B864" t="str">
        <f>"1551686011897113"</f>
        <v>1551686011897113</v>
      </c>
      <c r="C864" t="s">
        <v>40</v>
      </c>
      <c r="D864">
        <v>4.3151780000000004</v>
      </c>
      <c r="E864">
        <v>0.45336470000000001</v>
      </c>
      <c r="F864" t="s">
        <v>46</v>
      </c>
      <c r="G864">
        <v>-225.9965</v>
      </c>
      <c r="H864" s="1">
        <v>-2.3360970000000001E-6</v>
      </c>
      <c r="I864">
        <v>372.0077</v>
      </c>
      <c r="J864">
        <v>-252.25700000000001</v>
      </c>
      <c r="K864">
        <v>1.1102559999999999</v>
      </c>
      <c r="L864">
        <v>367.6694</v>
      </c>
      <c r="M864">
        <v>0.99986059999999999</v>
      </c>
      <c r="N864">
        <v>-1.4418439999999999E-2</v>
      </c>
      <c r="O864">
        <v>8.4230509999999904E-3</v>
      </c>
      <c r="P864">
        <v>0.98642269999999999</v>
      </c>
      <c r="Q864">
        <v>0.1575927</v>
      </c>
      <c r="R864">
        <v>4.6206749999999998E-2</v>
      </c>
      <c r="S864">
        <v>3.0384519999999999</v>
      </c>
      <c r="T864">
        <v>-0.1269226</v>
      </c>
      <c r="U864">
        <v>0.49624629999999997</v>
      </c>
      <c r="V864">
        <v>-3.7837490000000001E-2</v>
      </c>
      <c r="W864">
        <v>0.17181669999999999</v>
      </c>
      <c r="X864">
        <v>0.984402</v>
      </c>
      <c r="Y864">
        <v>-0.15269460000000001</v>
      </c>
      <c r="Z864">
        <v>4.0469130000000001E-3</v>
      </c>
      <c r="AA864">
        <v>0.98826519999999995</v>
      </c>
      <c r="AB864">
        <v>32</v>
      </c>
      <c r="AC864">
        <v>26.2605</v>
      </c>
      <c r="AD864">
        <v>-1.110258336097</v>
      </c>
      <c r="AE864">
        <v>4.3383000000000003</v>
      </c>
      <c r="AF864">
        <v>-4.1097785505481896</v>
      </c>
      <c r="AG864">
        <v>-1.110258336097</v>
      </c>
      <c r="AH864">
        <v>26.2504380897795</v>
      </c>
      <c r="AI864">
        <v>92.392760318206498</v>
      </c>
      <c r="AJ864">
        <v>98.898017947333003</v>
      </c>
      <c r="AK864">
        <v>26.593391156690899</v>
      </c>
      <c r="AL864">
        <v>80.106537101392902</v>
      </c>
      <c r="AM864">
        <v>92.201196049376904</v>
      </c>
      <c r="AN864">
        <v>0.99999997582619404</v>
      </c>
    </row>
    <row r="865" spans="1:40" x14ac:dyDescent="0.25">
      <c r="A865" t="str">
        <f>"20190304155331924"</f>
        <v>20190304155331924</v>
      </c>
      <c r="B865" t="str">
        <f>"1551686011916633"</f>
        <v>1551686011916633</v>
      </c>
      <c r="C865" t="s">
        <v>40</v>
      </c>
      <c r="D865">
        <v>4.2629609999999998</v>
      </c>
      <c r="E865">
        <v>0.45316430000000002</v>
      </c>
      <c r="F865" t="s">
        <v>46</v>
      </c>
      <c r="G865">
        <v>-225.75399999999999</v>
      </c>
      <c r="H865" s="1">
        <v>-2.4428769999999999E-6</v>
      </c>
      <c r="I865">
        <v>372.0181</v>
      </c>
      <c r="J865">
        <v>-251.91749999999999</v>
      </c>
      <c r="K865">
        <v>1.110247</v>
      </c>
      <c r="L865">
        <v>367.6721</v>
      </c>
      <c r="M865">
        <v>0.99986220000000003</v>
      </c>
      <c r="N865">
        <v>-1.4414929999999999E-2</v>
      </c>
      <c r="O865">
        <v>8.2445680000000007E-3</v>
      </c>
      <c r="P865">
        <v>0.98637390000000003</v>
      </c>
      <c r="Q865">
        <v>0.15795819999999999</v>
      </c>
      <c r="R865">
        <v>4.599847E-2</v>
      </c>
      <c r="S865">
        <v>3.038284</v>
      </c>
      <c r="T865">
        <v>-0.12727869999999999</v>
      </c>
      <c r="U865">
        <v>0.49853520000000001</v>
      </c>
      <c r="V865">
        <v>-3.7799859999999998E-2</v>
      </c>
      <c r="W865">
        <v>0.17217939999999901</v>
      </c>
      <c r="X865">
        <v>0.98434010000000005</v>
      </c>
      <c r="Y865">
        <v>-0.15360270000000001</v>
      </c>
      <c r="Z865">
        <v>4.084903E-3</v>
      </c>
      <c r="AA865">
        <v>0.98812429999999996</v>
      </c>
      <c r="AB865">
        <v>32</v>
      </c>
      <c r="AC865">
        <v>26.1634999999999</v>
      </c>
      <c r="AD865">
        <v>-1.110249442877</v>
      </c>
      <c r="AE865">
        <v>4.3460000000000001</v>
      </c>
      <c r="AF865">
        <v>-4.1228982223922399</v>
      </c>
      <c r="AG865">
        <v>-1.110249442877</v>
      </c>
      <c r="AH865">
        <v>26.152615853437201</v>
      </c>
      <c r="AI865">
        <v>92.401280758373701</v>
      </c>
      <c r="AJ865">
        <v>98.958812971224404</v>
      </c>
      <c r="AK865">
        <v>26.4988727978204</v>
      </c>
      <c r="AL865">
        <v>80.085441820983803</v>
      </c>
      <c r="AM865">
        <v>92.199147222652698</v>
      </c>
      <c r="AN865">
        <v>1.0000000038341901</v>
      </c>
    </row>
    <row r="866" spans="1:40" x14ac:dyDescent="0.25">
      <c r="A866" t="str">
        <f>"20190304155331944"</f>
        <v>20190304155331944</v>
      </c>
      <c r="B866" t="str">
        <f>"1551686011936875"</f>
        <v>1551686011936875</v>
      </c>
      <c r="C866" t="s">
        <v>40</v>
      </c>
      <c r="D866">
        <v>4.2559069999999997</v>
      </c>
      <c r="E866">
        <v>0.4529762</v>
      </c>
      <c r="F866" t="s">
        <v>46</v>
      </c>
      <c r="G866">
        <v>-225.09620000000001</v>
      </c>
      <c r="H866" s="1">
        <v>-2.7424109999999999E-6</v>
      </c>
      <c r="I866">
        <v>372.08330000000001</v>
      </c>
      <c r="J866">
        <v>-251.6207</v>
      </c>
      <c r="K866">
        <v>1.1102399999999999</v>
      </c>
      <c r="L866">
        <v>367.67430000000002</v>
      </c>
      <c r="M866">
        <v>0.99986359999999996</v>
      </c>
      <c r="N866">
        <v>-1.441185E-2</v>
      </c>
      <c r="O866">
        <v>8.0729500000000006E-3</v>
      </c>
      <c r="P866">
        <v>0.9862649</v>
      </c>
      <c r="Q866">
        <v>0.1587771</v>
      </c>
      <c r="R866">
        <v>4.551272E-2</v>
      </c>
      <c r="S866">
        <v>3.038284</v>
      </c>
      <c r="T866">
        <v>-0.1257672</v>
      </c>
      <c r="U866">
        <v>0.49969479999999999</v>
      </c>
      <c r="V866">
        <v>-3.7478999999999998E-2</v>
      </c>
      <c r="W866">
        <v>0.1729947</v>
      </c>
      <c r="X866">
        <v>0.98420940000000001</v>
      </c>
      <c r="Y866">
        <v>-0.15414249999999999</v>
      </c>
      <c r="Z866">
        <v>4.0703379999999997E-3</v>
      </c>
      <c r="AA866">
        <v>0.98804029999999998</v>
      </c>
      <c r="AB866">
        <v>32</v>
      </c>
      <c r="AC866">
        <v>26.5244999999999</v>
      </c>
      <c r="AD866">
        <v>-1.110242742411</v>
      </c>
      <c r="AE866">
        <v>4.40899999999999</v>
      </c>
      <c r="AF866">
        <v>-4.1875636312885103</v>
      </c>
      <c r="AG866">
        <v>-1.110242742411</v>
      </c>
      <c r="AH866">
        <v>26.5140284481412</v>
      </c>
      <c r="AI866">
        <v>92.368466533071398</v>
      </c>
      <c r="AJ866">
        <v>98.975026137933</v>
      </c>
      <c r="AK866">
        <v>26.865629206516001</v>
      </c>
      <c r="AL866">
        <v>80.0380168099706</v>
      </c>
      <c r="AM866">
        <v>92.180787380512797</v>
      </c>
      <c r="AN866">
        <v>0.99999999235872405</v>
      </c>
    </row>
    <row r="867" spans="1:40" x14ac:dyDescent="0.25">
      <c r="A867" t="str">
        <f>"20190304155331967"</f>
        <v>20190304155331967</v>
      </c>
      <c r="B867" t="str">
        <f>"1551686011956396"</f>
        <v>1551686011956396</v>
      </c>
      <c r="C867" t="s">
        <v>40</v>
      </c>
      <c r="D867">
        <v>4.2538660000000004</v>
      </c>
      <c r="E867">
        <v>0.45280860000000001</v>
      </c>
      <c r="F867" t="s">
        <v>46</v>
      </c>
      <c r="G867">
        <v>-224.0301</v>
      </c>
      <c r="H867" s="1">
        <v>-3.2355620000000002E-6</v>
      </c>
      <c r="I867">
        <v>372.21780000000001</v>
      </c>
      <c r="J867">
        <v>-251.30189999999999</v>
      </c>
      <c r="K867">
        <v>1.110228</v>
      </c>
      <c r="L867">
        <v>367.67669999999998</v>
      </c>
      <c r="M867">
        <v>0.99986520000000001</v>
      </c>
      <c r="N867">
        <v>-1.4408580000000001E-2</v>
      </c>
      <c r="O867">
        <v>7.8749890000000006E-3</v>
      </c>
      <c r="P867">
        <v>0.98620070000000004</v>
      </c>
      <c r="Q867">
        <v>0.15922919999999999</v>
      </c>
      <c r="R867">
        <v>4.5325549999999999E-2</v>
      </c>
      <c r="S867">
        <v>3.0383450000000001</v>
      </c>
      <c r="T867">
        <v>-0.12226239999999999</v>
      </c>
      <c r="U867">
        <v>0.50033570000000005</v>
      </c>
      <c r="V867">
        <v>-3.7482099999999997E-2</v>
      </c>
      <c r="W867">
        <v>0.17344370000000001</v>
      </c>
      <c r="X867">
        <v>0.98413030000000001</v>
      </c>
      <c r="Y867">
        <v>-0.1545454</v>
      </c>
      <c r="Z867">
        <v>4.0070239999999997E-3</v>
      </c>
      <c r="AA867">
        <v>0.98797760000000001</v>
      </c>
      <c r="AB867">
        <v>32</v>
      </c>
      <c r="AC867">
        <v>27.271799999999899</v>
      </c>
      <c r="AD867">
        <v>-1.1102312355619901</v>
      </c>
      <c r="AE867">
        <v>4.5411000000000197</v>
      </c>
      <c r="AF867">
        <v>-4.3192066681315398</v>
      </c>
      <c r="AG867">
        <v>-1.1102312355619901</v>
      </c>
      <c r="AH867">
        <v>27.262755577696399</v>
      </c>
      <c r="AI867">
        <v>92.303293262020304</v>
      </c>
      <c r="AJ867">
        <v>99.002481492816202</v>
      </c>
      <c r="AK867">
        <v>27.625097308926701</v>
      </c>
      <c r="AL867">
        <v>80.0118965879239</v>
      </c>
      <c r="AM867">
        <v>92.181142712902201</v>
      </c>
      <c r="AN867">
        <v>1.0000000361340899</v>
      </c>
    </row>
    <row r="868" spans="1:40" x14ac:dyDescent="0.25">
      <c r="A868" t="str">
        <f>"20190304155331989"</f>
        <v>20190304155331989</v>
      </c>
      <c r="B868" t="str">
        <f>"1551686011986652"</f>
        <v>1551686011986652</v>
      </c>
      <c r="C868" t="s">
        <v>40</v>
      </c>
      <c r="D868">
        <v>4.2084570000000001</v>
      </c>
      <c r="E868">
        <v>0.45255450000000003</v>
      </c>
      <c r="F868" t="s">
        <v>46</v>
      </c>
      <c r="G868">
        <v>-223.25559999999999</v>
      </c>
      <c r="H868" s="1">
        <v>-3.5902899999999999E-6</v>
      </c>
      <c r="I868">
        <v>372.30220000000003</v>
      </c>
      <c r="J868">
        <v>-250.98589999999999</v>
      </c>
      <c r="K868">
        <v>1.110223</v>
      </c>
      <c r="L868">
        <v>367.67899999999997</v>
      </c>
      <c r="M868">
        <v>0.9998669</v>
      </c>
      <c r="N868">
        <v>-1.440542E-2</v>
      </c>
      <c r="O868">
        <v>7.6627429999999996E-3</v>
      </c>
      <c r="P868">
        <v>0.98617049999999995</v>
      </c>
      <c r="Q868">
        <v>0.15958049999999999</v>
      </c>
      <c r="R868">
        <v>4.4742129999999998E-2</v>
      </c>
      <c r="S868">
        <v>3.0383450000000001</v>
      </c>
      <c r="T868">
        <v>-0.12027450000000001</v>
      </c>
      <c r="U868">
        <v>0.50109859999999995</v>
      </c>
      <c r="V868">
        <v>-3.710343E-2</v>
      </c>
      <c r="W868">
        <v>0.17379220000000001</v>
      </c>
      <c r="X868">
        <v>0.98408309999999999</v>
      </c>
      <c r="Y868">
        <v>-0.15500059999999999</v>
      </c>
      <c r="Z868">
        <v>3.9792059999999999E-3</v>
      </c>
      <c r="AA868">
        <v>0.98790630000000001</v>
      </c>
      <c r="AB868">
        <v>32</v>
      </c>
      <c r="AC868">
        <v>27.7303</v>
      </c>
      <c r="AD868">
        <v>-1.1102265902899999</v>
      </c>
      <c r="AE868">
        <v>4.62319999999999</v>
      </c>
      <c r="AF868">
        <v>-4.4036841375062501</v>
      </c>
      <c r="AG868">
        <v>-1.1102265902899999</v>
      </c>
      <c r="AH868">
        <v>27.7216816091662</v>
      </c>
      <c r="AI868">
        <v>92.265044688697799</v>
      </c>
      <c r="AJ868">
        <v>99.026211500410298</v>
      </c>
      <c r="AK868">
        <v>28.091220484427001</v>
      </c>
      <c r="AL868">
        <v>79.991620423400704</v>
      </c>
      <c r="AM868">
        <v>92.159231729186303</v>
      </c>
      <c r="AN868">
        <v>0.99999997050210698</v>
      </c>
    </row>
    <row r="869" spans="1:40" x14ac:dyDescent="0.25">
      <c r="A869" t="str">
        <f>"20190304155332011"</f>
        <v>20190304155332011</v>
      </c>
      <c r="B869" t="str">
        <f>"1551686012007147"</f>
        <v>1551686012007147</v>
      </c>
      <c r="C869" t="s">
        <v>40</v>
      </c>
      <c r="D869">
        <v>4.2234949999999998</v>
      </c>
      <c r="E869">
        <v>0.4524377</v>
      </c>
      <c r="F869" t="s">
        <v>46</v>
      </c>
      <c r="G869">
        <v>-222.51310000000001</v>
      </c>
      <c r="H869" s="1">
        <v>-3.91125E-6</v>
      </c>
      <c r="I869">
        <v>372.38119999999998</v>
      </c>
      <c r="J869">
        <v>-250.67590000000001</v>
      </c>
      <c r="K869">
        <v>1.1102080000000001</v>
      </c>
      <c r="L869">
        <v>367.68110000000001</v>
      </c>
      <c r="M869">
        <v>0.9998686</v>
      </c>
      <c r="N869">
        <v>-1.4402389999999999E-2</v>
      </c>
      <c r="O869">
        <v>7.4400169999999897E-3</v>
      </c>
      <c r="P869">
        <v>0.98607639999999996</v>
      </c>
      <c r="Q869">
        <v>0.1603417</v>
      </c>
      <c r="R869">
        <v>4.4092029999999997E-2</v>
      </c>
      <c r="S869">
        <v>3.0384980000000001</v>
      </c>
      <c r="T869">
        <v>-0.1184781</v>
      </c>
      <c r="U869">
        <v>0.50180049999999998</v>
      </c>
      <c r="V869">
        <v>-3.6668600000000003E-2</v>
      </c>
      <c r="W869">
        <v>0.1745495</v>
      </c>
      <c r="X869">
        <v>0.98396539999999999</v>
      </c>
      <c r="Y869">
        <v>-0.1554384</v>
      </c>
      <c r="Z869">
        <v>3.95488E-3</v>
      </c>
      <c r="AA869">
        <v>0.98783770000000004</v>
      </c>
      <c r="AB869">
        <v>32</v>
      </c>
      <c r="AC869">
        <v>28.162800000000001</v>
      </c>
      <c r="AD869">
        <v>-1.11021191125</v>
      </c>
      <c r="AE869">
        <v>4.70009999999996</v>
      </c>
      <c r="AF869">
        <v>-4.4836375316038</v>
      </c>
      <c r="AG869">
        <v>-1.11021191125</v>
      </c>
      <c r="AH869">
        <v>28.154425527106302</v>
      </c>
      <c r="AI869">
        <v>92.230098471739296</v>
      </c>
      <c r="AJ869">
        <v>99.048462651731299</v>
      </c>
      <c r="AK869">
        <v>28.530812339715499</v>
      </c>
      <c r="AL869">
        <v>79.947557249153206</v>
      </c>
      <c r="AM869">
        <v>92.134205381265303</v>
      </c>
      <c r="AN869">
        <v>1.00000001128668</v>
      </c>
    </row>
    <row r="870" spans="1:40" x14ac:dyDescent="0.25">
      <c r="A870" t="str">
        <f>"20190304155332033"</f>
        <v>20190304155332033</v>
      </c>
      <c r="B870" t="str">
        <f>"1551686012026671"</f>
        <v>1551686012026671</v>
      </c>
      <c r="C870" t="s">
        <v>40</v>
      </c>
      <c r="D870">
        <v>4.2269839999999999</v>
      </c>
      <c r="E870">
        <v>0.45229649999999999</v>
      </c>
      <c r="F870" t="s">
        <v>46</v>
      </c>
      <c r="G870">
        <v>-221.49119999999999</v>
      </c>
      <c r="H870" s="1">
        <v>-4.279269E-6</v>
      </c>
      <c r="I870">
        <v>372.49549999999999</v>
      </c>
      <c r="J870">
        <v>-250.35550000000001</v>
      </c>
      <c r="K870">
        <v>1.1102000000000001</v>
      </c>
      <c r="L870">
        <v>367.6832</v>
      </c>
      <c r="M870">
        <v>0.99987060000000005</v>
      </c>
      <c r="N870">
        <v>-1.439901E-2</v>
      </c>
      <c r="O870">
        <v>7.1964899999999998E-3</v>
      </c>
      <c r="P870">
        <v>0.98610750000000003</v>
      </c>
      <c r="Q870">
        <v>0.16028310000000001</v>
      </c>
      <c r="R870">
        <v>4.3610589999999998E-2</v>
      </c>
      <c r="S870">
        <v>3.0387729999999999</v>
      </c>
      <c r="T870">
        <v>-0.1155972</v>
      </c>
      <c r="U870">
        <v>0.50128170000000005</v>
      </c>
      <c r="V870">
        <v>-3.6423150000000001E-2</v>
      </c>
      <c r="W870">
        <v>0.17448849999999999</v>
      </c>
      <c r="X870">
        <v>0.98398529999999995</v>
      </c>
      <c r="Y870">
        <v>-0.1555068</v>
      </c>
      <c r="Z870">
        <v>3.89574E-3</v>
      </c>
      <c r="AA870">
        <v>0.98782709999999996</v>
      </c>
      <c r="AB870">
        <v>32</v>
      </c>
      <c r="AC870">
        <v>28.8643</v>
      </c>
      <c r="AD870">
        <v>-1.1102042792689999</v>
      </c>
      <c r="AE870">
        <v>4.8122999999999898</v>
      </c>
      <c r="AF870">
        <v>-4.59781418926804</v>
      </c>
      <c r="AG870">
        <v>-1.1102042792689999</v>
      </c>
      <c r="AH870">
        <v>28.856651842101599</v>
      </c>
      <c r="AI870">
        <v>92.175839464582396</v>
      </c>
      <c r="AJ870">
        <v>99.053005415592807</v>
      </c>
      <c r="AK870">
        <v>29.241730530134699</v>
      </c>
      <c r="AL870">
        <v>79.951106410525398</v>
      </c>
      <c r="AM870">
        <v>92.119889813862002</v>
      </c>
      <c r="AN870">
        <v>0.99999997655213002</v>
      </c>
    </row>
    <row r="871" spans="1:40" x14ac:dyDescent="0.25">
      <c r="A871" t="str">
        <f>"20190304155332055"</f>
        <v>20190304155332055</v>
      </c>
      <c r="B871" t="str">
        <f>"1551686012047013"</f>
        <v>1551686012047013</v>
      </c>
      <c r="C871" t="s">
        <v>40</v>
      </c>
      <c r="D871">
        <v>4.2281519999999997</v>
      </c>
      <c r="E871">
        <v>0.45213680000000001</v>
      </c>
      <c r="F871" t="s">
        <v>46</v>
      </c>
      <c r="G871">
        <v>-221.1858</v>
      </c>
      <c r="H871" s="1">
        <v>-4.3825209999999999E-6</v>
      </c>
      <c r="I871">
        <v>372.49169999999998</v>
      </c>
      <c r="J871">
        <v>-250.0378</v>
      </c>
      <c r="K871">
        <v>1.1101909999999999</v>
      </c>
      <c r="L871">
        <v>367.68520000000001</v>
      </c>
      <c r="M871">
        <v>0.99987230000000005</v>
      </c>
      <c r="N871">
        <v>-1.439552E-2</v>
      </c>
      <c r="O871">
        <v>6.9428469999999898E-3</v>
      </c>
      <c r="P871">
        <v>0.98609860000000005</v>
      </c>
      <c r="Q871">
        <v>0.16048979999999999</v>
      </c>
      <c r="R871">
        <v>4.3043240000000003E-2</v>
      </c>
      <c r="S871">
        <v>3.0388950000000001</v>
      </c>
      <c r="T871">
        <v>-0.1156605</v>
      </c>
      <c r="U871">
        <v>0.500946</v>
      </c>
      <c r="V871">
        <v>-3.6101359999999999E-2</v>
      </c>
      <c r="W871">
        <v>0.17469179999999901</v>
      </c>
      <c r="X871">
        <v>0.98396110000000003</v>
      </c>
      <c r="Y871">
        <v>-0.15564439999999999</v>
      </c>
      <c r="Z871">
        <v>3.9063630000000004E-3</v>
      </c>
      <c r="AA871">
        <v>0.98780539999999994</v>
      </c>
      <c r="AB871">
        <v>32</v>
      </c>
      <c r="AC871">
        <v>28.852</v>
      </c>
      <c r="AD871">
        <v>-1.110195382521</v>
      </c>
      <c r="AE871">
        <v>4.8064999999999696</v>
      </c>
      <c r="AF871">
        <v>-4.59942219950557</v>
      </c>
      <c r="AG871">
        <v>-1.110195382521</v>
      </c>
      <c r="AH871">
        <v>28.8431258853754</v>
      </c>
      <c r="AI871">
        <v>92.176797307173402</v>
      </c>
      <c r="AJ871">
        <v>99.060295525996196</v>
      </c>
      <c r="AK871">
        <v>29.2286354316497</v>
      </c>
      <c r="AL871">
        <v>79.939276618834796</v>
      </c>
      <c r="AM871">
        <v>92.101229576864995</v>
      </c>
      <c r="AN871">
        <v>0.99999998974714899</v>
      </c>
    </row>
    <row r="872" spans="1:40" x14ac:dyDescent="0.25">
      <c r="A872" t="str">
        <f>"20190304155332078"</f>
        <v>20190304155332078</v>
      </c>
      <c r="B872" t="str">
        <f>"1551686012076293"</f>
        <v>1551686012076293</v>
      </c>
      <c r="C872" t="s">
        <v>40</v>
      </c>
      <c r="D872">
        <v>4.249822</v>
      </c>
      <c r="E872">
        <v>0.4518913</v>
      </c>
      <c r="F872" t="s">
        <v>46</v>
      </c>
      <c r="G872">
        <v>-220.62039999999999</v>
      </c>
      <c r="H872" s="1">
        <v>-4.5818389999999999E-6</v>
      </c>
      <c r="I872">
        <v>372.53059999999999</v>
      </c>
      <c r="J872">
        <v>-249.72190000000001</v>
      </c>
      <c r="K872">
        <v>1.1101799999999999</v>
      </c>
      <c r="L872">
        <v>367.68720000000002</v>
      </c>
      <c r="M872">
        <v>0.99987409999999999</v>
      </c>
      <c r="N872">
        <v>-1.439205E-2</v>
      </c>
      <c r="O872">
        <v>6.6819499999999999E-3</v>
      </c>
      <c r="P872">
        <v>0.98613110000000004</v>
      </c>
      <c r="Q872">
        <v>0.16040209999999999</v>
      </c>
      <c r="R872">
        <v>4.2620409999999997E-2</v>
      </c>
      <c r="S872">
        <v>3.0391080000000001</v>
      </c>
      <c r="T872">
        <v>-0.114694</v>
      </c>
      <c r="U872">
        <v>0.50057980000000002</v>
      </c>
      <c r="V872">
        <v>-3.5931619999999997E-2</v>
      </c>
      <c r="W872">
        <v>0.1746016</v>
      </c>
      <c r="X872">
        <v>0.98398330000000001</v>
      </c>
      <c r="Y872">
        <v>-0.1557771</v>
      </c>
      <c r="Z872">
        <v>3.8930119999999999E-3</v>
      </c>
      <c r="AA872">
        <v>0.98778460000000001</v>
      </c>
      <c r="AB872">
        <v>32</v>
      </c>
      <c r="AC872">
        <v>29.101500000000001</v>
      </c>
      <c r="AD872">
        <v>-1.1101845818389999</v>
      </c>
      <c r="AE872">
        <v>4.8433999999999697</v>
      </c>
      <c r="AF872">
        <v>-4.6422430662599998</v>
      </c>
      <c r="AG872">
        <v>-1.1101845818389999</v>
      </c>
      <c r="AH872">
        <v>29.092019725522</v>
      </c>
      <c r="AI872">
        <v>92.158134545507593</v>
      </c>
      <c r="AJ872">
        <v>99.066309709859297</v>
      </c>
      <c r="AK872">
        <v>29.480986113123102</v>
      </c>
      <c r="AL872">
        <v>79.944525137857298</v>
      </c>
      <c r="AM872">
        <v>92.091311747145596</v>
      </c>
      <c r="AN872">
        <v>0.99999996735863605</v>
      </c>
    </row>
    <row r="873" spans="1:40" x14ac:dyDescent="0.25">
      <c r="A873" t="str">
        <f>"20190304155332102"</f>
        <v>20190304155332102</v>
      </c>
      <c r="B873" t="str">
        <f>"1551686012096789"</f>
        <v>1551686012096789</v>
      </c>
      <c r="C873" t="s">
        <v>40</v>
      </c>
      <c r="D873">
        <v>4.2289760000000003</v>
      </c>
      <c r="E873">
        <v>0.45174609999999898</v>
      </c>
      <c r="F873" t="s">
        <v>46</v>
      </c>
      <c r="G873">
        <v>-220.20259999999999</v>
      </c>
      <c r="H873" s="1">
        <v>-4.7291140000000001E-6</v>
      </c>
      <c r="I873">
        <v>372.55939999999998</v>
      </c>
      <c r="J873">
        <v>-249.39330000000001</v>
      </c>
      <c r="K873">
        <v>1.1101749999999999</v>
      </c>
      <c r="L873">
        <v>367.6891</v>
      </c>
      <c r="M873">
        <v>0.99987599999999999</v>
      </c>
      <c r="N873">
        <v>-1.4388420000000001E-2</v>
      </c>
      <c r="O873">
        <v>6.403148E-3</v>
      </c>
      <c r="P873">
        <v>0.98620180000000002</v>
      </c>
      <c r="Q873">
        <v>0.16015489999999999</v>
      </c>
      <c r="R873">
        <v>4.1914029999999998E-2</v>
      </c>
      <c r="S873">
        <v>3.039139</v>
      </c>
      <c r="T873">
        <v>-0.11429789999999999</v>
      </c>
      <c r="U873">
        <v>0.50161739999999999</v>
      </c>
      <c r="V873">
        <v>-3.5497330000000001E-2</v>
      </c>
      <c r="W873">
        <v>0.17435229999999999</v>
      </c>
      <c r="X873">
        <v>0.98404329999999995</v>
      </c>
      <c r="Y873">
        <v>-0.1563795</v>
      </c>
      <c r="Z873">
        <v>3.905454E-3</v>
      </c>
      <c r="AA873">
        <v>0.98768929999999999</v>
      </c>
      <c r="AB873">
        <v>32</v>
      </c>
      <c r="AC873">
        <v>29.1907</v>
      </c>
      <c r="AD873">
        <v>-1.1101797291140001</v>
      </c>
      <c r="AE873">
        <v>4.8702999999999799</v>
      </c>
      <c r="AF873">
        <v>-4.6766871179106504</v>
      </c>
      <c r="AG873">
        <v>-1.1101797291140001</v>
      </c>
      <c r="AH873">
        <v>29.180225867883902</v>
      </c>
      <c r="AI873">
        <v>92.151373707186494</v>
      </c>
      <c r="AJ873">
        <v>99.105307009776695</v>
      </c>
      <c r="AK873">
        <v>29.573459099849799</v>
      </c>
      <c r="AL873">
        <v>79.959031822700496</v>
      </c>
      <c r="AM873">
        <v>92.065931138794696</v>
      </c>
      <c r="AN873">
        <v>1.00000000061365</v>
      </c>
    </row>
    <row r="874" spans="1:40" x14ac:dyDescent="0.25">
      <c r="A874" t="str">
        <f>"20190304155332125"</f>
        <v>20190304155332125</v>
      </c>
      <c r="B874" t="str">
        <f>"1551686012116309"</f>
        <v>1551686012116309</v>
      </c>
      <c r="C874" t="s">
        <v>40</v>
      </c>
      <c r="D874">
        <v>4.1765739999999996</v>
      </c>
      <c r="E874">
        <v>0.4516309</v>
      </c>
      <c r="F874" t="s">
        <v>46</v>
      </c>
      <c r="G874">
        <v>-220.0557</v>
      </c>
      <c r="H874" s="1">
        <v>-4.7729760000000001E-6</v>
      </c>
      <c r="I874">
        <v>372.5247</v>
      </c>
      <c r="J874">
        <v>-249.07130000000001</v>
      </c>
      <c r="K874">
        <v>1.1101719999999999</v>
      </c>
      <c r="L874">
        <v>367.69080000000002</v>
      </c>
      <c r="M874">
        <v>0.99987780000000004</v>
      </c>
      <c r="N874">
        <v>-1.4384839999999999E-2</v>
      </c>
      <c r="O874">
        <v>6.124755E-3</v>
      </c>
      <c r="P874">
        <v>0.98619100000000004</v>
      </c>
      <c r="Q874">
        <v>0.1602933</v>
      </c>
      <c r="R874">
        <v>4.1633379999999998E-2</v>
      </c>
      <c r="S874">
        <v>3.0393829999999999</v>
      </c>
      <c r="T874">
        <v>-0.1150144</v>
      </c>
      <c r="U874">
        <v>0.50097659999999999</v>
      </c>
      <c r="V874">
        <v>-3.5489430000000002E-2</v>
      </c>
      <c r="W874">
        <v>0.17448759999999999</v>
      </c>
      <c r="X874">
        <v>0.98401959999999999</v>
      </c>
      <c r="Y874">
        <v>-0.156437299999999</v>
      </c>
      <c r="Z874">
        <v>3.9297459999999996E-3</v>
      </c>
      <c r="AA874">
        <v>0.98768009999999995</v>
      </c>
      <c r="AB874">
        <v>32</v>
      </c>
      <c r="AC874">
        <v>29.015599999999999</v>
      </c>
      <c r="AD874">
        <v>-1.1101767729759999</v>
      </c>
      <c r="AE874">
        <v>4.8338999999999697</v>
      </c>
      <c r="AF874">
        <v>-4.6494548071856903</v>
      </c>
      <c r="AG874">
        <v>-1.1101767729759999</v>
      </c>
      <c r="AH874">
        <v>29.003352811901301</v>
      </c>
      <c r="AI874">
        <v>92.1644623811532</v>
      </c>
      <c r="AJ874">
        <v>99.107454439734596</v>
      </c>
      <c r="AK874">
        <v>29.394632108651098</v>
      </c>
      <c r="AL874">
        <v>79.951158994729198</v>
      </c>
      <c r="AM874">
        <v>92.0655214636311</v>
      </c>
      <c r="AN874">
        <v>0.99999999768982195</v>
      </c>
    </row>
    <row r="875" spans="1:40" x14ac:dyDescent="0.25">
      <c r="A875" t="str">
        <f>"20190304155332146"</f>
        <v>20190304155332146</v>
      </c>
      <c r="B875" t="str">
        <f>"1551686012136335"</f>
        <v>1551686012136335</v>
      </c>
      <c r="C875" t="s">
        <v>40</v>
      </c>
      <c r="D875">
        <v>4.2582529999999998</v>
      </c>
      <c r="E875">
        <v>0.45146829999999999</v>
      </c>
      <c r="F875" t="s">
        <v>46</v>
      </c>
      <c r="G875">
        <v>-219.3717</v>
      </c>
      <c r="H875" s="1">
        <v>-1.042539E-6</v>
      </c>
      <c r="I875">
        <v>372.58800000000002</v>
      </c>
      <c r="J875">
        <v>-248.7783</v>
      </c>
      <c r="K875">
        <v>1.110166</v>
      </c>
      <c r="L875">
        <v>367.69229999999999</v>
      </c>
      <c r="M875">
        <v>0.99987939999999997</v>
      </c>
      <c r="N875">
        <v>-1.438159E-2</v>
      </c>
      <c r="O875">
        <v>5.869165E-3</v>
      </c>
      <c r="P875">
        <v>0.98621320000000001</v>
      </c>
      <c r="Q875">
        <v>0.16029749999999901</v>
      </c>
      <c r="R875">
        <v>4.1090759999999997E-2</v>
      </c>
      <c r="S875">
        <v>3.0393219999999999</v>
      </c>
      <c r="T875">
        <v>-0.1136098</v>
      </c>
      <c r="U875">
        <v>0.50115969999999999</v>
      </c>
      <c r="V875">
        <v>-3.5197569999999997E-2</v>
      </c>
      <c r="W875">
        <v>0.17448849999999999</v>
      </c>
      <c r="X875">
        <v>0.98402990000000001</v>
      </c>
      <c r="Y875">
        <v>-0.15675359999999999</v>
      </c>
      <c r="Z875">
        <v>3.9104379999999996E-3</v>
      </c>
      <c r="AA875">
        <v>0.98763000000000001</v>
      </c>
      <c r="AB875">
        <v>32</v>
      </c>
      <c r="AC875">
        <v>29.406600000000001</v>
      </c>
      <c r="AD875">
        <v>-1.110167042539</v>
      </c>
      <c r="AE875">
        <v>4.8957000000000299</v>
      </c>
      <c r="AF875">
        <v>-4.7164648386991503</v>
      </c>
      <c r="AG875">
        <v>-1.110167042539</v>
      </c>
      <c r="AH875">
        <v>29.3940663715582</v>
      </c>
      <c r="AI875">
        <v>92.135650240871797</v>
      </c>
      <c r="AJ875">
        <v>99.115769830259495</v>
      </c>
      <c r="AK875">
        <v>29.790747712882101</v>
      </c>
      <c r="AL875">
        <v>79.951106393041101</v>
      </c>
      <c r="AM875">
        <v>92.048528018756102</v>
      </c>
      <c r="AN875">
        <v>0.99999997483008196</v>
      </c>
    </row>
    <row r="876" spans="1:40" x14ac:dyDescent="0.25">
      <c r="A876" t="str">
        <f>"20190304155332168"</f>
        <v>20190304155332168</v>
      </c>
      <c r="B876" t="str">
        <f>"1551686012156831"</f>
        <v>1551686012156831</v>
      </c>
      <c r="C876" t="s">
        <v>40</v>
      </c>
      <c r="D876">
        <v>4.2612310000000004</v>
      </c>
      <c r="E876">
        <v>0.45131349999999998</v>
      </c>
      <c r="F876" t="s">
        <v>46</v>
      </c>
      <c r="G876">
        <v>-218.95679999999999</v>
      </c>
      <c r="H876" s="1">
        <v>-1.22494E-6</v>
      </c>
      <c r="I876">
        <v>372.6046</v>
      </c>
      <c r="J876">
        <v>-248.46250000000001</v>
      </c>
      <c r="K876">
        <v>1.110163</v>
      </c>
      <c r="L876">
        <v>367.69389999999999</v>
      </c>
      <c r="M876">
        <v>0.99988109999999997</v>
      </c>
      <c r="N876">
        <v>-1.4378180000000001E-2</v>
      </c>
      <c r="O876">
        <v>5.5927950000000002E-3</v>
      </c>
      <c r="P876">
        <v>0.98628870000000002</v>
      </c>
      <c r="Q876">
        <v>0.15998799999999999</v>
      </c>
      <c r="R876">
        <v>4.0480130000000003E-2</v>
      </c>
      <c r="S876">
        <v>3.0394589999999999</v>
      </c>
      <c r="T876">
        <v>-0.11315</v>
      </c>
      <c r="U876">
        <v>0.50067139999999999</v>
      </c>
      <c r="V876">
        <v>-3.4858859999999998E-2</v>
      </c>
      <c r="W876">
        <v>0.1741762</v>
      </c>
      <c r="X876">
        <v>0.98409729999999995</v>
      </c>
      <c r="Y876">
        <v>-0.1568658</v>
      </c>
      <c r="Z876">
        <v>3.9083140000000004E-3</v>
      </c>
      <c r="AA876">
        <v>0.98761220000000005</v>
      </c>
      <c r="AB876">
        <v>31</v>
      </c>
      <c r="AC876">
        <v>29.505700000000001</v>
      </c>
      <c r="AD876">
        <v>-1.1101642249400001</v>
      </c>
      <c r="AE876">
        <v>4.9107000000000198</v>
      </c>
      <c r="AF876">
        <v>-4.7390586837752897</v>
      </c>
      <c r="AG876">
        <v>-1.1101642249400001</v>
      </c>
      <c r="AH876">
        <v>29.4920800289926</v>
      </c>
      <c r="AI876">
        <v>92.128476277685095</v>
      </c>
      <c r="AJ876">
        <v>99.128775242544407</v>
      </c>
      <c r="AK876">
        <v>29.891034211801799</v>
      </c>
      <c r="AL876">
        <v>79.969278308950095</v>
      </c>
      <c r="AM876">
        <v>92.028692530659697</v>
      </c>
      <c r="AN876">
        <v>0.99999999231711401</v>
      </c>
    </row>
    <row r="877" spans="1:40" x14ac:dyDescent="0.25">
      <c r="A877" t="str">
        <f>"20190304155332190"</f>
        <v>20190304155332190</v>
      </c>
      <c r="B877" t="str">
        <f>"1551686012187088"</f>
        <v>1551686012187088</v>
      </c>
      <c r="C877" t="s">
        <v>40</v>
      </c>
      <c r="D877">
        <v>4.2880219999999998</v>
      </c>
      <c r="E877">
        <v>0.4510922</v>
      </c>
      <c r="F877" t="s">
        <v>46</v>
      </c>
      <c r="G877">
        <v>-218.833</v>
      </c>
      <c r="H877" s="1">
        <v>-1.2683030000000001E-6</v>
      </c>
      <c r="I877">
        <v>372.56799999999998</v>
      </c>
      <c r="J877">
        <v>-248.15360000000001</v>
      </c>
      <c r="K877">
        <v>1.1101639999999999</v>
      </c>
      <c r="L877">
        <v>367.69540000000001</v>
      </c>
      <c r="M877">
        <v>0.99988250000000001</v>
      </c>
      <c r="N877">
        <v>-1.4374949999999999E-2</v>
      </c>
      <c r="O877">
        <v>5.3228119999999997E-3</v>
      </c>
      <c r="P877">
        <v>0.98625280000000004</v>
      </c>
      <c r="Q877">
        <v>0.16041549999999999</v>
      </c>
      <c r="R877">
        <v>3.9652510000000002E-2</v>
      </c>
      <c r="S877">
        <v>3.0396730000000001</v>
      </c>
      <c r="T877">
        <v>-0.1138909</v>
      </c>
      <c r="U877">
        <v>0.50003050000000004</v>
      </c>
      <c r="V877">
        <v>-3.4297359999999999E-2</v>
      </c>
      <c r="W877">
        <v>0.174599799999999</v>
      </c>
      <c r="X877">
        <v>0.98404199999999997</v>
      </c>
      <c r="Y877">
        <v>-0.1569169</v>
      </c>
      <c r="Z877">
        <v>3.9330119999999996E-3</v>
      </c>
      <c r="AA877">
        <v>0.98760400000000004</v>
      </c>
      <c r="AB877">
        <v>31</v>
      </c>
      <c r="AC877">
        <v>29.320599999999999</v>
      </c>
      <c r="AD877">
        <v>-1.1101652683030001</v>
      </c>
      <c r="AE877">
        <v>4.8726000000000296</v>
      </c>
      <c r="AF877">
        <v>-4.7098761473507604</v>
      </c>
      <c r="AG877">
        <v>-1.1101652683030001</v>
      </c>
      <c r="AH877">
        <v>29.305240086594999</v>
      </c>
      <c r="AI877">
        <v>92.142026489906399</v>
      </c>
      <c r="AJ877">
        <v>99.130377401551996</v>
      </c>
      <c r="AK877">
        <v>29.7020621637506</v>
      </c>
      <c r="AL877">
        <v>79.944630499472197</v>
      </c>
      <c r="AM877">
        <v>91.996153460316606</v>
      </c>
      <c r="AN877">
        <v>1.0000000284135</v>
      </c>
    </row>
    <row r="878" spans="1:40" x14ac:dyDescent="0.25">
      <c r="A878" t="str">
        <f>"20190304155332212"</f>
        <v>20190304155332212</v>
      </c>
      <c r="B878" t="str">
        <f>"1551686012206611"</f>
        <v>1551686012206611</v>
      </c>
      <c r="C878" t="s">
        <v>40</v>
      </c>
      <c r="D878">
        <v>4.266356</v>
      </c>
      <c r="E878">
        <v>0.45096429999999998</v>
      </c>
      <c r="F878" t="s">
        <v>46</v>
      </c>
      <c r="G878">
        <v>-218.0136</v>
      </c>
      <c r="H878" s="1">
        <v>-1.641557E-6</v>
      </c>
      <c r="I878">
        <v>372.6497</v>
      </c>
      <c r="J878">
        <v>-247.83920000000001</v>
      </c>
      <c r="K878">
        <v>1.1101669999999999</v>
      </c>
      <c r="L878">
        <v>367.69670000000002</v>
      </c>
      <c r="M878">
        <v>0.99988410000000005</v>
      </c>
      <c r="N878">
        <v>-1.437156E-2</v>
      </c>
      <c r="O878">
        <v>5.0484279999999998E-3</v>
      </c>
      <c r="P878">
        <v>0.98621420000000004</v>
      </c>
      <c r="Q878">
        <v>0.1608677</v>
      </c>
      <c r="R878">
        <v>3.8773160000000001E-2</v>
      </c>
      <c r="S878">
        <v>3.0399479999999999</v>
      </c>
      <c r="T878">
        <v>-0.1119721</v>
      </c>
      <c r="U878">
        <v>0.49969479999999999</v>
      </c>
      <c r="V878">
        <v>-3.36884E-2</v>
      </c>
      <c r="W878">
        <v>0.1750477</v>
      </c>
      <c r="X878">
        <v>0.98398350000000001</v>
      </c>
      <c r="Y878">
        <v>-0.1570715</v>
      </c>
      <c r="Z878">
        <v>3.896736E-3</v>
      </c>
      <c r="AA878">
        <v>0.98757950000000005</v>
      </c>
      <c r="AB878">
        <v>31</v>
      </c>
      <c r="AC878">
        <v>29.825600000000001</v>
      </c>
      <c r="AD878">
        <v>-1.110168641557</v>
      </c>
      <c r="AE878">
        <v>4.9529999999999701</v>
      </c>
      <c r="AF878">
        <v>-4.7958826772211296</v>
      </c>
      <c r="AG878">
        <v>-1.110168641557</v>
      </c>
      <c r="AH878">
        <v>29.810034571439999</v>
      </c>
      <c r="AI878">
        <v>92.105739410557803</v>
      </c>
      <c r="AJ878">
        <v>99.139514932308003</v>
      </c>
      <c r="AK878">
        <v>30.213757234359498</v>
      </c>
      <c r="AL878">
        <v>79.918566717660099</v>
      </c>
      <c r="AM878">
        <v>91.960855545431997</v>
      </c>
      <c r="AN878">
        <v>1.00000006692104</v>
      </c>
    </row>
    <row r="879" spans="1:40" x14ac:dyDescent="0.25">
      <c r="A879" t="str">
        <f>"20190304155332235"</f>
        <v>20190304155332235</v>
      </c>
      <c r="B879" t="str">
        <f>"1551686012227104"</f>
        <v>1551686012227104</v>
      </c>
      <c r="C879" t="s">
        <v>40</v>
      </c>
      <c r="D879">
        <v>4.2919939999999999</v>
      </c>
      <c r="E879">
        <v>0.45081270000000001</v>
      </c>
      <c r="F879" t="s">
        <v>46</v>
      </c>
      <c r="G879">
        <v>-217.3177</v>
      </c>
      <c r="H879" s="1">
        <v>-1.9523029999999998E-6</v>
      </c>
      <c r="I879">
        <v>372.69549999999998</v>
      </c>
      <c r="J879">
        <v>-247.5231</v>
      </c>
      <c r="K879">
        <v>1.110171</v>
      </c>
      <c r="L879">
        <v>367.69799999999998</v>
      </c>
      <c r="M879">
        <v>0.99988540000000004</v>
      </c>
      <c r="N879">
        <v>-1.436812E-2</v>
      </c>
      <c r="O879">
        <v>4.772493E-3</v>
      </c>
      <c r="P879">
        <v>0.98618360000000005</v>
      </c>
      <c r="Q879">
        <v>0.16118640000000001</v>
      </c>
      <c r="R879">
        <v>3.8222520000000003E-2</v>
      </c>
      <c r="S879">
        <v>3.0404049999999998</v>
      </c>
      <c r="T879">
        <v>-0.1105893</v>
      </c>
      <c r="U879">
        <v>0.49795529999999999</v>
      </c>
      <c r="V879">
        <v>-3.3410139999999998E-2</v>
      </c>
      <c r="W879">
        <v>0.17536179999999901</v>
      </c>
      <c r="X879">
        <v>0.98393699999999995</v>
      </c>
      <c r="Y879">
        <v>-0.1567732</v>
      </c>
      <c r="Z879">
        <v>3.8614209999999999E-3</v>
      </c>
      <c r="AA879">
        <v>0.98762709999999998</v>
      </c>
      <c r="AB879">
        <v>31</v>
      </c>
      <c r="AC879">
        <v>30.205400000000001</v>
      </c>
      <c r="AD879">
        <v>-1.1101729523029999</v>
      </c>
      <c r="AE879">
        <v>4.9974999999999401</v>
      </c>
      <c r="AF879">
        <v>-4.8469000800609896</v>
      </c>
      <c r="AG879">
        <v>-1.1101729523029999</v>
      </c>
      <c r="AH879">
        <v>30.1892139716111</v>
      </c>
      <c r="AI879">
        <v>92.079430213753994</v>
      </c>
      <c r="AJ879">
        <v>99.121040664110495</v>
      </c>
      <c r="AK879">
        <v>30.595973012699499</v>
      </c>
      <c r="AL879">
        <v>79.900286780388896</v>
      </c>
      <c r="AM879">
        <v>91.944763558954605</v>
      </c>
      <c r="AN879">
        <v>1.00000000916152</v>
      </c>
    </row>
    <row r="880" spans="1:40" x14ac:dyDescent="0.25">
      <c r="A880" t="str">
        <f>"20190304155332256"</f>
        <v>20190304155332256</v>
      </c>
      <c r="B880" t="str">
        <f>"1551686012247132"</f>
        <v>1551686012247132</v>
      </c>
      <c r="C880" t="s">
        <v>40</v>
      </c>
      <c r="D880">
        <v>4.2868309999999896</v>
      </c>
      <c r="E880">
        <v>0.45065699999999997</v>
      </c>
      <c r="F880" t="s">
        <v>46</v>
      </c>
      <c r="G880">
        <v>-216.71119999999999</v>
      </c>
      <c r="H880" s="1">
        <v>-2.2246310000000001E-6</v>
      </c>
      <c r="I880">
        <v>372.74119999999999</v>
      </c>
      <c r="J880">
        <v>-247.2123</v>
      </c>
      <c r="K880">
        <v>1.1101730000000001</v>
      </c>
      <c r="L880">
        <v>367.69920000000002</v>
      </c>
      <c r="M880">
        <v>0.99988679999999996</v>
      </c>
      <c r="N880">
        <v>-1.4364770000000001E-2</v>
      </c>
      <c r="O880">
        <v>4.5004240000000003E-3</v>
      </c>
      <c r="P880">
        <v>0.98619939999999995</v>
      </c>
      <c r="Q880">
        <v>0.16122739999999999</v>
      </c>
      <c r="R880">
        <v>3.7641019999999997E-2</v>
      </c>
      <c r="S880">
        <v>3.0406339999999998</v>
      </c>
      <c r="T880">
        <v>-0.10955570000000001</v>
      </c>
      <c r="U880">
        <v>0.49768069999999998</v>
      </c>
      <c r="V880">
        <v>-3.3096500000000001E-2</v>
      </c>
      <c r="W880">
        <v>0.17539929999999901</v>
      </c>
      <c r="X880">
        <v>0.98394090000000001</v>
      </c>
      <c r="Y880">
        <v>-0.15694520000000001</v>
      </c>
      <c r="Z880">
        <v>3.846286E-3</v>
      </c>
      <c r="AA880">
        <v>0.98759980000000003</v>
      </c>
      <c r="AB880">
        <v>31</v>
      </c>
      <c r="AC880">
        <v>30.501100000000001</v>
      </c>
      <c r="AD880">
        <v>-1.1101752246309999</v>
      </c>
      <c r="AE880">
        <v>5.0419999999999696</v>
      </c>
      <c r="AF880">
        <v>-4.8983501476320601</v>
      </c>
      <c r="AG880">
        <v>-1.1101752246309999</v>
      </c>
      <c r="AH880">
        <v>30.484173154731899</v>
      </c>
      <c r="AI880">
        <v>92.059288385302693</v>
      </c>
      <c r="AJ880">
        <v>99.128542212497095</v>
      </c>
      <c r="AK880">
        <v>30.895163636496001</v>
      </c>
      <c r="AL880">
        <v>79.898104205172999</v>
      </c>
      <c r="AM880">
        <v>91.926513148621694</v>
      </c>
      <c r="AN880">
        <v>0.99999999372277504</v>
      </c>
    </row>
    <row r="881" spans="1:40" x14ac:dyDescent="0.25">
      <c r="A881" t="str">
        <f>"20190304155332279"</f>
        <v>20190304155332279</v>
      </c>
      <c r="B881" t="str">
        <f>"1551686012276411"</f>
        <v>1551686012276411</v>
      </c>
      <c r="C881" t="s">
        <v>40</v>
      </c>
      <c r="D881">
        <v>4.3182029999999996</v>
      </c>
      <c r="E881">
        <v>0.45048759999999999</v>
      </c>
      <c r="F881" t="s">
        <v>46</v>
      </c>
      <c r="G881">
        <v>-216.32</v>
      </c>
      <c r="H881" s="1">
        <v>-2.3951620000000002E-6</v>
      </c>
      <c r="I881">
        <v>372.75150000000002</v>
      </c>
      <c r="J881">
        <v>-246.90819999999999</v>
      </c>
      <c r="K881">
        <v>1.1101700000000001</v>
      </c>
      <c r="L881">
        <v>367.70030000000003</v>
      </c>
      <c r="M881">
        <v>0.999888</v>
      </c>
      <c r="N881">
        <v>-1.436146E-2</v>
      </c>
      <c r="O881">
        <v>4.2331199999999999E-3</v>
      </c>
      <c r="P881">
        <v>0.98615319999999995</v>
      </c>
      <c r="Q881">
        <v>0.161583</v>
      </c>
      <c r="R881">
        <v>3.7320300000000001E-2</v>
      </c>
      <c r="S881">
        <v>3.0408629999999999</v>
      </c>
      <c r="T881">
        <v>-0.1092793</v>
      </c>
      <c r="U881">
        <v>0.49731449999999999</v>
      </c>
      <c r="V881">
        <v>-3.3039029999999997E-2</v>
      </c>
      <c r="W881">
        <v>0.1757514</v>
      </c>
      <c r="X881">
        <v>0.98387999999999998</v>
      </c>
      <c r="Y881">
        <v>-0.157082</v>
      </c>
      <c r="Z881">
        <v>3.8483039999999999E-3</v>
      </c>
      <c r="AA881">
        <v>0.98757810000000001</v>
      </c>
      <c r="AB881">
        <v>31</v>
      </c>
      <c r="AC881">
        <v>30.588200000000001</v>
      </c>
      <c r="AD881">
        <v>-1.1101723951619999</v>
      </c>
      <c r="AE881">
        <v>5.0511999999999899</v>
      </c>
      <c r="AF881">
        <v>-4.9153549259229798</v>
      </c>
      <c r="AG881">
        <v>-1.1101723951619999</v>
      </c>
      <c r="AH881">
        <v>30.5701104720027</v>
      </c>
      <c r="AI881">
        <v>92.053465531227999</v>
      </c>
      <c r="AJ881">
        <v>99.134381311857496</v>
      </c>
      <c r="AK881">
        <v>30.9826540352053</v>
      </c>
      <c r="AL881">
        <v>79.877612030695005</v>
      </c>
      <c r="AM881">
        <v>91.923289344020304</v>
      </c>
      <c r="AN881">
        <v>0.99999999325264999</v>
      </c>
    </row>
    <row r="882" spans="1:40" x14ac:dyDescent="0.25">
      <c r="A882" t="str">
        <f>"20190304155332295"</f>
        <v>20190304155332295</v>
      </c>
      <c r="B882" t="str">
        <f>"1551686012287149"</f>
        <v>1551686012287149</v>
      </c>
      <c r="C882" t="s">
        <v>40</v>
      </c>
      <c r="D882">
        <v>4.5969860000000002</v>
      </c>
      <c r="E882">
        <v>0.45048759999999999</v>
      </c>
      <c r="F882" t="s">
        <v>46</v>
      </c>
      <c r="G882">
        <v>-215.5967</v>
      </c>
      <c r="H882" s="1">
        <v>-2.7254819999999999E-6</v>
      </c>
      <c r="I882">
        <v>372.82659999999998</v>
      </c>
      <c r="J882">
        <v>-246.67619999999999</v>
      </c>
      <c r="K882">
        <v>1.110169</v>
      </c>
      <c r="L882">
        <v>367.7011</v>
      </c>
      <c r="M882">
        <v>0.99988880000000002</v>
      </c>
      <c r="N882">
        <v>-1.435903E-2</v>
      </c>
      <c r="O882">
        <v>4.0277350000000002E-3</v>
      </c>
      <c r="P882">
        <v>0.98615989999999998</v>
      </c>
      <c r="Q882">
        <v>0.16162299999999999</v>
      </c>
      <c r="R882">
        <v>3.697139E-2</v>
      </c>
      <c r="S882">
        <v>3.0409549999999999</v>
      </c>
      <c r="T882">
        <v>-0.10781880000000001</v>
      </c>
      <c r="U882">
        <v>0.49786380000000002</v>
      </c>
      <c r="V882">
        <v>-3.2892440000000002E-2</v>
      </c>
      <c r="W882">
        <v>0.17578849999999999</v>
      </c>
      <c r="X882">
        <v>0.98387829999999998</v>
      </c>
      <c r="Y882">
        <v>-0.1574566</v>
      </c>
      <c r="Z882">
        <v>3.8261760000000001E-3</v>
      </c>
      <c r="AA882">
        <v>0.98751849999999997</v>
      </c>
      <c r="AB882">
        <v>31</v>
      </c>
      <c r="AC882">
        <v>31.079499999999999</v>
      </c>
      <c r="AD882">
        <v>-1.110171725482</v>
      </c>
      <c r="AE882">
        <v>5.1254999999999802</v>
      </c>
      <c r="AF882">
        <v>-4.9940620837893999</v>
      </c>
      <c r="AG882">
        <v>-1.110171725482</v>
      </c>
      <c r="AH882">
        <v>31.061310936831799</v>
      </c>
      <c r="AI882">
        <v>92.021020938997395</v>
      </c>
      <c r="AJ882">
        <v>99.133890868350207</v>
      </c>
      <c r="AK882">
        <v>31.4798058201023</v>
      </c>
      <c r="AL882">
        <v>79.875452903783696</v>
      </c>
      <c r="AM882">
        <v>91.914765624520001</v>
      </c>
      <c r="AN882">
        <v>1.0000000092761401</v>
      </c>
    </row>
    <row r="883" spans="1:40" x14ac:dyDescent="0.25">
      <c r="A883" t="str">
        <f>"20190304155332314"</f>
        <v>20190304155332314</v>
      </c>
      <c r="B883" t="str">
        <f>"1551686012306667"</f>
        <v>1551686012306667</v>
      </c>
      <c r="C883" t="s">
        <v>40</v>
      </c>
      <c r="D883">
        <v>3.9343560000000002</v>
      </c>
      <c r="E883">
        <v>0.48342550000000001</v>
      </c>
      <c r="F883" t="s">
        <v>46</v>
      </c>
      <c r="G883">
        <v>-215.3297</v>
      </c>
      <c r="H883" s="1">
        <v>-2.838077E-6</v>
      </c>
      <c r="I883">
        <v>372.8193</v>
      </c>
      <c r="J883">
        <v>-246.42099999999999</v>
      </c>
      <c r="K883">
        <v>1.1101669999999999</v>
      </c>
      <c r="L883">
        <v>367.70179999999999</v>
      </c>
      <c r="M883">
        <v>0.99988969999999999</v>
      </c>
      <c r="N883">
        <v>-1.4356280000000001E-2</v>
      </c>
      <c r="O883">
        <v>3.799396E-3</v>
      </c>
      <c r="P883">
        <v>0.98616749999999997</v>
      </c>
      <c r="Q883">
        <v>0.16166440000000001</v>
      </c>
      <c r="R883">
        <v>3.6582280000000002E-2</v>
      </c>
      <c r="S883">
        <v>3.0411380000000001</v>
      </c>
      <c r="T883">
        <v>-0.10770490000000001</v>
      </c>
      <c r="U883">
        <v>0.49655149999999998</v>
      </c>
      <c r="V883">
        <v>-3.2727529999999998E-2</v>
      </c>
      <c r="W883">
        <v>0.17582739999999999</v>
      </c>
      <c r="X883">
        <v>0.9838768</v>
      </c>
      <c r="Y883">
        <v>-0.15725799999999901</v>
      </c>
      <c r="Z883">
        <v>3.8229090000000002E-3</v>
      </c>
      <c r="AA883">
        <v>0.98755009999999999</v>
      </c>
      <c r="AB883">
        <v>31</v>
      </c>
      <c r="AC883">
        <v>31.091299999999901</v>
      </c>
      <c r="AD883">
        <v>-1.110169838077</v>
      </c>
      <c r="AE883">
        <v>5.1174999999999997</v>
      </c>
      <c r="AF883">
        <v>-4.9931245362041299</v>
      </c>
      <c r="AG883">
        <v>-1.110169838077</v>
      </c>
      <c r="AH883">
        <v>31.071950009017598</v>
      </c>
      <c r="AI883">
        <v>92.020353037720099</v>
      </c>
      <c r="AJ883">
        <v>99.129130821459398</v>
      </c>
      <c r="AK883">
        <v>31.4901547640895</v>
      </c>
      <c r="AL883">
        <v>79.873188346993601</v>
      </c>
      <c r="AM883">
        <v>91.905175723509402</v>
      </c>
      <c r="AN883">
        <v>0.99999996169444905</v>
      </c>
    </row>
    <row r="884" spans="1:40" x14ac:dyDescent="0.25">
      <c r="A884" t="str">
        <f>"20190304155332335"</f>
        <v>20190304155332335</v>
      </c>
      <c r="B884" t="str">
        <f>"1551686012327164"</f>
        <v>1551686012327164</v>
      </c>
      <c r="C884" t="s">
        <v>40</v>
      </c>
      <c r="D884">
        <v>4.3733230000000001</v>
      </c>
      <c r="E884">
        <v>0.54824319999999904</v>
      </c>
      <c r="F884" t="s">
        <v>45</v>
      </c>
      <c r="G884">
        <v>-181.82570000000001</v>
      </c>
      <c r="H884" s="1">
        <v>-7.0116949999999998E-6</v>
      </c>
      <c r="I884">
        <v>372.66640000000001</v>
      </c>
      <c r="J884">
        <v>-246.11949999999999</v>
      </c>
      <c r="K884">
        <v>1.110163</v>
      </c>
      <c r="L884">
        <v>367.70269999999999</v>
      </c>
      <c r="M884">
        <v>0.99989090000000003</v>
      </c>
      <c r="N884">
        <v>-1.4353039999999999E-2</v>
      </c>
      <c r="O884">
        <v>3.5256269999999999E-3</v>
      </c>
      <c r="P884">
        <v>0.9862514</v>
      </c>
      <c r="Q884">
        <v>0.16122059999999999</v>
      </c>
      <c r="R884">
        <v>3.6277770000000001E-2</v>
      </c>
      <c r="S884">
        <v>3.0419770000000002</v>
      </c>
      <c r="T884">
        <v>-5.2281260000000003E-2</v>
      </c>
      <c r="U884">
        <v>0.23379520000000001</v>
      </c>
      <c r="V884">
        <v>-3.269217E-2</v>
      </c>
      <c r="W884">
        <v>0.1753815</v>
      </c>
      <c r="X884">
        <v>0.98395759999999999</v>
      </c>
      <c r="Y884">
        <v>-7.3094510000000001E-2</v>
      </c>
      <c r="Z884">
        <v>1.142622E-3</v>
      </c>
      <c r="AA884">
        <v>0.99732430000000005</v>
      </c>
      <c r="AB884">
        <v>31</v>
      </c>
      <c r="AC884">
        <v>64.293799999999905</v>
      </c>
      <c r="AD884">
        <v>-1.110170011695</v>
      </c>
      <c r="AE884">
        <v>4.96370000000001</v>
      </c>
      <c r="AF884">
        <v>-4.7355663002449901</v>
      </c>
      <c r="AG884">
        <v>-1.110170011695</v>
      </c>
      <c r="AH884">
        <v>64.291846982927595</v>
      </c>
      <c r="AI884">
        <v>90.986593769294998</v>
      </c>
      <c r="AJ884">
        <v>94.212647148518897</v>
      </c>
      <c r="AK884">
        <v>64.475574089069198</v>
      </c>
      <c r="AL884">
        <v>79.899140228335497</v>
      </c>
      <c r="AM884">
        <v>91.902962653475399</v>
      </c>
      <c r="AN884">
        <v>1.0000000035596499</v>
      </c>
    </row>
    <row r="885" spans="1:40" x14ac:dyDescent="0.25">
      <c r="A885" t="str">
        <f>"20190304155332358"</f>
        <v>20190304155332358</v>
      </c>
      <c r="B885" t="str">
        <f>"1551686012346684"</f>
        <v>1551686012346684</v>
      </c>
      <c r="C885" t="s">
        <v>40</v>
      </c>
      <c r="D885">
        <v>4.3931199999999997</v>
      </c>
      <c r="E885">
        <v>0.55099619999999905</v>
      </c>
      <c r="F885" t="s">
        <v>45</v>
      </c>
      <c r="G885">
        <v>-190.63220000000001</v>
      </c>
      <c r="H885" s="1">
        <v>-6.6103190000000004E-6</v>
      </c>
      <c r="I885">
        <v>362.55399999999997</v>
      </c>
      <c r="J885">
        <v>-245.80959999999999</v>
      </c>
      <c r="K885">
        <v>1.110161</v>
      </c>
      <c r="L885">
        <v>367.70350000000002</v>
      </c>
      <c r="M885">
        <v>0.9998918</v>
      </c>
      <c r="N885">
        <v>-1.434976E-2</v>
      </c>
      <c r="O885">
        <v>3.2384929999999998E-3</v>
      </c>
      <c r="P885">
        <v>0.98632089999999994</v>
      </c>
      <c r="Q885">
        <v>0.1608068</v>
      </c>
      <c r="R885">
        <v>3.6230650000000003E-2</v>
      </c>
      <c r="S885">
        <v>3.0622859999999998</v>
      </c>
      <c r="T885">
        <v>-6.1269039999999997E-2</v>
      </c>
      <c r="U885">
        <v>-0.28414919999999999</v>
      </c>
      <c r="V885">
        <v>-3.2927360000000003E-2</v>
      </c>
      <c r="W885">
        <v>0.1749655</v>
      </c>
      <c r="X885">
        <v>0.9840238</v>
      </c>
      <c r="Y885">
        <v>9.5584740000000001E-2</v>
      </c>
      <c r="Z885">
        <v>-1.6597789999999999E-3</v>
      </c>
      <c r="AA885">
        <v>0.99541990000000002</v>
      </c>
      <c r="AB885">
        <v>31</v>
      </c>
      <c r="AC885">
        <v>55.177399999999899</v>
      </c>
      <c r="AD885">
        <v>-1.1101676103189999</v>
      </c>
      <c r="AE885">
        <v>-5.1494999999999802</v>
      </c>
      <c r="AF885">
        <v>5.3260455768493697</v>
      </c>
      <c r="AG885">
        <v>-1.1101676103189999</v>
      </c>
      <c r="AH885">
        <v>55.138304275001602</v>
      </c>
      <c r="AI885">
        <v>91.148108564285806</v>
      </c>
      <c r="AJ885">
        <v>84.482671869636704</v>
      </c>
      <c r="AK885">
        <v>55.406063133310099</v>
      </c>
      <c r="AL885">
        <v>79.923349450897902</v>
      </c>
      <c r="AM885">
        <v>91.916513694201498</v>
      </c>
      <c r="AN885">
        <v>0.99999998809662904</v>
      </c>
    </row>
    <row r="886" spans="1:40" x14ac:dyDescent="0.25">
      <c r="A886" t="str">
        <f>"20190304155332379"</f>
        <v>20190304155332379</v>
      </c>
      <c r="B886" t="str">
        <f>"1551686012376940"</f>
        <v>1551686012376940</v>
      </c>
      <c r="C886" t="s">
        <v>40</v>
      </c>
      <c r="D886">
        <v>4.4000399999999997</v>
      </c>
      <c r="E886">
        <v>0.55219510000000005</v>
      </c>
      <c r="F886" t="s">
        <v>45</v>
      </c>
      <c r="G886">
        <v>-176.9091</v>
      </c>
      <c r="H886">
        <v>7.9988009999999998E-2</v>
      </c>
      <c r="I886">
        <v>360.8107</v>
      </c>
      <c r="J886">
        <v>-245.50630000000001</v>
      </c>
      <c r="K886">
        <v>1.1101559999999999</v>
      </c>
      <c r="L886">
        <v>367.70420000000001</v>
      </c>
      <c r="M886">
        <v>0.99989280000000003</v>
      </c>
      <c r="N886">
        <v>-1.4346579999999999E-2</v>
      </c>
      <c r="O886">
        <v>2.9518190000000001E-3</v>
      </c>
      <c r="P886">
        <v>0.98631199999999997</v>
      </c>
      <c r="Q886">
        <v>0.16087089999999901</v>
      </c>
      <c r="R886">
        <v>3.6185599999999998E-2</v>
      </c>
      <c r="S886">
        <v>3.0603180000000001</v>
      </c>
      <c r="T886">
        <v>-4.5756699999999997E-2</v>
      </c>
      <c r="U886">
        <v>-0.30615229999999999</v>
      </c>
      <c r="V886">
        <v>-3.3163480000000002E-2</v>
      </c>
      <c r="W886">
        <v>0.17502699999999999</v>
      </c>
      <c r="X886">
        <v>0.98400500000000002</v>
      </c>
      <c r="Y886">
        <v>0.102457199999999</v>
      </c>
      <c r="Z886">
        <v>-1.502684E-3</v>
      </c>
      <c r="AA886">
        <v>0.99473630000000002</v>
      </c>
      <c r="AB886">
        <v>31</v>
      </c>
      <c r="AC886">
        <v>68.597200000000001</v>
      </c>
      <c r="AD886">
        <v>-1.03016798999999</v>
      </c>
      <c r="AE886">
        <v>-6.8935000000000102</v>
      </c>
      <c r="AF886">
        <v>7.0943933076863503</v>
      </c>
      <c r="AG886">
        <v>-1.03016798999999</v>
      </c>
      <c r="AH886">
        <v>68.561242638587203</v>
      </c>
      <c r="AI886">
        <v>90.856262657378693</v>
      </c>
      <c r="AJ886">
        <v>84.092328439534498</v>
      </c>
      <c r="AK886">
        <v>68.935010369470405</v>
      </c>
      <c r="AL886">
        <v>79.919771201494399</v>
      </c>
      <c r="AM886">
        <v>91.930283383044795</v>
      </c>
      <c r="AN886">
        <v>1.0000000535798499</v>
      </c>
    </row>
    <row r="887" spans="1:40" x14ac:dyDescent="0.25">
      <c r="A887" t="str">
        <f>"20190304155332396"</f>
        <v>20190304155332396</v>
      </c>
      <c r="B887" t="str">
        <f>"1551686012386700"</f>
        <v>1551686012386700</v>
      </c>
      <c r="C887" t="s">
        <v>40</v>
      </c>
      <c r="D887">
        <v>4.4042000000000003</v>
      </c>
      <c r="E887">
        <v>0.55239559999999999</v>
      </c>
      <c r="F887" t="s">
        <v>41</v>
      </c>
      <c r="G887">
        <v>-158.19499999999999</v>
      </c>
      <c r="H887">
        <v>0.1224184</v>
      </c>
      <c r="I887">
        <v>358.69450000000001</v>
      </c>
      <c r="J887">
        <v>-245.2766</v>
      </c>
      <c r="K887">
        <v>1.110152</v>
      </c>
      <c r="L887">
        <v>367.70460000000003</v>
      </c>
      <c r="M887">
        <v>0.99989349999999999</v>
      </c>
      <c r="N887">
        <v>-1.434417E-2</v>
      </c>
      <c r="O887">
        <v>2.7292110000000001E-3</v>
      </c>
      <c r="P887">
        <v>0.98630830000000003</v>
      </c>
      <c r="Q887">
        <v>0.1609187</v>
      </c>
      <c r="R887">
        <v>3.6078430000000002E-2</v>
      </c>
      <c r="S887">
        <v>3.0588380000000002</v>
      </c>
      <c r="T887">
        <v>-3.4600970000000002E-2</v>
      </c>
      <c r="U887">
        <v>-0.31564330000000002</v>
      </c>
      <c r="V887">
        <v>-3.3273940000000002E-2</v>
      </c>
      <c r="W887">
        <v>0.17507259999999999</v>
      </c>
      <c r="X887">
        <v>0.98399309999999995</v>
      </c>
      <c r="Y887">
        <v>0.10534499999999999</v>
      </c>
      <c r="Z887">
        <v>-1.3436069999999999E-3</v>
      </c>
      <c r="AA887">
        <v>0.99443479999999995</v>
      </c>
      <c r="AB887">
        <v>31</v>
      </c>
      <c r="AC887">
        <v>87.081599999999995</v>
      </c>
      <c r="AD887">
        <v>-0.98773359999999899</v>
      </c>
      <c r="AE887">
        <v>-9.0101000000000209</v>
      </c>
      <c r="AF887">
        <v>9.2465779074484402</v>
      </c>
      <c r="AG887">
        <v>-0.98773359999999899</v>
      </c>
      <c r="AH887">
        <v>87.045602386019794</v>
      </c>
      <c r="AI887">
        <v>90.646488190526696</v>
      </c>
      <c r="AJ887">
        <v>83.936390606626802</v>
      </c>
      <c r="AK887">
        <v>87.540914522342803</v>
      </c>
      <c r="AL887">
        <v>79.917116949746102</v>
      </c>
      <c r="AM887">
        <v>91.936731233256296</v>
      </c>
      <c r="AN887">
        <v>0.99999999560074604</v>
      </c>
    </row>
    <row r="888" spans="1:40" x14ac:dyDescent="0.25">
      <c r="A888" t="str">
        <f>"20190304155332414"</f>
        <v>20190304155332414</v>
      </c>
      <c r="B888" t="str">
        <f>"1551686012406223"</f>
        <v>1551686012406223</v>
      </c>
      <c r="C888" t="s">
        <v>40</v>
      </c>
      <c r="D888">
        <v>4.3761549999999998</v>
      </c>
      <c r="E888">
        <v>0.55298780000000003</v>
      </c>
      <c r="F888" t="s">
        <v>41</v>
      </c>
      <c r="G888">
        <v>-158.19499999999999</v>
      </c>
      <c r="H888">
        <v>0.1654196</v>
      </c>
      <c r="I888">
        <v>358.65910000000002</v>
      </c>
      <c r="J888">
        <v>-245.0352</v>
      </c>
      <c r="K888">
        <v>1.1101449999999999</v>
      </c>
      <c r="L888">
        <v>367.70499999999998</v>
      </c>
      <c r="M888">
        <v>0.99989410000000001</v>
      </c>
      <c r="N888">
        <v>-1.4341619999999999E-2</v>
      </c>
      <c r="O888">
        <v>2.4897859999999999E-3</v>
      </c>
      <c r="P888">
        <v>0.98629719999999999</v>
      </c>
      <c r="Q888">
        <v>0.16107299999999999</v>
      </c>
      <c r="R888">
        <v>3.568516E-2</v>
      </c>
      <c r="S888">
        <v>3.0586850000000001</v>
      </c>
      <c r="T888">
        <v>-3.3180000000000001E-2</v>
      </c>
      <c r="U888">
        <v>-0.31771850000000001</v>
      </c>
      <c r="V888">
        <v>-3.3114909999999997E-2</v>
      </c>
      <c r="W888">
        <v>0.1752242</v>
      </c>
      <c r="X888">
        <v>0.9839715</v>
      </c>
      <c r="Y888">
        <v>0.10578029999999999</v>
      </c>
      <c r="Z888">
        <v>-1.324165E-3</v>
      </c>
      <c r="AA888">
        <v>0.99438859999999996</v>
      </c>
      <c r="AB888">
        <v>31</v>
      </c>
      <c r="AC888">
        <v>86.840199999999996</v>
      </c>
      <c r="AD888">
        <v>-0.94472540000000005</v>
      </c>
      <c r="AE888">
        <v>-9.0458999999999605</v>
      </c>
      <c r="AF888">
        <v>9.2610234194639904</v>
      </c>
      <c r="AG888">
        <v>-0.94472540000000005</v>
      </c>
      <c r="AH888">
        <v>86.807242724015097</v>
      </c>
      <c r="AI888">
        <v>90.620008681935602</v>
      </c>
      <c r="AJ888">
        <v>83.910437987021098</v>
      </c>
      <c r="AK888">
        <v>87.304962345810196</v>
      </c>
      <c r="AL888">
        <v>79.908294732566503</v>
      </c>
      <c r="AM888">
        <v>91.927524067874899</v>
      </c>
      <c r="AN888">
        <v>1.0000000151710899</v>
      </c>
    </row>
    <row r="889" spans="1:40" x14ac:dyDescent="0.25">
      <c r="A889" t="str">
        <f>"20190304155332429"</f>
        <v>20190304155332429</v>
      </c>
      <c r="B889" t="str">
        <f>"1551686012426716"</f>
        <v>1551686012426716</v>
      </c>
      <c r="C889" t="s">
        <v>40</v>
      </c>
      <c r="D889">
        <v>4.3875539999999997</v>
      </c>
      <c r="E889">
        <v>0.55323429999999996</v>
      </c>
      <c r="F889" t="s">
        <v>41</v>
      </c>
      <c r="G889">
        <v>-158.19499999999999</v>
      </c>
      <c r="H889">
        <v>0.24747279999999999</v>
      </c>
      <c r="I889">
        <v>358.51280000000003</v>
      </c>
      <c r="J889">
        <v>-244.8184</v>
      </c>
      <c r="K889">
        <v>1.110139</v>
      </c>
      <c r="L889">
        <v>367.70530000000002</v>
      </c>
      <c r="M889">
        <v>0.99989459999999997</v>
      </c>
      <c r="N889">
        <v>-1.4339319999999999E-2</v>
      </c>
      <c r="O889">
        <v>2.2701449999999999E-3</v>
      </c>
      <c r="P889">
        <v>0.98626639999999999</v>
      </c>
      <c r="Q889">
        <v>0.16132199999999999</v>
      </c>
      <c r="R889">
        <v>3.5409339999999997E-2</v>
      </c>
      <c r="S889">
        <v>3.0583499999999999</v>
      </c>
      <c r="T889">
        <v>-3.0378579999999999E-2</v>
      </c>
      <c r="U889">
        <v>-0.32373049999999998</v>
      </c>
      <c r="V889">
        <v>-3.305338E-2</v>
      </c>
      <c r="W889">
        <v>0.17547109999999999</v>
      </c>
      <c r="X889">
        <v>0.98392959999999996</v>
      </c>
      <c r="Y889">
        <v>0.1075079</v>
      </c>
      <c r="Z889">
        <v>-1.2954900000000001E-3</v>
      </c>
      <c r="AA889">
        <v>0.99420339999999996</v>
      </c>
      <c r="AB889">
        <v>31</v>
      </c>
      <c r="AC889">
        <v>86.623400000000004</v>
      </c>
      <c r="AD889">
        <v>-0.86266620000000005</v>
      </c>
      <c r="AE889">
        <v>-9.1924999999999901</v>
      </c>
      <c r="AF889">
        <v>9.3882234725757705</v>
      </c>
      <c r="AG889">
        <v>-0.86266620000000005</v>
      </c>
      <c r="AH889">
        <v>86.593813732979299</v>
      </c>
      <c r="AI889">
        <v>90.567449006214005</v>
      </c>
      <c r="AJ889">
        <v>83.812343528711295</v>
      </c>
      <c r="AK889">
        <v>87.105519398976995</v>
      </c>
      <c r="AL889">
        <v>79.893926088333103</v>
      </c>
      <c r="AM889">
        <v>91.924027145302105</v>
      </c>
      <c r="AN889">
        <v>1.0000000453103901</v>
      </c>
    </row>
    <row r="890" spans="1:40" x14ac:dyDescent="0.25">
      <c r="A890" t="str">
        <f>"20190304155332447"</f>
        <v>20190304155332447</v>
      </c>
      <c r="B890" t="str">
        <f>"1551686012436476"</f>
        <v>1551686012436476</v>
      </c>
      <c r="C890" t="s">
        <v>40</v>
      </c>
      <c r="D890">
        <v>4.4257010000000001</v>
      </c>
      <c r="E890">
        <v>0.55329919999999899</v>
      </c>
      <c r="F890" t="s">
        <v>41</v>
      </c>
      <c r="G890">
        <v>-158.19499999999999</v>
      </c>
      <c r="H890">
        <v>0.2980042</v>
      </c>
      <c r="I890">
        <v>358.46129999999999</v>
      </c>
      <c r="J890">
        <v>-244.57</v>
      </c>
      <c r="K890">
        <v>1.1101369999999999</v>
      </c>
      <c r="L890">
        <v>367.7056</v>
      </c>
      <c r="M890">
        <v>0.99989530000000004</v>
      </c>
      <c r="N890">
        <v>-1.4336720000000001E-2</v>
      </c>
      <c r="O890">
        <v>2.012219E-3</v>
      </c>
      <c r="P890">
        <v>0.98621650000000005</v>
      </c>
      <c r="Q890">
        <v>0.16165950000000001</v>
      </c>
      <c r="R890">
        <v>3.5260010000000001E-2</v>
      </c>
      <c r="S890">
        <v>3.058182</v>
      </c>
      <c r="T890">
        <v>-2.8668760000000001E-2</v>
      </c>
      <c r="U890">
        <v>-0.32635500000000001</v>
      </c>
      <c r="V890">
        <v>-3.3155990000000003E-2</v>
      </c>
      <c r="W890">
        <v>0.17580580000000001</v>
      </c>
      <c r="X890">
        <v>0.98386629999999997</v>
      </c>
      <c r="Y890">
        <v>0.1081017</v>
      </c>
      <c r="Z890">
        <v>-1.2724819999999999E-3</v>
      </c>
      <c r="AA890">
        <v>0.99413899999999999</v>
      </c>
      <c r="AB890">
        <v>31</v>
      </c>
      <c r="AC890">
        <v>86.375</v>
      </c>
      <c r="AD890">
        <v>-0.81213279999999999</v>
      </c>
      <c r="AE890">
        <v>-9.2443000000000097</v>
      </c>
      <c r="AF890">
        <v>9.4172814356453003</v>
      </c>
      <c r="AG890">
        <v>-0.81213279999999999</v>
      </c>
      <c r="AH890">
        <v>86.348674404455295</v>
      </c>
      <c r="AI890">
        <v>90.535690289438193</v>
      </c>
      <c r="AJ890">
        <v>83.775858775174797</v>
      </c>
      <c r="AK890">
        <v>86.864482504241195</v>
      </c>
      <c r="AL890">
        <v>79.874445375023299</v>
      </c>
      <c r="AM890">
        <v>91.930119610041203</v>
      </c>
      <c r="AN890">
        <v>0.999999947631103</v>
      </c>
    </row>
    <row r="891" spans="1:40" x14ac:dyDescent="0.25">
      <c r="A891" t="str">
        <f>"20190304155332470"</f>
        <v>20190304155332470</v>
      </c>
      <c r="B891" t="str">
        <f>"1551686012466733"</f>
        <v>1551686012466733</v>
      </c>
      <c r="C891" t="s">
        <v>40</v>
      </c>
      <c r="D891">
        <v>4.4058199999999896</v>
      </c>
      <c r="E891">
        <v>0.55370039999999998</v>
      </c>
      <c r="F891" t="s">
        <v>41</v>
      </c>
      <c r="G891">
        <v>-158.19499999999999</v>
      </c>
      <c r="H891">
        <v>0.33354850000000003</v>
      </c>
      <c r="I891">
        <v>358.46390000000002</v>
      </c>
      <c r="J891">
        <v>-244.25800000000001</v>
      </c>
      <c r="K891">
        <v>1.110131</v>
      </c>
      <c r="L891">
        <v>367.70589999999999</v>
      </c>
      <c r="M891">
        <v>0.99989589999999995</v>
      </c>
      <c r="N891">
        <v>-1.4333449999999999E-2</v>
      </c>
      <c r="O891">
        <v>1.6791760000000001E-3</v>
      </c>
      <c r="P891">
        <v>0.98615419999999998</v>
      </c>
      <c r="Q891">
        <v>0.16224520000000001</v>
      </c>
      <c r="R891">
        <v>3.4301199999999997E-2</v>
      </c>
      <c r="S891">
        <v>3.0581510000000001</v>
      </c>
      <c r="T891">
        <v>-2.74924E-2</v>
      </c>
      <c r="U891">
        <v>-0.32720949999999999</v>
      </c>
      <c r="V891">
        <v>-3.2522019999999999E-2</v>
      </c>
      <c r="W891">
        <v>0.1763874</v>
      </c>
      <c r="X891">
        <v>0.98378339999999997</v>
      </c>
      <c r="Y891">
        <v>0.108047</v>
      </c>
      <c r="Z891">
        <v>-1.251952E-3</v>
      </c>
      <c r="AA891">
        <v>0.99414499999999995</v>
      </c>
      <c r="AB891">
        <v>31</v>
      </c>
      <c r="AC891">
        <v>86.062999999999903</v>
      </c>
      <c r="AD891">
        <v>-0.77658249999999995</v>
      </c>
      <c r="AE891">
        <v>-9.24199999999996</v>
      </c>
      <c r="AF891">
        <v>9.3857612376343198</v>
      </c>
      <c r="AG891">
        <v>-0.77658249999999995</v>
      </c>
      <c r="AH891">
        <v>86.040432378322294</v>
      </c>
      <c r="AI891">
        <v>90.514075933671506</v>
      </c>
      <c r="AJ891">
        <v>83.774478754490602</v>
      </c>
      <c r="AK891">
        <v>86.554327437961405</v>
      </c>
      <c r="AL891">
        <v>79.840593542867794</v>
      </c>
      <c r="AM891">
        <v>91.893400663966801</v>
      </c>
      <c r="AN891">
        <v>0.99999998738960005</v>
      </c>
    </row>
    <row r="892" spans="1:40" x14ac:dyDescent="0.25">
      <c r="A892" t="str">
        <f>"20190304155332493"</f>
        <v>20190304155332493</v>
      </c>
      <c r="B892" t="str">
        <f>"1551686012486252"</f>
        <v>1551686012486252</v>
      </c>
      <c r="C892" t="s">
        <v>40</v>
      </c>
      <c r="D892">
        <v>4.4066159999999996</v>
      </c>
      <c r="E892">
        <v>0.5540813</v>
      </c>
      <c r="F892" t="s">
        <v>41</v>
      </c>
      <c r="G892">
        <v>-158.19499999999999</v>
      </c>
      <c r="H892">
        <v>0.39314270000000001</v>
      </c>
      <c r="I892">
        <v>358.32240000000002</v>
      </c>
      <c r="J892">
        <v>-243.94900000000001</v>
      </c>
      <c r="K892">
        <v>1.110123</v>
      </c>
      <c r="L892">
        <v>367.70609999999999</v>
      </c>
      <c r="M892">
        <v>0.99989660000000002</v>
      </c>
      <c r="N892">
        <v>-1.43302E-2</v>
      </c>
      <c r="O892">
        <v>1.3410220000000001E-3</v>
      </c>
      <c r="P892">
        <v>0.98619469999999998</v>
      </c>
      <c r="Q892">
        <v>0.16216889999999901</v>
      </c>
      <c r="R892">
        <v>3.3489169999999999E-2</v>
      </c>
      <c r="S892">
        <v>3.0578919999999998</v>
      </c>
      <c r="T892">
        <v>-2.5472040000000001E-2</v>
      </c>
      <c r="U892">
        <v>-0.33340449999999999</v>
      </c>
      <c r="V892">
        <v>-3.2041170000000001E-2</v>
      </c>
      <c r="W892">
        <v>0.17630799999999999</v>
      </c>
      <c r="X892">
        <v>0.98381339999999995</v>
      </c>
      <c r="Y892">
        <v>0.1097113</v>
      </c>
      <c r="Z892">
        <v>-1.236055E-3</v>
      </c>
      <c r="AA892">
        <v>0.99396269999999998</v>
      </c>
      <c r="AB892">
        <v>31</v>
      </c>
      <c r="AC892">
        <v>85.754000000000005</v>
      </c>
      <c r="AD892">
        <v>-0.71698029999999902</v>
      </c>
      <c r="AE892">
        <v>-9.3836999999999708</v>
      </c>
      <c r="AF892">
        <v>9.4980452491277205</v>
      </c>
      <c r="AG892">
        <v>-0.71698029999999902</v>
      </c>
      <c r="AH892">
        <v>85.735415454493193</v>
      </c>
      <c r="AI892">
        <v>90.476223462007596</v>
      </c>
      <c r="AJ892">
        <v>83.678366685470806</v>
      </c>
      <c r="AK892">
        <v>86.262902730313996</v>
      </c>
      <c r="AL892">
        <v>79.845215150254305</v>
      </c>
      <c r="AM892">
        <v>91.865369124144806</v>
      </c>
      <c r="AN892">
        <v>0.999999976729264</v>
      </c>
    </row>
    <row r="893" spans="1:40" x14ac:dyDescent="0.25">
      <c r="A893" t="str">
        <f>"20190304155332515"</f>
        <v>20190304155332515</v>
      </c>
      <c r="B893" t="str">
        <f>"1551686012506747"</f>
        <v>1551686012506747</v>
      </c>
      <c r="C893" t="s">
        <v>40</v>
      </c>
      <c r="D893">
        <v>4.3733370000000003</v>
      </c>
      <c r="E893">
        <v>0.5542743</v>
      </c>
      <c r="F893" t="s">
        <v>41</v>
      </c>
      <c r="G893">
        <v>-158.19499999999999</v>
      </c>
      <c r="H893">
        <v>0.41104030000000003</v>
      </c>
      <c r="I893">
        <v>358.21069999999997</v>
      </c>
      <c r="J893">
        <v>-243.63640000000001</v>
      </c>
      <c r="K893">
        <v>1.1101259999999999</v>
      </c>
      <c r="L893">
        <v>367.70609999999999</v>
      </c>
      <c r="M893">
        <v>0.99989689999999998</v>
      </c>
      <c r="N893">
        <v>-1.432693E-2</v>
      </c>
      <c r="O893">
        <v>9.9132199999999999E-4</v>
      </c>
      <c r="P893">
        <v>0.98631100000000005</v>
      </c>
      <c r="Q893">
        <v>0.16164809999999999</v>
      </c>
      <c r="R893">
        <v>3.2571780000000002E-2</v>
      </c>
      <c r="S893">
        <v>3.0576020000000002</v>
      </c>
      <c r="T893">
        <v>-2.4922969999999999E-2</v>
      </c>
      <c r="U893">
        <v>-0.33856199999999997</v>
      </c>
      <c r="V893">
        <v>-3.1466670000000002E-2</v>
      </c>
      <c r="W893">
        <v>0.17578559999999999</v>
      </c>
      <c r="X893">
        <v>0.98392550000000001</v>
      </c>
      <c r="Y893">
        <v>0.1110305</v>
      </c>
      <c r="Z893">
        <v>-1.242887E-3</v>
      </c>
      <c r="AA893">
        <v>0.99381620000000004</v>
      </c>
      <c r="AB893">
        <v>31</v>
      </c>
      <c r="AC893">
        <v>85.441400000000002</v>
      </c>
      <c r="AD893">
        <v>-0.69908569999999903</v>
      </c>
      <c r="AE893">
        <v>-9.4954000000000107</v>
      </c>
      <c r="AF893">
        <v>9.5794704821890608</v>
      </c>
      <c r="AG893">
        <v>-0.69908569999999903</v>
      </c>
      <c r="AH893">
        <v>85.426294872928594</v>
      </c>
      <c r="AI893">
        <v>90.465948970506403</v>
      </c>
      <c r="AJ893">
        <v>83.601737917612795</v>
      </c>
      <c r="AK893">
        <v>85.964567301020196</v>
      </c>
      <c r="AL893">
        <v>79.875622198768696</v>
      </c>
      <c r="AM893">
        <v>91.831737373651904</v>
      </c>
      <c r="AN893">
        <v>1.0000000590192399</v>
      </c>
    </row>
    <row r="894" spans="1:40" x14ac:dyDescent="0.25">
      <c r="A894" t="str">
        <f>"20190304155332537"</f>
        <v>20190304155332537</v>
      </c>
      <c r="B894" t="str">
        <f>"1551686012526268"</f>
        <v>1551686012526268</v>
      </c>
      <c r="C894" t="s">
        <v>40</v>
      </c>
      <c r="D894">
        <v>4.3486599999999997</v>
      </c>
      <c r="E894">
        <v>0.55443569999999998</v>
      </c>
      <c r="F894" t="s">
        <v>41</v>
      </c>
      <c r="G894">
        <v>-158.19499999999999</v>
      </c>
      <c r="H894">
        <v>0.39242270000000001</v>
      </c>
      <c r="I894">
        <v>358.11180000000002</v>
      </c>
      <c r="J894">
        <v>-243.32919999999999</v>
      </c>
      <c r="K894">
        <v>1.1101240000000001</v>
      </c>
      <c r="L894">
        <v>367.70600000000002</v>
      </c>
      <c r="M894">
        <v>0.99989729999999999</v>
      </c>
      <c r="N894">
        <v>-1.432368E-2</v>
      </c>
      <c r="O894">
        <v>6.4164430000000002E-4</v>
      </c>
      <c r="P894">
        <v>0.98636690000000005</v>
      </c>
      <c r="Q894">
        <v>0.16139829999999999</v>
      </c>
      <c r="R894">
        <v>3.2111019999999997E-2</v>
      </c>
      <c r="S894">
        <v>3.057175</v>
      </c>
      <c r="T894">
        <v>-2.567697E-2</v>
      </c>
      <c r="U894">
        <v>-0.34329219999999999</v>
      </c>
      <c r="V894">
        <v>-3.1348939999999999E-2</v>
      </c>
      <c r="W894">
        <v>0.17553350000000001</v>
      </c>
      <c r="X894">
        <v>0.98397420000000002</v>
      </c>
      <c r="Y894">
        <v>0.11221639999999999</v>
      </c>
      <c r="Z894">
        <v>-1.2722460000000001E-3</v>
      </c>
      <c r="AA894">
        <v>0.99368299999999998</v>
      </c>
      <c r="AB894">
        <v>31</v>
      </c>
      <c r="AC894">
        <v>85.134199999999893</v>
      </c>
      <c r="AD894">
        <v>-0.71770129999999899</v>
      </c>
      <c r="AE894">
        <v>-9.5941999999999403</v>
      </c>
      <c r="AF894">
        <v>9.6481524140542998</v>
      </c>
      <c r="AG894">
        <v>-0.71770129999999899</v>
      </c>
      <c r="AH894">
        <v>85.122052115755395</v>
      </c>
      <c r="AI894">
        <v>90.480001043543297</v>
      </c>
      <c r="AJ894">
        <v>83.5334123029848</v>
      </c>
      <c r="AK894">
        <v>85.670098030516002</v>
      </c>
      <c r="AL894">
        <v>79.890293961391194</v>
      </c>
      <c r="AM894">
        <v>91.824798460610097</v>
      </c>
      <c r="AN894">
        <v>0.99999999596350597</v>
      </c>
    </row>
    <row r="895" spans="1:40" x14ac:dyDescent="0.25">
      <c r="A895" t="str">
        <f>"20190304155332558"</f>
        <v>20190304155332558</v>
      </c>
      <c r="B895" t="str">
        <f>"1551686012546764"</f>
        <v>1551686012546764</v>
      </c>
      <c r="C895" t="s">
        <v>40</v>
      </c>
      <c r="D895">
        <v>4.3483609999999997</v>
      </c>
      <c r="E895">
        <v>0.55455859999999901</v>
      </c>
      <c r="F895" t="s">
        <v>41</v>
      </c>
      <c r="G895">
        <v>-158.19499999999999</v>
      </c>
      <c r="H895">
        <v>0.39664359999999999</v>
      </c>
      <c r="I895">
        <v>358.07409999999999</v>
      </c>
      <c r="J895">
        <v>-243.0359</v>
      </c>
      <c r="K895">
        <v>1.1101219999999901</v>
      </c>
      <c r="L895">
        <v>367.70580000000001</v>
      </c>
      <c r="M895">
        <v>0.99989749999999999</v>
      </c>
      <c r="N895">
        <v>-1.4320569999999999E-2</v>
      </c>
      <c r="O895">
        <v>3.042066E-4</v>
      </c>
      <c r="P895">
        <v>0.98642430000000003</v>
      </c>
      <c r="Q895">
        <v>0.16119919999999999</v>
      </c>
      <c r="R895">
        <v>3.13434E-2</v>
      </c>
      <c r="S895">
        <v>3.0569310000000001</v>
      </c>
      <c r="T895">
        <v>-2.5615929999999999E-2</v>
      </c>
      <c r="U895">
        <v>-0.34585569999999999</v>
      </c>
      <c r="V895">
        <v>-3.0913240000000002E-2</v>
      </c>
      <c r="W895">
        <v>0.17533219999999999</v>
      </c>
      <c r="X895">
        <v>0.98402389999999995</v>
      </c>
      <c r="Y895">
        <v>0.1127126</v>
      </c>
      <c r="Z895">
        <v>-1.2786339999999901E-3</v>
      </c>
      <c r="AA895">
        <v>0.99362680000000003</v>
      </c>
      <c r="AB895">
        <v>31</v>
      </c>
      <c r="AC895">
        <v>84.840900000000005</v>
      </c>
      <c r="AD895">
        <v>-0.71347839999999896</v>
      </c>
      <c r="AE895">
        <v>-9.6317000000000199</v>
      </c>
      <c r="AF895">
        <v>9.6568371050147803</v>
      </c>
      <c r="AG895">
        <v>-0.71347839999999896</v>
      </c>
      <c r="AH895">
        <v>84.832042640685302</v>
      </c>
      <c r="AI895">
        <v>90.478781799777906</v>
      </c>
      <c r="AJ895">
        <v>83.505702938873696</v>
      </c>
      <c r="AK895">
        <v>85.382896489233104</v>
      </c>
      <c r="AL895">
        <v>79.902009558639193</v>
      </c>
      <c r="AM895">
        <v>91.799362654212899</v>
      </c>
      <c r="AN895">
        <v>1.0000000222676699</v>
      </c>
    </row>
    <row r="896" spans="1:40" x14ac:dyDescent="0.25">
      <c r="A896" t="str">
        <f>"20190304155332581"</f>
        <v>20190304155332581</v>
      </c>
      <c r="B896" t="str">
        <f>"1551686012577020"</f>
        <v>1551686012577020</v>
      </c>
      <c r="C896" t="s">
        <v>40</v>
      </c>
      <c r="D896">
        <v>4.3403369999999999</v>
      </c>
      <c r="E896">
        <v>0.554724199999999</v>
      </c>
      <c r="F896" t="s">
        <v>41</v>
      </c>
      <c r="G896">
        <v>-158.19499999999999</v>
      </c>
      <c r="H896">
        <v>0.39379690000000001</v>
      </c>
      <c r="I896">
        <v>358.0104</v>
      </c>
      <c r="J896">
        <v>-242.72059999999999</v>
      </c>
      <c r="K896">
        <v>1.110117</v>
      </c>
      <c r="L896">
        <v>367.7056</v>
      </c>
      <c r="M896">
        <v>0.99989749999999999</v>
      </c>
      <c r="N896">
        <v>-1.431721E-2</v>
      </c>
      <c r="O896" s="1">
        <v>-6.1047250000000004E-5</v>
      </c>
      <c r="P896">
        <v>0.98653999999999997</v>
      </c>
      <c r="Q896">
        <v>0.16057439999999901</v>
      </c>
      <c r="R896">
        <v>3.0899639999999999E-2</v>
      </c>
      <c r="S896">
        <v>3.05661</v>
      </c>
      <c r="T896">
        <v>-2.5804279999999999E-2</v>
      </c>
      <c r="U896">
        <v>-0.34930420000000001</v>
      </c>
      <c r="V896">
        <v>-3.0828979999999999E-2</v>
      </c>
      <c r="W896">
        <v>0.17470539999999901</v>
      </c>
      <c r="X896">
        <v>0.98413799999999996</v>
      </c>
      <c r="Y896">
        <v>0.11346779999999999</v>
      </c>
      <c r="Z896">
        <v>-1.292737E-3</v>
      </c>
      <c r="AA896">
        <v>0.9935408</v>
      </c>
      <c r="AB896">
        <v>31</v>
      </c>
      <c r="AC896">
        <v>84.525599999999997</v>
      </c>
      <c r="AD896">
        <v>-0.71632010000000002</v>
      </c>
      <c r="AE896">
        <v>-9.6951999999999998</v>
      </c>
      <c r="AF896">
        <v>9.6893525568525796</v>
      </c>
      <c r="AG896">
        <v>-0.71632010000000002</v>
      </c>
      <c r="AH896">
        <v>84.520200458620906</v>
      </c>
      <c r="AI896">
        <v>90.482418310588201</v>
      </c>
      <c r="AJ896">
        <v>83.460190607347798</v>
      </c>
      <c r="AK896">
        <v>85.076794444913801</v>
      </c>
      <c r="AL896">
        <v>79.938485360078204</v>
      </c>
      <c r="AM896">
        <v>91.794253442987895</v>
      </c>
      <c r="AN896">
        <v>1.0000000029205001</v>
      </c>
    </row>
    <row r="897" spans="1:40" x14ac:dyDescent="0.25">
      <c r="A897" t="str">
        <f>"20190304155332604"</f>
        <v>20190304155332604</v>
      </c>
      <c r="B897" t="str">
        <f>"1551686012596557"</f>
        <v>1551686012596557</v>
      </c>
      <c r="C897" t="s">
        <v>40</v>
      </c>
      <c r="D897">
        <v>4.4133589999999998</v>
      </c>
      <c r="E897">
        <v>0.55482039999999999</v>
      </c>
      <c r="F897" t="s">
        <v>41</v>
      </c>
      <c r="G897">
        <v>-158.19499999999999</v>
      </c>
      <c r="H897">
        <v>0.36822700000000003</v>
      </c>
      <c r="I897">
        <v>357.98020000000002</v>
      </c>
      <c r="J897">
        <v>-242.41919999999999</v>
      </c>
      <c r="K897">
        <v>1.1101179999999999</v>
      </c>
      <c r="L897">
        <v>367.70519999999999</v>
      </c>
      <c r="M897">
        <v>0.99989749999999999</v>
      </c>
      <c r="N897">
        <v>-1.431399E-2</v>
      </c>
      <c r="O897">
        <v>-4.116209E-4</v>
      </c>
      <c r="P897">
        <v>0.98663339999999999</v>
      </c>
      <c r="Q897">
        <v>0.16008729999999999</v>
      </c>
      <c r="R897">
        <v>3.0440120000000001E-2</v>
      </c>
      <c r="S897">
        <v>3.056305</v>
      </c>
      <c r="T897">
        <v>-2.6822329999999998E-2</v>
      </c>
      <c r="U897">
        <v>-0.35165410000000002</v>
      </c>
      <c r="V897">
        <v>-3.0715300000000001E-2</v>
      </c>
      <c r="W897">
        <v>0.1742166</v>
      </c>
      <c r="X897">
        <v>0.9842282</v>
      </c>
      <c r="Y897">
        <v>0.113884</v>
      </c>
      <c r="Z897">
        <v>-1.318177E-3</v>
      </c>
      <c r="AA897">
        <v>0.99349319999999997</v>
      </c>
      <c r="AB897">
        <v>31</v>
      </c>
      <c r="AC897">
        <v>84.224199999999996</v>
      </c>
      <c r="AD897">
        <v>-0.74189099999999997</v>
      </c>
      <c r="AE897">
        <v>-9.7249999999999606</v>
      </c>
      <c r="AF897">
        <v>9.6895852595196708</v>
      </c>
      <c r="AG897">
        <v>-0.74189099999999997</v>
      </c>
      <c r="AH897">
        <v>84.221747488671397</v>
      </c>
      <c r="AI897">
        <v>90.501385836589094</v>
      </c>
      <c r="AJ897">
        <v>83.437061346224596</v>
      </c>
      <c r="AK897">
        <v>84.7805473844261</v>
      </c>
      <c r="AL897">
        <v>79.966927712896805</v>
      </c>
      <c r="AM897">
        <v>91.787477819838102</v>
      </c>
      <c r="AN897">
        <v>1.00000000152244</v>
      </c>
    </row>
    <row r="898" spans="1:40" x14ac:dyDescent="0.25">
      <c r="A898" t="str">
        <f>"20190304155332625"</f>
        <v>20190304155332625</v>
      </c>
      <c r="B898" t="str">
        <f>"1551686012617036"</f>
        <v>1551686012617036</v>
      </c>
      <c r="C898" t="s">
        <v>40</v>
      </c>
      <c r="D898">
        <v>4.3177399999999997</v>
      </c>
      <c r="E898">
        <v>0.55472880000000002</v>
      </c>
      <c r="F898" t="s">
        <v>41</v>
      </c>
      <c r="G898">
        <v>-158.19499999999999</v>
      </c>
      <c r="H898">
        <v>0.33292870000000002</v>
      </c>
      <c r="I898">
        <v>357.94749999999999</v>
      </c>
      <c r="J898">
        <v>-242.11840000000001</v>
      </c>
      <c r="K898">
        <v>1.110115</v>
      </c>
      <c r="L898">
        <v>367.70460000000003</v>
      </c>
      <c r="M898">
        <v>0.99989720000000004</v>
      </c>
      <c r="N898">
        <v>-1.431078E-2</v>
      </c>
      <c r="O898">
        <v>-7.6182559999999895E-4</v>
      </c>
      <c r="P898">
        <v>0.98668739999999999</v>
      </c>
      <c r="Q898">
        <v>0.15985839999999901</v>
      </c>
      <c r="R898">
        <v>2.9883349999999999E-2</v>
      </c>
      <c r="S898">
        <v>3.0561370000000001</v>
      </c>
      <c r="T898">
        <v>-2.8197650000000001E-2</v>
      </c>
      <c r="U898">
        <v>-0.35406490000000002</v>
      </c>
      <c r="V898">
        <v>-3.050396E-2</v>
      </c>
      <c r="W898">
        <v>0.1739851</v>
      </c>
      <c r="X898">
        <v>0.98427569999999998</v>
      </c>
      <c r="Y898">
        <v>0.11431479999999999</v>
      </c>
      <c r="Z898">
        <v>-1.3502379999999999E-3</v>
      </c>
      <c r="AA898">
        <v>0.99344370000000004</v>
      </c>
      <c r="AB898">
        <v>31</v>
      </c>
      <c r="AC898">
        <v>83.923400000000001</v>
      </c>
      <c r="AD898">
        <v>-0.777186299999999</v>
      </c>
      <c r="AE898">
        <v>-9.7571000000000296</v>
      </c>
      <c r="AF898">
        <v>9.6923354908975803</v>
      </c>
      <c r="AG898">
        <v>-0.777186299999999</v>
      </c>
      <c r="AH898">
        <v>83.923708312513895</v>
      </c>
      <c r="AI898">
        <v>90.527076566844499</v>
      </c>
      <c r="AJ898">
        <v>83.412105805909803</v>
      </c>
      <c r="AK898">
        <v>84.485112314164098</v>
      </c>
      <c r="AL898">
        <v>79.980397180392401</v>
      </c>
      <c r="AM898">
        <v>91.775101164983795</v>
      </c>
      <c r="AN898">
        <v>0.99999998010408997</v>
      </c>
    </row>
    <row r="899" spans="1:40" x14ac:dyDescent="0.25">
      <c r="A899" t="str">
        <f>"20190304155332648"</f>
        <v>20190304155332648</v>
      </c>
      <c r="B899" t="str">
        <f>"1551686012636556"</f>
        <v>1551686012636556</v>
      </c>
      <c r="C899" t="s">
        <v>40</v>
      </c>
      <c r="D899">
        <v>4.3518850000000002</v>
      </c>
      <c r="E899">
        <v>0.55474040000000002</v>
      </c>
      <c r="F899" t="s">
        <v>41</v>
      </c>
      <c r="G899">
        <v>-158.19499999999999</v>
      </c>
      <c r="H899">
        <v>0.30786799999999998</v>
      </c>
      <c r="I899">
        <v>357.9502</v>
      </c>
      <c r="J899">
        <v>-241.81379999999999</v>
      </c>
      <c r="K899">
        <v>1.110112</v>
      </c>
      <c r="L899">
        <v>367.70400000000001</v>
      </c>
      <c r="M899">
        <v>0.99989709999999998</v>
      </c>
      <c r="N899">
        <v>-1.4307530000000001E-2</v>
      </c>
      <c r="O899">
        <v>-1.1171499999999999E-3</v>
      </c>
      <c r="P899">
        <v>0.98670389999999997</v>
      </c>
      <c r="Q899">
        <v>0.15984799999999999</v>
      </c>
      <c r="R899">
        <v>2.939934E-2</v>
      </c>
      <c r="S899">
        <v>3.0559690000000002</v>
      </c>
      <c r="T899">
        <v>-2.920961E-2</v>
      </c>
      <c r="U899">
        <v>-0.35519410000000001</v>
      </c>
      <c r="V899">
        <v>-3.0370749999999998E-2</v>
      </c>
      <c r="W899">
        <v>0.1739715</v>
      </c>
      <c r="X899">
        <v>0.98428230000000005</v>
      </c>
      <c r="Y899">
        <v>0.1143296</v>
      </c>
      <c r="Z899">
        <v>-1.370556E-3</v>
      </c>
      <c r="AA899">
        <v>0.99344189999999999</v>
      </c>
      <c r="AB899">
        <v>31</v>
      </c>
      <c r="AC899">
        <v>83.618799999999993</v>
      </c>
      <c r="AD899">
        <v>-0.80224399999999996</v>
      </c>
      <c r="AE899">
        <v>-9.7538000000000107</v>
      </c>
      <c r="AF899">
        <v>9.6594924319984905</v>
      </c>
      <c r="AG899">
        <v>-0.80224399999999996</v>
      </c>
      <c r="AH899">
        <v>83.622051626825197</v>
      </c>
      <c r="AI899">
        <v>90.546030395299297</v>
      </c>
      <c r="AJ899">
        <v>83.410756725708495</v>
      </c>
      <c r="AK899">
        <v>84.181927441457304</v>
      </c>
      <c r="AL899">
        <v>79.981189235590804</v>
      </c>
      <c r="AM899">
        <v>91.767342428067593</v>
      </c>
      <c r="AN899">
        <v>1.00000005568054</v>
      </c>
    </row>
    <row r="900" spans="1:40" x14ac:dyDescent="0.25">
      <c r="A900" t="str">
        <f>"20190304155332669"</f>
        <v>20190304155332669</v>
      </c>
      <c r="B900" t="str">
        <f>"1551686012666812"</f>
        <v>1551686012666812</v>
      </c>
      <c r="C900" t="s">
        <v>40</v>
      </c>
      <c r="D900">
        <v>4.3587420000000003</v>
      </c>
      <c r="E900">
        <v>0.55471809999999999</v>
      </c>
      <c r="F900" t="s">
        <v>41</v>
      </c>
      <c r="G900">
        <v>-158.19499999999999</v>
      </c>
      <c r="H900">
        <v>0.3216</v>
      </c>
      <c r="I900">
        <v>357.935</v>
      </c>
      <c r="J900">
        <v>-241.51750000000001</v>
      </c>
      <c r="K900">
        <v>1.1101160000000001</v>
      </c>
      <c r="L900">
        <v>367.70330000000001</v>
      </c>
      <c r="M900">
        <v>0.99989660000000002</v>
      </c>
      <c r="N900">
        <v>-1.430437E-2</v>
      </c>
      <c r="O900">
        <v>-1.4632999999999901E-3</v>
      </c>
      <c r="P900">
        <v>0.986676</v>
      </c>
      <c r="Q900">
        <v>0.16009489999999901</v>
      </c>
      <c r="R900">
        <v>2.8989419999999998E-2</v>
      </c>
      <c r="S900">
        <v>3.0557249999999998</v>
      </c>
      <c r="T900">
        <v>-2.881181E-2</v>
      </c>
      <c r="U900">
        <v>-0.3569946</v>
      </c>
      <c r="V900">
        <v>-3.030184E-2</v>
      </c>
      <c r="W900">
        <v>0.1742148</v>
      </c>
      <c r="X900">
        <v>0.98424140000000004</v>
      </c>
      <c r="Y900">
        <v>0.11457249999999999</v>
      </c>
      <c r="Z900">
        <v>-1.3677190000000001E-3</v>
      </c>
      <c r="AA900">
        <v>0.99341389999999996</v>
      </c>
      <c r="AB900">
        <v>31</v>
      </c>
      <c r="AC900">
        <v>83.322500000000005</v>
      </c>
      <c r="AD900">
        <v>-0.788515999999999</v>
      </c>
      <c r="AE900">
        <v>-9.7683</v>
      </c>
      <c r="AF900">
        <v>9.6454991431079602</v>
      </c>
      <c r="AG900">
        <v>-0.788515999999999</v>
      </c>
      <c r="AH900">
        <v>83.329344694523002</v>
      </c>
      <c r="AI900">
        <v>90.538557743561299</v>
      </c>
      <c r="AJ900">
        <v>83.397309763137898</v>
      </c>
      <c r="AK900">
        <v>83.889433771009394</v>
      </c>
      <c r="AL900">
        <v>79.967033098107905</v>
      </c>
      <c r="AM900">
        <v>91.763408163119706</v>
      </c>
      <c r="AN900">
        <v>1.00000006576019</v>
      </c>
    </row>
    <row r="901" spans="1:40" x14ac:dyDescent="0.25">
      <c r="A901" t="str">
        <f>"20190304155332693"</f>
        <v>20190304155332693</v>
      </c>
      <c r="B901" t="str">
        <f>"1551686012686332"</f>
        <v>1551686012686332</v>
      </c>
      <c r="C901" t="s">
        <v>40</v>
      </c>
      <c r="D901">
        <v>4.3548879999999999</v>
      </c>
      <c r="E901">
        <v>0.554730099999999</v>
      </c>
      <c r="F901" t="s">
        <v>41</v>
      </c>
      <c r="G901">
        <v>-158.19499999999999</v>
      </c>
      <c r="H901">
        <v>0.35964780000000002</v>
      </c>
      <c r="I901">
        <v>357.9366</v>
      </c>
      <c r="J901">
        <v>-241.20160000000001</v>
      </c>
      <c r="K901">
        <v>1.1101179999999999</v>
      </c>
      <c r="L901">
        <v>367.70249999999999</v>
      </c>
      <c r="M901">
        <v>0.99989609999999995</v>
      </c>
      <c r="N901">
        <v>-1.4301090000000001E-2</v>
      </c>
      <c r="O901">
        <v>-1.8341290000000001E-3</v>
      </c>
      <c r="P901">
        <v>0.98665919999999896</v>
      </c>
      <c r="Q901">
        <v>0.16028339999999999</v>
      </c>
      <c r="R901">
        <v>2.8515789999999999E-2</v>
      </c>
      <c r="S901">
        <v>3.0554960000000002</v>
      </c>
      <c r="T901">
        <v>-2.751696E-2</v>
      </c>
      <c r="U901">
        <v>-0.35815429999999998</v>
      </c>
      <c r="V901">
        <v>-3.0193830000000001E-2</v>
      </c>
      <c r="W901">
        <v>0.17439930000000001</v>
      </c>
      <c r="X901">
        <v>0.98421199999999998</v>
      </c>
      <c r="Y901">
        <v>0.1145854</v>
      </c>
      <c r="Z901">
        <v>-1.3461020000000001E-3</v>
      </c>
      <c r="AA901">
        <v>0.99341250000000003</v>
      </c>
      <c r="AB901">
        <v>31</v>
      </c>
      <c r="AC901">
        <v>83.006600000000006</v>
      </c>
      <c r="AD901">
        <v>-0.75047019999999898</v>
      </c>
      <c r="AE901">
        <v>-9.7658999999999807</v>
      </c>
      <c r="AF901">
        <v>9.6128481554569198</v>
      </c>
      <c r="AG901">
        <v>-0.75047019999999898</v>
      </c>
      <c r="AH901">
        <v>83.017680778730195</v>
      </c>
      <c r="AI901">
        <v>90.514495590608306</v>
      </c>
      <c r="AJ901">
        <v>83.394977497419006</v>
      </c>
      <c r="AK901">
        <v>83.575746344619105</v>
      </c>
      <c r="AL901">
        <v>79.956297239470302</v>
      </c>
      <c r="AM901">
        <v>91.757178950298297</v>
      </c>
      <c r="AN901">
        <v>1.00000002207727</v>
      </c>
    </row>
    <row r="902" spans="1:40" x14ac:dyDescent="0.25">
      <c r="A902" t="str">
        <f>"20190304155332716"</f>
        <v>20190304155332716</v>
      </c>
      <c r="B902" t="str">
        <f>"1551686012706828"</f>
        <v>1551686012706828</v>
      </c>
      <c r="C902" t="s">
        <v>40</v>
      </c>
      <c r="D902">
        <v>4.3056789999999996</v>
      </c>
      <c r="E902">
        <v>0.55481979999999997</v>
      </c>
      <c r="F902" t="s">
        <v>41</v>
      </c>
      <c r="G902">
        <v>-158.19499999999999</v>
      </c>
      <c r="H902">
        <v>0.37744620000000001</v>
      </c>
      <c r="I902">
        <v>357.9341</v>
      </c>
      <c r="J902">
        <v>-240.8871</v>
      </c>
      <c r="K902">
        <v>1.1101190000000001</v>
      </c>
      <c r="L902">
        <v>367.70150000000001</v>
      </c>
      <c r="M902">
        <v>0.99989550000000005</v>
      </c>
      <c r="N902">
        <v>-1.4297839999999999E-2</v>
      </c>
      <c r="O902">
        <v>-2.2053289999999998E-3</v>
      </c>
      <c r="P902">
        <v>0.98659790000000003</v>
      </c>
      <c r="Q902">
        <v>0.1607044</v>
      </c>
      <c r="R902">
        <v>2.8262949999999998E-2</v>
      </c>
      <c r="S902">
        <v>3.0553439999999998</v>
      </c>
      <c r="T902">
        <v>-2.6965260000000001E-2</v>
      </c>
      <c r="U902">
        <v>-0.35955809999999999</v>
      </c>
      <c r="V902">
        <v>-3.0305599999999999E-2</v>
      </c>
      <c r="W902">
        <v>0.1748162</v>
      </c>
      <c r="X902">
        <v>0.98413459999999997</v>
      </c>
      <c r="Y902">
        <v>0.11467289999999999</v>
      </c>
      <c r="Z902">
        <v>-1.338999E-3</v>
      </c>
      <c r="AA902">
        <v>0.99340240000000002</v>
      </c>
      <c r="AB902">
        <v>30</v>
      </c>
      <c r="AC902">
        <v>82.692099999999996</v>
      </c>
      <c r="AD902">
        <v>-0.73267280000000001</v>
      </c>
      <c r="AE902">
        <v>-9.7674000000000092</v>
      </c>
      <c r="AF902">
        <v>9.5842522920484807</v>
      </c>
      <c r="AG902">
        <v>-0.73267280000000001</v>
      </c>
      <c r="AH902">
        <v>82.707037904771695</v>
      </c>
      <c r="AI902">
        <v>90.504176316608806</v>
      </c>
      <c r="AJ902">
        <v>83.389936522680799</v>
      </c>
      <c r="AK902">
        <v>83.263730521823405</v>
      </c>
      <c r="AL902">
        <v>79.932037959722607</v>
      </c>
      <c r="AM902">
        <v>91.763818108186399</v>
      </c>
      <c r="AN902">
        <v>1.0000000220454699</v>
      </c>
    </row>
    <row r="903" spans="1:40" x14ac:dyDescent="0.25">
      <c r="A903" t="str">
        <f>"20190304155332739"</f>
        <v>20190304155332739</v>
      </c>
      <c r="B903" t="str">
        <f>"1551686012726348"</f>
        <v>1551686012726348</v>
      </c>
      <c r="C903" t="s">
        <v>40</v>
      </c>
      <c r="D903">
        <v>4.5130759999999999</v>
      </c>
      <c r="E903">
        <v>0.55506619999999995</v>
      </c>
      <c r="F903" t="s">
        <v>41</v>
      </c>
      <c r="G903">
        <v>-158.19499999999999</v>
      </c>
      <c r="H903">
        <v>0.43306539999999999</v>
      </c>
      <c r="I903">
        <v>357.916</v>
      </c>
      <c r="J903">
        <v>-240.58439999999999</v>
      </c>
      <c r="K903">
        <v>1.11012</v>
      </c>
      <c r="L903">
        <v>367.7004</v>
      </c>
      <c r="M903">
        <v>0.99989459999999997</v>
      </c>
      <c r="N903">
        <v>-1.429447E-2</v>
      </c>
      <c r="O903">
        <v>-2.5670070000000001E-3</v>
      </c>
      <c r="P903">
        <v>0.98655009999999999</v>
      </c>
      <c r="Q903">
        <v>0.1610115</v>
      </c>
      <c r="R903">
        <v>2.8184150000000002E-2</v>
      </c>
      <c r="S903">
        <v>3.0551910000000002</v>
      </c>
      <c r="T903">
        <v>-2.5011539999999999E-2</v>
      </c>
      <c r="U903">
        <v>-0.36154170000000002</v>
      </c>
      <c r="V903">
        <v>-3.0583140000000002E-2</v>
      </c>
      <c r="W903">
        <v>0.17512</v>
      </c>
      <c r="X903">
        <v>0.98407199999999995</v>
      </c>
      <c r="Y903">
        <v>0.11495660000000001</v>
      </c>
      <c r="Z903">
        <v>-1.3090930000000001E-3</v>
      </c>
      <c r="AA903">
        <v>0.99336959999999996</v>
      </c>
      <c r="AB903">
        <v>30</v>
      </c>
      <c r="AC903">
        <v>82.389399999999995</v>
      </c>
      <c r="AD903">
        <v>-0.67705459999999995</v>
      </c>
      <c r="AE903">
        <v>-9.7843999999999998</v>
      </c>
      <c r="AF903">
        <v>9.5722145592950394</v>
      </c>
      <c r="AG903">
        <v>-0.67705459999999995</v>
      </c>
      <c r="AH903">
        <v>82.408759909720203</v>
      </c>
      <c r="AI903">
        <v>90.467576990359206</v>
      </c>
      <c r="AJ903">
        <v>83.374482139956797</v>
      </c>
      <c r="AK903">
        <v>82.965591689316994</v>
      </c>
      <c r="AL903">
        <v>79.914358784818404</v>
      </c>
      <c r="AM903">
        <v>91.780074043293794</v>
      </c>
      <c r="AN903">
        <v>1.00000002201812</v>
      </c>
    </row>
    <row r="904" spans="1:40" x14ac:dyDescent="0.25">
      <c r="A904" t="str">
        <f>"20190304155332772"</f>
        <v>20190304155332772</v>
      </c>
      <c r="B904" t="str">
        <f>"1551686012766364"</f>
        <v>1551686012766364</v>
      </c>
      <c r="C904" t="s">
        <v>40</v>
      </c>
      <c r="D904">
        <v>4.5847309999999997</v>
      </c>
      <c r="E904">
        <v>0.58477749999999995</v>
      </c>
      <c r="F904" t="s">
        <v>41</v>
      </c>
      <c r="G904">
        <v>-158.19499999999999</v>
      </c>
      <c r="H904">
        <v>0.41372199999999998</v>
      </c>
      <c r="I904">
        <v>357.89580000000001</v>
      </c>
      <c r="J904">
        <v>-240.13499999999999</v>
      </c>
      <c r="K904">
        <v>1.1101240000000001</v>
      </c>
      <c r="L904">
        <v>367.6986</v>
      </c>
      <c r="M904">
        <v>0.99989320000000004</v>
      </c>
      <c r="N904">
        <v>-1.4289329999999999E-2</v>
      </c>
      <c r="O904">
        <v>-3.114922E-3</v>
      </c>
      <c r="P904">
        <v>0.98660979999999998</v>
      </c>
      <c r="Q904">
        <v>0.16072990000000001</v>
      </c>
      <c r="R904">
        <v>2.7700300000000001E-2</v>
      </c>
      <c r="S904">
        <v>3.0555110000000001</v>
      </c>
      <c r="T904">
        <v>-2.5823470000000001E-2</v>
      </c>
      <c r="U904">
        <v>-0.36361690000000002</v>
      </c>
      <c r="V904">
        <v>-3.0637270000000001E-2</v>
      </c>
      <c r="W904">
        <v>0.17483399999999999</v>
      </c>
      <c r="X904">
        <v>0.98412109999999997</v>
      </c>
      <c r="Y904">
        <v>0.115064899999999</v>
      </c>
      <c r="Z904">
        <v>-1.3277129999999999E-3</v>
      </c>
      <c r="AA904">
        <v>0.99335709999999999</v>
      </c>
      <c r="AB904">
        <v>30</v>
      </c>
      <c r="AC904">
        <v>81.94</v>
      </c>
      <c r="AD904">
        <v>-0.69640199999999897</v>
      </c>
      <c r="AE904">
        <v>-9.8027999999999906</v>
      </c>
      <c r="AF904">
        <v>9.5468098484494703</v>
      </c>
      <c r="AG904">
        <v>-0.69640199999999897</v>
      </c>
      <c r="AH904">
        <v>81.964303581898093</v>
      </c>
      <c r="AI904">
        <v>90.483527812699606</v>
      </c>
      <c r="AJ904">
        <v>83.356397287559204</v>
      </c>
      <c r="AK904">
        <v>82.521352483424593</v>
      </c>
      <c r="AL904">
        <v>79.931001457272302</v>
      </c>
      <c r="AM904">
        <v>91.783133704872895</v>
      </c>
      <c r="AN904">
        <v>0.99999995466712999</v>
      </c>
    </row>
    <row r="905" spans="1:40" x14ac:dyDescent="0.25">
      <c r="A905" t="str">
        <f>"20190304155332793"</f>
        <v>20190304155332793</v>
      </c>
      <c r="B905" t="str">
        <f>"1551686012786860"</f>
        <v>1551686012786860</v>
      </c>
      <c r="C905" t="s">
        <v>40</v>
      </c>
      <c r="D905">
        <v>4.5474600000000001</v>
      </c>
      <c r="E905">
        <v>0.58600540000000001</v>
      </c>
      <c r="F905" t="s">
        <v>46</v>
      </c>
      <c r="G905">
        <v>-210.41309999999999</v>
      </c>
      <c r="H905" s="1">
        <v>-5.4695699999999997E-6</v>
      </c>
      <c r="I905">
        <v>361.86759999999998</v>
      </c>
      <c r="J905">
        <v>-239.84030000000001</v>
      </c>
      <c r="K905">
        <v>1.1101179999999999</v>
      </c>
      <c r="L905">
        <v>367.69740000000002</v>
      </c>
      <c r="M905">
        <v>0.9998918</v>
      </c>
      <c r="N905">
        <v>-1.428601E-2</v>
      </c>
      <c r="O905">
        <v>-3.4815250000000001E-3</v>
      </c>
      <c r="P905">
        <v>0.98661969999999999</v>
      </c>
      <c r="Q905">
        <v>0.16073419999999999</v>
      </c>
      <c r="R905">
        <v>2.7320279999999999E-2</v>
      </c>
      <c r="S905">
        <v>3.0764010000000002</v>
      </c>
      <c r="T905">
        <v>-0.11490499999999999</v>
      </c>
      <c r="U905">
        <v>-0.60354609999999997</v>
      </c>
      <c r="V905">
        <v>-3.0617559999999999E-2</v>
      </c>
      <c r="W905">
        <v>0.1748355</v>
      </c>
      <c r="X905">
        <v>0.98412149999999998</v>
      </c>
      <c r="Y905">
        <v>0.18892200000000001</v>
      </c>
      <c r="Z905">
        <v>-4.7770920000000001E-3</v>
      </c>
      <c r="AA905">
        <v>0.98198050000000003</v>
      </c>
      <c r="AB905">
        <v>30</v>
      </c>
      <c r="AC905">
        <v>29.427199999999999</v>
      </c>
      <c r="AD905">
        <v>-1.11012346957</v>
      </c>
      <c r="AE905">
        <v>-5.8298000000000298</v>
      </c>
      <c r="AF905">
        <v>5.7194705020490497</v>
      </c>
      <c r="AG905">
        <v>-1.11012346957</v>
      </c>
      <c r="AH905">
        <v>29.407050691616298</v>
      </c>
      <c r="AI905">
        <v>92.122174911335804</v>
      </c>
      <c r="AJ905">
        <v>78.993769125412001</v>
      </c>
      <c r="AK905">
        <v>29.978648190350299</v>
      </c>
      <c r="AL905">
        <v>79.930914700603296</v>
      </c>
      <c r="AM905">
        <v>91.781986570216105</v>
      </c>
      <c r="AN905">
        <v>1.0000000069014201</v>
      </c>
    </row>
    <row r="906" spans="1:40" x14ac:dyDescent="0.25">
      <c r="A906" t="str">
        <f>"20190304155332816"</f>
        <v>20190304155332816</v>
      </c>
      <c r="B906" t="str">
        <f>"1551686012806380"</f>
        <v>1551686012806380</v>
      </c>
      <c r="C906" t="s">
        <v>40</v>
      </c>
      <c r="D906">
        <v>4.5157309999999997</v>
      </c>
      <c r="E906">
        <v>0.58713219999999899</v>
      </c>
      <c r="F906" t="s">
        <v>45</v>
      </c>
      <c r="G906">
        <v>-207.6568</v>
      </c>
      <c r="H906" s="1">
        <v>-5.8061719999999996E-6</v>
      </c>
      <c r="I906">
        <v>361.25819999999999</v>
      </c>
      <c r="J906">
        <v>-239.5283</v>
      </c>
      <c r="K906">
        <v>1.1101129999999999</v>
      </c>
      <c r="L906">
        <v>367.69580000000002</v>
      </c>
      <c r="M906">
        <v>0.99989070000000002</v>
      </c>
      <c r="N906">
        <v>-1.428248E-2</v>
      </c>
      <c r="O906">
        <v>-3.877578E-3</v>
      </c>
      <c r="P906">
        <v>0.98669600000000002</v>
      </c>
      <c r="Q906">
        <v>0.16041939999999999</v>
      </c>
      <c r="R906">
        <v>2.6402149999999999E-2</v>
      </c>
      <c r="S906">
        <v>3.0749970000000002</v>
      </c>
      <c r="T906">
        <v>-0.10606790000000001</v>
      </c>
      <c r="U906">
        <v>-0.61523439999999996</v>
      </c>
      <c r="V906">
        <v>-3.0089009999999999E-2</v>
      </c>
      <c r="W906">
        <v>0.17451810000000001</v>
      </c>
      <c r="X906">
        <v>0.98419420000000002</v>
      </c>
      <c r="Y906">
        <v>0.19222790000000001</v>
      </c>
      <c r="Z906">
        <v>-4.5911390000000002E-3</v>
      </c>
      <c r="AA906">
        <v>0.98133959999999998</v>
      </c>
      <c r="AB906">
        <v>30</v>
      </c>
      <c r="AC906">
        <v>31.871500000000001</v>
      </c>
      <c r="AD906">
        <v>-1.110118806172</v>
      </c>
      <c r="AE906">
        <v>-6.43760000000003</v>
      </c>
      <c r="AF906">
        <v>6.3066035085157202</v>
      </c>
      <c r="AG906">
        <v>-1.110118806172</v>
      </c>
      <c r="AH906">
        <v>31.859088710861599</v>
      </c>
      <c r="AI906">
        <v>91.957686611422602</v>
      </c>
      <c r="AJ906">
        <v>78.802883025250694</v>
      </c>
      <c r="AK906">
        <v>32.496263555430303</v>
      </c>
      <c r="AL906">
        <v>79.949384972400395</v>
      </c>
      <c r="AM906">
        <v>91.751114234820506</v>
      </c>
      <c r="AN906">
        <v>1.0000000695320099</v>
      </c>
    </row>
    <row r="907" spans="1:40" x14ac:dyDescent="0.25">
      <c r="A907" t="str">
        <f>"20190304155332837"</f>
        <v>20190304155332837</v>
      </c>
      <c r="B907" t="str">
        <f>"1551686012826876"</f>
        <v>1551686012826876</v>
      </c>
      <c r="C907" t="s">
        <v>40</v>
      </c>
      <c r="D907">
        <v>4.1466399999999997</v>
      </c>
      <c r="E907">
        <v>0.59392129999999999</v>
      </c>
      <c r="F907" t="s">
        <v>45</v>
      </c>
      <c r="G907">
        <v>-205.0282</v>
      </c>
      <c r="H907" s="1">
        <v>-4.9546589999999997E-6</v>
      </c>
      <c r="I907">
        <v>360.6567</v>
      </c>
      <c r="J907">
        <v>-239.23570000000001</v>
      </c>
      <c r="K907">
        <v>1.110104</v>
      </c>
      <c r="L907">
        <v>367.69420000000002</v>
      </c>
      <c r="M907">
        <v>0.99988909999999998</v>
      </c>
      <c r="N907">
        <v>-1.4279190000000001E-2</v>
      </c>
      <c r="O907">
        <v>-4.2571830000000003E-3</v>
      </c>
      <c r="P907">
        <v>0.98679479999999997</v>
      </c>
      <c r="Q907">
        <v>0.1598697</v>
      </c>
      <c r="R907">
        <v>2.6034080000000001E-2</v>
      </c>
      <c r="S907">
        <v>3.0732729999999999</v>
      </c>
      <c r="T907">
        <v>-9.8889589999999999E-2</v>
      </c>
      <c r="U907">
        <v>-0.62704469999999901</v>
      </c>
      <c r="V907">
        <v>-3.009386E-2</v>
      </c>
      <c r="W907">
        <v>0.17396679999999901</v>
      </c>
      <c r="X907">
        <v>0.98429160000000004</v>
      </c>
      <c r="Y907">
        <v>0.1955982</v>
      </c>
      <c r="Z907">
        <v>-4.4499860000000004E-3</v>
      </c>
      <c r="AA907">
        <v>0.98067400000000005</v>
      </c>
      <c r="AB907">
        <v>30</v>
      </c>
      <c r="AC907">
        <v>34.207500000000003</v>
      </c>
      <c r="AD907">
        <v>-1.1101089546589999</v>
      </c>
      <c r="AE907">
        <v>-7.0375000000000201</v>
      </c>
      <c r="AF907">
        <v>6.8848374807209298</v>
      </c>
      <c r="AG907">
        <v>-1.1101089546589999</v>
      </c>
      <c r="AH907">
        <v>34.2025952518674</v>
      </c>
      <c r="AI907">
        <v>91.822457734919794</v>
      </c>
      <c r="AJ907">
        <v>78.618699091289599</v>
      </c>
      <c r="AK907">
        <v>34.906315345367197</v>
      </c>
      <c r="AL907">
        <v>79.981462343367696</v>
      </c>
      <c r="AM907">
        <v>91.751223117902398</v>
      </c>
      <c r="AN907">
        <v>1.0000000208712401</v>
      </c>
    </row>
    <row r="908" spans="1:40" x14ac:dyDescent="0.25">
      <c r="A908" t="str">
        <f>"20190304155332860"</f>
        <v>20190304155332860</v>
      </c>
      <c r="B908" t="str">
        <f>"1551686012857132"</f>
        <v>1551686012857132</v>
      </c>
      <c r="C908" t="s">
        <v>40</v>
      </c>
      <c r="D908">
        <v>4.1519690000000002</v>
      </c>
      <c r="E908">
        <v>0.60103209999999996</v>
      </c>
      <c r="F908" t="s">
        <v>47</v>
      </c>
      <c r="G908">
        <v>-80.734919999999903</v>
      </c>
      <c r="H908">
        <v>-0.05</v>
      </c>
      <c r="I908">
        <v>332.45760000000001</v>
      </c>
      <c r="J908">
        <v>-238.93700000000001</v>
      </c>
      <c r="K908">
        <v>1.110101</v>
      </c>
      <c r="L908">
        <v>367.69260000000003</v>
      </c>
      <c r="M908">
        <v>0.99988739999999998</v>
      </c>
      <c r="N908">
        <v>-1.427585E-2</v>
      </c>
      <c r="O908">
        <v>-4.6526529999999997E-3</v>
      </c>
      <c r="P908">
        <v>0.98685869999999998</v>
      </c>
      <c r="Q908">
        <v>0.1595511</v>
      </c>
      <c r="R908">
        <v>2.556541E-2</v>
      </c>
      <c r="S908">
        <v>3.0617519999999998</v>
      </c>
      <c r="T908">
        <v>-2.2409680000000001E-2</v>
      </c>
      <c r="U908">
        <v>-0.68066409999999999</v>
      </c>
      <c r="V908">
        <v>-3.0013919999999999E-2</v>
      </c>
      <c r="W908">
        <v>0.1736461</v>
      </c>
      <c r="X908">
        <v>0.98435059999999996</v>
      </c>
      <c r="Y908">
        <v>0.2124528</v>
      </c>
      <c r="Z908">
        <v>-2.3350010000000002E-3</v>
      </c>
      <c r="AA908">
        <v>0.97716860000000005</v>
      </c>
      <c r="AB908">
        <v>30</v>
      </c>
      <c r="AC908">
        <v>158.20208</v>
      </c>
      <c r="AD908">
        <v>-1.160101</v>
      </c>
      <c r="AE908">
        <v>-35.234999999999999</v>
      </c>
      <c r="AF908">
        <v>34.496716912592198</v>
      </c>
      <c r="AG908">
        <v>-1.160101</v>
      </c>
      <c r="AH908">
        <v>158.35620733572</v>
      </c>
      <c r="AI908">
        <v>90.410117367681394</v>
      </c>
      <c r="AJ908">
        <v>77.710541903970906</v>
      </c>
      <c r="AK908">
        <v>162.074235194343</v>
      </c>
      <c r="AL908">
        <v>80.000120408962403</v>
      </c>
      <c r="AM908">
        <v>91.746469509982703</v>
      </c>
      <c r="AN908">
        <v>0.99999995357966698</v>
      </c>
    </row>
    <row r="909" spans="1:40" x14ac:dyDescent="0.25">
      <c r="A909" t="str">
        <f>"20190304155332883"</f>
        <v>20190304155332883</v>
      </c>
      <c r="B909" t="str">
        <f>"1551686012876661"</f>
        <v>1551686012876661</v>
      </c>
      <c r="C909" t="s">
        <v>40</v>
      </c>
      <c r="D909">
        <v>4.1868290000000004</v>
      </c>
      <c r="E909">
        <v>0.60434409999999905</v>
      </c>
      <c r="F909" t="s">
        <v>43</v>
      </c>
      <c r="G909">
        <v>0</v>
      </c>
      <c r="H909">
        <v>0</v>
      </c>
      <c r="I909">
        <v>0</v>
      </c>
      <c r="J909">
        <v>-238.63130000000001</v>
      </c>
      <c r="K909">
        <v>1.1100909999999999</v>
      </c>
      <c r="L909">
        <v>367.69080000000002</v>
      </c>
      <c r="M909">
        <v>0.99988540000000004</v>
      </c>
      <c r="N909">
        <v>-1.4272460000000001E-2</v>
      </c>
      <c r="O909">
        <v>-5.0639780000000002E-3</v>
      </c>
      <c r="P909">
        <v>0.98692869999999999</v>
      </c>
      <c r="Q909">
        <v>0.1592134</v>
      </c>
      <c r="R909">
        <v>2.4966530000000001E-2</v>
      </c>
      <c r="S909">
        <v>3.051056</v>
      </c>
      <c r="T909">
        <v>4.9442649999999998E-2</v>
      </c>
      <c r="U909">
        <v>-0.7375488</v>
      </c>
      <c r="V909">
        <v>-2.9819539999999999E-2</v>
      </c>
      <c r="W909">
        <v>0.17330609999999999</v>
      </c>
      <c r="X909">
        <v>0.98441650000000003</v>
      </c>
      <c r="Y909">
        <v>0.23004169999999999</v>
      </c>
      <c r="Z909" s="1">
        <v>2.0180600000000001E-5</v>
      </c>
      <c r="AA909">
        <v>0.97318079999999996</v>
      </c>
      <c r="AB909">
        <v>30</v>
      </c>
      <c r="AC909">
        <v>3.051056</v>
      </c>
      <c r="AD909">
        <v>4.9442649999999998E-2</v>
      </c>
      <c r="AE909">
        <v>-0.7375488</v>
      </c>
      <c r="AF909">
        <v>0.72190817783965</v>
      </c>
      <c r="AG909">
        <v>4.9442649999999998E-2</v>
      </c>
      <c r="AH909">
        <v>3.0539944659335299</v>
      </c>
      <c r="AI909">
        <v>89.097361860580307</v>
      </c>
      <c r="AJ909">
        <v>76.700453477569695</v>
      </c>
      <c r="AK909">
        <v>3.1385471465032002</v>
      </c>
      <c r="AL909">
        <v>80.019901628992201</v>
      </c>
      <c r="AM909">
        <v>91.735049650410204</v>
      </c>
      <c r="AN909">
        <v>1.0000000273676299</v>
      </c>
    </row>
    <row r="910" spans="1:40" x14ac:dyDescent="0.25">
      <c r="A910" t="str">
        <f>"20190304155332904"</f>
        <v>20190304155332904</v>
      </c>
      <c r="B910" t="str">
        <f>"1551686012897153"</f>
        <v>1551686012897153</v>
      </c>
      <c r="C910" t="s">
        <v>40</v>
      </c>
      <c r="D910">
        <v>4.1851629999999904</v>
      </c>
      <c r="E910">
        <v>0.60714259999999998</v>
      </c>
      <c r="F910" t="s">
        <v>43</v>
      </c>
      <c r="G910">
        <v>0</v>
      </c>
      <c r="H910">
        <v>0</v>
      </c>
      <c r="I910">
        <v>0</v>
      </c>
      <c r="J910">
        <v>-238.33170000000001</v>
      </c>
      <c r="K910">
        <v>1.1100779999999999</v>
      </c>
      <c r="L910">
        <v>367.68880000000001</v>
      </c>
      <c r="M910">
        <v>0.99988330000000003</v>
      </c>
      <c r="N910">
        <v>-1.426932E-2</v>
      </c>
      <c r="O910">
        <v>-5.4722909999999998E-3</v>
      </c>
      <c r="P910">
        <v>0.98704840000000005</v>
      </c>
      <c r="Q910">
        <v>0.15859949999999901</v>
      </c>
      <c r="R910">
        <v>2.412479E-2</v>
      </c>
      <c r="S910">
        <v>3.0458829999999999</v>
      </c>
      <c r="T910">
        <v>8.1803920000000002E-2</v>
      </c>
      <c r="U910">
        <v>-0.76498409999999994</v>
      </c>
      <c r="V910">
        <v>-2.9380110000000001E-2</v>
      </c>
      <c r="W910">
        <v>0.17269089999999901</v>
      </c>
      <c r="X910">
        <v>0.98453780000000002</v>
      </c>
      <c r="Y910">
        <v>0.23824490000000001</v>
      </c>
      <c r="Z910">
        <v>1.2022700000000001E-3</v>
      </c>
      <c r="AA910">
        <v>0.97120430000000002</v>
      </c>
      <c r="AB910">
        <v>30</v>
      </c>
      <c r="AC910">
        <v>3.0458829999999999</v>
      </c>
      <c r="AD910">
        <v>8.1803920000000002E-2</v>
      </c>
      <c r="AE910">
        <v>-0.76498409999999994</v>
      </c>
      <c r="AF910">
        <v>0.74779560238916598</v>
      </c>
      <c r="AG910">
        <v>8.1803920000000002E-2</v>
      </c>
      <c r="AH910">
        <v>3.04795595548214</v>
      </c>
      <c r="AI910">
        <v>88.506871462065504</v>
      </c>
      <c r="AJ910">
        <v>76.215144427616593</v>
      </c>
      <c r="AK910">
        <v>3.1394148580331001</v>
      </c>
      <c r="AL910">
        <v>80.055689412720199</v>
      </c>
      <c r="AM910">
        <v>91.709286211093499</v>
      </c>
      <c r="AN910">
        <v>1.00000000871763</v>
      </c>
    </row>
    <row r="911" spans="1:40" x14ac:dyDescent="0.25">
      <c r="A911" t="str">
        <f>"20190304155332928"</f>
        <v>20190304155332928</v>
      </c>
      <c r="B911" t="str">
        <f>"1551686012916668"</f>
        <v>1551686012916668</v>
      </c>
      <c r="C911" t="s">
        <v>40</v>
      </c>
      <c r="D911">
        <v>4.1872400000000001</v>
      </c>
      <c r="E911">
        <v>0.60922460000000001</v>
      </c>
      <c r="F911" t="s">
        <v>49</v>
      </c>
      <c r="G911">
        <v>-141.81890000000001</v>
      </c>
      <c r="H911">
        <v>4.4624309999999996</v>
      </c>
      <c r="I911">
        <v>342.64400000000001</v>
      </c>
      <c r="J911">
        <v>-238.02350000000001</v>
      </c>
      <c r="K911">
        <v>1.110077</v>
      </c>
      <c r="L911">
        <v>367.6866</v>
      </c>
      <c r="M911">
        <v>0.99988100000000002</v>
      </c>
      <c r="N911">
        <v>-1.4266060000000001E-2</v>
      </c>
      <c r="O911">
        <v>-5.8957119999999896E-3</v>
      </c>
      <c r="P911">
        <v>0.98724319999999999</v>
      </c>
      <c r="Q911">
        <v>0.15761989999999901</v>
      </c>
      <c r="R911">
        <v>2.251682E-2</v>
      </c>
      <c r="S911">
        <v>3.041687</v>
      </c>
      <c r="T911">
        <v>0.1056526</v>
      </c>
      <c r="U911">
        <v>-0.78930659999999997</v>
      </c>
      <c r="V911">
        <v>-2.819114E-2</v>
      </c>
      <c r="W911">
        <v>0.17170969999999999</v>
      </c>
      <c r="X911">
        <v>0.98474410000000001</v>
      </c>
      <c r="Y911">
        <v>0.245393</v>
      </c>
      <c r="Z911">
        <v>2.1278550000000001E-3</v>
      </c>
      <c r="AA911">
        <v>0.96942130000000004</v>
      </c>
      <c r="AB911">
        <v>30</v>
      </c>
      <c r="AC911">
        <v>96.204599999999999</v>
      </c>
      <c r="AD911">
        <v>3.3523540000000001</v>
      </c>
      <c r="AE911">
        <v>-25.0426</v>
      </c>
      <c r="AF911">
        <v>24.447111291900001</v>
      </c>
      <c r="AG911">
        <v>3.3523540000000001</v>
      </c>
      <c r="AH911">
        <v>96.241141685845193</v>
      </c>
      <c r="AI911">
        <v>88.066390732072705</v>
      </c>
      <c r="AJ911">
        <v>75.747217674493299</v>
      </c>
      <c r="AK911">
        <v>99.354199110328395</v>
      </c>
      <c r="AL911">
        <v>80.112759998261495</v>
      </c>
      <c r="AM911">
        <v>91.639809063687096</v>
      </c>
      <c r="AN911">
        <v>0.999999951966698</v>
      </c>
    </row>
    <row r="912" spans="1:40" x14ac:dyDescent="0.25">
      <c r="A912" t="str">
        <f>"20190304155332950"</f>
        <v>20190304155332950</v>
      </c>
      <c r="B912" t="str">
        <f>"1551686012946925"</f>
        <v>1551686012946925</v>
      </c>
      <c r="C912" t="s">
        <v>40</v>
      </c>
      <c r="D912">
        <v>4.8161659999999999</v>
      </c>
      <c r="E912">
        <v>0.60969960000000001</v>
      </c>
      <c r="F912" t="s">
        <v>49</v>
      </c>
      <c r="G912">
        <v>-143.63159999999999</v>
      </c>
      <c r="H912">
        <v>5.008686</v>
      </c>
      <c r="I912">
        <v>342.49430000000001</v>
      </c>
      <c r="J912">
        <v>-237.7225</v>
      </c>
      <c r="K912">
        <v>1.110079</v>
      </c>
      <c r="L912">
        <v>367.68439999999998</v>
      </c>
      <c r="M912">
        <v>0.9998783</v>
      </c>
      <c r="N912">
        <v>-1.426286E-2</v>
      </c>
      <c r="O912">
        <v>-6.3113600000000002E-3</v>
      </c>
      <c r="P912">
        <v>0.98738570000000003</v>
      </c>
      <c r="Q912">
        <v>0.15698010000000001</v>
      </c>
      <c r="R912">
        <v>2.0658449999999998E-2</v>
      </c>
      <c r="S912">
        <v>3.0372309999999998</v>
      </c>
      <c r="T912">
        <v>0.1254451</v>
      </c>
      <c r="U912">
        <v>-0.81060790000000005</v>
      </c>
      <c r="V912">
        <v>-2.6744130000000001E-2</v>
      </c>
      <c r="W912">
        <v>0.17106789999999999</v>
      </c>
      <c r="X912">
        <v>0.9848962</v>
      </c>
      <c r="Y912">
        <v>0.25164209999999998</v>
      </c>
      <c r="Z912">
        <v>2.9348099999999999E-3</v>
      </c>
      <c r="AA912">
        <v>0.96781589999999995</v>
      </c>
      <c r="AB912">
        <v>30</v>
      </c>
      <c r="AC912">
        <v>94.090900000000005</v>
      </c>
      <c r="AD912">
        <v>3.8986070000000002</v>
      </c>
      <c r="AE912">
        <v>-25.190099999999902</v>
      </c>
      <c r="AF912">
        <v>24.5563570728002</v>
      </c>
      <c r="AG912">
        <v>3.8986070000000002</v>
      </c>
      <c r="AH912">
        <v>94.097282352341495</v>
      </c>
      <c r="AI912">
        <v>87.7042969555703</v>
      </c>
      <c r="AJ912">
        <v>75.373858428361402</v>
      </c>
      <c r="AK912">
        <v>97.326832658437993</v>
      </c>
      <c r="AL912">
        <v>80.150085184456898</v>
      </c>
      <c r="AM912">
        <v>91.555442411207096</v>
      </c>
      <c r="AN912">
        <v>0.99999999983715304</v>
      </c>
    </row>
    <row r="913" spans="1:40" x14ac:dyDescent="0.25">
      <c r="A913" t="str">
        <f>"20190304155332973"</f>
        <v>20190304155332973</v>
      </c>
      <c r="B913" t="str">
        <f>"1551686012966444"</f>
        <v>1551686012966444</v>
      </c>
      <c r="C913" t="s">
        <v>40</v>
      </c>
      <c r="D913">
        <v>4.1895819999999997</v>
      </c>
      <c r="E913">
        <v>0.60956809999999995</v>
      </c>
      <c r="F913" t="s">
        <v>49</v>
      </c>
      <c r="G913">
        <v>-143.63159999999999</v>
      </c>
      <c r="H913">
        <v>5.1016890000000004</v>
      </c>
      <c r="I913">
        <v>342.26199999999898</v>
      </c>
      <c r="J913">
        <v>-237.42019999999999</v>
      </c>
      <c r="K913">
        <v>1.11008</v>
      </c>
      <c r="L913">
        <v>367.68200000000002</v>
      </c>
      <c r="M913">
        <v>0.99987579999999998</v>
      </c>
      <c r="N913">
        <v>-1.4259600000000001E-2</v>
      </c>
      <c r="O913">
        <v>-6.7298540000000004E-3</v>
      </c>
      <c r="P913">
        <v>0.98743099999999995</v>
      </c>
      <c r="Q913">
        <v>0.15696299999999999</v>
      </c>
      <c r="R913">
        <v>1.8517889999999999E-2</v>
      </c>
      <c r="S913">
        <v>3.0350489999999999</v>
      </c>
      <c r="T913">
        <v>0.1287558</v>
      </c>
      <c r="U913">
        <v>-0.82003780000000004</v>
      </c>
      <c r="V913">
        <v>-2.5017339999999999E-2</v>
      </c>
      <c r="W913">
        <v>0.171046799999999</v>
      </c>
      <c r="X913">
        <v>0.98494519999999997</v>
      </c>
      <c r="Y913">
        <v>0.25420490000000001</v>
      </c>
      <c r="Z913">
        <v>3.0753640000000001E-3</v>
      </c>
      <c r="AA913">
        <v>0.96714549999999999</v>
      </c>
      <c r="AB913">
        <v>30</v>
      </c>
      <c r="AC913">
        <v>93.788600000000002</v>
      </c>
      <c r="AD913">
        <v>3.991609</v>
      </c>
      <c r="AE913">
        <v>-25.42</v>
      </c>
      <c r="AF913">
        <v>24.746420202551601</v>
      </c>
      <c r="AG913">
        <v>3.991609</v>
      </c>
      <c r="AH913">
        <v>93.799291924160201</v>
      </c>
      <c r="AI913">
        <v>87.643784993692194</v>
      </c>
      <c r="AJ913">
        <v>75.220797905745201</v>
      </c>
      <c r="AK913">
        <v>97.090810176473298</v>
      </c>
      <c r="AL913">
        <v>80.151311824610801</v>
      </c>
      <c r="AM913">
        <v>91.454984366285103</v>
      </c>
      <c r="AN913">
        <v>0.99999996104697697</v>
      </c>
    </row>
    <row r="914" spans="1:40" x14ac:dyDescent="0.25">
      <c r="A914" t="str">
        <f>"20190304155332995"</f>
        <v>20190304155332995</v>
      </c>
      <c r="B914" t="str">
        <f>"1551686012986940"</f>
        <v>1551686012986940</v>
      </c>
      <c r="C914" t="s">
        <v>40</v>
      </c>
      <c r="D914">
        <v>4.6681650000000001</v>
      </c>
      <c r="E914">
        <v>0.60779879999999997</v>
      </c>
      <c r="F914" t="s">
        <v>49</v>
      </c>
      <c r="G914">
        <v>-143.80869999999999</v>
      </c>
      <c r="H914">
        <v>5.0160539999999996</v>
      </c>
      <c r="I914">
        <v>342.19009999999997</v>
      </c>
      <c r="J914">
        <v>-237.12200000000001</v>
      </c>
      <c r="K914">
        <v>1.1100760000000001</v>
      </c>
      <c r="L914">
        <v>367.67950000000002</v>
      </c>
      <c r="M914">
        <v>0.99987289999999995</v>
      </c>
      <c r="N914">
        <v>-1.425648E-2</v>
      </c>
      <c r="O914">
        <v>-7.1417929999999996E-3</v>
      </c>
      <c r="P914">
        <v>0.98748150000000001</v>
      </c>
      <c r="Q914">
        <v>0.15683939999999999</v>
      </c>
      <c r="R914">
        <v>1.6793849999999999E-2</v>
      </c>
      <c r="S914">
        <v>3.0335390000000002</v>
      </c>
      <c r="T914">
        <v>0.12657579999999999</v>
      </c>
      <c r="U914">
        <v>-0.82608029999999999</v>
      </c>
      <c r="V914">
        <v>-2.370092E-2</v>
      </c>
      <c r="W914">
        <v>0.17091990000000001</v>
      </c>
      <c r="X914">
        <v>0.98499979999999998</v>
      </c>
      <c r="Y914">
        <v>0.25572719999999999</v>
      </c>
      <c r="Z914">
        <v>2.9891190000000002E-3</v>
      </c>
      <c r="AA914">
        <v>0.96674439999999995</v>
      </c>
      <c r="AB914">
        <v>30</v>
      </c>
      <c r="AC914">
        <v>93.313299999999998</v>
      </c>
      <c r="AD914">
        <v>3.90597799999999</v>
      </c>
      <c r="AE914">
        <v>-25.4894</v>
      </c>
      <c r="AF914">
        <v>24.781851172040401</v>
      </c>
      <c r="AG914">
        <v>3.90597799999999</v>
      </c>
      <c r="AH914">
        <v>93.340786686457307</v>
      </c>
      <c r="AI914">
        <v>87.683922343537205</v>
      </c>
      <c r="AJ914">
        <v>75.131081378861197</v>
      </c>
      <c r="AK914">
        <v>96.653501079352395</v>
      </c>
      <c r="AL914">
        <v>80.158691478287196</v>
      </c>
      <c r="AM914">
        <v>91.378376628214497</v>
      </c>
      <c r="AN914">
        <v>0.99999997591244705</v>
      </c>
    </row>
    <row r="915" spans="1:40" x14ac:dyDescent="0.25">
      <c r="A915" t="str">
        <f>"20190304155333017"</f>
        <v>20190304155333017</v>
      </c>
      <c r="B915" t="str">
        <f>"1551686013006461"</f>
        <v>1551686013006461</v>
      </c>
      <c r="C915" t="s">
        <v>40</v>
      </c>
      <c r="D915">
        <v>4.6374339999999998</v>
      </c>
      <c r="E915">
        <v>0.60775829999999997</v>
      </c>
      <c r="F915" t="s">
        <v>49</v>
      </c>
      <c r="G915">
        <v>-143.63140000000001</v>
      </c>
      <c r="H915">
        <v>4.4084830000000004</v>
      </c>
      <c r="I915">
        <v>342.48689999999999</v>
      </c>
      <c r="J915">
        <v>-236.8287</v>
      </c>
      <c r="K915">
        <v>1.11008</v>
      </c>
      <c r="L915">
        <v>367.67700000000002</v>
      </c>
      <c r="M915">
        <v>0.99986989999999998</v>
      </c>
      <c r="N915">
        <v>-1.4253480000000001E-2</v>
      </c>
      <c r="O915">
        <v>-7.546578E-3</v>
      </c>
      <c r="P915">
        <v>0.98760959999999998</v>
      </c>
      <c r="Q915">
        <v>0.1562017</v>
      </c>
      <c r="R915">
        <v>1.511791E-2</v>
      </c>
      <c r="S915">
        <v>3.0349270000000002</v>
      </c>
      <c r="T915">
        <v>0.1070743</v>
      </c>
      <c r="U915">
        <v>-0.81781009999999998</v>
      </c>
      <c r="V915">
        <v>-2.242682E-2</v>
      </c>
      <c r="W915">
        <v>0.1702795</v>
      </c>
      <c r="X915">
        <v>0.98514060000000003</v>
      </c>
      <c r="Y915">
        <v>0.2528147</v>
      </c>
      <c r="Z915">
        <v>2.1794829999999999E-3</v>
      </c>
      <c r="AA915">
        <v>0.96751229999999999</v>
      </c>
      <c r="AB915">
        <v>30</v>
      </c>
      <c r="AC915">
        <v>93.197299999999899</v>
      </c>
      <c r="AD915">
        <v>3.298403</v>
      </c>
      <c r="AE915">
        <v>-25.190099999999902</v>
      </c>
      <c r="AF915">
        <v>24.457441457604901</v>
      </c>
      <c r="AG915">
        <v>3.298403</v>
      </c>
      <c r="AH915">
        <v>93.275884006443604</v>
      </c>
      <c r="AI915">
        <v>88.040933043388407</v>
      </c>
      <c r="AJ915">
        <v>75.307487901134706</v>
      </c>
      <c r="AK915">
        <v>96.485420878939493</v>
      </c>
      <c r="AL915">
        <v>80.195930187862203</v>
      </c>
      <c r="AM915">
        <v>91.304118646484298</v>
      </c>
      <c r="AN915">
        <v>1.0000000360719601</v>
      </c>
    </row>
    <row r="916" spans="1:40" x14ac:dyDescent="0.25">
      <c r="A916" t="str">
        <f>"20190304155333039"</f>
        <v>20190304155333039</v>
      </c>
      <c r="B916" t="str">
        <f>"1551686013036717"</f>
        <v>1551686013036717</v>
      </c>
      <c r="C916" t="s">
        <v>40</v>
      </c>
      <c r="D916">
        <v>4.6386200000000004</v>
      </c>
      <c r="E916">
        <v>0.60833000000000004</v>
      </c>
      <c r="F916" t="s">
        <v>49</v>
      </c>
      <c r="G916">
        <v>-143.63140000000001</v>
      </c>
      <c r="H916">
        <v>4.3281239999999999</v>
      </c>
      <c r="I916">
        <v>342.399</v>
      </c>
      <c r="J916">
        <v>-236.53710000000001</v>
      </c>
      <c r="K916">
        <v>1.1100810000000001</v>
      </c>
      <c r="L916">
        <v>367.67430000000002</v>
      </c>
      <c r="M916">
        <v>0.99986699999999995</v>
      </c>
      <c r="N916">
        <v>-1.4250519999999999E-2</v>
      </c>
      <c r="O916">
        <v>-7.94862E-3</v>
      </c>
      <c r="P916">
        <v>0.98763579999999995</v>
      </c>
      <c r="Q916">
        <v>0.15615290000000001</v>
      </c>
      <c r="R916">
        <v>1.38531E-2</v>
      </c>
      <c r="S916">
        <v>3.0336460000000001</v>
      </c>
      <c r="T916">
        <v>0.1047502</v>
      </c>
      <c r="U916">
        <v>-0.82281489999999902</v>
      </c>
      <c r="V916">
        <v>-2.1558910000000001E-2</v>
      </c>
      <c r="W916">
        <v>0.17022779999999901</v>
      </c>
      <c r="X916">
        <v>0.98516890000000001</v>
      </c>
      <c r="Y916">
        <v>0.25402019999999997</v>
      </c>
      <c r="Z916">
        <v>2.0834069999999998E-3</v>
      </c>
      <c r="AA916">
        <v>0.96719659999999996</v>
      </c>
      <c r="AB916">
        <v>30</v>
      </c>
      <c r="AC916">
        <v>92.905699999999996</v>
      </c>
      <c r="AD916">
        <v>3.2180430000000002</v>
      </c>
      <c r="AE916">
        <v>-25.275300000000001</v>
      </c>
      <c r="AF916">
        <v>24.508576008141102</v>
      </c>
      <c r="AG916">
        <v>3.2180430000000002</v>
      </c>
      <c r="AH916">
        <v>92.999799121823401</v>
      </c>
      <c r="AI916">
        <v>88.083582061532994</v>
      </c>
      <c r="AJ916">
        <v>75.236304503322899</v>
      </c>
      <c r="AK916">
        <v>96.228835259480306</v>
      </c>
      <c r="AL916">
        <v>80.198936167911498</v>
      </c>
      <c r="AM916">
        <v>91.253630145715604</v>
      </c>
      <c r="AN916">
        <v>1.00000002601021</v>
      </c>
    </row>
    <row r="917" spans="1:40" x14ac:dyDescent="0.25">
      <c r="A917" t="str">
        <f>"20190304155333061"</f>
        <v>20190304155333061</v>
      </c>
      <c r="B917" t="str">
        <f>"1551686013057213"</f>
        <v>1551686013057213</v>
      </c>
      <c r="C917" t="s">
        <v>40</v>
      </c>
      <c r="D917">
        <v>4.2262250000000003</v>
      </c>
      <c r="E917">
        <v>0.60942479999999999</v>
      </c>
      <c r="F917" t="s">
        <v>49</v>
      </c>
      <c r="G917">
        <v>-143.63140000000001</v>
      </c>
      <c r="H917">
        <v>4.518497</v>
      </c>
      <c r="I917">
        <v>342.20549999999997</v>
      </c>
      <c r="J917">
        <v>-236.2414</v>
      </c>
      <c r="K917">
        <v>1.1100829999999999</v>
      </c>
      <c r="L917">
        <v>367.67149999999998</v>
      </c>
      <c r="M917">
        <v>0.99986359999999996</v>
      </c>
      <c r="N917">
        <v>-1.424753E-2</v>
      </c>
      <c r="O917">
        <v>-8.356746E-3</v>
      </c>
      <c r="P917">
        <v>0.98757430000000002</v>
      </c>
      <c r="Q917">
        <v>0.1566091</v>
      </c>
      <c r="R917">
        <v>1.3073019999999999E-2</v>
      </c>
      <c r="S917">
        <v>3.031647</v>
      </c>
      <c r="T917">
        <v>0.11122170000000001</v>
      </c>
      <c r="U917">
        <v>-0.83108519999999897</v>
      </c>
      <c r="V917">
        <v>-2.1181419999999999E-2</v>
      </c>
      <c r="W917">
        <v>0.17067939999999901</v>
      </c>
      <c r="X917">
        <v>0.98509899999999995</v>
      </c>
      <c r="Y917">
        <v>0.25622790000000001</v>
      </c>
      <c r="Z917">
        <v>2.3369580000000001E-3</v>
      </c>
      <c r="AA917">
        <v>0.96661359999999996</v>
      </c>
      <c r="AB917">
        <v>30</v>
      </c>
      <c r="AC917">
        <v>92.61</v>
      </c>
      <c r="AD917">
        <v>3.4084140000000001</v>
      </c>
      <c r="AE917">
        <v>-25.466000000000001</v>
      </c>
      <c r="AF917">
        <v>24.660059173123901</v>
      </c>
      <c r="AG917">
        <v>3.4084140000000001</v>
      </c>
      <c r="AH917">
        <v>92.702858538770499</v>
      </c>
      <c r="AI917">
        <v>87.965055136555193</v>
      </c>
      <c r="AJ917">
        <v>75.103615765640299</v>
      </c>
      <c r="AK917">
        <v>95.987268872890994</v>
      </c>
      <c r="AL917">
        <v>80.172677597431701</v>
      </c>
      <c r="AM917">
        <v>91.231773653073205</v>
      </c>
      <c r="AN917">
        <v>1.0000000749692799</v>
      </c>
    </row>
    <row r="918" spans="1:40" x14ac:dyDescent="0.25">
      <c r="A918" t="str">
        <f>"20190304155333084"</f>
        <v>20190304155333084</v>
      </c>
      <c r="B918" t="str">
        <f>"1551686013076733"</f>
        <v>1551686013076733</v>
      </c>
      <c r="C918" t="s">
        <v>40</v>
      </c>
      <c r="D918">
        <v>4.6580159999999999</v>
      </c>
      <c r="E918">
        <v>0.60934759999999999</v>
      </c>
      <c r="F918" t="s">
        <v>49</v>
      </c>
      <c r="G918">
        <v>-144.53739999999999</v>
      </c>
      <c r="H918">
        <v>4.8946550000000002</v>
      </c>
      <c r="I918">
        <v>342.19009999999997</v>
      </c>
      <c r="J918">
        <v>-235.93469999999999</v>
      </c>
      <c r="K918">
        <v>1.110077</v>
      </c>
      <c r="L918">
        <v>367.66849999999999</v>
      </c>
      <c r="M918">
        <v>0.99985999999999997</v>
      </c>
      <c r="N918">
        <v>-1.4244410000000001E-2</v>
      </c>
      <c r="O918">
        <v>-8.7821600000000007E-3</v>
      </c>
      <c r="P918">
        <v>0.98759569999999997</v>
      </c>
      <c r="Q918">
        <v>0.15652170000000001</v>
      </c>
      <c r="R918">
        <v>1.2491779999999999E-2</v>
      </c>
      <c r="S918">
        <v>3.0290680000000001</v>
      </c>
      <c r="T918">
        <v>0.12500810000000001</v>
      </c>
      <c r="U918">
        <v>-0.84167479999999995</v>
      </c>
      <c r="V918">
        <v>-2.1020170000000001E-2</v>
      </c>
      <c r="W918">
        <v>0.1705892</v>
      </c>
      <c r="X918">
        <v>0.98511800000000005</v>
      </c>
      <c r="Y918">
        <v>0.25913219999999998</v>
      </c>
      <c r="Z918">
        <v>2.8869529999999998E-3</v>
      </c>
      <c r="AA918">
        <v>0.96583750000000002</v>
      </c>
      <c r="AB918">
        <v>30</v>
      </c>
      <c r="AC918">
        <v>91.397300000000001</v>
      </c>
      <c r="AD918">
        <v>3.78457799999999</v>
      </c>
      <c r="AE918">
        <v>-25.478400000000001</v>
      </c>
      <c r="AF918">
        <v>24.6354754325634</v>
      </c>
      <c r="AG918">
        <v>3.78457799999999</v>
      </c>
      <c r="AH918">
        <v>91.472022068262106</v>
      </c>
      <c r="AI918">
        <v>87.712214721702296</v>
      </c>
      <c r="AJ918">
        <v>74.926610352902799</v>
      </c>
      <c r="AK918">
        <v>94.806964415506599</v>
      </c>
      <c r="AL918">
        <v>80.177921836887805</v>
      </c>
      <c r="AM918">
        <v>91.222375688511207</v>
      </c>
      <c r="AN918">
        <v>0.99999999831373398</v>
      </c>
    </row>
    <row r="919" spans="1:40" x14ac:dyDescent="0.25">
      <c r="A919" t="str">
        <f>"20190304155333106"</f>
        <v>20190304155333106</v>
      </c>
      <c r="B919" t="str">
        <f>"1551686013097229"</f>
        <v>1551686013097229</v>
      </c>
      <c r="C919" t="s">
        <v>40</v>
      </c>
      <c r="D919">
        <v>4.7666240000000002</v>
      </c>
      <c r="E919">
        <v>0.60981070000000004</v>
      </c>
      <c r="F919" t="s">
        <v>49</v>
      </c>
      <c r="G919">
        <v>-144.3733</v>
      </c>
      <c r="H919">
        <v>4.8377540000000003</v>
      </c>
      <c r="I919">
        <v>342.19009999999997</v>
      </c>
      <c r="J919">
        <v>-235.64340000000001</v>
      </c>
      <c r="K919">
        <v>1.1100829999999999</v>
      </c>
      <c r="L919">
        <v>367.66550000000001</v>
      </c>
      <c r="M919">
        <v>0.99985650000000004</v>
      </c>
      <c r="N919">
        <v>-1.42414E-2</v>
      </c>
      <c r="O919">
        <v>-9.1872059999999998E-3</v>
      </c>
      <c r="P919">
        <v>0.98757119999999998</v>
      </c>
      <c r="Q919">
        <v>0.1567086</v>
      </c>
      <c r="R919">
        <v>1.2090409999999999E-2</v>
      </c>
      <c r="S919">
        <v>3.028778</v>
      </c>
      <c r="T919">
        <v>0.12330869999999999</v>
      </c>
      <c r="U919">
        <v>-0.842804</v>
      </c>
      <c r="V919">
        <v>-2.101855E-2</v>
      </c>
      <c r="W919">
        <v>0.17077290000000001</v>
      </c>
      <c r="X919">
        <v>0.98508620000000002</v>
      </c>
      <c r="Y919">
        <v>0.2591038</v>
      </c>
      <c r="Z919">
        <v>2.798895E-3</v>
      </c>
      <c r="AA919">
        <v>0.96584539999999997</v>
      </c>
      <c r="AB919">
        <v>30</v>
      </c>
      <c r="AC919">
        <v>91.270099999999999</v>
      </c>
      <c r="AD919">
        <v>3.727671</v>
      </c>
      <c r="AE919">
        <v>-25.4754</v>
      </c>
      <c r="AF919">
        <v>24.597657123194399</v>
      </c>
      <c r="AG919">
        <v>3.727671</v>
      </c>
      <c r="AH919">
        <v>91.358939020898802</v>
      </c>
      <c r="AI919">
        <v>87.743747405719702</v>
      </c>
      <c r="AJ919">
        <v>74.930915562034798</v>
      </c>
      <c r="AK919">
        <v>94.685775098790799</v>
      </c>
      <c r="AL919">
        <v>80.167239796880096</v>
      </c>
      <c r="AM919">
        <v>91.222320955057398</v>
      </c>
      <c r="AN919">
        <v>0.99999999212447599</v>
      </c>
    </row>
    <row r="920" spans="1:40" x14ac:dyDescent="0.25">
      <c r="A920" t="str">
        <f>"20190304155333129"</f>
        <v>20190304155333129</v>
      </c>
      <c r="B920" t="str">
        <f>"1551686013126508"</f>
        <v>1551686013126508</v>
      </c>
      <c r="C920" t="s">
        <v>40</v>
      </c>
      <c r="D920">
        <v>4.5239060000000002</v>
      </c>
      <c r="E920">
        <v>0.55746110000000004</v>
      </c>
      <c r="F920" t="s">
        <v>49</v>
      </c>
      <c r="G920">
        <v>-144.60489999999999</v>
      </c>
      <c r="H920">
        <v>4.9847190000000001</v>
      </c>
      <c r="I920">
        <v>342.19009999999997</v>
      </c>
      <c r="J920">
        <v>-235.33869999999999</v>
      </c>
      <c r="K920">
        <v>1.1100829999999999</v>
      </c>
      <c r="L920">
        <v>367.66219999999998</v>
      </c>
      <c r="M920">
        <v>0.99985250000000003</v>
      </c>
      <c r="N920">
        <v>-1.423836E-2</v>
      </c>
      <c r="O920">
        <v>-9.6131099999999994E-3</v>
      </c>
      <c r="P920">
        <v>0.98762019999999995</v>
      </c>
      <c r="Q920">
        <v>0.15639330000000001</v>
      </c>
      <c r="R920">
        <v>1.214375E-2</v>
      </c>
      <c r="S920">
        <v>3.0276489999999998</v>
      </c>
      <c r="T920">
        <v>0.12885819999999901</v>
      </c>
      <c r="U920">
        <v>-0.84722900000000001</v>
      </c>
      <c r="V920">
        <v>-2.1492750000000001E-2</v>
      </c>
      <c r="W920">
        <v>0.17045569999999999</v>
      </c>
      <c r="X920">
        <v>0.98513090000000003</v>
      </c>
      <c r="Y920">
        <v>0.2600808</v>
      </c>
      <c r="Z920">
        <v>3.0055199999999998E-3</v>
      </c>
      <c r="AA920">
        <v>0.96558219999999995</v>
      </c>
      <c r="AB920">
        <v>30</v>
      </c>
      <c r="AC920">
        <v>90.733800000000002</v>
      </c>
      <c r="AD920">
        <v>3.8746360000000002</v>
      </c>
      <c r="AE920">
        <v>-25.472100000000001</v>
      </c>
      <c r="AF920">
        <v>24.557090215164401</v>
      </c>
      <c r="AG920">
        <v>3.8746360000000002</v>
      </c>
      <c r="AH920">
        <v>90.820977821387999</v>
      </c>
      <c r="AI920">
        <v>87.641696279269894</v>
      </c>
      <c r="AJ920">
        <v>74.869596320944297</v>
      </c>
      <c r="AK920">
        <v>94.162165950031493</v>
      </c>
      <c r="AL920">
        <v>80.185684405669406</v>
      </c>
      <c r="AM920">
        <v>91.249832419939807</v>
      </c>
      <c r="AN920">
        <v>0.99999998704993098</v>
      </c>
    </row>
    <row r="921" spans="1:40" x14ac:dyDescent="0.25">
      <c r="A921" t="str">
        <f>"20190304155333152"</f>
        <v>20190304155333152</v>
      </c>
      <c r="B921" t="str">
        <f>"1551686013146381"</f>
        <v>1551686013146381</v>
      </c>
      <c r="C921" t="s">
        <v>40</v>
      </c>
      <c r="D921">
        <v>4.4892570000000003</v>
      </c>
      <c r="E921">
        <v>0.55311560000000004</v>
      </c>
      <c r="F921" t="s">
        <v>45</v>
      </c>
      <c r="G921">
        <v>-186.11170000000001</v>
      </c>
      <c r="H921" s="1">
        <v>-5.9012399999999998E-6</v>
      </c>
      <c r="I921">
        <v>360.66829999999999</v>
      </c>
      <c r="J921">
        <v>-235.03919999999999</v>
      </c>
      <c r="K921">
        <v>1.110085</v>
      </c>
      <c r="L921">
        <v>367.65890000000002</v>
      </c>
      <c r="M921">
        <v>0.99984819999999996</v>
      </c>
      <c r="N921">
        <v>-1.42352999999999E-2</v>
      </c>
      <c r="O921">
        <v>-1.003341E-2</v>
      </c>
      <c r="P921">
        <v>0.98762510000000003</v>
      </c>
      <c r="Q921">
        <v>0.15639939999999999</v>
      </c>
      <c r="R921">
        <v>1.164551E-2</v>
      </c>
      <c r="S921">
        <v>3.0538180000000001</v>
      </c>
      <c r="T921">
        <v>-6.8864819999999993E-2</v>
      </c>
      <c r="U921">
        <v>-0.43386839999999999</v>
      </c>
      <c r="V921">
        <v>-2.1409600000000001E-2</v>
      </c>
      <c r="W921">
        <v>0.17045850000000001</v>
      </c>
      <c r="X921">
        <v>0.98513220000000001</v>
      </c>
      <c r="Y921">
        <v>0.1306667</v>
      </c>
      <c r="Z921">
        <v>-2.3177610000000002E-3</v>
      </c>
      <c r="AA921">
        <v>0.99142370000000002</v>
      </c>
      <c r="AB921">
        <v>30</v>
      </c>
      <c r="AC921">
        <v>48.927499999999903</v>
      </c>
      <c r="AD921">
        <v>-1.11009090124</v>
      </c>
      <c r="AE921">
        <v>-6.9906000000000201</v>
      </c>
      <c r="AF921">
        <v>6.4960115319395797</v>
      </c>
      <c r="AG921">
        <v>-1.11009090124</v>
      </c>
      <c r="AH921">
        <v>48.970479259350498</v>
      </c>
      <c r="AI921">
        <v>91.287318302874596</v>
      </c>
      <c r="AJ921">
        <v>82.443739246371706</v>
      </c>
      <c r="AK921">
        <v>49.411924740112902</v>
      </c>
      <c r="AL921">
        <v>80.185521339892802</v>
      </c>
      <c r="AM921">
        <v>91.244997017649894</v>
      </c>
      <c r="AN921">
        <v>0.99999996133562397</v>
      </c>
    </row>
    <row r="922" spans="1:40" x14ac:dyDescent="0.25">
      <c r="A922" t="str">
        <f>"20190304155333172"</f>
        <v>20190304155333172</v>
      </c>
      <c r="B922" t="str">
        <f>"1551686013166877"</f>
        <v>1551686013166877</v>
      </c>
      <c r="C922" t="s">
        <v>40</v>
      </c>
      <c r="D922">
        <v>4.5228619999999999</v>
      </c>
      <c r="E922">
        <v>0.55075079999999998</v>
      </c>
      <c r="F922" t="s">
        <v>45</v>
      </c>
      <c r="G922">
        <v>-188.4847</v>
      </c>
      <c r="H922" s="1">
        <v>-6.0833849999999999E-6</v>
      </c>
      <c r="I922">
        <v>361.54809999999998</v>
      </c>
      <c r="J922">
        <v>-234.7559</v>
      </c>
      <c r="K922">
        <v>1.110088</v>
      </c>
      <c r="L922">
        <v>367.65559999999999</v>
      </c>
      <c r="M922">
        <v>0.99984439999999997</v>
      </c>
      <c r="N922">
        <v>-1.423235E-2</v>
      </c>
      <c r="O922">
        <v>-1.0433919999999999E-2</v>
      </c>
      <c r="P922">
        <v>0.98770119999999895</v>
      </c>
      <c r="Q922">
        <v>0.1559671</v>
      </c>
      <c r="R922">
        <v>1.100667E-2</v>
      </c>
      <c r="S922">
        <v>3.0538479999999999</v>
      </c>
      <c r="T922">
        <v>-7.281899E-2</v>
      </c>
      <c r="U922">
        <v>-0.40084839999999999</v>
      </c>
      <c r="V922">
        <v>-2.1167410000000001E-2</v>
      </c>
      <c r="W922">
        <v>0.17002439999999999</v>
      </c>
      <c r="X922">
        <v>0.98521250000000005</v>
      </c>
      <c r="Y922">
        <v>0.1197372</v>
      </c>
      <c r="Z922">
        <v>-2.1774519999999999E-3</v>
      </c>
      <c r="AA922">
        <v>0.9928032</v>
      </c>
      <c r="AB922">
        <v>30</v>
      </c>
      <c r="AC922">
        <v>46.271199999999901</v>
      </c>
      <c r="AD922">
        <v>-1.1100940833849999</v>
      </c>
      <c r="AE922">
        <v>-6.1075000000000097</v>
      </c>
      <c r="AF922">
        <v>5.6211486675456896</v>
      </c>
      <c r="AG922">
        <v>-1.1100940833849999</v>
      </c>
      <c r="AH922">
        <v>46.306216271960203</v>
      </c>
      <c r="AI922">
        <v>91.363278799327006</v>
      </c>
      <c r="AJ922">
        <v>83.078683756120299</v>
      </c>
      <c r="AK922">
        <v>46.659353688646</v>
      </c>
      <c r="AL922">
        <v>80.210762401708394</v>
      </c>
      <c r="AM922">
        <v>91.230817406071495</v>
      </c>
      <c r="AN922">
        <v>1.00000001299885</v>
      </c>
    </row>
    <row r="923" spans="1:40" x14ac:dyDescent="0.25">
      <c r="A923" t="str">
        <f>"20190304155333196"</f>
        <v>20190304155333196</v>
      </c>
      <c r="B923" t="str">
        <f>"1551686013186397"</f>
        <v>1551686013186397</v>
      </c>
      <c r="C923" t="s">
        <v>40</v>
      </c>
      <c r="D923">
        <v>4.4819969999999998</v>
      </c>
      <c r="E923">
        <v>0.54956799999999995</v>
      </c>
      <c r="F923" t="s">
        <v>45</v>
      </c>
      <c r="G923">
        <v>-192.75829999999999</v>
      </c>
      <c r="H923" s="1">
        <v>-7.3850679999999998E-6</v>
      </c>
      <c r="I923">
        <v>362.37169999999998</v>
      </c>
      <c r="J923">
        <v>-234.4546</v>
      </c>
      <c r="K923">
        <v>1.1100829999999999</v>
      </c>
      <c r="L923">
        <v>367.65199999999999</v>
      </c>
      <c r="M923">
        <v>0.99983979999999995</v>
      </c>
      <c r="N923">
        <v>-1.4229210000000001E-2</v>
      </c>
      <c r="O923">
        <v>-1.0865700000000001E-2</v>
      </c>
      <c r="P923">
        <v>0.98772130000000002</v>
      </c>
      <c r="Q923">
        <v>0.1558687</v>
      </c>
      <c r="R923">
        <v>1.0565079999999999E-2</v>
      </c>
      <c r="S923">
        <v>3.0543520000000002</v>
      </c>
      <c r="T923">
        <v>-8.0733540000000006E-2</v>
      </c>
      <c r="U923">
        <v>-0.38427729999999999</v>
      </c>
      <c r="V923">
        <v>-2.1151340000000001E-2</v>
      </c>
      <c r="W923">
        <v>0.1699234</v>
      </c>
      <c r="X923">
        <v>0.9852303</v>
      </c>
      <c r="Y923">
        <v>0.11398</v>
      </c>
      <c r="Z923">
        <v>-2.1826189999999998E-3</v>
      </c>
      <c r="AA923">
        <v>0.99348060000000005</v>
      </c>
      <c r="AB923">
        <v>30</v>
      </c>
      <c r="AC923">
        <v>41.696300000000001</v>
      </c>
      <c r="AD923">
        <v>-1.110090385068</v>
      </c>
      <c r="AE923">
        <v>-5.2803000000000102</v>
      </c>
      <c r="AF923">
        <v>4.8235179692140298</v>
      </c>
      <c r="AG923">
        <v>-1.110090385068</v>
      </c>
      <c r="AH923">
        <v>41.7221122601714</v>
      </c>
      <c r="AI923">
        <v>91.514015994498195</v>
      </c>
      <c r="AJ923">
        <v>83.405278455075106</v>
      </c>
      <c r="AK923">
        <v>42.014679312267702</v>
      </c>
      <c r="AL923">
        <v>80.2166350180146</v>
      </c>
      <c r="AM923">
        <v>91.229861060639905</v>
      </c>
      <c r="AN923">
        <v>1.00000004254472</v>
      </c>
    </row>
    <row r="924" spans="1:40" x14ac:dyDescent="0.25">
      <c r="A924" t="str">
        <f>"20190304155333217"</f>
        <v>20190304155333217</v>
      </c>
      <c r="B924" t="str">
        <f>"1551686013206893"</f>
        <v>1551686013206893</v>
      </c>
      <c r="C924" t="s">
        <v>40</v>
      </c>
      <c r="D924">
        <v>4.4879249999999997</v>
      </c>
      <c r="E924">
        <v>0.5487493</v>
      </c>
      <c r="F924" t="s">
        <v>45</v>
      </c>
      <c r="G924">
        <v>-192.7621</v>
      </c>
      <c r="H924" s="1">
        <v>-7.3654830000000002E-6</v>
      </c>
      <c r="I924">
        <v>362.50580000000002</v>
      </c>
      <c r="J924">
        <v>-234.16630000000001</v>
      </c>
      <c r="K924">
        <v>1.11008</v>
      </c>
      <c r="L924">
        <v>367.64839999999998</v>
      </c>
      <c r="M924">
        <v>0.99983509999999998</v>
      </c>
      <c r="N924">
        <v>-1.4226229999999999E-2</v>
      </c>
      <c r="O924">
        <v>-1.1287149999999999E-2</v>
      </c>
      <c r="P924">
        <v>0.98778220000000005</v>
      </c>
      <c r="Q924">
        <v>0.1555144</v>
      </c>
      <c r="R924">
        <v>1.006833E-2</v>
      </c>
      <c r="S924">
        <v>3.0541689999999999</v>
      </c>
      <c r="T924">
        <v>-8.1319329999999995E-2</v>
      </c>
      <c r="U924">
        <v>-0.37698359999999997</v>
      </c>
      <c r="V924">
        <v>-2.106997E-2</v>
      </c>
      <c r="W924">
        <v>0.16956760000000001</v>
      </c>
      <c r="X924">
        <v>0.98529330000000004</v>
      </c>
      <c r="Y924">
        <v>0.11123280000000001</v>
      </c>
      <c r="Z924">
        <v>-2.1301330000000002E-3</v>
      </c>
      <c r="AA924">
        <v>0.99379209999999996</v>
      </c>
      <c r="AB924">
        <v>30</v>
      </c>
      <c r="AC924">
        <v>41.404200000000003</v>
      </c>
      <c r="AD924">
        <v>-1.1100873654829999</v>
      </c>
      <c r="AE924">
        <v>-5.1425999999999501</v>
      </c>
      <c r="AF924">
        <v>4.67158257780018</v>
      </c>
      <c r="AG924">
        <v>-1.1100873654829999</v>
      </c>
      <c r="AH924">
        <v>41.430284277150001</v>
      </c>
      <c r="AI924">
        <v>91.5251614349352</v>
      </c>
      <c r="AJ924">
        <v>83.5666344493617</v>
      </c>
      <c r="AK924">
        <v>41.7076064168836</v>
      </c>
      <c r="AL924">
        <v>80.237320641343004</v>
      </c>
      <c r="AM924">
        <v>91.225052872270496</v>
      </c>
      <c r="AN924">
        <v>1.0000000008152199</v>
      </c>
    </row>
    <row r="925" spans="1:40" x14ac:dyDescent="0.25">
      <c r="A925" t="str">
        <f>"20190304155333240"</f>
        <v>20190304155333240</v>
      </c>
      <c r="B925" t="str">
        <f>"1551686013237149"</f>
        <v>1551686013237149</v>
      </c>
      <c r="C925" t="s">
        <v>40</v>
      </c>
      <c r="D925">
        <v>4.506183</v>
      </c>
      <c r="E925">
        <v>0.54773459999999996</v>
      </c>
      <c r="F925" t="s">
        <v>45</v>
      </c>
      <c r="G925">
        <v>-193.27940000000001</v>
      </c>
      <c r="H925" s="1">
        <v>-7.52161799999999E-6</v>
      </c>
      <c r="I925">
        <v>362.6687</v>
      </c>
      <c r="J925">
        <v>-233.87469999999999</v>
      </c>
      <c r="K925">
        <v>1.1100699999999999</v>
      </c>
      <c r="L925">
        <v>367.64460000000003</v>
      </c>
      <c r="M925">
        <v>0.99983010000000005</v>
      </c>
      <c r="N925">
        <v>-1.422316E-2</v>
      </c>
      <c r="O925">
        <v>-1.172438E-2</v>
      </c>
      <c r="P925">
        <v>0.98771909999999896</v>
      </c>
      <c r="Q925">
        <v>0.15594729999999901</v>
      </c>
      <c r="R925">
        <v>9.5826560000000002E-3</v>
      </c>
      <c r="S925">
        <v>3.0539550000000002</v>
      </c>
      <c r="T925">
        <v>-8.2915660000000002E-2</v>
      </c>
      <c r="U925">
        <v>-0.37194820000000001</v>
      </c>
      <c r="V925">
        <v>-2.1012019999999999E-2</v>
      </c>
      <c r="W925">
        <v>0.16999619999999999</v>
      </c>
      <c r="X925">
        <v>0.98522069999999995</v>
      </c>
      <c r="Y925">
        <v>0.10919139999999999</v>
      </c>
      <c r="Z925">
        <v>-2.1053399999999998E-3</v>
      </c>
      <c r="AA925">
        <v>0.99401850000000003</v>
      </c>
      <c r="AB925">
        <v>30</v>
      </c>
      <c r="AC925">
        <v>40.595299999999902</v>
      </c>
      <c r="AD925">
        <v>-1.1100775216179899</v>
      </c>
      <c r="AE925">
        <v>-4.9759000000000198</v>
      </c>
      <c r="AF925">
        <v>4.4962427560231504</v>
      </c>
      <c r="AG925">
        <v>-1.1100775216179899</v>
      </c>
      <c r="AH925">
        <v>40.620929832635497</v>
      </c>
      <c r="AI925">
        <v>91.555876187602493</v>
      </c>
      <c r="AJ925">
        <v>83.6837655769381</v>
      </c>
      <c r="AK925">
        <v>40.884085063664998</v>
      </c>
      <c r="AL925">
        <v>80.212402084337299</v>
      </c>
      <c r="AM925">
        <v>91.221774556075104</v>
      </c>
      <c r="AN925">
        <v>1.0000000203537001</v>
      </c>
    </row>
    <row r="926" spans="1:40" x14ac:dyDescent="0.25">
      <c r="A926" t="str">
        <f>"20190304155333262"</f>
        <v>20190304155333262</v>
      </c>
      <c r="B926" t="str">
        <f>"1551686013256672"</f>
        <v>1551686013256672</v>
      </c>
      <c r="C926" t="s">
        <v>40</v>
      </c>
      <c r="D926">
        <v>4.5352600000000001</v>
      </c>
      <c r="E926">
        <v>0.5472745</v>
      </c>
      <c r="F926" t="s">
        <v>45</v>
      </c>
      <c r="G926">
        <v>-193.04820000000001</v>
      </c>
      <c r="H926" s="1">
        <v>-7.4259490000000002E-6</v>
      </c>
      <c r="I926">
        <v>362.76159999999999</v>
      </c>
      <c r="J926">
        <v>-233.57400000000001</v>
      </c>
      <c r="K926">
        <v>1.110061</v>
      </c>
      <c r="L926">
        <v>367.64060000000001</v>
      </c>
      <c r="M926">
        <v>0.99982459999999995</v>
      </c>
      <c r="N926">
        <v>-1.4220150000000001E-2</v>
      </c>
      <c r="O926">
        <v>-1.219051E-2</v>
      </c>
      <c r="P926">
        <v>0.98776989999999998</v>
      </c>
      <c r="Q926">
        <v>0.15565709999999999</v>
      </c>
      <c r="R926">
        <v>9.0365889999999994E-3</v>
      </c>
      <c r="S926">
        <v>3.0539550000000002</v>
      </c>
      <c r="T926">
        <v>-8.30375E-2</v>
      </c>
      <c r="U926">
        <v>-0.3652649</v>
      </c>
      <c r="V926">
        <v>-2.0922880000000001E-2</v>
      </c>
      <c r="W926">
        <v>0.1697043</v>
      </c>
      <c r="X926">
        <v>0.98527290000000001</v>
      </c>
      <c r="Y926">
        <v>0.10658479999999999</v>
      </c>
      <c r="Z926">
        <v>-2.0469920000000001E-3</v>
      </c>
      <c r="AA926">
        <v>0.99430149999999995</v>
      </c>
      <c r="AB926">
        <v>30</v>
      </c>
      <c r="AC926">
        <v>40.525799999999997</v>
      </c>
      <c r="AD926">
        <v>-1.1100684259489999</v>
      </c>
      <c r="AE926">
        <v>-4.8790000000000102</v>
      </c>
      <c r="AF926">
        <v>4.3813169225189998</v>
      </c>
      <c r="AG926">
        <v>-1.1100684259489999</v>
      </c>
      <c r="AH926">
        <v>40.552279790493301</v>
      </c>
      <c r="AI926">
        <v>91.5589416487026</v>
      </c>
      <c r="AJ926">
        <v>83.833614265871105</v>
      </c>
      <c r="AK926">
        <v>40.8033771407746</v>
      </c>
      <c r="AL926">
        <v>80.229373134084199</v>
      </c>
      <c r="AM926">
        <v>91.216528505825593</v>
      </c>
      <c r="AN926">
        <v>1.00000000191019</v>
      </c>
    </row>
    <row r="927" spans="1:40" x14ac:dyDescent="0.25">
      <c r="A927" t="str">
        <f>"20190304155333284"</f>
        <v>20190304155333284</v>
      </c>
      <c r="B927" t="str">
        <f>"1551686013277178"</f>
        <v>1551686013277178</v>
      </c>
      <c r="C927" t="s">
        <v>40</v>
      </c>
      <c r="D927">
        <v>4.4800930000000001</v>
      </c>
      <c r="E927">
        <v>0.5468809</v>
      </c>
      <c r="F927" t="s">
        <v>45</v>
      </c>
      <c r="G927">
        <v>-193.72649999999999</v>
      </c>
      <c r="H927" s="1">
        <v>-7.6413629999999998E-6</v>
      </c>
      <c r="I927">
        <v>362.90679999999998</v>
      </c>
      <c r="J927">
        <v>-233.28270000000001</v>
      </c>
      <c r="K927">
        <v>1.1100490000000001</v>
      </c>
      <c r="L927">
        <v>367.63659999999999</v>
      </c>
      <c r="M927">
        <v>0.99981900000000001</v>
      </c>
      <c r="N927">
        <v>-1.4217209999999999E-2</v>
      </c>
      <c r="O927">
        <v>-1.2659899999999899E-2</v>
      </c>
      <c r="P927">
        <v>0.98789830000000001</v>
      </c>
      <c r="Q927">
        <v>0.15488940000000001</v>
      </c>
      <c r="R927">
        <v>8.14696E-3</v>
      </c>
      <c r="S927">
        <v>3.0538479999999999</v>
      </c>
      <c r="T927">
        <v>-8.5073949999999995E-2</v>
      </c>
      <c r="U927">
        <v>-0.36279299999999998</v>
      </c>
      <c r="V927">
        <v>-2.049434E-2</v>
      </c>
      <c r="W927">
        <v>0.168936</v>
      </c>
      <c r="X927">
        <v>0.98541389999999995</v>
      </c>
      <c r="Y927">
        <v>0.1053269</v>
      </c>
      <c r="Z927">
        <v>-2.0413649999999998E-3</v>
      </c>
      <c r="AA927">
        <v>0.99443550000000003</v>
      </c>
      <c r="AB927">
        <v>29</v>
      </c>
      <c r="AC927">
        <v>39.556199999999997</v>
      </c>
      <c r="AD927">
        <v>-1.110056641363</v>
      </c>
      <c r="AE927">
        <v>-4.7298000000000098</v>
      </c>
      <c r="AF927">
        <v>4.2253122222157602</v>
      </c>
      <c r="AG927">
        <v>-1.110056641363</v>
      </c>
      <c r="AH927">
        <v>39.582181834895799</v>
      </c>
      <c r="AI927">
        <v>91.597331605584799</v>
      </c>
      <c r="AJ927">
        <v>83.906873590828098</v>
      </c>
      <c r="AK927">
        <v>39.822538943831702</v>
      </c>
      <c r="AL927">
        <v>80.274038107943298</v>
      </c>
      <c r="AM927">
        <v>91.191448513539896</v>
      </c>
      <c r="AN927">
        <v>0.99999997219062198</v>
      </c>
    </row>
    <row r="928" spans="1:40" x14ac:dyDescent="0.25">
      <c r="A928" t="str">
        <f>"20190304155333307"</f>
        <v>20190304155333307</v>
      </c>
      <c r="B928" t="str">
        <f>"1551686013296687"</f>
        <v>1551686013296687</v>
      </c>
      <c r="C928" t="s">
        <v>40</v>
      </c>
      <c r="D928">
        <v>4.5021100000000001</v>
      </c>
      <c r="E928">
        <v>0.54655410000000004</v>
      </c>
      <c r="F928" t="s">
        <v>45</v>
      </c>
      <c r="G928">
        <v>-194.66480000000001</v>
      </c>
      <c r="H928" s="1">
        <v>-7.9481320000000002E-6</v>
      </c>
      <c r="I928">
        <v>363.0514</v>
      </c>
      <c r="J928">
        <v>-232.98519999999999</v>
      </c>
      <c r="K928">
        <v>1.110034</v>
      </c>
      <c r="L928">
        <v>367.63229999999999</v>
      </c>
      <c r="M928">
        <v>0.99981249999999999</v>
      </c>
      <c r="N928">
        <v>-1.421417E-2</v>
      </c>
      <c r="O928">
        <v>-1.315503E-2</v>
      </c>
      <c r="P928">
        <v>0.98796059999999997</v>
      </c>
      <c r="Q928">
        <v>0.15451689999999901</v>
      </c>
      <c r="R928">
        <v>7.6566209999999997E-3</v>
      </c>
      <c r="S928">
        <v>3.0534970000000001</v>
      </c>
      <c r="T928">
        <v>-8.7771769999999999E-2</v>
      </c>
      <c r="U928">
        <v>-0.3625488</v>
      </c>
      <c r="V928">
        <v>-2.0489090000000001E-2</v>
      </c>
      <c r="W928">
        <v>0.1685614</v>
      </c>
      <c r="X928">
        <v>0.98547819999999997</v>
      </c>
      <c r="Y928">
        <v>0.1047667</v>
      </c>
      <c r="Z928">
        <v>-2.0573319999999998E-3</v>
      </c>
      <c r="AA928">
        <v>0.99449469999999995</v>
      </c>
      <c r="AB928">
        <v>29</v>
      </c>
      <c r="AC928">
        <v>38.3203999999999</v>
      </c>
      <c r="AD928">
        <v>-1.1100419481320001</v>
      </c>
      <c r="AE928">
        <v>-4.5808999999999802</v>
      </c>
      <c r="AF928">
        <v>4.0729770951860997</v>
      </c>
      <c r="AG928">
        <v>-1.1100419481320001</v>
      </c>
      <c r="AH928">
        <v>38.345628526115199</v>
      </c>
      <c r="AI928">
        <v>91.648883881361499</v>
      </c>
      <c r="AJ928">
        <v>83.936918447688797</v>
      </c>
      <c r="AK928">
        <v>38.577306316114701</v>
      </c>
      <c r="AL928">
        <v>80.295813809218302</v>
      </c>
      <c r="AM928">
        <v>91.191065693405704</v>
      </c>
      <c r="AN928">
        <v>1.00000001552711</v>
      </c>
    </row>
    <row r="929" spans="1:40" x14ac:dyDescent="0.25">
      <c r="A929" t="str">
        <f>"20190304155333329"</f>
        <v>20190304155333329</v>
      </c>
      <c r="B929" t="str">
        <f>"1551686013326941"</f>
        <v>1551686013326941</v>
      </c>
      <c r="C929" t="s">
        <v>40</v>
      </c>
      <c r="D929">
        <v>4.5050400000000002</v>
      </c>
      <c r="E929">
        <v>0.54606899999999903</v>
      </c>
      <c r="F929" t="s">
        <v>45</v>
      </c>
      <c r="G929">
        <v>-195.05600000000001</v>
      </c>
      <c r="H929" s="1">
        <v>-8.0711789999999906E-6</v>
      </c>
      <c r="I929">
        <v>363.14260000000002</v>
      </c>
      <c r="J929">
        <v>-232.68960000000001</v>
      </c>
      <c r="K929">
        <v>1.110017</v>
      </c>
      <c r="L929">
        <v>367.62779999999998</v>
      </c>
      <c r="M929">
        <v>0.99980570000000002</v>
      </c>
      <c r="N929">
        <v>-1.4211130000000001E-2</v>
      </c>
      <c r="O929">
        <v>-1.366445E-2</v>
      </c>
      <c r="P929">
        <v>0.98799939999999997</v>
      </c>
      <c r="Q929">
        <v>0.15431549999999999</v>
      </c>
      <c r="R929">
        <v>6.6278619999999896E-3</v>
      </c>
      <c r="S929">
        <v>3.0533290000000002</v>
      </c>
      <c r="T929">
        <v>-8.9359279999999999E-2</v>
      </c>
      <c r="U929">
        <v>-0.36141970000000001</v>
      </c>
      <c r="V929">
        <v>-1.9960200000000001E-2</v>
      </c>
      <c r="W929">
        <v>0.16835839999999999</v>
      </c>
      <c r="X929">
        <v>0.98552379999999995</v>
      </c>
      <c r="Y929">
        <v>0.10390240000000001</v>
      </c>
      <c r="Z929">
        <v>-2.0511309999999999E-3</v>
      </c>
      <c r="AA929">
        <v>0.99458539999999995</v>
      </c>
      <c r="AB929">
        <v>29</v>
      </c>
      <c r="AC929">
        <v>37.633600000000001</v>
      </c>
      <c r="AD929">
        <v>-1.1100250711790001</v>
      </c>
      <c r="AE929">
        <v>-4.4851999999999599</v>
      </c>
      <c r="AF929">
        <v>3.9670838265106698</v>
      </c>
      <c r="AG929">
        <v>-1.1100250711790001</v>
      </c>
      <c r="AH929">
        <v>37.659075530637203</v>
      </c>
      <c r="AI929">
        <v>91.679055376480903</v>
      </c>
      <c r="AJ929">
        <v>83.986524019174198</v>
      </c>
      <c r="AK929">
        <v>37.883715229204299</v>
      </c>
      <c r="AL929">
        <v>80.307613926431998</v>
      </c>
      <c r="AM929">
        <v>91.160275260422097</v>
      </c>
      <c r="AN929">
        <v>1.0000000604005099</v>
      </c>
    </row>
    <row r="930" spans="1:40" x14ac:dyDescent="0.25">
      <c r="A930" t="str">
        <f>"20190304155333353"</f>
        <v>20190304155333353</v>
      </c>
      <c r="B930" t="str">
        <f>"1551686013346461"</f>
        <v>1551686013346461</v>
      </c>
      <c r="C930" t="s">
        <v>40</v>
      </c>
      <c r="D930">
        <v>4.5178589999999996</v>
      </c>
      <c r="E930">
        <v>0.54582509999999995</v>
      </c>
      <c r="F930" t="s">
        <v>45</v>
      </c>
      <c r="G930">
        <v>-194.98929999999999</v>
      </c>
      <c r="H930" s="1">
        <v>-8.0431579999999996E-6</v>
      </c>
      <c r="I930">
        <v>363.1721</v>
      </c>
      <c r="J930">
        <v>-232.38650000000001</v>
      </c>
      <c r="K930">
        <v>1.1100080000000001</v>
      </c>
      <c r="L930">
        <v>367.62310000000002</v>
      </c>
      <c r="M930">
        <v>0.99979810000000002</v>
      </c>
      <c r="N930">
        <v>-1.420804E-2</v>
      </c>
      <c r="O930">
        <v>-1.4206649999999999E-2</v>
      </c>
      <c r="P930">
        <v>0.98815759999999997</v>
      </c>
      <c r="Q930">
        <v>0.15332660000000001</v>
      </c>
      <c r="R930">
        <v>5.9660929999999996E-3</v>
      </c>
      <c r="S930">
        <v>3.0528870000000001</v>
      </c>
      <c r="T930">
        <v>-8.9887259999999997E-2</v>
      </c>
      <c r="U930">
        <v>-0.3608093</v>
      </c>
      <c r="V930">
        <v>-1.9832949999999998E-2</v>
      </c>
      <c r="W930">
        <v>0.1673693</v>
      </c>
      <c r="X930">
        <v>0.98569479999999998</v>
      </c>
      <c r="Y930">
        <v>0.1031837</v>
      </c>
      <c r="Z930">
        <v>-2.0338069999999999E-3</v>
      </c>
      <c r="AA930">
        <v>0.99466030000000005</v>
      </c>
      <c r="AB930">
        <v>29</v>
      </c>
      <c r="AC930">
        <v>37.397199999999998</v>
      </c>
      <c r="AD930">
        <v>-1.110016043158</v>
      </c>
      <c r="AE930">
        <v>-4.4510000000000201</v>
      </c>
      <c r="AF930">
        <v>3.9158064614982</v>
      </c>
      <c r="AG930">
        <v>-1.110016043158</v>
      </c>
      <c r="AH930">
        <v>37.424154829858701</v>
      </c>
      <c r="AI930">
        <v>91.689699710587107</v>
      </c>
      <c r="AJ930">
        <v>84.026698719185205</v>
      </c>
      <c r="AK930">
        <v>37.644827540967903</v>
      </c>
      <c r="AL930">
        <v>80.365100649963196</v>
      </c>
      <c r="AM930">
        <v>91.152680342265299</v>
      </c>
      <c r="AN930">
        <v>1.00000003361761</v>
      </c>
    </row>
    <row r="931" spans="1:40" x14ac:dyDescent="0.25">
      <c r="A931" t="str">
        <f>"20190304155333373"</f>
        <v>20190304155333373</v>
      </c>
      <c r="B931" t="str">
        <f>"1551686013366969"</f>
        <v>1551686013366969</v>
      </c>
      <c r="C931" t="s">
        <v>40</v>
      </c>
      <c r="D931">
        <v>4.527755</v>
      </c>
      <c r="E931">
        <v>0.54562749999999904</v>
      </c>
      <c r="F931" t="s">
        <v>45</v>
      </c>
      <c r="G931">
        <v>-195.8065</v>
      </c>
      <c r="H931" s="1">
        <v>-8.3110519999999995E-6</v>
      </c>
      <c r="I931">
        <v>363.29340000000002</v>
      </c>
      <c r="J931">
        <v>-232.1122</v>
      </c>
      <c r="K931">
        <v>1.109996</v>
      </c>
      <c r="L931">
        <v>367.61860000000001</v>
      </c>
      <c r="M931">
        <v>0.99979079999999998</v>
      </c>
      <c r="N931">
        <v>-1.4205260000000001E-2</v>
      </c>
      <c r="O931">
        <v>-1.471489E-2</v>
      </c>
      <c r="P931">
        <v>0.98825779999999996</v>
      </c>
      <c r="Q931">
        <v>0.1526884</v>
      </c>
      <c r="R931">
        <v>5.7496140000000001E-3</v>
      </c>
      <c r="S931">
        <v>3.052505</v>
      </c>
      <c r="T931">
        <v>-9.2627760000000003E-2</v>
      </c>
      <c r="U931">
        <v>-0.3612976</v>
      </c>
      <c r="V931">
        <v>-2.0116220000000001E-2</v>
      </c>
      <c r="W931">
        <v>0.16672989999999999</v>
      </c>
      <c r="X931">
        <v>0.98579740000000005</v>
      </c>
      <c r="Y931">
        <v>0.10284649999999999</v>
      </c>
      <c r="Z931">
        <v>-2.051532E-3</v>
      </c>
      <c r="AA931">
        <v>0.99469510000000005</v>
      </c>
      <c r="AB931">
        <v>29</v>
      </c>
      <c r="AC931">
        <v>36.305700000000002</v>
      </c>
      <c r="AD931">
        <v>-1.1100043110519999</v>
      </c>
      <c r="AE931">
        <v>-4.3251999999999899</v>
      </c>
      <c r="AF931">
        <v>3.7869529633657399</v>
      </c>
      <c r="AG931">
        <v>-1.1100043110519999</v>
      </c>
      <c r="AH931">
        <v>36.3319333133458</v>
      </c>
      <c r="AI931">
        <v>91.740518866132305</v>
      </c>
      <c r="AJ931">
        <v>84.049429319408603</v>
      </c>
      <c r="AK931">
        <v>36.545622181086202</v>
      </c>
      <c r="AL931">
        <v>80.4022575303932</v>
      </c>
      <c r="AM931">
        <v>91.169017656069002</v>
      </c>
      <c r="AN931">
        <v>1.0000000178539199</v>
      </c>
    </row>
    <row r="932" spans="1:40" x14ac:dyDescent="0.25">
      <c r="A932" t="str">
        <f>"20190304155333396"</f>
        <v>20190304155333396</v>
      </c>
      <c r="B932" t="str">
        <f>"1551686013386477"</f>
        <v>1551686013386477</v>
      </c>
      <c r="C932" t="s">
        <v>40</v>
      </c>
      <c r="D932">
        <v>4.5255660000000004</v>
      </c>
      <c r="E932">
        <v>0.54540659999999996</v>
      </c>
      <c r="F932" t="s">
        <v>45</v>
      </c>
      <c r="G932">
        <v>-196.37799999999999</v>
      </c>
      <c r="H932" s="1">
        <v>-8.4968419999999996E-6</v>
      </c>
      <c r="I932">
        <v>363.40289999999999</v>
      </c>
      <c r="J932">
        <v>-231.81909999999999</v>
      </c>
      <c r="K932">
        <v>1.10998</v>
      </c>
      <c r="L932">
        <v>367.61369999999999</v>
      </c>
      <c r="M932">
        <v>0.99978250000000002</v>
      </c>
      <c r="N932">
        <v>-1.4202299999999999E-2</v>
      </c>
      <c r="O932">
        <v>-1.527659E-2</v>
      </c>
      <c r="P932">
        <v>0.98833760000000004</v>
      </c>
      <c r="Q932">
        <v>0.15220320000000001</v>
      </c>
      <c r="R932">
        <v>4.836468E-3</v>
      </c>
      <c r="S932">
        <v>3.0523829999999998</v>
      </c>
      <c r="T932">
        <v>-9.4815609999999995E-2</v>
      </c>
      <c r="U932">
        <v>-0.36010740000000002</v>
      </c>
      <c r="V932">
        <v>-1.975404E-2</v>
      </c>
      <c r="W932">
        <v>0.1662438</v>
      </c>
      <c r="X932">
        <v>0.98588679999999995</v>
      </c>
      <c r="Y932">
        <v>0.101908</v>
      </c>
      <c r="Z932">
        <v>-2.0469709999999999E-3</v>
      </c>
      <c r="AA932">
        <v>0.99479169999999995</v>
      </c>
      <c r="AB932">
        <v>29</v>
      </c>
      <c r="AC932">
        <v>35.441099999999999</v>
      </c>
      <c r="AD932">
        <v>-1.109988496842</v>
      </c>
      <c r="AE932">
        <v>-4.2107999999999999</v>
      </c>
      <c r="AF932">
        <v>3.6652895749427499</v>
      </c>
      <c r="AG932">
        <v>-1.109988496842</v>
      </c>
      <c r="AH932">
        <v>35.466991411604702</v>
      </c>
      <c r="AI932">
        <v>91.783075398630203</v>
      </c>
      <c r="AJ932">
        <v>84.099788134848396</v>
      </c>
      <c r="AK932">
        <v>35.673153798369803</v>
      </c>
      <c r="AL932">
        <v>80.430503068901103</v>
      </c>
      <c r="AM932">
        <v>91.147871835632102</v>
      </c>
      <c r="AN932">
        <v>1.0000000027745</v>
      </c>
    </row>
    <row r="933" spans="1:40" x14ac:dyDescent="0.25">
      <c r="A933" t="str">
        <f>"20190304155333418"</f>
        <v>20190304155333418</v>
      </c>
      <c r="B933" t="str">
        <f>"1551686013406973"</f>
        <v>1551686013406973</v>
      </c>
      <c r="C933" t="s">
        <v>40</v>
      </c>
      <c r="D933">
        <v>4.5447230000000003</v>
      </c>
      <c r="E933">
        <v>0.54531030000000003</v>
      </c>
      <c r="F933" t="s">
        <v>45</v>
      </c>
      <c r="G933">
        <v>-196.8134</v>
      </c>
      <c r="H933" s="1">
        <v>-8.6455610000000007E-6</v>
      </c>
      <c r="I933">
        <v>363.46980000000002</v>
      </c>
      <c r="J933">
        <v>-231.53229999999999</v>
      </c>
      <c r="K933">
        <v>1.109964</v>
      </c>
      <c r="L933">
        <v>367.60860000000002</v>
      </c>
      <c r="M933">
        <v>0.99977369999999999</v>
      </c>
      <c r="N933">
        <v>-1.4199430000000001E-2</v>
      </c>
      <c r="O933">
        <v>-1.5847130000000001E-2</v>
      </c>
      <c r="P933">
        <v>0.98834940000000004</v>
      </c>
      <c r="Q933">
        <v>0.15213679999999999</v>
      </c>
      <c r="R933">
        <v>4.4856130000000003E-3</v>
      </c>
      <c r="S933">
        <v>3.052063</v>
      </c>
      <c r="T933">
        <v>-9.677732E-2</v>
      </c>
      <c r="U933">
        <v>-0.3612976</v>
      </c>
      <c r="V933">
        <v>-1.9961119999999999E-2</v>
      </c>
      <c r="W933">
        <v>0.16617560000000001</v>
      </c>
      <c r="X933">
        <v>0.9858941</v>
      </c>
      <c r="Y933">
        <v>0.1017329</v>
      </c>
      <c r="Z933">
        <v>-2.055776E-3</v>
      </c>
      <c r="AA933">
        <v>0.99480959999999996</v>
      </c>
      <c r="AB933">
        <v>29</v>
      </c>
      <c r="AC933">
        <v>34.718899999999898</v>
      </c>
      <c r="AD933">
        <v>-1.1099726455609999</v>
      </c>
      <c r="AE933">
        <v>-4.1387999999999998</v>
      </c>
      <c r="AF933">
        <v>3.5844175381242902</v>
      </c>
      <c r="AG933">
        <v>-1.1099726455609999</v>
      </c>
      <c r="AH933">
        <v>34.745118720162701</v>
      </c>
      <c r="AI933">
        <v>91.820103889144406</v>
      </c>
      <c r="AJ933">
        <v>84.110020209074307</v>
      </c>
      <c r="AK933">
        <v>34.947151003189198</v>
      </c>
      <c r="AL933">
        <v>80.434465505548403</v>
      </c>
      <c r="AM933">
        <v>91.159893026647595</v>
      </c>
      <c r="AN933">
        <v>0.99999997638091098</v>
      </c>
    </row>
    <row r="934" spans="1:40" x14ac:dyDescent="0.25">
      <c r="A934" t="str">
        <f>"20190304155333441"</f>
        <v>20190304155333441</v>
      </c>
      <c r="B934" t="str">
        <f>"1551686013437230"</f>
        <v>1551686013437230</v>
      </c>
      <c r="C934" t="s">
        <v>40</v>
      </c>
      <c r="D934">
        <v>4.5528779999999998</v>
      </c>
      <c r="E934">
        <v>0.54508420000000002</v>
      </c>
      <c r="F934" t="s">
        <v>45</v>
      </c>
      <c r="G934">
        <v>-196.58949999999999</v>
      </c>
      <c r="H934" s="1">
        <v>-8.5641710000000008E-6</v>
      </c>
      <c r="I934">
        <v>363.46949999999998</v>
      </c>
      <c r="J934">
        <v>-231.23560000000001</v>
      </c>
      <c r="K934">
        <v>1.109942</v>
      </c>
      <c r="L934">
        <v>367.60329999999999</v>
      </c>
      <c r="M934">
        <v>0.99976379999999998</v>
      </c>
      <c r="N934">
        <v>-1.419655E-2</v>
      </c>
      <c r="O934">
        <v>-1.6461469999999999E-2</v>
      </c>
      <c r="P934">
        <v>0.9883227</v>
      </c>
      <c r="Q934">
        <v>0.15232290000000001</v>
      </c>
      <c r="R934">
        <v>4.0212970000000001E-3</v>
      </c>
      <c r="S934">
        <v>3.0519259999999999</v>
      </c>
      <c r="T934">
        <v>-9.6945760000000006E-2</v>
      </c>
      <c r="U934">
        <v>-0.36151119999999998</v>
      </c>
      <c r="V934">
        <v>-2.009588E-2</v>
      </c>
      <c r="W934">
        <v>0.16635949999999999</v>
      </c>
      <c r="X934">
        <v>0.98586039999999997</v>
      </c>
      <c r="Y934">
        <v>0.1011958</v>
      </c>
      <c r="Z934">
        <v>-2.0344959999999998E-3</v>
      </c>
      <c r="AA934">
        <v>0.99486450000000004</v>
      </c>
      <c r="AB934">
        <v>29</v>
      </c>
      <c r="AC934">
        <v>34.646099999999997</v>
      </c>
      <c r="AD934">
        <v>-1.1099505641709999</v>
      </c>
      <c r="AE934">
        <v>-4.1337999999999999</v>
      </c>
      <c r="AF934">
        <v>3.5592548029664601</v>
      </c>
      <c r="AG934">
        <v>-1.1099505641709999</v>
      </c>
      <c r="AH934">
        <v>34.674371046771903</v>
      </c>
      <c r="AI934">
        <v>91.823874380981394</v>
      </c>
      <c r="AJ934">
        <v>84.139229585377507</v>
      </c>
      <c r="AK934">
        <v>34.874235367912497</v>
      </c>
      <c r="AL934">
        <v>80.423780576091104</v>
      </c>
      <c r="AM934">
        <v>91.167761353140605</v>
      </c>
      <c r="AN934">
        <v>1.00000002796069</v>
      </c>
    </row>
    <row r="935" spans="1:40" x14ac:dyDescent="0.25">
      <c r="A935" t="str">
        <f>"20190304155333458"</f>
        <v>20190304155333458</v>
      </c>
      <c r="B935" t="str">
        <f>"1551686013446989"</f>
        <v>1551686013446989</v>
      </c>
      <c r="C935" t="s">
        <v>40</v>
      </c>
      <c r="D935">
        <v>4.5513599999999999</v>
      </c>
      <c r="E935">
        <v>0.54499049999999905</v>
      </c>
      <c r="F935" t="s">
        <v>45</v>
      </c>
      <c r="G935">
        <v>-196.1386</v>
      </c>
      <c r="H935" s="1">
        <v>-8.4036609999999904E-6</v>
      </c>
      <c r="I935">
        <v>363.4468</v>
      </c>
      <c r="J935">
        <v>-231.00579999999999</v>
      </c>
      <c r="K935">
        <v>1.109928</v>
      </c>
      <c r="L935">
        <v>367.59899999999999</v>
      </c>
      <c r="M935">
        <v>0.99975559999999997</v>
      </c>
      <c r="N935">
        <v>-1.419436E-2</v>
      </c>
      <c r="O935">
        <v>-1.6958819999999999E-2</v>
      </c>
      <c r="P935">
        <v>0.98834979999999995</v>
      </c>
      <c r="Q935">
        <v>0.15215879999999901</v>
      </c>
      <c r="R935">
        <v>3.5885439999999999E-3</v>
      </c>
      <c r="S935">
        <v>3.0517880000000002</v>
      </c>
      <c r="T935">
        <v>-9.6513390000000004E-2</v>
      </c>
      <c r="U935">
        <v>-0.36141970000000001</v>
      </c>
      <c r="V935">
        <v>-2.0149569999999999E-2</v>
      </c>
      <c r="W935">
        <v>0.16619439999999999</v>
      </c>
      <c r="X935">
        <v>0.98588710000000002</v>
      </c>
      <c r="Y935">
        <v>0.10067760000000001</v>
      </c>
      <c r="Z935">
        <v>-2.009102E-3</v>
      </c>
      <c r="AA935">
        <v>0.9949171</v>
      </c>
      <c r="AB935">
        <v>29</v>
      </c>
      <c r="AC935">
        <v>34.867199999999997</v>
      </c>
      <c r="AD935">
        <v>-1.109936403661</v>
      </c>
      <c r="AE935">
        <v>-4.1521999999999899</v>
      </c>
      <c r="AF935">
        <v>3.55668291437925</v>
      </c>
      <c r="AG935">
        <v>-1.109936403661</v>
      </c>
      <c r="AH935">
        <v>34.897738861432103</v>
      </c>
      <c r="AI935">
        <v>91.812319079250898</v>
      </c>
      <c r="AJ935">
        <v>84.180662754178996</v>
      </c>
      <c r="AK935">
        <v>35.096070005262902</v>
      </c>
      <c r="AL935">
        <v>80.433373179178304</v>
      </c>
      <c r="AM935">
        <v>91.170848683110904</v>
      </c>
      <c r="AN935">
        <v>0.999999978854477</v>
      </c>
    </row>
    <row r="936" spans="1:40" x14ac:dyDescent="0.25">
      <c r="A936" t="str">
        <f>"20190304155333475"</f>
        <v>20190304155333475</v>
      </c>
      <c r="B936" t="str">
        <f>"1551686013466509"</f>
        <v>1551686013466509</v>
      </c>
      <c r="C936" t="s">
        <v>40</v>
      </c>
      <c r="D936">
        <v>4.6151710000000001</v>
      </c>
      <c r="E936">
        <v>0.54494509999999996</v>
      </c>
      <c r="F936" t="s">
        <v>45</v>
      </c>
      <c r="G936">
        <v>-196.1688</v>
      </c>
      <c r="H936" s="1">
        <v>-8.4118399999999906E-6</v>
      </c>
      <c r="I936">
        <v>363.46510000000001</v>
      </c>
      <c r="J936">
        <v>-230.79929999999999</v>
      </c>
      <c r="K936">
        <v>1.109918</v>
      </c>
      <c r="L936">
        <v>367.59500000000003</v>
      </c>
      <c r="M936">
        <v>0.99974739999999995</v>
      </c>
      <c r="N936">
        <v>-1.4192359999999999E-2</v>
      </c>
      <c r="O936">
        <v>-1.7421229999999999E-2</v>
      </c>
      <c r="P936">
        <v>0.98829540000000005</v>
      </c>
      <c r="Q936">
        <v>0.1525157</v>
      </c>
      <c r="R936">
        <v>3.328012E-3</v>
      </c>
      <c r="S936">
        <v>3.0516510000000001</v>
      </c>
      <c r="T936">
        <v>-9.7228049999999996E-2</v>
      </c>
      <c r="U936">
        <v>-0.36212159999999999</v>
      </c>
      <c r="V936">
        <v>-2.0338249999999999E-2</v>
      </c>
      <c r="W936">
        <v>0.16654939999999999</v>
      </c>
      <c r="X936">
        <v>0.98582329999999996</v>
      </c>
      <c r="Y936">
        <v>0.1004477</v>
      </c>
      <c r="Z936">
        <v>-2.003384E-3</v>
      </c>
      <c r="AA936">
        <v>0.9949403</v>
      </c>
      <c r="AB936">
        <v>29</v>
      </c>
      <c r="AC936">
        <v>34.630499999999898</v>
      </c>
      <c r="AD936">
        <v>-1.1099264118400001</v>
      </c>
      <c r="AE936">
        <v>-4.1299000000000197</v>
      </c>
      <c r="AF936">
        <v>3.5223388354200802</v>
      </c>
      <c r="AG936">
        <v>-1.1099264118400001</v>
      </c>
      <c r="AH936">
        <v>34.662091660752402</v>
      </c>
      <c r="AI936">
        <v>91.824669979509594</v>
      </c>
      <c r="AJ936">
        <v>84.197559015821696</v>
      </c>
      <c r="AK936">
        <v>34.858276001684402</v>
      </c>
      <c r="AL936">
        <v>80.412745539161804</v>
      </c>
      <c r="AM936">
        <v>91.181885843863896</v>
      </c>
      <c r="AN936">
        <v>0.99999996293815496</v>
      </c>
    </row>
    <row r="937" spans="1:40" x14ac:dyDescent="0.25">
      <c r="A937" t="str">
        <f>"20190304155333499"</f>
        <v>20190304155333499</v>
      </c>
      <c r="B937" t="str">
        <f>"1551686013496765"</f>
        <v>1551686013496765</v>
      </c>
      <c r="C937" t="s">
        <v>40</v>
      </c>
      <c r="D937">
        <v>4.5702740000000004</v>
      </c>
      <c r="E937">
        <v>0.54490419999999995</v>
      </c>
      <c r="F937" t="s">
        <v>45</v>
      </c>
      <c r="G937">
        <v>-195.6866</v>
      </c>
      <c r="H937" s="1">
        <v>-8.2487260000000006E-6</v>
      </c>
      <c r="I937">
        <v>363.42309999999998</v>
      </c>
      <c r="J937">
        <v>-230.4821</v>
      </c>
      <c r="K937">
        <v>1.1098939999999999</v>
      </c>
      <c r="L937">
        <v>367.58870000000002</v>
      </c>
      <c r="M937">
        <v>0.99973449999999997</v>
      </c>
      <c r="N937">
        <v>-1.4189200000000001E-2</v>
      </c>
      <c r="O937">
        <v>-1.8156289999999999E-2</v>
      </c>
      <c r="P937">
        <v>0.98824480000000003</v>
      </c>
      <c r="Q937">
        <v>0.1528591</v>
      </c>
      <c r="R937">
        <v>2.5474159999999998E-3</v>
      </c>
      <c r="S937">
        <v>3.0516200000000002</v>
      </c>
      <c r="T937">
        <v>-9.6462850000000003E-2</v>
      </c>
      <c r="U937">
        <v>-0.36257929999999999</v>
      </c>
      <c r="V937">
        <v>-2.0273610000000001E-2</v>
      </c>
      <c r="W937">
        <v>0.1668898</v>
      </c>
      <c r="X937">
        <v>0.98576710000000001</v>
      </c>
      <c r="Y937">
        <v>9.9865919999999997E-2</v>
      </c>
      <c r="Z937">
        <v>-1.968942E-3</v>
      </c>
      <c r="AA937">
        <v>0.99499890000000002</v>
      </c>
      <c r="AB937">
        <v>29</v>
      </c>
      <c r="AC937">
        <v>34.795499999999997</v>
      </c>
      <c r="AD937">
        <v>-1.109902248726</v>
      </c>
      <c r="AE937">
        <v>-4.1656000000000297</v>
      </c>
      <c r="AF937">
        <v>3.5295519457393798</v>
      </c>
      <c r="AG937">
        <v>-1.109902248726</v>
      </c>
      <c r="AH937">
        <v>34.830464292242802</v>
      </c>
      <c r="AI937">
        <v>91.815867615676197</v>
      </c>
      <c r="AJ937">
        <v>84.213673226956999</v>
      </c>
      <c r="AK937">
        <v>35.026430916560699</v>
      </c>
      <c r="AL937">
        <v>80.392965576127196</v>
      </c>
      <c r="AM937">
        <v>91.178197726065903</v>
      </c>
      <c r="AN937">
        <v>1.00000000002444</v>
      </c>
    </row>
    <row r="938" spans="1:40" x14ac:dyDescent="0.25">
      <c r="A938" t="str">
        <f>"20190304155333520"</f>
        <v>20190304155333520</v>
      </c>
      <c r="B938" t="str">
        <f>"1551686013516285"</f>
        <v>1551686013516285</v>
      </c>
      <c r="C938" t="s">
        <v>40</v>
      </c>
      <c r="D938">
        <v>4.5974269999999997</v>
      </c>
      <c r="E938">
        <v>0.54476769999999997</v>
      </c>
      <c r="F938" t="s">
        <v>45</v>
      </c>
      <c r="G938">
        <v>-195.12360000000001</v>
      </c>
      <c r="H938" s="1">
        <v>-8.0608049999999995E-6</v>
      </c>
      <c r="I938">
        <v>363.36110000000002</v>
      </c>
      <c r="J938">
        <v>-230.21199999999999</v>
      </c>
      <c r="K938">
        <v>1.10988</v>
      </c>
      <c r="L938">
        <v>367.5831</v>
      </c>
      <c r="M938">
        <v>0.99972249999999996</v>
      </c>
      <c r="N938">
        <v>-1.4186300000000001E-2</v>
      </c>
      <c r="O938">
        <v>-1.8807589999999999E-2</v>
      </c>
      <c r="P938">
        <v>0.9882919</v>
      </c>
      <c r="Q938">
        <v>0.15256749999999999</v>
      </c>
      <c r="R938">
        <v>1.5936990000000001E-3</v>
      </c>
      <c r="S938">
        <v>3.0514220000000001</v>
      </c>
      <c r="T938">
        <v>-9.5784309999999998E-2</v>
      </c>
      <c r="U938">
        <v>-0.36483759999999998</v>
      </c>
      <c r="V938">
        <v>-1.9957320000000001E-2</v>
      </c>
      <c r="W938">
        <v>0.16659689999999999</v>
      </c>
      <c r="X938">
        <v>0.98582309999999995</v>
      </c>
      <c r="Y938">
        <v>9.9952159999999998E-2</v>
      </c>
      <c r="Z938">
        <v>-1.9525689999999999E-3</v>
      </c>
      <c r="AA938">
        <v>0.99499029999999999</v>
      </c>
      <c r="AB938">
        <v>29</v>
      </c>
      <c r="AC938">
        <v>35.0884</v>
      </c>
      <c r="AD938">
        <v>-1.1098880608049999</v>
      </c>
      <c r="AE938">
        <v>-4.22199999999998</v>
      </c>
      <c r="AF938">
        <v>3.5577495871021898</v>
      </c>
      <c r="AG938">
        <v>-1.1098880608049999</v>
      </c>
      <c r="AH938">
        <v>35.126961915134103</v>
      </c>
      <c r="AI938">
        <v>91.800536968986506</v>
      </c>
      <c r="AJ938">
        <v>84.216656892792003</v>
      </c>
      <c r="AK938">
        <v>35.324111977788299</v>
      </c>
      <c r="AL938">
        <v>80.409985817110993</v>
      </c>
      <c r="AM938">
        <v>91.159755776012304</v>
      </c>
      <c r="AN938">
        <v>1.0000000031023999</v>
      </c>
    </row>
    <row r="939" spans="1:40" x14ac:dyDescent="0.25">
      <c r="A939" t="str">
        <f>"20190304155333542"</f>
        <v>20190304155333542</v>
      </c>
      <c r="B939" t="str">
        <f>"1551686013536781"</f>
        <v>1551686013536781</v>
      </c>
      <c r="C939" t="s">
        <v>40</v>
      </c>
      <c r="D939">
        <v>4.5886079999999998</v>
      </c>
      <c r="E939">
        <v>0.54465620000000003</v>
      </c>
      <c r="F939" t="s">
        <v>45</v>
      </c>
      <c r="G939">
        <v>-195.328</v>
      </c>
      <c r="H939" s="1">
        <v>-8.1270670000000002E-6</v>
      </c>
      <c r="I939">
        <v>363.39609999999999</v>
      </c>
      <c r="J939">
        <v>-229.9204</v>
      </c>
      <c r="K939">
        <v>1.109864</v>
      </c>
      <c r="L939">
        <v>367.57679999999999</v>
      </c>
      <c r="M939">
        <v>0.9997085</v>
      </c>
      <c r="N939">
        <v>-1.418326E-2</v>
      </c>
      <c r="O939">
        <v>-1.953541E-2</v>
      </c>
      <c r="P939">
        <v>0.98832819999999999</v>
      </c>
      <c r="Q939">
        <v>0.1523359</v>
      </c>
      <c r="R939">
        <v>1.08362E-3</v>
      </c>
      <c r="S939">
        <v>3.051132</v>
      </c>
      <c r="T939">
        <v>-9.7076419999999997E-2</v>
      </c>
      <c r="U939">
        <v>-0.36621090000000001</v>
      </c>
      <c r="V939">
        <v>-2.0160270000000001E-2</v>
      </c>
      <c r="W939">
        <v>0.1663637</v>
      </c>
      <c r="X939">
        <v>0.98585829999999997</v>
      </c>
      <c r="Y939">
        <v>9.9679240000000002E-2</v>
      </c>
      <c r="Z939">
        <v>-1.94656E-3</v>
      </c>
      <c r="AA939">
        <v>0.9950177</v>
      </c>
      <c r="AB939">
        <v>29</v>
      </c>
      <c r="AC939">
        <v>34.592399999999998</v>
      </c>
      <c r="AD939">
        <v>-1.109872127067</v>
      </c>
      <c r="AE939">
        <v>-4.1806999999999999</v>
      </c>
      <c r="AF939">
        <v>3.5005057311746999</v>
      </c>
      <c r="AG939">
        <v>-1.109872127067</v>
      </c>
      <c r="AH939">
        <v>34.632339826636802</v>
      </c>
      <c r="AI939">
        <v>91.826246624961499</v>
      </c>
      <c r="AJ939">
        <v>84.228361489319795</v>
      </c>
      <c r="AK939">
        <v>34.826488746069202</v>
      </c>
      <c r="AL939">
        <v>80.423535802828297</v>
      </c>
      <c r="AM939">
        <v>91.171504476917093</v>
      </c>
      <c r="AN939">
        <v>0.99999995242152495</v>
      </c>
    </row>
    <row r="940" spans="1:40" x14ac:dyDescent="0.25">
      <c r="A940" t="str">
        <f>"20190304155333565"</f>
        <v>20190304155333565</v>
      </c>
      <c r="B940" t="str">
        <f>"1551686013556301"</f>
        <v>1551686013556301</v>
      </c>
      <c r="C940" t="s">
        <v>40</v>
      </c>
      <c r="D940">
        <v>4.6075359999999996</v>
      </c>
      <c r="E940">
        <v>0.54457709999999904</v>
      </c>
      <c r="F940" t="s">
        <v>45</v>
      </c>
      <c r="G940">
        <v>-195.399</v>
      </c>
      <c r="H940" s="1">
        <v>-8.1479709999999996E-6</v>
      </c>
      <c r="I940">
        <v>363.42169999999999</v>
      </c>
      <c r="J940">
        <v>-229.62649999999999</v>
      </c>
      <c r="K940">
        <v>1.1098520000000001</v>
      </c>
      <c r="L940">
        <v>367.5702</v>
      </c>
      <c r="M940">
        <v>0.99969359999999996</v>
      </c>
      <c r="N940">
        <v>-1.418022E-2</v>
      </c>
      <c r="O940">
        <v>-2.0295150000000001E-2</v>
      </c>
      <c r="P940">
        <v>0.98835729999999999</v>
      </c>
      <c r="Q940">
        <v>0.15215100000000001</v>
      </c>
      <c r="R940">
        <v>3.1684569999999997E-4</v>
      </c>
      <c r="S940">
        <v>3.0509490000000001</v>
      </c>
      <c r="T940">
        <v>-9.8088739999999994E-2</v>
      </c>
      <c r="U940">
        <v>-0.36721799999999999</v>
      </c>
      <c r="V940">
        <v>-2.0138820000000002E-2</v>
      </c>
      <c r="W940">
        <v>0.16617699999999999</v>
      </c>
      <c r="X940">
        <v>0.9858903</v>
      </c>
      <c r="Y940">
        <v>9.9253190000000005E-2</v>
      </c>
      <c r="Z940">
        <v>-1.932986E-3</v>
      </c>
      <c r="AA940">
        <v>0.99506030000000001</v>
      </c>
      <c r="AB940">
        <v>29</v>
      </c>
      <c r="AC940">
        <v>34.2274999999999</v>
      </c>
      <c r="AD940">
        <v>-1.109860147971</v>
      </c>
      <c r="AE940">
        <v>-4.1485000000000101</v>
      </c>
      <c r="AF940">
        <v>3.44934907640538</v>
      </c>
      <c r="AG940">
        <v>-1.109860147971</v>
      </c>
      <c r="AH940">
        <v>34.269141283230198</v>
      </c>
      <c r="AI940">
        <v>91.845646350420395</v>
      </c>
      <c r="AJ940">
        <v>84.2522708819927</v>
      </c>
      <c r="AK940">
        <v>34.460177638673699</v>
      </c>
      <c r="AL940">
        <v>80.434384634870995</v>
      </c>
      <c r="AM940">
        <v>91.170220399956605</v>
      </c>
      <c r="AN940">
        <v>1.00000002551704</v>
      </c>
    </row>
    <row r="941" spans="1:40" x14ac:dyDescent="0.25">
      <c r="A941" t="str">
        <f>"20190304155333586"</f>
        <v>20190304155333586</v>
      </c>
      <c r="B941" t="str">
        <f>"1551686013576797"</f>
        <v>1551686013576797</v>
      </c>
      <c r="C941" t="s">
        <v>40</v>
      </c>
      <c r="D941">
        <v>4.5807589999999996</v>
      </c>
      <c r="E941">
        <v>0.54449559999999997</v>
      </c>
      <c r="F941" t="s">
        <v>45</v>
      </c>
      <c r="G941">
        <v>-195.4615</v>
      </c>
      <c r="H941" s="1">
        <v>-8.1677679999999906E-6</v>
      </c>
      <c r="I941">
        <v>363.43549999999999</v>
      </c>
      <c r="J941">
        <v>-229.3503</v>
      </c>
      <c r="K941">
        <v>1.1098349999999999</v>
      </c>
      <c r="L941">
        <v>367.56380000000001</v>
      </c>
      <c r="M941">
        <v>0.99967839999999997</v>
      </c>
      <c r="N941">
        <v>-1.417736E-2</v>
      </c>
      <c r="O941">
        <v>-2.1026340000000001E-2</v>
      </c>
      <c r="P941">
        <v>0.98835170000000006</v>
      </c>
      <c r="Q941">
        <v>0.15218719999999999</v>
      </c>
      <c r="R941">
        <v>-6.8237259999999998E-4</v>
      </c>
      <c r="S941">
        <v>3.050735</v>
      </c>
      <c r="T941">
        <v>-9.9103930000000007E-2</v>
      </c>
      <c r="U941">
        <v>-0.36920170000000002</v>
      </c>
      <c r="V941">
        <v>-1.9857570000000001E-2</v>
      </c>
      <c r="W941">
        <v>0.16621040000000001</v>
      </c>
      <c r="X941">
        <v>0.9858903</v>
      </c>
      <c r="Y941">
        <v>9.9170380000000002E-2</v>
      </c>
      <c r="Z941">
        <v>-1.9273199999999999E-3</v>
      </c>
      <c r="AA941">
        <v>0.99506859999999997</v>
      </c>
      <c r="AB941">
        <v>29</v>
      </c>
      <c r="AC941">
        <v>33.888800000000003</v>
      </c>
      <c r="AD941">
        <v>-1.1098431677680001</v>
      </c>
      <c r="AE941">
        <v>-4.1283000000000198</v>
      </c>
      <c r="AF941">
        <v>3.4111530135810901</v>
      </c>
      <c r="AG941">
        <v>-1.1098431677680001</v>
      </c>
      <c r="AH941">
        <v>33.932256888815601</v>
      </c>
      <c r="AI941">
        <v>91.863952271664303</v>
      </c>
      <c r="AJ941">
        <v>84.259437242240395</v>
      </c>
      <c r="AK941">
        <v>34.121338987614102</v>
      </c>
      <c r="AL941">
        <v>80.432443256255496</v>
      </c>
      <c r="AM941">
        <v>91.153882060682506</v>
      </c>
      <c r="AN941">
        <v>0.99999995189427604</v>
      </c>
    </row>
    <row r="942" spans="1:40" x14ac:dyDescent="0.25">
      <c r="A942" t="str">
        <f>"20190304155333609"</f>
        <v>20190304155333609</v>
      </c>
      <c r="B942" t="str">
        <f>"1551686013596317"</f>
        <v>1551686013596317</v>
      </c>
      <c r="C942" t="s">
        <v>40</v>
      </c>
      <c r="D942">
        <v>4.5870810000000004</v>
      </c>
      <c r="E942">
        <v>0.54443629999999998</v>
      </c>
      <c r="F942" t="s">
        <v>45</v>
      </c>
      <c r="G942">
        <v>-195.28030000000001</v>
      </c>
      <c r="H942" s="1">
        <v>-8.1079159999999995E-6</v>
      </c>
      <c r="I942">
        <v>363.41149999999999</v>
      </c>
      <c r="J942">
        <v>-229.06379999999999</v>
      </c>
      <c r="K942">
        <v>1.10982</v>
      </c>
      <c r="L942">
        <v>367.55689999999998</v>
      </c>
      <c r="M942">
        <v>0.99966189999999999</v>
      </c>
      <c r="N942">
        <v>-1.417439E-2</v>
      </c>
      <c r="O942">
        <v>-2.1802820000000001E-2</v>
      </c>
      <c r="P942">
        <v>0.98840910000000004</v>
      </c>
      <c r="Q942">
        <v>0.15180179999999999</v>
      </c>
      <c r="R942">
        <v>-1.9420069999999999E-3</v>
      </c>
      <c r="S942">
        <v>3.0503849999999999</v>
      </c>
      <c r="T942">
        <v>-9.9367499999999997E-2</v>
      </c>
      <c r="U942">
        <v>-0.37176510000000001</v>
      </c>
      <c r="V942">
        <v>-1.936148E-2</v>
      </c>
      <c r="W942">
        <v>0.165823</v>
      </c>
      <c r="X942">
        <v>0.98596550000000005</v>
      </c>
      <c r="Y942">
        <v>9.923498E-2</v>
      </c>
      <c r="Z942">
        <v>-1.9169580000000001E-3</v>
      </c>
      <c r="AA942">
        <v>0.99506220000000001</v>
      </c>
      <c r="AB942">
        <v>29</v>
      </c>
      <c r="AC942">
        <v>33.783499999999897</v>
      </c>
      <c r="AD942">
        <v>-1.109828107916</v>
      </c>
      <c r="AE942">
        <v>-4.1453999999999898</v>
      </c>
      <c r="AF942">
        <v>3.4041456334222402</v>
      </c>
      <c r="AG942">
        <v>-1.109828107916</v>
      </c>
      <c r="AH942">
        <v>33.829890513540597</v>
      </c>
      <c r="AI942">
        <v>91.869545031199493</v>
      </c>
      <c r="AJ942">
        <v>84.253932121967395</v>
      </c>
      <c r="AK942">
        <v>34.018839164216203</v>
      </c>
      <c r="AL942">
        <v>80.454952949675601</v>
      </c>
      <c r="AM942">
        <v>91.124977020618601</v>
      </c>
      <c r="AN942">
        <v>1.0000000507135101</v>
      </c>
    </row>
    <row r="943" spans="1:40" x14ac:dyDescent="0.25">
      <c r="A943" t="str">
        <f>"20190304155333630"</f>
        <v>20190304155333630</v>
      </c>
      <c r="B943" t="str">
        <f>"1551686013626573"</f>
        <v>1551686013626573</v>
      </c>
      <c r="C943" t="s">
        <v>40</v>
      </c>
      <c r="D943">
        <v>4.9473760000000002</v>
      </c>
      <c r="E943">
        <v>0.56547919999999996</v>
      </c>
      <c r="F943" t="s">
        <v>45</v>
      </c>
      <c r="G943">
        <v>-195.52860000000001</v>
      </c>
      <c r="H943" s="1">
        <v>-8.1921329999999993E-6</v>
      </c>
      <c r="I943">
        <v>363.43029999999999</v>
      </c>
      <c r="J943">
        <v>-228.77760000000001</v>
      </c>
      <c r="K943">
        <v>1.109802</v>
      </c>
      <c r="L943">
        <v>367.5498</v>
      </c>
      <c r="M943">
        <v>0.99964439999999999</v>
      </c>
      <c r="N943">
        <v>-1.417143E-2</v>
      </c>
      <c r="O943">
        <v>-2.259599E-2</v>
      </c>
      <c r="P943">
        <v>0.98844259999999995</v>
      </c>
      <c r="Q943">
        <v>0.15156249999999999</v>
      </c>
      <c r="R943">
        <v>-3.2222930000000002E-3</v>
      </c>
      <c r="S943">
        <v>3.0499420000000002</v>
      </c>
      <c r="T943">
        <v>-0.1009362</v>
      </c>
      <c r="U943">
        <v>-0.37530520000000001</v>
      </c>
      <c r="V943">
        <v>-1.8861550000000001E-2</v>
      </c>
      <c r="W943">
        <v>0.16558120000000001</v>
      </c>
      <c r="X943">
        <v>0.9860158</v>
      </c>
      <c r="Y943">
        <v>9.9598729999999996E-2</v>
      </c>
      <c r="Z943">
        <v>-1.924762E-3</v>
      </c>
      <c r="AA943">
        <v>0.99502579999999996</v>
      </c>
      <c r="AB943">
        <v>29</v>
      </c>
      <c r="AC943">
        <v>33.248999999999903</v>
      </c>
      <c r="AD943">
        <v>-1.1098101921329999</v>
      </c>
      <c r="AE943">
        <v>-4.1195000000000102</v>
      </c>
      <c r="AF943">
        <v>3.3633879572042602</v>
      </c>
      <c r="AG943">
        <v>-1.1098101921329999</v>
      </c>
      <c r="AH943">
        <v>33.297065846729602</v>
      </c>
      <c r="AI943">
        <v>91.899336241583697</v>
      </c>
      <c r="AJ943">
        <v>84.232029387051</v>
      </c>
      <c r="AK943">
        <v>33.484901839705003</v>
      </c>
      <c r="AL943">
        <v>80.4690010258293</v>
      </c>
      <c r="AM943">
        <v>91.095880434902298</v>
      </c>
      <c r="AN943">
        <v>1.0000000248557399</v>
      </c>
    </row>
    <row r="944" spans="1:40" x14ac:dyDescent="0.25">
      <c r="A944" t="str">
        <f>"20190304155333647"</f>
        <v>20190304155333647</v>
      </c>
      <c r="B944" t="str">
        <f>"1551686013636333"</f>
        <v>1551686013636333</v>
      </c>
      <c r="C944" t="s">
        <v>40</v>
      </c>
      <c r="D944">
        <v>4.7432100000000004</v>
      </c>
      <c r="E944">
        <v>0.56547919999999996</v>
      </c>
      <c r="F944" t="s">
        <v>45</v>
      </c>
      <c r="G944">
        <v>-175.46</v>
      </c>
      <c r="H944">
        <v>7.9988080000000003E-2</v>
      </c>
      <c r="I944">
        <v>357.98270000000002</v>
      </c>
      <c r="J944">
        <v>-228.5694</v>
      </c>
      <c r="K944">
        <v>1.109793</v>
      </c>
      <c r="L944">
        <v>367.54450000000003</v>
      </c>
      <c r="M944">
        <v>0.99963089999999999</v>
      </c>
      <c r="N944">
        <v>-1.4169319999999999E-2</v>
      </c>
      <c r="O944">
        <v>-2.3184799999999998E-2</v>
      </c>
      <c r="P944">
        <v>0.98847569999999996</v>
      </c>
      <c r="Q944">
        <v>0.15133260000000001</v>
      </c>
      <c r="R944">
        <v>-3.8173370000000001E-3</v>
      </c>
      <c r="S944">
        <v>3.042313</v>
      </c>
      <c r="T944">
        <v>-5.8761359999999999E-2</v>
      </c>
      <c r="U944">
        <v>-0.54589840000000001</v>
      </c>
      <c r="V944">
        <v>-1.88463E-2</v>
      </c>
      <c r="W944">
        <v>0.16535079999999999</v>
      </c>
      <c r="X944">
        <v>0.98605469999999895</v>
      </c>
      <c r="Y944">
        <v>0.1536961</v>
      </c>
      <c r="Z944">
        <v>-2.4522939999999998E-3</v>
      </c>
      <c r="AA944">
        <v>0.98811510000000002</v>
      </c>
      <c r="AB944">
        <v>29</v>
      </c>
      <c r="AC944">
        <v>53.109400000000001</v>
      </c>
      <c r="AD944">
        <v>-1.0298049199999999</v>
      </c>
      <c r="AE944">
        <v>-9.5617999999999999</v>
      </c>
      <c r="AF944">
        <v>8.32474325947293</v>
      </c>
      <c r="AG944">
        <v>-1.0298049199999999</v>
      </c>
      <c r="AH944">
        <v>53.297422066960898</v>
      </c>
      <c r="AI944">
        <v>91.093665663715399</v>
      </c>
      <c r="AJ944">
        <v>81.122466973010503</v>
      </c>
      <c r="AK944">
        <v>53.953471134795102</v>
      </c>
      <c r="AL944">
        <v>80.482385965191895</v>
      </c>
      <c r="AM944">
        <v>91.094951418830206</v>
      </c>
      <c r="AN944">
        <v>0.99999997073820901</v>
      </c>
    </row>
    <row r="945" spans="1:40" x14ac:dyDescent="0.25">
      <c r="A945" t="str">
        <f>"20190304155333688"</f>
        <v>20190304155333688</v>
      </c>
      <c r="B945" t="str">
        <f>"1551686013676349"</f>
        <v>1551686013676349</v>
      </c>
      <c r="C945" t="s">
        <v>40</v>
      </c>
      <c r="D945">
        <v>4.8888619999999996</v>
      </c>
      <c r="E945">
        <v>0.62065899999999996</v>
      </c>
      <c r="F945" t="s">
        <v>45</v>
      </c>
      <c r="G945">
        <v>-175.9091</v>
      </c>
      <c r="H945">
        <v>7.998806E-2</v>
      </c>
      <c r="I945">
        <v>358.0609</v>
      </c>
      <c r="J945">
        <v>-228.04640000000001</v>
      </c>
      <c r="K945">
        <v>1.1097589999999999</v>
      </c>
      <c r="L945">
        <v>367.53050000000002</v>
      </c>
      <c r="M945">
        <v>0.99959419999999999</v>
      </c>
      <c r="N945">
        <v>-1.416423E-2</v>
      </c>
      <c r="O945">
        <v>-2.471746E-2</v>
      </c>
      <c r="P945">
        <v>0.98844279999999995</v>
      </c>
      <c r="Q945">
        <v>0.15147539999999901</v>
      </c>
      <c r="R945">
        <v>-6.0233359999999998E-3</v>
      </c>
      <c r="S945">
        <v>3.0419309999999999</v>
      </c>
      <c r="T945">
        <v>-5.9486869999999997E-2</v>
      </c>
      <c r="U945">
        <v>-0.547821</v>
      </c>
      <c r="V945">
        <v>-1.814294E-2</v>
      </c>
      <c r="W945">
        <v>0.16548860000000001</v>
      </c>
      <c r="X945">
        <v>0.98604480000000005</v>
      </c>
      <c r="Y945">
        <v>0.1528069</v>
      </c>
      <c r="Z945">
        <v>-2.441496E-3</v>
      </c>
      <c r="AA945">
        <v>0.9882531</v>
      </c>
      <c r="AB945">
        <v>29</v>
      </c>
      <c r="AC945">
        <v>52.137300000000003</v>
      </c>
      <c r="AD945">
        <v>-1.0297709399999999</v>
      </c>
      <c r="AE945">
        <v>-9.4696000000000105</v>
      </c>
      <c r="AF945">
        <v>8.1747882082374392</v>
      </c>
      <c r="AG945">
        <v>-1.0297709399999999</v>
      </c>
      <c r="AH945">
        <v>52.335691049490102</v>
      </c>
      <c r="AI945">
        <v>91.113720473984898</v>
      </c>
      <c r="AJ945">
        <v>81.122187329794798</v>
      </c>
      <c r="AK945">
        <v>52.980299622275503</v>
      </c>
      <c r="AL945">
        <v>80.474380550972199</v>
      </c>
      <c r="AM945">
        <v>91.054106877143298</v>
      </c>
      <c r="AN945">
        <v>0.99999999530442096</v>
      </c>
    </row>
    <row r="946" spans="1:40" x14ac:dyDescent="0.25">
      <c r="A946" t="str">
        <f>"20190304155333731"</f>
        <v>20190304155333731</v>
      </c>
      <c r="B946" t="str">
        <f>"1551686013727101"</f>
        <v>1551686013727101</v>
      </c>
      <c r="C946" t="s">
        <v>40</v>
      </c>
      <c r="D946">
        <v>4.884379</v>
      </c>
      <c r="E946">
        <v>0.6223938</v>
      </c>
      <c r="F946" t="s">
        <v>45</v>
      </c>
      <c r="G946">
        <v>-197.47739999999999</v>
      </c>
      <c r="H946" s="1">
        <v>-5.7651019999999997E-6</v>
      </c>
      <c r="I946">
        <v>357.53899999999999</v>
      </c>
      <c r="J946">
        <v>-227.48050000000001</v>
      </c>
      <c r="K946">
        <v>1.109729</v>
      </c>
      <c r="L946">
        <v>367.51429999999999</v>
      </c>
      <c r="M946">
        <v>0.99954920000000003</v>
      </c>
      <c r="N946">
        <v>-1.4158779999999999E-2</v>
      </c>
      <c r="O946">
        <v>-2.6475700000000001E-2</v>
      </c>
      <c r="P946">
        <v>0.98838700000000002</v>
      </c>
      <c r="Q946">
        <v>0.15174279999999901</v>
      </c>
      <c r="R946">
        <v>-8.0875219999999998E-3</v>
      </c>
      <c r="S946">
        <v>3.0459589999999999</v>
      </c>
      <c r="T946">
        <v>-0.110579399999999</v>
      </c>
      <c r="U946">
        <v>-0.99557499999999999</v>
      </c>
      <c r="V946">
        <v>-1.7800320000000001E-2</v>
      </c>
      <c r="W946">
        <v>0.16575100000000001</v>
      </c>
      <c r="X946">
        <v>0.98600699999999997</v>
      </c>
      <c r="Y946">
        <v>0.28516419999999998</v>
      </c>
      <c r="Z946">
        <v>-6.5446769999999996E-3</v>
      </c>
      <c r="AA946">
        <v>0.95845630000000004</v>
      </c>
      <c r="AB946">
        <v>29</v>
      </c>
      <c r="AC946">
        <v>30.0031</v>
      </c>
      <c r="AD946">
        <v>-1.109734765102</v>
      </c>
      <c r="AE946">
        <v>-9.9753000000000007</v>
      </c>
      <c r="AF946">
        <v>9.1660782357908008</v>
      </c>
      <c r="AG946">
        <v>-1.109734765102</v>
      </c>
      <c r="AH946">
        <v>30.2194829666625</v>
      </c>
      <c r="AI946">
        <v>92.012632940086903</v>
      </c>
      <c r="AJ946">
        <v>73.126565568900702</v>
      </c>
      <c r="AK946">
        <v>31.598507120525799</v>
      </c>
      <c r="AL946">
        <v>80.459135883924205</v>
      </c>
      <c r="AM946">
        <v>91.034244620430599</v>
      </c>
      <c r="AN946">
        <v>1.0000000247210501</v>
      </c>
    </row>
    <row r="947" spans="1:40" x14ac:dyDescent="0.25">
      <c r="A947" t="str">
        <f>"20190304155337065"</f>
        <v>20190304155337065</v>
      </c>
      <c r="B947" t="str">
        <f>"1551686017057062"</f>
        <v>1551686017057062</v>
      </c>
      <c r="C947" t="s">
        <v>40</v>
      </c>
      <c r="D947">
        <v>4.8504199999999997</v>
      </c>
      <c r="E947">
        <v>0.64043249999999996</v>
      </c>
      <c r="F947" t="s">
        <v>45</v>
      </c>
      <c r="G947">
        <v>-198.37020000000001</v>
      </c>
      <c r="H947" s="1">
        <v>-5.9896999999999996E-6</v>
      </c>
      <c r="I947">
        <v>357.79340000000002</v>
      </c>
      <c r="J947">
        <v>-193.49199999999999</v>
      </c>
      <c r="K947">
        <v>1.1014569999999999</v>
      </c>
      <c r="L947">
        <v>353.98489999999998</v>
      </c>
      <c r="M947">
        <v>0.39373200000000003</v>
      </c>
      <c r="N947">
        <v>-1.5727310000000001E-2</v>
      </c>
      <c r="O947">
        <v>-0.91909090000000004</v>
      </c>
      <c r="P947">
        <v>0.32372889999999999</v>
      </c>
      <c r="Q947">
        <v>0.15186429999999901</v>
      </c>
      <c r="R947">
        <v>-0.93388280000000001</v>
      </c>
      <c r="S947">
        <v>3.0447540000000002</v>
      </c>
      <c r="T947">
        <v>-0.1160712</v>
      </c>
      <c r="U947">
        <v>-1.0167539999999999</v>
      </c>
      <c r="V947">
        <v>7.3849919999999999E-2</v>
      </c>
      <c r="W947">
        <v>0.16576089999999999</v>
      </c>
      <c r="X947">
        <v>0.98339690000000002</v>
      </c>
      <c r="Y947">
        <v>-0.74658019999999903</v>
      </c>
      <c r="Z947">
        <v>2.7928290000000001E-2</v>
      </c>
      <c r="AA947">
        <v>0.66470899999999999</v>
      </c>
      <c r="AB947">
        <v>23</v>
      </c>
      <c r="AC947">
        <v>-4.8781999999999899</v>
      </c>
      <c r="AD947">
        <v>-1.1014629896999999</v>
      </c>
      <c r="AE947">
        <v>3.8085000000000302</v>
      </c>
      <c r="AF947">
        <v>2.8927210553830802</v>
      </c>
      <c r="AG947">
        <v>-1.1014629896999999</v>
      </c>
      <c r="AH947">
        <v>-5.2552674363128897</v>
      </c>
      <c r="AI947">
        <v>100.40439908188699</v>
      </c>
      <c r="AJ947">
        <v>-61.169757196291897</v>
      </c>
      <c r="AK947">
        <v>6.09908941147006</v>
      </c>
      <c r="AL947">
        <v>80.458560218220796</v>
      </c>
      <c r="AM947">
        <v>85.705333838595394</v>
      </c>
      <c r="AN947">
        <v>0.99999997479121205</v>
      </c>
    </row>
    <row r="948" spans="1:40" x14ac:dyDescent="0.25">
      <c r="A948" t="str">
        <f>"20190304155337088"</f>
        <v>20190304155337088</v>
      </c>
      <c r="B948" t="str">
        <f>"1551686017076582"</f>
        <v>1551686017076582</v>
      </c>
      <c r="C948" t="s">
        <v>40</v>
      </c>
      <c r="D948">
        <v>4.8198970000000001</v>
      </c>
      <c r="E948">
        <v>0.63748400000000005</v>
      </c>
      <c r="F948" t="s">
        <v>46</v>
      </c>
      <c r="G948">
        <v>-197.12209999999999</v>
      </c>
      <c r="H948" s="1">
        <v>-4.6771289999999998E-6</v>
      </c>
      <c r="I948">
        <v>236.17580000000001</v>
      </c>
      <c r="J948">
        <v>-193.4171</v>
      </c>
      <c r="K948">
        <v>1.101594</v>
      </c>
      <c r="L948">
        <v>353.76830000000001</v>
      </c>
      <c r="M948">
        <v>0.38061859999999997</v>
      </c>
      <c r="N948">
        <v>-1.569185E-2</v>
      </c>
      <c r="O948">
        <v>-0.92459899999999995</v>
      </c>
      <c r="P948">
        <v>0.31263400000000002</v>
      </c>
      <c r="Q948">
        <v>0.15296670000000001</v>
      </c>
      <c r="R948">
        <v>-0.93747619999999998</v>
      </c>
      <c r="S948">
        <v>-0.1002045</v>
      </c>
      <c r="T948">
        <v>-3.0405160000000001E-2</v>
      </c>
      <c r="U948">
        <v>-3.2520449999999999</v>
      </c>
      <c r="V948">
        <v>7.1417159999999993E-2</v>
      </c>
      <c r="W948">
        <v>0.16690389999999999</v>
      </c>
      <c r="X948">
        <v>0.98338329999999996</v>
      </c>
      <c r="Y948">
        <v>0.4088813</v>
      </c>
      <c r="Z948">
        <v>-7.9073540000000001E-3</v>
      </c>
      <c r="AA948">
        <v>0.91255330000000001</v>
      </c>
      <c r="AB948">
        <v>23</v>
      </c>
      <c r="AC948">
        <v>-3.7049999999999801</v>
      </c>
      <c r="AD948">
        <v>-1.1015986771290001</v>
      </c>
      <c r="AE948">
        <v>-117.5925</v>
      </c>
      <c r="AF948">
        <v>48.185239338698501</v>
      </c>
      <c r="AG948">
        <v>-1.1015986771290001</v>
      </c>
      <c r="AH948">
        <v>107.31951859268599</v>
      </c>
      <c r="AI948">
        <v>90.536508170063499</v>
      </c>
      <c r="AJ948">
        <v>65.820463787201604</v>
      </c>
      <c r="AK948">
        <v>117.64569639701701</v>
      </c>
      <c r="AL948">
        <v>80.392146394184195</v>
      </c>
      <c r="AM948">
        <v>85.846247695630296</v>
      </c>
      <c r="AN948">
        <v>1.00000001864828</v>
      </c>
    </row>
    <row r="949" spans="1:40" x14ac:dyDescent="0.25">
      <c r="A949" t="str">
        <f>"20190304155337110"</f>
        <v>20190304155337110</v>
      </c>
      <c r="B949" t="str">
        <f>"1551686017106838"</f>
        <v>1551686017106838</v>
      </c>
      <c r="C949" t="s">
        <v>40</v>
      </c>
      <c r="D949">
        <v>4.8683120000000004</v>
      </c>
      <c r="E949">
        <v>0.63329029999999997</v>
      </c>
      <c r="F949" t="s">
        <v>51</v>
      </c>
      <c r="G949">
        <v>-196.36359999999999</v>
      </c>
      <c r="H949" s="1">
        <v>5.5843430000000002E-6</v>
      </c>
      <c r="I949">
        <v>271.48950000000002</v>
      </c>
      <c r="J949">
        <v>-193.34389999999999</v>
      </c>
      <c r="K949">
        <v>1.1017380000000001</v>
      </c>
      <c r="L949">
        <v>353.54750000000001</v>
      </c>
      <c r="M949">
        <v>0.36739179999999999</v>
      </c>
      <c r="N949">
        <v>-1.565209E-2</v>
      </c>
      <c r="O949">
        <v>-0.9299347</v>
      </c>
      <c r="P949">
        <v>0.30458790000000002</v>
      </c>
      <c r="Q949">
        <v>0.1544102</v>
      </c>
      <c r="R949">
        <v>-0.93988559999999999</v>
      </c>
      <c r="S949">
        <v>-0.1162415</v>
      </c>
      <c r="T949">
        <v>-4.3458219999999999E-2</v>
      </c>
      <c r="U949">
        <v>-3.2459410000000002</v>
      </c>
      <c r="V949">
        <v>6.5688029999999994E-2</v>
      </c>
      <c r="W949">
        <v>0.16845750000000001</v>
      </c>
      <c r="X949">
        <v>0.9835178</v>
      </c>
      <c r="Y949">
        <v>0.40039229999999998</v>
      </c>
      <c r="Z949">
        <v>-4.3433760000000004E-3</v>
      </c>
      <c r="AA949">
        <v>0.91633359999999997</v>
      </c>
      <c r="AB949">
        <v>23</v>
      </c>
      <c r="AC949">
        <v>-3.0196999999999998</v>
      </c>
      <c r="AD949">
        <v>-1.1017324156570001</v>
      </c>
      <c r="AE949">
        <v>-82.057999999999893</v>
      </c>
      <c r="AF949">
        <v>32.9536609603811</v>
      </c>
      <c r="AG949">
        <v>-1.1017324156570001</v>
      </c>
      <c r="AH949">
        <v>75.194834983161996</v>
      </c>
      <c r="AI949">
        <v>90.768840186625894</v>
      </c>
      <c r="AJ949">
        <v>66.334867962854801</v>
      </c>
      <c r="AK949">
        <v>82.106155634960899</v>
      </c>
      <c r="AL949">
        <v>80.301853587833705</v>
      </c>
      <c r="AM949">
        <v>86.178955192374303</v>
      </c>
      <c r="AN949">
        <v>1.0000000547541801</v>
      </c>
    </row>
    <row r="950" spans="1:40" x14ac:dyDescent="0.25">
      <c r="A950" t="str">
        <f>"20190304155337133"</f>
        <v>20190304155337133</v>
      </c>
      <c r="B950" t="str">
        <f>"1551686017127334"</f>
        <v>1551686017127334</v>
      </c>
      <c r="C950" t="s">
        <v>40</v>
      </c>
      <c r="D950">
        <v>4.8607849999999999</v>
      </c>
      <c r="E950">
        <v>0.63072209999999995</v>
      </c>
      <c r="F950" t="s">
        <v>51</v>
      </c>
      <c r="G950">
        <v>-195.4126</v>
      </c>
      <c r="H950" s="1">
        <v>1.4264729999999999E-6</v>
      </c>
      <c r="I950">
        <v>293.80560000000003</v>
      </c>
      <c r="J950">
        <v>-193.27160000000001</v>
      </c>
      <c r="K950">
        <v>1.1019099999999999</v>
      </c>
      <c r="L950">
        <v>353.31869999999998</v>
      </c>
      <c r="M950">
        <v>0.35388509999999901</v>
      </c>
      <c r="N950">
        <v>-1.560543E-2</v>
      </c>
      <c r="O950">
        <v>-0.93515879999999996</v>
      </c>
      <c r="P950">
        <v>0.29564489999999999</v>
      </c>
      <c r="Q950">
        <v>0.15569149999999901</v>
      </c>
      <c r="R950">
        <v>-0.94252559999999996</v>
      </c>
      <c r="S950">
        <v>-0.1121216</v>
      </c>
      <c r="T950">
        <v>-5.9714669999999997E-2</v>
      </c>
      <c r="U950">
        <v>-3.2380369999999998</v>
      </c>
      <c r="V950">
        <v>6.0657210000000003E-2</v>
      </c>
      <c r="W950">
        <v>0.16982559999999999</v>
      </c>
      <c r="X950">
        <v>0.98360559999999997</v>
      </c>
      <c r="Y950">
        <v>0.38597530000000002</v>
      </c>
      <c r="Z950">
        <v>2.2152439999999999E-4</v>
      </c>
      <c r="AA950">
        <v>0.92250909999999997</v>
      </c>
      <c r="AB950">
        <v>23</v>
      </c>
      <c r="AC950">
        <v>-2.1409999999999898</v>
      </c>
      <c r="AD950">
        <v>-1.101908573527</v>
      </c>
      <c r="AE950">
        <v>-59.513099999999902</v>
      </c>
      <c r="AF950">
        <v>23.0578866060773</v>
      </c>
      <c r="AG950">
        <v>-1.101908573527</v>
      </c>
      <c r="AH950">
        <v>54.884420917392397</v>
      </c>
      <c r="AI950">
        <v>91.060410069617205</v>
      </c>
      <c r="AJ950">
        <v>67.211888696971101</v>
      </c>
      <c r="AK950">
        <v>59.541414130675697</v>
      </c>
      <c r="AL950">
        <v>80.222320808391999</v>
      </c>
      <c r="AM950">
        <v>86.471139917230303</v>
      </c>
      <c r="AN950">
        <v>1.0000000039458501</v>
      </c>
    </row>
    <row r="951" spans="1:40" x14ac:dyDescent="0.25">
      <c r="A951" t="str">
        <f>"20190304155337154"</f>
        <v>20190304155337154</v>
      </c>
      <c r="B951" t="str">
        <f>"1551686017146854"</f>
        <v>1551686017146854</v>
      </c>
      <c r="C951" t="s">
        <v>40</v>
      </c>
      <c r="D951">
        <v>4.8356789999999998</v>
      </c>
      <c r="E951">
        <v>0.62832189999999999</v>
      </c>
      <c r="F951" t="s">
        <v>51</v>
      </c>
      <c r="G951">
        <v>-195.34700000000001</v>
      </c>
      <c r="H951" s="1">
        <v>1.841316E-7</v>
      </c>
      <c r="I951">
        <v>298.57080000000002</v>
      </c>
      <c r="J951">
        <v>-193.2072</v>
      </c>
      <c r="K951">
        <v>1.102101</v>
      </c>
      <c r="L951">
        <v>353.10579999999999</v>
      </c>
      <c r="M951">
        <v>0.34151229999999999</v>
      </c>
      <c r="N951">
        <v>-1.555631E-2</v>
      </c>
      <c r="O951">
        <v>-0.93974880000000005</v>
      </c>
      <c r="P951">
        <v>0.2889428</v>
      </c>
      <c r="Q951">
        <v>0.15839200000000001</v>
      </c>
      <c r="R951">
        <v>-0.94415280000000001</v>
      </c>
      <c r="S951">
        <v>-0.1225281</v>
      </c>
      <c r="T951">
        <v>-6.5053340000000001E-2</v>
      </c>
      <c r="U951">
        <v>-3.2321469999999999</v>
      </c>
      <c r="V951">
        <v>5.4475299999999997E-2</v>
      </c>
      <c r="W951">
        <v>0.17262839999999999</v>
      </c>
      <c r="X951">
        <v>0.98347949999999995</v>
      </c>
      <c r="Y951">
        <v>0.37680350000000001</v>
      </c>
      <c r="Z951">
        <v>1.8963599999999999E-3</v>
      </c>
      <c r="AA951">
        <v>0.92629130000000004</v>
      </c>
      <c r="AB951">
        <v>23</v>
      </c>
      <c r="AC951">
        <v>-2.1398000000000001</v>
      </c>
      <c r="AD951">
        <v>-1.10210081586839</v>
      </c>
      <c r="AE951">
        <v>-54.534999999999897</v>
      </c>
      <c r="AF951">
        <v>20.629328163832</v>
      </c>
      <c r="AG951">
        <v>-1.10210081586839</v>
      </c>
      <c r="AH951">
        <v>50.503940650395698</v>
      </c>
      <c r="AI951">
        <v>91.157317647153803</v>
      </c>
      <c r="AJ951">
        <v>67.781474259437701</v>
      </c>
      <c r="AK951">
        <v>54.565848549418803</v>
      </c>
      <c r="AL951">
        <v>80.059325161887202</v>
      </c>
      <c r="AM951">
        <v>86.829604896434503</v>
      </c>
      <c r="AN951">
        <v>1.00000002485844</v>
      </c>
    </row>
    <row r="952" spans="1:40" x14ac:dyDescent="0.25">
      <c r="A952" t="str">
        <f>"20190304155337180"</f>
        <v>20190304155337180</v>
      </c>
      <c r="B952" t="str">
        <f>"1551686017177110"</f>
        <v>1551686017177110</v>
      </c>
      <c r="C952" t="s">
        <v>40</v>
      </c>
      <c r="D952">
        <v>4.8371740000000001</v>
      </c>
      <c r="E952">
        <v>0.62441250000000004</v>
      </c>
      <c r="F952" t="s">
        <v>51</v>
      </c>
      <c r="G952">
        <v>-195.4153</v>
      </c>
      <c r="H952" s="1">
        <v>5.2504130000000005E-7</v>
      </c>
      <c r="I952">
        <v>296.76179999999999</v>
      </c>
      <c r="J952">
        <v>-193.13589999999999</v>
      </c>
      <c r="K952">
        <v>1.102341</v>
      </c>
      <c r="L952">
        <v>352.85860000000002</v>
      </c>
      <c r="M952">
        <v>0.32741150000000002</v>
      </c>
      <c r="N952">
        <v>-1.5493460000000001E-2</v>
      </c>
      <c r="O952">
        <v>-0.94475500000000001</v>
      </c>
      <c r="P952">
        <v>0.27937849999999997</v>
      </c>
      <c r="Q952">
        <v>0.1607172</v>
      </c>
      <c r="R952">
        <v>-0.9466348</v>
      </c>
      <c r="S952">
        <v>-0.1264496</v>
      </c>
      <c r="T952">
        <v>-6.3115240000000003E-2</v>
      </c>
      <c r="U952">
        <v>-3.226715</v>
      </c>
      <c r="V952">
        <v>4.9514040000000002E-2</v>
      </c>
      <c r="W952">
        <v>0.17501710000000001</v>
      </c>
      <c r="X952">
        <v>0.98331959999999996</v>
      </c>
      <c r="Y952">
        <v>0.36409659999999999</v>
      </c>
      <c r="Z952">
        <v>1.662799E-3</v>
      </c>
      <c r="AA952">
        <v>0.93135970000000001</v>
      </c>
      <c r="AB952">
        <v>23</v>
      </c>
      <c r="AC952">
        <v>-2.2793999999999999</v>
      </c>
      <c r="AD952">
        <v>-1.1023404749587</v>
      </c>
      <c r="AE952">
        <v>-56.096800000000002</v>
      </c>
      <c r="AF952">
        <v>20.514763061113001</v>
      </c>
      <c r="AG952">
        <v>-1.1023404749587</v>
      </c>
      <c r="AH952">
        <v>52.237555711882102</v>
      </c>
      <c r="AI952">
        <v>91.125261915819706</v>
      </c>
      <c r="AJ952">
        <v>68.559042428019794</v>
      </c>
      <c r="AK952">
        <v>56.1322802380976</v>
      </c>
      <c r="AL952">
        <v>79.920347088305704</v>
      </c>
      <c r="AM952">
        <v>87.1173650485607</v>
      </c>
      <c r="AN952">
        <v>1.00000003059684</v>
      </c>
    </row>
    <row r="953" spans="1:40" x14ac:dyDescent="0.25">
      <c r="A953" t="str">
        <f>"20190304155337200"</f>
        <v>20190304155337200</v>
      </c>
      <c r="B953" t="str">
        <f>"1551686017196631"</f>
        <v>1551686017196631</v>
      </c>
      <c r="C953" t="s">
        <v>40</v>
      </c>
      <c r="D953">
        <v>4.7978120000000004</v>
      </c>
      <c r="E953">
        <v>0.60572669999999995</v>
      </c>
      <c r="F953" t="s">
        <v>46</v>
      </c>
      <c r="G953">
        <v>-195.2431</v>
      </c>
      <c r="H953" s="1">
        <v>-1.5415E-6</v>
      </c>
      <c r="I953">
        <v>299.93049999999999</v>
      </c>
      <c r="J953">
        <v>-193.0789</v>
      </c>
      <c r="K953">
        <v>1.1025579999999999</v>
      </c>
      <c r="L953">
        <v>352.65159999999997</v>
      </c>
      <c r="M953">
        <v>0.31586530000000002</v>
      </c>
      <c r="N953">
        <v>-1.5435849999999999E-2</v>
      </c>
      <c r="O953">
        <v>-0.94867849999999998</v>
      </c>
      <c r="P953">
        <v>0.27165590000000001</v>
      </c>
      <c r="Q953">
        <v>0.1626214</v>
      </c>
      <c r="R953">
        <v>-0.9485555</v>
      </c>
      <c r="S953">
        <v>-0.12812809999999999</v>
      </c>
      <c r="T953">
        <v>-6.7027929999999999E-2</v>
      </c>
      <c r="U953">
        <v>-3.2182919999999999</v>
      </c>
      <c r="V953">
        <v>4.5367610000000003E-2</v>
      </c>
      <c r="W953">
        <v>0.1769675</v>
      </c>
      <c r="X953">
        <v>0.98317049999999995</v>
      </c>
      <c r="Y953">
        <v>0.3532942</v>
      </c>
      <c r="Z953">
        <v>3.006463E-3</v>
      </c>
      <c r="AA953">
        <v>0.93550739999999999</v>
      </c>
      <c r="AB953">
        <v>23</v>
      </c>
      <c r="AC953">
        <v>-2.1641999999999899</v>
      </c>
      <c r="AD953">
        <v>-1.1025595415</v>
      </c>
      <c r="AE953">
        <v>-52.7210999999999</v>
      </c>
      <c r="AF953">
        <v>18.699959713771602</v>
      </c>
      <c r="AG953">
        <v>-1.1025595415</v>
      </c>
      <c r="AH953">
        <v>49.316122818586997</v>
      </c>
      <c r="AI953">
        <v>91.197570099784102</v>
      </c>
      <c r="AJ953">
        <v>69.2339979057015</v>
      </c>
      <c r="AK953">
        <v>52.753996063778899</v>
      </c>
      <c r="AL953">
        <v>79.806824904199303</v>
      </c>
      <c r="AM953">
        <v>87.358006575010407</v>
      </c>
      <c r="AN953">
        <v>0.99999997408180497</v>
      </c>
    </row>
    <row r="954" spans="1:40" x14ac:dyDescent="0.25">
      <c r="A954" t="str">
        <f>"20190304155337225"</f>
        <v>20190304155337225</v>
      </c>
      <c r="B954" t="str">
        <f>"1551686017217126"</f>
        <v>1551686017217126</v>
      </c>
      <c r="C954" t="s">
        <v>40</v>
      </c>
      <c r="D954">
        <v>4.7970249999999997</v>
      </c>
      <c r="E954">
        <v>0.60476209999999997</v>
      </c>
      <c r="F954" t="s">
        <v>46</v>
      </c>
      <c r="G954">
        <v>-193.3278</v>
      </c>
      <c r="H954" s="1">
        <v>-4.5644010000000001E-6</v>
      </c>
      <c r="I954">
        <v>268.66489999999999</v>
      </c>
      <c r="J954">
        <v>-193.0153</v>
      </c>
      <c r="K954">
        <v>1.1028340000000001</v>
      </c>
      <c r="L954">
        <v>352.40859999999998</v>
      </c>
      <c r="M954">
        <v>0.30265989999999998</v>
      </c>
      <c r="N954">
        <v>-1.536266E-2</v>
      </c>
      <c r="O954">
        <v>-0.95297509999999996</v>
      </c>
      <c r="P954">
        <v>0.26219039999999999</v>
      </c>
      <c r="Q954">
        <v>0.16452739999999999</v>
      </c>
      <c r="R954">
        <v>-0.95088790000000001</v>
      </c>
      <c r="S954">
        <v>-9.399414E-3</v>
      </c>
      <c r="T954">
        <v>-4.1648629999999999E-2</v>
      </c>
      <c r="U954">
        <v>-3.1725460000000001</v>
      </c>
      <c r="V954">
        <v>4.1319990000000001E-2</v>
      </c>
      <c r="W954">
        <v>0.17890259999999999</v>
      </c>
      <c r="X954">
        <v>0.9829987</v>
      </c>
      <c r="Y954">
        <v>0.30544979999999999</v>
      </c>
      <c r="Z954">
        <v>-3.4806669999999998E-3</v>
      </c>
      <c r="AA954">
        <v>0.95220179999999999</v>
      </c>
      <c r="AB954">
        <v>23</v>
      </c>
      <c r="AC954">
        <v>-0.3125</v>
      </c>
      <c r="AD954">
        <v>-1.1028385644009999</v>
      </c>
      <c r="AE954">
        <v>-83.743699999999905</v>
      </c>
      <c r="AF954">
        <v>25.6422369154912</v>
      </c>
      <c r="AG954">
        <v>-1.1028385644009999</v>
      </c>
      <c r="AH954">
        <v>79.706641873522202</v>
      </c>
      <c r="AI954">
        <v>90.754622250118402</v>
      </c>
      <c r="AJ954">
        <v>72.166619265967995</v>
      </c>
      <c r="AK954">
        <v>83.737024819868296</v>
      </c>
      <c r="AL954">
        <v>79.694153725054605</v>
      </c>
      <c r="AM954">
        <v>87.593009890000801</v>
      </c>
      <c r="AN954">
        <v>0.99999996303102401</v>
      </c>
    </row>
    <row r="955" spans="1:40" x14ac:dyDescent="0.25">
      <c r="A955" t="str">
        <f>"20190304155337246"</f>
        <v>20190304155337246</v>
      </c>
      <c r="B955" t="str">
        <f>"1551686017236646"</f>
        <v>1551686017236646</v>
      </c>
      <c r="C955" t="s">
        <v>40</v>
      </c>
      <c r="D955">
        <v>4.777609</v>
      </c>
      <c r="E955">
        <v>0.60265269999999904</v>
      </c>
      <c r="F955" t="s">
        <v>51</v>
      </c>
      <c r="G955">
        <v>-193.62899999999999</v>
      </c>
      <c r="H955" s="1">
        <v>1.4265189999999999E-6</v>
      </c>
      <c r="I955">
        <v>294.65980000000002</v>
      </c>
      <c r="J955">
        <v>-192.96080000000001</v>
      </c>
      <c r="K955">
        <v>1.103078</v>
      </c>
      <c r="L955">
        <v>352.19040000000001</v>
      </c>
      <c r="M955">
        <v>0.29112009999999899</v>
      </c>
      <c r="N955">
        <v>-1.5291330000000001E-2</v>
      </c>
      <c r="O955">
        <v>-0.95656439999999998</v>
      </c>
      <c r="P955">
        <v>0.25398500000000002</v>
      </c>
      <c r="Q955">
        <v>0.16559160000000001</v>
      </c>
      <c r="R955">
        <v>-0.95292790000000005</v>
      </c>
      <c r="S955">
        <v>-3.3737179999999999E-2</v>
      </c>
      <c r="T955">
        <v>-6.0628290000000001E-2</v>
      </c>
      <c r="U955">
        <v>-3.174744</v>
      </c>
      <c r="V955">
        <v>3.775833E-2</v>
      </c>
      <c r="W955">
        <v>0.17998430000000001</v>
      </c>
      <c r="X955">
        <v>0.9829445</v>
      </c>
      <c r="Y955">
        <v>0.30122199999999999</v>
      </c>
      <c r="Z955">
        <v>2.093475E-3</v>
      </c>
      <c r="AA955">
        <v>0.95355179999999995</v>
      </c>
      <c r="AB955">
        <v>23</v>
      </c>
      <c r="AC955">
        <v>-0.66820000000001301</v>
      </c>
      <c r="AD955">
        <v>-1.103076573481</v>
      </c>
      <c r="AE955">
        <v>-57.5305999999999</v>
      </c>
      <c r="AF955">
        <v>17.3831321484905</v>
      </c>
      <c r="AG955">
        <v>-1.103076573481</v>
      </c>
      <c r="AH955">
        <v>54.823452368452699</v>
      </c>
      <c r="AI955">
        <v>91.098769169687401</v>
      </c>
      <c r="AJ955">
        <v>72.407493508402297</v>
      </c>
      <c r="AK955">
        <v>57.523916685278401</v>
      </c>
      <c r="AL955">
        <v>79.631154305574697</v>
      </c>
      <c r="AM955">
        <v>87.800150676506206</v>
      </c>
      <c r="AN955">
        <v>0.99999996490556298</v>
      </c>
    </row>
    <row r="956" spans="1:40" x14ac:dyDescent="0.25">
      <c r="A956" t="str">
        <f>"20190304155337266"</f>
        <v>20190304155337266</v>
      </c>
      <c r="B956" t="str">
        <f>"1551686017257142"</f>
        <v>1551686017257142</v>
      </c>
      <c r="C956" t="s">
        <v>40</v>
      </c>
      <c r="D956">
        <v>4.9063589999999904</v>
      </c>
      <c r="E956">
        <v>0.58374479999999995</v>
      </c>
      <c r="F956" t="s">
        <v>46</v>
      </c>
      <c r="G956">
        <v>-193.63290000000001</v>
      </c>
      <c r="H956" s="1">
        <v>-2.7751209999999999E-6</v>
      </c>
      <c r="I956">
        <v>303.8048</v>
      </c>
      <c r="J956">
        <v>-192.91249999999999</v>
      </c>
      <c r="K956">
        <v>1.103291</v>
      </c>
      <c r="L956">
        <v>351.98849999999999</v>
      </c>
      <c r="M956">
        <v>0.28067740000000002</v>
      </c>
      <c r="N956">
        <v>-1.5222980000000001E-2</v>
      </c>
      <c r="O956">
        <v>-0.95968169999999997</v>
      </c>
      <c r="P956">
        <v>0.2467982</v>
      </c>
      <c r="Q956">
        <v>0.1660017</v>
      </c>
      <c r="R956">
        <v>-0.95474340000000002</v>
      </c>
      <c r="S956">
        <v>-4.4067380000000003E-2</v>
      </c>
      <c r="T956">
        <v>-7.2326059999999998E-2</v>
      </c>
      <c r="U956">
        <v>-3.1725159999999999</v>
      </c>
      <c r="V956">
        <v>3.4334320000000002E-2</v>
      </c>
      <c r="W956">
        <v>0.18040639999999999</v>
      </c>
      <c r="X956">
        <v>0.98299270000000005</v>
      </c>
      <c r="Y956">
        <v>0.2939254</v>
      </c>
      <c r="Z956">
        <v>5.6601940000000003E-3</v>
      </c>
      <c r="AA956">
        <v>0.95581159999999998</v>
      </c>
      <c r="AB956">
        <v>23</v>
      </c>
      <c r="AC956">
        <v>-0.72040000000001203</v>
      </c>
      <c r="AD956">
        <v>-1.1032937751209999</v>
      </c>
      <c r="AE956">
        <v>-48.183699999999902</v>
      </c>
      <c r="AF956">
        <v>14.209625670785201</v>
      </c>
      <c r="AG956">
        <v>-1.1032937751209999</v>
      </c>
      <c r="AH956">
        <v>46.020015848609198</v>
      </c>
      <c r="AI956">
        <v>91.312250553465304</v>
      </c>
      <c r="AJ956">
        <v>72.840852364999293</v>
      </c>
      <c r="AK956">
        <v>48.1764732786067</v>
      </c>
      <c r="AL956">
        <v>79.606567461300102</v>
      </c>
      <c r="AM956">
        <v>87.999565794729605</v>
      </c>
      <c r="AN956">
        <v>0.99999998147205604</v>
      </c>
    </row>
    <row r="957" spans="1:40" x14ac:dyDescent="0.25">
      <c r="A957" t="str">
        <f>"20190304155337290"</f>
        <v>20190304155337290</v>
      </c>
      <c r="B957" t="str">
        <f>"1551686017287399"</f>
        <v>1551686017287399</v>
      </c>
      <c r="C957" t="s">
        <v>40</v>
      </c>
      <c r="D957">
        <v>4.3271169999999897</v>
      </c>
      <c r="E957">
        <v>0.60171269999999999</v>
      </c>
      <c r="F957" t="s">
        <v>46</v>
      </c>
      <c r="G957">
        <v>-192.24170000000001</v>
      </c>
      <c r="H957" s="1">
        <v>-2.8460540000000002E-6</v>
      </c>
      <c r="I957">
        <v>324.8329</v>
      </c>
      <c r="J957">
        <v>-192.85919999999999</v>
      </c>
      <c r="K957">
        <v>1.103518</v>
      </c>
      <c r="L957">
        <v>351.75490000000002</v>
      </c>
      <c r="M957">
        <v>0.26890009999999998</v>
      </c>
      <c r="N957">
        <v>-1.5137889999999999E-2</v>
      </c>
      <c r="O957">
        <v>-0.96304920000000005</v>
      </c>
      <c r="P957">
        <v>0.23874010000000001</v>
      </c>
      <c r="Q957">
        <v>0.16560269999999999</v>
      </c>
      <c r="R957">
        <v>-0.95685889999999996</v>
      </c>
      <c r="S957">
        <v>7.7667239999999999E-2</v>
      </c>
      <c r="T957">
        <v>-0.12774929999999901</v>
      </c>
      <c r="U957">
        <v>-3.1443180000000002</v>
      </c>
      <c r="V957">
        <v>3.047828E-2</v>
      </c>
      <c r="W957">
        <v>0.18001059999999999</v>
      </c>
      <c r="X957">
        <v>0.98319239999999997</v>
      </c>
      <c r="Y957">
        <v>0.2449636</v>
      </c>
      <c r="Z957">
        <v>2.265205E-2</v>
      </c>
      <c r="AA957">
        <v>0.96926760000000001</v>
      </c>
      <c r="AB957">
        <v>22</v>
      </c>
      <c r="AC957">
        <v>0.61749999999997796</v>
      </c>
      <c r="AD957">
        <v>-1.103520846054</v>
      </c>
      <c r="AE957">
        <v>-26.922000000000001</v>
      </c>
      <c r="AF957">
        <v>6.6342658100734901</v>
      </c>
      <c r="AG957">
        <v>-1.103520846054</v>
      </c>
      <c r="AH957">
        <v>26.052495312122701</v>
      </c>
      <c r="AI957">
        <v>92.350534284576895</v>
      </c>
      <c r="AJ957">
        <v>75.713283268493797</v>
      </c>
      <c r="AK957">
        <v>26.9065745327153</v>
      </c>
      <c r="AL957">
        <v>79.629622968496406</v>
      </c>
      <c r="AM957">
        <v>88.224439318731001</v>
      </c>
      <c r="AN957">
        <v>1.0000000185409299</v>
      </c>
    </row>
    <row r="958" spans="1:40" x14ac:dyDescent="0.25">
      <c r="A958" t="str">
        <f>"20190304155337311"</f>
        <v>20190304155337311</v>
      </c>
      <c r="B958" t="str">
        <f>"1551686017306919"</f>
        <v>1551686017306919</v>
      </c>
      <c r="C958" t="s">
        <v>40</v>
      </c>
      <c r="D958">
        <v>4.8281090000000004</v>
      </c>
      <c r="E958">
        <v>0.59640629999999994</v>
      </c>
      <c r="F958" t="s">
        <v>52</v>
      </c>
      <c r="G958">
        <v>-204.39259999999999</v>
      </c>
      <c r="H958">
        <v>8.5008119999999998</v>
      </c>
      <c r="I958">
        <v>-80.951449999999994</v>
      </c>
      <c r="J958">
        <v>-192.8126</v>
      </c>
      <c r="K958">
        <v>1.1037220000000001</v>
      </c>
      <c r="L958">
        <v>351.54070000000002</v>
      </c>
      <c r="M958">
        <v>0.2584012</v>
      </c>
      <c r="N958">
        <v>-1.5047359999999999E-2</v>
      </c>
      <c r="O958">
        <v>-0.96592060000000002</v>
      </c>
      <c r="P958">
        <v>0.2317158</v>
      </c>
      <c r="Q958">
        <v>0.16597490000000001</v>
      </c>
      <c r="R958">
        <v>-0.95851969999999997</v>
      </c>
      <c r="S958">
        <v>-8.3877560000000004E-2</v>
      </c>
      <c r="T958">
        <v>5.3797249999999998E-2</v>
      </c>
      <c r="U958">
        <v>-3.146881</v>
      </c>
      <c r="V958">
        <v>2.6874599999999998E-2</v>
      </c>
      <c r="W958">
        <v>0.18036749999999999</v>
      </c>
      <c r="X958">
        <v>0.98323210000000005</v>
      </c>
      <c r="Y958">
        <v>0.28406940000000003</v>
      </c>
      <c r="Z958">
        <v>-3.0962170000000001E-2</v>
      </c>
      <c r="AA958">
        <v>0.95830369999999998</v>
      </c>
      <c r="AB958">
        <v>22</v>
      </c>
      <c r="AC958">
        <v>-11.579999999999901</v>
      </c>
      <c r="AD958">
        <v>7.3970899999999897</v>
      </c>
      <c r="AE958">
        <v>-432.49214999999998</v>
      </c>
      <c r="AF958">
        <v>122.919827504343</v>
      </c>
      <c r="AG958">
        <v>7.3970899999999897</v>
      </c>
      <c r="AH958">
        <v>414.68649158415201</v>
      </c>
      <c r="AI958">
        <v>89.020207107524101</v>
      </c>
      <c r="AJ958">
        <v>73.489319045979798</v>
      </c>
      <c r="AK958">
        <v>432.58396553332699</v>
      </c>
      <c r="AL958">
        <v>79.608833852363503</v>
      </c>
      <c r="AM958">
        <v>88.434329115069204</v>
      </c>
      <c r="AN958">
        <v>1.0000000208258999</v>
      </c>
    </row>
    <row r="959" spans="1:40" x14ac:dyDescent="0.25">
      <c r="A959" t="str">
        <f>"20190304155337335"</f>
        <v>20190304155337335</v>
      </c>
      <c r="B959" t="str">
        <f>"1551686017327414"</f>
        <v>1551686017327414</v>
      </c>
      <c r="C959" t="s">
        <v>40</v>
      </c>
      <c r="D959">
        <v>4.7956209999999997</v>
      </c>
      <c r="E959">
        <v>0.59216969999999902</v>
      </c>
      <c r="F959" t="s">
        <v>52</v>
      </c>
      <c r="G959">
        <v>-202.04929999999999</v>
      </c>
      <c r="H959">
        <v>1.415178</v>
      </c>
      <c r="I959">
        <v>-81.815640000000002</v>
      </c>
      <c r="J959">
        <v>-192.76419999999999</v>
      </c>
      <c r="K959">
        <v>1.1039479999999999</v>
      </c>
      <c r="L959">
        <v>351.30799999999999</v>
      </c>
      <c r="M959">
        <v>0.24733359999999999</v>
      </c>
      <c r="N959">
        <v>-1.492566E-2</v>
      </c>
      <c r="O959">
        <v>-0.9688156</v>
      </c>
      <c r="P959">
        <v>0.2235808</v>
      </c>
      <c r="Q959">
        <v>0.1655875</v>
      </c>
      <c r="R959">
        <v>-0.96051719999999896</v>
      </c>
      <c r="S959">
        <v>-6.7047120000000002E-2</v>
      </c>
      <c r="T959">
        <v>2.2608039999999999E-3</v>
      </c>
      <c r="U959">
        <v>-3.1456300000000001</v>
      </c>
      <c r="V959">
        <v>2.385922E-2</v>
      </c>
      <c r="W959">
        <v>0.17992520000000001</v>
      </c>
      <c r="X959">
        <v>0.98339089999999996</v>
      </c>
      <c r="Y959">
        <v>0.26792129999999997</v>
      </c>
      <c r="Z959">
        <v>-1.5637559999999998E-2</v>
      </c>
      <c r="AA959">
        <v>0.96331389999999995</v>
      </c>
      <c r="AB959">
        <v>22</v>
      </c>
      <c r="AC959">
        <v>-9.2850999999999999</v>
      </c>
      <c r="AD959">
        <v>0.31123000000000001</v>
      </c>
      <c r="AE959">
        <v>-433.12364000000002</v>
      </c>
      <c r="AF959">
        <v>116.13443515522999</v>
      </c>
      <c r="AG959">
        <v>0.31123000000000001</v>
      </c>
      <c r="AH959">
        <v>417.36662522530401</v>
      </c>
      <c r="AI959">
        <v>89.958838368967506</v>
      </c>
      <c r="AJ959">
        <v>74.450497152405802</v>
      </c>
      <c r="AK959">
        <v>433.223041567385</v>
      </c>
      <c r="AL959">
        <v>79.634597062663204</v>
      </c>
      <c r="AM959">
        <v>88.6101513988378</v>
      </c>
      <c r="AN959">
        <v>1.00000000108842</v>
      </c>
    </row>
    <row r="960" spans="1:40" x14ac:dyDescent="0.25">
      <c r="A960" t="str">
        <f>"20190304155337357"</f>
        <v>20190304155337357</v>
      </c>
      <c r="B960" t="str">
        <f>"1551686017346935"</f>
        <v>1551686017346935</v>
      </c>
      <c r="C960" t="s">
        <v>40</v>
      </c>
      <c r="D960">
        <v>4.9193930000000003</v>
      </c>
      <c r="E960">
        <v>0.58849530000000005</v>
      </c>
      <c r="F960" t="s">
        <v>46</v>
      </c>
      <c r="G960">
        <v>-194.58680000000001</v>
      </c>
      <c r="H960" s="1">
        <v>-4.5090060000000001E-6</v>
      </c>
      <c r="I960">
        <v>257.8458</v>
      </c>
      <c r="J960">
        <v>-192.72059999999999</v>
      </c>
      <c r="K960">
        <v>1.1041729999999901</v>
      </c>
      <c r="L960">
        <v>351.08780000000002</v>
      </c>
      <c r="M960">
        <v>0.23721400000000001</v>
      </c>
      <c r="N960">
        <v>-1.4789389999999999E-2</v>
      </c>
      <c r="O960">
        <v>-0.97134489999999996</v>
      </c>
      <c r="P960">
        <v>0.2163437</v>
      </c>
      <c r="Q960">
        <v>0.16500919999999999</v>
      </c>
      <c r="R960">
        <v>-0.96227189999999996</v>
      </c>
      <c r="S960">
        <v>-6.1309809999999999E-2</v>
      </c>
      <c r="T960">
        <v>-3.7135960000000003E-2</v>
      </c>
      <c r="U960">
        <v>-3.1439819999999998</v>
      </c>
      <c r="V960">
        <v>2.0901840000000001E-2</v>
      </c>
      <c r="W960">
        <v>0.17927319999999999</v>
      </c>
      <c r="X960">
        <v>0.98357729999999999</v>
      </c>
      <c r="Y960">
        <v>0.25608419999999998</v>
      </c>
      <c r="Z960">
        <v>-3.7175429999999998E-3</v>
      </c>
      <c r="AA960">
        <v>0.96664729999999999</v>
      </c>
      <c r="AB960">
        <v>22</v>
      </c>
      <c r="AC960">
        <v>-1.8662000000000201</v>
      </c>
      <c r="AD960">
        <v>-1.10417750900599</v>
      </c>
      <c r="AE960">
        <v>-93.242000000000004</v>
      </c>
      <c r="AF960">
        <v>23.9302932652107</v>
      </c>
      <c r="AG960">
        <v>-1.10417750900599</v>
      </c>
      <c r="AH960">
        <v>90.124671579772198</v>
      </c>
      <c r="AI960">
        <v>90.6784276779549</v>
      </c>
      <c r="AJ960">
        <v>75.129705817475497</v>
      </c>
      <c r="AK960">
        <v>93.254139699491006</v>
      </c>
      <c r="AL960">
        <v>79.6725717447205</v>
      </c>
      <c r="AM960">
        <v>88.782600016411394</v>
      </c>
      <c r="AN960">
        <v>1.0000000361144501</v>
      </c>
    </row>
    <row r="961" spans="1:40" x14ac:dyDescent="0.25">
      <c r="A961" t="str">
        <f>"20190304155337380"</f>
        <v>20190304155337380</v>
      </c>
      <c r="B961" t="str">
        <f>"1551686017377190"</f>
        <v>1551686017377190</v>
      </c>
      <c r="C961" t="s">
        <v>40</v>
      </c>
      <c r="D961">
        <v>4.9416359999999999</v>
      </c>
      <c r="E961">
        <v>0.5842271</v>
      </c>
      <c r="F961" t="s">
        <v>51</v>
      </c>
      <c r="G961">
        <v>-193.67830000000001</v>
      </c>
      <c r="H961" s="1">
        <v>3.9877639999999999E-7</v>
      </c>
      <c r="I961">
        <v>297.55470000000003</v>
      </c>
      <c r="J961">
        <v>-192.67679999999999</v>
      </c>
      <c r="K961">
        <v>1.104447</v>
      </c>
      <c r="L961">
        <v>350.85590000000002</v>
      </c>
      <c r="M961">
        <v>0.2269476</v>
      </c>
      <c r="N961">
        <v>-1.4629079999999999E-2</v>
      </c>
      <c r="O961">
        <v>-0.97379709999999997</v>
      </c>
      <c r="P961">
        <v>0.20899609999999999</v>
      </c>
      <c r="Q961">
        <v>0.16359099999999999</v>
      </c>
      <c r="R961">
        <v>-0.9641362</v>
      </c>
      <c r="S961">
        <v>-5.6198119999999997E-2</v>
      </c>
      <c r="T961">
        <v>-6.4793589999999998E-2</v>
      </c>
      <c r="U961">
        <v>-3.1413570000000002</v>
      </c>
      <c r="V961">
        <v>1.792007E-2</v>
      </c>
      <c r="W961">
        <v>0.17775869999999999</v>
      </c>
      <c r="X961">
        <v>0.98391090000000003</v>
      </c>
      <c r="Y961">
        <v>0.24429119999999999</v>
      </c>
      <c r="Z961">
        <v>4.8416459999999998E-3</v>
      </c>
      <c r="AA961">
        <v>0.96968980000000005</v>
      </c>
      <c r="AB961">
        <v>22</v>
      </c>
      <c r="AC961">
        <v>-1.00150000000002</v>
      </c>
      <c r="AD961">
        <v>-1.1044466012236001</v>
      </c>
      <c r="AE961">
        <v>-53.301200000000001</v>
      </c>
      <c r="AF961">
        <v>13.0676274329573</v>
      </c>
      <c r="AG961">
        <v>-1.1044466012236001</v>
      </c>
      <c r="AH961">
        <v>51.660623322812398</v>
      </c>
      <c r="AI961">
        <v>91.187347671900298</v>
      </c>
      <c r="AJ961">
        <v>75.804711389539904</v>
      </c>
      <c r="AK961">
        <v>53.299180961090201</v>
      </c>
      <c r="AL961">
        <v>79.760762154336007</v>
      </c>
      <c r="AM961">
        <v>88.956581462189803</v>
      </c>
      <c r="AN961">
        <v>0.999999971736652</v>
      </c>
    </row>
    <row r="962" spans="1:40" x14ac:dyDescent="0.25">
      <c r="A962" t="str">
        <f>"20190304155337402"</f>
        <v>20190304155337402</v>
      </c>
      <c r="B962" t="str">
        <f>"1551686017396711"</f>
        <v>1551686017396711</v>
      </c>
      <c r="C962" t="s">
        <v>40</v>
      </c>
      <c r="D962">
        <v>4.8878269999999997</v>
      </c>
      <c r="E962">
        <v>0.5823874</v>
      </c>
      <c r="F962" t="s">
        <v>46</v>
      </c>
      <c r="G962">
        <v>-193.1969</v>
      </c>
      <c r="H962" s="1">
        <v>-4.1125220000000002E-6</v>
      </c>
      <c r="I962">
        <v>316.51870000000002</v>
      </c>
      <c r="J962">
        <v>-192.63640000000001</v>
      </c>
      <c r="K962">
        <v>1.1047469999999999</v>
      </c>
      <c r="L962">
        <v>350.63229999999999</v>
      </c>
      <c r="M962">
        <v>0.21748310000000001</v>
      </c>
      <c r="N962">
        <v>-1.4460829999999999E-2</v>
      </c>
      <c r="O962">
        <v>-0.97595690000000002</v>
      </c>
      <c r="P962">
        <v>0.20329130000000001</v>
      </c>
      <c r="Q962">
        <v>0.16264999999999999</v>
      </c>
      <c r="R962">
        <v>-0.96551410000000004</v>
      </c>
      <c r="S962">
        <v>-4.7546390000000001E-2</v>
      </c>
      <c r="T962">
        <v>-0.1009666</v>
      </c>
      <c r="U962">
        <v>-3.1390380000000002</v>
      </c>
      <c r="V962">
        <v>1.405927E-2</v>
      </c>
      <c r="W962">
        <v>0.17672060000000001</v>
      </c>
      <c r="X962">
        <v>0.9841607</v>
      </c>
      <c r="Y962">
        <v>0.2321809</v>
      </c>
      <c r="Z962">
        <v>1.6071530000000001E-2</v>
      </c>
      <c r="AA962">
        <v>0.97253979999999995</v>
      </c>
      <c r="AB962">
        <v>22</v>
      </c>
      <c r="AC962">
        <v>-0.56049999999999001</v>
      </c>
      <c r="AD962">
        <v>-1.104751112522</v>
      </c>
      <c r="AE962">
        <v>-34.113599999999899</v>
      </c>
      <c r="AF962">
        <v>7.9586444243705898</v>
      </c>
      <c r="AG962">
        <v>-1.104751112522</v>
      </c>
      <c r="AH962">
        <v>33.140228237518699</v>
      </c>
      <c r="AI962">
        <v>91.856538629872702</v>
      </c>
      <c r="AJ962">
        <v>76.496110278039396</v>
      </c>
      <c r="AK962">
        <v>34.100369847393303</v>
      </c>
      <c r="AL962">
        <v>79.821198633131104</v>
      </c>
      <c r="AM962">
        <v>89.181554350185294</v>
      </c>
      <c r="AN962">
        <v>1.0000000584808799</v>
      </c>
    </row>
    <row r="963" spans="1:40" x14ac:dyDescent="0.25">
      <c r="A963" t="str">
        <f>"20190304155337426"</f>
        <v>20190304155337426</v>
      </c>
      <c r="B963" t="str">
        <f>"1551686017417207"</f>
        <v>1551686017417207</v>
      </c>
      <c r="C963" t="s">
        <v>40</v>
      </c>
      <c r="D963">
        <v>4.9135759999999999</v>
      </c>
      <c r="E963">
        <v>0.58022119999999999</v>
      </c>
      <c r="F963" t="s">
        <v>46</v>
      </c>
      <c r="G963">
        <v>-193.1439</v>
      </c>
      <c r="H963" s="1">
        <v>-9.7652660000000002E-7</v>
      </c>
      <c r="I963">
        <v>319.91550000000001</v>
      </c>
      <c r="J963">
        <v>-192.59399999999999</v>
      </c>
      <c r="K963">
        <v>1.1050960000000001</v>
      </c>
      <c r="L963">
        <v>350.38679999999999</v>
      </c>
      <c r="M963">
        <v>0.20765839999999999</v>
      </c>
      <c r="N963">
        <v>-1.426737E-2</v>
      </c>
      <c r="O963">
        <v>-0.97809760000000001</v>
      </c>
      <c r="P963">
        <v>0.19685169999999999</v>
      </c>
      <c r="Q963">
        <v>0.1631737</v>
      </c>
      <c r="R963">
        <v>-0.9667597</v>
      </c>
      <c r="S963">
        <v>-5.1834110000000003E-2</v>
      </c>
      <c r="T963">
        <v>-0.112828399999999</v>
      </c>
      <c r="U963">
        <v>-3.1371150000000001</v>
      </c>
      <c r="V963">
        <v>1.0542930000000001E-2</v>
      </c>
      <c r="W963">
        <v>0.17710970000000001</v>
      </c>
      <c r="X963">
        <v>0.98413459999999997</v>
      </c>
      <c r="Y963">
        <v>0.2237257</v>
      </c>
      <c r="Z963">
        <v>2.0022189999999999E-2</v>
      </c>
      <c r="AA963">
        <v>0.97444649999999999</v>
      </c>
      <c r="AB963">
        <v>22</v>
      </c>
      <c r="AC963">
        <v>-0.54989999999997896</v>
      </c>
      <c r="AD963">
        <v>-1.1050969765266001</v>
      </c>
      <c r="AE963">
        <v>-30.4712999999999</v>
      </c>
      <c r="AF963">
        <v>6.8571583202796997</v>
      </c>
      <c r="AG963">
        <v>-1.1050969765266001</v>
      </c>
      <c r="AH963">
        <v>29.653738780074299</v>
      </c>
      <c r="AI963">
        <v>92.079415391136294</v>
      </c>
      <c r="AJ963">
        <v>76.979725645853904</v>
      </c>
      <c r="AK963">
        <v>30.4562979233161</v>
      </c>
      <c r="AL963">
        <v>79.798546484446007</v>
      </c>
      <c r="AM963">
        <v>89.3862198468087</v>
      </c>
      <c r="AN963">
        <v>0.99999995506211603</v>
      </c>
    </row>
    <row r="964" spans="1:40" x14ac:dyDescent="0.25">
      <c r="A964" t="str">
        <f>"20190304155337447"</f>
        <v>20190304155337447</v>
      </c>
      <c r="B964" t="str">
        <f>"1551686017436727"</f>
        <v>1551686017436727</v>
      </c>
      <c r="C964" t="s">
        <v>40</v>
      </c>
      <c r="D964">
        <v>4.8746460000000003</v>
      </c>
      <c r="E964">
        <v>0.57883819999999997</v>
      </c>
      <c r="F964" t="s">
        <v>46</v>
      </c>
      <c r="G964">
        <v>-193.10749999999999</v>
      </c>
      <c r="H964" s="1">
        <v>-1.5251710000000001E-6</v>
      </c>
      <c r="I964">
        <v>321.21699999999998</v>
      </c>
      <c r="J964">
        <v>-192.55869999999999</v>
      </c>
      <c r="K964">
        <v>1.1053660000000001</v>
      </c>
      <c r="L964">
        <v>350.17309999999998</v>
      </c>
      <c r="M964">
        <v>0.1994669</v>
      </c>
      <c r="N964">
        <v>-1.4103950000000001E-2</v>
      </c>
      <c r="O964">
        <v>-0.97980310000000004</v>
      </c>
      <c r="P964">
        <v>0.19100259999999999</v>
      </c>
      <c r="Q964">
        <v>0.1634438</v>
      </c>
      <c r="R964">
        <v>-0.96788640000000004</v>
      </c>
      <c r="S964">
        <v>-5.5175780000000001E-2</v>
      </c>
      <c r="T964">
        <v>-0.1187489</v>
      </c>
      <c r="U964">
        <v>-3.1344599999999998</v>
      </c>
      <c r="V964">
        <v>8.1234759999999993E-3</v>
      </c>
      <c r="W964">
        <v>0.1772542</v>
      </c>
      <c r="X964">
        <v>0.9841316</v>
      </c>
      <c r="Y964">
        <v>0.21661620000000001</v>
      </c>
      <c r="Z964">
        <v>2.2141270000000001E-2</v>
      </c>
      <c r="AA964">
        <v>0.97600569999999998</v>
      </c>
      <c r="AB964">
        <v>22</v>
      </c>
      <c r="AC964">
        <v>-0.54879999999999995</v>
      </c>
      <c r="AD964">
        <v>-1.105367525171</v>
      </c>
      <c r="AE964">
        <v>-28.9560999999999</v>
      </c>
      <c r="AF964">
        <v>6.3049426677211198</v>
      </c>
      <c r="AG964">
        <v>-1.105367525171</v>
      </c>
      <c r="AH964">
        <v>28.223505472613901</v>
      </c>
      <c r="AI964">
        <v>92.188931151057702</v>
      </c>
      <c r="AJ964">
        <v>77.407266657655697</v>
      </c>
      <c r="AK964">
        <v>28.9402902641217</v>
      </c>
      <c r="AL964">
        <v>79.790134858269198</v>
      </c>
      <c r="AM964">
        <v>89.527064958492701</v>
      </c>
      <c r="AN964">
        <v>1.0000000241992599</v>
      </c>
    </row>
    <row r="965" spans="1:40" x14ac:dyDescent="0.25">
      <c r="A965" t="str">
        <f>"20190304155337470"</f>
        <v>20190304155337470</v>
      </c>
      <c r="B965" t="str">
        <f>"1551686017466514"</f>
        <v>1551686017466514</v>
      </c>
      <c r="C965" t="s">
        <v>40</v>
      </c>
      <c r="D965">
        <v>4.9010730000000002</v>
      </c>
      <c r="E965">
        <v>0.57630319999999902</v>
      </c>
      <c r="F965" t="s">
        <v>46</v>
      </c>
      <c r="G965">
        <v>-193.11940000000001</v>
      </c>
      <c r="H965" s="1">
        <v>-1.8404340000000001E-6</v>
      </c>
      <c r="I965">
        <v>321.94450000000001</v>
      </c>
      <c r="J965">
        <v>-192.52250000000001</v>
      </c>
      <c r="K965">
        <v>1.105621</v>
      </c>
      <c r="L965">
        <v>349.94549999999998</v>
      </c>
      <c r="M965">
        <v>0.19115360000000001</v>
      </c>
      <c r="N965">
        <v>-1.39342999999999E-2</v>
      </c>
      <c r="O965">
        <v>-0.98146129999999998</v>
      </c>
      <c r="P965">
        <v>0.18584349999999999</v>
      </c>
      <c r="Q965">
        <v>0.1624901</v>
      </c>
      <c r="R965">
        <v>-0.96905110000000005</v>
      </c>
      <c r="S965">
        <v>-6.2225339999999997E-2</v>
      </c>
      <c r="T965">
        <v>-0.1226617</v>
      </c>
      <c r="U965">
        <v>-3.1325069999999999</v>
      </c>
      <c r="V965">
        <v>4.9182100000000001E-3</v>
      </c>
      <c r="W965">
        <v>0.17617759999999999</v>
      </c>
      <c r="X965">
        <v>0.9843461</v>
      </c>
      <c r="Y965">
        <v>0.21054290000000001</v>
      </c>
      <c r="Z965">
        <v>2.3648530000000001E-2</v>
      </c>
      <c r="AA965">
        <v>0.97729860000000002</v>
      </c>
      <c r="AB965">
        <v>22</v>
      </c>
      <c r="AC965">
        <v>-0.59690000000000498</v>
      </c>
      <c r="AD965">
        <v>-1.1056228404340001</v>
      </c>
      <c r="AE965">
        <v>-28.000999999999902</v>
      </c>
      <c r="AF965">
        <v>5.9296617714468098</v>
      </c>
      <c r="AG965">
        <v>-1.1056228404340001</v>
      </c>
      <c r="AH965">
        <v>27.327866750897201</v>
      </c>
      <c r="AI965">
        <v>92.264162303552595</v>
      </c>
      <c r="AJ965">
        <v>77.757608117119901</v>
      </c>
      <c r="AK965">
        <v>27.985631880374601</v>
      </c>
      <c r="AL965">
        <v>79.852805467961602</v>
      </c>
      <c r="AM965">
        <v>89.713728402154302</v>
      </c>
      <c r="AN965">
        <v>0.99999999005828699</v>
      </c>
    </row>
    <row r="966" spans="1:40" x14ac:dyDescent="0.25">
      <c r="A966" t="str">
        <f>"20190304155337492"</f>
        <v>20190304155337492</v>
      </c>
      <c r="B966" t="str">
        <f>"1551686017487009"</f>
        <v>1551686017487009</v>
      </c>
      <c r="C966" t="s">
        <v>40</v>
      </c>
      <c r="D966">
        <v>4.9415149999999999</v>
      </c>
      <c r="E966">
        <v>0.5745576</v>
      </c>
      <c r="F966" t="s">
        <v>46</v>
      </c>
      <c r="G966">
        <v>-193.0154</v>
      </c>
      <c r="H966" s="1">
        <v>-2.5700879999999998E-6</v>
      </c>
      <c r="I966">
        <v>323.70979999999997</v>
      </c>
      <c r="J966">
        <v>-192.4879</v>
      </c>
      <c r="K966">
        <v>1.105861</v>
      </c>
      <c r="L966">
        <v>349.71850000000001</v>
      </c>
      <c r="M966">
        <v>0.18332470000000001</v>
      </c>
      <c r="N966">
        <v>-1.376253E-2</v>
      </c>
      <c r="O966">
        <v>-0.98295630000000001</v>
      </c>
      <c r="P966">
        <v>0.18114379999999999</v>
      </c>
      <c r="Q966">
        <v>0.16096440000000001</v>
      </c>
      <c r="R966">
        <v>-0.97019449999999996</v>
      </c>
      <c r="S966">
        <v>-5.8792110000000002E-2</v>
      </c>
      <c r="T966">
        <v>-0.1318686</v>
      </c>
      <c r="U966">
        <v>-3.1291500000000001</v>
      </c>
      <c r="V966">
        <v>1.7539649999999999E-3</v>
      </c>
      <c r="W966">
        <v>0.1745237</v>
      </c>
      <c r="X966">
        <v>0.98465139999999995</v>
      </c>
      <c r="Y966">
        <v>0.20168990000000001</v>
      </c>
      <c r="Z966">
        <v>2.6819409999999998E-2</v>
      </c>
      <c r="AA966">
        <v>0.97908220000000001</v>
      </c>
      <c r="AB966">
        <v>22</v>
      </c>
      <c r="AC966">
        <v>-0.52750000000000297</v>
      </c>
      <c r="AD966">
        <v>-1.105863570088</v>
      </c>
      <c r="AE966">
        <v>-26.008700000000001</v>
      </c>
      <c r="AF966">
        <v>5.2775090376914502</v>
      </c>
      <c r="AG966">
        <v>-1.105863570088</v>
      </c>
      <c r="AH966">
        <v>25.425172090998601</v>
      </c>
      <c r="AI966">
        <v>92.4385855772056</v>
      </c>
      <c r="AJ966">
        <v>78.273620829714005</v>
      </c>
      <c r="AK966">
        <v>25.990660086566798</v>
      </c>
      <c r="AL966">
        <v>79.949058296320203</v>
      </c>
      <c r="AM966">
        <v>89.897938818121602</v>
      </c>
      <c r="AN966">
        <v>0.999999988888435</v>
      </c>
    </row>
    <row r="967" spans="1:40" x14ac:dyDescent="0.25">
      <c r="A967" t="str">
        <f>"20190304155337514"</f>
        <v>20190304155337514</v>
      </c>
      <c r="B967" t="str">
        <f>"1551686017506530"</f>
        <v>1551686017506530</v>
      </c>
      <c r="C967" t="s">
        <v>40</v>
      </c>
      <c r="D967">
        <v>4.6068220000000002</v>
      </c>
      <c r="E967">
        <v>0.57385549999999996</v>
      </c>
      <c r="F967" t="s">
        <v>46</v>
      </c>
      <c r="G967">
        <v>-192.9649</v>
      </c>
      <c r="H967" s="1">
        <v>-3.1667449999999999E-6</v>
      </c>
      <c r="I967">
        <v>325.13200000000001</v>
      </c>
      <c r="J967">
        <v>-192.45609999999999</v>
      </c>
      <c r="K967">
        <v>1.1060989999999999</v>
      </c>
      <c r="L967">
        <v>349.50199999999899</v>
      </c>
      <c r="M967">
        <v>0.17630309999999999</v>
      </c>
      <c r="N967">
        <v>-1.359346E-2</v>
      </c>
      <c r="O967">
        <v>-0.98424219999999896</v>
      </c>
      <c r="P967">
        <v>0.1767331</v>
      </c>
      <c r="Q967">
        <v>0.15979389999999999</v>
      </c>
      <c r="R967">
        <v>-0.97120119999999999</v>
      </c>
      <c r="S967">
        <v>-6.0668949999999999E-2</v>
      </c>
      <c r="T967">
        <v>-0.14064109999999999</v>
      </c>
      <c r="U967">
        <v>-3.126862</v>
      </c>
      <c r="V967">
        <v>-8.9728899999999903E-4</v>
      </c>
      <c r="W967">
        <v>0.17321689999999901</v>
      </c>
      <c r="X967">
        <v>0.98488330000000002</v>
      </c>
      <c r="Y967">
        <v>0.19529250000000001</v>
      </c>
      <c r="Z967">
        <v>2.9832839999999999E-2</v>
      </c>
      <c r="AA967">
        <v>0.98029120000000003</v>
      </c>
      <c r="AB967">
        <v>22</v>
      </c>
      <c r="AC967">
        <v>-0.50880000000000702</v>
      </c>
      <c r="AD967">
        <v>-1.1061021667449999</v>
      </c>
      <c r="AE967">
        <v>-24.369999999999902</v>
      </c>
      <c r="AF967">
        <v>4.7878726129946001</v>
      </c>
      <c r="AG967">
        <v>-1.1061021667449999</v>
      </c>
      <c r="AH967">
        <v>23.8493745513608</v>
      </c>
      <c r="AI967">
        <v>92.603526609011993</v>
      </c>
      <c r="AJ967">
        <v>78.648498842022505</v>
      </c>
      <c r="AK967">
        <v>24.350356314695599</v>
      </c>
      <c r="AL967">
        <v>80.025090691320003</v>
      </c>
      <c r="AM967">
        <v>90.052199949455201</v>
      </c>
      <c r="AN967">
        <v>1.00000000709602</v>
      </c>
    </row>
    <row r="968" spans="1:40" x14ac:dyDescent="0.25">
      <c r="A968" t="str">
        <f>"20190304155337537"</f>
        <v>20190304155337537</v>
      </c>
      <c r="B968" t="str">
        <f>"1551686017527026"</f>
        <v>1551686017527026</v>
      </c>
      <c r="C968" t="s">
        <v>40</v>
      </c>
      <c r="D968">
        <v>4.5164</v>
      </c>
      <c r="E968">
        <v>0.5932423</v>
      </c>
      <c r="F968" t="s">
        <v>46</v>
      </c>
      <c r="G968">
        <v>-192.97499999999999</v>
      </c>
      <c r="H968" s="1">
        <v>-3.479727E-6</v>
      </c>
      <c r="I968">
        <v>325.8553</v>
      </c>
      <c r="J968">
        <v>-192.423</v>
      </c>
      <c r="K968">
        <v>1.1063860000000001</v>
      </c>
      <c r="L968">
        <v>349.26799999999997</v>
      </c>
      <c r="M968">
        <v>0.16920399999999999</v>
      </c>
      <c r="N968">
        <v>-1.3408369999999999E-2</v>
      </c>
      <c r="O968">
        <v>-0.98549010000000004</v>
      </c>
      <c r="P968">
        <v>0.17205699999999999</v>
      </c>
      <c r="Q968">
        <v>0.15931579999999901</v>
      </c>
      <c r="R968">
        <v>-0.97211919999999996</v>
      </c>
      <c r="S968">
        <v>-6.8588259999999998E-2</v>
      </c>
      <c r="T968">
        <v>-0.1461983</v>
      </c>
      <c r="U968">
        <v>-3.1254879999999998</v>
      </c>
      <c r="V968">
        <v>-3.3867020000000001E-3</v>
      </c>
      <c r="W968">
        <v>0.1725796</v>
      </c>
      <c r="X968">
        <v>0.98498980000000003</v>
      </c>
      <c r="Y968">
        <v>0.1907112</v>
      </c>
      <c r="Z968">
        <v>3.1856860000000001E-2</v>
      </c>
      <c r="AA968">
        <v>0.98112909999999998</v>
      </c>
      <c r="AB968">
        <v>22</v>
      </c>
      <c r="AC968">
        <v>-0.55199999999999205</v>
      </c>
      <c r="AD968">
        <v>-1.106389479727</v>
      </c>
      <c r="AE968">
        <v>-23.412700000000001</v>
      </c>
      <c r="AF968">
        <v>4.4958826390532201</v>
      </c>
      <c r="AG968">
        <v>-1.106389479727</v>
      </c>
      <c r="AH968">
        <v>22.930465347126201</v>
      </c>
      <c r="AI968">
        <v>92.710831257923303</v>
      </c>
      <c r="AJ968">
        <v>78.906967648307798</v>
      </c>
      <c r="AK968">
        <v>23.393231914824199</v>
      </c>
      <c r="AL968">
        <v>80.062164023357994</v>
      </c>
      <c r="AM968">
        <v>90.196999975444399</v>
      </c>
      <c r="AN968">
        <v>1.0000000470953101</v>
      </c>
    </row>
    <row r="969" spans="1:40" x14ac:dyDescent="0.25">
      <c r="A969" t="str">
        <f>"20190304155337558"</f>
        <v>20190304155337558</v>
      </c>
      <c r="B969" t="str">
        <f>"1551686017547522"</f>
        <v>1551686017547522</v>
      </c>
      <c r="C969" t="s">
        <v>40</v>
      </c>
      <c r="D969">
        <v>4.6735119999999997</v>
      </c>
      <c r="E969">
        <v>0.5911727</v>
      </c>
      <c r="F969" t="s">
        <v>53</v>
      </c>
      <c r="G969">
        <v>-212.22620000000001</v>
      </c>
      <c r="H969">
        <v>3.1841170000000001</v>
      </c>
      <c r="I969">
        <v>79.704149999999998</v>
      </c>
      <c r="J969">
        <v>-192.3948</v>
      </c>
      <c r="K969">
        <v>1.106662</v>
      </c>
      <c r="L969">
        <v>349.0625</v>
      </c>
      <c r="M969">
        <v>0.16339790000000001</v>
      </c>
      <c r="N969">
        <v>-1.32511E-2</v>
      </c>
      <c r="O969">
        <v>-0.98647130000000005</v>
      </c>
      <c r="P969">
        <v>0.16927779999999901</v>
      </c>
      <c r="Q969">
        <v>0.15800429999999999</v>
      </c>
      <c r="R969">
        <v>-0.97282060000000004</v>
      </c>
      <c r="S969">
        <v>-0.22940060000000001</v>
      </c>
      <c r="T969">
        <v>2.4068590000000001E-2</v>
      </c>
      <c r="U969">
        <v>-3.12262</v>
      </c>
      <c r="V969">
        <v>-6.4816419999999897E-3</v>
      </c>
      <c r="W969">
        <v>0.17114019999999999</v>
      </c>
      <c r="X969">
        <v>0.98522540000000003</v>
      </c>
      <c r="Y969">
        <v>0.2352303</v>
      </c>
      <c r="Z969">
        <v>-2.076395E-2</v>
      </c>
      <c r="AA969">
        <v>0.97171779999999996</v>
      </c>
      <c r="AB969">
        <v>22</v>
      </c>
      <c r="AC969">
        <v>-19.831399999999999</v>
      </c>
      <c r="AD969">
        <v>2.0774550000000001</v>
      </c>
      <c r="AE969">
        <v>-269.35834999999997</v>
      </c>
      <c r="AF969">
        <v>63.577513720941198</v>
      </c>
      <c r="AG969">
        <v>2.0774550000000001</v>
      </c>
      <c r="AH969">
        <v>262.48137841978303</v>
      </c>
      <c r="AI969">
        <v>89.559275638645104</v>
      </c>
      <c r="AJ969">
        <v>76.3842079688566</v>
      </c>
      <c r="AK969">
        <v>270.079414408731</v>
      </c>
      <c r="AL969">
        <v>80.145881038565605</v>
      </c>
      <c r="AM969">
        <v>90.376934428678595</v>
      </c>
      <c r="AN969">
        <v>1.0000000342721</v>
      </c>
    </row>
    <row r="970" spans="1:40" x14ac:dyDescent="0.25">
      <c r="A970" t="str">
        <f>"20190304155337581"</f>
        <v>20190304155337581</v>
      </c>
      <c r="B970" t="str">
        <f>"1551686017577309"</f>
        <v>1551686017577309</v>
      </c>
      <c r="C970" t="s">
        <v>40</v>
      </c>
      <c r="D970">
        <v>4.5431759999999999</v>
      </c>
      <c r="E970">
        <v>0.58660349999999895</v>
      </c>
      <c r="F970" t="s">
        <v>53</v>
      </c>
      <c r="G970">
        <v>-212.16210000000001</v>
      </c>
      <c r="H970">
        <v>2.4428079999999999</v>
      </c>
      <c r="I970">
        <v>70.567830000000001</v>
      </c>
      <c r="J970">
        <v>-192.36410000000001</v>
      </c>
      <c r="K970">
        <v>1.1069869999999999</v>
      </c>
      <c r="L970">
        <v>348.83280000000002</v>
      </c>
      <c r="M970">
        <v>0.15735869999999999</v>
      </c>
      <c r="N970">
        <v>-1.3083320000000001E-2</v>
      </c>
      <c r="O970">
        <v>-0.98745479999999997</v>
      </c>
      <c r="P970">
        <v>0.1665536</v>
      </c>
      <c r="Q970">
        <v>0.156612</v>
      </c>
      <c r="R970">
        <v>-0.97351580000000004</v>
      </c>
      <c r="S970">
        <v>-0.2214508</v>
      </c>
      <c r="T970">
        <v>1.496887E-2</v>
      </c>
      <c r="U970">
        <v>-3.1199340000000002</v>
      </c>
      <c r="V970">
        <v>-9.8766259999999995E-3</v>
      </c>
      <c r="W970">
        <v>0.1696066</v>
      </c>
      <c r="X970">
        <v>0.98546239999999996</v>
      </c>
      <c r="Y970">
        <v>0.22687270000000001</v>
      </c>
      <c r="Z970">
        <v>-1.779594E-2</v>
      </c>
      <c r="AA970">
        <v>0.97376189999999996</v>
      </c>
      <c r="AB970">
        <v>22</v>
      </c>
      <c r="AC970">
        <v>-19.797999999999998</v>
      </c>
      <c r="AD970">
        <v>1.3358209999999999</v>
      </c>
      <c r="AE970">
        <v>-278.26497000000001</v>
      </c>
      <c r="AF970">
        <v>63.341015882402203</v>
      </c>
      <c r="AG970">
        <v>1.3358209999999999</v>
      </c>
      <c r="AH970">
        <v>271.67572826319901</v>
      </c>
      <c r="AI970">
        <v>89.725638881614898</v>
      </c>
      <c r="AJ970">
        <v>76.875975992922307</v>
      </c>
      <c r="AK970">
        <v>278.96517710656701</v>
      </c>
      <c r="AL970">
        <v>80.235053690833197</v>
      </c>
      <c r="AM970">
        <v>90.574217787996503</v>
      </c>
      <c r="AN970">
        <v>1.0000000441592301</v>
      </c>
    </row>
    <row r="971" spans="1:40" x14ac:dyDescent="0.25">
      <c r="A971" t="str">
        <f>"20190304155337603"</f>
        <v>20190304155337603</v>
      </c>
      <c r="B971" t="str">
        <f>"1551686017596829"</f>
        <v>1551686017596829</v>
      </c>
      <c r="C971" t="s">
        <v>40</v>
      </c>
      <c r="D971">
        <v>4.6387710000000002</v>
      </c>
      <c r="E971">
        <v>0.58509840000000002</v>
      </c>
      <c r="F971" t="s">
        <v>53</v>
      </c>
      <c r="G971">
        <v>-211.59020000000001</v>
      </c>
      <c r="H971">
        <v>1.665915</v>
      </c>
      <c r="I971">
        <v>41.546010000000003</v>
      </c>
      <c r="J971">
        <v>-192.33539999999999</v>
      </c>
      <c r="K971">
        <v>1.107289</v>
      </c>
      <c r="L971">
        <v>348.61149999999998</v>
      </c>
      <c r="M971">
        <v>0.15203910000000001</v>
      </c>
      <c r="N971">
        <v>-1.293035E-2</v>
      </c>
      <c r="O971">
        <v>-0.98829009999999995</v>
      </c>
      <c r="P971">
        <v>0.1639536</v>
      </c>
      <c r="Q971">
        <v>0.15558820000000001</v>
      </c>
      <c r="R971">
        <v>-0.97412120000000002</v>
      </c>
      <c r="S971">
        <v>-0.1948395</v>
      </c>
      <c r="T971">
        <v>5.6643489999999999E-3</v>
      </c>
      <c r="U971">
        <v>-3.1140750000000001</v>
      </c>
      <c r="V971">
        <v>-1.26699E-2</v>
      </c>
      <c r="W971">
        <v>0.1684467</v>
      </c>
      <c r="X971">
        <v>0.98562930000000004</v>
      </c>
      <c r="Y971">
        <v>0.21345210000000001</v>
      </c>
      <c r="Z971">
        <v>-1.475661E-2</v>
      </c>
      <c r="AA971">
        <v>0.97684210000000005</v>
      </c>
      <c r="AB971">
        <v>22</v>
      </c>
      <c r="AC971">
        <v>-19.254799999999999</v>
      </c>
      <c r="AD971">
        <v>0.55862599999999996</v>
      </c>
      <c r="AE971">
        <v>-307.06548999999899</v>
      </c>
      <c r="AF971">
        <v>65.720553321378503</v>
      </c>
      <c r="AG971">
        <v>0.55862599999999996</v>
      </c>
      <c r="AH971">
        <v>300.566377394715</v>
      </c>
      <c r="AI971">
        <v>89.895969288683403</v>
      </c>
      <c r="AJ971">
        <v>77.666068775368203</v>
      </c>
      <c r="AK971">
        <v>307.66808481228298</v>
      </c>
      <c r="AL971">
        <v>80.302480494478701</v>
      </c>
      <c r="AM971">
        <v>90.736475484370303</v>
      </c>
      <c r="AN971">
        <v>0.99999996706269401</v>
      </c>
    </row>
    <row r="972" spans="1:40" x14ac:dyDescent="0.25">
      <c r="A972" t="str">
        <f>"20190304155337627"</f>
        <v>20190304155337627</v>
      </c>
      <c r="B972" t="str">
        <f>"1551686017617325"</f>
        <v>1551686017617325</v>
      </c>
      <c r="C972" t="s">
        <v>40</v>
      </c>
      <c r="D972">
        <v>4.6262970000000001</v>
      </c>
      <c r="E972">
        <v>0.58299880000000004</v>
      </c>
      <c r="F972" t="s">
        <v>53</v>
      </c>
      <c r="G972">
        <v>-211.35890000000001</v>
      </c>
      <c r="H972">
        <v>0.7288538</v>
      </c>
      <c r="I972">
        <v>39.580750000000002</v>
      </c>
      <c r="J972">
        <v>-192.30500000000001</v>
      </c>
      <c r="K972">
        <v>1.107577</v>
      </c>
      <c r="L972">
        <v>348.37189999999998</v>
      </c>
      <c r="M972">
        <v>0.14680270000000001</v>
      </c>
      <c r="N972">
        <v>-1.2771360000000001E-2</v>
      </c>
      <c r="O972">
        <v>-0.98908339999999995</v>
      </c>
      <c r="P972">
        <v>0.16305500000000001</v>
      </c>
      <c r="Q972">
        <v>0.154197</v>
      </c>
      <c r="R972">
        <v>-0.97449319999999895</v>
      </c>
      <c r="S972">
        <v>-0.19160460000000001</v>
      </c>
      <c r="T972">
        <v>-3.811479E-3</v>
      </c>
      <c r="U972">
        <v>-3.112549</v>
      </c>
      <c r="V972">
        <v>-1.7092119999999999E-2</v>
      </c>
      <c r="W972">
        <v>0.1669204</v>
      </c>
      <c r="X972">
        <v>0.98582219999999998</v>
      </c>
      <c r="Y972">
        <v>0.20729120000000001</v>
      </c>
      <c r="Z972">
        <v>-1.163935E-2</v>
      </c>
      <c r="AA972">
        <v>0.97821000000000002</v>
      </c>
      <c r="AB972">
        <v>22</v>
      </c>
      <c r="AC972">
        <v>-19.053899999999999</v>
      </c>
      <c r="AD972">
        <v>-0.37872319999999998</v>
      </c>
      <c r="AE972">
        <v>-308.79115000000002</v>
      </c>
      <c r="AF972">
        <v>64.182405502843295</v>
      </c>
      <c r="AG972">
        <v>-0.37872319999999998</v>
      </c>
      <c r="AH972">
        <v>302.64724909623902</v>
      </c>
      <c r="AI972">
        <v>90.070138248576399</v>
      </c>
      <c r="AJ972">
        <v>78.026674867346998</v>
      </c>
      <c r="AK972">
        <v>309.37821835564802</v>
      </c>
      <c r="AL972">
        <v>80.391187239251906</v>
      </c>
      <c r="AM972">
        <v>90.993290908687499</v>
      </c>
      <c r="AN972">
        <v>0.99999998525754696</v>
      </c>
    </row>
    <row r="973" spans="1:40" x14ac:dyDescent="0.25">
      <c r="A973" t="str">
        <f>"20190304155337661"</f>
        <v>20190304155337661</v>
      </c>
      <c r="B973" t="str">
        <f>"1551686017657341"</f>
        <v>1551686017657341</v>
      </c>
      <c r="C973" t="s">
        <v>40</v>
      </c>
      <c r="D973">
        <v>4.98996</v>
      </c>
      <c r="E973">
        <v>0.563932199999999</v>
      </c>
      <c r="F973" t="s">
        <v>44</v>
      </c>
      <c r="G973">
        <v>-202.90199999999999</v>
      </c>
      <c r="H973">
        <v>0.22283169999999999</v>
      </c>
      <c r="I973">
        <v>163.58330000000001</v>
      </c>
      <c r="J973">
        <v>-192.2629</v>
      </c>
      <c r="K973">
        <v>1.107883</v>
      </c>
      <c r="L973">
        <v>348.02969999999999</v>
      </c>
      <c r="M973">
        <v>0.14000000000000001</v>
      </c>
      <c r="N973">
        <v>-1.2564550000000001E-2</v>
      </c>
      <c r="O973">
        <v>-0.99007199999999995</v>
      </c>
      <c r="P973">
        <v>0.15937860000000001</v>
      </c>
      <c r="Q973">
        <v>0.15348229999999999</v>
      </c>
      <c r="R973">
        <v>-0.97521369999999996</v>
      </c>
      <c r="S973">
        <v>-0.17839050000000001</v>
      </c>
      <c r="T973">
        <v>-1.489389E-2</v>
      </c>
      <c r="U973">
        <v>-3.1107480000000001</v>
      </c>
      <c r="V973">
        <v>-2.0279019999999998E-2</v>
      </c>
      <c r="W973">
        <v>0.16600680000000001</v>
      </c>
      <c r="X973">
        <v>0.98591609999999996</v>
      </c>
      <c r="Y973">
        <v>0.1964467</v>
      </c>
      <c r="Z973">
        <v>-7.9490129999999996E-3</v>
      </c>
      <c r="AA973">
        <v>0.98048230000000003</v>
      </c>
      <c r="AB973">
        <v>22</v>
      </c>
      <c r="AC973">
        <v>-10.639099999999999</v>
      </c>
      <c r="AD973">
        <v>-0.88505129999999999</v>
      </c>
      <c r="AE973">
        <v>-184.44640000000001</v>
      </c>
      <c r="AF973">
        <v>36.357998840072703</v>
      </c>
      <c r="AG973">
        <v>-0.88505129999999999</v>
      </c>
      <c r="AH973">
        <v>181.13584478074401</v>
      </c>
      <c r="AI973">
        <v>90.274477190898594</v>
      </c>
      <c r="AJ973">
        <v>78.650281417760198</v>
      </c>
      <c r="AK973">
        <v>184.75086375953001</v>
      </c>
      <c r="AL973">
        <v>80.444273740376104</v>
      </c>
      <c r="AM973">
        <v>91.1783339822138</v>
      </c>
      <c r="AN973">
        <v>1.0000000262688</v>
      </c>
    </row>
    <row r="974" spans="1:40" x14ac:dyDescent="0.25">
      <c r="A974" t="str">
        <f>"20190304155337680"</f>
        <v>20190304155337680</v>
      </c>
      <c r="B974" t="str">
        <f>"1551686017676861"</f>
        <v>1551686017676861</v>
      </c>
      <c r="C974" t="s">
        <v>40</v>
      </c>
      <c r="D974">
        <v>4.9953649999999996</v>
      </c>
      <c r="E974">
        <v>0.56387159999999903</v>
      </c>
      <c r="F974" t="s">
        <v>46</v>
      </c>
      <c r="G974">
        <v>-192.5615</v>
      </c>
      <c r="H974" s="1">
        <v>-3.8685570000000004E-6</v>
      </c>
      <c r="I974">
        <v>327.01960000000003</v>
      </c>
      <c r="J974">
        <v>-192.2396</v>
      </c>
      <c r="K974">
        <v>1.1080209999999999</v>
      </c>
      <c r="L974">
        <v>347.83479999999997</v>
      </c>
      <c r="M974">
        <v>0.1364841</v>
      </c>
      <c r="N974">
        <v>-1.245782E-2</v>
      </c>
      <c r="O974">
        <v>-0.99056390000000005</v>
      </c>
      <c r="P974">
        <v>0.158368799999999</v>
      </c>
      <c r="Q974">
        <v>0.15276709999999999</v>
      </c>
      <c r="R974">
        <v>-0.97549050000000004</v>
      </c>
      <c r="S974">
        <v>-4.4189449999999998E-2</v>
      </c>
      <c r="T974">
        <v>-0.163957399999999</v>
      </c>
      <c r="U974">
        <v>-3.1093139999999999</v>
      </c>
      <c r="V974">
        <v>-2.2810420000000001E-2</v>
      </c>
      <c r="W974">
        <v>0.16519420000000001</v>
      </c>
      <c r="X974">
        <v>0.98599729999999997</v>
      </c>
      <c r="Y974">
        <v>0.15048499999999901</v>
      </c>
      <c r="Z974">
        <v>3.9159600000000003E-2</v>
      </c>
      <c r="AA974">
        <v>0.98783639999999995</v>
      </c>
      <c r="AB974">
        <v>22</v>
      </c>
      <c r="AC974">
        <v>-0.32189999999999902</v>
      </c>
      <c r="AD974">
        <v>-1.108024868557</v>
      </c>
      <c r="AE974">
        <v>-20.815199999999901</v>
      </c>
      <c r="AF974">
        <v>3.1511247891887901</v>
      </c>
      <c r="AG974">
        <v>-1.108024868557</v>
      </c>
      <c r="AH974">
        <v>20.518322051371701</v>
      </c>
      <c r="AI974">
        <v>93.055317039029703</v>
      </c>
      <c r="AJ974">
        <v>81.2689510577069</v>
      </c>
      <c r="AK974">
        <v>20.788430588916199</v>
      </c>
      <c r="AL974">
        <v>80.4914844263227</v>
      </c>
      <c r="AM974">
        <v>91.325265000277994</v>
      </c>
      <c r="AN974">
        <v>1.0000000572907499</v>
      </c>
    </row>
    <row r="975" spans="1:40" x14ac:dyDescent="0.25">
      <c r="A975" t="str">
        <f>"20190304155337705"</f>
        <v>20190304155337705</v>
      </c>
      <c r="B975" t="str">
        <f>"1551686017697357"</f>
        <v>1551686017697357</v>
      </c>
      <c r="C975" t="s">
        <v>40</v>
      </c>
      <c r="D975">
        <v>5.0266449999999896</v>
      </c>
      <c r="E975">
        <v>0.56265069999999995</v>
      </c>
      <c r="F975" t="s">
        <v>46</v>
      </c>
      <c r="G975">
        <v>-192.54249999999999</v>
      </c>
      <c r="H975" s="1">
        <v>-4.1863269999999997E-6</v>
      </c>
      <c r="I975">
        <v>327.96319999999997</v>
      </c>
      <c r="J975">
        <v>-192.21090000000001</v>
      </c>
      <c r="K975">
        <v>1.1081939999999999</v>
      </c>
      <c r="L975">
        <v>347.589</v>
      </c>
      <c r="M975">
        <v>0.13241739999999999</v>
      </c>
      <c r="N975">
        <v>-1.233074E-2</v>
      </c>
      <c r="O975">
        <v>-0.99111749999999998</v>
      </c>
      <c r="P975">
        <v>0.15678909999999999</v>
      </c>
      <c r="Q975">
        <v>0.14988950000000001</v>
      </c>
      <c r="R975">
        <v>-0.97619210000000001</v>
      </c>
      <c r="S975">
        <v>-4.7409060000000003E-2</v>
      </c>
      <c r="T975">
        <v>-0.17342779999999999</v>
      </c>
      <c r="U975">
        <v>-3.1102910000000001</v>
      </c>
      <c r="V975">
        <v>-2.5296610000000001E-2</v>
      </c>
      <c r="W975">
        <v>0.16219819999999999</v>
      </c>
      <c r="X975">
        <v>0.98643389999999997</v>
      </c>
      <c r="Y975">
        <v>0.14744170000000001</v>
      </c>
      <c r="Z975">
        <v>4.230184E-2</v>
      </c>
      <c r="AA975">
        <v>0.98816570000000004</v>
      </c>
      <c r="AB975">
        <v>22</v>
      </c>
      <c r="AC975">
        <v>-0.33159999999998002</v>
      </c>
      <c r="AD975">
        <v>-1.1081981863270001</v>
      </c>
      <c r="AE975">
        <v>-19.625800000000002</v>
      </c>
      <c r="AF975">
        <v>2.9183716556457902</v>
      </c>
      <c r="AG975">
        <v>-1.1081981863270001</v>
      </c>
      <c r="AH975">
        <v>19.347366198623298</v>
      </c>
      <c r="AI975">
        <v>93.241672234521005</v>
      </c>
      <c r="AJ975">
        <v>81.422127552382193</v>
      </c>
      <c r="AK975">
        <v>19.597591055134501</v>
      </c>
      <c r="AL975">
        <v>80.665489361853702</v>
      </c>
      <c r="AM975">
        <v>91.468999989332204</v>
      </c>
      <c r="AN975">
        <v>1.0000000068149699</v>
      </c>
    </row>
    <row r="976" spans="1:40" x14ac:dyDescent="0.25">
      <c r="A976" t="str">
        <f>"20190304155337725"</f>
        <v>20190304155337725</v>
      </c>
      <c r="B976" t="str">
        <f>"1551686017716878"</f>
        <v>1551686017716878</v>
      </c>
      <c r="C976" t="s">
        <v>40</v>
      </c>
      <c r="D976">
        <v>4.9414369999999996</v>
      </c>
      <c r="E976">
        <v>0.56322099999999997</v>
      </c>
      <c r="F976" t="s">
        <v>46</v>
      </c>
      <c r="G976">
        <v>-192.4701</v>
      </c>
      <c r="H976" s="1">
        <v>-4.6703370000000004E-6</v>
      </c>
      <c r="I976">
        <v>329.42329999999998</v>
      </c>
      <c r="J976">
        <v>-192.18729999999999</v>
      </c>
      <c r="K976">
        <v>1.1083449999999999</v>
      </c>
      <c r="L976">
        <v>347.38290000000001</v>
      </c>
      <c r="M976">
        <v>0.129272</v>
      </c>
      <c r="N976">
        <v>-1.2232929999999999E-2</v>
      </c>
      <c r="O976">
        <v>-0.99153369999999996</v>
      </c>
      <c r="P976">
        <v>0.15595989999999901</v>
      </c>
      <c r="Q976">
        <v>0.1487465</v>
      </c>
      <c r="R976">
        <v>-0.97649929999999996</v>
      </c>
      <c r="S976">
        <v>-4.4357300000000002E-2</v>
      </c>
      <c r="T976">
        <v>-0.18969320000000001</v>
      </c>
      <c r="U976">
        <v>-3.109467</v>
      </c>
      <c r="V976">
        <v>-2.7640410000000001E-2</v>
      </c>
      <c r="W976">
        <v>0.16096060000000001</v>
      </c>
      <c r="X976">
        <v>0.9865737</v>
      </c>
      <c r="Y976">
        <v>0.14333070000000001</v>
      </c>
      <c r="Z976">
        <v>4.7582119999999999E-2</v>
      </c>
      <c r="AA976">
        <v>0.98853029999999997</v>
      </c>
      <c r="AB976">
        <v>22</v>
      </c>
      <c r="AC976">
        <v>-0.28280000000000799</v>
      </c>
      <c r="AD976">
        <v>-1.1083496703369999</v>
      </c>
      <c r="AE976">
        <v>-17.959599999999998</v>
      </c>
      <c r="AF976">
        <v>2.5924030293513498</v>
      </c>
      <c r="AG976">
        <v>-1.1083496703369999</v>
      </c>
      <c r="AH976">
        <v>17.704907170124599</v>
      </c>
      <c r="AI976">
        <v>93.544417937782001</v>
      </c>
      <c r="AJ976">
        <v>81.669784187361799</v>
      </c>
      <c r="AK976">
        <v>17.927987348306999</v>
      </c>
      <c r="AL976">
        <v>80.737342605779702</v>
      </c>
      <c r="AM976">
        <v>91.604811352688202</v>
      </c>
      <c r="AN976">
        <v>0.99999998627450903</v>
      </c>
    </row>
    <row r="977" spans="1:40" x14ac:dyDescent="0.25">
      <c r="A977" t="str">
        <f>"20190304155337748"</f>
        <v>20190304155337748</v>
      </c>
      <c r="B977" t="str">
        <f>"1551686017737373"</f>
        <v>1551686017737373</v>
      </c>
      <c r="C977" t="s">
        <v>40</v>
      </c>
      <c r="D977">
        <v>4.9441259999999998</v>
      </c>
      <c r="E977">
        <v>0.56400289999999997</v>
      </c>
      <c r="F977" t="s">
        <v>46</v>
      </c>
      <c r="G977">
        <v>-192.49889999999999</v>
      </c>
      <c r="H977" s="1">
        <v>-4.4892909999999999E-6</v>
      </c>
      <c r="I977">
        <v>328.87630000000001</v>
      </c>
      <c r="J977">
        <v>-192.1618</v>
      </c>
      <c r="K977">
        <v>1.1084969999999901</v>
      </c>
      <c r="L977">
        <v>347.15640000000002</v>
      </c>
      <c r="M977">
        <v>0.1260163</v>
      </c>
      <c r="N977">
        <v>-1.213646E-2</v>
      </c>
      <c r="O977">
        <v>-0.991954</v>
      </c>
      <c r="P977">
        <v>0.1543052</v>
      </c>
      <c r="Q977">
        <v>0.14985879999999999</v>
      </c>
      <c r="R977">
        <v>-0.97659209999999996</v>
      </c>
      <c r="S977">
        <v>-5.2337649999999999E-2</v>
      </c>
      <c r="T977">
        <v>-0.1861902</v>
      </c>
      <c r="U977">
        <v>-3.1089169999999999</v>
      </c>
      <c r="V977">
        <v>-2.9289510000000001E-2</v>
      </c>
      <c r="W977">
        <v>0.16197139999999999</v>
      </c>
      <c r="X977">
        <v>0.98636069999999998</v>
      </c>
      <c r="Y977">
        <v>0.14262369999999999</v>
      </c>
      <c r="Z977">
        <v>4.6625430000000002E-2</v>
      </c>
      <c r="AA977">
        <v>0.98867819999999995</v>
      </c>
      <c r="AB977">
        <v>22</v>
      </c>
      <c r="AC977">
        <v>-0.33709999999999202</v>
      </c>
      <c r="AD977">
        <v>-1.1085014892909999</v>
      </c>
      <c r="AE977">
        <v>-18.280100000000001</v>
      </c>
      <c r="AF977">
        <v>2.6285101438713601</v>
      </c>
      <c r="AG977">
        <v>-1.1085014892909999</v>
      </c>
      <c r="AH977">
        <v>18.025608459187499</v>
      </c>
      <c r="AI977">
        <v>93.482289061149402</v>
      </c>
      <c r="AJ977">
        <v>81.703553522367002</v>
      </c>
      <c r="AK977">
        <v>18.249942505447098</v>
      </c>
      <c r="AL977">
        <v>80.678658303542207</v>
      </c>
      <c r="AM977">
        <v>91.700871008792404</v>
      </c>
      <c r="AN977">
        <v>1.0000000201592401</v>
      </c>
    </row>
    <row r="978" spans="1:40" x14ac:dyDescent="0.25">
      <c r="A978" t="str">
        <f>"20190304155337770"</f>
        <v>20190304155337770</v>
      </c>
      <c r="B978" t="str">
        <f>"1551686017766653"</f>
        <v>1551686017766653</v>
      </c>
      <c r="C978" t="s">
        <v>40</v>
      </c>
      <c r="D978">
        <v>4.9651139999999998</v>
      </c>
      <c r="E978">
        <v>0.56467179999999995</v>
      </c>
      <c r="F978" t="s">
        <v>46</v>
      </c>
      <c r="G978">
        <v>-192.5575</v>
      </c>
      <c r="H978" s="1">
        <v>-4.0904319999999999E-6</v>
      </c>
      <c r="I978">
        <v>327.67360000000002</v>
      </c>
      <c r="J978">
        <v>-192.13650000000001</v>
      </c>
      <c r="K978">
        <v>1.1086210000000001</v>
      </c>
      <c r="L978">
        <v>346.92770000000002</v>
      </c>
      <c r="M978">
        <v>0.1229251</v>
      </c>
      <c r="N978">
        <v>-1.2045449999999999E-2</v>
      </c>
      <c r="O978">
        <v>-0.99234299999999998</v>
      </c>
      <c r="P978">
        <v>0.15265339999999999</v>
      </c>
      <c r="Q978">
        <v>0.15148139999999999</v>
      </c>
      <c r="R978">
        <v>-0.97660159999999996</v>
      </c>
      <c r="S978">
        <v>-6.3140870000000002E-2</v>
      </c>
      <c r="T978">
        <v>-0.17688970000000001</v>
      </c>
      <c r="U978">
        <v>-3.108978</v>
      </c>
      <c r="V978">
        <v>-3.0773990000000001E-2</v>
      </c>
      <c r="W978">
        <v>0.16349710000000001</v>
      </c>
      <c r="X978">
        <v>0.98606369999999999</v>
      </c>
      <c r="Y978">
        <v>0.14297950000000001</v>
      </c>
      <c r="Z978">
        <v>4.3815569999999998E-2</v>
      </c>
      <c r="AA978">
        <v>0.9887553</v>
      </c>
      <c r="AB978">
        <v>23</v>
      </c>
      <c r="AC978">
        <v>-0.42099999999999199</v>
      </c>
      <c r="AD978">
        <v>-1.1086250904320001</v>
      </c>
      <c r="AE978">
        <v>-19.254099999999902</v>
      </c>
      <c r="AF978">
        <v>2.7755926555983201</v>
      </c>
      <c r="AG978">
        <v>-1.1086250904320001</v>
      </c>
      <c r="AH978">
        <v>18.9933609043701</v>
      </c>
      <c r="AI978">
        <v>93.305482572406902</v>
      </c>
      <c r="AJ978">
        <v>81.6859377889445</v>
      </c>
      <c r="AK978">
        <v>19.227083050338202</v>
      </c>
      <c r="AL978">
        <v>80.5900607406912</v>
      </c>
      <c r="AM978">
        <v>91.787559589813299</v>
      </c>
      <c r="AN978">
        <v>0.99999998031330894</v>
      </c>
    </row>
    <row r="979" spans="1:40" x14ac:dyDescent="0.25">
      <c r="A979" t="str">
        <f>"20190304155337793"</f>
        <v>20190304155337793</v>
      </c>
      <c r="B979" t="str">
        <f>"1551686017787149"</f>
        <v>1551686017787149</v>
      </c>
      <c r="C979" t="s">
        <v>40</v>
      </c>
      <c r="D979">
        <v>5.0055969999999999</v>
      </c>
      <c r="E979">
        <v>0.56425029999999998</v>
      </c>
      <c r="F979" t="s">
        <v>46</v>
      </c>
      <c r="G979">
        <v>-192.62219999999999</v>
      </c>
      <c r="H979" s="1">
        <v>-3.4687750000000001E-6</v>
      </c>
      <c r="I979">
        <v>326.04860000000002</v>
      </c>
      <c r="J979">
        <v>-192.11160000000001</v>
      </c>
      <c r="K979">
        <v>1.108727</v>
      </c>
      <c r="L979">
        <v>346.69760000000002</v>
      </c>
      <c r="M979">
        <v>0.1200204</v>
      </c>
      <c r="N979">
        <v>-1.1960200000000001E-2</v>
      </c>
      <c r="O979">
        <v>-0.99269949999999996</v>
      </c>
      <c r="P979">
        <v>0.15108269999999999</v>
      </c>
      <c r="Q979">
        <v>0.1520706</v>
      </c>
      <c r="R979">
        <v>-0.97675440000000002</v>
      </c>
      <c r="S979">
        <v>-7.2311399999999998E-2</v>
      </c>
      <c r="T979">
        <v>-0.1650681</v>
      </c>
      <c r="U979">
        <v>-3.1087950000000002</v>
      </c>
      <c r="V979">
        <v>-3.2129640000000001E-2</v>
      </c>
      <c r="W979">
        <v>0.1639977</v>
      </c>
      <c r="X979">
        <v>0.98593739999999996</v>
      </c>
      <c r="Y979">
        <v>0.14300689999999999</v>
      </c>
      <c r="Z979">
        <v>4.0204049999999998E-2</v>
      </c>
      <c r="AA979">
        <v>0.98890480000000003</v>
      </c>
      <c r="AB979">
        <v>23</v>
      </c>
      <c r="AC979">
        <v>-0.51059999999998196</v>
      </c>
      <c r="AD979">
        <v>-1.1087304687749999</v>
      </c>
      <c r="AE979">
        <v>-20.649000000000001</v>
      </c>
      <c r="AF979">
        <v>2.9768096967729001</v>
      </c>
      <c r="AG979">
        <v>-1.1087304687749999</v>
      </c>
      <c r="AH979">
        <v>20.379708928494299</v>
      </c>
      <c r="AI979">
        <v>93.081395165861295</v>
      </c>
      <c r="AJ979">
        <v>81.689727566398304</v>
      </c>
      <c r="AK979">
        <v>20.625790051131101</v>
      </c>
      <c r="AL979">
        <v>80.560986771282302</v>
      </c>
      <c r="AM979">
        <v>91.866489216629702</v>
      </c>
      <c r="AN979">
        <v>1.0000000580452799</v>
      </c>
    </row>
    <row r="980" spans="1:40" x14ac:dyDescent="0.25">
      <c r="A980" t="str">
        <f>"20190304155337815"</f>
        <v>20190304155337815</v>
      </c>
      <c r="B980" t="str">
        <f>"1551686017806669"</f>
        <v>1551686017806669</v>
      </c>
      <c r="C980" t="s">
        <v>40</v>
      </c>
      <c r="D980">
        <v>4.9873190000000003</v>
      </c>
      <c r="E980">
        <v>0.56387349999999903</v>
      </c>
      <c r="F980" t="s">
        <v>46</v>
      </c>
      <c r="G980">
        <v>-192.613</v>
      </c>
      <c r="H980" s="1">
        <v>-3.2751039999999999E-6</v>
      </c>
      <c r="I980">
        <v>325.6028</v>
      </c>
      <c r="J980">
        <v>-192.0882</v>
      </c>
      <c r="K980">
        <v>1.108814</v>
      </c>
      <c r="L980">
        <v>346.47899999999998</v>
      </c>
      <c r="M980">
        <v>0.1174482</v>
      </c>
      <c r="N980">
        <v>-1.1884540000000001E-2</v>
      </c>
      <c r="O980">
        <v>-0.9930078</v>
      </c>
      <c r="P980">
        <v>0.15001900000000001</v>
      </c>
      <c r="Q980">
        <v>0.152331299999999</v>
      </c>
      <c r="R980">
        <v>-0.97687760000000001</v>
      </c>
      <c r="S980">
        <v>-7.388306E-2</v>
      </c>
      <c r="T980">
        <v>-0.16336789999999901</v>
      </c>
      <c r="U980">
        <v>-3.1082459999999998</v>
      </c>
      <c r="V980">
        <v>-3.3652729999999999E-2</v>
      </c>
      <c r="W980">
        <v>0.16418060000000001</v>
      </c>
      <c r="X980">
        <v>0.98585610000000001</v>
      </c>
      <c r="Y980">
        <v>0.1409483</v>
      </c>
      <c r="Z980">
        <v>3.978433E-2</v>
      </c>
      <c r="AA980">
        <v>0.98921720000000002</v>
      </c>
      <c r="AB980">
        <v>23</v>
      </c>
      <c r="AC980">
        <v>-0.52479999999999805</v>
      </c>
      <c r="AD980">
        <v>-1.108817275104</v>
      </c>
      <c r="AE980">
        <v>-20.876200000000001</v>
      </c>
      <c r="AF980">
        <v>2.9648540235479399</v>
      </c>
      <c r="AG980">
        <v>-1.108817275104</v>
      </c>
      <c r="AH980">
        <v>20.611942908516902</v>
      </c>
      <c r="AI980">
        <v>93.047942244074704</v>
      </c>
      <c r="AJ980">
        <v>81.814630388613907</v>
      </c>
      <c r="AK980">
        <v>20.853585437388901</v>
      </c>
      <c r="AL980">
        <v>80.5503629475308</v>
      </c>
      <c r="AM980">
        <v>91.955063220290796</v>
      </c>
      <c r="AN980">
        <v>1.0000000127800099</v>
      </c>
    </row>
    <row r="981" spans="1:40" x14ac:dyDescent="0.25">
      <c r="A981" t="str">
        <f>"20190304155337838"</f>
        <v>20190304155337838</v>
      </c>
      <c r="B981" t="str">
        <f>"1551686017827165"</f>
        <v>1551686017827165</v>
      </c>
      <c r="C981" t="s">
        <v>40</v>
      </c>
      <c r="D981">
        <v>4.939146</v>
      </c>
      <c r="E981">
        <v>0.56385549999999995</v>
      </c>
      <c r="F981" t="s">
        <v>46</v>
      </c>
      <c r="G981">
        <v>-192.60480000000001</v>
      </c>
      <c r="H981" s="1">
        <v>-3.072761E-6</v>
      </c>
      <c r="I981">
        <v>325.13630000000001</v>
      </c>
      <c r="J981">
        <v>-192.06319999999999</v>
      </c>
      <c r="K981">
        <v>1.108887</v>
      </c>
      <c r="L981">
        <v>346.2405</v>
      </c>
      <c r="M981">
        <v>0.11481180000000001</v>
      </c>
      <c r="N981">
        <v>-1.180143E-2</v>
      </c>
      <c r="O981">
        <v>-0.99331740000000002</v>
      </c>
      <c r="P981">
        <v>0.14796210000000001</v>
      </c>
      <c r="Q981">
        <v>0.15276809999999999</v>
      </c>
      <c r="R981">
        <v>-0.97712310000000002</v>
      </c>
      <c r="S981">
        <v>-7.5210570000000004E-2</v>
      </c>
      <c r="T981">
        <v>-0.16145860000000001</v>
      </c>
      <c r="U981">
        <v>-3.1077880000000002</v>
      </c>
      <c r="V981">
        <v>-3.423503E-2</v>
      </c>
      <c r="W981">
        <v>0.1645296</v>
      </c>
      <c r="X981">
        <v>0.98577789999999998</v>
      </c>
      <c r="Y981">
        <v>0.13874800000000001</v>
      </c>
      <c r="Z981">
        <v>3.9304279999999997E-2</v>
      </c>
      <c r="AA981">
        <v>0.98954750000000002</v>
      </c>
      <c r="AB981">
        <v>23</v>
      </c>
      <c r="AC981">
        <v>-0.54160000000001596</v>
      </c>
      <c r="AD981">
        <v>-1.108890072761</v>
      </c>
      <c r="AE981">
        <v>-21.104199999999899</v>
      </c>
      <c r="AF981">
        <v>2.9530499037406899</v>
      </c>
      <c r="AG981">
        <v>-1.108890072761</v>
      </c>
      <c r="AH981">
        <v>20.844926253431598</v>
      </c>
      <c r="AI981">
        <v>93.0150513208674</v>
      </c>
      <c r="AJ981">
        <v>81.936703487248707</v>
      </c>
      <c r="AK981">
        <v>21.082245882221699</v>
      </c>
      <c r="AL981">
        <v>80.530091378189795</v>
      </c>
      <c r="AM981">
        <v>91.989022784191505</v>
      </c>
      <c r="AN981">
        <v>1.00000004734183</v>
      </c>
    </row>
    <row r="982" spans="1:40" x14ac:dyDescent="0.25">
      <c r="A982" t="str">
        <f>"20190304155337861"</f>
        <v>20190304155337861</v>
      </c>
      <c r="B982" t="str">
        <f>"1551686017857421"</f>
        <v>1551686017857421</v>
      </c>
      <c r="C982" t="s">
        <v>40</v>
      </c>
      <c r="D982">
        <v>4.8950300000000002</v>
      </c>
      <c r="E982">
        <v>0.56335649999999904</v>
      </c>
      <c r="F982" t="s">
        <v>46</v>
      </c>
      <c r="G982">
        <v>-192.63730000000001</v>
      </c>
      <c r="H982" s="1">
        <v>-2.8277570000000001E-6</v>
      </c>
      <c r="I982">
        <v>324.54500000000002</v>
      </c>
      <c r="J982">
        <v>-192.03970000000001</v>
      </c>
      <c r="K982">
        <v>1.108946</v>
      </c>
      <c r="L982">
        <v>346.01260000000002</v>
      </c>
      <c r="M982">
        <v>0.11241669999999999</v>
      </c>
      <c r="N982">
        <v>-1.171783E-2</v>
      </c>
      <c r="O982">
        <v>-0.99359229999999998</v>
      </c>
      <c r="P982">
        <v>0.14563699999999999</v>
      </c>
      <c r="Q982">
        <v>0.1530194</v>
      </c>
      <c r="R982">
        <v>-0.977433</v>
      </c>
      <c r="S982">
        <v>-8.2229609999999995E-2</v>
      </c>
      <c r="T982">
        <v>-0.158829</v>
      </c>
      <c r="U982">
        <v>-3.107513</v>
      </c>
      <c r="V982">
        <v>-3.4297080000000001E-2</v>
      </c>
      <c r="W982">
        <v>0.16469239999999999</v>
      </c>
      <c r="X982">
        <v>0.98574850000000003</v>
      </c>
      <c r="Y982">
        <v>0.138598</v>
      </c>
      <c r="Z982">
        <v>3.8580589999999998E-2</v>
      </c>
      <c r="AA982">
        <v>0.98959699999999995</v>
      </c>
      <c r="AB982">
        <v>23</v>
      </c>
      <c r="AC982">
        <v>-0.59759999999999902</v>
      </c>
      <c r="AD982">
        <v>-1.1089488277570001</v>
      </c>
      <c r="AE982">
        <v>-21.467600000000001</v>
      </c>
      <c r="AF982">
        <v>2.9992960356101102</v>
      </c>
      <c r="AG982">
        <v>-1.1089488277570001</v>
      </c>
      <c r="AH982">
        <v>21.207769000463198</v>
      </c>
      <c r="AI982">
        <v>92.963816271506204</v>
      </c>
      <c r="AJ982">
        <v>81.950361971472304</v>
      </c>
      <c r="AK982">
        <v>21.447494263638799</v>
      </c>
      <c r="AL982">
        <v>80.520634080917006</v>
      </c>
      <c r="AM982">
        <v>91.992684309051199</v>
      </c>
      <c r="AN982">
        <v>0.99999999078326796</v>
      </c>
    </row>
    <row r="983" spans="1:40" x14ac:dyDescent="0.25">
      <c r="A983" t="str">
        <f>"20190304155337882"</f>
        <v>20190304155337882</v>
      </c>
      <c r="B983" t="str">
        <f>"1551686017876941"</f>
        <v>1551686017876941</v>
      </c>
      <c r="C983" t="s">
        <v>40</v>
      </c>
      <c r="D983">
        <v>4.5573069999999998</v>
      </c>
      <c r="E983">
        <v>0.56307159999999901</v>
      </c>
      <c r="F983" t="s">
        <v>46</v>
      </c>
      <c r="G983">
        <v>-192.6405</v>
      </c>
      <c r="H983" s="1">
        <v>-2.674472E-6</v>
      </c>
      <c r="I983">
        <v>324.1857</v>
      </c>
      <c r="J983">
        <v>-192.01820000000001</v>
      </c>
      <c r="K983">
        <v>1.1089770000000001</v>
      </c>
      <c r="L983">
        <v>345.79939999999999</v>
      </c>
      <c r="M983">
        <v>0.1102559</v>
      </c>
      <c r="N983">
        <v>-1.1631020000000001E-2</v>
      </c>
      <c r="O983">
        <v>-0.99383529999999998</v>
      </c>
      <c r="P983">
        <v>0.14370559999999999</v>
      </c>
      <c r="Q983">
        <v>0.15309349999999999</v>
      </c>
      <c r="R983">
        <v>-0.9777072</v>
      </c>
      <c r="S983">
        <v>-8.5510249999999996E-2</v>
      </c>
      <c r="T983">
        <v>-0.15783989999999901</v>
      </c>
      <c r="U983">
        <v>-3.1066889999999998</v>
      </c>
      <c r="V983">
        <v>-3.4510560000000003E-2</v>
      </c>
      <c r="W983">
        <v>0.1646783</v>
      </c>
      <c r="X983">
        <v>0.98574340000000005</v>
      </c>
      <c r="Y983">
        <v>0.13749690000000001</v>
      </c>
      <c r="Z983">
        <v>3.8389319999999998E-2</v>
      </c>
      <c r="AA983">
        <v>0.98975800000000003</v>
      </c>
      <c r="AB983">
        <v>23</v>
      </c>
      <c r="AC983">
        <v>-0.62229999999999497</v>
      </c>
      <c r="AD983">
        <v>-1.108979674472</v>
      </c>
      <c r="AE983">
        <v>-21.613699999999898</v>
      </c>
      <c r="AF983">
        <v>2.9938292242225</v>
      </c>
      <c r="AG983">
        <v>-1.108979674472</v>
      </c>
      <c r="AH983">
        <v>21.357112886261099</v>
      </c>
      <c r="AI983">
        <v>92.943714508317001</v>
      </c>
      <c r="AJ983">
        <v>82.020303442840401</v>
      </c>
      <c r="AK983">
        <v>21.594423358328001</v>
      </c>
      <c r="AL983">
        <v>80.5214530883473</v>
      </c>
      <c r="AM983">
        <v>92.005087918654397</v>
      </c>
      <c r="AN983">
        <v>0.99999998594298101</v>
      </c>
    </row>
    <row r="984" spans="1:40" x14ac:dyDescent="0.25">
      <c r="A984" t="str">
        <f>"20190304155337905"</f>
        <v>20190304155337905</v>
      </c>
      <c r="B984" t="str">
        <f>"1551686017897437"</f>
        <v>1551686017897437</v>
      </c>
      <c r="C984" t="s">
        <v>40</v>
      </c>
      <c r="D984">
        <v>4.5154069999999997</v>
      </c>
      <c r="E984">
        <v>0.56307159999999901</v>
      </c>
      <c r="F984" t="s">
        <v>46</v>
      </c>
      <c r="G984">
        <v>-192.64940000000001</v>
      </c>
      <c r="H984" s="1">
        <v>-2.5797099999999999E-6</v>
      </c>
      <c r="I984">
        <v>323.95929999999998</v>
      </c>
      <c r="J984">
        <v>-191.9957</v>
      </c>
      <c r="K984">
        <v>1.1089830000000001</v>
      </c>
      <c r="L984">
        <v>345.57209999999998</v>
      </c>
      <c r="M984">
        <v>0.1079976</v>
      </c>
      <c r="N984">
        <v>-1.153236E-2</v>
      </c>
      <c r="O984">
        <v>-0.99408439999999998</v>
      </c>
      <c r="P984">
        <v>0.14189669999999999</v>
      </c>
      <c r="Q984">
        <v>0.1529742</v>
      </c>
      <c r="R984">
        <v>-0.97799000000000003</v>
      </c>
      <c r="S984">
        <v>-8.9767459999999993E-2</v>
      </c>
      <c r="T984">
        <v>-0.15773010000000001</v>
      </c>
      <c r="U984">
        <v>-3.1063230000000002</v>
      </c>
      <c r="V984">
        <v>-3.4932520000000002E-2</v>
      </c>
      <c r="W984">
        <v>0.16446189999999999</v>
      </c>
      <c r="X984">
        <v>0.98576470000000005</v>
      </c>
      <c r="Y984">
        <v>0.13660559999999999</v>
      </c>
      <c r="Z984">
        <v>3.8479729999999997E-2</v>
      </c>
      <c r="AA984">
        <v>0.98987789999999998</v>
      </c>
      <c r="AB984">
        <v>23</v>
      </c>
      <c r="AC984">
        <v>-0.65370000000001405</v>
      </c>
      <c r="AD984">
        <v>-1.1089855797099999</v>
      </c>
      <c r="AE984">
        <v>-21.6128</v>
      </c>
      <c r="AF984">
        <v>2.9763324034685401</v>
      </c>
      <c r="AG984">
        <v>-1.1089855797099999</v>
      </c>
      <c r="AH984">
        <v>21.359584879412299</v>
      </c>
      <c r="AI984">
        <v>92.943726565360805</v>
      </c>
      <c r="AJ984">
        <v>82.067250091617794</v>
      </c>
      <c r="AK984">
        <v>21.5944499770834</v>
      </c>
      <c r="AL984">
        <v>80.534023616391806</v>
      </c>
      <c r="AM984">
        <v>92.029539895534697</v>
      </c>
      <c r="AN984">
        <v>1.0000000206356201</v>
      </c>
    </row>
    <row r="985" spans="1:40" x14ac:dyDescent="0.25">
      <c r="A985" t="str">
        <f>"20190304155337951"</f>
        <v>20190304155337951</v>
      </c>
      <c r="B985" t="str">
        <f>"1551686017947212"</f>
        <v>1551686017947212</v>
      </c>
      <c r="C985" t="s">
        <v>40</v>
      </c>
      <c r="D985">
        <v>3.3966020000000001</v>
      </c>
      <c r="E985">
        <v>0.66551990000000005</v>
      </c>
      <c r="F985" t="s">
        <v>46</v>
      </c>
      <c r="G985">
        <v>-192.6831</v>
      </c>
      <c r="H985" s="1">
        <v>-2.434312E-6</v>
      </c>
      <c r="I985">
        <v>323.59949999999998</v>
      </c>
      <c r="J985">
        <v>-191.9512</v>
      </c>
      <c r="K985">
        <v>1.1089230000000001</v>
      </c>
      <c r="L985">
        <v>345.10809999999998</v>
      </c>
      <c r="M985">
        <v>0.10343720000000001</v>
      </c>
      <c r="N985">
        <v>-1.1339180000000001E-2</v>
      </c>
      <c r="O985">
        <v>-0.9945716</v>
      </c>
      <c r="P985">
        <v>0.13832549999999999</v>
      </c>
      <c r="Q985">
        <v>0.15390179999999901</v>
      </c>
      <c r="R985">
        <v>-0.97835640000000001</v>
      </c>
      <c r="S985">
        <v>-9.7167970000000006E-2</v>
      </c>
      <c r="T985">
        <v>-0.15676760000000001</v>
      </c>
      <c r="U985">
        <v>-3.1060789999999998</v>
      </c>
      <c r="V985">
        <v>-3.5856810000000003E-2</v>
      </c>
      <c r="W985">
        <v>0.1652026</v>
      </c>
      <c r="X985">
        <v>0.98560760000000003</v>
      </c>
      <c r="Y985">
        <v>0.1344224</v>
      </c>
      <c r="Z985">
        <v>3.8414120000000003E-2</v>
      </c>
      <c r="AA985">
        <v>0.99017920000000004</v>
      </c>
      <c r="AB985">
        <v>23</v>
      </c>
      <c r="AC985">
        <v>-0.731899999999996</v>
      </c>
      <c r="AD985">
        <v>-1.1089254343120001</v>
      </c>
      <c r="AE985">
        <v>-21.508600000000001</v>
      </c>
      <c r="AF985">
        <v>2.9450859787674299</v>
      </c>
      <c r="AG985">
        <v>-1.1089254343120001</v>
      </c>
      <c r="AH985">
        <v>21.261052404196299</v>
      </c>
      <c r="AI985">
        <v>92.957516247182497</v>
      </c>
      <c r="AJ985">
        <v>82.113560899161499</v>
      </c>
      <c r="AK985">
        <v>21.4926870440896</v>
      </c>
      <c r="AL985">
        <v>80.490995652264303</v>
      </c>
      <c r="AM985">
        <v>92.083525150599598</v>
      </c>
      <c r="AN985">
        <v>0.99999997552394704</v>
      </c>
    </row>
    <row r="986" spans="1:40" x14ac:dyDescent="0.25">
      <c r="A986" t="str">
        <f>"20190304155337971"</f>
        <v>20190304155337971</v>
      </c>
      <c r="B986" t="str">
        <f>"1551686017966734"</f>
        <v>1551686017966734</v>
      </c>
      <c r="C986" t="s">
        <v>40</v>
      </c>
      <c r="D986">
        <v>4.0752430000000004</v>
      </c>
      <c r="E986">
        <v>0.64854540000000005</v>
      </c>
      <c r="F986" t="s">
        <v>54</v>
      </c>
      <c r="G986">
        <v>-256.61759999999998</v>
      </c>
      <c r="H986">
        <v>10.86791</v>
      </c>
      <c r="I986">
        <v>119.2859</v>
      </c>
      <c r="J986">
        <v>-191.93170000000001</v>
      </c>
      <c r="K986">
        <v>1.1088849999999999</v>
      </c>
      <c r="L986">
        <v>344.89819999999997</v>
      </c>
      <c r="M986">
        <v>0.1013588</v>
      </c>
      <c r="N986">
        <v>-1.125016E-2</v>
      </c>
      <c r="O986">
        <v>-0.99478639999999996</v>
      </c>
      <c r="P986">
        <v>0.13638529999999999</v>
      </c>
      <c r="Q986">
        <v>0.15453629999999999</v>
      </c>
      <c r="R986">
        <v>-0.97852839999999996</v>
      </c>
      <c r="S986">
        <v>-0.90869140000000004</v>
      </c>
      <c r="T986">
        <v>0.13713339999999999</v>
      </c>
      <c r="U986">
        <v>-3.1732480000000001</v>
      </c>
      <c r="V986">
        <v>-3.5959209999999998E-2</v>
      </c>
      <c r="W986">
        <v>0.16575100000000001</v>
      </c>
      <c r="X986">
        <v>0.98551180000000005</v>
      </c>
      <c r="Y986">
        <v>0.37101210000000001</v>
      </c>
      <c r="Z986">
        <v>-5.1885269999999997E-2</v>
      </c>
      <c r="AA986">
        <v>0.92717740000000004</v>
      </c>
      <c r="AB986">
        <v>23</v>
      </c>
      <c r="AC986">
        <v>-64.685899999999904</v>
      </c>
      <c r="AD986">
        <v>9.7590249999999994</v>
      </c>
      <c r="AE986">
        <v>-225.6123</v>
      </c>
      <c r="AF986">
        <v>87.071418078000306</v>
      </c>
      <c r="AG986">
        <v>9.7590249999999994</v>
      </c>
      <c r="AH986">
        <v>217.517262379464</v>
      </c>
      <c r="AI986">
        <v>87.614876093962806</v>
      </c>
      <c r="AJ986">
        <v>68.183942640210105</v>
      </c>
      <c r="AK986">
        <v>234.50038347116001</v>
      </c>
      <c r="AL986">
        <v>80.459135485635201</v>
      </c>
      <c r="AM986">
        <v>92.089672956147098</v>
      </c>
      <c r="AN986">
        <v>0.999999983362031</v>
      </c>
    </row>
    <row r="987" spans="1:40" x14ac:dyDescent="0.25">
      <c r="A987" t="str">
        <f>"20190304155337994"</f>
        <v>20190304155337994</v>
      </c>
      <c r="B987" t="str">
        <f>"1551686017987230"</f>
        <v>1551686017987230</v>
      </c>
      <c r="C987" t="s">
        <v>40</v>
      </c>
      <c r="D987">
        <v>5.2118320000000002</v>
      </c>
      <c r="E987">
        <v>0.56250109999999998</v>
      </c>
      <c r="F987" t="s">
        <v>46</v>
      </c>
      <c r="G987">
        <v>-193.84450000000001</v>
      </c>
      <c r="H987" s="1">
        <v>-4.1499879999999997E-6</v>
      </c>
      <c r="I987">
        <v>337.17779999999999</v>
      </c>
      <c r="J987">
        <v>-191.91130000000001</v>
      </c>
      <c r="K987">
        <v>1.108833</v>
      </c>
      <c r="L987">
        <v>344.67110000000002</v>
      </c>
      <c r="M987">
        <v>9.9081240000000001E-2</v>
      </c>
      <c r="N987">
        <v>-1.115008E-2</v>
      </c>
      <c r="O987">
        <v>-0.99501709999999999</v>
      </c>
      <c r="P987">
        <v>0.13515769999999999</v>
      </c>
      <c r="Q987">
        <v>0.15331829999999999</v>
      </c>
      <c r="R987">
        <v>-0.9788907</v>
      </c>
      <c r="S987">
        <v>-0.80566409999999999</v>
      </c>
      <c r="T987">
        <v>-0.46706910000000001</v>
      </c>
      <c r="U987">
        <v>-3.251862</v>
      </c>
      <c r="V987">
        <v>-3.6952359999999997E-2</v>
      </c>
      <c r="W987">
        <v>0.16444259999999999</v>
      </c>
      <c r="X987">
        <v>0.98569419999999996</v>
      </c>
      <c r="Y987">
        <v>0.33331539999999998</v>
      </c>
      <c r="Z987">
        <v>0.12386759999999999</v>
      </c>
      <c r="AA987">
        <v>0.934643</v>
      </c>
      <c r="AB987">
        <v>23</v>
      </c>
      <c r="AC987">
        <v>-1.9332</v>
      </c>
      <c r="AD987">
        <v>-1.1088371499880001</v>
      </c>
      <c r="AE987">
        <v>-7.4933000000000298</v>
      </c>
      <c r="AF987">
        <v>2.61254030199028</v>
      </c>
      <c r="AG987">
        <v>-1.1088371499880001</v>
      </c>
      <c r="AH987">
        <v>7.1187153590533496</v>
      </c>
      <c r="AI987">
        <v>98.319242767676499</v>
      </c>
      <c r="AJ987">
        <v>69.847063467174806</v>
      </c>
      <c r="AK987">
        <v>7.6636150097678497</v>
      </c>
      <c r="AL987">
        <v>80.5351440208009</v>
      </c>
      <c r="AM987">
        <v>92.146936912319305</v>
      </c>
      <c r="AN987">
        <v>0.99999995075898296</v>
      </c>
    </row>
    <row r="988" spans="1:40" x14ac:dyDescent="0.25">
      <c r="A988" t="str">
        <f>"20190304155338017"</f>
        <v>20190304155338017</v>
      </c>
      <c r="B988" t="str">
        <f>"1551686018006749"</f>
        <v>1551686018006749</v>
      </c>
      <c r="C988" t="s">
        <v>40</v>
      </c>
      <c r="D988">
        <v>4.186922</v>
      </c>
      <c r="E988">
        <v>0.61844060000000001</v>
      </c>
      <c r="F988" t="s">
        <v>48</v>
      </c>
      <c r="G988">
        <v>-191.94280000000001</v>
      </c>
      <c r="H988">
        <v>1.038041</v>
      </c>
      <c r="I988">
        <v>343.858</v>
      </c>
      <c r="J988">
        <v>-191.89070000000001</v>
      </c>
      <c r="K988">
        <v>1.1087769999999999</v>
      </c>
      <c r="L988">
        <v>344.43729999999999</v>
      </c>
      <c r="M988">
        <v>9.6693399999999999E-2</v>
      </c>
      <c r="N988">
        <v>-1.104452E-2</v>
      </c>
      <c r="O988">
        <v>-0.9952529</v>
      </c>
      <c r="P988">
        <v>0.13418289999999999</v>
      </c>
      <c r="Q988">
        <v>0.15270239999999999</v>
      </c>
      <c r="R988">
        <v>-0.9791204</v>
      </c>
      <c r="S988">
        <v>-0.1204529</v>
      </c>
      <c r="T988">
        <v>-0.27217659999999899</v>
      </c>
      <c r="U988">
        <v>-3.1239620000000001</v>
      </c>
      <c r="V988">
        <v>-3.8318089999999999E-2</v>
      </c>
      <c r="W988">
        <v>0.16373089999999901</v>
      </c>
      <c r="X988">
        <v>0.98576059999999999</v>
      </c>
      <c r="Y988">
        <v>0.134793</v>
      </c>
      <c r="Z988">
        <v>7.4730329999999998E-2</v>
      </c>
      <c r="AA988">
        <v>0.98805169999999998</v>
      </c>
      <c r="AB988">
        <v>23</v>
      </c>
      <c r="AC988">
        <v>-5.2099999999995802E-2</v>
      </c>
      <c r="AD988">
        <v>-7.0736000000000104E-2</v>
      </c>
      <c r="AE988">
        <v>-0.57929999999998905</v>
      </c>
      <c r="AF988">
        <v>0.10630152078659</v>
      </c>
      <c r="AG988">
        <v>-7.0736000000000104E-2</v>
      </c>
      <c r="AH988">
        <v>0.56321704271737905</v>
      </c>
      <c r="AI988">
        <v>97.0355177019553</v>
      </c>
      <c r="AJ988">
        <v>79.311732583650794</v>
      </c>
      <c r="AK988">
        <v>0.57750933518416103</v>
      </c>
      <c r="AL988">
        <v>80.576482403123293</v>
      </c>
      <c r="AM988">
        <v>92.226057781299701</v>
      </c>
      <c r="AN988">
        <v>1.0000000220742</v>
      </c>
    </row>
    <row r="989" spans="1:40" x14ac:dyDescent="0.25">
      <c r="A989" t="str">
        <f>"20190304155338040"</f>
        <v>20190304155338040</v>
      </c>
      <c r="B989" t="str">
        <f>"1551686018037005"</f>
        <v>1551686018037005</v>
      </c>
      <c r="C989" t="s">
        <v>40</v>
      </c>
      <c r="D989">
        <v>4.6636309999999996</v>
      </c>
      <c r="E989">
        <v>0.59016000000000002</v>
      </c>
      <c r="F989" t="s">
        <v>55</v>
      </c>
      <c r="G989">
        <v>-231.50659999999999</v>
      </c>
      <c r="H989">
        <v>9.3742339999999995</v>
      </c>
      <c r="I989">
        <v>119.5971</v>
      </c>
      <c r="J989">
        <v>-191.87010000000001</v>
      </c>
      <c r="K989">
        <v>1.1087149999999999</v>
      </c>
      <c r="L989">
        <v>344.19580000000002</v>
      </c>
      <c r="M989">
        <v>9.4181719999999997E-2</v>
      </c>
      <c r="N989">
        <v>-1.093847E-2</v>
      </c>
      <c r="O989">
        <v>-0.99549509999999997</v>
      </c>
      <c r="P989">
        <v>0.1328664</v>
      </c>
      <c r="Q989">
        <v>0.1509692</v>
      </c>
      <c r="R989">
        <v>-0.97956889999999996</v>
      </c>
      <c r="S989">
        <v>-0.54998780000000003</v>
      </c>
      <c r="T989">
        <v>0.11474959999999999</v>
      </c>
      <c r="U989">
        <v>-3.1214599999999999</v>
      </c>
      <c r="V989">
        <v>-3.9447900000000001E-2</v>
      </c>
      <c r="W989">
        <v>0.16190309999999999</v>
      </c>
      <c r="X989">
        <v>0.9860179</v>
      </c>
      <c r="Y989">
        <v>0.26535619999999999</v>
      </c>
      <c r="Z989">
        <v>-4.6578429999999997E-2</v>
      </c>
      <c r="AA989">
        <v>0.96302469999999996</v>
      </c>
      <c r="AB989">
        <v>23</v>
      </c>
      <c r="AC989">
        <v>-39.636499999999899</v>
      </c>
      <c r="AD989">
        <v>8.2655189999999994</v>
      </c>
      <c r="AE989">
        <v>-224.59870000000001</v>
      </c>
      <c r="AF989">
        <v>60.535140891878498</v>
      </c>
      <c r="AG989">
        <v>8.2655189999999994</v>
      </c>
      <c r="AH989">
        <v>219.578587315308</v>
      </c>
      <c r="AI989">
        <v>87.921713827017697</v>
      </c>
      <c r="AJ989">
        <v>74.5871170763956</v>
      </c>
      <c r="AK989">
        <v>227.92011340495</v>
      </c>
      <c r="AL989">
        <v>80.682623991719296</v>
      </c>
      <c r="AM989">
        <v>92.291026825368206</v>
      </c>
      <c r="AN989">
        <v>1.0000000248622101</v>
      </c>
    </row>
    <row r="990" spans="1:40" x14ac:dyDescent="0.25">
      <c r="A990" t="str">
        <f>"20190304155338064"</f>
        <v>20190304155338064</v>
      </c>
      <c r="B990" t="str">
        <f>"1551686018056525"</f>
        <v>1551686018056525</v>
      </c>
      <c r="C990" t="s">
        <v>40</v>
      </c>
      <c r="D990">
        <v>4.7084669999999997</v>
      </c>
      <c r="E990">
        <v>0.58458829999999995</v>
      </c>
      <c r="F990" t="s">
        <v>56</v>
      </c>
      <c r="G990">
        <v>-216.65710000000001</v>
      </c>
      <c r="H990">
        <v>4.6375149999999996</v>
      </c>
      <c r="I990">
        <v>113.2098</v>
      </c>
      <c r="J990">
        <v>-191.8511</v>
      </c>
      <c r="K990">
        <v>1.108657</v>
      </c>
      <c r="L990">
        <v>343.96559999999999</v>
      </c>
      <c r="M990">
        <v>9.1742229999999994E-2</v>
      </c>
      <c r="N990">
        <v>-1.084153E-2</v>
      </c>
      <c r="O990">
        <v>-0.99572400000000005</v>
      </c>
      <c r="P990">
        <v>0.1315751</v>
      </c>
      <c r="Q990">
        <v>0.14796289999999901</v>
      </c>
      <c r="R990">
        <v>-0.98020169999999995</v>
      </c>
      <c r="S990">
        <v>-0.33270260000000001</v>
      </c>
      <c r="T990">
        <v>4.7365190000000001E-2</v>
      </c>
      <c r="U990">
        <v>-3.100403</v>
      </c>
      <c r="V990">
        <v>-4.0520729999999998E-2</v>
      </c>
      <c r="W990">
        <v>0.1588128</v>
      </c>
      <c r="X990">
        <v>0.98647680000000004</v>
      </c>
      <c r="Y990">
        <v>0.19743949999999999</v>
      </c>
      <c r="Z990">
        <v>-2.587799E-2</v>
      </c>
      <c r="AA990">
        <v>0.97997339999999999</v>
      </c>
      <c r="AB990">
        <v>23</v>
      </c>
      <c r="AC990">
        <v>-24.806000000000001</v>
      </c>
      <c r="AD990">
        <v>3.5288580000000001</v>
      </c>
      <c r="AE990">
        <v>-230.75579999999999</v>
      </c>
      <c r="AF990">
        <v>45.8620637129915</v>
      </c>
      <c r="AG990">
        <v>3.5288580000000001</v>
      </c>
      <c r="AH990">
        <v>227.45406335872099</v>
      </c>
      <c r="AI990">
        <v>89.128683108107495</v>
      </c>
      <c r="AJ990">
        <v>78.600174371585098</v>
      </c>
      <c r="AK990">
        <v>232.05846820401001</v>
      </c>
      <c r="AL990">
        <v>80.862005981159598</v>
      </c>
      <c r="AM990">
        <v>92.352171266429707</v>
      </c>
      <c r="AN990">
        <v>0.99999995597090496</v>
      </c>
    </row>
    <row r="991" spans="1:40" x14ac:dyDescent="0.25">
      <c r="A991" t="str">
        <f>"20190304155338084"</f>
        <v>20190304155338084</v>
      </c>
      <c r="B991" t="str">
        <f>"1551686018077022"</f>
        <v>1551686018077022</v>
      </c>
      <c r="C991" t="s">
        <v>40</v>
      </c>
      <c r="D991">
        <v>4.7195580000000001</v>
      </c>
      <c r="E991">
        <v>0.57943820000000001</v>
      </c>
      <c r="F991" t="s">
        <v>57</v>
      </c>
      <c r="G991">
        <v>-213.69800000000001</v>
      </c>
      <c r="H991">
        <v>2.215627</v>
      </c>
      <c r="I991">
        <v>113.3627</v>
      </c>
      <c r="J991">
        <v>-191.83349999999999</v>
      </c>
      <c r="K991">
        <v>1.108598</v>
      </c>
      <c r="L991">
        <v>343.74579999999997</v>
      </c>
      <c r="M991">
        <v>8.9385010000000001E-2</v>
      </c>
      <c r="N991">
        <v>-1.075401E-2</v>
      </c>
      <c r="O991">
        <v>-0.99593909999999997</v>
      </c>
      <c r="P991">
        <v>0.13014120000000001</v>
      </c>
      <c r="Q991">
        <v>0.14634220000000001</v>
      </c>
      <c r="R991">
        <v>-0.98063610000000001</v>
      </c>
      <c r="S991">
        <v>-0.29347230000000002</v>
      </c>
      <c r="T991">
        <v>1.4870410000000001E-2</v>
      </c>
      <c r="U991">
        <v>-3.0977169999999998</v>
      </c>
      <c r="V991">
        <v>-4.138584E-2</v>
      </c>
      <c r="W991">
        <v>0.15711539999999999</v>
      </c>
      <c r="X991">
        <v>0.9867127</v>
      </c>
      <c r="Y991">
        <v>0.18291279999999999</v>
      </c>
      <c r="Z991">
        <v>-1.5519689999999999E-2</v>
      </c>
      <c r="AA991">
        <v>0.98300670000000001</v>
      </c>
      <c r="AB991">
        <v>23</v>
      </c>
      <c r="AC991">
        <v>-21.8644999999999</v>
      </c>
      <c r="AD991">
        <v>1.107029</v>
      </c>
      <c r="AE991">
        <v>-230.38310000000001</v>
      </c>
      <c r="AF991">
        <v>42.369986303469197</v>
      </c>
      <c r="AG991">
        <v>1.107029</v>
      </c>
      <c r="AH991">
        <v>227.50112624824399</v>
      </c>
      <c r="AI991">
        <v>89.725911661367903</v>
      </c>
      <c r="AJ991">
        <v>79.450058491444807</v>
      </c>
      <c r="AK991">
        <v>231.415651365206</v>
      </c>
      <c r="AL991">
        <v>80.960496767463695</v>
      </c>
      <c r="AM991">
        <v>92.401757792134902</v>
      </c>
      <c r="AN991">
        <v>0.99999999450547705</v>
      </c>
    </row>
    <row r="992" spans="1:40" x14ac:dyDescent="0.25">
      <c r="A992" t="str">
        <f>"20190304155338106"</f>
        <v>20190304155338106</v>
      </c>
      <c r="B992" t="str">
        <f>"1551686018097518"</f>
        <v>1551686018097518</v>
      </c>
      <c r="C992" t="s">
        <v>40</v>
      </c>
      <c r="D992">
        <v>4.7098930000000001</v>
      </c>
      <c r="E992">
        <v>0.57583079999999998</v>
      </c>
      <c r="F992" t="s">
        <v>53</v>
      </c>
      <c r="G992">
        <v>-212.2687</v>
      </c>
      <c r="H992">
        <v>1.2933650000000001</v>
      </c>
      <c r="I992">
        <v>98.375470000000007</v>
      </c>
      <c r="J992">
        <v>-191.81649999999999</v>
      </c>
      <c r="K992">
        <v>1.1085590000000001</v>
      </c>
      <c r="L992">
        <v>343.52640000000002</v>
      </c>
      <c r="M992">
        <v>8.7009899999999904E-2</v>
      </c>
      <c r="N992">
        <v>-1.0673800000000001E-2</v>
      </c>
      <c r="O992">
        <v>-0.99615039999999999</v>
      </c>
      <c r="P992">
        <v>0.12812519999999999</v>
      </c>
      <c r="Q992">
        <v>0.14631920000000001</v>
      </c>
      <c r="R992">
        <v>-0.98090520000000003</v>
      </c>
      <c r="S992">
        <v>-0.25759890000000002</v>
      </c>
      <c r="T992">
        <v>2.3294689999999998E-3</v>
      </c>
      <c r="U992">
        <v>-3.093048</v>
      </c>
      <c r="V992">
        <v>-4.1700319999999999E-2</v>
      </c>
      <c r="W992">
        <v>0.15701689999999999</v>
      </c>
      <c r="X992">
        <v>0.98671509999999996</v>
      </c>
      <c r="Y992">
        <v>0.16938129999999901</v>
      </c>
      <c r="Z992">
        <v>-1.145461E-2</v>
      </c>
      <c r="AA992">
        <v>0.98548409999999997</v>
      </c>
      <c r="AB992">
        <v>23</v>
      </c>
      <c r="AC992">
        <v>-20.452200000000001</v>
      </c>
      <c r="AD992">
        <v>0.184805999999999</v>
      </c>
      <c r="AE992">
        <v>-245.15092999999999</v>
      </c>
      <c r="AF992">
        <v>41.706371775489501</v>
      </c>
      <c r="AG992">
        <v>0.184805999999999</v>
      </c>
      <c r="AH992">
        <v>242.44129436127801</v>
      </c>
      <c r="AI992">
        <v>89.956957330802297</v>
      </c>
      <c r="AJ992">
        <v>80.239133825425895</v>
      </c>
      <c r="AK992">
        <v>246.00251383167799</v>
      </c>
      <c r="AL992">
        <v>80.966210980336996</v>
      </c>
      <c r="AM992">
        <v>92.419980616571493</v>
      </c>
      <c r="AN992">
        <v>0.99999995607086001</v>
      </c>
    </row>
    <row r="993" spans="1:40" x14ac:dyDescent="0.25">
      <c r="A993" t="str">
        <f>"20190304155338129"</f>
        <v>20190304155338129</v>
      </c>
      <c r="B993" t="str">
        <f>"1551686018126797"</f>
        <v>1551686018126797</v>
      </c>
      <c r="C993" t="s">
        <v>40</v>
      </c>
      <c r="D993">
        <v>4.688053</v>
      </c>
      <c r="E993">
        <v>0.57194049999999996</v>
      </c>
      <c r="F993" t="s">
        <v>53</v>
      </c>
      <c r="G993">
        <v>-212.22540000000001</v>
      </c>
      <c r="H993">
        <v>0.67202790000000001</v>
      </c>
      <c r="I993">
        <v>75.202460000000002</v>
      </c>
      <c r="J993">
        <v>-191.79839999999999</v>
      </c>
      <c r="K993">
        <v>1.10853</v>
      </c>
      <c r="L993">
        <v>343.28500000000003</v>
      </c>
      <c r="M993">
        <v>8.4377099999999997E-2</v>
      </c>
      <c r="N993">
        <v>-1.059327E-2</v>
      </c>
      <c r="O993">
        <v>-0.99637759999999997</v>
      </c>
      <c r="P993">
        <v>0.1257971</v>
      </c>
      <c r="Q993">
        <v>0.1480783</v>
      </c>
      <c r="R993">
        <v>-0.98094239999999999</v>
      </c>
      <c r="S993">
        <v>-0.2350159</v>
      </c>
      <c r="T993">
        <v>-5.0265789999999998E-3</v>
      </c>
      <c r="U993">
        <v>-3.0898439999999998</v>
      </c>
      <c r="V993">
        <v>-4.1973080000000003E-2</v>
      </c>
      <c r="W993">
        <v>0.15869739999999999</v>
      </c>
      <c r="X993">
        <v>0.9864347</v>
      </c>
      <c r="Y993">
        <v>0.15969659999999999</v>
      </c>
      <c r="Z993">
        <v>-9.0220709999999996E-3</v>
      </c>
      <c r="AA993">
        <v>0.98712489999999997</v>
      </c>
      <c r="AB993">
        <v>23</v>
      </c>
      <c r="AC993">
        <v>-20.427</v>
      </c>
      <c r="AD993">
        <v>-0.436502099999999</v>
      </c>
      <c r="AE993">
        <v>-268.08253999999999</v>
      </c>
      <c r="AF993">
        <v>42.975329873594497</v>
      </c>
      <c r="AG993">
        <v>-0.436502099999999</v>
      </c>
      <c r="AH993">
        <v>265.40205450871503</v>
      </c>
      <c r="AI993">
        <v>90.093021664528905</v>
      </c>
      <c r="AJ993">
        <v>80.802192674827097</v>
      </c>
      <c r="AK993">
        <v>268.85929414709602</v>
      </c>
      <c r="AL993">
        <v>80.868703348914707</v>
      </c>
      <c r="AM993">
        <v>92.436482156272106</v>
      </c>
      <c r="AN993">
        <v>1.00000001078776</v>
      </c>
    </row>
    <row r="994" spans="1:40" x14ac:dyDescent="0.25">
      <c r="A994" t="str">
        <f>"20190304155338151"</f>
        <v>20190304155338151</v>
      </c>
      <c r="B994" t="str">
        <f>"1551686018147294"</f>
        <v>1551686018147294</v>
      </c>
      <c r="C994" t="s">
        <v>40</v>
      </c>
      <c r="D994">
        <v>4.6368479999999996</v>
      </c>
      <c r="E994">
        <v>0.57013130000000001</v>
      </c>
      <c r="F994" t="s">
        <v>53</v>
      </c>
      <c r="G994">
        <v>-212.22540000000001</v>
      </c>
      <c r="H994">
        <v>0.82576079999999996</v>
      </c>
      <c r="I994">
        <v>44.974730000000001</v>
      </c>
      <c r="J994">
        <v>-191.78270000000001</v>
      </c>
      <c r="K994">
        <v>1.1085119999999999</v>
      </c>
      <c r="L994">
        <v>343.06650000000002</v>
      </c>
      <c r="M994">
        <v>8.1978540000000003E-2</v>
      </c>
      <c r="N994">
        <v>-1.0521030000000001E-2</v>
      </c>
      <c r="O994">
        <v>-0.99657870000000004</v>
      </c>
      <c r="P994">
        <v>0.1237163</v>
      </c>
      <c r="Q994">
        <v>0.14999979999999999</v>
      </c>
      <c r="R994">
        <v>-0.98091530000000005</v>
      </c>
      <c r="S994">
        <v>-0.21130370000000001</v>
      </c>
      <c r="T994">
        <v>-2.9249190000000002E-3</v>
      </c>
      <c r="U994">
        <v>-3.0858150000000002</v>
      </c>
      <c r="V994">
        <v>-4.2266480000000002E-2</v>
      </c>
      <c r="W994">
        <v>0.16054689999999999</v>
      </c>
      <c r="X994">
        <v>0.98612279999999997</v>
      </c>
      <c r="Y994">
        <v>0.1498652</v>
      </c>
      <c r="Z994">
        <v>-9.6140449999999999E-3</v>
      </c>
      <c r="AA994">
        <v>0.98865970000000003</v>
      </c>
      <c r="AB994">
        <v>23</v>
      </c>
      <c r="AC994">
        <v>-20.442699999999999</v>
      </c>
      <c r="AD994">
        <v>-0.28275119999999998</v>
      </c>
      <c r="AE994">
        <v>-298.09177</v>
      </c>
      <c r="AF994">
        <v>44.812321368444302</v>
      </c>
      <c r="AG994">
        <v>-0.28275119999999998</v>
      </c>
      <c r="AH994">
        <v>295.41209061635698</v>
      </c>
      <c r="AI994">
        <v>90.054219874683895</v>
      </c>
      <c r="AJ994">
        <v>81.374319674222704</v>
      </c>
      <c r="AK994">
        <v>298.79177929955898</v>
      </c>
      <c r="AL994">
        <v>80.761358048254905</v>
      </c>
      <c r="AM994">
        <v>92.454267964930906</v>
      </c>
      <c r="AN994">
        <v>0.99999996955551895</v>
      </c>
    </row>
    <row r="995" spans="1:40" x14ac:dyDescent="0.25">
      <c r="A995" t="str">
        <f>"20190304155338172"</f>
        <v>20190304155338172</v>
      </c>
      <c r="B995" t="str">
        <f>"1551686018166814"</f>
        <v>1551686018166814</v>
      </c>
      <c r="C995" t="s">
        <v>40</v>
      </c>
      <c r="D995">
        <v>4.6181340000000004</v>
      </c>
      <c r="E995">
        <v>0.56865880000000002</v>
      </c>
      <c r="F995" t="s">
        <v>53</v>
      </c>
      <c r="G995">
        <v>-211.65369999999999</v>
      </c>
      <c r="H995">
        <v>1.2300930000000001</v>
      </c>
      <c r="I995">
        <v>41.546010000000003</v>
      </c>
      <c r="J995">
        <v>-191.76679999999999</v>
      </c>
      <c r="K995">
        <v>1.1084849999999999</v>
      </c>
      <c r="L995">
        <v>342.83920000000001</v>
      </c>
      <c r="M995">
        <v>7.9475859999999995E-2</v>
      </c>
      <c r="N995">
        <v>-1.044235E-2</v>
      </c>
      <c r="O995">
        <v>-0.99678230000000001</v>
      </c>
      <c r="P995">
        <v>0.1216097</v>
      </c>
      <c r="Q995">
        <v>0.15105589999999999</v>
      </c>
      <c r="R995">
        <v>-0.98101660000000002</v>
      </c>
      <c r="S995">
        <v>-0.20323179999999999</v>
      </c>
      <c r="T995">
        <v>1.2435910000000001E-3</v>
      </c>
      <c r="U995">
        <v>-3.0838009999999998</v>
      </c>
      <c r="V995">
        <v>-4.2629640000000003E-2</v>
      </c>
      <c r="W995">
        <v>0.16152620000000001</v>
      </c>
      <c r="X995">
        <v>0.98594729999999997</v>
      </c>
      <c r="Y995">
        <v>0.14484900000000001</v>
      </c>
      <c r="Z995">
        <v>-1.086852E-2</v>
      </c>
      <c r="AA995">
        <v>0.98939410000000005</v>
      </c>
      <c r="AB995">
        <v>23</v>
      </c>
      <c r="AC995">
        <v>-19.886900000000001</v>
      </c>
      <c r="AD995">
        <v>0.12160799999999999</v>
      </c>
      <c r="AE995">
        <v>-301.29318999999998</v>
      </c>
      <c r="AF995">
        <v>43.770815775721999</v>
      </c>
      <c r="AG995">
        <v>0.12160799999999999</v>
      </c>
      <c r="AH995">
        <v>298.75937013139799</v>
      </c>
      <c r="AI995">
        <v>89.976924478549805</v>
      </c>
      <c r="AJ995">
        <v>81.664974696099307</v>
      </c>
      <c r="AK995">
        <v>301.94877105808399</v>
      </c>
      <c r="AL995">
        <v>80.7045069337332</v>
      </c>
      <c r="AM995">
        <v>92.475769352944198</v>
      </c>
      <c r="AN995">
        <v>1.00000003893512</v>
      </c>
    </row>
    <row r="996" spans="1:40" x14ac:dyDescent="0.25">
      <c r="A996" t="str">
        <f>"20190304155338195"</f>
        <v>20190304155338195</v>
      </c>
      <c r="B996" t="str">
        <f>"1551686018187310"</f>
        <v>1551686018187310</v>
      </c>
      <c r="C996" t="s">
        <v>40</v>
      </c>
      <c r="D996">
        <v>4.6451099999999999</v>
      </c>
      <c r="E996">
        <v>0.56738520000000003</v>
      </c>
      <c r="F996" t="s">
        <v>44</v>
      </c>
      <c r="G996">
        <v>-203.30529999999999</v>
      </c>
      <c r="H996">
        <v>1.2868230000000001</v>
      </c>
      <c r="I996">
        <v>163.31049999999999</v>
      </c>
      <c r="J996">
        <v>-191.75139999999999</v>
      </c>
      <c r="K996">
        <v>1.1084670000000001</v>
      </c>
      <c r="L996">
        <v>342.61090000000002</v>
      </c>
      <c r="M996">
        <v>7.6957499999999998E-2</v>
      </c>
      <c r="N996">
        <v>-1.035959E-2</v>
      </c>
      <c r="O996">
        <v>-0.99698050000000005</v>
      </c>
      <c r="P996">
        <v>0.1196253</v>
      </c>
      <c r="Q996">
        <v>0.15225129999999901</v>
      </c>
      <c r="R996">
        <v>-0.98107560000000005</v>
      </c>
      <c r="S996">
        <v>-0.1980896</v>
      </c>
      <c r="T996">
        <v>3.0616520000000002E-3</v>
      </c>
      <c r="U996">
        <v>-3.0820919999999998</v>
      </c>
      <c r="V996">
        <v>-4.313314E-2</v>
      </c>
      <c r="W996">
        <v>0.16264139999999999</v>
      </c>
      <c r="X996">
        <v>0.98574200000000001</v>
      </c>
      <c r="Y996">
        <v>0.1407408</v>
      </c>
      <c r="Z996">
        <v>-1.136818E-2</v>
      </c>
      <c r="AA996">
        <v>0.98998120000000001</v>
      </c>
      <c r="AB996">
        <v>23</v>
      </c>
      <c r="AC996">
        <v>-11.553900000000001</v>
      </c>
      <c r="AD996">
        <v>0.17835599999999899</v>
      </c>
      <c r="AE996">
        <v>-179.3004</v>
      </c>
      <c r="AF996">
        <v>25.318858570057898</v>
      </c>
      <c r="AG996">
        <v>0.17835599999999899</v>
      </c>
      <c r="AH996">
        <v>177.879222576578</v>
      </c>
      <c r="AI996">
        <v>89.943123930384999</v>
      </c>
      <c r="AJ996">
        <v>81.899085620927096</v>
      </c>
      <c r="AK996">
        <v>179.67218547844601</v>
      </c>
      <c r="AL996">
        <v>80.639754010639805</v>
      </c>
      <c r="AM996">
        <v>92.505494755483298</v>
      </c>
      <c r="AN996">
        <v>0.99999999166210896</v>
      </c>
    </row>
    <row r="997" spans="1:40" x14ac:dyDescent="0.25">
      <c r="A997" t="str">
        <f>"20190304155338216"</f>
        <v>20190304155338216</v>
      </c>
      <c r="B997" t="str">
        <f>"1551686018206829"</f>
        <v>1551686018206829</v>
      </c>
      <c r="C997" t="s">
        <v>40</v>
      </c>
      <c r="D997">
        <v>4.6252319999999996</v>
      </c>
      <c r="E997">
        <v>0.56622669999999997</v>
      </c>
      <c r="F997" t="s">
        <v>58</v>
      </c>
      <c r="G997">
        <v>-211.57660000000001</v>
      </c>
      <c r="H997">
        <v>1.644881</v>
      </c>
      <c r="I997">
        <v>28.793530000000001</v>
      </c>
      <c r="J997">
        <v>-191.73689999999999</v>
      </c>
      <c r="K997">
        <v>1.1084510000000001</v>
      </c>
      <c r="L997">
        <v>342.38619999999997</v>
      </c>
      <c r="M997">
        <v>7.4479790000000004E-2</v>
      </c>
      <c r="N997">
        <v>-1.0275370000000001E-2</v>
      </c>
      <c r="O997">
        <v>-0.99716959999999999</v>
      </c>
      <c r="P997">
        <v>0.1174452</v>
      </c>
      <c r="Q997">
        <v>0.15306020000000001</v>
      </c>
      <c r="R997">
        <v>-0.98121309999999995</v>
      </c>
      <c r="S997">
        <v>-0.19462589999999999</v>
      </c>
      <c r="T997">
        <v>5.2658319999999998E-3</v>
      </c>
      <c r="U997">
        <v>-3.0807799999999999</v>
      </c>
      <c r="V997">
        <v>-4.3397199999999997E-2</v>
      </c>
      <c r="W997">
        <v>0.16336679999999901</v>
      </c>
      <c r="X997">
        <v>0.9856104</v>
      </c>
      <c r="Y997">
        <v>0.1371984</v>
      </c>
      <c r="Z997">
        <v>-1.199183E-2</v>
      </c>
      <c r="AA997">
        <v>0.99047099999999999</v>
      </c>
      <c r="AB997">
        <v>23</v>
      </c>
      <c r="AC997">
        <v>-19.839700000000001</v>
      </c>
      <c r="AD997">
        <v>0.53642999999999996</v>
      </c>
      <c r="AE997">
        <v>-313.59267</v>
      </c>
      <c r="AF997">
        <v>43.142013064547598</v>
      </c>
      <c r="AG997">
        <v>0.53642999999999996</v>
      </c>
      <c r="AH997">
        <v>311.24293979266901</v>
      </c>
      <c r="AI997">
        <v>89.902185504309401</v>
      </c>
      <c r="AJ997">
        <v>82.108401001796693</v>
      </c>
      <c r="AK997">
        <v>314.21917290195699</v>
      </c>
      <c r="AL997">
        <v>80.597627787118697</v>
      </c>
      <c r="AM997">
        <v>92.521149753451695</v>
      </c>
      <c r="AN997">
        <v>0.99999994444911799</v>
      </c>
    </row>
    <row r="998" spans="1:40" x14ac:dyDescent="0.25">
      <c r="A998" t="str">
        <f>"20190304155338243"</f>
        <v>20190304155338243</v>
      </c>
      <c r="B998" t="str">
        <f>"1551686018237086"</f>
        <v>1551686018237086</v>
      </c>
      <c r="C998" t="s">
        <v>40</v>
      </c>
      <c r="D998">
        <v>4.6459219999999997</v>
      </c>
      <c r="E998">
        <v>0.56460819999999901</v>
      </c>
      <c r="F998" t="s">
        <v>58</v>
      </c>
      <c r="G998">
        <v>-211.2877</v>
      </c>
      <c r="H998">
        <v>1.7268650000000001</v>
      </c>
      <c r="I998">
        <v>28.793530000000001</v>
      </c>
      <c r="J998">
        <v>-191.72</v>
      </c>
      <c r="K998">
        <v>1.108433</v>
      </c>
      <c r="L998">
        <v>342.11349999999999</v>
      </c>
      <c r="M998">
        <v>7.1476269999999995E-2</v>
      </c>
      <c r="N998">
        <v>-1.017496E-2</v>
      </c>
      <c r="O998">
        <v>-0.99739040000000001</v>
      </c>
      <c r="P998">
        <v>0.1145521</v>
      </c>
      <c r="Q998">
        <v>0.15242729999999999</v>
      </c>
      <c r="R998">
        <v>-0.98165360000000002</v>
      </c>
      <c r="S998">
        <v>-0.19198609999999999</v>
      </c>
      <c r="T998">
        <v>6.07276E-3</v>
      </c>
      <c r="U998">
        <v>-3.079437</v>
      </c>
      <c r="V998">
        <v>-4.3454199999999998E-2</v>
      </c>
      <c r="W998">
        <v>0.16263710000000001</v>
      </c>
      <c r="X998">
        <v>0.98572859999999995</v>
      </c>
      <c r="Y998">
        <v>0.13339589999999901</v>
      </c>
      <c r="Z998">
        <v>-1.215129E-2</v>
      </c>
      <c r="AA998">
        <v>0.99098830000000004</v>
      </c>
      <c r="AB998">
        <v>23</v>
      </c>
      <c r="AC998">
        <v>-19.567699999999999</v>
      </c>
      <c r="AD998">
        <v>0.61843199999999998</v>
      </c>
      <c r="AE998">
        <v>-313.31997000000001</v>
      </c>
      <c r="AF998">
        <v>41.9135860258381</v>
      </c>
      <c r="AG998">
        <v>0.61843199999999998</v>
      </c>
      <c r="AH998">
        <v>311.11860259187398</v>
      </c>
      <c r="AI998">
        <v>89.887129010922195</v>
      </c>
      <c r="AJ998">
        <v>82.327364940505902</v>
      </c>
      <c r="AK998">
        <v>313.92979474781401</v>
      </c>
      <c r="AL998">
        <v>80.640003628323996</v>
      </c>
      <c r="AM998">
        <v>92.524154554060004</v>
      </c>
      <c r="AN998">
        <v>0.99999998332600404</v>
      </c>
    </row>
    <row r="999" spans="1:40" x14ac:dyDescent="0.25">
      <c r="A999" t="str">
        <f>"20190304155338264"</f>
        <v>20190304155338264</v>
      </c>
      <c r="B999" t="str">
        <f>"1551686018256605"</f>
        <v>1551686018256605</v>
      </c>
      <c r="C999" t="s">
        <v>40</v>
      </c>
      <c r="D999">
        <v>4.688072</v>
      </c>
      <c r="E999">
        <v>0.56367749999999905</v>
      </c>
      <c r="F999" t="s">
        <v>58</v>
      </c>
      <c r="G999">
        <v>-210.90889999999999</v>
      </c>
      <c r="H999">
        <v>1.1511150000000001</v>
      </c>
      <c r="I999">
        <v>28.793530000000001</v>
      </c>
      <c r="J999">
        <v>-191.70689999999999</v>
      </c>
      <c r="K999">
        <v>1.1084149999999999</v>
      </c>
      <c r="L999">
        <v>341.8929</v>
      </c>
      <c r="M999">
        <v>6.9050089999999995E-2</v>
      </c>
      <c r="N999">
        <v>-1.009584E-2</v>
      </c>
      <c r="O999">
        <v>-0.99756199999999995</v>
      </c>
      <c r="P999">
        <v>0.1125776</v>
      </c>
      <c r="Q999">
        <v>0.151411299999999</v>
      </c>
      <c r="R999">
        <v>-0.982039</v>
      </c>
      <c r="S999">
        <v>-0.18850710000000001</v>
      </c>
      <c r="T999">
        <v>4.1890139999999998E-4</v>
      </c>
      <c r="U999">
        <v>-3.0779719999999999</v>
      </c>
      <c r="V999">
        <v>-4.3862150000000003E-2</v>
      </c>
      <c r="W999">
        <v>0.16154640000000001</v>
      </c>
      <c r="X999">
        <v>0.98588989999999999</v>
      </c>
      <c r="Y999">
        <v>0.12989819999999999</v>
      </c>
      <c r="Z999">
        <v>-1.025211E-2</v>
      </c>
      <c r="AA999">
        <v>0.99147430000000003</v>
      </c>
      <c r="AB999">
        <v>23</v>
      </c>
      <c r="AC999">
        <v>-19.202000000000002</v>
      </c>
      <c r="AD999">
        <v>4.2699999999999898E-2</v>
      </c>
      <c r="AE999">
        <v>-313.09937000000002</v>
      </c>
      <c r="AF999">
        <v>40.776806995642403</v>
      </c>
      <c r="AG999">
        <v>4.2699999999999898E-2</v>
      </c>
      <c r="AH999">
        <v>311.02601283985399</v>
      </c>
      <c r="AI999">
        <v>89.992200745126297</v>
      </c>
      <c r="AJ999">
        <v>82.5308838415189</v>
      </c>
      <c r="AK999">
        <v>313.687632008511</v>
      </c>
      <c r="AL999">
        <v>80.703333896916604</v>
      </c>
      <c r="AM999">
        <v>92.547404054094997</v>
      </c>
      <c r="AN999">
        <v>1.0000000112387899</v>
      </c>
    </row>
    <row r="1000" spans="1:40" x14ac:dyDescent="0.25">
      <c r="A1000" t="str">
        <f>"20190304155338306"</f>
        <v>20190304155338306</v>
      </c>
      <c r="B1000" t="str">
        <f>"1551686018296622"</f>
        <v>1551686018296622</v>
      </c>
      <c r="C1000" t="s">
        <v>40</v>
      </c>
      <c r="D1000">
        <v>4.6741109999999999</v>
      </c>
      <c r="E1000">
        <v>0.54988590000000004</v>
      </c>
      <c r="F1000" t="s">
        <v>58</v>
      </c>
      <c r="G1000">
        <v>-210.7978</v>
      </c>
      <c r="H1000">
        <v>0.6596959</v>
      </c>
      <c r="I1000">
        <v>28.79354</v>
      </c>
      <c r="J1000">
        <v>-191.6824</v>
      </c>
      <c r="K1000">
        <v>1.10839</v>
      </c>
      <c r="L1000">
        <v>341.4511</v>
      </c>
      <c r="M1000">
        <v>6.4203010000000005E-2</v>
      </c>
      <c r="N1000">
        <v>-9.9496930000000008E-3</v>
      </c>
      <c r="O1000">
        <v>-0.99788730000000003</v>
      </c>
      <c r="P1000">
        <v>0.10842930000000001</v>
      </c>
      <c r="Q1000">
        <v>0.1514499</v>
      </c>
      <c r="R1000">
        <v>-0.98249980000000003</v>
      </c>
      <c r="S1000">
        <v>-0.18762210000000001</v>
      </c>
      <c r="T1000">
        <v>-4.4102669999999998E-3</v>
      </c>
      <c r="U1000">
        <v>-3.0770870000000001</v>
      </c>
      <c r="V1000">
        <v>-4.4487209999999999E-2</v>
      </c>
      <c r="W1000">
        <v>0.161443899999999</v>
      </c>
      <c r="X1000">
        <v>0.98587860000000005</v>
      </c>
      <c r="Y1000">
        <v>0.1248132</v>
      </c>
      <c r="Z1000">
        <v>-8.5473540000000001E-3</v>
      </c>
      <c r="AA1000">
        <v>0.99214349999999996</v>
      </c>
      <c r="AB1000">
        <v>23</v>
      </c>
      <c r="AC1000">
        <v>-19.115399999999902</v>
      </c>
      <c r="AD1000">
        <v>-0.44869409999999998</v>
      </c>
      <c r="AE1000">
        <v>-312.65755999999999</v>
      </c>
      <c r="AF1000">
        <v>39.150427251784897</v>
      </c>
      <c r="AG1000">
        <v>-0.44869409999999998</v>
      </c>
      <c r="AH1000">
        <v>310.78447473573101</v>
      </c>
      <c r="AI1000">
        <v>90.082071899940402</v>
      </c>
      <c r="AJ1000">
        <v>82.8201037274725</v>
      </c>
      <c r="AK1000">
        <v>313.24103661103698</v>
      </c>
      <c r="AL1000">
        <v>80.709284061296998</v>
      </c>
      <c r="AM1000">
        <v>92.583686703930297</v>
      </c>
      <c r="AN1000">
        <v>0.99999992931937398</v>
      </c>
    </row>
    <row r="1001" spans="1:40" x14ac:dyDescent="0.25">
      <c r="A1001" t="str">
        <f>"20190304155338329"</f>
        <v>20190304155338329</v>
      </c>
      <c r="B1001" t="str">
        <f>"1551686018317121"</f>
        <v>1551686018317121</v>
      </c>
      <c r="C1001" t="s">
        <v>40</v>
      </c>
      <c r="D1001">
        <v>4.676266</v>
      </c>
      <c r="E1001">
        <v>0.55114569999999996</v>
      </c>
      <c r="F1001" t="s">
        <v>46</v>
      </c>
      <c r="G1001">
        <v>-194.0771</v>
      </c>
      <c r="H1001" s="1">
        <v>-1.9242449999999999E-6</v>
      </c>
      <c r="I1001">
        <v>261.54590000000002</v>
      </c>
      <c r="J1001">
        <v>-191.67009999999999</v>
      </c>
      <c r="K1001">
        <v>1.1083769999999999</v>
      </c>
      <c r="L1001">
        <v>341.21469999999999</v>
      </c>
      <c r="M1001">
        <v>6.1612319999999998E-2</v>
      </c>
      <c r="N1001">
        <v>-9.8765769999999992E-3</v>
      </c>
      <c r="O1001">
        <v>-0.99805140000000003</v>
      </c>
      <c r="P1001">
        <v>0.1064349</v>
      </c>
      <c r="Q1001">
        <v>0.15148729999999999</v>
      </c>
      <c r="R1001">
        <v>-0.98271240000000004</v>
      </c>
      <c r="S1001">
        <v>-9.2010499999999995E-2</v>
      </c>
      <c r="T1001">
        <v>-4.2587159999999999E-2</v>
      </c>
      <c r="U1001">
        <v>-3.07016</v>
      </c>
      <c r="V1001">
        <v>-4.5045000000000002E-2</v>
      </c>
      <c r="W1001">
        <v>0.16141140000000001</v>
      </c>
      <c r="X1001">
        <v>0.98585869999999998</v>
      </c>
      <c r="Y1001">
        <v>9.1475609999999999E-2</v>
      </c>
      <c r="Z1001">
        <v>3.9128390000000004E-3</v>
      </c>
      <c r="AA1001">
        <v>0.99579960000000001</v>
      </c>
      <c r="AB1001">
        <v>23</v>
      </c>
      <c r="AC1001">
        <v>-2.4070000000000098</v>
      </c>
      <c r="AD1001">
        <v>-1.108378924245</v>
      </c>
      <c r="AE1001">
        <v>-79.668799999999905</v>
      </c>
      <c r="AF1001">
        <v>7.3098315617389797</v>
      </c>
      <c r="AG1001">
        <v>-1.108378924245</v>
      </c>
      <c r="AH1001">
        <v>79.3537737590798</v>
      </c>
      <c r="AI1001">
        <v>90.796857135385693</v>
      </c>
      <c r="AJ1001">
        <v>84.736937797631796</v>
      </c>
      <c r="AK1001">
        <v>79.6974500916305</v>
      </c>
      <c r="AL1001">
        <v>80.711171904319897</v>
      </c>
      <c r="AM1001">
        <v>92.616089518607694</v>
      </c>
      <c r="AN1001">
        <v>1.0000000342203199</v>
      </c>
    </row>
    <row r="1002" spans="1:40" x14ac:dyDescent="0.25">
      <c r="A1002" t="str">
        <f>"20190304155338350"</f>
        <v>20190304155338350</v>
      </c>
      <c r="B1002" t="str">
        <f>"1551686018347374"</f>
        <v>1551686018347374</v>
      </c>
      <c r="C1002" t="s">
        <v>40</v>
      </c>
      <c r="D1002">
        <v>4.5872830000000002</v>
      </c>
      <c r="E1002">
        <v>0.57230809999999999</v>
      </c>
      <c r="F1002" t="s">
        <v>46</v>
      </c>
      <c r="G1002">
        <v>-194.6344</v>
      </c>
      <c r="H1002" s="1">
        <v>-4.1024319999999999E-6</v>
      </c>
      <c r="I1002">
        <v>256.62630000000001</v>
      </c>
      <c r="J1002">
        <v>-191.65899999999999</v>
      </c>
      <c r="K1002">
        <v>1.1083590000000001</v>
      </c>
      <c r="L1002">
        <v>340.98899999999998</v>
      </c>
      <c r="M1002">
        <v>5.9140129999999999E-2</v>
      </c>
      <c r="N1002">
        <v>-9.8102180000000008E-3</v>
      </c>
      <c r="O1002">
        <v>-0.99820149999999996</v>
      </c>
      <c r="P1002">
        <v>0.10437589999999999</v>
      </c>
      <c r="Q1002">
        <v>0.15098979999999901</v>
      </c>
      <c r="R1002">
        <v>-0.98300969999999999</v>
      </c>
      <c r="S1002">
        <v>-0.10760500000000001</v>
      </c>
      <c r="T1002">
        <v>-4.0235399999999998E-2</v>
      </c>
      <c r="U1002">
        <v>-3.0706479999999998</v>
      </c>
      <c r="V1002">
        <v>-4.5417279999999997E-2</v>
      </c>
      <c r="W1002">
        <v>0.16085139999999901</v>
      </c>
      <c r="X1002">
        <v>0.98593310000000001</v>
      </c>
      <c r="Y1002">
        <v>9.4056230000000005E-2</v>
      </c>
      <c r="Z1002">
        <v>3.2144679999999998E-3</v>
      </c>
      <c r="AA1002">
        <v>0.99556169999999999</v>
      </c>
      <c r="AB1002">
        <v>23</v>
      </c>
      <c r="AC1002">
        <v>-2.9753999999999698</v>
      </c>
      <c r="AD1002">
        <v>-1.108363102432</v>
      </c>
      <c r="AE1002">
        <v>-84.362700000000004</v>
      </c>
      <c r="AF1002">
        <v>7.9582807347723596</v>
      </c>
      <c r="AG1002">
        <v>-1.108363102432</v>
      </c>
      <c r="AH1002">
        <v>84.024565585669507</v>
      </c>
      <c r="AI1002">
        <v>90.752374689555197</v>
      </c>
      <c r="AJ1002">
        <v>84.589442813068501</v>
      </c>
      <c r="AK1002">
        <v>84.4078806917978</v>
      </c>
      <c r="AL1002">
        <v>80.743681942002695</v>
      </c>
      <c r="AM1002">
        <v>92.637481343039696</v>
      </c>
      <c r="AN1002">
        <v>0.99999998994008399</v>
      </c>
    </row>
    <row r="1003" spans="1:40" x14ac:dyDescent="0.25">
      <c r="A1003" t="str">
        <f>"20190304155338373"</f>
        <v>20190304155338373</v>
      </c>
      <c r="B1003" t="str">
        <f>"1551686018366894"</f>
        <v>1551686018366894</v>
      </c>
      <c r="C1003" t="s">
        <v>40</v>
      </c>
      <c r="D1003">
        <v>4.5781280000000004</v>
      </c>
      <c r="E1003">
        <v>0.57274950000000002</v>
      </c>
      <c r="F1003" t="s">
        <v>57</v>
      </c>
      <c r="G1003">
        <v>-212.17689999999999</v>
      </c>
      <c r="H1003">
        <v>3.4330419999999999</v>
      </c>
      <c r="I1003">
        <v>114.6221</v>
      </c>
      <c r="J1003">
        <v>-191.64769999999999</v>
      </c>
      <c r="K1003">
        <v>1.1083449999999999</v>
      </c>
      <c r="L1003">
        <v>340.74810000000002</v>
      </c>
      <c r="M1003">
        <v>5.6502869999999997E-2</v>
      </c>
      <c r="N1003">
        <v>-9.7438790000000004E-3</v>
      </c>
      <c r="O1003">
        <v>-0.99835499999999999</v>
      </c>
      <c r="P1003">
        <v>0.10261149999999999</v>
      </c>
      <c r="Q1003">
        <v>0.1507105</v>
      </c>
      <c r="R1003">
        <v>-0.98323850000000002</v>
      </c>
      <c r="S1003">
        <v>-0.2788696</v>
      </c>
      <c r="T1003">
        <v>3.1596180000000001E-2</v>
      </c>
      <c r="U1003">
        <v>-3.07666</v>
      </c>
      <c r="V1003">
        <v>-4.6250590000000001E-2</v>
      </c>
      <c r="W1003">
        <v>0.16051019999999999</v>
      </c>
      <c r="X1003">
        <v>0.98594999999999999</v>
      </c>
      <c r="Y1003">
        <v>0.14638329999999999</v>
      </c>
      <c r="Z1003">
        <v>-1.9936140000000001E-2</v>
      </c>
      <c r="AA1003">
        <v>0.98902699999999999</v>
      </c>
      <c r="AB1003">
        <v>23</v>
      </c>
      <c r="AC1003">
        <v>-20.529199999999999</v>
      </c>
      <c r="AD1003">
        <v>2.324697</v>
      </c>
      <c r="AE1003">
        <v>-226.126</v>
      </c>
      <c r="AF1003">
        <v>33.270285751622097</v>
      </c>
      <c r="AG1003">
        <v>2.324697</v>
      </c>
      <c r="AH1003">
        <v>224.58115967645799</v>
      </c>
      <c r="AI1003">
        <v>89.413340108915705</v>
      </c>
      <c r="AJ1003">
        <v>81.573279914217906</v>
      </c>
      <c r="AK1003">
        <v>227.044078125282</v>
      </c>
      <c r="AL1003">
        <v>80.763488920036906</v>
      </c>
      <c r="AM1003">
        <v>92.685757295822398</v>
      </c>
      <c r="AN1003">
        <v>1.0000000219396901</v>
      </c>
    </row>
    <row r="1004" spans="1:40" x14ac:dyDescent="0.25">
      <c r="A1004" t="str">
        <f>"20190304155338396"</f>
        <v>20190304155338396</v>
      </c>
      <c r="B1004" t="str">
        <f>"1551686018387390"</f>
        <v>1551686018387390</v>
      </c>
      <c r="C1004" t="s">
        <v>40</v>
      </c>
      <c r="D1004">
        <v>4.5534949999999998</v>
      </c>
      <c r="E1004">
        <v>0.57347009999999998</v>
      </c>
      <c r="F1004" t="s">
        <v>57</v>
      </c>
      <c r="G1004">
        <v>-212.8954</v>
      </c>
      <c r="H1004">
        <v>3.6414049999999998</v>
      </c>
      <c r="I1004">
        <v>113.73699999999999</v>
      </c>
      <c r="J1004">
        <v>-191.63730000000001</v>
      </c>
      <c r="K1004">
        <v>1.1083320000000001</v>
      </c>
      <c r="L1004">
        <v>340.5129</v>
      </c>
      <c r="M1004">
        <v>5.3928520000000001E-2</v>
      </c>
      <c r="N1004">
        <v>-9.6815210000000002E-3</v>
      </c>
      <c r="O1004">
        <v>-0.998498</v>
      </c>
      <c r="P1004">
        <v>0.10068050000000001</v>
      </c>
      <c r="Q1004">
        <v>0.14972969999999999</v>
      </c>
      <c r="R1004">
        <v>-0.98358789999999996</v>
      </c>
      <c r="S1004">
        <v>-0.28790280000000001</v>
      </c>
      <c r="T1004">
        <v>3.4322859999999997E-2</v>
      </c>
      <c r="U1004">
        <v>-3.075958</v>
      </c>
      <c r="V1004">
        <v>-4.6851410000000003E-2</v>
      </c>
      <c r="W1004">
        <v>0.15947229999999901</v>
      </c>
      <c r="X1004">
        <v>0.98609000000000002</v>
      </c>
      <c r="Y1004">
        <v>0.1467321</v>
      </c>
      <c r="Z1004">
        <v>-2.0753649999999998E-2</v>
      </c>
      <c r="AA1004">
        <v>0.98895849999999996</v>
      </c>
      <c r="AB1004">
        <v>23</v>
      </c>
      <c r="AC1004">
        <v>-21.258099999999899</v>
      </c>
      <c r="AD1004">
        <v>2.5330729999999999</v>
      </c>
      <c r="AE1004">
        <v>-226.77590000000001</v>
      </c>
      <c r="AF1004">
        <v>33.4532849466286</v>
      </c>
      <c r="AG1004">
        <v>2.5330729999999999</v>
      </c>
      <c r="AH1004">
        <v>225.27153132483701</v>
      </c>
      <c r="AI1004">
        <v>89.362750593040303</v>
      </c>
      <c r="AJ1004">
        <v>81.553190211988394</v>
      </c>
      <c r="AK1004">
        <v>227.75601322024599</v>
      </c>
      <c r="AL1004">
        <v>80.823731838396995</v>
      </c>
      <c r="AM1004">
        <v>92.720208965695093</v>
      </c>
      <c r="AN1004">
        <v>0.99999997859313805</v>
      </c>
    </row>
    <row r="1005" spans="1:40" x14ac:dyDescent="0.25">
      <c r="A1005" t="str">
        <f>"20190304155338417"</f>
        <v>20190304155338417</v>
      </c>
      <c r="B1005" t="str">
        <f>"1551686018406913"</f>
        <v>1551686018406913</v>
      </c>
      <c r="C1005" t="s">
        <v>40</v>
      </c>
      <c r="D1005">
        <v>4.5726230000000001</v>
      </c>
      <c r="E1005">
        <v>0.57357130000000001</v>
      </c>
      <c r="F1005" t="s">
        <v>57</v>
      </c>
      <c r="G1005">
        <v>-213.90629999999999</v>
      </c>
      <c r="H1005">
        <v>3.6810749999999999</v>
      </c>
      <c r="I1005">
        <v>111.8948</v>
      </c>
      <c r="J1005">
        <v>-191.6275</v>
      </c>
      <c r="K1005">
        <v>1.1083179999999999</v>
      </c>
      <c r="L1005">
        <v>340.2774</v>
      </c>
      <c r="M1005">
        <v>5.1349680000000002E-2</v>
      </c>
      <c r="N1005">
        <v>-9.6235850000000005E-3</v>
      </c>
      <c r="O1005">
        <v>-0.99863429999999997</v>
      </c>
      <c r="P1005">
        <v>9.9115129999999996E-2</v>
      </c>
      <c r="Q1005">
        <v>0.1499182</v>
      </c>
      <c r="R1005">
        <v>-0.98371799999999998</v>
      </c>
      <c r="S1005">
        <v>-0.2995758</v>
      </c>
      <c r="T1005">
        <v>3.4610630000000003E-2</v>
      </c>
      <c r="U1005">
        <v>-3.0754999999999999</v>
      </c>
      <c r="V1005">
        <v>-4.7828820000000001E-2</v>
      </c>
      <c r="W1005">
        <v>0.15960739999999901</v>
      </c>
      <c r="X1005">
        <v>0.98602120000000004</v>
      </c>
      <c r="Y1005">
        <v>0.14791070000000001</v>
      </c>
      <c r="Z1005">
        <v>-2.0788919999999999E-2</v>
      </c>
      <c r="AA1005">
        <v>0.98878219999999994</v>
      </c>
      <c r="AB1005">
        <v>23</v>
      </c>
      <c r="AC1005">
        <v>-22.278799999999901</v>
      </c>
      <c r="AD1005">
        <v>2.5727570000000002</v>
      </c>
      <c r="AE1005">
        <v>-228.3826</v>
      </c>
      <c r="AF1005">
        <v>33.973052285399497</v>
      </c>
      <c r="AG1005">
        <v>2.5727570000000002</v>
      </c>
      <c r="AH1005">
        <v>226.90868861553</v>
      </c>
      <c r="AI1005">
        <v>89.357551737582</v>
      </c>
      <c r="AJ1005">
        <v>81.484854834351495</v>
      </c>
      <c r="AK1005">
        <v>229.452261547772</v>
      </c>
      <c r="AL1005">
        <v>80.815890596638596</v>
      </c>
      <c r="AM1005">
        <v>92.777063262088603</v>
      </c>
      <c r="AN1005">
        <v>0.99999996250339496</v>
      </c>
    </row>
    <row r="1006" spans="1:40" x14ac:dyDescent="0.25">
      <c r="A1006" t="str">
        <f>"20190304155338442"</f>
        <v>20190304155338442</v>
      </c>
      <c r="B1006" t="str">
        <f>"1551686018437165"</f>
        <v>1551686018437165</v>
      </c>
      <c r="C1006" t="s">
        <v>40</v>
      </c>
      <c r="D1006">
        <v>4.5667900000000001</v>
      </c>
      <c r="E1006">
        <v>0.57334479999999999</v>
      </c>
      <c r="F1006" t="s">
        <v>53</v>
      </c>
      <c r="G1006">
        <v>-215.76429999999999</v>
      </c>
      <c r="H1006">
        <v>3.9698630000000001</v>
      </c>
      <c r="I1006">
        <v>97.150019999999998</v>
      </c>
      <c r="J1006">
        <v>-191.61770000000001</v>
      </c>
      <c r="K1006">
        <v>1.1083000000000001</v>
      </c>
      <c r="L1006">
        <v>340.02789999999999</v>
      </c>
      <c r="M1006">
        <v>4.8618380000000003E-2</v>
      </c>
      <c r="N1006">
        <v>-9.5691519999999992E-3</v>
      </c>
      <c r="O1006">
        <v>-0.99877169999999904</v>
      </c>
      <c r="P1006">
        <v>9.7684519999999997E-2</v>
      </c>
      <c r="Q1006">
        <v>0.1502743</v>
      </c>
      <c r="R1006">
        <v>-0.98380670000000003</v>
      </c>
      <c r="S1006">
        <v>-0.30526730000000002</v>
      </c>
      <c r="T1006">
        <v>3.6191340000000002E-2</v>
      </c>
      <c r="U1006">
        <v>-3.0749209999999998</v>
      </c>
      <c r="V1006">
        <v>-4.9092009999999998E-2</v>
      </c>
      <c r="W1006">
        <v>0.15991520000000001</v>
      </c>
      <c r="X1006">
        <v>0.98590929999999999</v>
      </c>
      <c r="Y1006">
        <v>0.147036</v>
      </c>
      <c r="Z1006">
        <v>-2.1246560000000001E-2</v>
      </c>
      <c r="AA1006">
        <v>0.98890290000000003</v>
      </c>
      <c r="AB1006">
        <v>24</v>
      </c>
      <c r="AC1006">
        <v>-24.1465999999999</v>
      </c>
      <c r="AD1006">
        <v>2.8615629999999901</v>
      </c>
      <c r="AE1006">
        <v>-242.87787999999901</v>
      </c>
      <c r="AF1006">
        <v>35.9219730540363</v>
      </c>
      <c r="AG1006">
        <v>2.8615629999999901</v>
      </c>
      <c r="AH1006">
        <v>241.383431550702</v>
      </c>
      <c r="AI1006">
        <v>89.328196893809306</v>
      </c>
      <c r="AJ1006">
        <v>81.535531797459996</v>
      </c>
      <c r="AK1006">
        <v>244.058471924435</v>
      </c>
      <c r="AL1006">
        <v>80.798026044105399</v>
      </c>
      <c r="AM1006">
        <v>92.8506108731914</v>
      </c>
      <c r="AN1006">
        <v>1.0000000222316801</v>
      </c>
    </row>
    <row r="1007" spans="1:40" x14ac:dyDescent="0.25">
      <c r="A1007" t="str">
        <f>"20190304155338465"</f>
        <v>20190304155338465</v>
      </c>
      <c r="B1007" t="str">
        <f>"1551686018456685"</f>
        <v>1551686018456685</v>
      </c>
      <c r="C1007" t="s">
        <v>40</v>
      </c>
      <c r="D1007">
        <v>4.5391519999999996</v>
      </c>
      <c r="E1007">
        <v>0.57292279999999995</v>
      </c>
      <c r="F1007" t="s">
        <v>53</v>
      </c>
      <c r="G1007">
        <v>-215.9409</v>
      </c>
      <c r="H1007">
        <v>3.901802</v>
      </c>
      <c r="I1007">
        <v>97.150019999999998</v>
      </c>
      <c r="J1007">
        <v>-191.6088</v>
      </c>
      <c r="K1007">
        <v>1.108285</v>
      </c>
      <c r="L1007">
        <v>339.78160000000003</v>
      </c>
      <c r="M1007">
        <v>4.5922900000000003E-2</v>
      </c>
      <c r="N1007">
        <v>-9.5230479999999992E-3</v>
      </c>
      <c r="O1007">
        <v>-0.9988996</v>
      </c>
      <c r="P1007">
        <v>9.6343269999999995E-2</v>
      </c>
      <c r="Q1007">
        <v>0.150375799999999</v>
      </c>
      <c r="R1007">
        <v>-0.98392360000000001</v>
      </c>
      <c r="S1007">
        <v>-0.30790709999999999</v>
      </c>
      <c r="T1007">
        <v>3.5363199999999997E-2</v>
      </c>
      <c r="U1007">
        <v>-3.0745849999999999</v>
      </c>
      <c r="V1007">
        <v>-5.0408729999999999E-2</v>
      </c>
      <c r="W1007">
        <v>0.15997639999999999</v>
      </c>
      <c r="X1007">
        <v>0.98583290000000001</v>
      </c>
      <c r="Y1007">
        <v>0.14521819999999999</v>
      </c>
      <c r="Z1007">
        <v>-2.0937130000000002E-2</v>
      </c>
      <c r="AA1007">
        <v>0.98917809999999995</v>
      </c>
      <c r="AB1007">
        <v>24</v>
      </c>
      <c r="AC1007">
        <v>-24.332100000000001</v>
      </c>
      <c r="AD1007">
        <v>2.793517</v>
      </c>
      <c r="AE1007">
        <v>-242.63158000000001</v>
      </c>
      <c r="AF1007">
        <v>35.444626275755297</v>
      </c>
      <c r="AG1007">
        <v>2.793517</v>
      </c>
      <c r="AH1007">
        <v>241.22646780430301</v>
      </c>
      <c r="AI1007">
        <v>89.343565054658001</v>
      </c>
      <c r="AJ1007">
        <v>81.6410548433184</v>
      </c>
      <c r="AK1007">
        <v>243.832594290423</v>
      </c>
      <c r="AL1007">
        <v>80.794473582232001</v>
      </c>
      <c r="AM1007">
        <v>92.927163674572796</v>
      </c>
      <c r="AN1007">
        <v>0.99999999766979097</v>
      </c>
    </row>
    <row r="1008" spans="1:40" x14ac:dyDescent="0.25">
      <c r="A1008" t="str">
        <f>"20190304155338488"</f>
        <v>20190304155338488</v>
      </c>
      <c r="B1008" t="str">
        <f>"1551686018477181"</f>
        <v>1551686018477181</v>
      </c>
      <c r="C1008" t="s">
        <v>40</v>
      </c>
      <c r="D1008">
        <v>4.5782550000000004</v>
      </c>
      <c r="E1008">
        <v>0.57275609999999999</v>
      </c>
      <c r="F1008" t="s">
        <v>53</v>
      </c>
      <c r="G1008">
        <v>-215.9579</v>
      </c>
      <c r="H1008">
        <v>3.7632789999999998</v>
      </c>
      <c r="I1008">
        <v>97.150019999999998</v>
      </c>
      <c r="J1008">
        <v>-191.6003</v>
      </c>
      <c r="K1008">
        <v>1.1082669999999999</v>
      </c>
      <c r="L1008">
        <v>339.52679999999998</v>
      </c>
      <c r="M1008">
        <v>4.3134930000000002E-2</v>
      </c>
      <c r="N1008">
        <v>-9.4814010000000004E-3</v>
      </c>
      <c r="O1008">
        <v>-0.99902429999999998</v>
      </c>
      <c r="P1008">
        <v>9.5138109999999998E-2</v>
      </c>
      <c r="Q1008">
        <v>0.15062220000000001</v>
      </c>
      <c r="R1008">
        <v>-0.98400290000000001</v>
      </c>
      <c r="S1008">
        <v>-0.3085022</v>
      </c>
      <c r="T1008">
        <v>3.3638950000000001E-2</v>
      </c>
      <c r="U1008">
        <v>-3.0741269999999998</v>
      </c>
      <c r="V1008">
        <v>-5.1952480000000002E-2</v>
      </c>
      <c r="W1008">
        <v>0.16018779999999999</v>
      </c>
      <c r="X1008">
        <v>0.98571839999999999</v>
      </c>
      <c r="Y1008">
        <v>0.1426615</v>
      </c>
      <c r="Z1008">
        <v>-2.0344310000000001E-2</v>
      </c>
      <c r="AA1008">
        <v>0.98956250000000001</v>
      </c>
      <c r="AB1008">
        <v>24</v>
      </c>
      <c r="AC1008">
        <v>-24.357599999999898</v>
      </c>
      <c r="AD1008">
        <v>2.6550119999999899</v>
      </c>
      <c r="AE1008">
        <v>-242.376779999999</v>
      </c>
      <c r="AF1008">
        <v>34.786169981314004</v>
      </c>
      <c r="AG1008">
        <v>2.6550119999999899</v>
      </c>
      <c r="AH1008">
        <v>241.07182098545999</v>
      </c>
      <c r="AI1008">
        <v>89.375474057892802</v>
      </c>
      <c r="AJ1008">
        <v>81.7890127945454</v>
      </c>
      <c r="AK1008">
        <v>243.58314716731701</v>
      </c>
      <c r="AL1008">
        <v>80.782202824437306</v>
      </c>
      <c r="AM1008">
        <v>93.0169936971824</v>
      </c>
      <c r="AN1008">
        <v>0.99999997777277405</v>
      </c>
    </row>
    <row r="1009" spans="1:40" x14ac:dyDescent="0.25">
      <c r="A1009" t="str">
        <f>"20190304155338509"</f>
        <v>20190304155338509</v>
      </c>
      <c r="B1009" t="str">
        <f>"1551686018507438"</f>
        <v>1551686018507438</v>
      </c>
      <c r="C1009" t="s">
        <v>40</v>
      </c>
      <c r="D1009">
        <v>4.5615030000000001</v>
      </c>
      <c r="E1009">
        <v>0.572407</v>
      </c>
      <c r="F1009" t="s">
        <v>53</v>
      </c>
      <c r="G1009">
        <v>-216.09440000000001</v>
      </c>
      <c r="H1009">
        <v>3.653572</v>
      </c>
      <c r="I1009">
        <v>97.150019999999998</v>
      </c>
      <c r="J1009">
        <v>-191.5934</v>
      </c>
      <c r="K1009">
        <v>1.108263</v>
      </c>
      <c r="L1009">
        <v>339.30650000000003</v>
      </c>
      <c r="M1009">
        <v>4.0723620000000002E-2</v>
      </c>
      <c r="N1009">
        <v>-9.4498150000000003E-3</v>
      </c>
      <c r="O1009">
        <v>-0.99912570000000001</v>
      </c>
      <c r="P1009">
        <v>9.4506190000000004E-2</v>
      </c>
      <c r="Q1009">
        <v>0.15093409999999999</v>
      </c>
      <c r="R1009">
        <v>-0.98401590000000005</v>
      </c>
      <c r="S1009">
        <v>-0.31063839999999998</v>
      </c>
      <c r="T1009">
        <v>3.2280209999999997E-2</v>
      </c>
      <c r="U1009">
        <v>-3.0738530000000002</v>
      </c>
      <c r="V1009">
        <v>-5.3699299999999998E-2</v>
      </c>
      <c r="W1009">
        <v>0.1604749</v>
      </c>
      <c r="X1009">
        <v>0.98557810000000001</v>
      </c>
      <c r="Y1009">
        <v>0.1409627</v>
      </c>
      <c r="Z1009">
        <v>-1.9877209999999999E-2</v>
      </c>
      <c r="AA1009">
        <v>0.98981540000000001</v>
      </c>
      <c r="AB1009">
        <v>24</v>
      </c>
      <c r="AC1009">
        <v>-24.501000000000001</v>
      </c>
      <c r="AD1009">
        <v>2.545309</v>
      </c>
      <c r="AE1009">
        <v>-242.15647999999999</v>
      </c>
      <c r="AF1009">
        <v>34.338847423416503</v>
      </c>
      <c r="AG1009">
        <v>2.545309</v>
      </c>
      <c r="AH1009">
        <v>240.93141823770799</v>
      </c>
      <c r="AI1009">
        <v>89.400778952348503</v>
      </c>
      <c r="AJ1009">
        <v>81.888525671291802</v>
      </c>
      <c r="AK1009">
        <v>243.37950475401101</v>
      </c>
      <c r="AL1009">
        <v>80.765537816960304</v>
      </c>
      <c r="AM1009">
        <v>93.118681411302106</v>
      </c>
      <c r="AN1009">
        <v>0.99999999977505505</v>
      </c>
    </row>
    <row r="1010" spans="1:40" x14ac:dyDescent="0.25">
      <c r="A1010" t="str">
        <f>"20190304155338531"</f>
        <v>20190304155338531</v>
      </c>
      <c r="B1010" t="str">
        <f>"1551686018526958"</f>
        <v>1551686018526958</v>
      </c>
      <c r="C1010" t="s">
        <v>40</v>
      </c>
      <c r="D1010">
        <v>4.6094299999999997</v>
      </c>
      <c r="E1010">
        <v>0.57241030000000004</v>
      </c>
      <c r="F1010" t="s">
        <v>53</v>
      </c>
      <c r="G1010">
        <v>-215.99299999999999</v>
      </c>
      <c r="H1010">
        <v>3.6906129999999999</v>
      </c>
      <c r="I1010">
        <v>97.150019999999998</v>
      </c>
      <c r="J1010">
        <v>-191.58680000000001</v>
      </c>
      <c r="K1010">
        <v>1.10825</v>
      </c>
      <c r="L1010">
        <v>339.0736</v>
      </c>
      <c r="M1010">
        <v>3.8176109999999999E-2</v>
      </c>
      <c r="N1010">
        <v>-9.4207260000000008E-3</v>
      </c>
      <c r="O1010">
        <v>-0.99922670000000002</v>
      </c>
      <c r="P1010">
        <v>9.3564030000000006E-2</v>
      </c>
      <c r="Q1010">
        <v>0.1512521</v>
      </c>
      <c r="R1010">
        <v>-0.98405759999999998</v>
      </c>
      <c r="S1010">
        <v>-0.30967709999999998</v>
      </c>
      <c r="T1010">
        <v>3.2775279999999997E-2</v>
      </c>
      <c r="U1010">
        <v>-3.0734249999999999</v>
      </c>
      <c r="V1010">
        <v>-5.5269039999999998E-2</v>
      </c>
      <c r="W1010">
        <v>0.16077040000000001</v>
      </c>
      <c r="X1010">
        <v>0.98544319999999996</v>
      </c>
      <c r="Y1010">
        <v>0.13814509999999999</v>
      </c>
      <c r="Z1010">
        <v>-2.001174E-2</v>
      </c>
      <c r="AA1010">
        <v>0.99020980000000003</v>
      </c>
      <c r="AB1010">
        <v>24</v>
      </c>
      <c r="AC1010">
        <v>-24.406199999999899</v>
      </c>
      <c r="AD1010">
        <v>2.582363</v>
      </c>
      <c r="AE1010">
        <v>-241.92357999999999</v>
      </c>
      <c r="AF1010">
        <v>33.620725093863598</v>
      </c>
      <c r="AG1010">
        <v>2.582363</v>
      </c>
      <c r="AH1010">
        <v>240.788274343784</v>
      </c>
      <c r="AI1010">
        <v>89.391451055155301</v>
      </c>
      <c r="AJ1010">
        <v>82.051308999980705</v>
      </c>
      <c r="AK1010">
        <v>243.13785146693601</v>
      </c>
      <c r="AL1010">
        <v>80.748384605559295</v>
      </c>
      <c r="AM1010">
        <v>93.210097377225793</v>
      </c>
      <c r="AN1010">
        <v>1.0000000443624499</v>
      </c>
    </row>
    <row r="1011" spans="1:40" x14ac:dyDescent="0.25">
      <c r="A1011" t="str">
        <f>"20190304155338574"</f>
        <v>20190304155338574</v>
      </c>
      <c r="B1011" t="str">
        <f>"1551686018566974"</f>
        <v>1551686018566974</v>
      </c>
      <c r="C1011" t="s">
        <v>40</v>
      </c>
      <c r="D1011">
        <v>4.5904499999999997</v>
      </c>
      <c r="E1011">
        <v>0.57183719999999905</v>
      </c>
      <c r="F1011" t="s">
        <v>53</v>
      </c>
      <c r="G1011">
        <v>-216.21969999999999</v>
      </c>
      <c r="H1011">
        <v>3.7753510000000001</v>
      </c>
      <c r="I1011">
        <v>97.150019999999998</v>
      </c>
      <c r="J1011">
        <v>-191.5752</v>
      </c>
      <c r="K1011">
        <v>1.1082270000000001</v>
      </c>
      <c r="L1011">
        <v>338.60550000000001</v>
      </c>
      <c r="M1011">
        <v>3.3056450000000001E-2</v>
      </c>
      <c r="N1011">
        <v>-9.371262E-3</v>
      </c>
      <c r="O1011">
        <v>-0.99940960000000001</v>
      </c>
      <c r="P1011">
        <v>9.205613E-2</v>
      </c>
      <c r="Q1011">
        <v>0.15144479999999999</v>
      </c>
      <c r="R1011">
        <v>-0.98416990000000004</v>
      </c>
      <c r="S1011">
        <v>-0.31291200000000002</v>
      </c>
      <c r="T1011">
        <v>3.3880470000000003E-2</v>
      </c>
      <c r="U1011">
        <v>-3.0731510000000002</v>
      </c>
      <c r="V1011">
        <v>-5.8807329999999998E-2</v>
      </c>
      <c r="W1011">
        <v>0.1609286</v>
      </c>
      <c r="X1011">
        <v>0.98521250000000005</v>
      </c>
      <c r="Y1011">
        <v>0.13410999999999901</v>
      </c>
      <c r="Z1011">
        <v>-2.032285E-2</v>
      </c>
      <c r="AA1011">
        <v>0.99075809999999997</v>
      </c>
      <c r="AB1011">
        <v>24</v>
      </c>
      <c r="AC1011">
        <v>-24.644499999999901</v>
      </c>
      <c r="AD1011">
        <v>2.6671239999999998</v>
      </c>
      <c r="AE1011">
        <v>-241.45547999999999</v>
      </c>
      <c r="AF1011">
        <v>32.609103600644801</v>
      </c>
      <c r="AG1011">
        <v>2.6671239999999998</v>
      </c>
      <c r="AH1011">
        <v>240.479774701309</v>
      </c>
      <c r="AI1011">
        <v>89.370329586385097</v>
      </c>
      <c r="AJ1011">
        <v>82.277781969837093</v>
      </c>
      <c r="AK1011">
        <v>242.69526000410801</v>
      </c>
      <c r="AL1011">
        <v>80.739200353780703</v>
      </c>
      <c r="AM1011">
        <v>93.415931817039905</v>
      </c>
      <c r="AN1011">
        <v>0.99999999325796896</v>
      </c>
    </row>
    <row r="1012" spans="1:40" x14ac:dyDescent="0.25">
      <c r="A1012" t="str">
        <f>"20190304155338597"</f>
        <v>20190304155338597</v>
      </c>
      <c r="B1012" t="str">
        <f>"1551686018587470"</f>
        <v>1551686018587470</v>
      </c>
      <c r="C1012" t="s">
        <v>40</v>
      </c>
      <c r="D1012">
        <v>4.6065969999999998</v>
      </c>
      <c r="E1012">
        <v>0.57169040000000004</v>
      </c>
      <c r="F1012" t="s">
        <v>53</v>
      </c>
      <c r="G1012">
        <v>-216.1875</v>
      </c>
      <c r="H1012">
        <v>3.7631709999999998</v>
      </c>
      <c r="I1012">
        <v>97.150019999999998</v>
      </c>
      <c r="J1012">
        <v>-191.57</v>
      </c>
      <c r="K1012">
        <v>1.1082160000000001</v>
      </c>
      <c r="L1012">
        <v>338.35649999999998</v>
      </c>
      <c r="M1012">
        <v>3.0335170000000002E-2</v>
      </c>
      <c r="N1012">
        <v>-9.3433660000000005E-3</v>
      </c>
      <c r="O1012">
        <v>-0.9994961</v>
      </c>
      <c r="P1012">
        <v>9.1264780000000004E-2</v>
      </c>
      <c r="Q1012">
        <v>0.1515196</v>
      </c>
      <c r="R1012">
        <v>-0.98423229999999995</v>
      </c>
      <c r="S1012">
        <v>-0.31317139999999999</v>
      </c>
      <c r="T1012">
        <v>3.3782359999999997E-2</v>
      </c>
      <c r="U1012">
        <v>-3.072327</v>
      </c>
      <c r="V1012">
        <v>-6.0698019999999998E-2</v>
      </c>
      <c r="W1012">
        <v>0.16098409999999999</v>
      </c>
      <c r="X1012">
        <v>0.98508879999999999</v>
      </c>
      <c r="Y1012">
        <v>0.1315211</v>
      </c>
      <c r="Z1012">
        <v>-2.026816E-2</v>
      </c>
      <c r="AA1012">
        <v>0.99110620000000005</v>
      </c>
      <c r="AB1012">
        <v>24</v>
      </c>
      <c r="AC1012">
        <v>-24.6175</v>
      </c>
      <c r="AD1012">
        <v>2.6549550000000002</v>
      </c>
      <c r="AE1012">
        <v>-241.206479999999</v>
      </c>
      <c r="AF1012">
        <v>31.9197013648457</v>
      </c>
      <c r="AG1012">
        <v>2.6549550000000002</v>
      </c>
      <c r="AH1012">
        <v>240.319838814978</v>
      </c>
      <c r="AI1012">
        <v>89.3725554059302</v>
      </c>
      <c r="AJ1012">
        <v>82.434158176343004</v>
      </c>
      <c r="AK1012">
        <v>242.44492374419801</v>
      </c>
      <c r="AL1012">
        <v>80.735978837668597</v>
      </c>
      <c r="AM1012">
        <v>93.525924909863406</v>
      </c>
      <c r="AN1012">
        <v>1.0000000369850801</v>
      </c>
    </row>
    <row r="1013" spans="1:40" x14ac:dyDescent="0.25">
      <c r="A1013" t="str">
        <f>"20190304155338618"</f>
        <v>20190304155338618</v>
      </c>
      <c r="B1013" t="str">
        <f>"1551686018606993"</f>
        <v>1551686018606993</v>
      </c>
      <c r="C1013" t="s">
        <v>40</v>
      </c>
      <c r="D1013">
        <v>4.6179430000000004</v>
      </c>
      <c r="E1013">
        <v>0.57149629999999996</v>
      </c>
      <c r="F1013" t="s">
        <v>53</v>
      </c>
      <c r="G1013">
        <v>-216.2775</v>
      </c>
      <c r="H1013">
        <v>3.7616160000000001</v>
      </c>
      <c r="I1013">
        <v>97.150019999999998</v>
      </c>
      <c r="J1013">
        <v>-191.5659</v>
      </c>
      <c r="K1013">
        <v>1.108206</v>
      </c>
      <c r="L1013">
        <v>338.13049999999998</v>
      </c>
      <c r="M1013">
        <v>2.7868589999999999E-2</v>
      </c>
      <c r="N1013">
        <v>-9.3188300000000002E-3</v>
      </c>
      <c r="O1013">
        <v>-0.99956829999999997</v>
      </c>
      <c r="P1013">
        <v>9.0118359999999995E-2</v>
      </c>
      <c r="Q1013">
        <v>0.15192</v>
      </c>
      <c r="R1013">
        <v>-0.98427620000000005</v>
      </c>
      <c r="S1013">
        <v>-0.31468200000000002</v>
      </c>
      <c r="T1013">
        <v>3.3794879999999999E-2</v>
      </c>
      <c r="U1013">
        <v>-3.0720830000000001</v>
      </c>
      <c r="V1013">
        <v>-6.1981580000000001E-2</v>
      </c>
      <c r="W1013">
        <v>0.16136429999999999</v>
      </c>
      <c r="X1013">
        <v>0.98494660000000001</v>
      </c>
      <c r="Y1013">
        <v>0.12956480000000001</v>
      </c>
      <c r="Z1013">
        <v>-2.0249710000000001E-2</v>
      </c>
      <c r="AA1013">
        <v>0.99136420000000003</v>
      </c>
      <c r="AB1013">
        <v>24</v>
      </c>
      <c r="AC1013">
        <v>-24.711600000000001</v>
      </c>
      <c r="AD1013">
        <v>2.65341</v>
      </c>
      <c r="AE1013">
        <v>-240.98047999999901</v>
      </c>
      <c r="AF1013">
        <v>31.414308899168301</v>
      </c>
      <c r="AG1013">
        <v>2.65341</v>
      </c>
      <c r="AH1013">
        <v>240.16935165933199</v>
      </c>
      <c r="AI1013">
        <v>89.372363303367905</v>
      </c>
      <c r="AJ1013">
        <v>82.547980642482102</v>
      </c>
      <c r="AK1013">
        <v>242.229677918921</v>
      </c>
      <c r="AL1013">
        <v>80.713905866215399</v>
      </c>
      <c r="AM1013">
        <v>93.600810748337693</v>
      </c>
      <c r="AN1013">
        <v>0.99999997921267303</v>
      </c>
    </row>
    <row r="1014" spans="1:40" x14ac:dyDescent="0.25">
      <c r="A1014" t="str">
        <f>"20190304155338642"</f>
        <v>20190304155338642</v>
      </c>
      <c r="B1014" t="str">
        <f>"1551686018637246"</f>
        <v>1551686018637246</v>
      </c>
      <c r="C1014" t="s">
        <v>40</v>
      </c>
      <c r="D1014">
        <v>4.6302089999999998</v>
      </c>
      <c r="E1014">
        <v>0.57112569999999996</v>
      </c>
      <c r="F1014" t="s">
        <v>59</v>
      </c>
      <c r="G1014">
        <v>-215.09129999999999</v>
      </c>
      <c r="H1014">
        <v>3.6573340000000001</v>
      </c>
      <c r="I1014">
        <v>110.0592</v>
      </c>
      <c r="J1014">
        <v>-191.56200000000001</v>
      </c>
      <c r="K1014">
        <v>1.108196</v>
      </c>
      <c r="L1014">
        <v>337.88479999999998</v>
      </c>
      <c r="M1014">
        <v>2.5192389999999999E-2</v>
      </c>
      <c r="N1014">
        <v>-9.2955239999999995E-3</v>
      </c>
      <c r="O1014">
        <v>-0.99963959999999996</v>
      </c>
      <c r="P1014">
        <v>8.9045819999999998E-2</v>
      </c>
      <c r="Q1014">
        <v>0.15241179999999999</v>
      </c>
      <c r="R1014">
        <v>-0.98429759999999999</v>
      </c>
      <c r="S1014">
        <v>-0.31683349999999999</v>
      </c>
      <c r="T1014">
        <v>3.4331199999999902E-2</v>
      </c>
      <c r="U1014">
        <v>-3.0715940000000002</v>
      </c>
      <c r="V1014">
        <v>-6.3546110000000003E-2</v>
      </c>
      <c r="W1014">
        <v>0.16183919999999999</v>
      </c>
      <c r="X1014">
        <v>0.98476900000000001</v>
      </c>
      <c r="Y1014">
        <v>0.1276128</v>
      </c>
      <c r="Z1014">
        <v>-2.040237E-2</v>
      </c>
      <c r="AA1014">
        <v>0.9916142</v>
      </c>
      <c r="AB1014">
        <v>24</v>
      </c>
      <c r="AC1014">
        <v>-23.5292999999999</v>
      </c>
      <c r="AD1014">
        <v>2.5491380000000001</v>
      </c>
      <c r="AE1014">
        <v>-227.82560000000001</v>
      </c>
      <c r="AF1014">
        <v>29.257925636320302</v>
      </c>
      <c r="AG1014">
        <v>2.5491380000000001</v>
      </c>
      <c r="AH1014">
        <v>227.132366620498</v>
      </c>
      <c r="AI1014">
        <v>89.362257402008098</v>
      </c>
      <c r="AJ1014">
        <v>82.659897391828693</v>
      </c>
      <c r="AK1014">
        <v>229.02322214943999</v>
      </c>
      <c r="AL1014">
        <v>80.686333972974793</v>
      </c>
      <c r="AM1014">
        <v>93.692117553613997</v>
      </c>
      <c r="AN1014">
        <v>1.0000000090568799</v>
      </c>
    </row>
    <row r="1015" spans="1:40" x14ac:dyDescent="0.25">
      <c r="A1015" t="str">
        <f>"20190304155338667"</f>
        <v>20190304155338667</v>
      </c>
      <c r="B1015" t="str">
        <f>"1551686018656766"</f>
        <v>1551686018656766</v>
      </c>
      <c r="C1015" t="s">
        <v>40</v>
      </c>
      <c r="D1015">
        <v>4.6526589999999999</v>
      </c>
      <c r="E1015">
        <v>0.57094899999999904</v>
      </c>
      <c r="F1015" t="s">
        <v>59</v>
      </c>
      <c r="G1015">
        <v>-215.09129999999999</v>
      </c>
      <c r="H1015">
        <v>3.7239200000000001</v>
      </c>
      <c r="I1015">
        <v>110.185</v>
      </c>
      <c r="J1015">
        <v>-191.55860000000001</v>
      </c>
      <c r="K1015">
        <v>1.108195</v>
      </c>
      <c r="L1015">
        <v>337.61590000000001</v>
      </c>
      <c r="M1015">
        <v>2.229213E-2</v>
      </c>
      <c r="N1015">
        <v>-9.2673649999999996E-3</v>
      </c>
      <c r="O1015">
        <v>-0.99970870000000001</v>
      </c>
      <c r="P1015">
        <v>8.7081469999999994E-2</v>
      </c>
      <c r="Q1015">
        <v>0.1531275</v>
      </c>
      <c r="R1015">
        <v>-0.98436219999999996</v>
      </c>
      <c r="S1015">
        <v>-0.31735229999999998</v>
      </c>
      <c r="T1015">
        <v>3.5279989999999997E-2</v>
      </c>
      <c r="U1015">
        <v>-3.0711059999999999</v>
      </c>
      <c r="V1015">
        <v>-6.4441199999999907E-2</v>
      </c>
      <c r="W1015">
        <v>0.16252800000000001</v>
      </c>
      <c r="X1015">
        <v>0.98459739999999996</v>
      </c>
      <c r="Y1015">
        <v>0.12491629999999999</v>
      </c>
      <c r="Z1015">
        <v>-2.0684230000000001E-2</v>
      </c>
      <c r="AA1015">
        <v>0.99195160000000004</v>
      </c>
      <c r="AB1015">
        <v>24</v>
      </c>
      <c r="AC1015">
        <v>-23.532699999999899</v>
      </c>
      <c r="AD1015">
        <v>2.6157249999999901</v>
      </c>
      <c r="AE1015">
        <v>-227.43090000000001</v>
      </c>
      <c r="AF1015">
        <v>28.593245577394399</v>
      </c>
      <c r="AG1015">
        <v>2.6157249999999901</v>
      </c>
      <c r="AH1015">
        <v>226.82007671897</v>
      </c>
      <c r="AI1015">
        <v>89.344472950857806</v>
      </c>
      <c r="AJ1015">
        <v>82.815116045483194</v>
      </c>
      <c r="AK1015">
        <v>228.630188104555</v>
      </c>
      <c r="AL1015">
        <v>80.646339325349999</v>
      </c>
      <c r="AM1015">
        <v>93.744627298262699</v>
      </c>
      <c r="AN1015">
        <v>1.0000000295640901</v>
      </c>
    </row>
    <row r="1016" spans="1:40" x14ac:dyDescent="0.25">
      <c r="A1016" t="str">
        <f>"20190304155338687"</f>
        <v>20190304155338687</v>
      </c>
      <c r="B1016" t="str">
        <f>"1551686018677262"</f>
        <v>1551686018677262</v>
      </c>
      <c r="C1016" t="s">
        <v>40</v>
      </c>
      <c r="D1016">
        <v>4.6550989999999999</v>
      </c>
      <c r="E1016">
        <v>0.57072990000000001</v>
      </c>
      <c r="F1016" t="s">
        <v>59</v>
      </c>
      <c r="G1016">
        <v>-215.0994</v>
      </c>
      <c r="H1016">
        <v>3.8123930000000001</v>
      </c>
      <c r="I1016">
        <v>113.2439</v>
      </c>
      <c r="J1016">
        <v>-191.55619999999999</v>
      </c>
      <c r="K1016">
        <v>1.1082099999999999</v>
      </c>
      <c r="L1016">
        <v>337.37909999999999</v>
      </c>
      <c r="M1016">
        <v>1.977011E-2</v>
      </c>
      <c r="N1016">
        <v>-9.2404849999999997E-3</v>
      </c>
      <c r="O1016">
        <v>-0.99976189999999998</v>
      </c>
      <c r="P1016">
        <v>8.561262E-2</v>
      </c>
      <c r="Q1016">
        <v>0.15376670000000001</v>
      </c>
      <c r="R1016">
        <v>-0.98439140000000003</v>
      </c>
      <c r="S1016">
        <v>-0.32214359999999997</v>
      </c>
      <c r="T1016">
        <v>3.7005780000000002E-2</v>
      </c>
      <c r="U1016">
        <v>-3.0704039999999999</v>
      </c>
      <c r="V1016">
        <v>-6.5462179999999995E-2</v>
      </c>
      <c r="W1016">
        <v>0.16314110000000001</v>
      </c>
      <c r="X1016">
        <v>0.98442859999999999</v>
      </c>
      <c r="Y1016">
        <v>0.1239669</v>
      </c>
      <c r="Z1016">
        <v>-2.121754E-2</v>
      </c>
      <c r="AA1016">
        <v>0.99205949999999998</v>
      </c>
      <c r="AB1016">
        <v>24</v>
      </c>
      <c r="AC1016">
        <v>-23.543199999999999</v>
      </c>
      <c r="AD1016">
        <v>2.704183</v>
      </c>
      <c r="AE1016">
        <v>-224.1352</v>
      </c>
      <c r="AF1016">
        <v>27.965938281861401</v>
      </c>
      <c r="AG1016">
        <v>2.704183</v>
      </c>
      <c r="AH1016">
        <v>223.59372618163201</v>
      </c>
      <c r="AI1016">
        <v>89.312444817680003</v>
      </c>
      <c r="AJ1016">
        <v>82.870764480555707</v>
      </c>
      <c r="AK1016">
        <v>225.352081635535</v>
      </c>
      <c r="AL1016">
        <v>80.610735745179696</v>
      </c>
      <c r="AM1016">
        <v>93.804433141737306</v>
      </c>
      <c r="AN1016">
        <v>0.999999992008761</v>
      </c>
    </row>
    <row r="1017" spans="1:40" x14ac:dyDescent="0.25">
      <c r="A1017" t="str">
        <f>"20190304155338709"</f>
        <v>20190304155338709</v>
      </c>
      <c r="B1017" t="str">
        <f>"1551686018707519"</f>
        <v>1551686018707519</v>
      </c>
      <c r="C1017" t="s">
        <v>40</v>
      </c>
      <c r="D1017">
        <v>4.650201</v>
      </c>
      <c r="E1017">
        <v>0.57041039999999998</v>
      </c>
      <c r="F1017" t="s">
        <v>59</v>
      </c>
      <c r="G1017">
        <v>-215.28970000000001</v>
      </c>
      <c r="H1017">
        <v>3.8860600000000001</v>
      </c>
      <c r="I1017">
        <v>113.2439</v>
      </c>
      <c r="J1017">
        <v>-191.55430000000001</v>
      </c>
      <c r="K1017">
        <v>1.108223</v>
      </c>
      <c r="L1017">
        <v>337.15100000000001</v>
      </c>
      <c r="M1017">
        <v>1.7374290000000001E-2</v>
      </c>
      <c r="N1017">
        <v>-9.2143180000000009E-3</v>
      </c>
      <c r="O1017">
        <v>-0.99980690000000005</v>
      </c>
      <c r="P1017">
        <v>8.3901899999999904E-2</v>
      </c>
      <c r="Q1017">
        <v>0.15317610000000001</v>
      </c>
      <c r="R1017">
        <v>-0.98463120000000004</v>
      </c>
      <c r="S1017">
        <v>-0.32507320000000001</v>
      </c>
      <c r="T1017">
        <v>3.8047789999999998E-2</v>
      </c>
      <c r="U1017">
        <v>-3.0699160000000001</v>
      </c>
      <c r="V1017">
        <v>-6.6120540000000005E-2</v>
      </c>
      <c r="W1017">
        <v>0.16252520000000001</v>
      </c>
      <c r="X1017">
        <v>0.98448650000000004</v>
      </c>
      <c r="Y1017">
        <v>0.1225411</v>
      </c>
      <c r="Z1017">
        <v>-2.153043E-2</v>
      </c>
      <c r="AA1017">
        <v>0.9922299</v>
      </c>
      <c r="AB1017">
        <v>24</v>
      </c>
      <c r="AC1017">
        <v>-23.735399999999998</v>
      </c>
      <c r="AD1017">
        <v>2.7778369999999999</v>
      </c>
      <c r="AE1017">
        <v>-223.90710000000001</v>
      </c>
      <c r="AF1017">
        <v>27.618004280505598</v>
      </c>
      <c r="AG1017">
        <v>2.7778369999999999</v>
      </c>
      <c r="AH1017">
        <v>223.42689016544099</v>
      </c>
      <c r="AI1017">
        <v>89.293065676835397</v>
      </c>
      <c r="AJ1017">
        <v>82.953360775292197</v>
      </c>
      <c r="AK1017">
        <v>225.14449979476899</v>
      </c>
      <c r="AL1017">
        <v>80.646501802042593</v>
      </c>
      <c r="AM1017">
        <v>93.842355352245406</v>
      </c>
      <c r="AN1017">
        <v>1.0000000175635899</v>
      </c>
    </row>
    <row r="1018" spans="1:40" x14ac:dyDescent="0.25">
      <c r="A1018" t="str">
        <f>"20190304155338730"</f>
        <v>20190304155338730</v>
      </c>
      <c r="B1018" t="str">
        <f>"1551686018727038"</f>
        <v>1551686018727038</v>
      </c>
      <c r="C1018" t="s">
        <v>40</v>
      </c>
      <c r="D1018">
        <v>4.6504760000000003</v>
      </c>
      <c r="E1018">
        <v>0.57035719999999901</v>
      </c>
      <c r="F1018" t="s">
        <v>59</v>
      </c>
      <c r="G1018">
        <v>-215.47309999999999</v>
      </c>
      <c r="H1018">
        <v>3.640997</v>
      </c>
      <c r="I1018">
        <v>113.2439</v>
      </c>
      <c r="J1018">
        <v>-191.55289999999999</v>
      </c>
      <c r="K1018">
        <v>1.1082379999999901</v>
      </c>
      <c r="L1018">
        <v>336.91609999999997</v>
      </c>
      <c r="M1018">
        <v>1.495309E-2</v>
      </c>
      <c r="N1018">
        <v>-9.1854209999999992E-3</v>
      </c>
      <c r="O1018">
        <v>-0.99984589999999995</v>
      </c>
      <c r="P1018">
        <v>8.2183539999999999E-2</v>
      </c>
      <c r="Q1018">
        <v>0.15163080000000001</v>
      </c>
      <c r="R1018">
        <v>-0.98501479999999997</v>
      </c>
      <c r="S1018">
        <v>-0.32788089999999998</v>
      </c>
      <c r="T1018">
        <v>3.4719819999999998E-2</v>
      </c>
      <c r="U1018">
        <v>-3.0693359999999998</v>
      </c>
      <c r="V1018">
        <v>-6.6800810000000002E-2</v>
      </c>
      <c r="W1018">
        <v>0.16095119999999999</v>
      </c>
      <c r="X1018">
        <v>0.98469910000000005</v>
      </c>
      <c r="Y1018">
        <v>0.1210566</v>
      </c>
      <c r="Z1018">
        <v>-2.0427339999999999E-2</v>
      </c>
      <c r="AA1018">
        <v>0.99243539999999997</v>
      </c>
      <c r="AB1018">
        <v>24</v>
      </c>
      <c r="AC1018">
        <v>-23.920199999999902</v>
      </c>
      <c r="AD1018">
        <v>2.532759</v>
      </c>
      <c r="AE1018">
        <v>-223.6722</v>
      </c>
      <c r="AF1018">
        <v>27.258801732331701</v>
      </c>
      <c r="AG1018">
        <v>2.532759</v>
      </c>
      <c r="AH1018">
        <v>223.26119110129</v>
      </c>
      <c r="AI1018">
        <v>89.354833504029401</v>
      </c>
      <c r="AJ1018">
        <v>83.038994509383699</v>
      </c>
      <c r="AK1018">
        <v>224.93336033590401</v>
      </c>
      <c r="AL1018">
        <v>80.737888216969097</v>
      </c>
      <c r="AM1018">
        <v>93.880931007158395</v>
      </c>
      <c r="AN1018">
        <v>0.999999977269452</v>
      </c>
    </row>
    <row r="1019" spans="1:40" x14ac:dyDescent="0.25">
      <c r="A1019" t="str">
        <f>"20190304155338754"</f>
        <v>20190304155338754</v>
      </c>
      <c r="B1019" t="str">
        <f>"1551686018747535"</f>
        <v>1551686018747535</v>
      </c>
      <c r="C1019" t="s">
        <v>40</v>
      </c>
      <c r="D1019">
        <v>4.655087</v>
      </c>
      <c r="E1019">
        <v>0.57026829999999995</v>
      </c>
      <c r="F1019" t="s">
        <v>59</v>
      </c>
      <c r="G1019">
        <v>-215.84970000000001</v>
      </c>
      <c r="H1019">
        <v>3.2712349999999999</v>
      </c>
      <c r="I1019">
        <v>112.9751</v>
      </c>
      <c r="J1019">
        <v>-191.55199999999999</v>
      </c>
      <c r="K1019">
        <v>1.1082620000000001</v>
      </c>
      <c r="L1019">
        <v>336.661</v>
      </c>
      <c r="M1019">
        <v>1.2393700000000001E-2</v>
      </c>
      <c r="N1019">
        <v>-9.1505370000000003E-3</v>
      </c>
      <c r="O1019">
        <v>-0.99988149999999998</v>
      </c>
      <c r="P1019">
        <v>8.0591159999999995E-2</v>
      </c>
      <c r="Q1019">
        <v>0.15019080000000001</v>
      </c>
      <c r="R1019">
        <v>-0.9853672</v>
      </c>
      <c r="S1019">
        <v>-0.33296199999999998</v>
      </c>
      <c r="T1019">
        <v>2.964199E-2</v>
      </c>
      <c r="U1019">
        <v>-3.0688780000000002</v>
      </c>
      <c r="V1019">
        <v>-6.774927E-2</v>
      </c>
      <c r="W1019">
        <v>0.1594756</v>
      </c>
      <c r="X1019">
        <v>0.98487440000000004</v>
      </c>
      <c r="Y1019">
        <v>0.12015820000000001</v>
      </c>
      <c r="Z1019">
        <v>-1.8750039999999999E-2</v>
      </c>
      <c r="AA1019">
        <v>0.99257770000000001</v>
      </c>
      <c r="AB1019">
        <v>24</v>
      </c>
      <c r="AC1019">
        <v>-24.297699999999899</v>
      </c>
      <c r="AD1019">
        <v>2.162973</v>
      </c>
      <c r="AE1019">
        <v>-223.6859</v>
      </c>
      <c r="AF1019">
        <v>27.065743976646498</v>
      </c>
      <c r="AG1019">
        <v>2.162973</v>
      </c>
      <c r="AH1019">
        <v>223.346927401241</v>
      </c>
      <c r="AI1019">
        <v>89.449173653592595</v>
      </c>
      <c r="AJ1019">
        <v>83.090444232256999</v>
      </c>
      <c r="AK1019">
        <v>224.99129522891201</v>
      </c>
      <c r="AL1019">
        <v>80.823540575756496</v>
      </c>
      <c r="AM1019">
        <v>93.935163420617499</v>
      </c>
      <c r="AN1019">
        <v>1.0000000071781201</v>
      </c>
    </row>
    <row r="1020" spans="1:40" x14ac:dyDescent="0.25">
      <c r="A1020" t="str">
        <f>"20190304155338775"</f>
        <v>20190304155338775</v>
      </c>
      <c r="B1020" t="str">
        <f>"1551686018767054"</f>
        <v>1551686018767054</v>
      </c>
      <c r="C1020" t="s">
        <v>40</v>
      </c>
      <c r="D1020">
        <v>4.6808809999999896</v>
      </c>
      <c r="E1020">
        <v>0.56998749999999998</v>
      </c>
      <c r="F1020" t="s">
        <v>59</v>
      </c>
      <c r="G1020">
        <v>-216.16640000000001</v>
      </c>
      <c r="H1020">
        <v>2.8974350000000002</v>
      </c>
      <c r="I1020">
        <v>112.9751</v>
      </c>
      <c r="J1020">
        <v>-191.55160000000001</v>
      </c>
      <c r="K1020">
        <v>1.10829</v>
      </c>
      <c r="L1020">
        <v>336.4205</v>
      </c>
      <c r="M1020">
        <v>1.005956E-2</v>
      </c>
      <c r="N1020">
        <v>-9.1145670000000005E-3</v>
      </c>
      <c r="O1020">
        <v>-0.99990800000000002</v>
      </c>
      <c r="P1020">
        <v>7.9187549999999995E-2</v>
      </c>
      <c r="Q1020">
        <v>0.1487203</v>
      </c>
      <c r="R1020">
        <v>-0.98570380000000002</v>
      </c>
      <c r="S1020">
        <v>-0.33764650000000002</v>
      </c>
      <c r="T1020">
        <v>2.454317E-2</v>
      </c>
      <c r="U1020">
        <v>-3.06839</v>
      </c>
      <c r="V1020">
        <v>-6.8667309999999995E-2</v>
      </c>
      <c r="W1020">
        <v>0.1579672</v>
      </c>
      <c r="X1020">
        <v>0.98505390000000004</v>
      </c>
      <c r="Y1020">
        <v>0.11935759999999999</v>
      </c>
      <c r="Z1020">
        <v>-1.7064260000000001E-2</v>
      </c>
      <c r="AA1020">
        <v>0.9927047</v>
      </c>
      <c r="AB1020">
        <v>24</v>
      </c>
      <c r="AC1020">
        <v>-24.614799999999999</v>
      </c>
      <c r="AD1020">
        <v>1.78914499999999</v>
      </c>
      <c r="AE1020">
        <v>-223.44540000000001</v>
      </c>
      <c r="AF1020">
        <v>26.859708470877699</v>
      </c>
      <c r="AG1020">
        <v>1.78914499999999</v>
      </c>
      <c r="AH1020">
        <v>223.17233195369801</v>
      </c>
      <c r="AI1020">
        <v>89.543967483919502</v>
      </c>
      <c r="AJ1020">
        <v>83.137226158009696</v>
      </c>
      <c r="AK1020">
        <v>224.78997915526199</v>
      </c>
      <c r="AL1020">
        <v>80.911075211603205</v>
      </c>
      <c r="AM1020">
        <v>93.987591696608504</v>
      </c>
      <c r="AN1020">
        <v>1.0000000108218401</v>
      </c>
    </row>
    <row r="1021" spans="1:40" x14ac:dyDescent="0.25">
      <c r="A1021" t="str">
        <f>"20190304155338799"</f>
        <v>20190304155338799</v>
      </c>
      <c r="B1021" t="str">
        <f>"1551686018786577"</f>
        <v>1551686018786577</v>
      </c>
      <c r="C1021" t="s">
        <v>40</v>
      </c>
      <c r="D1021">
        <v>4.6240319999999997</v>
      </c>
      <c r="E1021">
        <v>0.56978390000000001</v>
      </c>
      <c r="F1021" t="s">
        <v>59</v>
      </c>
      <c r="G1021">
        <v>-216.30619999999999</v>
      </c>
      <c r="H1021">
        <v>2.4725090000000001</v>
      </c>
      <c r="I1021">
        <v>113.0643</v>
      </c>
      <c r="J1021">
        <v>-191.55179999999999</v>
      </c>
      <c r="K1021">
        <v>1.108336</v>
      </c>
      <c r="L1021">
        <v>336.166</v>
      </c>
      <c r="M1021">
        <v>7.6783369999999899E-3</v>
      </c>
      <c r="N1021">
        <v>-9.0735439999999994E-3</v>
      </c>
      <c r="O1021">
        <v>-0.99992959999999997</v>
      </c>
      <c r="P1021">
        <v>7.7619190000000005E-2</v>
      </c>
      <c r="Q1021">
        <v>0.14792920000000001</v>
      </c>
      <c r="R1021">
        <v>-0.98594760000000004</v>
      </c>
      <c r="S1021">
        <v>-0.34002690000000002</v>
      </c>
      <c r="T1021">
        <v>1.8739100000000002E-2</v>
      </c>
      <c r="U1021">
        <v>-3.067993</v>
      </c>
      <c r="V1021">
        <v>-6.9470009999999999E-2</v>
      </c>
      <c r="W1021">
        <v>0.157130399999999</v>
      </c>
      <c r="X1021">
        <v>0.98513139999999999</v>
      </c>
      <c r="Y1021">
        <v>0.11777029999999999</v>
      </c>
      <c r="Z1021">
        <v>-1.5144690000000001E-2</v>
      </c>
      <c r="AA1021">
        <v>0.99292530000000001</v>
      </c>
      <c r="AB1021">
        <v>24</v>
      </c>
      <c r="AC1021">
        <v>-24.7544</v>
      </c>
      <c r="AD1021">
        <v>1.3641729999999901</v>
      </c>
      <c r="AE1021">
        <v>-223.10169999999999</v>
      </c>
      <c r="AF1021">
        <v>26.465812875251199</v>
      </c>
      <c r="AG1021">
        <v>1.3641729999999901</v>
      </c>
      <c r="AH1021">
        <v>222.89680993979999</v>
      </c>
      <c r="AI1021">
        <v>89.651788682463803</v>
      </c>
      <c r="AJ1021">
        <v>83.228646927575696</v>
      </c>
      <c r="AK1021">
        <v>224.46667481045199</v>
      </c>
      <c r="AL1021">
        <v>80.959626207660705</v>
      </c>
      <c r="AM1021">
        <v>94.033736110019206</v>
      </c>
      <c r="AN1021">
        <v>0.999999960079759</v>
      </c>
    </row>
    <row r="1022" spans="1:40" x14ac:dyDescent="0.25">
      <c r="A1022" t="str">
        <f>"20190304155338822"</f>
        <v>20190304155338822</v>
      </c>
      <c r="B1022" t="str">
        <f>"1551686018816830"</f>
        <v>1551686018816830</v>
      </c>
      <c r="C1022" t="s">
        <v>40</v>
      </c>
      <c r="D1022">
        <v>4.6296980000000003</v>
      </c>
      <c r="E1022">
        <v>0.56947979999999998</v>
      </c>
      <c r="F1022" t="s">
        <v>59</v>
      </c>
      <c r="G1022">
        <v>-216.54939999999999</v>
      </c>
      <c r="H1022">
        <v>2.2865839999999999</v>
      </c>
      <c r="I1022">
        <v>112.9751</v>
      </c>
      <c r="J1022">
        <v>-191.55240000000001</v>
      </c>
      <c r="K1022">
        <v>1.108385</v>
      </c>
      <c r="L1022">
        <v>335.91340000000002</v>
      </c>
      <c r="M1022">
        <v>5.4130879999999999E-3</v>
      </c>
      <c r="N1022">
        <v>-9.026315E-3</v>
      </c>
      <c r="O1022">
        <v>-0.99994479999999997</v>
      </c>
      <c r="P1022">
        <v>7.5791540000000004E-2</v>
      </c>
      <c r="Q1022">
        <v>0.1473563</v>
      </c>
      <c r="R1022">
        <v>-0.98617540000000004</v>
      </c>
      <c r="S1022">
        <v>-0.34355160000000001</v>
      </c>
      <c r="T1022">
        <v>1.6193389999999998E-2</v>
      </c>
      <c r="U1022">
        <v>-3.067383</v>
      </c>
      <c r="V1022">
        <v>-6.9899829999999996E-2</v>
      </c>
      <c r="W1022">
        <v>0.15650359999999999</v>
      </c>
      <c r="X1022">
        <v>0.98520079999999999</v>
      </c>
      <c r="Y1022">
        <v>0.1166703</v>
      </c>
      <c r="Z1022">
        <v>-1.4273310000000001E-2</v>
      </c>
      <c r="AA1022">
        <v>0.99306810000000001</v>
      </c>
      <c r="AB1022">
        <v>24</v>
      </c>
      <c r="AC1022">
        <v>-24.9969999999999</v>
      </c>
      <c r="AD1022">
        <v>1.178199</v>
      </c>
      <c r="AE1022">
        <v>-222.9383</v>
      </c>
      <c r="AF1022">
        <v>26.202744563233399</v>
      </c>
      <c r="AG1022">
        <v>1.178199</v>
      </c>
      <c r="AH1022">
        <v>222.79357172580299</v>
      </c>
      <c r="AI1022">
        <v>89.699079611930003</v>
      </c>
      <c r="AJ1022">
        <v>83.292259407185298</v>
      </c>
      <c r="AK1022">
        <v>224.33222590138601</v>
      </c>
      <c r="AL1022">
        <v>80.995989366568494</v>
      </c>
      <c r="AM1022">
        <v>94.058325269971206</v>
      </c>
      <c r="AN1022">
        <v>0.99999998968381398</v>
      </c>
    </row>
    <row r="1023" spans="1:40" x14ac:dyDescent="0.25">
      <c r="A1023" t="str">
        <f>"20190304155338843"</f>
        <v>20190304155338843</v>
      </c>
      <c r="B1023" t="str">
        <f>"1551686018837326"</f>
        <v>1551686018837326</v>
      </c>
      <c r="C1023" t="s">
        <v>40</v>
      </c>
      <c r="D1023">
        <v>4.6559900000000001</v>
      </c>
      <c r="E1023">
        <v>0.56927689999999997</v>
      </c>
      <c r="F1023" t="s">
        <v>59</v>
      </c>
      <c r="G1023">
        <v>-216.77500000000001</v>
      </c>
      <c r="H1023">
        <v>2.121912</v>
      </c>
      <c r="I1023">
        <v>113.0643</v>
      </c>
      <c r="J1023">
        <v>-191.55330000000001</v>
      </c>
      <c r="K1023">
        <v>1.108422</v>
      </c>
      <c r="L1023">
        <v>335.67959999999999</v>
      </c>
      <c r="M1023">
        <v>3.4113820000000001E-3</v>
      </c>
      <c r="N1023">
        <v>-8.9748060000000001E-3</v>
      </c>
      <c r="O1023">
        <v>-0.99995409999999996</v>
      </c>
      <c r="P1023">
        <v>7.4305330000000003E-2</v>
      </c>
      <c r="Q1023">
        <v>0.14743029999999999</v>
      </c>
      <c r="R1023">
        <v>-0.98627779999999998</v>
      </c>
      <c r="S1023">
        <v>-0.3470917</v>
      </c>
      <c r="T1023">
        <v>1.3947609999999999E-2</v>
      </c>
      <c r="U1023">
        <v>-3.0666500000000001</v>
      </c>
      <c r="V1023">
        <v>-7.0409349999999996E-2</v>
      </c>
      <c r="W1023">
        <v>0.1565182</v>
      </c>
      <c r="X1023">
        <v>0.98516219999999999</v>
      </c>
      <c r="Y1023">
        <v>0.11584129999999999</v>
      </c>
      <c r="Z1023">
        <v>-1.3494590000000001E-2</v>
      </c>
      <c r="AA1023">
        <v>0.99317599999999995</v>
      </c>
      <c r="AB1023">
        <v>25</v>
      </c>
      <c r="AC1023">
        <v>-25.221699999999998</v>
      </c>
      <c r="AD1023">
        <v>1.01349</v>
      </c>
      <c r="AE1023">
        <v>-222.61529999999999</v>
      </c>
      <c r="AF1023">
        <v>25.980477832345599</v>
      </c>
      <c r="AG1023">
        <v>1.01349</v>
      </c>
      <c r="AH1023">
        <v>222.52340653441399</v>
      </c>
      <c r="AI1023">
        <v>89.740806925031293</v>
      </c>
      <c r="AJ1023">
        <v>83.340643439176802</v>
      </c>
      <c r="AK1023">
        <v>224.037226473766</v>
      </c>
      <c r="AL1023">
        <v>80.995142430644506</v>
      </c>
      <c r="AM1023">
        <v>94.087967271325596</v>
      </c>
      <c r="AN1023">
        <v>0.999999991903751</v>
      </c>
    </row>
    <row r="1024" spans="1:40" x14ac:dyDescent="0.25">
      <c r="A1024" t="str">
        <f>"20190304155338867"</f>
        <v>20190304155338867</v>
      </c>
      <c r="B1024" t="str">
        <f>"1551686018856847"</f>
        <v>1551686018856847</v>
      </c>
      <c r="C1024" t="s">
        <v>40</v>
      </c>
      <c r="D1024">
        <v>4.6794560000000001</v>
      </c>
      <c r="E1024">
        <v>0.56901539999999995</v>
      </c>
      <c r="F1024" t="s">
        <v>59</v>
      </c>
      <c r="G1024">
        <v>-217.02510000000001</v>
      </c>
      <c r="H1024">
        <v>2.1552099999999998</v>
      </c>
      <c r="I1024">
        <v>112.9751</v>
      </c>
      <c r="J1024">
        <v>-191.5549</v>
      </c>
      <c r="K1024">
        <v>1.108466</v>
      </c>
      <c r="L1024">
        <v>335.41669999999999</v>
      </c>
      <c r="M1024">
        <v>1.248603E-3</v>
      </c>
      <c r="N1024">
        <v>-8.9151349999999994E-3</v>
      </c>
      <c r="O1024">
        <v>-0.99995979999999995</v>
      </c>
      <c r="P1024">
        <v>7.3288820000000005E-2</v>
      </c>
      <c r="Q1024">
        <v>0.14779320000000001</v>
      </c>
      <c r="R1024">
        <v>-0.9862995</v>
      </c>
      <c r="S1024">
        <v>-0.35067749999999998</v>
      </c>
      <c r="T1024">
        <v>1.4411810000000001E-2</v>
      </c>
      <c r="U1024">
        <v>-3.0660400000000001</v>
      </c>
      <c r="V1024">
        <v>-7.1545529999999996E-2</v>
      </c>
      <c r="W1024">
        <v>0.15681589999999901</v>
      </c>
      <c r="X1024">
        <v>0.98503300000000005</v>
      </c>
      <c r="Y1024">
        <v>0.1148617</v>
      </c>
      <c r="Z1024">
        <v>-1.3585109999999999E-2</v>
      </c>
      <c r="AA1024">
        <v>0.99328859999999997</v>
      </c>
      <c r="AB1024">
        <v>25</v>
      </c>
      <c r="AC1024">
        <v>-25.470199999999998</v>
      </c>
      <c r="AD1024">
        <v>1.0467439999999999</v>
      </c>
      <c r="AE1024">
        <v>-222.44159999999999</v>
      </c>
      <c r="AF1024">
        <v>25.747369580423499</v>
      </c>
      <c r="AG1024">
        <v>1.0467439999999999</v>
      </c>
      <c r="AH1024">
        <v>222.40476205362199</v>
      </c>
      <c r="AI1024">
        <v>89.732129471075993</v>
      </c>
      <c r="AJ1024">
        <v>83.396374745060896</v>
      </c>
      <c r="AK1024">
        <v>223.892610189441</v>
      </c>
      <c r="AL1024">
        <v>80.977872290857903</v>
      </c>
      <c r="AM1024">
        <v>94.154247729005505</v>
      </c>
      <c r="AN1024">
        <v>1.0000000002223901</v>
      </c>
    </row>
    <row r="1025" spans="1:40" x14ac:dyDescent="0.25">
      <c r="A1025" t="str">
        <f>"20190304155338890"</f>
        <v>20190304155338890</v>
      </c>
      <c r="B1025" t="str">
        <f>"1551686018887102"</f>
        <v>1551686018887102</v>
      </c>
      <c r="C1025" t="s">
        <v>40</v>
      </c>
      <c r="D1025">
        <v>4.6043129999999897</v>
      </c>
      <c r="E1025">
        <v>0.56037799999999904</v>
      </c>
      <c r="F1025" t="s">
        <v>59</v>
      </c>
      <c r="G1025">
        <v>-217.07730000000001</v>
      </c>
      <c r="H1025">
        <v>2.2197719999999999</v>
      </c>
      <c r="I1025">
        <v>112.9751</v>
      </c>
      <c r="J1025">
        <v>-191.55690000000001</v>
      </c>
      <c r="K1025">
        <v>1.108508</v>
      </c>
      <c r="L1025">
        <v>335.16419999999999</v>
      </c>
      <c r="M1025">
        <v>-7.4530709999999999E-4</v>
      </c>
      <c r="N1025">
        <v>-8.8552049999999997E-3</v>
      </c>
      <c r="O1025">
        <v>-0.99996079999999998</v>
      </c>
      <c r="P1025">
        <v>7.1882450000000001E-2</v>
      </c>
      <c r="Q1025">
        <v>0.1484036</v>
      </c>
      <c r="R1025">
        <v>-0.98631139999999995</v>
      </c>
      <c r="S1025">
        <v>-0.3517303</v>
      </c>
      <c r="T1025">
        <v>1.5315530000000001E-2</v>
      </c>
      <c r="U1025">
        <v>-3.0655209999999999</v>
      </c>
      <c r="V1025">
        <v>-7.2121619999999997E-2</v>
      </c>
      <c r="W1025">
        <v>0.15735969999999999</v>
      </c>
      <c r="X1025">
        <v>0.98490420000000001</v>
      </c>
      <c r="Y1025">
        <v>0.1132363</v>
      </c>
      <c r="Z1025">
        <v>-1.3818169999999999E-2</v>
      </c>
      <c r="AA1025">
        <v>0.99347200000000002</v>
      </c>
      <c r="AB1025">
        <v>25</v>
      </c>
      <c r="AC1025">
        <v>-25.520399999999899</v>
      </c>
      <c r="AD1025">
        <v>1.111264</v>
      </c>
      <c r="AE1025">
        <v>-222.1891</v>
      </c>
      <c r="AF1025">
        <v>25.354161392349901</v>
      </c>
      <c r="AG1025">
        <v>1.111264</v>
      </c>
      <c r="AH1025">
        <v>222.20257368258899</v>
      </c>
      <c r="AI1025">
        <v>89.715306024293895</v>
      </c>
      <c r="AJ1025">
        <v>83.490486142630601</v>
      </c>
      <c r="AK1025">
        <v>223.64715996129601</v>
      </c>
      <c r="AL1025">
        <v>80.9463226312009</v>
      </c>
      <c r="AM1025">
        <v>94.188125201815595</v>
      </c>
      <c r="AN1025">
        <v>0.99999994321657504</v>
      </c>
    </row>
    <row r="1026" spans="1:40" x14ac:dyDescent="0.25">
      <c r="A1026" t="str">
        <f>"20190304155338911"</f>
        <v>20190304155338911</v>
      </c>
      <c r="B1026" t="str">
        <f>"1551686018906621"</f>
        <v>1551686018906621</v>
      </c>
      <c r="C1026" t="s">
        <v>40</v>
      </c>
      <c r="D1026">
        <v>4.6601330000000001</v>
      </c>
      <c r="E1026">
        <v>0.56110490000000002</v>
      </c>
      <c r="F1026" t="s">
        <v>60</v>
      </c>
      <c r="G1026">
        <v>-211.92449999999999</v>
      </c>
      <c r="H1026">
        <v>0.99121630000000005</v>
      </c>
      <c r="I1026">
        <v>118.8125</v>
      </c>
      <c r="J1026">
        <v>-191.5592</v>
      </c>
      <c r="K1026">
        <v>1.1085499999999999</v>
      </c>
      <c r="L1026">
        <v>334.91669999999999</v>
      </c>
      <c r="M1026">
        <v>-2.6151400000000002E-3</v>
      </c>
      <c r="N1026">
        <v>-8.7905940000000005E-3</v>
      </c>
      <c r="O1026">
        <v>-0.99995809999999996</v>
      </c>
      <c r="P1026">
        <v>7.0754070000000002E-2</v>
      </c>
      <c r="Q1026">
        <v>0.14926879999999901</v>
      </c>
      <c r="R1026">
        <v>-0.98626230000000004</v>
      </c>
      <c r="S1026">
        <v>-0.28834530000000003</v>
      </c>
      <c r="T1026">
        <v>-1.6601090000000001E-3</v>
      </c>
      <c r="U1026">
        <v>-3.062897</v>
      </c>
      <c r="V1026">
        <v>-7.2852399999999901E-2</v>
      </c>
      <c r="W1026">
        <v>0.15815409999999999</v>
      </c>
      <c r="X1026">
        <v>0.98472320000000002</v>
      </c>
      <c r="Y1026">
        <v>9.1116020000000006E-2</v>
      </c>
      <c r="Z1026">
        <v>-8.2498499999999995E-3</v>
      </c>
      <c r="AA1026">
        <v>0.99580610000000003</v>
      </c>
      <c r="AB1026">
        <v>25</v>
      </c>
      <c r="AC1026">
        <v>-20.365299999999898</v>
      </c>
      <c r="AD1026">
        <v>-0.117333699999999</v>
      </c>
      <c r="AE1026">
        <v>-216.10419999999999</v>
      </c>
      <c r="AF1026">
        <v>19.800060084914499</v>
      </c>
      <c r="AG1026">
        <v>-0.117333699999999</v>
      </c>
      <c r="AH1026">
        <v>216.156657977452</v>
      </c>
      <c r="AI1026">
        <v>90.030971506683201</v>
      </c>
      <c r="AJ1026">
        <v>84.766282875027699</v>
      </c>
      <c r="AK1026">
        <v>217.06164316742999</v>
      </c>
      <c r="AL1026">
        <v>80.900230076473406</v>
      </c>
      <c r="AM1026">
        <v>94.231183292225296</v>
      </c>
      <c r="AN1026">
        <v>0.99999998607540397</v>
      </c>
    </row>
    <row r="1027" spans="1:40" x14ac:dyDescent="0.25">
      <c r="A1027" t="str">
        <f>"20190304155338932"</f>
        <v>20190304155338932</v>
      </c>
      <c r="B1027" t="str">
        <f>"1551686018927119"</f>
        <v>1551686018927119</v>
      </c>
      <c r="C1027" t="s">
        <v>40</v>
      </c>
      <c r="D1027">
        <v>4.6743350000000001</v>
      </c>
      <c r="E1027">
        <v>0.56080759999999996</v>
      </c>
      <c r="F1027" t="s">
        <v>53</v>
      </c>
      <c r="G1027">
        <v>-214.5607</v>
      </c>
      <c r="H1027">
        <v>1.1865429999999999</v>
      </c>
      <c r="I1027">
        <v>98.375470000000007</v>
      </c>
      <c r="J1027">
        <v>-191.5617</v>
      </c>
      <c r="K1027">
        <v>1.1085860000000001</v>
      </c>
      <c r="L1027">
        <v>334.67880000000002</v>
      </c>
      <c r="M1027">
        <v>-4.3286490000000004E-3</v>
      </c>
      <c r="N1027">
        <v>-8.7223990000000005E-3</v>
      </c>
      <c r="O1027">
        <v>-0.99995270000000003</v>
      </c>
      <c r="P1027">
        <v>6.9625229999999996E-2</v>
      </c>
      <c r="Q1027">
        <v>0.15012400000000001</v>
      </c>
      <c r="R1027">
        <v>-0.98621259999999999</v>
      </c>
      <c r="S1027">
        <v>-0.29785159999999899</v>
      </c>
      <c r="T1027">
        <v>1.0102990000000001E-3</v>
      </c>
      <c r="U1027">
        <v>-3.0630190000000002</v>
      </c>
      <c r="V1027">
        <v>-7.342862E-2</v>
      </c>
      <c r="W1027">
        <v>0.158933299999999</v>
      </c>
      <c r="X1027">
        <v>0.98455490000000001</v>
      </c>
      <c r="Y1027">
        <v>9.2467930000000004E-2</v>
      </c>
      <c r="Z1027">
        <v>-9.0489049999999994E-3</v>
      </c>
      <c r="AA1027">
        <v>0.99567459999999997</v>
      </c>
      <c r="AB1027">
        <v>25</v>
      </c>
      <c r="AC1027">
        <v>-22.998999999999899</v>
      </c>
      <c r="AD1027">
        <v>7.7956999999999999E-2</v>
      </c>
      <c r="AE1027">
        <v>-236.30332999999999</v>
      </c>
      <c r="AF1027">
        <v>21.975869171664002</v>
      </c>
      <c r="AG1027">
        <v>7.7956999999999999E-2</v>
      </c>
      <c r="AH1027">
        <v>236.40064887739399</v>
      </c>
      <c r="AI1027">
        <v>89.981186888488494</v>
      </c>
      <c r="AJ1027">
        <v>84.689031965724695</v>
      </c>
      <c r="AK1027">
        <v>237.419905847839</v>
      </c>
      <c r="AL1027">
        <v>80.855013000096704</v>
      </c>
      <c r="AM1027">
        <v>94.265252794089307</v>
      </c>
      <c r="AN1027">
        <v>0.99999995359900096</v>
      </c>
    </row>
    <row r="1028" spans="1:40" x14ac:dyDescent="0.25">
      <c r="A1028" t="str">
        <f>"20190304155338956"</f>
        <v>20190304155338956</v>
      </c>
      <c r="B1028" t="str">
        <f>"1551686018946638"</f>
        <v>1551686018946638</v>
      </c>
      <c r="C1028" t="s">
        <v>40</v>
      </c>
      <c r="D1028">
        <v>4.6861860000000002</v>
      </c>
      <c r="E1028">
        <v>0.56028299999999998</v>
      </c>
      <c r="F1028" t="s">
        <v>53</v>
      </c>
      <c r="G1028">
        <v>-214.64689999999999</v>
      </c>
      <c r="H1028">
        <v>1.332335</v>
      </c>
      <c r="I1028">
        <v>98.375470000000007</v>
      </c>
      <c r="J1028">
        <v>-191.56479999999999</v>
      </c>
      <c r="K1028">
        <v>1.10863</v>
      </c>
      <c r="L1028">
        <v>334.42250000000001</v>
      </c>
      <c r="M1028">
        <v>-6.0800849999999998E-3</v>
      </c>
      <c r="N1028">
        <v>-8.6432139999999998E-3</v>
      </c>
      <c r="O1028">
        <v>-0.99994419999999995</v>
      </c>
      <c r="P1028">
        <v>6.8440619999999994E-2</v>
      </c>
      <c r="Q1028">
        <v>0.14955929999999901</v>
      </c>
      <c r="R1028">
        <v>-0.98638130000000002</v>
      </c>
      <c r="S1028">
        <v>-0.29919430000000002</v>
      </c>
      <c r="T1028">
        <v>2.9002429999999998E-3</v>
      </c>
      <c r="U1028">
        <v>-3.062592</v>
      </c>
      <c r="V1028">
        <v>-7.3996510000000001E-2</v>
      </c>
      <c r="W1028">
        <v>0.15828210000000001</v>
      </c>
      <c r="X1028">
        <v>0.98461739999999998</v>
      </c>
      <c r="Y1028">
        <v>9.1169529999999999E-2</v>
      </c>
      <c r="Z1028">
        <v>-9.5833600000000008E-3</v>
      </c>
      <c r="AA1028">
        <v>0.99578929999999999</v>
      </c>
      <c r="AB1028">
        <v>25</v>
      </c>
      <c r="AC1028">
        <v>-23.082100000000001</v>
      </c>
      <c r="AD1028">
        <v>0.22370499999999999</v>
      </c>
      <c r="AE1028">
        <v>-236.04702999999901</v>
      </c>
      <c r="AF1028">
        <v>21.646414500420999</v>
      </c>
      <c r="AG1028">
        <v>0.22370499999999999</v>
      </c>
      <c r="AH1028">
        <v>236.182802853608</v>
      </c>
      <c r="AI1028">
        <v>89.945957737806097</v>
      </c>
      <c r="AJ1028">
        <v>84.763408209976703</v>
      </c>
      <c r="AK1028">
        <v>237.17279285035499</v>
      </c>
      <c r="AL1028">
        <v>80.892803392025101</v>
      </c>
      <c r="AM1028">
        <v>94.297844904375594</v>
      </c>
      <c r="AN1028">
        <v>1.00000006552767</v>
      </c>
    </row>
    <row r="1029" spans="1:40" x14ac:dyDescent="0.25">
      <c r="A1029" t="str">
        <f>"20190304155338977"</f>
        <v>20190304155338977</v>
      </c>
      <c r="B1029" t="str">
        <f>"1551686018967134"</f>
        <v>1551686018967134</v>
      </c>
      <c r="C1029" t="s">
        <v>40</v>
      </c>
      <c r="D1029">
        <v>4.6912219999999998</v>
      </c>
      <c r="E1029">
        <v>0.55978109999999903</v>
      </c>
      <c r="F1029" t="s">
        <v>60</v>
      </c>
      <c r="G1029">
        <v>-212.5849</v>
      </c>
      <c r="H1029">
        <v>0.95567749999999996</v>
      </c>
      <c r="I1029">
        <v>118.83759999999999</v>
      </c>
      <c r="J1029">
        <v>-191.56800000000001</v>
      </c>
      <c r="K1029">
        <v>1.1086739999999999</v>
      </c>
      <c r="L1029">
        <v>334.18380000000002</v>
      </c>
      <c r="M1029">
        <v>-7.6186600000000002E-3</v>
      </c>
      <c r="N1029">
        <v>-8.5649839999999994E-3</v>
      </c>
      <c r="O1029">
        <v>-0.99993449999999995</v>
      </c>
      <c r="P1029">
        <v>6.778613E-2</v>
      </c>
      <c r="Q1029">
        <v>0.1497925</v>
      </c>
      <c r="R1029">
        <v>-0.98639109999999997</v>
      </c>
      <c r="S1029">
        <v>-0.29859920000000001</v>
      </c>
      <c r="T1029">
        <v>-2.1723509999999999E-3</v>
      </c>
      <c r="U1029">
        <v>-3.0624690000000001</v>
      </c>
      <c r="V1029">
        <v>-7.4882539999999997E-2</v>
      </c>
      <c r="W1029">
        <v>0.1584286</v>
      </c>
      <c r="X1029">
        <v>0.98452680000000004</v>
      </c>
      <c r="Y1029">
        <v>8.9450260000000004E-2</v>
      </c>
      <c r="Z1029">
        <v>-7.8556169999999901E-3</v>
      </c>
      <c r="AA1029">
        <v>0.99596030000000002</v>
      </c>
      <c r="AB1029">
        <v>25</v>
      </c>
      <c r="AC1029">
        <v>-21.0169</v>
      </c>
      <c r="AD1029">
        <v>-0.15299649999999901</v>
      </c>
      <c r="AE1029">
        <v>-215.34620000000001</v>
      </c>
      <c r="AF1029">
        <v>19.3755709790893</v>
      </c>
      <c r="AG1029">
        <v>-0.15299649999999901</v>
      </c>
      <c r="AH1029">
        <v>215.49996838389799</v>
      </c>
      <c r="AI1029">
        <v>90.0405143178656</v>
      </c>
      <c r="AJ1029">
        <v>84.862358893362298</v>
      </c>
      <c r="AK1029">
        <v>216.369296648475</v>
      </c>
      <c r="AL1029">
        <v>80.884301858756601</v>
      </c>
      <c r="AM1029">
        <v>94.349509454523698</v>
      </c>
      <c r="AN1029">
        <v>1.0000000180065201</v>
      </c>
    </row>
    <row r="1030" spans="1:40" x14ac:dyDescent="0.25">
      <c r="A1030" t="str">
        <f>"20190304155339000"</f>
        <v>20190304155339000</v>
      </c>
      <c r="B1030" t="str">
        <f>"1551686018997391"</f>
        <v>1551686018997391</v>
      </c>
      <c r="C1030" t="s">
        <v>40</v>
      </c>
      <c r="D1030">
        <v>4.661117</v>
      </c>
      <c r="E1030">
        <v>0.5591218</v>
      </c>
      <c r="F1030" t="s">
        <v>60</v>
      </c>
      <c r="G1030">
        <v>-212.43530000000001</v>
      </c>
      <c r="H1030">
        <v>0.82792619999999895</v>
      </c>
      <c r="I1030">
        <v>118.9277</v>
      </c>
      <c r="J1030">
        <v>-191.57169999999999</v>
      </c>
      <c r="K1030">
        <v>1.1087290000000001</v>
      </c>
      <c r="L1030">
        <v>333.93180000000001</v>
      </c>
      <c r="M1030">
        <v>-9.1427729999999999E-3</v>
      </c>
      <c r="N1030">
        <v>-8.4822439999999999E-3</v>
      </c>
      <c r="O1030">
        <v>-0.99992230000000004</v>
      </c>
      <c r="P1030">
        <v>6.7009550000000001E-2</v>
      </c>
      <c r="Q1030">
        <v>0.149895</v>
      </c>
      <c r="R1030">
        <v>-0.98642859999999999</v>
      </c>
      <c r="S1030">
        <v>-0.296875</v>
      </c>
      <c r="T1030">
        <v>-3.9937499999999999E-3</v>
      </c>
      <c r="U1030">
        <v>-3.062408</v>
      </c>
      <c r="V1030">
        <v>-7.5634939999999998E-2</v>
      </c>
      <c r="W1030">
        <v>0.158438</v>
      </c>
      <c r="X1030">
        <v>0.98446769999999995</v>
      </c>
      <c r="Y1030">
        <v>8.7378780000000003E-2</v>
      </c>
      <c r="Z1030">
        <v>-7.1800319999999898E-3</v>
      </c>
      <c r="AA1030">
        <v>0.99614930000000002</v>
      </c>
      <c r="AB1030">
        <v>25</v>
      </c>
      <c r="AC1030">
        <v>-20.863600000000002</v>
      </c>
      <c r="AD1030">
        <v>-0.28080280000000002</v>
      </c>
      <c r="AE1030">
        <v>-215.00409999999999</v>
      </c>
      <c r="AF1030">
        <v>18.8968917320326</v>
      </c>
      <c r="AG1030">
        <v>-0.28080280000000002</v>
      </c>
      <c r="AH1030">
        <v>215.18550742234601</v>
      </c>
      <c r="AI1030">
        <v>90.074480508868305</v>
      </c>
      <c r="AJ1030">
        <v>84.981345400216597</v>
      </c>
      <c r="AK1030">
        <v>216.01382819615301</v>
      </c>
      <c r="AL1030">
        <v>80.8837557468905</v>
      </c>
      <c r="AM1030">
        <v>94.393304638721901</v>
      </c>
      <c r="AN1030">
        <v>0.99999994816804505</v>
      </c>
    </row>
    <row r="1031" spans="1:40" x14ac:dyDescent="0.25">
      <c r="A1031" t="str">
        <f>"20190304155339022"</f>
        <v>20190304155339022</v>
      </c>
      <c r="B1031" t="str">
        <f>"1551686019016910"</f>
        <v>1551686019016910</v>
      </c>
      <c r="C1031" t="s">
        <v>40</v>
      </c>
      <c r="D1031">
        <v>4.7520819999999997</v>
      </c>
      <c r="E1031">
        <v>0.55891489999999999</v>
      </c>
      <c r="F1031" t="s">
        <v>60</v>
      </c>
      <c r="G1031">
        <v>-212.26349999999999</v>
      </c>
      <c r="H1031">
        <v>0.67263030000000001</v>
      </c>
      <c r="I1031">
        <v>119.0372</v>
      </c>
      <c r="J1031">
        <v>-191.57560000000001</v>
      </c>
      <c r="K1031">
        <v>1.108784</v>
      </c>
      <c r="L1031">
        <v>333.67939999999999</v>
      </c>
      <c r="M1031">
        <v>-1.0557449999999999E-2</v>
      </c>
      <c r="N1031">
        <v>-8.4048230000000005E-3</v>
      </c>
      <c r="O1031">
        <v>-0.99990900000000005</v>
      </c>
      <c r="P1031">
        <v>6.6570299999999999E-2</v>
      </c>
      <c r="Q1031">
        <v>0.14956179999999999</v>
      </c>
      <c r="R1031">
        <v>-0.98650919999999998</v>
      </c>
      <c r="S1031">
        <v>-0.29486079999999998</v>
      </c>
      <c r="T1031">
        <v>-6.2140229999999999E-3</v>
      </c>
      <c r="U1031">
        <v>-3.0622560000000001</v>
      </c>
      <c r="V1031">
        <v>-7.661983E-2</v>
      </c>
      <c r="W1031">
        <v>0.15801799999999999</v>
      </c>
      <c r="X1031">
        <v>0.98445910000000003</v>
      </c>
      <c r="Y1031">
        <v>8.5325239999999997E-2</v>
      </c>
      <c r="Z1031">
        <v>-6.3799319999999996E-3</v>
      </c>
      <c r="AA1031">
        <v>0.99633269999999996</v>
      </c>
      <c r="AB1031">
        <v>25</v>
      </c>
      <c r="AC1031">
        <v>-20.6878999999999</v>
      </c>
      <c r="AD1031">
        <v>-0.43615369999999898</v>
      </c>
      <c r="AE1031">
        <v>-214.6422</v>
      </c>
      <c r="AF1031">
        <v>18.420517379542201</v>
      </c>
      <c r="AG1031">
        <v>-0.43615369999999898</v>
      </c>
      <c r="AH1031">
        <v>214.84777706309799</v>
      </c>
      <c r="AI1031">
        <v>90.115888500133394</v>
      </c>
      <c r="AJ1031">
        <v>85.099585555788195</v>
      </c>
      <c r="AK1031">
        <v>215.63643708690401</v>
      </c>
      <c r="AL1031">
        <v>80.908127493870296</v>
      </c>
      <c r="AM1031">
        <v>94.450322991100194</v>
      </c>
      <c r="AN1031">
        <v>1.0000000031230101</v>
      </c>
    </row>
    <row r="1032" spans="1:40" x14ac:dyDescent="0.25">
      <c r="A1032" t="str">
        <f>"20190304155339044"</f>
        <v>20190304155339044</v>
      </c>
      <c r="B1032" t="str">
        <f>"1551686019037406"</f>
        <v>1551686019037406</v>
      </c>
      <c r="C1032" t="s">
        <v>40</v>
      </c>
      <c r="D1032">
        <v>4.8119719999999999</v>
      </c>
      <c r="E1032">
        <v>0.55881979999999998</v>
      </c>
      <c r="F1032" t="s">
        <v>60</v>
      </c>
      <c r="G1032">
        <v>-212.25110000000001</v>
      </c>
      <c r="H1032">
        <v>0.55688119999999997</v>
      </c>
      <c r="I1032">
        <v>119.11879999999999</v>
      </c>
      <c r="J1032">
        <v>-191.5796</v>
      </c>
      <c r="K1032">
        <v>1.1088450000000001</v>
      </c>
      <c r="L1032">
        <v>333.43380000000002</v>
      </c>
      <c r="M1032">
        <v>-1.18204E-2</v>
      </c>
      <c r="N1032">
        <v>-8.3322099999999996E-3</v>
      </c>
      <c r="O1032">
        <v>-0.9998956</v>
      </c>
      <c r="P1032">
        <v>6.6414639999999997E-2</v>
      </c>
      <c r="Q1032">
        <v>0.1496729</v>
      </c>
      <c r="R1032">
        <v>-0.98650269999999995</v>
      </c>
      <c r="S1032">
        <v>-0.29507450000000002</v>
      </c>
      <c r="T1032">
        <v>-7.8761579999999994E-3</v>
      </c>
      <c r="U1032">
        <v>-3.0621339999999999</v>
      </c>
      <c r="V1032">
        <v>-7.7734780000000003E-2</v>
      </c>
      <c r="W1032">
        <v>0.1580463</v>
      </c>
      <c r="X1032">
        <v>0.98436710000000005</v>
      </c>
      <c r="Y1032">
        <v>8.4139649999999996E-2</v>
      </c>
      <c r="Z1032">
        <v>-5.7661930000000002E-3</v>
      </c>
      <c r="AA1032">
        <v>0.99643729999999997</v>
      </c>
      <c r="AB1032">
        <v>25</v>
      </c>
      <c r="AC1032">
        <v>-20.671500000000002</v>
      </c>
      <c r="AD1032">
        <v>-0.5519638</v>
      </c>
      <c r="AE1032">
        <v>-214.315</v>
      </c>
      <c r="AF1032">
        <v>18.136560012852001</v>
      </c>
      <c r="AG1032">
        <v>-0.5519638</v>
      </c>
      <c r="AH1032">
        <v>214.54297006913001</v>
      </c>
      <c r="AI1032">
        <v>90.146883058621498</v>
      </c>
      <c r="AJ1032">
        <v>85.167944454939999</v>
      </c>
      <c r="AK1032">
        <v>215.30890710609299</v>
      </c>
      <c r="AL1032">
        <v>80.906484977178806</v>
      </c>
      <c r="AM1032">
        <v>94.515237211349501</v>
      </c>
      <c r="AN1032">
        <v>0.999999958263873</v>
      </c>
    </row>
    <row r="1033" spans="1:40" x14ac:dyDescent="0.25">
      <c r="A1033" t="str">
        <f>"20190304155339066"</f>
        <v>20190304155339066</v>
      </c>
      <c r="B1033" t="str">
        <f>"1551686019056926"</f>
        <v>1551686019056926</v>
      </c>
      <c r="C1033" t="s">
        <v>40</v>
      </c>
      <c r="D1033">
        <v>4.6766519999999998</v>
      </c>
      <c r="E1033">
        <v>0.52823529999999996</v>
      </c>
      <c r="F1033" t="s">
        <v>60</v>
      </c>
      <c r="G1033">
        <v>-212.2216</v>
      </c>
      <c r="H1033">
        <v>0.52454440000000002</v>
      </c>
      <c r="I1033">
        <v>119.1416</v>
      </c>
      <c r="J1033">
        <v>-191.58410000000001</v>
      </c>
      <c r="K1033">
        <v>1.1088929999999999</v>
      </c>
      <c r="L1033">
        <v>333.17239999999998</v>
      </c>
      <c r="M1033">
        <v>-1.306829E-2</v>
      </c>
      <c r="N1033">
        <v>-8.2582419999999903E-3</v>
      </c>
      <c r="O1033">
        <v>-0.99988069999999896</v>
      </c>
      <c r="P1033">
        <v>6.6306580000000004E-2</v>
      </c>
      <c r="Q1033">
        <v>0.14981240000000001</v>
      </c>
      <c r="R1033">
        <v>-0.98648880000000005</v>
      </c>
      <c r="S1033">
        <v>-0.2949677</v>
      </c>
      <c r="T1033">
        <v>-8.3490609999999996E-3</v>
      </c>
      <c r="U1033">
        <v>-3.0621640000000001</v>
      </c>
      <c r="V1033">
        <v>-7.8879309999999994E-2</v>
      </c>
      <c r="W1033">
        <v>0.15810279999999999</v>
      </c>
      <c r="X1033">
        <v>0.984267</v>
      </c>
      <c r="Y1033">
        <v>8.2860799999999998E-2</v>
      </c>
      <c r="Z1033">
        <v>-5.5379269999999998E-3</v>
      </c>
      <c r="AA1033">
        <v>0.99654569999999998</v>
      </c>
      <c r="AB1033">
        <v>25</v>
      </c>
      <c r="AC1033">
        <v>-20.6374999999999</v>
      </c>
      <c r="AD1033">
        <v>-0.5843486</v>
      </c>
      <c r="AE1033">
        <v>-214.0308</v>
      </c>
      <c r="AF1033">
        <v>17.838494428326701</v>
      </c>
      <c r="AG1033">
        <v>-0.5843486</v>
      </c>
      <c r="AH1033">
        <v>214.28064530520001</v>
      </c>
      <c r="AI1033">
        <v>90.155707999858905</v>
      </c>
      <c r="AJ1033">
        <v>85.241198126119798</v>
      </c>
      <c r="AK1033">
        <v>215.02266926807701</v>
      </c>
      <c r="AL1033">
        <v>80.9032067834125</v>
      </c>
      <c r="AM1033">
        <v>94.581900397294007</v>
      </c>
      <c r="AN1033">
        <v>0.99999998410145796</v>
      </c>
    </row>
    <row r="1034" spans="1:40" x14ac:dyDescent="0.25">
      <c r="A1034" t="str">
        <f>"20190304155339091"</f>
        <v>20190304155339091</v>
      </c>
      <c r="B1034" t="str">
        <f>"1551686019087183"</f>
        <v>1551686019087183</v>
      </c>
      <c r="C1034" t="s">
        <v>40</v>
      </c>
      <c r="D1034">
        <v>4.6697930000000003</v>
      </c>
      <c r="E1034">
        <v>0.5216963</v>
      </c>
      <c r="F1034" t="s">
        <v>51</v>
      </c>
      <c r="G1034">
        <v>-192.35319999999999</v>
      </c>
      <c r="H1034" s="1">
        <v>2.5671010000000002E-6</v>
      </c>
      <c r="I1034">
        <v>291.15230000000003</v>
      </c>
      <c r="J1034">
        <v>-191.589</v>
      </c>
      <c r="K1034">
        <v>1.108938</v>
      </c>
      <c r="L1034">
        <v>332.90219999999999</v>
      </c>
      <c r="M1034">
        <v>-1.425918E-2</v>
      </c>
      <c r="N1034">
        <v>-8.1890069999999999E-3</v>
      </c>
      <c r="O1034">
        <v>-0.999865</v>
      </c>
      <c r="P1034">
        <v>6.5954390000000002E-2</v>
      </c>
      <c r="Q1034">
        <v>0.14980769999999999</v>
      </c>
      <c r="R1034">
        <v>-0.98651319999999998</v>
      </c>
      <c r="S1034">
        <v>-5.595398E-2</v>
      </c>
      <c r="T1034">
        <v>-8.0676319999999996E-2</v>
      </c>
      <c r="U1034">
        <v>-3.0571290000000002</v>
      </c>
      <c r="V1034">
        <v>-7.9722779999999993E-2</v>
      </c>
      <c r="W1034">
        <v>0.15802040000000001</v>
      </c>
      <c r="X1034">
        <v>0.98421230000000004</v>
      </c>
      <c r="Y1034">
        <v>4.0369910000000002E-3</v>
      </c>
      <c r="Z1034">
        <v>1.8188079999999999E-2</v>
      </c>
      <c r="AA1034">
        <v>0.9998264</v>
      </c>
      <c r="AB1034">
        <v>25</v>
      </c>
      <c r="AC1034">
        <v>-0.76419999999995902</v>
      </c>
      <c r="AD1034">
        <v>-1.108935432899</v>
      </c>
      <c r="AE1034">
        <v>-41.749899999999897</v>
      </c>
      <c r="AF1034">
        <v>0.168664165366713</v>
      </c>
      <c r="AG1034">
        <v>-1.108935432899</v>
      </c>
      <c r="AH1034">
        <v>41.7271234080672</v>
      </c>
      <c r="AI1034">
        <v>91.522315563457994</v>
      </c>
      <c r="AJ1034">
        <v>89.768407419158294</v>
      </c>
      <c r="AK1034">
        <v>41.742197034979903</v>
      </c>
      <c r="AL1034">
        <v>80.907988297122102</v>
      </c>
      <c r="AM1034">
        <v>94.630939728325004</v>
      </c>
      <c r="AN1034">
        <v>1.0000000099691799</v>
      </c>
    </row>
    <row r="1035" spans="1:40" x14ac:dyDescent="0.25">
      <c r="A1035" t="str">
        <f>"20190304155339113"</f>
        <v>20190304155339113</v>
      </c>
      <c r="B1035" t="str">
        <f>"1551686019106702"</f>
        <v>1551686019106702</v>
      </c>
      <c r="C1035" t="s">
        <v>40</v>
      </c>
      <c r="D1035">
        <v>4.6715859999999996</v>
      </c>
      <c r="E1035">
        <v>0.51971610000000001</v>
      </c>
      <c r="F1035" t="s">
        <v>51</v>
      </c>
      <c r="G1035">
        <v>-191.65969999999999</v>
      </c>
      <c r="H1035" s="1">
        <v>2.2645609999999999E-6</v>
      </c>
      <c r="I1035">
        <v>292.35610000000003</v>
      </c>
      <c r="J1035">
        <v>-191.59389999999999</v>
      </c>
      <c r="K1035">
        <v>1.1089869999999999</v>
      </c>
      <c r="L1035">
        <v>332.6429</v>
      </c>
      <c r="M1035">
        <v>-1.5305610000000001E-2</v>
      </c>
      <c r="N1035">
        <v>-8.1303859999999999E-3</v>
      </c>
      <c r="O1035">
        <v>-0.99985000000000002</v>
      </c>
      <c r="P1035">
        <v>6.5887790000000002E-2</v>
      </c>
      <c r="Q1035">
        <v>0.14986650000000001</v>
      </c>
      <c r="R1035">
        <v>-0.98650879999999996</v>
      </c>
      <c r="S1035">
        <v>-5.3253170000000004E-3</v>
      </c>
      <c r="T1035">
        <v>-8.3528279999999996E-2</v>
      </c>
      <c r="U1035">
        <v>-3.0540470000000002</v>
      </c>
      <c r="V1035">
        <v>-8.0707459999999995E-2</v>
      </c>
      <c r="W1035">
        <v>0.1580124</v>
      </c>
      <c r="X1035">
        <v>0.98413329999999999</v>
      </c>
      <c r="Y1035">
        <v>-1.356097E-2</v>
      </c>
      <c r="Z1035">
        <v>1.9205590000000002E-2</v>
      </c>
      <c r="AA1035">
        <v>0.99972360000000005</v>
      </c>
      <c r="AB1035">
        <v>25</v>
      </c>
      <c r="AC1035">
        <v>-6.5799999999995806E-2</v>
      </c>
      <c r="AD1035">
        <v>-1.1089847354389999</v>
      </c>
      <c r="AE1035">
        <v>-40.2867999999999</v>
      </c>
      <c r="AF1035">
        <v>-0.55042493571499695</v>
      </c>
      <c r="AG1035">
        <v>-1.1089847354389999</v>
      </c>
      <c r="AH1035">
        <v>40.252586437415502</v>
      </c>
      <c r="AI1035">
        <v>91.577989047336402</v>
      </c>
      <c r="AJ1035">
        <v>90.783429416793695</v>
      </c>
      <c r="AK1035">
        <v>40.271621890046802</v>
      </c>
      <c r="AL1035">
        <v>80.908452242643705</v>
      </c>
      <c r="AM1035">
        <v>94.688259108263793</v>
      </c>
      <c r="AN1035">
        <v>0.99999998241114996</v>
      </c>
    </row>
    <row r="1036" spans="1:40" x14ac:dyDescent="0.25">
      <c r="A1036" t="str">
        <f>"20190304155339135"</f>
        <v>20190304155339135</v>
      </c>
      <c r="B1036" t="str">
        <f>"1551686019127198"</f>
        <v>1551686019127198</v>
      </c>
      <c r="C1036" t="s">
        <v>40</v>
      </c>
      <c r="D1036">
        <v>4.7034760000000002</v>
      </c>
      <c r="E1036">
        <v>0.51862710000000001</v>
      </c>
      <c r="F1036" t="s">
        <v>51</v>
      </c>
      <c r="G1036">
        <v>-191.46789999999999</v>
      </c>
      <c r="H1036" s="1">
        <v>2.2286050000000001E-6</v>
      </c>
      <c r="I1036">
        <v>292.55410000000001</v>
      </c>
      <c r="J1036">
        <v>-191.59870000000001</v>
      </c>
      <c r="K1036">
        <v>1.1090370000000001</v>
      </c>
      <c r="L1036">
        <v>332.39550000000003</v>
      </c>
      <c r="M1036">
        <v>-1.6211440000000001E-2</v>
      </c>
      <c r="N1036">
        <v>-8.0811579999999997E-3</v>
      </c>
      <c r="O1036">
        <v>-0.99983610000000001</v>
      </c>
      <c r="P1036">
        <v>6.5699090000000002E-2</v>
      </c>
      <c r="Q1036">
        <v>0.1495928</v>
      </c>
      <c r="R1036">
        <v>-0.98656279999999996</v>
      </c>
      <c r="S1036">
        <v>9.5977779999999995E-3</v>
      </c>
      <c r="T1036">
        <v>-8.4462049999999997E-2</v>
      </c>
      <c r="U1036">
        <v>-3.053223</v>
      </c>
      <c r="V1036">
        <v>-8.1434030000000004E-2</v>
      </c>
      <c r="W1036">
        <v>0.15768089999999901</v>
      </c>
      <c r="X1036">
        <v>0.98412659999999996</v>
      </c>
      <c r="Y1036">
        <v>-1.9351549999999999E-2</v>
      </c>
      <c r="Z1036">
        <v>1.9565389999999998E-2</v>
      </c>
      <c r="AA1036">
        <v>0.99962130000000005</v>
      </c>
      <c r="AB1036">
        <v>25</v>
      </c>
      <c r="AC1036">
        <v>0.13080000000002101</v>
      </c>
      <c r="AD1036">
        <v>-1.109034771395</v>
      </c>
      <c r="AE1036">
        <v>-39.8414</v>
      </c>
      <c r="AF1036">
        <v>-0.776088904856157</v>
      </c>
      <c r="AG1036">
        <v>-1.109034771395</v>
      </c>
      <c r="AH1036">
        <v>39.803201988079998</v>
      </c>
      <c r="AI1036">
        <v>91.595713572035294</v>
      </c>
      <c r="AJ1036">
        <v>91.117020309007103</v>
      </c>
      <c r="AK1036">
        <v>39.826211979251902</v>
      </c>
      <c r="AL1036">
        <v>80.927686778171903</v>
      </c>
      <c r="AM1036">
        <v>94.730306608057305</v>
      </c>
      <c r="AN1036">
        <v>0.99999996614720399</v>
      </c>
    </row>
    <row r="1037" spans="1:40" x14ac:dyDescent="0.25">
      <c r="A1037" t="str">
        <f>"20190304155339156"</f>
        <v>20190304155339156</v>
      </c>
      <c r="B1037" t="str">
        <f>"1551686019146719"</f>
        <v>1551686019146719</v>
      </c>
      <c r="C1037" t="s">
        <v>40</v>
      </c>
      <c r="D1037">
        <v>4.8790930000000001</v>
      </c>
      <c r="E1037">
        <v>0.51912740000000002</v>
      </c>
      <c r="F1037" t="s">
        <v>51</v>
      </c>
      <c r="G1037">
        <v>-191.37970000000001</v>
      </c>
      <c r="H1037" s="1">
        <v>2.0274770000000001E-6</v>
      </c>
      <c r="I1037">
        <v>293.16730000000001</v>
      </c>
      <c r="J1037">
        <v>-191.6036</v>
      </c>
      <c r="K1037">
        <v>1.109094</v>
      </c>
      <c r="L1037">
        <v>332.1542</v>
      </c>
      <c r="M1037">
        <v>-1.7007040000000001E-2</v>
      </c>
      <c r="N1037">
        <v>-8.0387050000000002E-3</v>
      </c>
      <c r="O1037">
        <v>-0.99982329999999997</v>
      </c>
      <c r="P1037">
        <v>6.533754E-2</v>
      </c>
      <c r="Q1037">
        <v>0.14919489999999999</v>
      </c>
      <c r="R1037">
        <v>-0.98664719999999995</v>
      </c>
      <c r="S1037">
        <v>1.7044070000000001E-2</v>
      </c>
      <c r="T1037">
        <v>-8.6307640000000005E-2</v>
      </c>
      <c r="U1037">
        <v>-3.052826</v>
      </c>
      <c r="V1037">
        <v>-8.1881549999999997E-2</v>
      </c>
      <c r="W1037">
        <v>0.157229799999999</v>
      </c>
      <c r="X1037">
        <v>0.98416170000000003</v>
      </c>
      <c r="Y1037">
        <v>-2.2585029999999999E-2</v>
      </c>
      <c r="Z1037">
        <v>2.021336E-2</v>
      </c>
      <c r="AA1037">
        <v>0.9995406</v>
      </c>
      <c r="AB1037">
        <v>26</v>
      </c>
      <c r="AC1037">
        <v>0.223899999999986</v>
      </c>
      <c r="AD1037">
        <v>-1.109091972523</v>
      </c>
      <c r="AE1037">
        <v>-38.986899999999899</v>
      </c>
      <c r="AF1037">
        <v>-0.88622346710280897</v>
      </c>
      <c r="AG1037">
        <v>-1.109091972523</v>
      </c>
      <c r="AH1037">
        <v>38.945935909974999</v>
      </c>
      <c r="AI1037">
        <v>91.630791128079096</v>
      </c>
      <c r="AJ1037">
        <v>91.303553292946305</v>
      </c>
      <c r="AK1037">
        <v>38.971802639101</v>
      </c>
      <c r="AL1037">
        <v>80.953859916462093</v>
      </c>
      <c r="AM1037">
        <v>94.756014184327796</v>
      </c>
      <c r="AN1037">
        <v>1.0000000249926599</v>
      </c>
    </row>
    <row r="1038" spans="1:40" x14ac:dyDescent="0.25">
      <c r="A1038" t="str">
        <f>"20190304155339180"</f>
        <v>20190304155339180</v>
      </c>
      <c r="B1038" t="str">
        <f>"1551686019177484"</f>
        <v>1551686019177484</v>
      </c>
      <c r="C1038" t="s">
        <v>40</v>
      </c>
      <c r="D1038">
        <v>4.6643850000000002</v>
      </c>
      <c r="E1038">
        <v>0.51793350000000005</v>
      </c>
      <c r="F1038" t="s">
        <v>51</v>
      </c>
      <c r="G1038">
        <v>-191.45869999999999</v>
      </c>
      <c r="H1038" s="1">
        <v>1.6900739999999901E-6</v>
      </c>
      <c r="I1038">
        <v>294.3</v>
      </c>
      <c r="J1038">
        <v>-191.60929999999999</v>
      </c>
      <c r="K1038">
        <v>1.109165</v>
      </c>
      <c r="L1038">
        <v>331.87520000000001</v>
      </c>
      <c r="M1038">
        <v>-1.7823550000000001E-2</v>
      </c>
      <c r="N1038">
        <v>-7.9960239999999991E-3</v>
      </c>
      <c r="O1038">
        <v>-0.99980950000000002</v>
      </c>
      <c r="P1038">
        <v>6.490079E-2</v>
      </c>
      <c r="Q1038">
        <v>0.14965400000000001</v>
      </c>
      <c r="R1038">
        <v>-0.98660650000000005</v>
      </c>
      <c r="S1038">
        <v>1.1688230000000001E-2</v>
      </c>
      <c r="T1038">
        <v>-8.9461089999999993E-2</v>
      </c>
      <c r="U1038">
        <v>-3.053375</v>
      </c>
      <c r="V1038">
        <v>-8.2276520000000006E-2</v>
      </c>
      <c r="W1038">
        <v>0.15763189999999999</v>
      </c>
      <c r="X1038">
        <v>0.98406439999999995</v>
      </c>
      <c r="Y1038">
        <v>-2.164723E-2</v>
      </c>
      <c r="Z1038">
        <v>2.1282200000000001E-2</v>
      </c>
      <c r="AA1038">
        <v>0.99953910000000001</v>
      </c>
      <c r="AB1038">
        <v>26</v>
      </c>
      <c r="AC1038">
        <v>0.15059999999999699</v>
      </c>
      <c r="AD1038">
        <v>-1.1091633099260001</v>
      </c>
      <c r="AE1038">
        <v>-37.575200000000002</v>
      </c>
      <c r="AF1038">
        <v>-0.81960657824084804</v>
      </c>
      <c r="AG1038">
        <v>-1.1091633099260001</v>
      </c>
      <c r="AH1038">
        <v>37.5338421436307</v>
      </c>
      <c r="AI1038">
        <v>91.692252937721406</v>
      </c>
      <c r="AJ1038">
        <v>91.250938706175603</v>
      </c>
      <c r="AK1038">
        <v>37.559170707753601</v>
      </c>
      <c r="AL1038">
        <v>80.930530067511796</v>
      </c>
      <c r="AM1038">
        <v>94.779319978616499</v>
      </c>
      <c r="AN1038">
        <v>0.99999999249413996</v>
      </c>
    </row>
    <row r="1039" spans="1:40" x14ac:dyDescent="0.25">
      <c r="A1039" t="str">
        <f>"20190304155339201"</f>
        <v>20190304155339201</v>
      </c>
      <c r="B1039" t="str">
        <f>"1551686019197003"</f>
        <v>1551686019197003</v>
      </c>
      <c r="C1039" t="s">
        <v>40</v>
      </c>
      <c r="D1039">
        <v>4.7506629999999896</v>
      </c>
      <c r="E1039">
        <v>0.51739809999999997</v>
      </c>
      <c r="F1039" t="s">
        <v>51</v>
      </c>
      <c r="G1039">
        <v>-191.36240000000001</v>
      </c>
      <c r="H1039" s="1">
        <v>1.848932E-6</v>
      </c>
      <c r="I1039">
        <v>293.68110000000001</v>
      </c>
      <c r="J1039">
        <v>-191.61429999999999</v>
      </c>
      <c r="K1039">
        <v>1.109227</v>
      </c>
      <c r="L1039">
        <v>331.63279999999997</v>
      </c>
      <c r="M1039">
        <v>-1.8435799999999999E-2</v>
      </c>
      <c r="N1039">
        <v>-7.9646100000000004E-3</v>
      </c>
      <c r="O1039">
        <v>-0.99979859999999998</v>
      </c>
      <c r="P1039">
        <v>6.419561E-2</v>
      </c>
      <c r="Q1039">
        <v>0.1498678</v>
      </c>
      <c r="R1039">
        <v>-0.98662019999999995</v>
      </c>
      <c r="S1039">
        <v>1.9729610000000002E-2</v>
      </c>
      <c r="T1039">
        <v>-8.865547E-2</v>
      </c>
      <c r="U1039">
        <v>-3.0528559999999998</v>
      </c>
      <c r="V1039">
        <v>-8.2200120000000002E-2</v>
      </c>
      <c r="W1039">
        <v>0.15780139999999901</v>
      </c>
      <c r="X1039">
        <v>0.98404360000000002</v>
      </c>
      <c r="Y1039">
        <v>-2.4892339999999999E-2</v>
      </c>
      <c r="Z1039">
        <v>2.105309E-2</v>
      </c>
      <c r="AA1039">
        <v>0.99946840000000003</v>
      </c>
      <c r="AB1039">
        <v>26</v>
      </c>
      <c r="AC1039">
        <v>0.25189999999997698</v>
      </c>
      <c r="AD1039">
        <v>-1.109225151068</v>
      </c>
      <c r="AE1039">
        <v>-37.951699999999903</v>
      </c>
      <c r="AF1039">
        <v>-0.95073701942895805</v>
      </c>
      <c r="AG1039">
        <v>-1.109225151068</v>
      </c>
      <c r="AH1039">
        <v>37.908224359911401</v>
      </c>
      <c r="AI1039">
        <v>91.675515816040601</v>
      </c>
      <c r="AJ1039">
        <v>91.436675090005195</v>
      </c>
      <c r="AK1039">
        <v>37.936364552197901</v>
      </c>
      <c r="AL1039">
        <v>80.920695177345806</v>
      </c>
      <c r="AM1039">
        <v>94.775003007894199</v>
      </c>
      <c r="AN1039">
        <v>0.99999997413546604</v>
      </c>
    </row>
    <row r="1040" spans="1:40" x14ac:dyDescent="0.25">
      <c r="A1040" t="str">
        <f>"20190304155339222"</f>
        <v>20190304155339222</v>
      </c>
      <c r="B1040" t="str">
        <f>"1551686019217498"</f>
        <v>1551686019217498</v>
      </c>
      <c r="C1040" t="s">
        <v>40</v>
      </c>
      <c r="D1040">
        <v>4.7428339999999896</v>
      </c>
      <c r="E1040">
        <v>0.51685049999999999</v>
      </c>
      <c r="F1040" t="s">
        <v>51</v>
      </c>
      <c r="G1040">
        <v>-191.33690000000001</v>
      </c>
      <c r="H1040" s="1">
        <v>2.213719E-6</v>
      </c>
      <c r="I1040">
        <v>292.66199999999998</v>
      </c>
      <c r="J1040">
        <v>-191.61940000000001</v>
      </c>
      <c r="K1040">
        <v>1.1092879999999901</v>
      </c>
      <c r="L1040">
        <v>331.38580000000002</v>
      </c>
      <c r="M1040">
        <v>-1.8964720000000001E-2</v>
      </c>
      <c r="N1040">
        <v>-7.937286E-3</v>
      </c>
      <c r="O1040">
        <v>-0.99978889999999998</v>
      </c>
      <c r="P1040">
        <v>6.3748600000000002E-2</v>
      </c>
      <c r="Q1040">
        <v>0.14977099999999999</v>
      </c>
      <c r="R1040">
        <v>-0.98666390000000004</v>
      </c>
      <c r="S1040">
        <v>2.1728520000000001E-2</v>
      </c>
      <c r="T1040">
        <v>-8.6881040000000007E-2</v>
      </c>
      <c r="U1040">
        <v>-3.0524290000000001</v>
      </c>
      <c r="V1040">
        <v>-8.2300479999999995E-2</v>
      </c>
      <c r="W1040">
        <v>0.1576649</v>
      </c>
      <c r="X1040">
        <v>0.98405710000000002</v>
      </c>
      <c r="Y1040">
        <v>-2.6076539999999999E-2</v>
      </c>
      <c r="Z1040">
        <v>2.050302E-2</v>
      </c>
      <c r="AA1040">
        <v>0.9994497</v>
      </c>
      <c r="AB1040">
        <v>26</v>
      </c>
      <c r="AC1040">
        <v>0.28249999999999797</v>
      </c>
      <c r="AD1040">
        <v>-1.1092857862809899</v>
      </c>
      <c r="AE1040">
        <v>-38.723799999999898</v>
      </c>
      <c r="AF1040">
        <v>-1.01602445903345</v>
      </c>
      <c r="AG1040">
        <v>-1.1092857862809899</v>
      </c>
      <c r="AH1040">
        <v>38.679738661000798</v>
      </c>
      <c r="AI1040">
        <v>91.642153809332399</v>
      </c>
      <c r="AJ1040">
        <v>91.504677435289494</v>
      </c>
      <c r="AK1040">
        <v>38.708978332427201</v>
      </c>
      <c r="AL1040">
        <v>80.928615276047495</v>
      </c>
      <c r="AM1040">
        <v>94.780740629397997</v>
      </c>
      <c r="AN1040">
        <v>0.99999998288032499</v>
      </c>
    </row>
    <row r="1041" spans="1:40" x14ac:dyDescent="0.25">
      <c r="A1041" t="str">
        <f>"20190304155339244"</f>
        <v>20190304155339244</v>
      </c>
      <c r="B1041" t="str">
        <f>"1551686019237019"</f>
        <v>1551686019237019</v>
      </c>
      <c r="C1041" t="s">
        <v>40</v>
      </c>
      <c r="D1041">
        <v>4.7302309999999999</v>
      </c>
      <c r="E1041">
        <v>0.51636269999999995</v>
      </c>
      <c r="F1041" t="s">
        <v>51</v>
      </c>
      <c r="G1041">
        <v>-191.30670000000001</v>
      </c>
      <c r="H1041" s="1">
        <v>2.3344629999999999E-6</v>
      </c>
      <c r="I1041">
        <v>292.33550000000002</v>
      </c>
      <c r="J1041">
        <v>-191.625</v>
      </c>
      <c r="K1041">
        <v>1.109343</v>
      </c>
      <c r="L1041">
        <v>331.12220000000002</v>
      </c>
      <c r="M1041">
        <v>-1.94253E-2</v>
      </c>
      <c r="N1041">
        <v>-7.9127099999999999E-3</v>
      </c>
      <c r="O1041">
        <v>-0.99977990000000005</v>
      </c>
      <c r="P1041">
        <v>6.3318089999999994E-2</v>
      </c>
      <c r="Q1041">
        <v>0.1496933</v>
      </c>
      <c r="R1041">
        <v>-0.98670290000000005</v>
      </c>
      <c r="S1041">
        <v>2.444458E-2</v>
      </c>
      <c r="T1041">
        <v>-8.6698769999999994E-2</v>
      </c>
      <c r="U1041">
        <v>-3.052063</v>
      </c>
      <c r="V1041">
        <v>-8.2349399999999906E-2</v>
      </c>
      <c r="W1041">
        <v>0.15754949999999901</v>
      </c>
      <c r="X1041">
        <v>0.98407149999999999</v>
      </c>
      <c r="Y1041">
        <v>-2.7427099999999999E-2</v>
      </c>
      <c r="Z1041">
        <v>2.04703E-2</v>
      </c>
      <c r="AA1041">
        <v>0.99941420000000003</v>
      </c>
      <c r="AB1041">
        <v>26</v>
      </c>
      <c r="AC1041">
        <v>0.31829999999999298</v>
      </c>
      <c r="AD1041">
        <v>-1.1093406655369999</v>
      </c>
      <c r="AE1041">
        <v>-38.786700000000003</v>
      </c>
      <c r="AF1041">
        <v>-1.0708309800348199</v>
      </c>
      <c r="AG1041">
        <v>-1.1093406655369999</v>
      </c>
      <c r="AH1041">
        <v>38.741508436463</v>
      </c>
      <c r="AI1041">
        <v>91.639557452847299</v>
      </c>
      <c r="AJ1041">
        <v>91.583275424283499</v>
      </c>
      <c r="AK1041">
        <v>38.7721780614986</v>
      </c>
      <c r="AL1041">
        <v>80.935310983035507</v>
      </c>
      <c r="AM1041">
        <v>94.783499479654495</v>
      </c>
      <c r="AN1041">
        <v>0.99999999287142904</v>
      </c>
    </row>
    <row r="1042" spans="1:40" x14ac:dyDescent="0.25">
      <c r="A1042" t="str">
        <f>"20190304155339268"</f>
        <v>20190304155339268</v>
      </c>
      <c r="B1042" t="str">
        <f>"1551686019257515"</f>
        <v>1551686019257515</v>
      </c>
      <c r="C1042" t="s">
        <v>40</v>
      </c>
      <c r="D1042">
        <v>4.7310730000000003</v>
      </c>
      <c r="E1042">
        <v>0.51587090000000002</v>
      </c>
      <c r="F1042" t="s">
        <v>51</v>
      </c>
      <c r="G1042">
        <v>-191.27950000000001</v>
      </c>
      <c r="H1042" s="1">
        <v>2.2065910000000001E-6</v>
      </c>
      <c r="I1042">
        <v>292.71089999999998</v>
      </c>
      <c r="J1042">
        <v>-191.63069999999999</v>
      </c>
      <c r="K1042">
        <v>1.1093949999999999</v>
      </c>
      <c r="L1042">
        <v>330.85430000000002</v>
      </c>
      <c r="M1042">
        <v>-1.981132E-2</v>
      </c>
      <c r="N1042">
        <v>-7.8920309999999903E-3</v>
      </c>
      <c r="O1042">
        <v>-0.99977269999999896</v>
      </c>
      <c r="P1042">
        <v>6.2827099999999997E-2</v>
      </c>
      <c r="Q1042">
        <v>0.14984020000000001</v>
      </c>
      <c r="R1042">
        <v>-0.98671209999999998</v>
      </c>
      <c r="S1042">
        <v>2.7450559999999999E-2</v>
      </c>
      <c r="T1042">
        <v>-8.8143589999999994E-2</v>
      </c>
      <c r="U1042">
        <v>-3.0520019999999999</v>
      </c>
      <c r="V1042">
        <v>-8.2260589999999995E-2</v>
      </c>
      <c r="W1042">
        <v>0.1576649</v>
      </c>
      <c r="X1042">
        <v>0.9840605</v>
      </c>
      <c r="Y1042">
        <v>-2.8797130000000001E-2</v>
      </c>
      <c r="Z1042">
        <v>2.096313E-2</v>
      </c>
      <c r="AA1042">
        <v>0.99936539999999996</v>
      </c>
      <c r="AB1042">
        <v>26</v>
      </c>
      <c r="AC1042">
        <v>0.35119999999997698</v>
      </c>
      <c r="AD1042">
        <v>-1.109392793409</v>
      </c>
      <c r="AE1042">
        <v>-38.1434</v>
      </c>
      <c r="AF1042">
        <v>-1.1058901999221999</v>
      </c>
      <c r="AG1042">
        <v>-1.109392793409</v>
      </c>
      <c r="AH1042">
        <v>38.096731181493702</v>
      </c>
      <c r="AI1042">
        <v>91.667303817940606</v>
      </c>
      <c r="AJ1042">
        <v>91.662742457601794</v>
      </c>
      <c r="AK1042">
        <v>38.128921729041203</v>
      </c>
      <c r="AL1042">
        <v>80.928615858125795</v>
      </c>
      <c r="AM1042">
        <v>94.778417763873193</v>
      </c>
      <c r="AN1042">
        <v>1.0000000465097001</v>
      </c>
    </row>
    <row r="1043" spans="1:40" x14ac:dyDescent="0.25">
      <c r="A1043" t="str">
        <f>"20190304155339292"</f>
        <v>20190304155339292</v>
      </c>
      <c r="B1043" t="str">
        <f>"1551686019287303"</f>
        <v>1551686019287303</v>
      </c>
      <c r="C1043" t="s">
        <v>40</v>
      </c>
      <c r="D1043">
        <v>4.7351489999999998</v>
      </c>
      <c r="E1043">
        <v>0.51547209999999999</v>
      </c>
      <c r="F1043" t="s">
        <v>51</v>
      </c>
      <c r="G1043">
        <v>-191.2578</v>
      </c>
      <c r="H1043" s="1">
        <v>2.275335E-6</v>
      </c>
      <c r="I1043">
        <v>292.5274</v>
      </c>
      <c r="J1043">
        <v>-191.63659999999999</v>
      </c>
      <c r="K1043">
        <v>1.1094459999999999</v>
      </c>
      <c r="L1043">
        <v>330.57639999999998</v>
      </c>
      <c r="M1043">
        <v>-2.0130700000000001E-2</v>
      </c>
      <c r="N1043">
        <v>-7.8741430000000001E-3</v>
      </c>
      <c r="O1043">
        <v>-0.99976670000000001</v>
      </c>
      <c r="P1043">
        <v>6.2356700000000001E-2</v>
      </c>
      <c r="Q1043">
        <v>0.1498004</v>
      </c>
      <c r="R1043">
        <v>-0.98674810000000002</v>
      </c>
      <c r="S1043">
        <v>2.9693600000000001E-2</v>
      </c>
      <c r="T1043">
        <v>-8.8338970000000003E-2</v>
      </c>
      <c r="U1043">
        <v>-3.0519099999999999</v>
      </c>
      <c r="V1043">
        <v>-8.2124459999999996E-2</v>
      </c>
      <c r="W1043">
        <v>0.15759799999999999</v>
      </c>
      <c r="X1043">
        <v>0.98408249999999997</v>
      </c>
      <c r="Y1043">
        <v>-2.9850959999999999E-2</v>
      </c>
      <c r="Z1043">
        <v>2.104491E-2</v>
      </c>
      <c r="AA1043">
        <v>0.99933280000000002</v>
      </c>
      <c r="AB1043">
        <v>26</v>
      </c>
      <c r="AC1043">
        <v>0.37879999999998398</v>
      </c>
      <c r="AD1043">
        <v>-1.109443724665</v>
      </c>
      <c r="AE1043">
        <v>-38.0489999999999</v>
      </c>
      <c r="AF1043">
        <v>-1.14372740881971</v>
      </c>
      <c r="AG1043">
        <v>-1.109443724665</v>
      </c>
      <c r="AH1043">
        <v>38.001357645470698</v>
      </c>
      <c r="AI1043">
        <v>91.671509913738404</v>
      </c>
      <c r="AJ1043">
        <v>91.723911503815799</v>
      </c>
      <c r="AK1043">
        <v>38.0347493834633</v>
      </c>
      <c r="AL1043">
        <v>80.932496697728396</v>
      </c>
      <c r="AM1043">
        <v>94.770440505984496</v>
      </c>
      <c r="AN1043">
        <v>0.99999996167027005</v>
      </c>
    </row>
    <row r="1044" spans="1:40" x14ac:dyDescent="0.25">
      <c r="A1044" t="str">
        <f>"20190304155339313"</f>
        <v>20190304155339313</v>
      </c>
      <c r="B1044" t="str">
        <f>"1551686019306823"</f>
        <v>1551686019306823</v>
      </c>
      <c r="C1044" t="s">
        <v>40</v>
      </c>
      <c r="D1044">
        <v>4.7254550000000002</v>
      </c>
      <c r="E1044">
        <v>0.51501370000000002</v>
      </c>
      <c r="F1044" t="s">
        <v>51</v>
      </c>
      <c r="G1044">
        <v>-191.2439</v>
      </c>
      <c r="H1044" s="1">
        <v>2.0253820000000001E-6</v>
      </c>
      <c r="I1044">
        <v>293.2414</v>
      </c>
      <c r="J1044">
        <v>-191.6421</v>
      </c>
      <c r="K1044">
        <v>1.1094869999999999</v>
      </c>
      <c r="L1044">
        <v>330.31950000000001</v>
      </c>
      <c r="M1044">
        <v>-2.0353820000000002E-2</v>
      </c>
      <c r="N1044">
        <v>-7.8609349999999995E-3</v>
      </c>
      <c r="O1044">
        <v>-0.99976209999999999</v>
      </c>
      <c r="P1044">
        <v>6.2253610000000001E-2</v>
      </c>
      <c r="Q1044">
        <v>0.1498505</v>
      </c>
      <c r="R1044">
        <v>-0.98674689999999998</v>
      </c>
      <c r="S1044">
        <v>3.2104489999999999E-2</v>
      </c>
      <c r="T1044">
        <v>-9.0694789999999997E-2</v>
      </c>
      <c r="U1044">
        <v>-3.052063</v>
      </c>
      <c r="V1044">
        <v>-8.2257810000000001E-2</v>
      </c>
      <c r="W1044">
        <v>0.1576263</v>
      </c>
      <c r="X1044">
        <v>0.98406689999999997</v>
      </c>
      <c r="Y1044">
        <v>-3.0862440000000001E-2</v>
      </c>
      <c r="Z1044">
        <v>2.1826430000000001E-2</v>
      </c>
      <c r="AA1044">
        <v>0.99928530000000004</v>
      </c>
      <c r="AB1044">
        <v>26</v>
      </c>
      <c r="AC1044">
        <v>0.398200000000002</v>
      </c>
      <c r="AD1044">
        <v>-1.109484974618</v>
      </c>
      <c r="AE1044">
        <v>-37.078099999999999</v>
      </c>
      <c r="AF1044">
        <v>-1.15179049896264</v>
      </c>
      <c r="AG1044">
        <v>-1.109484974618</v>
      </c>
      <c r="AH1044">
        <v>37.029161884678899</v>
      </c>
      <c r="AI1044">
        <v>91.715380213524995</v>
      </c>
      <c r="AJ1044">
        <v>91.781608343307397</v>
      </c>
      <c r="AK1044">
        <v>37.063680445203602</v>
      </c>
      <c r="AL1044">
        <v>80.930855335452705</v>
      </c>
      <c r="AM1044">
        <v>94.778226092680498</v>
      </c>
      <c r="AN1044">
        <v>1.0000000307166399</v>
      </c>
    </row>
    <row r="1045" spans="1:40" x14ac:dyDescent="0.25">
      <c r="A1045" t="str">
        <f>"20190304155339334"</f>
        <v>20190304155339334</v>
      </c>
      <c r="B1045" t="str">
        <f>"1551686019327319"</f>
        <v>1551686019327319</v>
      </c>
      <c r="C1045" t="s">
        <v>40</v>
      </c>
      <c r="D1045">
        <v>4.8243159999999996</v>
      </c>
      <c r="E1045">
        <v>0.51495139999999995</v>
      </c>
      <c r="F1045" t="s">
        <v>51</v>
      </c>
      <c r="G1045">
        <v>-191.20830000000001</v>
      </c>
      <c r="H1045" s="1">
        <v>2.1396799999999999E-6</v>
      </c>
      <c r="I1045">
        <v>292.9359</v>
      </c>
      <c r="J1045">
        <v>-191.6472</v>
      </c>
      <c r="K1045">
        <v>1.109529</v>
      </c>
      <c r="L1045">
        <v>330.0788</v>
      </c>
      <c r="M1045">
        <v>-2.050285E-2</v>
      </c>
      <c r="N1045">
        <v>-7.8510400000000001E-3</v>
      </c>
      <c r="O1045">
        <v>-0.99975899999999995</v>
      </c>
      <c r="P1045">
        <v>6.2603880000000001E-2</v>
      </c>
      <c r="Q1045">
        <v>0.1501287</v>
      </c>
      <c r="R1045">
        <v>-0.98668270000000002</v>
      </c>
      <c r="S1045">
        <v>3.541565E-2</v>
      </c>
      <c r="T1045">
        <v>-9.0572239999999998E-2</v>
      </c>
      <c r="U1045">
        <v>-3.0517880000000002</v>
      </c>
      <c r="V1045">
        <v>-8.2769090000000003E-2</v>
      </c>
      <c r="W1045">
        <v>0.1578862</v>
      </c>
      <c r="X1045">
        <v>0.98398229999999998</v>
      </c>
      <c r="Y1045">
        <v>-3.2096279999999998E-2</v>
      </c>
      <c r="Z1045">
        <v>2.179793E-2</v>
      </c>
      <c r="AA1045">
        <v>0.99924710000000005</v>
      </c>
      <c r="AB1045">
        <v>26</v>
      </c>
      <c r="AC1045">
        <v>0.43889999999998902</v>
      </c>
      <c r="AD1045">
        <v>-1.1095268603199999</v>
      </c>
      <c r="AE1045">
        <v>-37.142899999999997</v>
      </c>
      <c r="AF1045">
        <v>-1.1992964740632299</v>
      </c>
      <c r="AG1045">
        <v>-1.1095268603199999</v>
      </c>
      <c r="AH1045">
        <v>37.092998436379197</v>
      </c>
      <c r="AI1045">
        <v>91.712427885653497</v>
      </c>
      <c r="AJ1045">
        <v>91.851850759600197</v>
      </c>
      <c r="AK1045">
        <v>37.128963019288598</v>
      </c>
      <c r="AL1045">
        <v>80.915774781152805</v>
      </c>
      <c r="AM1045">
        <v>94.808198171562097</v>
      </c>
      <c r="AN1045">
        <v>0.99999997056157797</v>
      </c>
    </row>
    <row r="1046" spans="1:40" x14ac:dyDescent="0.25">
      <c r="A1046" t="str">
        <f>"20190304155339356"</f>
        <v>20190304155339356</v>
      </c>
      <c r="B1046" t="str">
        <f>"1551686019346839"</f>
        <v>1551686019346839</v>
      </c>
      <c r="C1046" t="s">
        <v>40</v>
      </c>
      <c r="D1046">
        <v>4.7563690000000003</v>
      </c>
      <c r="E1046">
        <v>0.5146984</v>
      </c>
      <c r="F1046" t="s">
        <v>51</v>
      </c>
      <c r="G1046">
        <v>-191.20249999999999</v>
      </c>
      <c r="H1046" s="1">
        <v>2.0256050000000001E-6</v>
      </c>
      <c r="I1046">
        <v>293.26150000000001</v>
      </c>
      <c r="J1046">
        <v>-191.65289999999999</v>
      </c>
      <c r="K1046">
        <v>1.1095699999999999</v>
      </c>
      <c r="L1046">
        <v>329.81020000000001</v>
      </c>
      <c r="M1046">
        <v>-2.0611049999999999E-2</v>
      </c>
      <c r="N1046">
        <v>-7.8423550000000005E-3</v>
      </c>
      <c r="O1046">
        <v>-0.9997568</v>
      </c>
      <c r="P1046">
        <v>6.2738180000000004E-2</v>
      </c>
      <c r="Q1046">
        <v>0.15016550000000001</v>
      </c>
      <c r="R1046">
        <v>-0.98666849999999995</v>
      </c>
      <c r="S1046">
        <v>3.6865229999999999E-2</v>
      </c>
      <c r="T1046">
        <v>-9.1979980000000003E-2</v>
      </c>
      <c r="U1046">
        <v>-3.052155</v>
      </c>
      <c r="V1046">
        <v>-8.3027359999999994E-2</v>
      </c>
      <c r="W1046">
        <v>0.15790499999999999</v>
      </c>
      <c r="X1046">
        <v>0.98395750000000004</v>
      </c>
      <c r="Y1046">
        <v>-3.2677299999999999E-2</v>
      </c>
      <c r="Z1046">
        <v>2.226297E-2</v>
      </c>
      <c r="AA1046">
        <v>0.99921800000000005</v>
      </c>
      <c r="AB1046">
        <v>26</v>
      </c>
      <c r="AC1046">
        <v>0.45040000000000102</v>
      </c>
      <c r="AD1046">
        <v>-1.109567974395</v>
      </c>
      <c r="AE1046">
        <v>-36.548699999999997</v>
      </c>
      <c r="AF1046">
        <v>-1.2025264385910299</v>
      </c>
      <c r="AG1046">
        <v>-1.109567974395</v>
      </c>
      <c r="AH1046">
        <v>36.498018838950102</v>
      </c>
      <c r="AI1046">
        <v>91.740355874784001</v>
      </c>
      <c r="AJ1046">
        <v>91.887082551313298</v>
      </c>
      <c r="AK1046">
        <v>36.534676542890999</v>
      </c>
      <c r="AL1046">
        <v>80.914683717805801</v>
      </c>
      <c r="AM1046">
        <v>94.8232518403873</v>
      </c>
      <c r="AN1046">
        <v>0.99999994666990799</v>
      </c>
    </row>
    <row r="1047" spans="1:40" x14ac:dyDescent="0.25">
      <c r="A1047" t="str">
        <f>"20190304155339379"</f>
        <v>20190304155339379</v>
      </c>
      <c r="B1047" t="str">
        <f>"1551686019377602"</f>
        <v>1551686019377602</v>
      </c>
      <c r="C1047" t="s">
        <v>40</v>
      </c>
      <c r="D1047">
        <v>4.7595910000000003</v>
      </c>
      <c r="E1047">
        <v>0.51447379999999998</v>
      </c>
      <c r="F1047" t="s">
        <v>51</v>
      </c>
      <c r="G1047">
        <v>-191.17529999999999</v>
      </c>
      <c r="H1047" s="1">
        <v>2.0484160000000002E-6</v>
      </c>
      <c r="I1047">
        <v>293.21069999999997</v>
      </c>
      <c r="J1047">
        <v>-191.6585</v>
      </c>
      <c r="K1047">
        <v>1.109605</v>
      </c>
      <c r="L1047">
        <v>329.54390000000001</v>
      </c>
      <c r="M1047">
        <v>-2.066925E-2</v>
      </c>
      <c r="N1047">
        <v>-7.8358209999999998E-3</v>
      </c>
      <c r="O1047">
        <v>-0.99975559999999997</v>
      </c>
      <c r="P1047">
        <v>6.280761E-2</v>
      </c>
      <c r="Q1047">
        <v>0.14991670000000001</v>
      </c>
      <c r="R1047">
        <v>-0.98670179999999996</v>
      </c>
      <c r="S1047">
        <v>3.9825439999999997E-2</v>
      </c>
      <c r="T1047">
        <v>-9.2529539999999993E-2</v>
      </c>
      <c r="U1047">
        <v>-3.0521240000000001</v>
      </c>
      <c r="V1047">
        <v>-8.3170240000000006E-2</v>
      </c>
      <c r="W1047">
        <v>0.15764230000000001</v>
      </c>
      <c r="X1047">
        <v>0.98398759999999996</v>
      </c>
      <c r="Y1047">
        <v>-3.3704339999999999E-2</v>
      </c>
      <c r="Z1047">
        <v>2.2448699999999999E-2</v>
      </c>
      <c r="AA1047">
        <v>0.9991797</v>
      </c>
      <c r="AB1047">
        <v>26</v>
      </c>
      <c r="AC1047">
        <v>0.48320000000001001</v>
      </c>
      <c r="AD1047">
        <v>-1.109602951584</v>
      </c>
      <c r="AE1047">
        <v>-36.333199999999998</v>
      </c>
      <c r="AF1047">
        <v>-1.23295013099546</v>
      </c>
      <c r="AG1047">
        <v>-1.109602951584</v>
      </c>
      <c r="AH1047">
        <v>36.2816171236746</v>
      </c>
      <c r="AI1047">
        <v>91.750724403346496</v>
      </c>
      <c r="AJ1047">
        <v>91.946320748922403</v>
      </c>
      <c r="AK1047">
        <v>36.319514394394098</v>
      </c>
      <c r="AL1047">
        <v>80.929926626486207</v>
      </c>
      <c r="AM1047">
        <v>94.831365717034103</v>
      </c>
      <c r="AN1047">
        <v>0.99999999026235298</v>
      </c>
    </row>
    <row r="1048" spans="1:40" x14ac:dyDescent="0.25">
      <c r="A1048" t="str">
        <f>"20190304155339401"</f>
        <v>20190304155339401</v>
      </c>
      <c r="B1048" t="str">
        <f>"1551686019397122"</f>
        <v>1551686019397122</v>
      </c>
      <c r="C1048" t="s">
        <v>40</v>
      </c>
      <c r="D1048">
        <v>4.7460190000000004</v>
      </c>
      <c r="E1048">
        <v>0.51427699999999998</v>
      </c>
      <c r="F1048" t="s">
        <v>51</v>
      </c>
      <c r="G1048">
        <v>-191.16579999999999</v>
      </c>
      <c r="H1048" s="1">
        <v>1.906429E-6</v>
      </c>
      <c r="I1048">
        <v>293.61709999999999</v>
      </c>
      <c r="J1048">
        <v>-191.66380000000001</v>
      </c>
      <c r="K1048">
        <v>1.109631</v>
      </c>
      <c r="L1048">
        <v>329.29250000000002</v>
      </c>
      <c r="M1048">
        <v>-2.0690010000000002E-2</v>
      </c>
      <c r="N1048">
        <v>-7.8313700000000007E-3</v>
      </c>
      <c r="O1048">
        <v>-0.99975539999999996</v>
      </c>
      <c r="P1048">
        <v>6.3076939999999998E-2</v>
      </c>
      <c r="Q1048">
        <v>0.1494509</v>
      </c>
      <c r="R1048">
        <v>-0.98675539999999995</v>
      </c>
      <c r="S1048">
        <v>4.1854860000000001E-2</v>
      </c>
      <c r="T1048">
        <v>-9.4263319999999998E-2</v>
      </c>
      <c r="U1048">
        <v>-3.052063</v>
      </c>
      <c r="V1048">
        <v>-8.3471779999999995E-2</v>
      </c>
      <c r="W1048">
        <v>0.15716669999999999</v>
      </c>
      <c r="X1048">
        <v>0.98403819999999997</v>
      </c>
      <c r="Y1048">
        <v>-3.4389250000000003E-2</v>
      </c>
      <c r="Z1048">
        <v>2.3020209999999999E-2</v>
      </c>
      <c r="AA1048">
        <v>0.99914340000000001</v>
      </c>
      <c r="AB1048">
        <v>26</v>
      </c>
      <c r="AC1048">
        <v>0.49800000000001798</v>
      </c>
      <c r="AD1048">
        <v>-1.109629093571</v>
      </c>
      <c r="AE1048">
        <v>-35.675400000000003</v>
      </c>
      <c r="AF1048">
        <v>-1.2348459212038101</v>
      </c>
      <c r="AG1048">
        <v>-1.109629093571</v>
      </c>
      <c r="AH1048">
        <v>35.623002954145697</v>
      </c>
      <c r="AI1048">
        <v>91.783072229697694</v>
      </c>
      <c r="AJ1048">
        <v>91.985322279610102</v>
      </c>
      <c r="AK1048">
        <v>35.661666543299503</v>
      </c>
      <c r="AL1048">
        <v>80.957520972051199</v>
      </c>
      <c r="AM1048">
        <v>94.848550695002501</v>
      </c>
      <c r="AN1048">
        <v>1.0000000443522401</v>
      </c>
    </row>
    <row r="1049" spans="1:40" x14ac:dyDescent="0.25">
      <c r="A1049" t="str">
        <f>"20190304155339424"</f>
        <v>20190304155339424</v>
      </c>
      <c r="B1049" t="str">
        <f>"1551686019416642"</f>
        <v>1551686019416642</v>
      </c>
      <c r="C1049" t="s">
        <v>40</v>
      </c>
      <c r="D1049">
        <v>4.7960289999999999</v>
      </c>
      <c r="E1049">
        <v>0.51428560000000001</v>
      </c>
      <c r="F1049" t="s">
        <v>51</v>
      </c>
      <c r="G1049">
        <v>-191.15180000000001</v>
      </c>
      <c r="H1049" s="1">
        <v>1.7977439999999999E-6</v>
      </c>
      <c r="I1049">
        <v>293.9316</v>
      </c>
      <c r="J1049">
        <v>-191.6695</v>
      </c>
      <c r="K1049">
        <v>1.109653</v>
      </c>
      <c r="L1049">
        <v>329.01749999999998</v>
      </c>
      <c r="M1049">
        <v>-2.0685990000000001E-2</v>
      </c>
      <c r="N1049">
        <v>-7.8283299999999997E-3</v>
      </c>
      <c r="O1049">
        <v>-0.99975559999999997</v>
      </c>
      <c r="P1049">
        <v>6.3547039999999999E-2</v>
      </c>
      <c r="Q1049">
        <v>0.1499771</v>
      </c>
      <c r="R1049">
        <v>-0.98664560000000001</v>
      </c>
      <c r="S1049">
        <v>4.4189449999999998E-2</v>
      </c>
      <c r="T1049">
        <v>-9.577012E-2</v>
      </c>
      <c r="U1049">
        <v>-3.0519409999999998</v>
      </c>
      <c r="V1049">
        <v>-8.3941929999999998E-2</v>
      </c>
      <c r="W1049">
        <v>0.15768560000000001</v>
      </c>
      <c r="X1049">
        <v>0.98391519999999999</v>
      </c>
      <c r="Y1049">
        <v>-3.5149560000000003E-2</v>
      </c>
      <c r="Z1049">
        <v>2.351663E-2</v>
      </c>
      <c r="AA1049">
        <v>0.99910529999999997</v>
      </c>
      <c r="AB1049">
        <v>26</v>
      </c>
      <c r="AC1049">
        <v>0.51769999999998995</v>
      </c>
      <c r="AD1049">
        <v>-1.1096512022559999</v>
      </c>
      <c r="AE1049">
        <v>-35.085899999999903</v>
      </c>
      <c r="AF1049">
        <v>-1.24215567583153</v>
      </c>
      <c r="AG1049">
        <v>-1.1096512022559999</v>
      </c>
      <c r="AH1049">
        <v>35.0326487574916</v>
      </c>
      <c r="AI1049">
        <v>91.813085657987003</v>
      </c>
      <c r="AJ1049">
        <v>92.030690727479097</v>
      </c>
      <c r="AK1049">
        <v>35.072221992332402</v>
      </c>
      <c r="AL1049">
        <v>80.927414920698695</v>
      </c>
      <c r="AM1049">
        <v>94.876335173101594</v>
      </c>
      <c r="AN1049">
        <v>1.00000005842526</v>
      </c>
    </row>
    <row r="1050" spans="1:40" x14ac:dyDescent="0.25">
      <c r="A1050" t="str">
        <f>"20190304155339445"</f>
        <v>20190304155339445</v>
      </c>
      <c r="B1050" t="str">
        <f>"1551686019437138"</f>
        <v>1551686019437138</v>
      </c>
      <c r="C1050" t="s">
        <v>40</v>
      </c>
      <c r="D1050">
        <v>4.7379949999999997</v>
      </c>
      <c r="E1050">
        <v>0.47811670000000001</v>
      </c>
      <c r="F1050" t="s">
        <v>51</v>
      </c>
      <c r="G1050">
        <v>-191.13560000000001</v>
      </c>
      <c r="H1050" s="1">
        <v>2.019074E-6</v>
      </c>
      <c r="I1050">
        <v>293.31360000000001</v>
      </c>
      <c r="J1050">
        <v>-191.67500000000001</v>
      </c>
      <c r="K1050">
        <v>1.109656</v>
      </c>
      <c r="L1050">
        <v>328.75170000000003</v>
      </c>
      <c r="M1050">
        <v>-2.0667540000000002E-2</v>
      </c>
      <c r="N1050">
        <v>-7.826609E-3</v>
      </c>
      <c r="O1050">
        <v>-0.99975610000000004</v>
      </c>
      <c r="P1050">
        <v>6.3322929999999999E-2</v>
      </c>
      <c r="Q1050">
        <v>0.150529</v>
      </c>
      <c r="R1050">
        <v>-0.98657609999999996</v>
      </c>
      <c r="S1050">
        <v>4.5639039999999999E-2</v>
      </c>
      <c r="T1050">
        <v>-9.4856739999999995E-2</v>
      </c>
      <c r="U1050">
        <v>-3.0520939999999999</v>
      </c>
      <c r="V1050">
        <v>-8.3701330000000004E-2</v>
      </c>
      <c r="W1050">
        <v>0.1582337</v>
      </c>
      <c r="X1050">
        <v>0.98384769999999999</v>
      </c>
      <c r="Y1050">
        <v>-3.560489E-2</v>
      </c>
      <c r="Z1050">
        <v>2.3217709999999999E-2</v>
      </c>
      <c r="AA1050">
        <v>0.99909619999999999</v>
      </c>
      <c r="AB1050">
        <v>27</v>
      </c>
      <c r="AC1050">
        <v>0.53939999999999999</v>
      </c>
      <c r="AD1050">
        <v>-1.109653980926</v>
      </c>
      <c r="AE1050">
        <v>-35.438099999999999</v>
      </c>
      <c r="AF1050">
        <v>-1.2704799403237099</v>
      </c>
      <c r="AG1050">
        <v>-1.109653980926</v>
      </c>
      <c r="AH1050">
        <v>35.384696085493097</v>
      </c>
      <c r="AI1050">
        <v>91.795034746627806</v>
      </c>
      <c r="AJ1050">
        <v>92.056309372282598</v>
      </c>
      <c r="AK1050">
        <v>35.424880639161799</v>
      </c>
      <c r="AL1050">
        <v>80.895611819206806</v>
      </c>
      <c r="AM1050">
        <v>94.862757403907395</v>
      </c>
      <c r="AN1050">
        <v>1.0000000566273699</v>
      </c>
    </row>
    <row r="1051" spans="1:40" x14ac:dyDescent="0.25">
      <c r="A1051" t="str">
        <f>"20190304155339470"</f>
        <v>20190304155339470</v>
      </c>
      <c r="B1051" t="str">
        <f>"1551686019467393"</f>
        <v>1551686019467393</v>
      </c>
      <c r="C1051" t="s">
        <v>40</v>
      </c>
      <c r="D1051">
        <v>4.762486</v>
      </c>
      <c r="E1051">
        <v>0.47693940000000001</v>
      </c>
      <c r="F1051" t="s">
        <v>46</v>
      </c>
      <c r="G1051">
        <v>-188.72040000000001</v>
      </c>
      <c r="H1051" s="1">
        <v>-1.1408219999999999E-6</v>
      </c>
      <c r="I1051">
        <v>301.76299999999998</v>
      </c>
      <c r="J1051">
        <v>-191.68100000000001</v>
      </c>
      <c r="K1051">
        <v>1.1096539999999999</v>
      </c>
      <c r="L1051">
        <v>328.4631</v>
      </c>
      <c r="M1051">
        <v>-2.064212E-2</v>
      </c>
      <c r="N1051">
        <v>-7.8260580000000003E-3</v>
      </c>
      <c r="O1051">
        <v>-0.99975630000000004</v>
      </c>
      <c r="P1051">
        <v>6.3247999999999999E-2</v>
      </c>
      <c r="Q1051">
        <v>0.1503835</v>
      </c>
      <c r="R1051">
        <v>-0.98660270000000005</v>
      </c>
      <c r="S1051">
        <v>0.33264159999999998</v>
      </c>
      <c r="T1051">
        <v>-0.12493170000000001</v>
      </c>
      <c r="U1051">
        <v>-3.0385439999999999</v>
      </c>
      <c r="V1051">
        <v>-8.360244E-2</v>
      </c>
      <c r="W1051">
        <v>0.1580877</v>
      </c>
      <c r="X1051">
        <v>0.98387950000000002</v>
      </c>
      <c r="Y1051">
        <v>-0.12923709999999999</v>
      </c>
      <c r="Z1051">
        <v>3.2944399999999999E-2</v>
      </c>
      <c r="AA1051">
        <v>0.99106629999999996</v>
      </c>
      <c r="AB1051">
        <v>27</v>
      </c>
      <c r="AC1051">
        <v>2.9605999999999701</v>
      </c>
      <c r="AD1051">
        <v>-1.1096551408219999</v>
      </c>
      <c r="AE1051">
        <v>-26.700099999999999</v>
      </c>
      <c r="AF1051">
        <v>-3.5051520166294998</v>
      </c>
      <c r="AG1051">
        <v>-1.1096551408219999</v>
      </c>
      <c r="AH1051">
        <v>26.587929991614399</v>
      </c>
      <c r="AI1051">
        <v>92.3693919895573</v>
      </c>
      <c r="AJ1051">
        <v>97.510134755061102</v>
      </c>
      <c r="AK1051">
        <v>26.840928568703099</v>
      </c>
      <c r="AL1051">
        <v>80.904082928279195</v>
      </c>
      <c r="AM1051">
        <v>94.856883504270996</v>
      </c>
      <c r="AN1051">
        <v>0.99999997969274601</v>
      </c>
    </row>
    <row r="1052" spans="1:40" x14ac:dyDescent="0.25">
      <c r="A1052" t="str">
        <f>"20190304155339494"</f>
        <v>20190304155339494</v>
      </c>
      <c r="B1052" t="str">
        <f>"1551686019487422"</f>
        <v>1551686019487422</v>
      </c>
      <c r="C1052" t="s">
        <v>40</v>
      </c>
      <c r="D1052">
        <v>4.7656739999999997</v>
      </c>
      <c r="E1052">
        <v>0.4764256</v>
      </c>
      <c r="F1052" t="s">
        <v>46</v>
      </c>
      <c r="G1052">
        <v>-188.71350000000001</v>
      </c>
      <c r="H1052" s="1">
        <v>-1.291512E-6</v>
      </c>
      <c r="I1052">
        <v>302.1114</v>
      </c>
      <c r="J1052">
        <v>-191.6867</v>
      </c>
      <c r="K1052">
        <v>1.109642</v>
      </c>
      <c r="L1052">
        <v>328.18380000000002</v>
      </c>
      <c r="M1052">
        <v>-2.0620179999999998E-2</v>
      </c>
      <c r="N1052">
        <v>-7.8265509999999993E-3</v>
      </c>
      <c r="O1052">
        <v>-0.99975709999999995</v>
      </c>
      <c r="P1052">
        <v>6.2918349999999998E-2</v>
      </c>
      <c r="Q1052">
        <v>0.15022089999999999</v>
      </c>
      <c r="R1052">
        <v>-0.98664859999999999</v>
      </c>
      <c r="S1052">
        <v>0.34213259999999901</v>
      </c>
      <c r="T1052">
        <v>-0.12793979999999999</v>
      </c>
      <c r="U1052">
        <v>-3.0382690000000001</v>
      </c>
      <c r="V1052">
        <v>-8.3250870000000005E-2</v>
      </c>
      <c r="W1052">
        <v>0.15792619999999999</v>
      </c>
      <c r="X1052">
        <v>0.98393520000000001</v>
      </c>
      <c r="Y1052">
        <v>-0.1322779</v>
      </c>
      <c r="Z1052">
        <v>3.391222E-2</v>
      </c>
      <c r="AA1052">
        <v>0.99063239999999997</v>
      </c>
      <c r="AB1052">
        <v>27</v>
      </c>
      <c r="AC1052">
        <v>2.9731999999999901</v>
      </c>
      <c r="AD1052">
        <v>-1.109643291512</v>
      </c>
      <c r="AE1052">
        <v>-26.072399999999998</v>
      </c>
      <c r="AF1052">
        <v>-3.50393624961657</v>
      </c>
      <c r="AG1052">
        <v>-1.109643291512</v>
      </c>
      <c r="AH1052">
        <v>25.959128716305099</v>
      </c>
      <c r="AI1052">
        <v>92.425692056879399</v>
      </c>
      <c r="AJ1052">
        <v>97.687263955303806</v>
      </c>
      <c r="AK1052">
        <v>26.2180327481958</v>
      </c>
      <c r="AL1052">
        <v>80.91345350476</v>
      </c>
      <c r="AM1052">
        <v>94.836283640691605</v>
      </c>
      <c r="AN1052">
        <v>0.99999993490061601</v>
      </c>
    </row>
    <row r="1053" spans="1:40" x14ac:dyDescent="0.25">
      <c r="A1053" t="str">
        <f>"20190304155339515"</f>
        <v>20190304155339515</v>
      </c>
      <c r="B1053" t="str">
        <f>"1551686019506942"</f>
        <v>1551686019506942</v>
      </c>
      <c r="C1053" t="s">
        <v>40</v>
      </c>
      <c r="D1053">
        <v>4.7338699999999996</v>
      </c>
      <c r="E1053">
        <v>0.47596699999999997</v>
      </c>
      <c r="F1053" t="s">
        <v>46</v>
      </c>
      <c r="G1053">
        <v>-188.75890000000001</v>
      </c>
      <c r="H1053" s="1">
        <v>-1.4221600000000001E-6</v>
      </c>
      <c r="I1053">
        <v>302.43470000000002</v>
      </c>
      <c r="J1053">
        <v>-191.69229999999999</v>
      </c>
      <c r="K1053">
        <v>1.109642</v>
      </c>
      <c r="L1053">
        <v>327.91629999999998</v>
      </c>
      <c r="M1053">
        <v>-2.060534E-2</v>
      </c>
      <c r="N1053">
        <v>-7.8278449999999999E-3</v>
      </c>
      <c r="O1053">
        <v>-0.99975709999999995</v>
      </c>
      <c r="P1053">
        <v>6.2452059999999997E-2</v>
      </c>
      <c r="Q1053">
        <v>0.1497067</v>
      </c>
      <c r="R1053">
        <v>-0.98675610000000002</v>
      </c>
      <c r="S1053">
        <v>0.3454895</v>
      </c>
      <c r="T1053">
        <v>-0.130942</v>
      </c>
      <c r="U1053">
        <v>-3.0384829999999998</v>
      </c>
      <c r="V1053">
        <v>-8.2771170000000005E-2</v>
      </c>
      <c r="W1053">
        <v>0.15741479999999999</v>
      </c>
      <c r="X1053">
        <v>0.98405770000000004</v>
      </c>
      <c r="Y1053">
        <v>-0.13333149999999999</v>
      </c>
      <c r="Z1053">
        <v>3.4880220000000003E-2</v>
      </c>
      <c r="AA1053">
        <v>0.99045749999999999</v>
      </c>
      <c r="AB1053">
        <v>27</v>
      </c>
      <c r="AC1053">
        <v>2.93339999999997</v>
      </c>
      <c r="AD1053">
        <v>-1.10964342216</v>
      </c>
      <c r="AE1053">
        <v>-25.481599999999901</v>
      </c>
      <c r="AF1053">
        <v>-3.4513908845282</v>
      </c>
      <c r="AG1053">
        <v>-1.10964342216</v>
      </c>
      <c r="AH1053">
        <v>25.368266675146199</v>
      </c>
      <c r="AI1053">
        <v>92.481766423776904</v>
      </c>
      <c r="AJ1053">
        <v>97.747608008299494</v>
      </c>
      <c r="AK1053">
        <v>25.6260094759891</v>
      </c>
      <c r="AL1053">
        <v>80.943126505155604</v>
      </c>
      <c r="AM1053">
        <v>94.807951742287102</v>
      </c>
      <c r="AN1053">
        <v>1.0000000213857401</v>
      </c>
    </row>
    <row r="1054" spans="1:40" x14ac:dyDescent="0.25">
      <c r="A1054" t="str">
        <f>"20190304155339537"</f>
        <v>20190304155339537</v>
      </c>
      <c r="B1054" t="str">
        <f>"1551686019527438"</f>
        <v>1551686019527438</v>
      </c>
      <c r="C1054" t="s">
        <v>40</v>
      </c>
      <c r="D1054">
        <v>4.7002189999999997</v>
      </c>
      <c r="E1054">
        <v>0.47568929999999998</v>
      </c>
      <c r="F1054" t="s">
        <v>46</v>
      </c>
      <c r="G1054">
        <v>-188.80119999999999</v>
      </c>
      <c r="H1054" s="1">
        <v>-1.5291680000000001E-6</v>
      </c>
      <c r="I1054">
        <v>302.70159999999998</v>
      </c>
      <c r="J1054">
        <v>-191.69759999999999</v>
      </c>
      <c r="K1054">
        <v>1.1096349999999999</v>
      </c>
      <c r="L1054">
        <v>327.65570000000002</v>
      </c>
      <c r="M1054">
        <v>-2.0597150000000002E-2</v>
      </c>
      <c r="N1054">
        <v>-7.8298929999999992E-3</v>
      </c>
      <c r="O1054">
        <v>-0.99975749999999997</v>
      </c>
      <c r="P1054">
        <v>6.1984259999999999E-2</v>
      </c>
      <c r="Q1054">
        <v>0.1497444</v>
      </c>
      <c r="R1054">
        <v>-0.98677999999999999</v>
      </c>
      <c r="S1054">
        <v>0.3483887</v>
      </c>
      <c r="T1054">
        <v>-0.1337169</v>
      </c>
      <c r="U1054">
        <v>-3.0384829999999998</v>
      </c>
      <c r="V1054">
        <v>-8.2294809999999996E-2</v>
      </c>
      <c r="W1054">
        <v>0.15745529999999999</v>
      </c>
      <c r="X1054">
        <v>0.98409120000000005</v>
      </c>
      <c r="Y1054">
        <v>-0.13425190000000001</v>
      </c>
      <c r="Z1054">
        <v>3.5776759999999998E-2</v>
      </c>
      <c r="AA1054">
        <v>0.99030119999999999</v>
      </c>
      <c r="AB1054">
        <v>27</v>
      </c>
      <c r="AC1054">
        <v>2.8963999999999999</v>
      </c>
      <c r="AD1054">
        <v>-1.1096365291679999</v>
      </c>
      <c r="AE1054">
        <v>-24.9541</v>
      </c>
      <c r="AF1054">
        <v>-3.40314478257987</v>
      </c>
      <c r="AG1054">
        <v>-1.1096365291679999</v>
      </c>
      <c r="AH1054">
        <v>24.840681293096601</v>
      </c>
      <c r="AI1054">
        <v>92.534070987116607</v>
      </c>
      <c r="AJ1054">
        <v>97.800893650790002</v>
      </c>
      <c r="AK1054">
        <v>25.097253529883801</v>
      </c>
      <c r="AL1054">
        <v>80.940776971279604</v>
      </c>
      <c r="AM1054">
        <v>94.780247912336606</v>
      </c>
      <c r="AN1054">
        <v>1.00000004858423</v>
      </c>
    </row>
    <row r="1055" spans="1:40" x14ac:dyDescent="0.25">
      <c r="A1055" t="str">
        <f>"20190304155339559"</f>
        <v>20190304155339559</v>
      </c>
      <c r="B1055" t="str">
        <f>"1551686019556718"</f>
        <v>1551686019556718</v>
      </c>
      <c r="C1055" t="s">
        <v>40</v>
      </c>
      <c r="D1055">
        <v>4.7181810000000004</v>
      </c>
      <c r="E1055">
        <v>0.47526839999999998</v>
      </c>
      <c r="F1055" t="s">
        <v>46</v>
      </c>
      <c r="G1055">
        <v>-188.7912</v>
      </c>
      <c r="H1055" s="1">
        <v>-1.40285E-6</v>
      </c>
      <c r="I1055">
        <v>302.40300000000002</v>
      </c>
      <c r="J1055">
        <v>-191.70320000000001</v>
      </c>
      <c r="K1055">
        <v>1.109632</v>
      </c>
      <c r="L1055">
        <v>327.38679999999999</v>
      </c>
      <c r="M1055">
        <v>-2.0594339999999999E-2</v>
      </c>
      <c r="N1055">
        <v>-7.8325530000000008E-3</v>
      </c>
      <c r="O1055">
        <v>-0.99975749999999997</v>
      </c>
      <c r="P1055">
        <v>6.1635349999999998E-2</v>
      </c>
      <c r="Q1055">
        <v>0.14979600000000001</v>
      </c>
      <c r="R1055">
        <v>-0.98679410000000001</v>
      </c>
      <c r="S1055">
        <v>0.34971619999999998</v>
      </c>
      <c r="T1055">
        <v>-0.13351629999999901</v>
      </c>
      <c r="U1055">
        <v>-3.038513</v>
      </c>
      <c r="V1055">
        <v>-8.1943089999999996E-2</v>
      </c>
      <c r="W1055">
        <v>0.15751039999999999</v>
      </c>
      <c r="X1055">
        <v>0.98411170000000003</v>
      </c>
      <c r="Y1055">
        <v>-0.1346753</v>
      </c>
      <c r="Z1055">
        <v>3.5705969999999997E-2</v>
      </c>
      <c r="AA1055">
        <v>0.99024619999999997</v>
      </c>
      <c r="AB1055">
        <v>27</v>
      </c>
      <c r="AC1055">
        <v>2.9119999999999999</v>
      </c>
      <c r="AD1055">
        <v>-1.1096334028499999</v>
      </c>
      <c r="AE1055">
        <v>-24.983799999999899</v>
      </c>
      <c r="AF1055">
        <v>-3.4192683926657601</v>
      </c>
      <c r="AG1055">
        <v>-1.1096334028499999</v>
      </c>
      <c r="AH1055">
        <v>24.870126815248501</v>
      </c>
      <c r="AI1055">
        <v>92.530901984955804</v>
      </c>
      <c r="AJ1055">
        <v>97.828230774714996</v>
      </c>
      <c r="AK1055">
        <v>25.128587115799998</v>
      </c>
      <c r="AL1055">
        <v>80.937579794516097</v>
      </c>
      <c r="AM1055">
        <v>94.759812972633</v>
      </c>
      <c r="AN1055">
        <v>1.0000000170918899</v>
      </c>
    </row>
    <row r="1056" spans="1:40" x14ac:dyDescent="0.25">
      <c r="A1056" t="str">
        <f>"20190304155339581"</f>
        <v>20190304155339581</v>
      </c>
      <c r="B1056" t="str">
        <f>"1551686019577214"</f>
        <v>1551686019577214</v>
      </c>
      <c r="C1056" t="s">
        <v>40</v>
      </c>
      <c r="D1056">
        <v>4.6733440000000002</v>
      </c>
      <c r="E1056">
        <v>0.47515190000000002</v>
      </c>
      <c r="F1056" t="s">
        <v>46</v>
      </c>
      <c r="G1056">
        <v>-188.7842</v>
      </c>
      <c r="H1056" s="1">
        <v>-1.331527E-6</v>
      </c>
      <c r="I1056">
        <v>302.23390000000001</v>
      </c>
      <c r="J1056">
        <v>-191.70859999999999</v>
      </c>
      <c r="K1056">
        <v>1.1096330000000001</v>
      </c>
      <c r="L1056">
        <v>327.12740000000002</v>
      </c>
      <c r="M1056">
        <v>-2.059482E-2</v>
      </c>
      <c r="N1056">
        <v>-7.8357359999999994E-3</v>
      </c>
      <c r="O1056">
        <v>-0.99975729999999996</v>
      </c>
      <c r="P1056">
        <v>6.1257079999999998E-2</v>
      </c>
      <c r="Q1056">
        <v>0.14968190000000001</v>
      </c>
      <c r="R1056">
        <v>-0.98683469999999995</v>
      </c>
      <c r="S1056">
        <v>0.35261540000000002</v>
      </c>
      <c r="T1056">
        <v>-0.13404440000000001</v>
      </c>
      <c r="U1056">
        <v>-3.0384829999999998</v>
      </c>
      <c r="V1056">
        <v>-8.1565360000000003E-2</v>
      </c>
      <c r="W1056">
        <v>0.15740029999999999</v>
      </c>
      <c r="X1056">
        <v>0.9841607</v>
      </c>
      <c r="Y1056">
        <v>-0.13560820000000001</v>
      </c>
      <c r="Z1056">
        <v>3.5869890000000001E-2</v>
      </c>
      <c r="AA1056">
        <v>0.99011300000000002</v>
      </c>
      <c r="AB1056">
        <v>27</v>
      </c>
      <c r="AC1056">
        <v>2.9243999999999901</v>
      </c>
      <c r="AD1056">
        <v>-1.1096343315270001</v>
      </c>
      <c r="AE1056">
        <v>-24.8935</v>
      </c>
      <c r="AF1056">
        <v>-3.4297505591361701</v>
      </c>
      <c r="AG1056">
        <v>-1.1096343315270001</v>
      </c>
      <c r="AH1056">
        <v>24.779425190442002</v>
      </c>
      <c r="AI1056">
        <v>92.539837935751095</v>
      </c>
      <c r="AJ1056">
        <v>97.880310693393696</v>
      </c>
      <c r="AK1056">
        <v>25.0402553903971</v>
      </c>
      <c r="AL1056">
        <v>80.943967795424399</v>
      </c>
      <c r="AM1056">
        <v>94.737737135059206</v>
      </c>
      <c r="AN1056">
        <v>1.00000002290825</v>
      </c>
    </row>
    <row r="1057" spans="1:40" x14ac:dyDescent="0.25">
      <c r="A1057" t="str">
        <f>"20190304155339602"</f>
        <v>20190304155339602</v>
      </c>
      <c r="B1057" t="str">
        <f>"1551686019596735"</f>
        <v>1551686019596735</v>
      </c>
      <c r="C1057" t="s">
        <v>40</v>
      </c>
      <c r="D1057">
        <v>4.6955900000000002</v>
      </c>
      <c r="E1057">
        <v>0.47506530000000002</v>
      </c>
      <c r="F1057" t="s">
        <v>46</v>
      </c>
      <c r="G1057">
        <v>-188.81120000000001</v>
      </c>
      <c r="H1057" s="1">
        <v>-1.3003339999999999E-6</v>
      </c>
      <c r="I1057">
        <v>302.17230000000001</v>
      </c>
      <c r="J1057">
        <v>-191.7139</v>
      </c>
      <c r="K1057">
        <v>1.109632</v>
      </c>
      <c r="L1057">
        <v>326.87189999999998</v>
      </c>
      <c r="M1057">
        <v>-2.0596799999999998E-2</v>
      </c>
      <c r="N1057">
        <v>-7.8393089999999992E-3</v>
      </c>
      <c r="O1057">
        <v>-0.99975729999999996</v>
      </c>
      <c r="P1057">
        <v>6.078124E-2</v>
      </c>
      <c r="Q1057">
        <v>0.15025529999999901</v>
      </c>
      <c r="R1057">
        <v>-0.98677709999999996</v>
      </c>
      <c r="S1057">
        <v>0.35279850000000001</v>
      </c>
      <c r="T1057">
        <v>-0.13511219999999999</v>
      </c>
      <c r="U1057">
        <v>-3.038605</v>
      </c>
      <c r="V1057">
        <v>-8.1089439999999999E-2</v>
      </c>
      <c r="W1057">
        <v>0.15797659999999999</v>
      </c>
      <c r="X1057">
        <v>0.98410770000000003</v>
      </c>
      <c r="Y1057">
        <v>-0.1356629</v>
      </c>
      <c r="Z1057">
        <v>3.6211840000000002E-2</v>
      </c>
      <c r="AA1057">
        <v>0.99009309999999995</v>
      </c>
      <c r="AB1057">
        <v>27</v>
      </c>
      <c r="AC1057">
        <v>2.9026999999999799</v>
      </c>
      <c r="AD1057">
        <v>-1.109633300334</v>
      </c>
      <c r="AE1057">
        <v>-24.699599999999901</v>
      </c>
      <c r="AF1057">
        <v>-3.4040557521786798</v>
      </c>
      <c r="AG1057">
        <v>-1.109633300334</v>
      </c>
      <c r="AH1057">
        <v>24.585627385376899</v>
      </c>
      <c r="AI1057">
        <v>92.559813525069998</v>
      </c>
      <c r="AJ1057">
        <v>97.882892270958905</v>
      </c>
      <c r="AK1057">
        <v>24.844958352908201</v>
      </c>
      <c r="AL1057">
        <v>80.910529997995397</v>
      </c>
      <c r="AM1057">
        <v>94.710470520751102</v>
      </c>
      <c r="AN1057">
        <v>1.0000000343131801</v>
      </c>
    </row>
    <row r="1058" spans="1:40" x14ac:dyDescent="0.25">
      <c r="A1058" t="str">
        <f>"20190304155339624"</f>
        <v>20190304155339624</v>
      </c>
      <c r="B1058" t="str">
        <f>"1551686019617230"</f>
        <v>1551686019617230</v>
      </c>
      <c r="C1058" t="s">
        <v>40</v>
      </c>
      <c r="D1058">
        <v>4.6870039999999999</v>
      </c>
      <c r="E1058">
        <v>0.47495470000000001</v>
      </c>
      <c r="F1058" t="s">
        <v>46</v>
      </c>
      <c r="G1058">
        <v>-188.81280000000001</v>
      </c>
      <c r="H1058" s="1">
        <v>-1.163593E-6</v>
      </c>
      <c r="I1058">
        <v>301.85430000000002</v>
      </c>
      <c r="J1058">
        <v>-191.71940000000001</v>
      </c>
      <c r="K1058">
        <v>1.1096330000000001</v>
      </c>
      <c r="L1058">
        <v>326.6026</v>
      </c>
      <c r="M1058">
        <v>-2.0599429999999998E-2</v>
      </c>
      <c r="N1058">
        <v>-7.8434809999999994E-3</v>
      </c>
      <c r="O1058">
        <v>-0.99975729999999996</v>
      </c>
      <c r="P1058">
        <v>5.9990880000000003E-2</v>
      </c>
      <c r="Q1058">
        <v>0.1506699</v>
      </c>
      <c r="R1058">
        <v>-0.98676249999999999</v>
      </c>
      <c r="S1058">
        <v>0.35240169999999998</v>
      </c>
      <c r="T1058">
        <v>-0.1347921</v>
      </c>
      <c r="U1058">
        <v>-3.0390009999999998</v>
      </c>
      <c r="V1058">
        <v>-8.0301230000000001E-2</v>
      </c>
      <c r="W1058">
        <v>0.15839610000000001</v>
      </c>
      <c r="X1058">
        <v>0.98410489999999995</v>
      </c>
      <c r="Y1058">
        <v>-0.1355237</v>
      </c>
      <c r="Z1058">
        <v>3.6098539999999998E-2</v>
      </c>
      <c r="AA1058">
        <v>0.99011629999999995</v>
      </c>
      <c r="AB1058">
        <v>27</v>
      </c>
      <c r="AC1058">
        <v>2.9065999999999899</v>
      </c>
      <c r="AD1058">
        <v>-1.109634163593</v>
      </c>
      <c r="AE1058">
        <v>-24.748299999999901</v>
      </c>
      <c r="AF1058">
        <v>-3.4090395603308301</v>
      </c>
      <c r="AG1058">
        <v>-1.109634163593</v>
      </c>
      <c r="AH1058">
        <v>24.6343227089375</v>
      </c>
      <c r="AI1058">
        <v>92.554786904272007</v>
      </c>
      <c r="AJ1058">
        <v>97.878879365803996</v>
      </c>
      <c r="AK1058">
        <v>24.893828432545</v>
      </c>
      <c r="AL1058">
        <v>80.886187923974802</v>
      </c>
      <c r="AM1058">
        <v>94.664899821522496</v>
      </c>
      <c r="AN1058">
        <v>1.0000000331193599</v>
      </c>
    </row>
    <row r="1059" spans="1:40" x14ac:dyDescent="0.25">
      <c r="A1059" t="str">
        <f>"20190304155339646"</f>
        <v>20190304155339646</v>
      </c>
      <c r="B1059" t="str">
        <f>"1551686019636751"</f>
        <v>1551686019636751</v>
      </c>
      <c r="C1059" t="s">
        <v>40</v>
      </c>
      <c r="D1059">
        <v>4.6980570000000004</v>
      </c>
      <c r="E1059">
        <v>0.47483520000000001</v>
      </c>
      <c r="F1059" t="s">
        <v>46</v>
      </c>
      <c r="G1059">
        <v>-188.83959999999999</v>
      </c>
      <c r="H1059" s="1">
        <v>-1.085275E-6</v>
      </c>
      <c r="I1059">
        <v>301.68279999999999</v>
      </c>
      <c r="J1059">
        <v>-191.7251</v>
      </c>
      <c r="K1059">
        <v>1.109632</v>
      </c>
      <c r="L1059">
        <v>326.32909999999998</v>
      </c>
      <c r="M1059">
        <v>-2.0601930000000001E-2</v>
      </c>
      <c r="N1059">
        <v>-7.8480900000000003E-3</v>
      </c>
      <c r="O1059">
        <v>-0.99975729999999996</v>
      </c>
      <c r="P1059">
        <v>5.9687659999999997E-2</v>
      </c>
      <c r="Q1059">
        <v>0.15145510000000001</v>
      </c>
      <c r="R1059">
        <v>-0.9866608</v>
      </c>
      <c r="S1059">
        <v>0.35125729999999999</v>
      </c>
      <c r="T1059">
        <v>-0.13534579999999999</v>
      </c>
      <c r="U1059">
        <v>-3.0395509999999999</v>
      </c>
      <c r="V1059">
        <v>-7.9997659999999998E-2</v>
      </c>
      <c r="W1059">
        <v>0.1591851</v>
      </c>
      <c r="X1059">
        <v>0.9840023</v>
      </c>
      <c r="Y1059">
        <v>-0.13513710000000001</v>
      </c>
      <c r="Z1059">
        <v>3.6268410000000001E-2</v>
      </c>
      <c r="AA1059">
        <v>0.99016289999999996</v>
      </c>
      <c r="AB1059">
        <v>27</v>
      </c>
      <c r="AC1059">
        <v>2.8855</v>
      </c>
      <c r="AD1059">
        <v>-1.109633085275</v>
      </c>
      <c r="AE1059">
        <v>-24.6463</v>
      </c>
      <c r="AF1059">
        <v>-3.3858939168655802</v>
      </c>
      <c r="AG1059">
        <v>-1.109633085275</v>
      </c>
      <c r="AH1059">
        <v>24.532564720082298</v>
      </c>
      <c r="AI1059">
        <v>92.565495584590494</v>
      </c>
      <c r="AJ1059">
        <v>97.858107632363598</v>
      </c>
      <c r="AK1059">
        <v>24.789963593059799</v>
      </c>
      <c r="AL1059">
        <v>80.840400533910994</v>
      </c>
      <c r="AM1059">
        <v>94.647824517670301</v>
      </c>
      <c r="AN1059">
        <v>1.00000002403638</v>
      </c>
    </row>
    <row r="1060" spans="1:40" x14ac:dyDescent="0.25">
      <c r="A1060" t="str">
        <f>"20190304155339669"</f>
        <v>20190304155339669</v>
      </c>
      <c r="B1060" t="str">
        <f>"1551686019667006"</f>
        <v>1551686019667006</v>
      </c>
      <c r="C1060" t="s">
        <v>40</v>
      </c>
      <c r="D1060">
        <v>4.6415620000000004</v>
      </c>
      <c r="E1060">
        <v>0.47466530000000001</v>
      </c>
      <c r="F1060" t="s">
        <v>46</v>
      </c>
      <c r="G1060">
        <v>-188.80090000000001</v>
      </c>
      <c r="H1060" s="1">
        <v>-8.2887109999999905E-7</v>
      </c>
      <c r="I1060">
        <v>301.06909999999999</v>
      </c>
      <c r="J1060">
        <v>-191.73089999999999</v>
      </c>
      <c r="K1060">
        <v>1.109629</v>
      </c>
      <c r="L1060">
        <v>326.0446</v>
      </c>
      <c r="M1060">
        <v>-2.0606369999999999E-2</v>
      </c>
      <c r="N1060">
        <v>-7.8531940000000008E-3</v>
      </c>
      <c r="O1060">
        <v>-0.99975709999999995</v>
      </c>
      <c r="P1060">
        <v>5.9169390000000002E-2</v>
      </c>
      <c r="Q1060">
        <v>0.151860299999999</v>
      </c>
      <c r="R1060">
        <v>-0.98662950000000005</v>
      </c>
      <c r="S1060">
        <v>0.3518829</v>
      </c>
      <c r="T1060">
        <v>-0.13353099999999901</v>
      </c>
      <c r="U1060">
        <v>-3.0397340000000002</v>
      </c>
      <c r="V1060">
        <v>-7.9482259999999999E-2</v>
      </c>
      <c r="W1060">
        <v>0.1595956</v>
      </c>
      <c r="X1060">
        <v>0.98397760000000001</v>
      </c>
      <c r="Y1060">
        <v>-0.1353385</v>
      </c>
      <c r="Z1060">
        <v>3.5668909999999998E-2</v>
      </c>
      <c r="AA1060">
        <v>0.99015719999999996</v>
      </c>
      <c r="AB1060">
        <v>27</v>
      </c>
      <c r="AC1060">
        <v>2.92999999999997</v>
      </c>
      <c r="AD1060">
        <v>-1.1096298288711</v>
      </c>
      <c r="AE1060">
        <v>-24.9755</v>
      </c>
      <c r="AF1060">
        <v>-3.4373550219717899</v>
      </c>
      <c r="AG1060">
        <v>-1.1096298288711</v>
      </c>
      <c r="AH1060">
        <v>24.8614100099296</v>
      </c>
      <c r="AI1060">
        <v>92.531514702136803</v>
      </c>
      <c r="AJ1060">
        <v>97.871846173216994</v>
      </c>
      <c r="AK1060">
        <v>25.122428138737298</v>
      </c>
      <c r="AL1060">
        <v>80.816576287872294</v>
      </c>
      <c r="AM1060">
        <v>94.618125386834194</v>
      </c>
      <c r="AN1060">
        <v>1.0000000512479099</v>
      </c>
    </row>
    <row r="1061" spans="1:40" x14ac:dyDescent="0.25">
      <c r="A1061" t="str">
        <f>"20190304155339693"</f>
        <v>20190304155339693</v>
      </c>
      <c r="B1061" t="str">
        <f>"1551686019687033"</f>
        <v>1551686019687033</v>
      </c>
      <c r="C1061" t="s">
        <v>40</v>
      </c>
      <c r="D1061">
        <v>4.6770480000000001</v>
      </c>
      <c r="E1061">
        <v>0.4745548</v>
      </c>
      <c r="F1061" t="s">
        <v>46</v>
      </c>
      <c r="G1061">
        <v>-188.7799</v>
      </c>
      <c r="H1061" s="1">
        <v>-6.3848100000000001E-7</v>
      </c>
      <c r="I1061">
        <v>300.57029999999997</v>
      </c>
      <c r="J1061">
        <v>-191.73699999999999</v>
      </c>
      <c r="K1061">
        <v>1.109623</v>
      </c>
      <c r="L1061">
        <v>325.75029999999998</v>
      </c>
      <c r="M1061">
        <v>-2.0615060000000001E-2</v>
      </c>
      <c r="N1061">
        <v>-7.8587750000000001E-3</v>
      </c>
      <c r="O1061">
        <v>-0.9997568</v>
      </c>
      <c r="P1061">
        <v>5.8466129999999998E-2</v>
      </c>
      <c r="Q1061">
        <v>0.15246949999999901</v>
      </c>
      <c r="R1061">
        <v>-0.98657740000000005</v>
      </c>
      <c r="S1061">
        <v>0.35215760000000002</v>
      </c>
      <c r="T1061">
        <v>-0.13241520000000001</v>
      </c>
      <c r="U1061">
        <v>-3.039917</v>
      </c>
      <c r="V1061">
        <v>-7.8785069999999999E-2</v>
      </c>
      <c r="W1061">
        <v>0.1602104</v>
      </c>
      <c r="X1061">
        <v>0.98393370000000002</v>
      </c>
      <c r="Y1061">
        <v>-0.1354302</v>
      </c>
      <c r="Z1061">
        <v>3.5297099999999998E-2</v>
      </c>
      <c r="AA1061">
        <v>0.99015799999999998</v>
      </c>
      <c r="AB1061">
        <v>27</v>
      </c>
      <c r="AC1061">
        <v>2.9570999999999898</v>
      </c>
      <c r="AD1061">
        <v>-1.1096236384810001</v>
      </c>
      <c r="AE1061">
        <v>-25.18</v>
      </c>
      <c r="AF1061">
        <v>-3.46892980352081</v>
      </c>
      <c r="AG1061">
        <v>-1.1096236384810001</v>
      </c>
      <c r="AH1061">
        <v>25.065671640132098</v>
      </c>
      <c r="AI1061">
        <v>92.510852496670907</v>
      </c>
      <c r="AJ1061">
        <v>97.879322763484794</v>
      </c>
      <c r="AK1061">
        <v>25.32888930395</v>
      </c>
      <c r="AL1061">
        <v>80.780891136544895</v>
      </c>
      <c r="AM1061">
        <v>94.5779931489474</v>
      </c>
      <c r="AN1061">
        <v>0.99999999275937701</v>
      </c>
    </row>
    <row r="1062" spans="1:40" x14ac:dyDescent="0.25">
      <c r="A1062" t="str">
        <f>"20190304155339715"</f>
        <v>20190304155339715</v>
      </c>
      <c r="B1062" t="str">
        <f>"1551686019707529"</f>
        <v>1551686019707529</v>
      </c>
      <c r="C1062" t="s">
        <v>40</v>
      </c>
      <c r="D1062">
        <v>4.7334639999999997</v>
      </c>
      <c r="E1062">
        <v>0.45874160000000003</v>
      </c>
      <c r="F1062" t="s">
        <v>46</v>
      </c>
      <c r="G1062">
        <v>-188.7544</v>
      </c>
      <c r="H1062" s="1">
        <v>-4.365389E-7</v>
      </c>
      <c r="I1062">
        <v>299.95699999999999</v>
      </c>
      <c r="J1062">
        <v>-191.74260000000001</v>
      </c>
      <c r="K1062">
        <v>1.1096140000000001</v>
      </c>
      <c r="L1062">
        <v>325.48180000000002</v>
      </c>
      <c r="M1062">
        <v>-2.0628779999999999E-2</v>
      </c>
      <c r="N1062">
        <v>-7.8641240000000001E-3</v>
      </c>
      <c r="O1062">
        <v>-0.9997566</v>
      </c>
      <c r="P1062">
        <v>5.7613749999999998E-2</v>
      </c>
      <c r="Q1062">
        <v>0.15239049999999901</v>
      </c>
      <c r="R1062">
        <v>-0.98663979999999996</v>
      </c>
      <c r="S1062">
        <v>0.3515472</v>
      </c>
      <c r="T1062">
        <v>-0.1307874</v>
      </c>
      <c r="U1062">
        <v>-3.0401609999999999</v>
      </c>
      <c r="V1062">
        <v>-7.794566E-2</v>
      </c>
      <c r="W1062">
        <v>0.16013829999999901</v>
      </c>
      <c r="X1062">
        <v>0.98401229999999995</v>
      </c>
      <c r="Y1062">
        <v>-0.1352411</v>
      </c>
      <c r="Z1062">
        <v>3.4759650000000003E-2</v>
      </c>
      <c r="AA1062">
        <v>0.99020280000000005</v>
      </c>
      <c r="AB1062">
        <v>27</v>
      </c>
      <c r="AC1062">
        <v>2.9882</v>
      </c>
      <c r="AD1062">
        <v>-1.10961443653889</v>
      </c>
      <c r="AE1062">
        <v>-25.524799999999999</v>
      </c>
      <c r="AF1062">
        <v>-3.5075866077639</v>
      </c>
      <c r="AG1062">
        <v>-1.10961443653889</v>
      </c>
      <c r="AH1062">
        <v>25.410351652306499</v>
      </c>
      <c r="AI1062">
        <v>92.4769355242735</v>
      </c>
      <c r="AJ1062">
        <v>97.859310841535802</v>
      </c>
      <c r="AK1062">
        <v>25.6752873226886</v>
      </c>
      <c r="AL1062">
        <v>80.785076299268596</v>
      </c>
      <c r="AM1062">
        <v>94.529060996618099</v>
      </c>
      <c r="AN1062">
        <v>1.0000000037954999</v>
      </c>
    </row>
    <row r="1063" spans="1:40" x14ac:dyDescent="0.25">
      <c r="A1063" t="str">
        <f>"20190304155339737"</f>
        <v>20190304155339737</v>
      </c>
      <c r="B1063" t="str">
        <f>"1551686019727048"</f>
        <v>1551686019727048</v>
      </c>
      <c r="C1063" t="s">
        <v>40</v>
      </c>
      <c r="D1063">
        <v>4.5343369999999998</v>
      </c>
      <c r="E1063">
        <v>0.44028129999999999</v>
      </c>
      <c r="F1063" t="s">
        <v>51</v>
      </c>
      <c r="G1063">
        <v>-187.3552</v>
      </c>
      <c r="H1063" s="1">
        <v>7.2703779999999999E-7</v>
      </c>
      <c r="I1063">
        <v>297.55959999999999</v>
      </c>
      <c r="J1063">
        <v>-191.7482</v>
      </c>
      <c r="K1063">
        <v>1.1096090000000001</v>
      </c>
      <c r="L1063">
        <v>325.21069999999997</v>
      </c>
      <c r="M1063">
        <v>-2.0650129999999999E-2</v>
      </c>
      <c r="N1063">
        <v>-7.8697519999999903E-3</v>
      </c>
      <c r="O1063">
        <v>-0.99975610000000004</v>
      </c>
      <c r="P1063">
        <v>5.7080409999999998E-2</v>
      </c>
      <c r="Q1063">
        <v>0.1522232</v>
      </c>
      <c r="R1063">
        <v>-0.98669680000000004</v>
      </c>
      <c r="S1063">
        <v>0.47631839999999998</v>
      </c>
      <c r="T1063">
        <v>-0.1204667</v>
      </c>
      <c r="U1063">
        <v>-3.0314030000000001</v>
      </c>
      <c r="V1063">
        <v>-7.7432479999999998E-2</v>
      </c>
      <c r="W1063">
        <v>0.15997879999999901</v>
      </c>
      <c r="X1063">
        <v>0.98407880000000003</v>
      </c>
      <c r="Y1063">
        <v>-0.17548259999999999</v>
      </c>
      <c r="Z1063">
        <v>3.127017E-2</v>
      </c>
      <c r="AA1063">
        <v>0.98398580000000002</v>
      </c>
      <c r="AB1063">
        <v>28</v>
      </c>
      <c r="AC1063">
        <v>4.3929999999999998</v>
      </c>
      <c r="AD1063">
        <v>-1.1096082729621899</v>
      </c>
      <c r="AE1063">
        <v>-27.6510999999999</v>
      </c>
      <c r="AF1063">
        <v>-4.9552963047372396</v>
      </c>
      <c r="AG1063">
        <v>-1.1096082729621899</v>
      </c>
      <c r="AH1063">
        <v>27.511273093028301</v>
      </c>
      <c r="AI1063">
        <v>92.2731112874404</v>
      </c>
      <c r="AJ1063">
        <v>100.210564303637</v>
      </c>
      <c r="AK1063">
        <v>27.9759957675568</v>
      </c>
      <c r="AL1063">
        <v>80.794334717792097</v>
      </c>
      <c r="AM1063">
        <v>94.499062526371702</v>
      </c>
      <c r="AN1063">
        <v>1.0000000450089099</v>
      </c>
    </row>
    <row r="1064" spans="1:40" x14ac:dyDescent="0.25">
      <c r="A1064" t="str">
        <f>"20190304155339759"</f>
        <v>20190304155339759</v>
      </c>
      <c r="B1064" t="str">
        <f>"1551686019757305"</f>
        <v>1551686019757305</v>
      </c>
      <c r="C1064" t="s">
        <v>40</v>
      </c>
      <c r="D1064">
        <v>4.5853250000000001</v>
      </c>
      <c r="E1064">
        <v>0.42905070000000001</v>
      </c>
      <c r="F1064" t="s">
        <v>51</v>
      </c>
      <c r="G1064">
        <v>-185.29830000000001</v>
      </c>
      <c r="H1064" s="1">
        <v>1.5944229999999999E-6</v>
      </c>
      <c r="I1064">
        <v>293.93689999999998</v>
      </c>
      <c r="J1064">
        <v>-191.75389999999999</v>
      </c>
      <c r="K1064">
        <v>1.109602</v>
      </c>
      <c r="L1064">
        <v>324.93819999999999</v>
      </c>
      <c r="M1064">
        <v>-2.0680299999999999E-2</v>
      </c>
      <c r="N1064">
        <v>-7.8756160000000002E-3</v>
      </c>
      <c r="O1064">
        <v>-0.99975539999999996</v>
      </c>
      <c r="P1064">
        <v>5.6712520000000002E-2</v>
      </c>
      <c r="Q1064">
        <v>0.1522638</v>
      </c>
      <c r="R1064">
        <v>-0.98671149999999996</v>
      </c>
      <c r="S1064">
        <v>0.62303160000000002</v>
      </c>
      <c r="T1064">
        <v>-0.107183</v>
      </c>
      <c r="U1064">
        <v>-3.020905</v>
      </c>
      <c r="V1064">
        <v>-7.7091679999999996E-2</v>
      </c>
      <c r="W1064">
        <v>0.160026799999999</v>
      </c>
      <c r="X1064">
        <v>0.98409769999999996</v>
      </c>
      <c r="Y1064">
        <v>-0.22209119999999999</v>
      </c>
      <c r="Z1064">
        <v>2.6751460000000001E-2</v>
      </c>
      <c r="AA1064">
        <v>0.97465880000000005</v>
      </c>
      <c r="AB1064">
        <v>28</v>
      </c>
      <c r="AC1064">
        <v>6.4555999999999703</v>
      </c>
      <c r="AD1064">
        <v>-1.1096004055769999</v>
      </c>
      <c r="AE1064">
        <v>-31.001300000000001</v>
      </c>
      <c r="AF1064">
        <v>-7.08665400138129</v>
      </c>
      <c r="AG1064">
        <v>-1.1096004055769999</v>
      </c>
      <c r="AH1064">
        <v>30.823316008213101</v>
      </c>
      <c r="AI1064">
        <v>92.009308237176796</v>
      </c>
      <c r="AJ1064">
        <v>102.947982373594</v>
      </c>
      <c r="AK1064">
        <v>31.6469380467924</v>
      </c>
      <c r="AL1064">
        <v>80.791548147561798</v>
      </c>
      <c r="AM1064">
        <v>94.479256095574499</v>
      </c>
      <c r="AN1064">
        <v>0.99999999349437596</v>
      </c>
    </row>
    <row r="1065" spans="1:40" x14ac:dyDescent="0.25">
      <c r="A1065" t="str">
        <f>"20190304155339780"</f>
        <v>20190304155339780</v>
      </c>
      <c r="B1065" t="str">
        <f>"1551686019776825"</f>
        <v>1551686019776825</v>
      </c>
      <c r="C1065" t="s">
        <v>40</v>
      </c>
      <c r="D1065">
        <v>4.587307</v>
      </c>
      <c r="E1065">
        <v>0.42577730000000003</v>
      </c>
      <c r="F1065" t="s">
        <v>51</v>
      </c>
      <c r="G1065">
        <v>-183.2456</v>
      </c>
      <c r="H1065" s="1">
        <v>2.4037489999999998E-6</v>
      </c>
      <c r="I1065">
        <v>288.93689999999998</v>
      </c>
      <c r="J1065">
        <v>-191.7595</v>
      </c>
      <c r="K1065">
        <v>1.109591</v>
      </c>
      <c r="L1065">
        <v>324.66950000000003</v>
      </c>
      <c r="M1065">
        <v>-2.0719600000000001E-2</v>
      </c>
      <c r="N1065">
        <v>-7.8815450000000002E-3</v>
      </c>
      <c r="O1065">
        <v>-0.99975440000000004</v>
      </c>
      <c r="P1065">
        <v>5.6426320000000002E-2</v>
      </c>
      <c r="Q1065">
        <v>0.15207319999999999</v>
      </c>
      <c r="R1065">
        <v>-0.98675729999999995</v>
      </c>
      <c r="S1065">
        <v>0.71224980000000004</v>
      </c>
      <c r="T1065">
        <v>-9.2887639999999994E-2</v>
      </c>
      <c r="U1065">
        <v>-3.013763</v>
      </c>
      <c r="V1065">
        <v>-7.6842460000000001E-2</v>
      </c>
      <c r="W1065">
        <v>0.15984319999999999</v>
      </c>
      <c r="X1065">
        <v>0.98414699999999999</v>
      </c>
      <c r="Y1065">
        <v>-0.2500193</v>
      </c>
      <c r="Z1065">
        <v>2.1998139999999999E-2</v>
      </c>
      <c r="AA1065">
        <v>0.96799089999999999</v>
      </c>
      <c r="AB1065">
        <v>28</v>
      </c>
      <c r="AC1065">
        <v>8.5138999999999996</v>
      </c>
      <c r="AD1065">
        <v>-1.1095885962509999</v>
      </c>
      <c r="AE1065">
        <v>-35.732599999999998</v>
      </c>
      <c r="AF1065">
        <v>-9.2440254433795594</v>
      </c>
      <c r="AG1065">
        <v>-1.1095885962509999</v>
      </c>
      <c r="AH1065">
        <v>35.516111583287298</v>
      </c>
      <c r="AI1065">
        <v>91.731782454961007</v>
      </c>
      <c r="AJ1065">
        <v>104.589078871483</v>
      </c>
      <c r="AK1065">
        <v>36.716173210824799</v>
      </c>
      <c r="AL1065">
        <v>80.802204565369607</v>
      </c>
      <c r="AM1065">
        <v>94.464611558411406</v>
      </c>
      <c r="AN1065">
        <v>0.99999996492704502</v>
      </c>
    </row>
    <row r="1066" spans="1:40" x14ac:dyDescent="0.25">
      <c r="A1066" t="str">
        <f>"20190304155339804"</f>
        <v>20190304155339804</v>
      </c>
      <c r="B1066" t="str">
        <f>"1551686019797321"</f>
        <v>1551686019797321</v>
      </c>
      <c r="C1066" t="s">
        <v>40</v>
      </c>
      <c r="D1066">
        <v>4.5531579999999998</v>
      </c>
      <c r="E1066">
        <v>0.423871</v>
      </c>
      <c r="F1066" t="s">
        <v>51</v>
      </c>
      <c r="G1066">
        <v>-182.49379999999999</v>
      </c>
      <c r="H1066" s="1">
        <v>2.4533560000000001E-6</v>
      </c>
      <c r="I1066">
        <v>286.84399999999999</v>
      </c>
      <c r="J1066">
        <v>-191.7655</v>
      </c>
      <c r="K1066">
        <v>1.1095729999999999</v>
      </c>
      <c r="L1066">
        <v>324.37920000000003</v>
      </c>
      <c r="M1066">
        <v>-2.077319E-2</v>
      </c>
      <c r="N1066">
        <v>-7.8940309999999993E-3</v>
      </c>
      <c r="O1066">
        <v>-0.99975320000000001</v>
      </c>
      <c r="P1066">
        <v>5.588311E-2</v>
      </c>
      <c r="Q1066">
        <v>0.1518844</v>
      </c>
      <c r="R1066">
        <v>-0.98681730000000001</v>
      </c>
      <c r="S1066">
        <v>0.7377319</v>
      </c>
      <c r="T1066">
        <v>-8.8345049999999994E-2</v>
      </c>
      <c r="U1066">
        <v>-3.0116580000000002</v>
      </c>
      <c r="V1066">
        <v>-7.6350500000000002E-2</v>
      </c>
      <c r="W1066">
        <v>0.15966859999999999</v>
      </c>
      <c r="X1066">
        <v>0.98421369999999997</v>
      </c>
      <c r="Y1066">
        <v>-0.25796390000000002</v>
      </c>
      <c r="Z1066">
        <v>2.0485219999999998E-2</v>
      </c>
      <c r="AA1066">
        <v>0.96593739999999995</v>
      </c>
      <c r="AB1066">
        <v>28</v>
      </c>
      <c r="AC1066">
        <v>9.2717000000000098</v>
      </c>
      <c r="AD1066">
        <v>-1.109570546644</v>
      </c>
      <c r="AE1066">
        <v>-37.535200000000003</v>
      </c>
      <c r="AF1066">
        <v>-10.0411793864619</v>
      </c>
      <c r="AG1066">
        <v>-1.109570546644</v>
      </c>
      <c r="AH1066">
        <v>37.303768193082099</v>
      </c>
      <c r="AI1066">
        <v>91.645190051817195</v>
      </c>
      <c r="AJ1066">
        <v>105.065419346364</v>
      </c>
      <c r="AK1066">
        <v>38.647477947109202</v>
      </c>
      <c r="AL1066">
        <v>80.812339204220294</v>
      </c>
      <c r="AM1066">
        <v>94.435843291942106</v>
      </c>
      <c r="AN1066">
        <v>1.0000000339719399</v>
      </c>
    </row>
    <row r="1067" spans="1:40" x14ac:dyDescent="0.25">
      <c r="A1067" t="str">
        <f>"20190304155339825"</f>
        <v>20190304155339825</v>
      </c>
      <c r="B1067" t="str">
        <f>"1551686019816841"</f>
        <v>1551686019816841</v>
      </c>
      <c r="C1067" t="s">
        <v>40</v>
      </c>
      <c r="D1067">
        <v>4.5481610000000003</v>
      </c>
      <c r="E1067">
        <v>0.4225005</v>
      </c>
      <c r="F1067" t="s">
        <v>51</v>
      </c>
      <c r="G1067">
        <v>-182.45820000000001</v>
      </c>
      <c r="H1067" s="1">
        <v>2.4256609999999999E-6</v>
      </c>
      <c r="I1067">
        <v>287.08859999999999</v>
      </c>
      <c r="J1067">
        <v>-191.7713</v>
      </c>
      <c r="K1067">
        <v>1.1095699999999999</v>
      </c>
      <c r="L1067">
        <v>324.10700000000003</v>
      </c>
      <c r="M1067">
        <v>-2.0832150000000001E-2</v>
      </c>
      <c r="N1067">
        <v>-7.9147379999999993E-3</v>
      </c>
      <c r="O1067">
        <v>-0.99975179999999997</v>
      </c>
      <c r="P1067">
        <v>5.5211379999999997E-2</v>
      </c>
      <c r="Q1067">
        <v>0.15143970000000001</v>
      </c>
      <c r="R1067">
        <v>-0.98692360000000001</v>
      </c>
      <c r="S1067">
        <v>0.75158689999999995</v>
      </c>
      <c r="T1067">
        <v>-8.9599849999999995E-2</v>
      </c>
      <c r="U1067">
        <v>-3.0112920000000001</v>
      </c>
      <c r="V1067">
        <v>-7.5736689999999995E-2</v>
      </c>
      <c r="W1067">
        <v>0.15924630000000001</v>
      </c>
      <c r="X1067">
        <v>0.98432949999999997</v>
      </c>
      <c r="Y1067">
        <v>-0.26223059999999998</v>
      </c>
      <c r="Z1067">
        <v>2.0837959999999999E-2</v>
      </c>
      <c r="AA1067">
        <v>0.96478019999999998</v>
      </c>
      <c r="AB1067">
        <v>28</v>
      </c>
      <c r="AC1067">
        <v>9.3130999999999897</v>
      </c>
      <c r="AD1067">
        <v>-1.1095675743389899</v>
      </c>
      <c r="AE1067">
        <v>-37.0184</v>
      </c>
      <c r="AF1067">
        <v>-10.073764120259799</v>
      </c>
      <c r="AG1067">
        <v>-1.1095675743389899</v>
      </c>
      <c r="AH1067">
        <v>36.785267205442402</v>
      </c>
      <c r="AI1067">
        <v>91.666390016238495</v>
      </c>
      <c r="AJ1067">
        <v>105.315147691901</v>
      </c>
      <c r="AK1067">
        <v>38.1558350338248</v>
      </c>
      <c r="AL1067">
        <v>80.836848478812797</v>
      </c>
      <c r="AM1067">
        <v>94.399806890445603</v>
      </c>
      <c r="AN1067">
        <v>0.99999999742304801</v>
      </c>
    </row>
    <row r="1068" spans="1:40" x14ac:dyDescent="0.25">
      <c r="A1068" t="str">
        <f>"20190304155339848"</f>
        <v>20190304155339848</v>
      </c>
      <c r="B1068" t="str">
        <f>"1551686019837338"</f>
        <v>1551686019837338</v>
      </c>
      <c r="C1068" t="s">
        <v>40</v>
      </c>
      <c r="D1068">
        <v>4.5298860000000003</v>
      </c>
      <c r="E1068">
        <v>0.42155700000000002</v>
      </c>
      <c r="F1068" t="s">
        <v>51</v>
      </c>
      <c r="G1068">
        <v>-182.51329999999999</v>
      </c>
      <c r="H1068" s="1">
        <v>2.4023420000000002E-6</v>
      </c>
      <c r="I1068">
        <v>287.46710000000002</v>
      </c>
      <c r="J1068">
        <v>-191.77719999999999</v>
      </c>
      <c r="K1068">
        <v>1.1095710000000001</v>
      </c>
      <c r="L1068">
        <v>323.82619999999997</v>
      </c>
      <c r="M1068">
        <v>-2.089889E-2</v>
      </c>
      <c r="N1068">
        <v>-7.9416690000000002E-3</v>
      </c>
      <c r="O1068">
        <v>-0.99975009999999997</v>
      </c>
      <c r="P1068">
        <v>5.4760570000000001E-2</v>
      </c>
      <c r="Q1068">
        <v>0.151163299999999</v>
      </c>
      <c r="R1068">
        <v>-0.98699099999999995</v>
      </c>
      <c r="S1068">
        <v>0.760849</v>
      </c>
      <c r="T1068">
        <v>-9.1187359999999995E-2</v>
      </c>
      <c r="U1068">
        <v>-3.0111690000000002</v>
      </c>
      <c r="V1068">
        <v>-7.5351570000000007E-2</v>
      </c>
      <c r="W1068">
        <v>0.15899829999999901</v>
      </c>
      <c r="X1068">
        <v>0.98439909999999997</v>
      </c>
      <c r="Y1068">
        <v>-0.26509120000000003</v>
      </c>
      <c r="Z1068">
        <v>2.1298709999999998E-2</v>
      </c>
      <c r="AA1068">
        <v>0.96398810000000001</v>
      </c>
      <c r="AB1068">
        <v>28</v>
      </c>
      <c r="AC1068">
        <v>9.2638999999999996</v>
      </c>
      <c r="AD1068">
        <v>-1.1095685976580001</v>
      </c>
      <c r="AE1068">
        <v>-36.359099999999899</v>
      </c>
      <c r="AF1068">
        <v>-10.0130088394254</v>
      </c>
      <c r="AG1068">
        <v>-1.1095685976580001</v>
      </c>
      <c r="AH1068">
        <v>36.1259545374635</v>
      </c>
      <c r="AI1068">
        <v>91.695346799298804</v>
      </c>
      <c r="AJ1068">
        <v>105.49174494951301</v>
      </c>
      <c r="AK1068">
        <v>37.504347477781899</v>
      </c>
      <c r="AL1068">
        <v>80.851240804560007</v>
      </c>
      <c r="AM1068">
        <v>94.377212817594597</v>
      </c>
      <c r="AN1068">
        <v>0.99999995329258096</v>
      </c>
    </row>
    <row r="1069" spans="1:40" x14ac:dyDescent="0.25">
      <c r="A1069" t="str">
        <f>"20190304155339870"</f>
        <v>20190304155339870</v>
      </c>
      <c r="B1069" t="str">
        <f>"1551686019866617"</f>
        <v>1551686019866617</v>
      </c>
      <c r="C1069" t="s">
        <v>40</v>
      </c>
      <c r="D1069">
        <v>4.4647129999999997</v>
      </c>
      <c r="E1069">
        <v>0.4202938</v>
      </c>
      <c r="F1069" t="s">
        <v>51</v>
      </c>
      <c r="G1069">
        <v>-182.58070000000001</v>
      </c>
      <c r="H1069" s="1">
        <v>2.3901120000000001E-6</v>
      </c>
      <c r="I1069">
        <v>287.74380000000002</v>
      </c>
      <c r="J1069">
        <v>-191.78309999999999</v>
      </c>
      <c r="K1069">
        <v>1.109575</v>
      </c>
      <c r="L1069">
        <v>323.54640000000001</v>
      </c>
      <c r="M1069">
        <v>-2.0969149999999999E-2</v>
      </c>
      <c r="N1069">
        <v>-7.9733849999999995E-3</v>
      </c>
      <c r="O1069">
        <v>-0.99974850000000004</v>
      </c>
      <c r="P1069">
        <v>5.4204599999999901E-2</v>
      </c>
      <c r="Q1069">
        <v>0.15112300000000001</v>
      </c>
      <c r="R1069">
        <v>-0.98702780000000001</v>
      </c>
      <c r="S1069">
        <v>0.76747129999999997</v>
      </c>
      <c r="T1069">
        <v>-9.2596170000000005E-2</v>
      </c>
      <c r="U1069">
        <v>-3.0111690000000002</v>
      </c>
      <c r="V1069">
        <v>-7.4864429999999996E-2</v>
      </c>
      <c r="W1069">
        <v>0.15898979999999999</v>
      </c>
      <c r="X1069">
        <v>0.98443769999999997</v>
      </c>
      <c r="Y1069">
        <v>-0.26714700000000002</v>
      </c>
      <c r="Z1069">
        <v>2.170184E-2</v>
      </c>
      <c r="AA1069">
        <v>0.96341140000000003</v>
      </c>
      <c r="AB1069">
        <v>28</v>
      </c>
      <c r="AC1069">
        <v>9.2023999999999795</v>
      </c>
      <c r="AD1069">
        <v>-1.1095726098880001</v>
      </c>
      <c r="AE1069">
        <v>-35.802599999999899</v>
      </c>
      <c r="AF1069">
        <v>-9.9421929299392993</v>
      </c>
      <c r="AG1069">
        <v>-1.1095726098880001</v>
      </c>
      <c r="AH1069">
        <v>35.569708364264201</v>
      </c>
      <c r="AI1069">
        <v>91.720807896358295</v>
      </c>
      <c r="AJ1069">
        <v>105.61636427325701</v>
      </c>
      <c r="AK1069">
        <v>36.949729427311802</v>
      </c>
      <c r="AL1069">
        <v>80.851734637858499</v>
      </c>
      <c r="AM1069">
        <v>94.348853643771207</v>
      </c>
      <c r="AN1069">
        <v>1.0000000122822701</v>
      </c>
    </row>
    <row r="1070" spans="1:40" x14ac:dyDescent="0.25">
      <c r="A1070" t="str">
        <f>"20190304155339894"</f>
        <v>20190304155339894</v>
      </c>
      <c r="B1070" t="str">
        <f>"1551686019887113"</f>
        <v>1551686019887113</v>
      </c>
      <c r="C1070" t="s">
        <v>40</v>
      </c>
      <c r="D1070">
        <v>4.4200689999999998</v>
      </c>
      <c r="E1070">
        <v>0.4194563</v>
      </c>
      <c r="F1070" t="s">
        <v>51</v>
      </c>
      <c r="G1070">
        <v>-182.56450000000001</v>
      </c>
      <c r="H1070" s="1">
        <v>2.3843760000000002E-6</v>
      </c>
      <c r="I1070">
        <v>287.7765</v>
      </c>
      <c r="J1070">
        <v>-191.7895</v>
      </c>
      <c r="K1070">
        <v>1.1095790000000001</v>
      </c>
      <c r="L1070">
        <v>323.24590000000001</v>
      </c>
      <c r="M1070">
        <v>-2.1046929999999998E-2</v>
      </c>
      <c r="N1070">
        <v>-8.0121499999999991E-3</v>
      </c>
      <c r="O1070">
        <v>-0.99974660000000004</v>
      </c>
      <c r="P1070">
        <v>5.3383369999999999E-2</v>
      </c>
      <c r="Q1070">
        <v>0.150946</v>
      </c>
      <c r="R1070">
        <v>-0.98709990000000003</v>
      </c>
      <c r="S1070">
        <v>0.77601619999999905</v>
      </c>
      <c r="T1070">
        <v>-9.3402739999999998E-2</v>
      </c>
      <c r="U1070">
        <v>-3.0110779999999999</v>
      </c>
      <c r="V1070">
        <v>-7.4120179999999994E-2</v>
      </c>
      <c r="W1070">
        <v>0.15885179999999999</v>
      </c>
      <c r="X1070">
        <v>0.98451630000000001</v>
      </c>
      <c r="Y1070">
        <v>-0.26979140000000001</v>
      </c>
      <c r="Z1070">
        <v>2.1900320000000001E-2</v>
      </c>
      <c r="AA1070">
        <v>0.96266969999999996</v>
      </c>
      <c r="AB1070">
        <v>28</v>
      </c>
      <c r="AC1070">
        <v>9.2249999999999908</v>
      </c>
      <c r="AD1070">
        <v>-1.1095766156239999</v>
      </c>
      <c r="AE1070">
        <v>-35.4694</v>
      </c>
      <c r="AF1070">
        <v>-9.96037251386511</v>
      </c>
      <c r="AG1070">
        <v>-1.1095766156239999</v>
      </c>
      <c r="AH1070">
        <v>35.235081971404497</v>
      </c>
      <c r="AI1070">
        <v>91.735713326980502</v>
      </c>
      <c r="AJ1070">
        <v>105.78471651928299</v>
      </c>
      <c r="AK1070">
        <v>36.632651861590503</v>
      </c>
      <c r="AL1070">
        <v>80.859743306952595</v>
      </c>
      <c r="AM1070">
        <v>94.305441308337294</v>
      </c>
      <c r="AN1070">
        <v>1.0000000202060799</v>
      </c>
    </row>
    <row r="1071" spans="1:40" x14ac:dyDescent="0.25">
      <c r="A1071" t="str">
        <f>"20190304155339917"</f>
        <v>20190304155339917</v>
      </c>
      <c r="B1071" t="str">
        <f>"1551686019906633"</f>
        <v>1551686019906633</v>
      </c>
      <c r="C1071" t="s">
        <v>40</v>
      </c>
      <c r="D1071">
        <v>4.3687189999999996</v>
      </c>
      <c r="E1071">
        <v>0.41866510000000001</v>
      </c>
      <c r="F1071" t="s">
        <v>51</v>
      </c>
      <c r="G1071">
        <v>-182.3904</v>
      </c>
      <c r="H1071" s="1">
        <v>2.4219079999999999E-6</v>
      </c>
      <c r="I1071">
        <v>286.9941</v>
      </c>
      <c r="J1071">
        <v>-191.79570000000001</v>
      </c>
      <c r="K1071">
        <v>1.109586</v>
      </c>
      <c r="L1071">
        <v>322.9581</v>
      </c>
      <c r="M1071">
        <v>-2.1122249999999999E-2</v>
      </c>
      <c r="N1071">
        <v>-8.057069E-3</v>
      </c>
      <c r="O1071">
        <v>-0.99974470000000004</v>
      </c>
      <c r="P1071">
        <v>5.2926670000000002E-2</v>
      </c>
      <c r="Q1071">
        <v>0.15098919999999999</v>
      </c>
      <c r="R1071">
        <v>-0.98711760000000004</v>
      </c>
      <c r="S1071">
        <v>0.78068539999999997</v>
      </c>
      <c r="T1071">
        <v>-9.2161419999999994E-2</v>
      </c>
      <c r="U1071">
        <v>-3.0110779999999999</v>
      </c>
      <c r="V1071">
        <v>-7.3737910000000004E-2</v>
      </c>
      <c r="W1071">
        <v>0.1589399</v>
      </c>
      <c r="X1071">
        <v>0.98453069999999998</v>
      </c>
      <c r="Y1071">
        <v>-0.27126529999999999</v>
      </c>
      <c r="Z1071">
        <v>2.144565E-2</v>
      </c>
      <c r="AA1071">
        <v>0.9622657</v>
      </c>
      <c r="AB1071">
        <v>28</v>
      </c>
      <c r="AC1071">
        <v>9.4053000000000093</v>
      </c>
      <c r="AD1071">
        <v>-1.109583578092</v>
      </c>
      <c r="AE1071">
        <v>-35.963999999999999</v>
      </c>
      <c r="AF1071">
        <v>-10.1538200584028</v>
      </c>
      <c r="AG1071">
        <v>-1.109583578092</v>
      </c>
      <c r="AH1071">
        <v>35.725478831221302</v>
      </c>
      <c r="AI1071">
        <v>91.7112238540292</v>
      </c>
      <c r="AJ1071">
        <v>105.866097948354</v>
      </c>
      <c r="AK1071">
        <v>37.156978822493599</v>
      </c>
      <c r="AL1071">
        <v>80.854629809685207</v>
      </c>
      <c r="AM1071">
        <v>94.283256712410093</v>
      </c>
      <c r="AN1071">
        <v>0.99999993521283104</v>
      </c>
    </row>
    <row r="1072" spans="1:40" x14ac:dyDescent="0.25">
      <c r="A1072" t="str">
        <f>"20190304155339960"</f>
        <v>20190304155339960</v>
      </c>
      <c r="B1072" t="str">
        <f>"1551686019957385"</f>
        <v>1551686019957385</v>
      </c>
      <c r="C1072" t="s">
        <v>40</v>
      </c>
      <c r="D1072">
        <v>4.2258620000000002</v>
      </c>
      <c r="E1072">
        <v>0.41684189999999999</v>
      </c>
      <c r="F1072" t="s">
        <v>51</v>
      </c>
      <c r="G1072">
        <v>-182.1027</v>
      </c>
      <c r="H1072" s="1">
        <v>2.4732829999999998E-6</v>
      </c>
      <c r="I1072">
        <v>285.82249999999999</v>
      </c>
      <c r="J1072">
        <v>-191.80719999999999</v>
      </c>
      <c r="K1072">
        <v>1.109604</v>
      </c>
      <c r="L1072">
        <v>322.42059999999998</v>
      </c>
      <c r="M1072">
        <v>-2.1261349999999998E-2</v>
      </c>
      <c r="N1072">
        <v>-8.1651829999999995E-3</v>
      </c>
      <c r="O1072">
        <v>-0.99974059999999998</v>
      </c>
      <c r="P1072">
        <v>5.2705490000000001E-2</v>
      </c>
      <c r="Q1072">
        <v>0.15164549999999999</v>
      </c>
      <c r="R1072">
        <v>-0.98702900000000005</v>
      </c>
      <c r="S1072">
        <v>0.78585819999999995</v>
      </c>
      <c r="T1072">
        <v>-8.9959620000000004E-2</v>
      </c>
      <c r="U1072">
        <v>-3.0107729999999999</v>
      </c>
      <c r="V1072">
        <v>-7.3651750000000002E-2</v>
      </c>
      <c r="W1072">
        <v>0.1597015</v>
      </c>
      <c r="X1072">
        <v>0.98441400000000001</v>
      </c>
      <c r="Y1072">
        <v>-0.27297529999999998</v>
      </c>
      <c r="Z1072">
        <v>2.062162E-2</v>
      </c>
      <c r="AA1072">
        <v>0.96179999999999999</v>
      </c>
      <c r="AB1072">
        <v>28</v>
      </c>
      <c r="AC1072">
        <v>9.7044999999999906</v>
      </c>
      <c r="AD1072">
        <v>-1.1096015267170001</v>
      </c>
      <c r="AE1072">
        <v>-36.598099999999903</v>
      </c>
      <c r="AF1072">
        <v>-10.4714639353395</v>
      </c>
      <c r="AG1072">
        <v>-1.1096015267170001</v>
      </c>
      <c r="AH1072">
        <v>36.352268490376503</v>
      </c>
      <c r="AI1072">
        <v>91.680058007788602</v>
      </c>
      <c r="AJ1072">
        <v>106.069326752604</v>
      </c>
      <c r="AK1072">
        <v>37.846666919210001</v>
      </c>
      <c r="AL1072">
        <v>80.810429692417102</v>
      </c>
      <c r="AM1072">
        <v>94.278775775490701</v>
      </c>
      <c r="AN1072">
        <v>1.00000003638815</v>
      </c>
    </row>
    <row r="1073" spans="1:40" x14ac:dyDescent="0.25">
      <c r="A1073" t="str">
        <f>"20190304155339981"</f>
        <v>20190304155339981</v>
      </c>
      <c r="B1073" t="str">
        <f>"1551686019976907"</f>
        <v>1551686019976907</v>
      </c>
      <c r="C1073" t="s">
        <v>40</v>
      </c>
      <c r="D1073">
        <v>4.1196619999999999</v>
      </c>
      <c r="E1073">
        <v>0.4163039</v>
      </c>
      <c r="F1073" t="s">
        <v>51</v>
      </c>
      <c r="G1073">
        <v>-180.7013</v>
      </c>
      <c r="H1073" s="1">
        <v>2.6746070000000002E-6</v>
      </c>
      <c r="I1073">
        <v>280.67610000000002</v>
      </c>
      <c r="J1073">
        <v>-191.81309999999999</v>
      </c>
      <c r="K1073">
        <v>1.1096109999999999</v>
      </c>
      <c r="L1073">
        <v>322.14350000000002</v>
      </c>
      <c r="M1073">
        <v>-2.1331900000000001E-2</v>
      </c>
      <c r="N1073">
        <v>-8.2275349999999994E-3</v>
      </c>
      <c r="O1073">
        <v>-0.99973889999999999</v>
      </c>
      <c r="P1073">
        <v>5.2711300000000003E-2</v>
      </c>
      <c r="Q1073">
        <v>0.15167929999999999</v>
      </c>
      <c r="R1073">
        <v>-0.98702380000000001</v>
      </c>
      <c r="S1073">
        <v>0.80052190000000001</v>
      </c>
      <c r="T1073">
        <v>-7.9980969999999998E-2</v>
      </c>
      <c r="U1073">
        <v>-3.008972</v>
      </c>
      <c r="V1073">
        <v>-7.3726650000000005E-2</v>
      </c>
      <c r="W1073">
        <v>0.15979660000000001</v>
      </c>
      <c r="X1073">
        <v>0.98439290000000002</v>
      </c>
      <c r="Y1073">
        <v>-0.27758179999999999</v>
      </c>
      <c r="Z1073">
        <v>1.7346859999999999E-2</v>
      </c>
      <c r="AA1073">
        <v>0.96054539999999999</v>
      </c>
      <c r="AB1073">
        <v>28</v>
      </c>
      <c r="AC1073">
        <v>11.111799999999899</v>
      </c>
      <c r="AD1073">
        <v>-1.109608325393</v>
      </c>
      <c r="AE1073">
        <v>-41.467399999999998</v>
      </c>
      <c r="AF1073">
        <v>-11.985872251019</v>
      </c>
      <c r="AG1073">
        <v>-1.109608325393</v>
      </c>
      <c r="AH1073">
        <v>41.193400351163397</v>
      </c>
      <c r="AI1073">
        <v>91.481565472837104</v>
      </c>
      <c r="AJ1073">
        <v>106.223191327902</v>
      </c>
      <c r="AK1073">
        <v>42.916064553320297</v>
      </c>
      <c r="AL1073">
        <v>80.804909426467802</v>
      </c>
      <c r="AM1073">
        <v>94.283202348422606</v>
      </c>
      <c r="AN1073">
        <v>0.99999997693109599</v>
      </c>
    </row>
    <row r="1074" spans="1:40" x14ac:dyDescent="0.25">
      <c r="A1074" t="str">
        <f>"20190304155340003"</f>
        <v>20190304155340003</v>
      </c>
      <c r="B1074" t="str">
        <f>"1551686019997401"</f>
        <v>1551686019997401</v>
      </c>
      <c r="C1074" t="s">
        <v>40</v>
      </c>
      <c r="D1074">
        <v>3.8988529999999999</v>
      </c>
      <c r="E1074">
        <v>0.38865319999999998</v>
      </c>
      <c r="F1074" t="s">
        <v>51</v>
      </c>
      <c r="G1074">
        <v>-180.30840000000001</v>
      </c>
      <c r="H1074" s="1">
        <v>2.8368239999999999E-6</v>
      </c>
      <c r="I1074">
        <v>279.14920000000001</v>
      </c>
      <c r="J1074">
        <v>-191.81909999999999</v>
      </c>
      <c r="K1074">
        <v>1.1096189999999999</v>
      </c>
      <c r="L1074">
        <v>321.86610000000002</v>
      </c>
      <c r="M1074">
        <v>-2.1401739999999999E-2</v>
      </c>
      <c r="N1074">
        <v>-8.2931600000000008E-3</v>
      </c>
      <c r="O1074">
        <v>-0.99973650000000003</v>
      </c>
      <c r="P1074">
        <v>5.1975220000000003E-2</v>
      </c>
      <c r="Q1074">
        <v>0.15162989999999901</v>
      </c>
      <c r="R1074">
        <v>-0.98707009999999995</v>
      </c>
      <c r="S1074">
        <v>0.8050079</v>
      </c>
      <c r="T1074">
        <v>-7.7641489999999994E-2</v>
      </c>
      <c r="U1074">
        <v>-3.0083920000000002</v>
      </c>
      <c r="V1074">
        <v>-7.3060829999999993E-2</v>
      </c>
      <c r="W1074">
        <v>0.1598126</v>
      </c>
      <c r="X1074">
        <v>0.98443999999999998</v>
      </c>
      <c r="Y1074">
        <v>-0.27903559999999999</v>
      </c>
      <c r="Z1074">
        <v>1.6527050000000001E-2</v>
      </c>
      <c r="AA1074">
        <v>0.96013850000000001</v>
      </c>
      <c r="AB1074">
        <v>28</v>
      </c>
      <c r="AC1074">
        <v>11.5106999999999</v>
      </c>
      <c r="AD1074">
        <v>-1.109616163176</v>
      </c>
      <c r="AE1074">
        <v>-42.716900000000003</v>
      </c>
      <c r="AF1074">
        <v>-12.4145011737565</v>
      </c>
      <c r="AG1074">
        <v>-1.109616163176</v>
      </c>
      <c r="AH1074">
        <v>42.434063514460099</v>
      </c>
      <c r="AI1074">
        <v>91.437660902269499</v>
      </c>
      <c r="AJ1074">
        <v>106.307354251851</v>
      </c>
      <c r="AK1074">
        <v>44.2266982011095</v>
      </c>
      <c r="AL1074">
        <v>80.803981277587894</v>
      </c>
      <c r="AM1074">
        <v>94.2444607348137</v>
      </c>
      <c r="AN1074">
        <v>1.00000003279952</v>
      </c>
    </row>
    <row r="1075" spans="1:40" x14ac:dyDescent="0.25">
      <c r="A1075" t="str">
        <f>"20190304155340027"</f>
        <v>20190304155340027</v>
      </c>
      <c r="B1075" t="str">
        <f>"1551686020016921"</f>
        <v>1551686020016921</v>
      </c>
      <c r="C1075" t="s">
        <v>40</v>
      </c>
      <c r="D1075">
        <v>3.8933300000000002</v>
      </c>
      <c r="E1075">
        <v>0.38177080000000002</v>
      </c>
      <c r="F1075" t="s">
        <v>61</v>
      </c>
      <c r="G1075">
        <v>-167.95859999999999</v>
      </c>
      <c r="H1075">
        <v>0.53594019999999898</v>
      </c>
      <c r="I1075">
        <v>252.31030000000001</v>
      </c>
      <c r="J1075">
        <v>-191.8261</v>
      </c>
      <c r="K1075">
        <v>1.1096280000000001</v>
      </c>
      <c r="L1075">
        <v>321.5478</v>
      </c>
      <c r="M1075">
        <v>-2.1481429999999999E-2</v>
      </c>
      <c r="N1075">
        <v>-8.3805000000000008E-3</v>
      </c>
      <c r="O1075">
        <v>-0.99973440000000002</v>
      </c>
      <c r="P1075">
        <v>5.1288420000000001E-2</v>
      </c>
      <c r="Q1075">
        <v>0.15185460000000001</v>
      </c>
      <c r="R1075">
        <v>-0.9870719</v>
      </c>
      <c r="S1075">
        <v>1.0253749999999999</v>
      </c>
      <c r="T1075">
        <v>-2.4650689999999999E-2</v>
      </c>
      <c r="U1075">
        <v>-2.9890750000000001</v>
      </c>
      <c r="V1075">
        <v>-7.2452509999999998E-2</v>
      </c>
      <c r="W1075">
        <v>0.1601233</v>
      </c>
      <c r="X1075">
        <v>0.98443440000000004</v>
      </c>
      <c r="Y1075">
        <v>-0.34470220000000001</v>
      </c>
      <c r="Z1075">
        <v>-6.4168059999999895E-4</v>
      </c>
      <c r="AA1075">
        <v>0.93871190000000004</v>
      </c>
      <c r="AB1075">
        <v>28</v>
      </c>
      <c r="AC1075">
        <v>23.8675</v>
      </c>
      <c r="AD1075">
        <v>-0.57368779999999997</v>
      </c>
      <c r="AE1075">
        <v>-69.237499999999898</v>
      </c>
      <c r="AF1075">
        <v>-25.3478090509536</v>
      </c>
      <c r="AG1075">
        <v>-0.57368779999999997</v>
      </c>
      <c r="AH1075">
        <v>68.704580371429799</v>
      </c>
      <c r="AI1075">
        <v>90.448840787554701</v>
      </c>
      <c r="AJ1075">
        <v>110.25099181781999</v>
      </c>
      <c r="AK1075">
        <v>73.233598200482604</v>
      </c>
      <c r="AL1075">
        <v>80.785946588914399</v>
      </c>
      <c r="AM1075">
        <v>94.209271861613502</v>
      </c>
      <c r="AN1075">
        <v>0.99999996265577396</v>
      </c>
    </row>
    <row r="1076" spans="1:40" x14ac:dyDescent="0.25">
      <c r="A1076" t="str">
        <f>"20190304155340049"</f>
        <v>20190304155340049</v>
      </c>
      <c r="B1076" t="str">
        <f>"1551686020037417"</f>
        <v>1551686020037417</v>
      </c>
      <c r="C1076" t="s">
        <v>40</v>
      </c>
      <c r="D1076">
        <v>3.8480189999999999</v>
      </c>
      <c r="E1076">
        <v>0.37877050000000001</v>
      </c>
      <c r="F1076" t="s">
        <v>61</v>
      </c>
      <c r="G1076">
        <v>-166.77330000000001</v>
      </c>
      <c r="H1076">
        <v>1.1022449999999999</v>
      </c>
      <c r="I1076">
        <v>252.31030000000001</v>
      </c>
      <c r="J1076">
        <v>-191.83179999999999</v>
      </c>
      <c r="K1076">
        <v>1.109639</v>
      </c>
      <c r="L1076">
        <v>321.28280000000001</v>
      </c>
      <c r="M1076">
        <v>-2.154758E-2</v>
      </c>
      <c r="N1076">
        <v>-8.4555689999999996E-3</v>
      </c>
      <c r="O1076">
        <v>-0.99973230000000002</v>
      </c>
      <c r="P1076">
        <v>5.017978E-2</v>
      </c>
      <c r="Q1076">
        <v>0.15183820000000001</v>
      </c>
      <c r="R1076">
        <v>-0.98713110000000004</v>
      </c>
      <c r="S1076">
        <v>1.079453</v>
      </c>
      <c r="T1076">
        <v>-3.156662E-4</v>
      </c>
      <c r="U1076">
        <v>-2.9832459999999998</v>
      </c>
      <c r="V1076">
        <v>-7.1410630000000003E-2</v>
      </c>
      <c r="W1076">
        <v>0.1601812</v>
      </c>
      <c r="X1076">
        <v>0.98450110000000002</v>
      </c>
      <c r="Y1076">
        <v>-0.36040850000000002</v>
      </c>
      <c r="Z1076">
        <v>-8.3885009999999996E-3</v>
      </c>
      <c r="AA1076">
        <v>0.9327569</v>
      </c>
      <c r="AB1076">
        <v>29</v>
      </c>
      <c r="AC1076">
        <v>25.058499999999899</v>
      </c>
      <c r="AD1076">
        <v>-7.3939999999998998E-3</v>
      </c>
      <c r="AE1076">
        <v>-68.972499999999997</v>
      </c>
      <c r="AF1076">
        <v>-26.5389245800867</v>
      </c>
      <c r="AG1076">
        <v>-7.3939999999998998E-3</v>
      </c>
      <c r="AH1076">
        <v>68.416515193993803</v>
      </c>
      <c r="AI1076">
        <v>90.005773030037304</v>
      </c>
      <c r="AJ1076">
        <v>111.201388331072</v>
      </c>
      <c r="AK1076">
        <v>73.383473097345004</v>
      </c>
      <c r="AL1076">
        <v>80.782585715551406</v>
      </c>
      <c r="AM1076">
        <v>94.148674581761696</v>
      </c>
      <c r="AN1076">
        <v>0.99999995540582198</v>
      </c>
    </row>
    <row r="1077" spans="1:40" x14ac:dyDescent="0.25">
      <c r="A1077" t="str">
        <f>"20190304155340070"</f>
        <v>20190304155340070</v>
      </c>
      <c r="B1077" t="str">
        <f>"1551686020066697"</f>
        <v>1551686020066697</v>
      </c>
      <c r="C1077" t="s">
        <v>40</v>
      </c>
      <c r="D1077">
        <v>3.8250310000000001</v>
      </c>
      <c r="E1077">
        <v>0.37669419999999998</v>
      </c>
      <c r="F1077" t="s">
        <v>61</v>
      </c>
      <c r="G1077">
        <v>-166.36539999999999</v>
      </c>
      <c r="H1077">
        <v>1.3721399999999999</v>
      </c>
      <c r="I1077">
        <v>252.31030000000001</v>
      </c>
      <c r="J1077">
        <v>-191.83799999999999</v>
      </c>
      <c r="K1077">
        <v>1.109645</v>
      </c>
      <c r="L1077">
        <v>321.00049999999999</v>
      </c>
      <c r="M1077">
        <v>-2.1617999999999998E-2</v>
      </c>
      <c r="N1077">
        <v>-8.5356640000000001E-3</v>
      </c>
      <c r="O1077">
        <v>-0.99972989999999995</v>
      </c>
      <c r="P1077">
        <v>4.9346760000000003E-2</v>
      </c>
      <c r="Q1077">
        <v>0.15149270000000001</v>
      </c>
      <c r="R1077">
        <v>-0.9872261</v>
      </c>
      <c r="S1077">
        <v>1.1008150000000001</v>
      </c>
      <c r="T1077">
        <v>1.134932E-2</v>
      </c>
      <c r="U1077">
        <v>-2.9814150000000001</v>
      </c>
      <c r="V1077">
        <v>-7.0649429999999999E-2</v>
      </c>
      <c r="W1077">
        <v>0.15991569999999999</v>
      </c>
      <c r="X1077">
        <v>0.98459920000000001</v>
      </c>
      <c r="Y1077">
        <v>-0.36653649999999999</v>
      </c>
      <c r="Z1077">
        <v>-1.2124050000000001E-2</v>
      </c>
      <c r="AA1077">
        <v>0.9303247</v>
      </c>
      <c r="AB1077">
        <v>29</v>
      </c>
      <c r="AC1077">
        <v>25.4726</v>
      </c>
      <c r="AD1077">
        <v>0.26249499999999898</v>
      </c>
      <c r="AE1077">
        <v>-68.690199999999905</v>
      </c>
      <c r="AF1077">
        <v>-26.951299506968599</v>
      </c>
      <c r="AG1077">
        <v>0.26249499999999898</v>
      </c>
      <c r="AH1077">
        <v>68.122584926654795</v>
      </c>
      <c r="AI1077">
        <v>89.794707246580302</v>
      </c>
      <c r="AJ1077">
        <v>111.585209537328</v>
      </c>
      <c r="AK1077">
        <v>73.260685403759695</v>
      </c>
      <c r="AL1077">
        <v>80.797996620095404</v>
      </c>
      <c r="AM1077">
        <v>94.104196275088199</v>
      </c>
      <c r="AN1077">
        <v>0.999999978853227</v>
      </c>
    </row>
    <row r="1078" spans="1:40" x14ac:dyDescent="0.25">
      <c r="A1078" t="str">
        <f>"20190304155340095"</f>
        <v>20190304155340095</v>
      </c>
      <c r="B1078" t="str">
        <f>"1551686020087193"</f>
        <v>1551686020087193</v>
      </c>
      <c r="C1078" t="s">
        <v>40</v>
      </c>
      <c r="D1078">
        <v>3.853224</v>
      </c>
      <c r="E1078">
        <v>0.37630180000000002</v>
      </c>
      <c r="F1078" t="s">
        <v>61</v>
      </c>
      <c r="G1078">
        <v>-166.13829999999999</v>
      </c>
      <c r="H1078">
        <v>1.5229619999999999</v>
      </c>
      <c r="I1078">
        <v>252.31030000000001</v>
      </c>
      <c r="J1078">
        <v>-191.8449</v>
      </c>
      <c r="K1078">
        <v>1.109656</v>
      </c>
      <c r="L1078">
        <v>320.68529999999998</v>
      </c>
      <c r="M1078">
        <v>-2.1696480000000001E-2</v>
      </c>
      <c r="N1078">
        <v>-8.6324619999999901E-3</v>
      </c>
      <c r="O1078">
        <v>-0.99972749999999999</v>
      </c>
      <c r="P1078">
        <v>4.8047579999999999E-2</v>
      </c>
      <c r="Q1078">
        <v>0.15074499999999999</v>
      </c>
      <c r="R1078">
        <v>-0.98740490000000003</v>
      </c>
      <c r="S1078">
        <v>1.115067</v>
      </c>
      <c r="T1078">
        <v>1.7935510000000002E-2</v>
      </c>
      <c r="U1078">
        <v>-2.9803470000000001</v>
      </c>
      <c r="V1078">
        <v>-6.9431389999999996E-2</v>
      </c>
      <c r="W1078">
        <v>0.15926470000000001</v>
      </c>
      <c r="X1078">
        <v>0.98479139999999998</v>
      </c>
      <c r="Y1078">
        <v>-0.3706158</v>
      </c>
      <c r="Z1078">
        <v>-1.427751E-2</v>
      </c>
      <c r="AA1078">
        <v>0.92867650000000002</v>
      </c>
      <c r="AB1078">
        <v>29</v>
      </c>
      <c r="AC1078">
        <v>25.706600000000002</v>
      </c>
      <c r="AD1078">
        <v>0.41330600000000001</v>
      </c>
      <c r="AE1078">
        <v>-68.374999999999901</v>
      </c>
      <c r="AF1078">
        <v>-27.183229939900698</v>
      </c>
      <c r="AG1078">
        <v>0.41330600000000001</v>
      </c>
      <c r="AH1078">
        <v>67.798969692025494</v>
      </c>
      <c r="AI1078">
        <v>89.675812007673201</v>
      </c>
      <c r="AJ1078">
        <v>111.84775899686301</v>
      </c>
      <c r="AK1078">
        <v>73.046554354845199</v>
      </c>
      <c r="AL1078">
        <v>80.835780927706296</v>
      </c>
      <c r="AM1078">
        <v>94.032888345171301</v>
      </c>
      <c r="AN1078">
        <v>1.0000000320486899</v>
      </c>
    </row>
    <row r="1079" spans="1:40" x14ac:dyDescent="0.25">
      <c r="A1079" t="str">
        <f>"20190304155340118"</f>
        <v>20190304155340118</v>
      </c>
      <c r="B1079" t="str">
        <f>"1551686020106713"</f>
        <v>1551686020106713</v>
      </c>
      <c r="C1079" t="s">
        <v>40</v>
      </c>
      <c r="D1079">
        <v>3.804332</v>
      </c>
      <c r="E1079">
        <v>0.37599949999999999</v>
      </c>
      <c r="F1079" t="s">
        <v>61</v>
      </c>
      <c r="G1079">
        <v>-166.28720000000001</v>
      </c>
      <c r="H1079">
        <v>1.500146</v>
      </c>
      <c r="I1079">
        <v>252.31030000000001</v>
      </c>
      <c r="J1079">
        <v>-191.85120000000001</v>
      </c>
      <c r="K1079">
        <v>1.1096680000000001</v>
      </c>
      <c r="L1079">
        <v>320.40030000000002</v>
      </c>
      <c r="M1079">
        <v>-2.1767459999999999E-2</v>
      </c>
      <c r="N1079">
        <v>-8.7272089999999997E-3</v>
      </c>
      <c r="O1079">
        <v>-0.99972510000000003</v>
      </c>
      <c r="P1079">
        <v>4.6935070000000002E-2</v>
      </c>
      <c r="Q1079">
        <v>0.15036529999999901</v>
      </c>
      <c r="R1079">
        <v>-0.98751619999999996</v>
      </c>
      <c r="S1079">
        <v>1.114441</v>
      </c>
      <c r="T1079">
        <v>1.7029639999999999E-2</v>
      </c>
      <c r="U1079">
        <v>-2.9814759999999998</v>
      </c>
      <c r="V1079">
        <v>-6.8392079999999994E-2</v>
      </c>
      <c r="W1079">
        <v>0.15897890000000001</v>
      </c>
      <c r="X1079">
        <v>0.98491019999999896</v>
      </c>
      <c r="Y1079">
        <v>-0.37039569999999999</v>
      </c>
      <c r="Z1079">
        <v>-1.4087850000000001E-2</v>
      </c>
      <c r="AA1079">
        <v>0.92876729999999996</v>
      </c>
      <c r="AB1079">
        <v>29</v>
      </c>
      <c r="AC1079">
        <v>25.564</v>
      </c>
      <c r="AD1079">
        <v>0.39047799999999899</v>
      </c>
      <c r="AE1079">
        <v>-68.09</v>
      </c>
      <c r="AF1079">
        <v>-27.039365642366</v>
      </c>
      <c r="AG1079">
        <v>0.39047799999999899</v>
      </c>
      <c r="AH1079">
        <v>67.515435040482998</v>
      </c>
      <c r="AI1079">
        <v>89.6923837247394</v>
      </c>
      <c r="AJ1079">
        <v>111.825687685014</v>
      </c>
      <c r="AK1079">
        <v>72.729730757893805</v>
      </c>
      <c r="AL1079">
        <v>80.852366491260497</v>
      </c>
      <c r="AM1079">
        <v>93.972237635110304</v>
      </c>
      <c r="AN1079">
        <v>0.99999993465798598</v>
      </c>
    </row>
    <row r="1080" spans="1:40" x14ac:dyDescent="0.25">
      <c r="A1080" t="str">
        <f>"20190304155340141"</f>
        <v>20190304155340141</v>
      </c>
      <c r="B1080" t="str">
        <f>"1551686020136969"</f>
        <v>1551686020136969</v>
      </c>
      <c r="C1080" t="s">
        <v>40</v>
      </c>
      <c r="D1080">
        <v>3.7828629999999999</v>
      </c>
      <c r="E1080">
        <v>0.375585</v>
      </c>
      <c r="F1080" t="s">
        <v>61</v>
      </c>
      <c r="G1080">
        <v>-166.4247</v>
      </c>
      <c r="H1080">
        <v>1.510391</v>
      </c>
      <c r="I1080">
        <v>252.31030000000001</v>
      </c>
      <c r="J1080">
        <v>-191.8579</v>
      </c>
      <c r="K1080">
        <v>1.1096760000000001</v>
      </c>
      <c r="L1080">
        <v>320.09480000000002</v>
      </c>
      <c r="M1080">
        <v>-2.1843810000000002E-2</v>
      </c>
      <c r="N1080">
        <v>-8.8383239999999998E-3</v>
      </c>
      <c r="O1080">
        <v>-0.99972220000000001</v>
      </c>
      <c r="P1080">
        <v>4.5532179999999998E-2</v>
      </c>
      <c r="Q1080">
        <v>0.15019360000000001</v>
      </c>
      <c r="R1080">
        <v>-0.98760749999999997</v>
      </c>
      <c r="S1080">
        <v>1.1136779999999999</v>
      </c>
      <c r="T1080">
        <v>1.755404E-2</v>
      </c>
      <c r="U1080">
        <v>-2.9823300000000001</v>
      </c>
      <c r="V1080">
        <v>-6.7066890000000004E-2</v>
      </c>
      <c r="W1080">
        <v>0.1589178</v>
      </c>
      <c r="X1080">
        <v>0.98501130000000003</v>
      </c>
      <c r="Y1080">
        <v>-0.37016949999999998</v>
      </c>
      <c r="Z1080">
        <v>-1.43625E-2</v>
      </c>
      <c r="AA1080">
        <v>0.92885320000000005</v>
      </c>
      <c r="AB1080">
        <v>29</v>
      </c>
      <c r="AC1080">
        <v>25.433199999999999</v>
      </c>
      <c r="AD1080">
        <v>0.40071499999999899</v>
      </c>
      <c r="AE1080">
        <v>-67.784499999999994</v>
      </c>
      <c r="AF1080">
        <v>-26.907036532618498</v>
      </c>
      <c r="AG1080">
        <v>0.40071499999999899</v>
      </c>
      <c r="AH1080">
        <v>67.210686332281796</v>
      </c>
      <c r="AI1080">
        <v>89.682871159887895</v>
      </c>
      <c r="AJ1080">
        <v>111.818135251689</v>
      </c>
      <c r="AK1080">
        <v>72.397690189226793</v>
      </c>
      <c r="AL1080">
        <v>80.855913387771295</v>
      </c>
      <c r="AM1080">
        <v>93.895110807221698</v>
      </c>
      <c r="AN1080">
        <v>1.0000000480094</v>
      </c>
    </row>
    <row r="1081" spans="1:40" x14ac:dyDescent="0.25">
      <c r="A1081" t="str">
        <f>"20190304155340161"</f>
        <v>20190304155340161</v>
      </c>
      <c r="B1081" t="str">
        <f>"1551686020157466"</f>
        <v>1551686020157466</v>
      </c>
      <c r="C1081" t="s">
        <v>40</v>
      </c>
      <c r="D1081">
        <v>3.4780310000000001</v>
      </c>
      <c r="E1081">
        <v>0.37543779999999999</v>
      </c>
      <c r="F1081" t="s">
        <v>61</v>
      </c>
      <c r="G1081">
        <v>-166.56399999999999</v>
      </c>
      <c r="H1081">
        <v>1.547323</v>
      </c>
      <c r="I1081">
        <v>252.31030000000001</v>
      </c>
      <c r="J1081">
        <v>-191.86369999999999</v>
      </c>
      <c r="K1081">
        <v>1.1096889999999999</v>
      </c>
      <c r="L1081">
        <v>319.83580000000001</v>
      </c>
      <c r="M1081">
        <v>-2.190806E-2</v>
      </c>
      <c r="N1081">
        <v>-8.9443709999999996E-3</v>
      </c>
      <c r="O1081">
        <v>-0.9997201</v>
      </c>
      <c r="P1081">
        <v>4.4516689999999998E-2</v>
      </c>
      <c r="Q1081">
        <v>0.14964910000000001</v>
      </c>
      <c r="R1081">
        <v>-0.98773679999999997</v>
      </c>
      <c r="S1081">
        <v>1.113251</v>
      </c>
      <c r="T1081">
        <v>1.9264460000000001E-2</v>
      </c>
      <c r="U1081">
        <v>-2.983368</v>
      </c>
      <c r="V1081">
        <v>-6.6117640000000005E-2</v>
      </c>
      <c r="W1081">
        <v>0.15847900000000001</v>
      </c>
      <c r="X1081">
        <v>0.98514610000000002</v>
      </c>
      <c r="Y1081">
        <v>-0.37000379999999999</v>
      </c>
      <c r="Z1081">
        <v>-1.500223E-2</v>
      </c>
      <c r="AA1081">
        <v>0.92890910000000004</v>
      </c>
      <c r="AB1081">
        <v>29</v>
      </c>
      <c r="AC1081">
        <v>25.299699999999898</v>
      </c>
      <c r="AD1081">
        <v>0.43763400000000002</v>
      </c>
      <c r="AE1081">
        <v>-67.525499999999994</v>
      </c>
      <c r="AF1081">
        <v>-26.772052932934301</v>
      </c>
      <c r="AG1081">
        <v>0.43763400000000002</v>
      </c>
      <c r="AH1081">
        <v>66.952536368851696</v>
      </c>
      <c r="AI1081">
        <v>89.6522618262142</v>
      </c>
      <c r="AJ1081">
        <v>111.794797926773</v>
      </c>
      <c r="AK1081">
        <v>72.108088783327204</v>
      </c>
      <c r="AL1081">
        <v>80.881376917900297</v>
      </c>
      <c r="AM1081">
        <v>93.839622512911006</v>
      </c>
      <c r="AN1081">
        <v>0.999999987052689</v>
      </c>
    </row>
    <row r="1082" spans="1:40" x14ac:dyDescent="0.25">
      <c r="A1082" t="str">
        <f>"20190304155340183"</f>
        <v>20190304155340183</v>
      </c>
      <c r="B1082" t="str">
        <f>"1551686020176985"</f>
        <v>1551686020176985</v>
      </c>
      <c r="C1082" t="s">
        <v>40</v>
      </c>
      <c r="D1082">
        <v>3.9593959999999999</v>
      </c>
      <c r="E1082">
        <v>0.41814089999999998</v>
      </c>
      <c r="F1082" t="s">
        <v>61</v>
      </c>
      <c r="G1082">
        <v>-166.7139</v>
      </c>
      <c r="H1082">
        <v>1.5313369999999999</v>
      </c>
      <c r="I1082">
        <v>252.31030000000001</v>
      </c>
      <c r="J1082">
        <v>-191.87</v>
      </c>
      <c r="K1082">
        <v>1.1097030000000001</v>
      </c>
      <c r="L1082">
        <v>319.55110000000002</v>
      </c>
      <c r="M1082">
        <v>-2.1978500000000002E-2</v>
      </c>
      <c r="N1082">
        <v>-9.0804279999999998E-3</v>
      </c>
      <c r="O1082">
        <v>-0.99971750000000004</v>
      </c>
      <c r="P1082">
        <v>4.3169109999999997E-2</v>
      </c>
      <c r="Q1082">
        <v>0.1494617</v>
      </c>
      <c r="R1082">
        <v>-0.98782499999999995</v>
      </c>
      <c r="S1082">
        <v>1.111526</v>
      </c>
      <c r="T1082">
        <v>1.863766E-2</v>
      </c>
      <c r="U1082">
        <v>-2.984375</v>
      </c>
      <c r="V1082">
        <v>-6.4842280000000002E-2</v>
      </c>
      <c r="W1082">
        <v>0.15842619999999999</v>
      </c>
      <c r="X1082">
        <v>0.98523939999999999</v>
      </c>
      <c r="Y1082">
        <v>-0.36949520000000002</v>
      </c>
      <c r="Z1082">
        <v>-1.4942260000000001E-2</v>
      </c>
      <c r="AA1082">
        <v>0.92911250000000001</v>
      </c>
      <c r="AB1082">
        <v>29</v>
      </c>
      <c r="AC1082">
        <v>25.156099999999999</v>
      </c>
      <c r="AD1082">
        <v>0.42163400000000001</v>
      </c>
      <c r="AE1082">
        <v>-67.240799999999993</v>
      </c>
      <c r="AF1082">
        <v>-26.627016895147399</v>
      </c>
      <c r="AG1082">
        <v>0.42163400000000001</v>
      </c>
      <c r="AH1082">
        <v>66.669340712579796</v>
      </c>
      <c r="AI1082">
        <v>89.6634965476498</v>
      </c>
      <c r="AJ1082">
        <v>111.771235604829</v>
      </c>
      <c r="AK1082">
        <v>71.791202768963799</v>
      </c>
      <c r="AL1082">
        <v>80.884441225967507</v>
      </c>
      <c r="AM1082">
        <v>93.765418666092401</v>
      </c>
      <c r="AN1082">
        <v>1.00000002871719</v>
      </c>
    </row>
    <row r="1083" spans="1:40" x14ac:dyDescent="0.25">
      <c r="A1083" t="str">
        <f>"20190304155340205"</f>
        <v>20190304155340205</v>
      </c>
      <c r="B1083" t="str">
        <f>"1551686020197481"</f>
        <v>1551686020197481</v>
      </c>
      <c r="C1083" t="s">
        <v>40</v>
      </c>
      <c r="D1083">
        <v>4.1103839999999998</v>
      </c>
      <c r="E1083">
        <v>0.52452149999999997</v>
      </c>
      <c r="F1083" t="s">
        <v>61</v>
      </c>
      <c r="G1083">
        <v>-167.53970000000001</v>
      </c>
      <c r="H1083">
        <v>2.567453</v>
      </c>
      <c r="I1083">
        <v>224.61510000000001</v>
      </c>
      <c r="J1083">
        <v>-191.87610000000001</v>
      </c>
      <c r="K1083">
        <v>1.109728</v>
      </c>
      <c r="L1083">
        <v>319.27519999999998</v>
      </c>
      <c r="M1083">
        <v>-2.2046179999999999E-2</v>
      </c>
      <c r="N1083">
        <v>-9.2264229999999992E-3</v>
      </c>
      <c r="O1083">
        <v>-0.9997144</v>
      </c>
      <c r="P1083">
        <v>4.2153469999999998E-2</v>
      </c>
      <c r="Q1083">
        <v>0.14914559999999999</v>
      </c>
      <c r="R1083">
        <v>-0.98791649999999998</v>
      </c>
      <c r="S1083">
        <v>0.76792910000000003</v>
      </c>
      <c r="T1083">
        <v>4.6012160000000003E-2</v>
      </c>
      <c r="U1083">
        <v>-2.996429</v>
      </c>
      <c r="V1083">
        <v>-6.3895499999999994E-2</v>
      </c>
      <c r="W1083">
        <v>0.158254799999999</v>
      </c>
      <c r="X1083">
        <v>0.98532869999999995</v>
      </c>
      <c r="Y1083">
        <v>-0.2694897</v>
      </c>
      <c r="Z1083">
        <v>-2.407511E-2</v>
      </c>
      <c r="AA1083">
        <v>0.96270230000000001</v>
      </c>
      <c r="AB1083">
        <v>29</v>
      </c>
      <c r="AC1083">
        <v>24.336400000000001</v>
      </c>
      <c r="AD1083">
        <v>1.4577249999999999</v>
      </c>
      <c r="AE1083">
        <v>-94.6600999999999</v>
      </c>
      <c r="AF1083">
        <v>-26.411591907496</v>
      </c>
      <c r="AG1083">
        <v>1.4577249999999999</v>
      </c>
      <c r="AH1083">
        <v>94.079616300055093</v>
      </c>
      <c r="AI1083">
        <v>89.145332105743705</v>
      </c>
      <c r="AJ1083">
        <v>105.681374958668</v>
      </c>
      <c r="AK1083">
        <v>97.727536305942607</v>
      </c>
      <c r="AL1083">
        <v>80.894386305394704</v>
      </c>
      <c r="AM1083">
        <v>93.710258132419895</v>
      </c>
      <c r="AN1083">
        <v>0.99999993184348701</v>
      </c>
    </row>
    <row r="1084" spans="1:40" x14ac:dyDescent="0.25">
      <c r="A1084" t="str">
        <f>"20190304155340227"</f>
        <v>20190304155340227</v>
      </c>
      <c r="B1084" t="str">
        <f>"1551686020217002"</f>
        <v>1551686020217002</v>
      </c>
      <c r="C1084" t="s">
        <v>40</v>
      </c>
      <c r="D1084">
        <v>4.3794399999999998</v>
      </c>
      <c r="E1084">
        <v>0.58596709999999996</v>
      </c>
      <c r="F1084" t="s">
        <v>62</v>
      </c>
      <c r="G1084">
        <v>-197.12549999999999</v>
      </c>
      <c r="H1084" s="1">
        <v>-6.7033169999999997E-6</v>
      </c>
      <c r="I1084">
        <v>131.999</v>
      </c>
      <c r="J1084">
        <v>-191.8827</v>
      </c>
      <c r="K1084">
        <v>1.1097490000000001</v>
      </c>
      <c r="L1084">
        <v>318.98</v>
      </c>
      <c r="M1084">
        <v>-2.2118169999999999E-2</v>
      </c>
      <c r="N1084">
        <v>-9.3842309999999998E-3</v>
      </c>
      <c r="O1084">
        <v>-0.99971149999999998</v>
      </c>
      <c r="P1084">
        <v>4.0847769999999999E-2</v>
      </c>
      <c r="Q1084">
        <v>0.1484472</v>
      </c>
      <c r="R1084">
        <v>-0.98807690000000004</v>
      </c>
      <c r="S1084">
        <v>-8.5296629999999998E-2</v>
      </c>
      <c r="T1084">
        <v>-1.8031950000000001E-2</v>
      </c>
      <c r="U1084">
        <v>-3.0430299999999999</v>
      </c>
      <c r="V1084">
        <v>-6.2665269999999995E-2</v>
      </c>
      <c r="W1084">
        <v>0.1577134</v>
      </c>
      <c r="X1084">
        <v>0.9854946</v>
      </c>
      <c r="Y1084">
        <v>5.9012589999999998E-3</v>
      </c>
      <c r="Z1084">
        <v>-3.459251E-3</v>
      </c>
      <c r="AA1084">
        <v>0.99997659999999999</v>
      </c>
      <c r="AB1084">
        <v>29</v>
      </c>
      <c r="AC1084">
        <v>-5.2427999999999804</v>
      </c>
      <c r="AD1084">
        <v>-1.10975570331699</v>
      </c>
      <c r="AE1084">
        <v>-186.98099999999999</v>
      </c>
      <c r="AF1084">
        <v>1.1056194778099699</v>
      </c>
      <c r="AG1084">
        <v>-1.10975570331699</v>
      </c>
      <c r="AH1084">
        <v>187.044636204857</v>
      </c>
      <c r="AI1084">
        <v>90.339932021354997</v>
      </c>
      <c r="AJ1084">
        <v>89.661329010309998</v>
      </c>
      <c r="AK1084">
        <v>187.051195893418</v>
      </c>
      <c r="AL1084">
        <v>80.925801651195201</v>
      </c>
      <c r="AM1084">
        <v>93.638404511503694</v>
      </c>
      <c r="AN1084">
        <v>1.00000002961644</v>
      </c>
    </row>
    <row r="1085" spans="1:40" x14ac:dyDescent="0.25">
      <c r="A1085" t="str">
        <f>"20190304155340250"</f>
        <v>20190304155340250</v>
      </c>
      <c r="B1085" t="str">
        <f>"1551686020247258"</f>
        <v>1551686020247258</v>
      </c>
      <c r="C1085" t="s">
        <v>40</v>
      </c>
      <c r="D1085">
        <v>4.4181759999999999</v>
      </c>
      <c r="E1085">
        <v>0.58608450000000001</v>
      </c>
      <c r="F1085" t="s">
        <v>55</v>
      </c>
      <c r="G1085">
        <v>-229.59020000000001</v>
      </c>
      <c r="H1085">
        <v>1.5876680000000001</v>
      </c>
      <c r="I1085">
        <v>119.3841</v>
      </c>
      <c r="J1085">
        <v>-191.88929999999999</v>
      </c>
      <c r="K1085">
        <v>1.1097649999999999</v>
      </c>
      <c r="L1085">
        <v>318.68819999999999</v>
      </c>
      <c r="M1085">
        <v>-2.2188510000000002E-2</v>
      </c>
      <c r="N1085">
        <v>-9.5469260000000007E-3</v>
      </c>
      <c r="O1085">
        <v>-0.99970840000000005</v>
      </c>
      <c r="P1085">
        <v>3.9496049999999998E-2</v>
      </c>
      <c r="Q1085">
        <v>0.1474792</v>
      </c>
      <c r="R1085">
        <v>-0.98827670000000001</v>
      </c>
      <c r="S1085">
        <v>-0.57789609999999902</v>
      </c>
      <c r="T1085">
        <v>7.3245760000000002E-3</v>
      </c>
      <c r="U1085">
        <v>-3.0589599999999999</v>
      </c>
      <c r="V1085">
        <v>-6.1387480000000001E-2</v>
      </c>
      <c r="W1085">
        <v>0.15690809999999999</v>
      </c>
      <c r="X1085">
        <v>0.98570349999999995</v>
      </c>
      <c r="Y1085">
        <v>0.16376729999999901</v>
      </c>
      <c r="Z1085">
        <v>-1.188354E-2</v>
      </c>
      <c r="AA1085">
        <v>0.98642739999999995</v>
      </c>
      <c r="AB1085">
        <v>29</v>
      </c>
      <c r="AC1085">
        <v>-37.700899999999997</v>
      </c>
      <c r="AD1085">
        <v>0.47790300000000002</v>
      </c>
      <c r="AE1085">
        <v>-199.30410000000001</v>
      </c>
      <c r="AF1085">
        <v>33.268970926845299</v>
      </c>
      <c r="AG1085">
        <v>0.47790300000000002</v>
      </c>
      <c r="AH1085">
        <v>200.090481863424</v>
      </c>
      <c r="AI1085">
        <v>89.865006308411793</v>
      </c>
      <c r="AJ1085">
        <v>80.559812765614296</v>
      </c>
      <c r="AK1085">
        <v>202.837998782639</v>
      </c>
      <c r="AL1085">
        <v>80.972523239811395</v>
      </c>
      <c r="AM1085">
        <v>93.563654616550807</v>
      </c>
      <c r="AN1085">
        <v>0.99999998222930497</v>
      </c>
    </row>
    <row r="1086" spans="1:40" x14ac:dyDescent="0.25">
      <c r="A1086" t="str">
        <f>"20190304155340272"</f>
        <v>20190304155340272</v>
      </c>
      <c r="B1086" t="str">
        <f>"1551686020267754"</f>
        <v>1551686020267754</v>
      </c>
      <c r="C1086" t="s">
        <v>40</v>
      </c>
      <c r="D1086">
        <v>4.4104070000000002</v>
      </c>
      <c r="E1086">
        <v>0.58405509999999905</v>
      </c>
      <c r="F1086" t="s">
        <v>47</v>
      </c>
      <c r="G1086">
        <v>-208.74590000000001</v>
      </c>
      <c r="H1086">
        <v>-0.05</v>
      </c>
      <c r="I1086">
        <v>230.33500000000001</v>
      </c>
      <c r="J1086">
        <v>-191.8956</v>
      </c>
      <c r="K1086">
        <v>1.1097939999999999</v>
      </c>
      <c r="L1086">
        <v>318.40530000000001</v>
      </c>
      <c r="M1086">
        <v>-2.2255090000000002E-2</v>
      </c>
      <c r="N1086">
        <v>-9.7188889999999997E-3</v>
      </c>
      <c r="O1086">
        <v>-0.99970510000000001</v>
      </c>
      <c r="P1086">
        <v>3.8333640000000002E-2</v>
      </c>
      <c r="Q1086">
        <v>0.14624719999999999</v>
      </c>
      <c r="R1086">
        <v>-0.98850510000000003</v>
      </c>
      <c r="S1086">
        <v>-0.58476260000000002</v>
      </c>
      <c r="T1086">
        <v>-4.0232660000000003E-2</v>
      </c>
      <c r="U1086">
        <v>-3.0650019999999998</v>
      </c>
      <c r="V1086">
        <v>-6.02969E-2</v>
      </c>
      <c r="W1086">
        <v>0.1558475</v>
      </c>
      <c r="X1086">
        <v>0.98593909999999996</v>
      </c>
      <c r="Y1086">
        <v>0.1654795</v>
      </c>
      <c r="Z1086">
        <v>3.2152980000000001E-3</v>
      </c>
      <c r="AA1086">
        <v>0.98620799999999997</v>
      </c>
      <c r="AB1086">
        <v>29</v>
      </c>
      <c r="AC1086">
        <v>-16.850300000000001</v>
      </c>
      <c r="AD1086">
        <v>-1.159794</v>
      </c>
      <c r="AE1086">
        <v>-88.070300000000003</v>
      </c>
      <c r="AF1086">
        <v>14.883531234728</v>
      </c>
      <c r="AG1086">
        <v>-1.159794</v>
      </c>
      <c r="AH1086">
        <v>88.4087172222021</v>
      </c>
      <c r="AI1086">
        <v>90.741166034879001</v>
      </c>
      <c r="AJ1086">
        <v>80.443910380929793</v>
      </c>
      <c r="AK1086">
        <v>89.660280531642599</v>
      </c>
      <c r="AL1086">
        <v>81.034048537892303</v>
      </c>
      <c r="AM1086">
        <v>93.499668910253405</v>
      </c>
      <c r="AN1086">
        <v>1.0000000341573301</v>
      </c>
    </row>
    <row r="1087" spans="1:40" x14ac:dyDescent="0.25">
      <c r="A1087" t="str">
        <f>"20190304155340295"</f>
        <v>20190304155340295</v>
      </c>
      <c r="B1087" t="str">
        <f>"1551686020287273"</f>
        <v>1551686020287273</v>
      </c>
      <c r="C1087" t="s">
        <v>40</v>
      </c>
      <c r="D1087">
        <v>4.5153569999999998</v>
      </c>
      <c r="E1087">
        <v>0.58158140000000003</v>
      </c>
      <c r="F1087" t="s">
        <v>46</v>
      </c>
      <c r="G1087">
        <v>-201.22659999999999</v>
      </c>
      <c r="H1087">
        <v>7.998574E-2</v>
      </c>
      <c r="I1087">
        <v>268.46129999999999</v>
      </c>
      <c r="J1087">
        <v>-191.9023</v>
      </c>
      <c r="K1087">
        <v>1.1098129999999999</v>
      </c>
      <c r="L1087">
        <v>318.11149999999998</v>
      </c>
      <c r="M1087">
        <v>-2.2322979999999999E-2</v>
      </c>
      <c r="N1087">
        <v>-9.9070749999999996E-3</v>
      </c>
      <c r="O1087">
        <v>-0.99970170000000003</v>
      </c>
      <c r="P1087">
        <v>3.7373200000000002E-2</v>
      </c>
      <c r="Q1087">
        <v>0.14590040000000001</v>
      </c>
      <c r="R1087">
        <v>-0.98859330000000001</v>
      </c>
      <c r="S1087">
        <v>-0.57290649999999999</v>
      </c>
      <c r="T1087">
        <v>-6.322825E-2</v>
      </c>
      <c r="U1087">
        <v>-3.0664669999999998</v>
      </c>
      <c r="V1087">
        <v>-5.9406100000000003E-2</v>
      </c>
      <c r="W1087">
        <v>0.15568689999999999</v>
      </c>
      <c r="X1087">
        <v>0.98601850000000002</v>
      </c>
      <c r="Y1087">
        <v>0.16162779999999999</v>
      </c>
      <c r="Z1087">
        <v>1.0410590000000001E-2</v>
      </c>
      <c r="AA1087">
        <v>0.98679689999999998</v>
      </c>
      <c r="AB1087">
        <v>29</v>
      </c>
      <c r="AC1087">
        <v>-9.3242999999999903</v>
      </c>
      <c r="AD1087">
        <v>-1.02982726</v>
      </c>
      <c r="AE1087">
        <v>-49.650199999999899</v>
      </c>
      <c r="AF1087">
        <v>8.2101696009691807</v>
      </c>
      <c r="AG1087">
        <v>-1.02982726</v>
      </c>
      <c r="AH1087">
        <v>49.825277507598202</v>
      </c>
      <c r="AI1087">
        <v>91.168314306198099</v>
      </c>
      <c r="AJ1087">
        <v>80.642930694214499</v>
      </c>
      <c r="AK1087">
        <v>50.507679691026098</v>
      </c>
      <c r="AL1087">
        <v>81.043363537279404</v>
      </c>
      <c r="AM1087">
        <v>93.447815018650999</v>
      </c>
      <c r="AN1087">
        <v>0.99999998894553499</v>
      </c>
    </row>
    <row r="1088" spans="1:40" x14ac:dyDescent="0.25">
      <c r="A1088" t="str">
        <f>"20190304155340318"</f>
        <v>20190304155340318</v>
      </c>
      <c r="B1088" t="str">
        <f>"1551686020307769"</f>
        <v>1551686020307769</v>
      </c>
      <c r="C1088" t="s">
        <v>40</v>
      </c>
      <c r="D1088">
        <v>4.4882049999999998</v>
      </c>
      <c r="E1088">
        <v>0.58038120000000004</v>
      </c>
      <c r="F1088" t="s">
        <v>51</v>
      </c>
      <c r="G1088">
        <v>-199.2877</v>
      </c>
      <c r="H1088" s="1">
        <v>3.3348109999999999E-6</v>
      </c>
      <c r="I1088">
        <v>277.4239</v>
      </c>
      <c r="J1088">
        <v>-191.9091</v>
      </c>
      <c r="K1088">
        <v>1.109837</v>
      </c>
      <c r="L1088">
        <v>317.80930000000001</v>
      </c>
      <c r="M1088">
        <v>-2.239178E-2</v>
      </c>
      <c r="N1088">
        <v>-1.0100059999999999E-2</v>
      </c>
      <c r="O1088">
        <v>-0.99969839999999999</v>
      </c>
      <c r="P1088">
        <v>3.6501459999999999E-2</v>
      </c>
      <c r="Q1088">
        <v>0.14547560000000001</v>
      </c>
      <c r="R1088">
        <v>-0.98868860000000003</v>
      </c>
      <c r="S1088">
        <v>-0.55689999999999995</v>
      </c>
      <c r="T1088">
        <v>-8.3685399999999993E-2</v>
      </c>
      <c r="U1088">
        <v>-3.0680540000000001</v>
      </c>
      <c r="V1088">
        <v>-5.860522E-2</v>
      </c>
      <c r="W1088">
        <v>0.15545329999999999</v>
      </c>
      <c r="X1088">
        <v>0.98610330000000002</v>
      </c>
      <c r="Y1088">
        <v>0.15646559999999901</v>
      </c>
      <c r="Z1088">
        <v>1.679133E-2</v>
      </c>
      <c r="AA1088">
        <v>0.98754070000000005</v>
      </c>
      <c r="AB1088">
        <v>29</v>
      </c>
      <c r="AC1088">
        <v>-7.3785999999999996</v>
      </c>
      <c r="AD1088">
        <v>-1.109833665189</v>
      </c>
      <c r="AE1088">
        <v>-40.385399999999997</v>
      </c>
      <c r="AF1088">
        <v>6.4676761431665</v>
      </c>
      <c r="AG1088">
        <v>-1.109833665189</v>
      </c>
      <c r="AH1088">
        <v>40.510895728996601</v>
      </c>
      <c r="AI1088">
        <v>91.549662986382899</v>
      </c>
      <c r="AJ1088">
        <v>80.929123141638598</v>
      </c>
      <c r="AK1088">
        <v>41.038947820612002</v>
      </c>
      <c r="AL1088">
        <v>81.056912979104297</v>
      </c>
      <c r="AM1088">
        <v>93.401151551472793</v>
      </c>
      <c r="AN1088">
        <v>1.00000000928151</v>
      </c>
    </row>
    <row r="1089" spans="1:40" x14ac:dyDescent="0.25">
      <c r="A1089" t="str">
        <f>"20190304155340340"</f>
        <v>20190304155340340</v>
      </c>
      <c r="B1089" t="str">
        <f>"1551686020337049"</f>
        <v>1551686020337049</v>
      </c>
      <c r="C1089" t="s">
        <v>40</v>
      </c>
      <c r="D1089">
        <v>4.4857719999999999</v>
      </c>
      <c r="E1089">
        <v>0.58001919999999996</v>
      </c>
      <c r="F1089" t="s">
        <v>51</v>
      </c>
      <c r="G1089">
        <v>-198.2433</v>
      </c>
      <c r="H1089" s="1">
        <v>2.689752E-6</v>
      </c>
      <c r="I1089">
        <v>282.47289999999998</v>
      </c>
      <c r="J1089">
        <v>-191.91560000000001</v>
      </c>
      <c r="K1089">
        <v>1.1098600000000001</v>
      </c>
      <c r="L1089">
        <v>317.5206</v>
      </c>
      <c r="M1089">
        <v>-2.245693E-2</v>
      </c>
      <c r="N1089">
        <v>-1.0284969999999999E-2</v>
      </c>
      <c r="O1089">
        <v>-0.99969479999999999</v>
      </c>
      <c r="P1089">
        <v>3.5494779999999997E-2</v>
      </c>
      <c r="Q1089">
        <v>0.14480560000000001</v>
      </c>
      <c r="R1089">
        <v>-0.98882340000000002</v>
      </c>
      <c r="S1089">
        <v>-0.55010990000000004</v>
      </c>
      <c r="T1089">
        <v>-9.6385479999999996E-2</v>
      </c>
      <c r="U1089">
        <v>-3.068848</v>
      </c>
      <c r="V1089">
        <v>-5.7666410000000001E-2</v>
      </c>
      <c r="W1089">
        <v>0.1549671</v>
      </c>
      <c r="X1089">
        <v>0.98623510000000003</v>
      </c>
      <c r="Y1089">
        <v>0.15422339999999901</v>
      </c>
      <c r="Z1089">
        <v>2.0685100000000001E-2</v>
      </c>
      <c r="AA1089">
        <v>0.98781940000000001</v>
      </c>
      <c r="AB1089">
        <v>29</v>
      </c>
      <c r="AC1089">
        <v>-6.3276999999999903</v>
      </c>
      <c r="AD1089">
        <v>-1.1098573102480001</v>
      </c>
      <c r="AE1089">
        <v>-35.047699999999999</v>
      </c>
      <c r="AF1089">
        <v>5.5336246384592496</v>
      </c>
      <c r="AG1089">
        <v>-1.1098573102480001</v>
      </c>
      <c r="AH1089">
        <v>35.146835967486901</v>
      </c>
      <c r="AI1089">
        <v>91.7866754164002</v>
      </c>
      <c r="AJ1089">
        <v>81.052626041645695</v>
      </c>
      <c r="AK1089">
        <v>35.597090659405097</v>
      </c>
      <c r="AL1089">
        <v>81.0851113364414</v>
      </c>
      <c r="AM1089">
        <v>93.3463463573989</v>
      </c>
      <c r="AN1089">
        <v>0.99999994469835196</v>
      </c>
    </row>
    <row r="1090" spans="1:40" x14ac:dyDescent="0.25">
      <c r="A1090" t="str">
        <f>"20190304155340361"</f>
        <v>20190304155340361</v>
      </c>
      <c r="B1090" t="str">
        <f>"1551686020357546"</f>
        <v>1551686020357546</v>
      </c>
      <c r="C1090" t="s">
        <v>40</v>
      </c>
      <c r="D1090">
        <v>4.5352370000000004</v>
      </c>
      <c r="E1090">
        <v>0.57976280000000002</v>
      </c>
      <c r="F1090" t="s">
        <v>51</v>
      </c>
      <c r="G1090">
        <v>-197.69040000000001</v>
      </c>
      <c r="H1090" s="1">
        <v>2.5397839999999998E-6</v>
      </c>
      <c r="I1090">
        <v>285.31040000000002</v>
      </c>
      <c r="J1090">
        <v>-191.92169999999999</v>
      </c>
      <c r="K1090">
        <v>1.10988</v>
      </c>
      <c r="L1090">
        <v>317.25080000000003</v>
      </c>
      <c r="M1090">
        <v>-2.2517820000000001E-2</v>
      </c>
      <c r="N1090">
        <v>-1.04586E-2</v>
      </c>
      <c r="O1090">
        <v>-0.99969169999999996</v>
      </c>
      <c r="P1090">
        <v>3.4443090000000003E-2</v>
      </c>
      <c r="Q1090">
        <v>0.14449690000000001</v>
      </c>
      <c r="R1090">
        <v>-0.98890579999999995</v>
      </c>
      <c r="S1090">
        <v>-0.55024719999999905</v>
      </c>
      <c r="T1090">
        <v>-0.10575270000000001</v>
      </c>
      <c r="U1090">
        <v>-3.069153</v>
      </c>
      <c r="V1090">
        <v>-5.6676730000000002E-2</v>
      </c>
      <c r="W1090">
        <v>0.154831</v>
      </c>
      <c r="X1090">
        <v>0.98631389999999997</v>
      </c>
      <c r="Y1090">
        <v>0.154174799999999</v>
      </c>
      <c r="Z1090">
        <v>2.3513539999999999E-2</v>
      </c>
      <c r="AA1090">
        <v>0.98776379999999997</v>
      </c>
      <c r="AB1090">
        <v>29</v>
      </c>
      <c r="AC1090">
        <v>-5.7687000000000204</v>
      </c>
      <c r="AD1090">
        <v>-1.109877460216</v>
      </c>
      <c r="AE1090">
        <v>-31.9404</v>
      </c>
      <c r="AF1090">
        <v>5.0420738566463204</v>
      </c>
      <c r="AG1090">
        <v>-1.109877460216</v>
      </c>
      <c r="AH1090">
        <v>32.024759195883199</v>
      </c>
      <c r="AI1090">
        <v>91.960763113865994</v>
      </c>
      <c r="AJ1090">
        <v>81.052628711622205</v>
      </c>
      <c r="AK1090">
        <v>32.438241911467301</v>
      </c>
      <c r="AL1090">
        <v>81.093005056172998</v>
      </c>
      <c r="AM1090">
        <v>93.288780819341397</v>
      </c>
      <c r="AN1090">
        <v>0.99999999980885101</v>
      </c>
    </row>
    <row r="1091" spans="1:40" x14ac:dyDescent="0.25">
      <c r="A1091" t="str">
        <f>"20190304155340384"</f>
        <v>20190304155340384</v>
      </c>
      <c r="B1091" t="str">
        <f>"1551686020377066"</f>
        <v>1551686020377066</v>
      </c>
      <c r="C1091" t="s">
        <v>40</v>
      </c>
      <c r="D1091">
        <v>4.6228150000000001</v>
      </c>
      <c r="E1091">
        <v>0.579129</v>
      </c>
      <c r="F1091" t="s">
        <v>51</v>
      </c>
      <c r="G1091">
        <v>-197.44710000000001</v>
      </c>
      <c r="H1091" s="1">
        <v>2.4788279999999998E-6</v>
      </c>
      <c r="I1091">
        <v>286.50119999999998</v>
      </c>
      <c r="J1091">
        <v>-191.92850000000001</v>
      </c>
      <c r="K1091">
        <v>1.109899</v>
      </c>
      <c r="L1091">
        <v>316.95589999999999</v>
      </c>
      <c r="M1091">
        <v>-2.2585250000000001E-2</v>
      </c>
      <c r="N1091">
        <v>-1.064505E-2</v>
      </c>
      <c r="O1091">
        <v>-0.99968860000000004</v>
      </c>
      <c r="P1091">
        <v>3.3066489999999997E-2</v>
      </c>
      <c r="Q1091">
        <v>0.14471029999999999</v>
      </c>
      <c r="R1091">
        <v>-0.98892170000000001</v>
      </c>
      <c r="S1091">
        <v>-0.55148319999999995</v>
      </c>
      <c r="T1091">
        <v>-0.1107757</v>
      </c>
      <c r="U1091">
        <v>-3.0690919999999999</v>
      </c>
      <c r="V1091">
        <v>-5.5367130000000001E-2</v>
      </c>
      <c r="W1091">
        <v>0.15522810000000001</v>
      </c>
      <c r="X1091">
        <v>0.98632589999999998</v>
      </c>
      <c r="Y1091">
        <v>0.1544886</v>
      </c>
      <c r="Z1091">
        <v>2.4937000000000001E-2</v>
      </c>
      <c r="AA1091">
        <v>0.9876798</v>
      </c>
      <c r="AB1091">
        <v>29</v>
      </c>
      <c r="AC1091">
        <v>-5.5185999999999904</v>
      </c>
      <c r="AD1091">
        <v>-1.109896521172</v>
      </c>
      <c r="AE1091">
        <v>-30.454699999999999</v>
      </c>
      <c r="AF1091">
        <v>4.8231241070054196</v>
      </c>
      <c r="AG1091">
        <v>-1.109896521172</v>
      </c>
      <c r="AH1091">
        <v>30.532313629471499</v>
      </c>
      <c r="AI1091">
        <v>92.056395846282399</v>
      </c>
      <c r="AJ1091">
        <v>81.023285945652006</v>
      </c>
      <c r="AK1091">
        <v>30.930835294373999</v>
      </c>
      <c r="AL1091">
        <v>81.069974744068304</v>
      </c>
      <c r="AM1091">
        <v>93.212910732528201</v>
      </c>
      <c r="AN1091">
        <v>1.00000003156242</v>
      </c>
    </row>
    <row r="1092" spans="1:40" x14ac:dyDescent="0.25">
      <c r="A1092" t="str">
        <f>"20190304155340408"</f>
        <v>20190304155340408</v>
      </c>
      <c r="B1092" t="str">
        <f>"1551686020397561"</f>
        <v>1551686020397561</v>
      </c>
      <c r="C1092" t="s">
        <v>40</v>
      </c>
      <c r="D1092">
        <v>4.6215359999999999</v>
      </c>
      <c r="E1092">
        <v>0.57815439999999996</v>
      </c>
      <c r="F1092" t="s">
        <v>51</v>
      </c>
      <c r="G1092">
        <v>-197.25389999999999</v>
      </c>
      <c r="H1092" s="1">
        <v>2.4434729999999999E-6</v>
      </c>
      <c r="I1092">
        <v>287.29759999999999</v>
      </c>
      <c r="J1092">
        <v>-191.93549999999999</v>
      </c>
      <c r="K1092">
        <v>1.1099190000000001</v>
      </c>
      <c r="L1092">
        <v>316.64960000000002</v>
      </c>
      <c r="M1092">
        <v>-2.2658149999999998E-2</v>
      </c>
      <c r="N1092">
        <v>-1.083129E-2</v>
      </c>
      <c r="O1092">
        <v>-0.99968480000000004</v>
      </c>
      <c r="P1092">
        <v>3.1738370000000002E-2</v>
      </c>
      <c r="Q1092">
        <v>0.144864299999999</v>
      </c>
      <c r="R1092">
        <v>-0.98894269999999995</v>
      </c>
      <c r="S1092">
        <v>-0.55104059999999999</v>
      </c>
      <c r="T1092">
        <v>-0.1148449</v>
      </c>
      <c r="U1092">
        <v>-3.068848</v>
      </c>
      <c r="V1092">
        <v>-5.411125E-2</v>
      </c>
      <c r="W1092">
        <v>0.15556629999999999</v>
      </c>
      <c r="X1092">
        <v>0.98634230000000001</v>
      </c>
      <c r="Y1092">
        <v>0.15428529999999999</v>
      </c>
      <c r="Z1092">
        <v>2.6059849999999999E-2</v>
      </c>
      <c r="AA1092">
        <v>0.98768259999999997</v>
      </c>
      <c r="AB1092">
        <v>29</v>
      </c>
      <c r="AC1092">
        <v>-5.3183999999999898</v>
      </c>
      <c r="AD1092">
        <v>-1.1099165565269999</v>
      </c>
      <c r="AE1092">
        <v>-29.352</v>
      </c>
      <c r="AF1092">
        <v>4.64550211035945</v>
      </c>
      <c r="AG1092">
        <v>-1.1099165565269999</v>
      </c>
      <c r="AH1092">
        <v>29.424239502601399</v>
      </c>
      <c r="AI1092">
        <v>92.1338337471675</v>
      </c>
      <c r="AJ1092">
        <v>81.028191170162501</v>
      </c>
      <c r="AK1092">
        <v>29.8093689119085</v>
      </c>
      <c r="AL1092">
        <v>81.050358889404194</v>
      </c>
      <c r="AM1092">
        <v>93.140128439595998</v>
      </c>
      <c r="AN1092">
        <v>1.0000000169207699</v>
      </c>
    </row>
    <row r="1093" spans="1:40" x14ac:dyDescent="0.25">
      <c r="A1093" t="str">
        <f>"20190304155340429"</f>
        <v>20190304155340429</v>
      </c>
      <c r="B1093" t="str">
        <f>"1551686020426841"</f>
        <v>1551686020426841</v>
      </c>
      <c r="C1093" t="s">
        <v>40</v>
      </c>
      <c r="D1093">
        <v>4.6447469999999997</v>
      </c>
      <c r="E1093">
        <v>0.57703789999999999</v>
      </c>
      <c r="F1093" t="s">
        <v>51</v>
      </c>
      <c r="G1093">
        <v>-196.9846</v>
      </c>
      <c r="H1093" s="1">
        <v>2.3982370000000001E-6</v>
      </c>
      <c r="I1093">
        <v>288.36149999999998</v>
      </c>
      <c r="J1093">
        <v>-191.94200000000001</v>
      </c>
      <c r="K1093">
        <v>1.109934</v>
      </c>
      <c r="L1093">
        <v>316.36759999999998</v>
      </c>
      <c r="M1093">
        <v>-2.2725809999999999E-2</v>
      </c>
      <c r="N1093">
        <v>-1.099059E-2</v>
      </c>
      <c r="O1093">
        <v>-0.99968120000000005</v>
      </c>
      <c r="P1093">
        <v>2.985312E-2</v>
      </c>
      <c r="Q1093">
        <v>0.145334299999999</v>
      </c>
      <c r="R1093">
        <v>-0.98893200000000003</v>
      </c>
      <c r="S1093">
        <v>-0.54774480000000003</v>
      </c>
      <c r="T1093">
        <v>-0.12040720000000001</v>
      </c>
      <c r="U1093">
        <v>-3.0687869999999999</v>
      </c>
      <c r="V1093">
        <v>-5.2292350000000001E-2</v>
      </c>
      <c r="W1093">
        <v>0.15619369999999999</v>
      </c>
      <c r="X1093">
        <v>0.98634120000000003</v>
      </c>
      <c r="Y1093">
        <v>0.1531843</v>
      </c>
      <c r="Z1093">
        <v>2.7691940000000002E-2</v>
      </c>
      <c r="AA1093">
        <v>0.98780950000000001</v>
      </c>
      <c r="AB1093">
        <v>29</v>
      </c>
      <c r="AC1093">
        <v>-5.0425999999999904</v>
      </c>
      <c r="AD1093">
        <v>-1.1099316017630001</v>
      </c>
      <c r="AE1093">
        <v>-28.0061</v>
      </c>
      <c r="AF1093">
        <v>4.3981066002983598</v>
      </c>
      <c r="AG1093">
        <v>-1.1099316017630001</v>
      </c>
      <c r="AH1093">
        <v>28.0707646011832</v>
      </c>
      <c r="AI1093">
        <v>92.237059861789405</v>
      </c>
      <c r="AJ1093">
        <v>81.095333834685505</v>
      </c>
      <c r="AK1093">
        <v>28.434892563947201</v>
      </c>
      <c r="AL1093">
        <v>81.013966163809798</v>
      </c>
      <c r="AM1093">
        <v>93.034780010193302</v>
      </c>
      <c r="AN1093">
        <v>0.99999996230282495</v>
      </c>
    </row>
    <row r="1094" spans="1:40" x14ac:dyDescent="0.25">
      <c r="A1094" t="str">
        <f>"20190304155340450"</f>
        <v>20190304155340450</v>
      </c>
      <c r="B1094" t="str">
        <f>"1551686020447338"</f>
        <v>1551686020447338</v>
      </c>
      <c r="C1094" t="s">
        <v>40</v>
      </c>
      <c r="D1094">
        <v>4.6329510000000003</v>
      </c>
      <c r="E1094">
        <v>0.57601369999999996</v>
      </c>
      <c r="F1094" t="s">
        <v>51</v>
      </c>
      <c r="G1094">
        <v>-196.74680000000001</v>
      </c>
      <c r="H1094" s="1">
        <v>2.3575279999999998E-6</v>
      </c>
      <c r="I1094">
        <v>289.30970000000002</v>
      </c>
      <c r="J1094">
        <v>-191.94800000000001</v>
      </c>
      <c r="K1094">
        <v>1.1099589999999999</v>
      </c>
      <c r="L1094">
        <v>316.10410000000002</v>
      </c>
      <c r="M1094">
        <v>-2.278848E-2</v>
      </c>
      <c r="N1094">
        <v>-1.1126209999999999E-2</v>
      </c>
      <c r="O1094">
        <v>-0.99967859999999997</v>
      </c>
      <c r="P1094">
        <v>2.8039459999999999E-2</v>
      </c>
      <c r="Q1094">
        <v>0.14614549999999901</v>
      </c>
      <c r="R1094">
        <v>-0.98886609999999997</v>
      </c>
      <c r="S1094">
        <v>-0.54489140000000003</v>
      </c>
      <c r="T1094">
        <v>-0.12587190000000001</v>
      </c>
      <c r="U1094">
        <v>-3.0685120000000001</v>
      </c>
      <c r="V1094">
        <v>-5.05397E-2</v>
      </c>
      <c r="W1094">
        <v>0.1571379</v>
      </c>
      <c r="X1094">
        <v>0.98628260000000001</v>
      </c>
      <c r="Y1094">
        <v>0.15223719999999999</v>
      </c>
      <c r="Z1094">
        <v>2.9318449999999999E-2</v>
      </c>
      <c r="AA1094">
        <v>0.98790900000000004</v>
      </c>
      <c r="AB1094">
        <v>29</v>
      </c>
      <c r="AC1094">
        <v>-4.7988000000000204</v>
      </c>
      <c r="AD1094">
        <v>-1.109956642472</v>
      </c>
      <c r="AE1094">
        <v>-26.7944</v>
      </c>
      <c r="AF1094">
        <v>4.1799623207823799</v>
      </c>
      <c r="AG1094">
        <v>-1.109956642472</v>
      </c>
      <c r="AH1094">
        <v>26.852158051845599</v>
      </c>
      <c r="AI1094">
        <v>92.338885654676901</v>
      </c>
      <c r="AJ1094">
        <v>81.152018952154506</v>
      </c>
      <c r="AK1094">
        <v>27.1982073084353</v>
      </c>
      <c r="AL1094">
        <v>80.959191210571504</v>
      </c>
      <c r="AM1094">
        <v>92.933419861897505</v>
      </c>
      <c r="AN1094">
        <v>0.99999997397762896</v>
      </c>
    </row>
    <row r="1095" spans="1:40" x14ac:dyDescent="0.25">
      <c r="A1095" t="str">
        <f>"20190304155340473"</f>
        <v>20190304155340473</v>
      </c>
      <c r="B1095" t="str">
        <f>"1551686020466859"</f>
        <v>1551686020466859</v>
      </c>
      <c r="C1095" t="s">
        <v>40</v>
      </c>
      <c r="D1095">
        <v>4.6689239999999996</v>
      </c>
      <c r="E1095">
        <v>0.57539079999999998</v>
      </c>
      <c r="F1095" t="s">
        <v>51</v>
      </c>
      <c r="G1095">
        <v>-196.619</v>
      </c>
      <c r="H1095" s="1">
        <v>2.3205360000000002E-6</v>
      </c>
      <c r="I1095">
        <v>289.70929999999998</v>
      </c>
      <c r="J1095">
        <v>-191.95529999999999</v>
      </c>
      <c r="K1095">
        <v>1.1099730000000001</v>
      </c>
      <c r="L1095">
        <v>315.791</v>
      </c>
      <c r="M1095">
        <v>-2.2863379999999999E-2</v>
      </c>
      <c r="N1095">
        <v>-1.1270860000000001E-2</v>
      </c>
      <c r="O1095">
        <v>-0.99967499999999998</v>
      </c>
      <c r="P1095">
        <v>2.6113540000000001E-2</v>
      </c>
      <c r="Q1095">
        <v>0.14632200000000001</v>
      </c>
      <c r="R1095">
        <v>-0.9888924</v>
      </c>
      <c r="S1095">
        <v>-0.54296880000000003</v>
      </c>
      <c r="T1095">
        <v>-0.12902439999999901</v>
      </c>
      <c r="U1095">
        <v>-3.0682070000000001</v>
      </c>
      <c r="V1095">
        <v>-4.8689299999999998E-2</v>
      </c>
      <c r="W1095">
        <v>0.15745770000000001</v>
      </c>
      <c r="X1095">
        <v>0.98632470000000005</v>
      </c>
      <c r="Y1095">
        <v>0.15157399999999999</v>
      </c>
      <c r="Z1095">
        <v>3.0193350000000001E-2</v>
      </c>
      <c r="AA1095">
        <v>0.98798470000000005</v>
      </c>
      <c r="AB1095">
        <v>29</v>
      </c>
      <c r="AC1095">
        <v>-4.6637000000000297</v>
      </c>
      <c r="AD1095">
        <v>-1.1099706794640001</v>
      </c>
      <c r="AE1095">
        <v>-26.081700000000001</v>
      </c>
      <c r="AF1095">
        <v>4.0590033699444996</v>
      </c>
      <c r="AG1095">
        <v>-1.1099706794640001</v>
      </c>
      <c r="AH1095">
        <v>26.1356474189073</v>
      </c>
      <c r="AI1095">
        <v>92.403093938280506</v>
      </c>
      <c r="AJ1095">
        <v>81.172188351642006</v>
      </c>
      <c r="AK1095">
        <v>26.4722422411084</v>
      </c>
      <c r="AL1095">
        <v>80.940637230592898</v>
      </c>
      <c r="AM1095">
        <v>92.826076132044406</v>
      </c>
      <c r="AN1095">
        <v>0.999999994526935</v>
      </c>
    </row>
    <row r="1096" spans="1:40" x14ac:dyDescent="0.25">
      <c r="A1096" t="str">
        <f>"20190304155340498"</f>
        <v>20190304155340498</v>
      </c>
      <c r="B1096" t="str">
        <f>"1551686020487354"</f>
        <v>1551686020487354</v>
      </c>
      <c r="C1096" t="s">
        <v>40</v>
      </c>
      <c r="D1096">
        <v>4.6618180000000002</v>
      </c>
      <c r="E1096">
        <v>0.57481859999999996</v>
      </c>
      <c r="F1096" t="s">
        <v>51</v>
      </c>
      <c r="G1096">
        <v>-196.51310000000001</v>
      </c>
      <c r="H1096" s="1">
        <v>2.2024240000000001E-6</v>
      </c>
      <c r="I1096">
        <v>290.09649999999999</v>
      </c>
      <c r="J1096">
        <v>-191.9624</v>
      </c>
      <c r="K1096">
        <v>1.1099840000000001</v>
      </c>
      <c r="L1096">
        <v>315.48630000000003</v>
      </c>
      <c r="M1096">
        <v>-2.2936600000000001E-2</v>
      </c>
      <c r="N1096">
        <v>-1.1395519999999999E-2</v>
      </c>
      <c r="O1096">
        <v>-0.99967189999999995</v>
      </c>
      <c r="P1096">
        <v>2.3965190000000001E-2</v>
      </c>
      <c r="Q1096">
        <v>0.14650079999999999</v>
      </c>
      <c r="R1096">
        <v>-0.98892029999999997</v>
      </c>
      <c r="S1096">
        <v>-0.5441589</v>
      </c>
      <c r="T1096">
        <v>-0.13251940000000001</v>
      </c>
      <c r="U1096">
        <v>-3.0676570000000001</v>
      </c>
      <c r="V1096">
        <v>-4.6615650000000002E-2</v>
      </c>
      <c r="W1096">
        <v>0.1577595</v>
      </c>
      <c r="X1096">
        <v>0.98637660000000005</v>
      </c>
      <c r="Y1096">
        <v>0.15189649999999999</v>
      </c>
      <c r="Z1096">
        <v>3.1194820000000002E-2</v>
      </c>
      <c r="AA1096">
        <v>0.987904</v>
      </c>
      <c r="AB1096">
        <v>29</v>
      </c>
      <c r="AC1096">
        <v>-4.5507</v>
      </c>
      <c r="AD1096">
        <v>-1.109981797576</v>
      </c>
      <c r="AE1096">
        <v>-25.389800000000001</v>
      </c>
      <c r="AF1096">
        <v>3.9597766146568798</v>
      </c>
      <c r="AG1096">
        <v>-1.109981797576</v>
      </c>
      <c r="AH1096">
        <v>25.4403948874319</v>
      </c>
      <c r="AI1096">
        <v>92.468583130599598</v>
      </c>
      <c r="AJ1096">
        <v>81.152947939142905</v>
      </c>
      <c r="AK1096">
        <v>25.770634110502701</v>
      </c>
      <c r="AL1096">
        <v>80.923125990393203</v>
      </c>
      <c r="AM1096">
        <v>92.705755824991499</v>
      </c>
      <c r="AN1096">
        <v>0.99999993784636398</v>
      </c>
    </row>
    <row r="1097" spans="1:40" x14ac:dyDescent="0.25">
      <c r="A1097" t="str">
        <f>"20190304155340522"</f>
        <v>20190304155340522</v>
      </c>
      <c r="B1097" t="str">
        <f>"1551686020517609"</f>
        <v>1551686020517609</v>
      </c>
      <c r="C1097" t="s">
        <v>40</v>
      </c>
      <c r="D1097">
        <v>4.6751610000000001</v>
      </c>
      <c r="E1097">
        <v>0.57398930000000004</v>
      </c>
      <c r="F1097" t="s">
        <v>51</v>
      </c>
      <c r="G1097">
        <v>-196.43690000000001</v>
      </c>
      <c r="H1097" s="1">
        <v>2.1211139999999999E-6</v>
      </c>
      <c r="I1097">
        <v>290.3648</v>
      </c>
      <c r="J1097">
        <v>-191.96950000000001</v>
      </c>
      <c r="K1097">
        <v>1.1099870000000001</v>
      </c>
      <c r="L1097">
        <v>315.17790000000002</v>
      </c>
      <c r="M1097">
        <v>-2.3009890000000002E-2</v>
      </c>
      <c r="N1097">
        <v>-1.150667E-2</v>
      </c>
      <c r="O1097">
        <v>-0.99966929999999998</v>
      </c>
      <c r="P1097">
        <v>2.1960460000000001E-2</v>
      </c>
      <c r="Q1097">
        <v>0.1470629</v>
      </c>
      <c r="R1097">
        <v>-0.98888379999999998</v>
      </c>
      <c r="S1097">
        <v>-0.54626459999999999</v>
      </c>
      <c r="T1097">
        <v>-0.1355104</v>
      </c>
      <c r="U1097">
        <v>-3.0669249999999999</v>
      </c>
      <c r="V1097">
        <v>-4.4683239999999999E-2</v>
      </c>
      <c r="W1097">
        <v>0.1584305</v>
      </c>
      <c r="X1097">
        <v>0.98635850000000003</v>
      </c>
      <c r="Y1097">
        <v>0.15251579999999901</v>
      </c>
      <c r="Z1097">
        <v>3.2048750000000001E-2</v>
      </c>
      <c r="AA1097">
        <v>0.98778129999999997</v>
      </c>
      <c r="AB1097">
        <v>29</v>
      </c>
      <c r="AC1097">
        <v>-4.4673999999999898</v>
      </c>
      <c r="AD1097">
        <v>-1.1099848788860001</v>
      </c>
      <c r="AE1097">
        <v>-24.813099999999999</v>
      </c>
      <c r="AF1097">
        <v>3.8876972362258302</v>
      </c>
      <c r="AG1097">
        <v>-1.1099848788860001</v>
      </c>
      <c r="AH1097">
        <v>24.861142723640999</v>
      </c>
      <c r="AI1097">
        <v>92.525753804436206</v>
      </c>
      <c r="AJ1097">
        <v>81.112268613402506</v>
      </c>
      <c r="AK1097">
        <v>25.187748485268799</v>
      </c>
      <c r="AL1097">
        <v>80.884191005688606</v>
      </c>
      <c r="AM1097">
        <v>92.593795155833902</v>
      </c>
      <c r="AN1097">
        <v>0.99999995289469701</v>
      </c>
    </row>
    <row r="1098" spans="1:40" x14ac:dyDescent="0.25">
      <c r="A1098" t="str">
        <f>"20190304155340542"</f>
        <v>20190304155340542</v>
      </c>
      <c r="B1098" t="str">
        <f>"1551686020537131"</f>
        <v>1551686020537131</v>
      </c>
      <c r="C1098" t="s">
        <v>40</v>
      </c>
      <c r="D1098">
        <v>4.6343399999999999</v>
      </c>
      <c r="E1098">
        <v>0.57354530000000004</v>
      </c>
      <c r="F1098" t="s">
        <v>51</v>
      </c>
      <c r="G1098">
        <v>-196.36410000000001</v>
      </c>
      <c r="H1098" s="1">
        <v>2.0888499999999999E-6</v>
      </c>
      <c r="I1098">
        <v>290.49259999999998</v>
      </c>
      <c r="J1098">
        <v>-191.97569999999999</v>
      </c>
      <c r="K1098">
        <v>1.109993</v>
      </c>
      <c r="L1098">
        <v>314.91340000000002</v>
      </c>
      <c r="M1098">
        <v>-2.307143E-2</v>
      </c>
      <c r="N1098">
        <v>-1.1589749999999999E-2</v>
      </c>
      <c r="O1098">
        <v>-0.99966670000000002</v>
      </c>
      <c r="P1098">
        <v>1.98423E-2</v>
      </c>
      <c r="Q1098">
        <v>0.1475342</v>
      </c>
      <c r="R1098">
        <v>-0.98885809999999996</v>
      </c>
      <c r="S1098">
        <v>-0.54588319999999901</v>
      </c>
      <c r="T1098">
        <v>-0.13787949999999999</v>
      </c>
      <c r="U1098">
        <v>-3.0663450000000001</v>
      </c>
      <c r="V1098">
        <v>-4.2625360000000001E-2</v>
      </c>
      <c r="W1098">
        <v>0.1589836</v>
      </c>
      <c r="X1098">
        <v>0.98636060000000003</v>
      </c>
      <c r="Y1098">
        <v>0.1523631</v>
      </c>
      <c r="Z1098">
        <v>3.2734819999999998E-2</v>
      </c>
      <c r="AA1098">
        <v>0.9877823</v>
      </c>
      <c r="AB1098">
        <v>29</v>
      </c>
      <c r="AC1098">
        <v>-4.3884000000000096</v>
      </c>
      <c r="AD1098">
        <v>-1.1099909111499999</v>
      </c>
      <c r="AE1098">
        <v>-24.4208</v>
      </c>
      <c r="AF1098">
        <v>3.8161338426186502</v>
      </c>
      <c r="AG1098">
        <v>-1.1099909111499999</v>
      </c>
      <c r="AH1098">
        <v>24.4665867606879</v>
      </c>
      <c r="AI1098">
        <v>92.566602355888094</v>
      </c>
      <c r="AJ1098">
        <v>81.134818407195795</v>
      </c>
      <c r="AK1098">
        <v>24.787271432045198</v>
      </c>
      <c r="AL1098">
        <v>80.852094056329705</v>
      </c>
      <c r="AM1098">
        <v>92.4744851047178</v>
      </c>
      <c r="AN1098">
        <v>0.99999996980822403</v>
      </c>
    </row>
    <row r="1099" spans="1:40" x14ac:dyDescent="0.25">
      <c r="A1099" t="str">
        <f>"20190304155340563"</f>
        <v>20190304155340563</v>
      </c>
      <c r="B1099" t="str">
        <f>"1551686020557625"</f>
        <v>1551686020557625</v>
      </c>
      <c r="C1099" t="s">
        <v>40</v>
      </c>
      <c r="D1099">
        <v>4.6912140000000004</v>
      </c>
      <c r="E1099">
        <v>0.57304820000000001</v>
      </c>
      <c r="F1099" t="s">
        <v>51</v>
      </c>
      <c r="G1099">
        <v>-196.3681</v>
      </c>
      <c r="H1099" s="1">
        <v>2.124135E-6</v>
      </c>
      <c r="I1099">
        <v>290.39069999999998</v>
      </c>
      <c r="J1099">
        <v>-191.98220000000001</v>
      </c>
      <c r="K1099">
        <v>1.1099939999999999</v>
      </c>
      <c r="L1099">
        <v>314.63510000000002</v>
      </c>
      <c r="M1099">
        <v>-2.3135550000000001E-2</v>
      </c>
      <c r="N1099">
        <v>-1.1666569999999999E-2</v>
      </c>
      <c r="O1099">
        <v>-0.99966429999999995</v>
      </c>
      <c r="P1099">
        <v>1.7652609999999999E-2</v>
      </c>
      <c r="Q1099">
        <v>0.14764539999999901</v>
      </c>
      <c r="R1099">
        <v>-0.98888299999999996</v>
      </c>
      <c r="S1099">
        <v>-0.54908749999999995</v>
      </c>
      <c r="T1099">
        <v>-0.13875889999999999</v>
      </c>
      <c r="U1099">
        <v>-3.0655519999999998</v>
      </c>
      <c r="V1099">
        <v>-4.0500479999999998E-2</v>
      </c>
      <c r="W1099">
        <v>0.15917149999999999</v>
      </c>
      <c r="X1099">
        <v>0.98641990000000002</v>
      </c>
      <c r="Y1099">
        <v>0.15334210000000001</v>
      </c>
      <c r="Z1099">
        <v>3.2944250000000001E-2</v>
      </c>
      <c r="AA1099">
        <v>0.9876239</v>
      </c>
      <c r="AB1099">
        <v>29</v>
      </c>
      <c r="AC1099">
        <v>-4.3858999999999897</v>
      </c>
      <c r="AD1099">
        <v>-1.109991875865</v>
      </c>
      <c r="AE1099">
        <v>-24.244399999999999</v>
      </c>
      <c r="AF1099">
        <v>3.8160348145630301</v>
      </c>
      <c r="AG1099">
        <v>-1.109991875865</v>
      </c>
      <c r="AH1099">
        <v>24.290085354903901</v>
      </c>
      <c r="AI1099">
        <v>92.584783907506903</v>
      </c>
      <c r="AJ1099">
        <v>81.071662616457004</v>
      </c>
      <c r="AK1099">
        <v>24.613054467476498</v>
      </c>
      <c r="AL1099">
        <v>80.841189941648096</v>
      </c>
      <c r="AM1099">
        <v>92.351132562976005</v>
      </c>
      <c r="AN1099">
        <v>1.0000000372042399</v>
      </c>
    </row>
    <row r="1100" spans="1:40" x14ac:dyDescent="0.25">
      <c r="A1100" t="str">
        <f>"20190304155340585"</f>
        <v>20190304155340585</v>
      </c>
      <c r="B1100" t="str">
        <f>"1551686020577146"</f>
        <v>1551686020577146</v>
      </c>
      <c r="C1100" t="s">
        <v>40</v>
      </c>
      <c r="D1100">
        <v>4.7158449999999998</v>
      </c>
      <c r="E1100">
        <v>0.57246030000000003</v>
      </c>
      <c r="F1100" t="s">
        <v>51</v>
      </c>
      <c r="G1100">
        <v>-196.32149999999999</v>
      </c>
      <c r="H1100" s="1">
        <v>2.0795609999999999E-6</v>
      </c>
      <c r="I1100">
        <v>290.5403</v>
      </c>
      <c r="J1100">
        <v>-191.98869999999999</v>
      </c>
      <c r="K1100">
        <v>1.1100030000000001</v>
      </c>
      <c r="L1100">
        <v>314.35969999999998</v>
      </c>
      <c r="M1100">
        <v>-2.319916E-2</v>
      </c>
      <c r="N1100">
        <v>-1.173364E-2</v>
      </c>
      <c r="O1100">
        <v>-0.99966219999999995</v>
      </c>
      <c r="P1100">
        <v>1.5916360000000001E-2</v>
      </c>
      <c r="Q1100">
        <v>0.14675160000000001</v>
      </c>
      <c r="R1100">
        <v>-0.98904559999999997</v>
      </c>
      <c r="S1100">
        <v>-0.55192569999999996</v>
      </c>
      <c r="T1100">
        <v>-0.14118339999999999</v>
      </c>
      <c r="U1100">
        <v>-3.0646969999999998</v>
      </c>
      <c r="V1100">
        <v>-3.8831150000000002E-2</v>
      </c>
      <c r="W1100">
        <v>0.15834619999999999</v>
      </c>
      <c r="X1100">
        <v>0.98661980000000005</v>
      </c>
      <c r="Y1100">
        <v>0.15420739999999999</v>
      </c>
      <c r="Z1100">
        <v>3.3660780000000001E-2</v>
      </c>
      <c r="AA1100">
        <v>0.98746500000000004</v>
      </c>
      <c r="AB1100">
        <v>29</v>
      </c>
      <c r="AC1100">
        <v>-4.33279999999999</v>
      </c>
      <c r="AD1100">
        <v>-1.110000920439</v>
      </c>
      <c r="AE1100">
        <v>-23.819399999999899</v>
      </c>
      <c r="AF1100">
        <v>3.7710786391663902</v>
      </c>
      <c r="AG1100">
        <v>-1.110000920439</v>
      </c>
      <c r="AH1100">
        <v>23.8633501879244</v>
      </c>
      <c r="AI1100">
        <v>92.630589398238797</v>
      </c>
      <c r="AJ1100">
        <v>81.019921187617896</v>
      </c>
      <c r="AK1100">
        <v>24.184966783885901</v>
      </c>
      <c r="AL1100">
        <v>80.889083254708197</v>
      </c>
      <c r="AM1100">
        <v>92.2538705186317</v>
      </c>
      <c r="AN1100">
        <v>1.0000000035084</v>
      </c>
    </row>
    <row r="1101" spans="1:40" x14ac:dyDescent="0.25">
      <c r="A1101" t="str">
        <f>"20190304155340606"</f>
        <v>20190304155340606</v>
      </c>
      <c r="B1101" t="str">
        <f>"1551686020597642"</f>
        <v>1551686020597642</v>
      </c>
      <c r="C1101" t="s">
        <v>40</v>
      </c>
      <c r="D1101">
        <v>4.6876670000000003</v>
      </c>
      <c r="E1101">
        <v>0.57204540000000004</v>
      </c>
      <c r="F1101" t="s">
        <v>51</v>
      </c>
      <c r="G1101">
        <v>-196.16829999999999</v>
      </c>
      <c r="H1101" s="1">
        <v>1.8735529999999999E-6</v>
      </c>
      <c r="I1101">
        <v>291.19990000000001</v>
      </c>
      <c r="J1101">
        <v>-191.99520000000001</v>
      </c>
      <c r="K1101">
        <v>1.110004</v>
      </c>
      <c r="L1101">
        <v>314.08120000000002</v>
      </c>
      <c r="M1101">
        <v>-2.3265689999999999E-2</v>
      </c>
      <c r="N1101">
        <v>-1.179295E-2</v>
      </c>
      <c r="O1101">
        <v>-0.99965999999999999</v>
      </c>
      <c r="P1101">
        <v>1.410261E-2</v>
      </c>
      <c r="Q1101">
        <v>0.1466452</v>
      </c>
      <c r="R1101">
        <v>-0.989089</v>
      </c>
      <c r="S1101">
        <v>-0.55293269999999906</v>
      </c>
      <c r="T1101">
        <v>-0.14684510000000001</v>
      </c>
      <c r="U1101">
        <v>-3.0638730000000001</v>
      </c>
      <c r="V1101">
        <v>-3.7084569999999997E-2</v>
      </c>
      <c r="W1101">
        <v>0.15829860000000001</v>
      </c>
      <c r="X1101">
        <v>0.98669459999999998</v>
      </c>
      <c r="Y1101">
        <v>0.1544894</v>
      </c>
      <c r="Z1101">
        <v>3.5427609999999998E-2</v>
      </c>
      <c r="AA1101">
        <v>0.98735899999999999</v>
      </c>
      <c r="AB1101">
        <v>29</v>
      </c>
      <c r="AC1101">
        <v>-4.1730999999999696</v>
      </c>
      <c r="AD1101">
        <v>-1.1100021264469999</v>
      </c>
      <c r="AE1101">
        <v>-22.8813</v>
      </c>
      <c r="AF1101">
        <v>3.6313134881010298</v>
      </c>
      <c r="AG1101">
        <v>-1.1100021264469999</v>
      </c>
      <c r="AH1101">
        <v>22.919999987002502</v>
      </c>
      <c r="AI1101">
        <v>92.738530122740798</v>
      </c>
      <c r="AJ1101">
        <v>80.997214805841594</v>
      </c>
      <c r="AK1101">
        <v>23.232411449821001</v>
      </c>
      <c r="AL1101">
        <v>80.891845089749197</v>
      </c>
      <c r="AM1101">
        <v>92.152428620350406</v>
      </c>
      <c r="AN1101">
        <v>0.99999997288160203</v>
      </c>
    </row>
    <row r="1102" spans="1:40" x14ac:dyDescent="0.25">
      <c r="A1102" t="str">
        <f>"20190304155340629"</f>
        <v>20190304155340629</v>
      </c>
      <c r="B1102" t="str">
        <f>"1551686020626922"</f>
        <v>1551686020626922</v>
      </c>
      <c r="C1102" t="s">
        <v>40</v>
      </c>
      <c r="D1102">
        <v>4.7153119999999999</v>
      </c>
      <c r="E1102">
        <v>0.57190180000000002</v>
      </c>
      <c r="F1102" t="s">
        <v>51</v>
      </c>
      <c r="G1102">
        <v>-196.1317</v>
      </c>
      <c r="H1102" s="1">
        <v>1.853164E-6</v>
      </c>
      <c r="I1102">
        <v>291.27589999999998</v>
      </c>
      <c r="J1102">
        <v>-192.00239999999999</v>
      </c>
      <c r="K1102">
        <v>1.110006</v>
      </c>
      <c r="L1102">
        <v>313.77699999999999</v>
      </c>
      <c r="M1102">
        <v>-2.3351960000000001E-2</v>
      </c>
      <c r="N1102">
        <v>-1.184908E-2</v>
      </c>
      <c r="O1102">
        <v>-0.99965740000000003</v>
      </c>
      <c r="P1102">
        <v>1.1953119999999999E-2</v>
      </c>
      <c r="Q1102">
        <v>0.14729149999999999</v>
      </c>
      <c r="R1102">
        <v>-0.98902140000000005</v>
      </c>
      <c r="S1102">
        <v>-0.55558779999999997</v>
      </c>
      <c r="T1102">
        <v>-0.14908920000000001</v>
      </c>
      <c r="U1102">
        <v>-3.0630799999999998</v>
      </c>
      <c r="V1102">
        <v>-3.501692E-2</v>
      </c>
      <c r="W1102">
        <v>0.15900010000000001</v>
      </c>
      <c r="X1102">
        <v>0.98665740000000002</v>
      </c>
      <c r="Y1102">
        <v>0.15527199999999999</v>
      </c>
      <c r="Z1102">
        <v>3.6097079999999997E-2</v>
      </c>
      <c r="AA1102">
        <v>0.98721210000000004</v>
      </c>
      <c r="AB1102">
        <v>29</v>
      </c>
      <c r="AC1102">
        <v>-4.1292999999999997</v>
      </c>
      <c r="AD1102">
        <v>-1.110004146836</v>
      </c>
      <c r="AE1102">
        <v>-22.501100000000001</v>
      </c>
      <c r="AF1102">
        <v>3.5942305023013601</v>
      </c>
      <c r="AG1102">
        <v>-1.110004146836</v>
      </c>
      <c r="AH1102">
        <v>22.538335859269601</v>
      </c>
      <c r="AI1102">
        <v>92.784389810186198</v>
      </c>
      <c r="AJ1102">
        <v>80.939229975708102</v>
      </c>
      <c r="AK1102">
        <v>22.850102525260201</v>
      </c>
      <c r="AL1102">
        <v>80.851136965548093</v>
      </c>
      <c r="AM1102">
        <v>92.032600165404304</v>
      </c>
      <c r="AN1102">
        <v>1.00000002073052</v>
      </c>
    </row>
    <row r="1103" spans="1:40" x14ac:dyDescent="0.25">
      <c r="A1103" t="str">
        <f>"20190304155340652"</f>
        <v>20190304155340652</v>
      </c>
      <c r="B1103" t="str">
        <f>"1551686020647418"</f>
        <v>1551686020647418</v>
      </c>
      <c r="C1103" t="s">
        <v>40</v>
      </c>
      <c r="D1103">
        <v>4.7758430000000001</v>
      </c>
      <c r="E1103">
        <v>0.57148650000000001</v>
      </c>
      <c r="F1103" t="s">
        <v>51</v>
      </c>
      <c r="G1103">
        <v>-196.21889999999999</v>
      </c>
      <c r="H1103" s="1">
        <v>2.0192500000000002E-6</v>
      </c>
      <c r="I1103">
        <v>290.76229999999998</v>
      </c>
      <c r="J1103">
        <v>-192.00909999999999</v>
      </c>
      <c r="K1103">
        <v>1.1100019999999999</v>
      </c>
      <c r="L1103">
        <v>313.49340000000001</v>
      </c>
      <c r="M1103">
        <v>-2.3459649999999999E-2</v>
      </c>
      <c r="N1103">
        <v>-1.1894439999999999E-2</v>
      </c>
      <c r="O1103">
        <v>-0.99965409999999999</v>
      </c>
      <c r="P1103">
        <v>9.1886050000000007E-3</v>
      </c>
      <c r="Q1103">
        <v>0.14737790000000001</v>
      </c>
      <c r="R1103">
        <v>-0.98903759999999996</v>
      </c>
      <c r="S1103">
        <v>-0.56100459999999996</v>
      </c>
      <c r="T1103">
        <v>-0.14768619999999999</v>
      </c>
      <c r="U1103">
        <v>-3.062103</v>
      </c>
      <c r="V1103">
        <v>-3.2354140000000003E-2</v>
      </c>
      <c r="W1103">
        <v>0.15913339999999901</v>
      </c>
      <c r="X1103">
        <v>0.98672680000000001</v>
      </c>
      <c r="Y1103">
        <v>0.15691359999999999</v>
      </c>
      <c r="Z1103">
        <v>3.5603179999999998E-2</v>
      </c>
      <c r="AA1103">
        <v>0.98697040000000003</v>
      </c>
      <c r="AB1103">
        <v>29</v>
      </c>
      <c r="AC1103">
        <v>-4.2098000000000004</v>
      </c>
      <c r="AD1103">
        <v>-1.1099999807499901</v>
      </c>
      <c r="AE1103">
        <v>-22.731100000000001</v>
      </c>
      <c r="AF1103">
        <v>3.66688601349952</v>
      </c>
      <c r="AG1103">
        <v>-1.1099999807499901</v>
      </c>
      <c r="AH1103">
        <v>22.771112530504102</v>
      </c>
      <c r="AI1103">
        <v>92.755289475967402</v>
      </c>
      <c r="AJ1103">
        <v>80.852058898489304</v>
      </c>
      <c r="AK1103">
        <v>23.0911610550475</v>
      </c>
      <c r="AL1103">
        <v>80.843400783765603</v>
      </c>
      <c r="AM1103">
        <v>91.878019072499796</v>
      </c>
      <c r="AN1103">
        <v>1.0000000036044601</v>
      </c>
    </row>
    <row r="1104" spans="1:40" x14ac:dyDescent="0.25">
      <c r="A1104" t="str">
        <f>"20190304155340675"</f>
        <v>20190304155340675</v>
      </c>
      <c r="B1104" t="str">
        <f>"1551686020666938"</f>
        <v>1551686020666938</v>
      </c>
      <c r="C1104" t="s">
        <v>40</v>
      </c>
      <c r="D1104">
        <v>4.7432019999999904</v>
      </c>
      <c r="E1104">
        <v>0.57115139999999998</v>
      </c>
      <c r="F1104" t="s">
        <v>51</v>
      </c>
      <c r="G1104">
        <v>-196.1859</v>
      </c>
      <c r="H1104" s="1">
        <v>1.976783E-6</v>
      </c>
      <c r="I1104">
        <v>290.899</v>
      </c>
      <c r="J1104">
        <v>-192.0162</v>
      </c>
      <c r="K1104">
        <v>1.1099749999999999</v>
      </c>
      <c r="L1104">
        <v>313.1977</v>
      </c>
      <c r="M1104">
        <v>-2.361951E-2</v>
      </c>
      <c r="N1104">
        <v>-1.193551E-2</v>
      </c>
      <c r="O1104">
        <v>-0.99964980000000003</v>
      </c>
      <c r="P1104">
        <v>6.6525289999999999E-3</v>
      </c>
      <c r="Q1104">
        <v>0.147793799999999</v>
      </c>
      <c r="R1104">
        <v>-0.98899590000000004</v>
      </c>
      <c r="S1104">
        <v>-0.565841699999999</v>
      </c>
      <c r="T1104">
        <v>-0.15037420000000001</v>
      </c>
      <c r="U1104">
        <v>-3.0609130000000002</v>
      </c>
      <c r="V1104">
        <v>-2.9963030000000002E-2</v>
      </c>
      <c r="W1104">
        <v>0.15959139999999999</v>
      </c>
      <c r="X1104">
        <v>0.9867283</v>
      </c>
      <c r="Y1104">
        <v>0.1583251</v>
      </c>
      <c r="Z1104">
        <v>3.6430709999999998E-2</v>
      </c>
      <c r="AA1104">
        <v>0.98671469999999994</v>
      </c>
      <c r="AB1104">
        <v>29</v>
      </c>
      <c r="AC1104">
        <v>-4.1696999999999997</v>
      </c>
      <c r="AD1104">
        <v>-1.109973023217</v>
      </c>
      <c r="AE1104">
        <v>-22.2987</v>
      </c>
      <c r="AF1104">
        <v>3.6331167134442199</v>
      </c>
      <c r="AG1104">
        <v>-1.109973023217</v>
      </c>
      <c r="AH1104">
        <v>22.3374936634604</v>
      </c>
      <c r="AI1104">
        <v>92.807908876039903</v>
      </c>
      <c r="AJ1104">
        <v>80.761932187492803</v>
      </c>
      <c r="AK1104">
        <v>22.658225886659999</v>
      </c>
      <c r="AL1104">
        <v>80.816819284096695</v>
      </c>
      <c r="AM1104">
        <v>91.739311400071799</v>
      </c>
      <c r="AN1104">
        <v>0.99999996807081404</v>
      </c>
    </row>
    <row r="1105" spans="1:40" x14ac:dyDescent="0.25">
      <c r="A1105" t="str">
        <f>"20190304155341828"</f>
        <v>20190304155341828</v>
      </c>
      <c r="B1105" t="str">
        <f>"1551686021817039"</f>
        <v>1551686021817039</v>
      </c>
      <c r="C1105" t="s">
        <v>40</v>
      </c>
      <c r="D1105">
        <v>5.296278</v>
      </c>
      <c r="E1105">
        <v>0.629328</v>
      </c>
      <c r="F1105" t="s">
        <v>51</v>
      </c>
      <c r="G1105">
        <v>-196.2124</v>
      </c>
      <c r="H1105" s="1">
        <v>2.0397390000000002E-6</v>
      </c>
      <c r="I1105">
        <v>290.70760000000001</v>
      </c>
      <c r="J1105">
        <v>-193.81450000000001</v>
      </c>
      <c r="K1105">
        <v>1.102304</v>
      </c>
      <c r="L1105">
        <v>298.36470000000003</v>
      </c>
      <c r="M1105">
        <v>-0.26503880000000002</v>
      </c>
      <c r="N1105">
        <v>-1.281463E-2</v>
      </c>
      <c r="O1105">
        <v>-0.96415249999999997</v>
      </c>
      <c r="P1105">
        <v>-0.35358830000000002</v>
      </c>
      <c r="Q1105">
        <v>0.13640829999999901</v>
      </c>
      <c r="R1105">
        <v>-0.92540169999999999</v>
      </c>
      <c r="S1105">
        <v>-0.57087710000000003</v>
      </c>
      <c r="T1105">
        <v>-0.15100920000000001</v>
      </c>
      <c r="U1105">
        <v>-3.059723</v>
      </c>
      <c r="V1105">
        <v>9.8459190000000002E-2</v>
      </c>
      <c r="W1105">
        <v>0.1471944</v>
      </c>
      <c r="X1105">
        <v>0.98419489999999998</v>
      </c>
      <c r="Y1105">
        <v>-8.3785899999999996E-2</v>
      </c>
      <c r="Z1105">
        <v>3.370037E-2</v>
      </c>
      <c r="AA1105">
        <v>0.99591370000000001</v>
      </c>
      <c r="AB1105">
        <v>29</v>
      </c>
      <c r="AC1105">
        <v>-2.3978999999999902</v>
      </c>
      <c r="AD1105">
        <v>-1.102301960261</v>
      </c>
      <c r="AE1105">
        <v>-7.6571000000000096</v>
      </c>
      <c r="AF1105">
        <v>0.27730235938616399</v>
      </c>
      <c r="AG1105">
        <v>-1.102301960261</v>
      </c>
      <c r="AH1105">
        <v>7.8702715358251396</v>
      </c>
      <c r="AI1105">
        <v>97.968042124629093</v>
      </c>
      <c r="AJ1105">
        <v>87.982066455881494</v>
      </c>
      <c r="AK1105">
        <v>7.9519268267342502</v>
      </c>
      <c r="AL1105">
        <v>81.535627261516396</v>
      </c>
      <c r="AM1105">
        <v>84.287118583787802</v>
      </c>
      <c r="AN1105">
        <v>1.00000000233641</v>
      </c>
    </row>
    <row r="1106" spans="1:40" x14ac:dyDescent="0.25">
      <c r="A1106" t="str">
        <f>"20190304155341849"</f>
        <v>20190304155341849</v>
      </c>
      <c r="B1106" t="str">
        <f>"1551686021837536"</f>
        <v>1551686021837536</v>
      </c>
      <c r="C1106" t="s">
        <v>40</v>
      </c>
      <c r="D1106">
        <v>5.268357</v>
      </c>
      <c r="E1106">
        <v>0.62885919999999995</v>
      </c>
      <c r="F1106" t="s">
        <v>51</v>
      </c>
      <c r="G1106">
        <v>-208.4675</v>
      </c>
      <c r="H1106" s="1">
        <v>6.2934450000000004E-6</v>
      </c>
      <c r="I1106">
        <v>280.93939999999998</v>
      </c>
      <c r="J1106">
        <v>-193.89349999999999</v>
      </c>
      <c r="K1106">
        <v>1.1021099999999999</v>
      </c>
      <c r="L1106">
        <v>298.11369999999999</v>
      </c>
      <c r="M1106">
        <v>-0.27413880000000002</v>
      </c>
      <c r="N1106">
        <v>-1.2861259999999999E-2</v>
      </c>
      <c r="O1106">
        <v>-0.96160420000000002</v>
      </c>
      <c r="P1106">
        <v>-0.36299740000000003</v>
      </c>
      <c r="Q1106">
        <v>0.13818039999999901</v>
      </c>
      <c r="R1106">
        <v>-0.92148750000000001</v>
      </c>
      <c r="S1106">
        <v>-2.0778349999999999</v>
      </c>
      <c r="T1106">
        <v>-0.15630829999999901</v>
      </c>
      <c r="U1106">
        <v>-2.4709469999999998</v>
      </c>
      <c r="V1106">
        <v>9.9359879999999998E-2</v>
      </c>
      <c r="W1106">
        <v>0.1489472</v>
      </c>
      <c r="X1106">
        <v>0.98384059999999995</v>
      </c>
      <c r="Y1106">
        <v>0.4084972</v>
      </c>
      <c r="Z1106">
        <v>3.7736470000000001E-2</v>
      </c>
      <c r="AA1106">
        <v>0.91197919999999999</v>
      </c>
      <c r="AB1106">
        <v>29</v>
      </c>
      <c r="AC1106">
        <v>-14.574</v>
      </c>
      <c r="AD1106">
        <v>-1.1021037065549999</v>
      </c>
      <c r="AE1106">
        <v>-17.174299999999999</v>
      </c>
      <c r="AF1106">
        <v>9.2848186141154496</v>
      </c>
      <c r="AG1106">
        <v>-1.1021037065549999</v>
      </c>
      <c r="AH1106">
        <v>20.462884217186701</v>
      </c>
      <c r="AI1106">
        <v>92.807879184171</v>
      </c>
      <c r="AJ1106">
        <v>65.594328029607695</v>
      </c>
      <c r="AK1106">
        <v>22.497824778476101</v>
      </c>
      <c r="AL1106">
        <v>81.4340797189911</v>
      </c>
      <c r="AM1106">
        <v>84.233146380747996</v>
      </c>
      <c r="AN1106">
        <v>0.99999999017490704</v>
      </c>
    </row>
    <row r="1107" spans="1:40" x14ac:dyDescent="0.25">
      <c r="A1107" t="str">
        <f>"20190304155341871"</f>
        <v>20190304155341871</v>
      </c>
      <c r="B1107" t="str">
        <f>"1551686021866815"</f>
        <v>1551686021866815</v>
      </c>
      <c r="C1107" t="s">
        <v>40</v>
      </c>
      <c r="D1107">
        <v>5.2978399999999999</v>
      </c>
      <c r="E1107">
        <v>0.62646080000000004</v>
      </c>
      <c r="F1107" t="s">
        <v>51</v>
      </c>
      <c r="G1107">
        <v>-207.19450000000001</v>
      </c>
      <c r="H1107" s="1">
        <v>5.5847049999999996E-6</v>
      </c>
      <c r="I1107">
        <v>282.58859999999999</v>
      </c>
      <c r="J1107">
        <v>-193.98339999999999</v>
      </c>
      <c r="K1107">
        <v>1.10192</v>
      </c>
      <c r="L1107">
        <v>297.83859999999999</v>
      </c>
      <c r="M1107">
        <v>-0.28435060000000001</v>
      </c>
      <c r="N1107">
        <v>-1.2910039999999999E-2</v>
      </c>
      <c r="O1107">
        <v>-0.95863350000000003</v>
      </c>
      <c r="P1107">
        <v>-0.37369780000000002</v>
      </c>
      <c r="Q1107">
        <v>0.1384735</v>
      </c>
      <c r="R1107">
        <v>-0.91715590000000002</v>
      </c>
      <c r="S1107">
        <v>-2.1021420000000002</v>
      </c>
      <c r="T1107">
        <v>-0.17418110000000001</v>
      </c>
      <c r="U1107">
        <v>-2.4536440000000002</v>
      </c>
      <c r="V1107">
        <v>0.10043580000000001</v>
      </c>
      <c r="W1107">
        <v>0.1492212</v>
      </c>
      <c r="X1107">
        <v>0.98368979999999995</v>
      </c>
      <c r="Y1107">
        <v>0.40702240000000001</v>
      </c>
      <c r="Z1107">
        <v>4.3287890000000002E-2</v>
      </c>
      <c r="AA1107">
        <v>0.91239190000000003</v>
      </c>
      <c r="AB1107">
        <v>29</v>
      </c>
      <c r="AC1107">
        <v>-13.2111</v>
      </c>
      <c r="AD1107">
        <v>-1.101914415295</v>
      </c>
      <c r="AE1107">
        <v>-15.25</v>
      </c>
      <c r="AF1107">
        <v>8.3041817055501497</v>
      </c>
      <c r="AG1107">
        <v>-1.101914415295</v>
      </c>
      <c r="AH1107">
        <v>18.322625910875001</v>
      </c>
      <c r="AI1107">
        <v>93.135320015041899</v>
      </c>
      <c r="AJ1107">
        <v>65.619012570031202</v>
      </c>
      <c r="AK1107">
        <v>20.1467682134702</v>
      </c>
      <c r="AL1107">
        <v>81.418203069323297</v>
      </c>
      <c r="AM1107">
        <v>84.170240198037305</v>
      </c>
      <c r="AN1107">
        <v>0.99999996953755899</v>
      </c>
    </row>
    <row r="1108" spans="1:40" x14ac:dyDescent="0.25">
      <c r="A1108" t="str">
        <f>"20190304155341895"</f>
        <v>20190304155341895</v>
      </c>
      <c r="B1108" t="str">
        <f>"1551686021887311"</f>
        <v>1551686021887311</v>
      </c>
      <c r="C1108" t="s">
        <v>40</v>
      </c>
      <c r="D1108">
        <v>5.2969239999999997</v>
      </c>
      <c r="E1108">
        <v>0.62492239999999999</v>
      </c>
      <c r="F1108" t="s">
        <v>51</v>
      </c>
      <c r="G1108">
        <v>-205.78880000000001</v>
      </c>
      <c r="H1108" s="1">
        <v>4.8178769999999996E-6</v>
      </c>
      <c r="I1108">
        <v>284.22989999999999</v>
      </c>
      <c r="J1108">
        <v>-194.08349999999999</v>
      </c>
      <c r="K1108">
        <v>1.101704</v>
      </c>
      <c r="L1108">
        <v>297.54390000000001</v>
      </c>
      <c r="M1108">
        <v>-0.29559489999999999</v>
      </c>
      <c r="N1108">
        <v>-1.296368E-2</v>
      </c>
      <c r="O1108">
        <v>-0.95522560000000001</v>
      </c>
      <c r="P1108">
        <v>-0.38492300000000002</v>
      </c>
      <c r="Q1108">
        <v>0.138481299999999</v>
      </c>
      <c r="R1108">
        <v>-0.91250089999999995</v>
      </c>
      <c r="S1108">
        <v>-2.1156009999999998</v>
      </c>
      <c r="T1108">
        <v>-0.19746900000000001</v>
      </c>
      <c r="U1108">
        <v>-2.4387509999999999</v>
      </c>
      <c r="V1108">
        <v>0.10102559999999999</v>
      </c>
      <c r="W1108">
        <v>0.14921879999999901</v>
      </c>
      <c r="X1108">
        <v>0.9836298</v>
      </c>
      <c r="Y1108">
        <v>0.40166679999999999</v>
      </c>
      <c r="Z1108">
        <v>5.0550879999999999E-2</v>
      </c>
      <c r="AA1108">
        <v>0.91438960000000002</v>
      </c>
      <c r="AB1108">
        <v>29</v>
      </c>
      <c r="AC1108">
        <v>-11.705299999999999</v>
      </c>
      <c r="AD1108">
        <v>-1.101699182123</v>
      </c>
      <c r="AE1108">
        <v>-13.314</v>
      </c>
      <c r="AF1108">
        <v>7.2183818726344304</v>
      </c>
      <c r="AG1108">
        <v>-1.101699182123</v>
      </c>
      <c r="AH1108">
        <v>16.117013229783002</v>
      </c>
      <c r="AI1108">
        <v>93.569777636532095</v>
      </c>
      <c r="AJ1108">
        <v>65.873660786675202</v>
      </c>
      <c r="AK1108">
        <v>17.693979015361901</v>
      </c>
      <c r="AL1108">
        <v>81.418342423688799</v>
      </c>
      <c r="AM1108">
        <v>84.135888139041398</v>
      </c>
      <c r="AN1108">
        <v>1.0000000027884199</v>
      </c>
    </row>
    <row r="1109" spans="1:40" x14ac:dyDescent="0.25">
      <c r="A1109" t="str">
        <f>"20190304155341919"</f>
        <v>20190304155341919</v>
      </c>
      <c r="B1109" t="str">
        <f>"1551686021917568"</f>
        <v>1551686021917568</v>
      </c>
      <c r="C1109" t="s">
        <v>40</v>
      </c>
      <c r="D1109">
        <v>5.278346</v>
      </c>
      <c r="E1109">
        <v>0.62324729999999995</v>
      </c>
      <c r="F1109" t="s">
        <v>51</v>
      </c>
      <c r="G1109">
        <v>-205.41900000000001</v>
      </c>
      <c r="H1109" s="1">
        <v>4.6127139999999999E-6</v>
      </c>
      <c r="I1109">
        <v>284.70089999999999</v>
      </c>
      <c r="J1109">
        <v>-194.1909</v>
      </c>
      <c r="K1109">
        <v>1.1014759999999999</v>
      </c>
      <c r="L1109">
        <v>297.24020000000002</v>
      </c>
      <c r="M1109">
        <v>-0.30750499999999997</v>
      </c>
      <c r="N1109">
        <v>-1.3023949999999999E-2</v>
      </c>
      <c r="O1109">
        <v>-0.95145740000000001</v>
      </c>
      <c r="P1109">
        <v>-0.39672010000000002</v>
      </c>
      <c r="Q1109">
        <v>0.1387273</v>
      </c>
      <c r="R1109">
        <v>-0.90739630000000004</v>
      </c>
      <c r="S1109">
        <v>-2.134735</v>
      </c>
      <c r="T1109">
        <v>-0.20747409999999999</v>
      </c>
      <c r="U1109">
        <v>-2.4186100000000001</v>
      </c>
      <c r="V1109">
        <v>0.1015915</v>
      </c>
      <c r="W1109">
        <v>0.14945649999999999</v>
      </c>
      <c r="X1109">
        <v>0.98353539999999995</v>
      </c>
      <c r="Y1109">
        <v>0.3979471</v>
      </c>
      <c r="Z1109">
        <v>5.3636349999999999E-2</v>
      </c>
      <c r="AA1109">
        <v>0.91583910000000002</v>
      </c>
      <c r="AB1109">
        <v>29</v>
      </c>
      <c r="AC1109">
        <v>-11.2281</v>
      </c>
      <c r="AD1109">
        <v>-1.101471387286</v>
      </c>
      <c r="AE1109">
        <v>-12.539300000000001</v>
      </c>
      <c r="AF1109">
        <v>6.7986251907441604</v>
      </c>
      <c r="AG1109">
        <v>-1.101471387286</v>
      </c>
      <c r="AH1109">
        <v>15.319007461330999</v>
      </c>
      <c r="AI1109">
        <v>93.760114442742704</v>
      </c>
      <c r="AJ1109">
        <v>66.068196562967699</v>
      </c>
      <c r="AK1109">
        <v>16.796027307120799</v>
      </c>
      <c r="AL1109">
        <v>81.4045685709835</v>
      </c>
      <c r="AM1109">
        <v>84.102708861970299</v>
      </c>
      <c r="AN1109">
        <v>0.999999980658829</v>
      </c>
    </row>
    <row r="1110" spans="1:40" x14ac:dyDescent="0.25">
      <c r="A1110" t="str">
        <f>"20190304155342430"</f>
        <v>20190304155342430</v>
      </c>
      <c r="B1110" t="str">
        <f>"1551686022427040"</f>
        <v>1551686022427040</v>
      </c>
      <c r="C1110" t="s">
        <v>40</v>
      </c>
      <c r="D1110">
        <v>5.3501799999999999</v>
      </c>
      <c r="E1110">
        <v>0.64145620000000003</v>
      </c>
      <c r="F1110" t="s">
        <v>51</v>
      </c>
      <c r="G1110">
        <v>-205.2533</v>
      </c>
      <c r="H1110" s="1">
        <v>4.5188010000000001E-6</v>
      </c>
      <c r="I1110">
        <v>284.93450000000001</v>
      </c>
      <c r="J1110">
        <v>-197.39150000000001</v>
      </c>
      <c r="K1110">
        <v>1.0980240000000001</v>
      </c>
      <c r="L1110">
        <v>291.42950000000002</v>
      </c>
      <c r="M1110">
        <v>-0.58740019999999904</v>
      </c>
      <c r="N1110">
        <v>-1.410342E-2</v>
      </c>
      <c r="O1110">
        <v>-0.8091739</v>
      </c>
      <c r="P1110">
        <v>-0.67089489999999996</v>
      </c>
      <c r="Q1110">
        <v>0.1433846</v>
      </c>
      <c r="R1110">
        <v>-0.7275585</v>
      </c>
      <c r="S1110">
        <v>-2.1547550000000002</v>
      </c>
      <c r="T1110">
        <v>-0.2145464</v>
      </c>
      <c r="U1110">
        <v>-2.3969119999999999</v>
      </c>
      <c r="V1110">
        <v>0.1200529</v>
      </c>
      <c r="W1110">
        <v>0.15379499999999999</v>
      </c>
      <c r="X1110">
        <v>0.98078259999999995</v>
      </c>
      <c r="Y1110">
        <v>0.1032594</v>
      </c>
      <c r="Z1110">
        <v>4.4822630000000002E-2</v>
      </c>
      <c r="AA1110">
        <v>0.99364399999999997</v>
      </c>
      <c r="AB1110">
        <v>28</v>
      </c>
      <c r="AC1110">
        <v>-7.8617999999999801</v>
      </c>
      <c r="AD1110">
        <v>-1.0980194811989901</v>
      </c>
      <c r="AE1110">
        <v>-6.4950000000000001</v>
      </c>
      <c r="AF1110">
        <v>2.5174656148325898</v>
      </c>
      <c r="AG1110">
        <v>-1.0980194811989901</v>
      </c>
      <c r="AH1110">
        <v>9.76141853321535</v>
      </c>
      <c r="AI1110">
        <v>96.2162449506136</v>
      </c>
      <c r="AJ1110">
        <v>75.538567028187302</v>
      </c>
      <c r="AK1110">
        <v>10.1404423810579</v>
      </c>
      <c r="AL1110">
        <v>81.153083589725696</v>
      </c>
      <c r="AM1110">
        <v>83.021413379786097</v>
      </c>
      <c r="AN1110">
        <v>1.0000000546430801</v>
      </c>
    </row>
    <row r="1111" spans="1:40" x14ac:dyDescent="0.25">
      <c r="A1111" t="str">
        <f>"20190304155342477"</f>
        <v>20190304155342477</v>
      </c>
      <c r="B1111" t="str">
        <f>"1551686022467056"</f>
        <v>1551686022467056</v>
      </c>
      <c r="C1111" t="s">
        <v>40</v>
      </c>
      <c r="D1111">
        <v>5.3501209999999997</v>
      </c>
      <c r="E1111">
        <v>0.63433589999999995</v>
      </c>
      <c r="F1111" t="s">
        <v>51</v>
      </c>
      <c r="G1111">
        <v>-209.3921</v>
      </c>
      <c r="H1111" s="1">
        <v>6.306986E-6</v>
      </c>
      <c r="I1111">
        <v>285.4742</v>
      </c>
      <c r="J1111">
        <v>-197.7713</v>
      </c>
      <c r="K1111">
        <v>1.097793</v>
      </c>
      <c r="L1111">
        <v>290.97120000000001</v>
      </c>
      <c r="M1111">
        <v>-0.61365119999999995</v>
      </c>
      <c r="N1111">
        <v>-1.4192949999999999E-2</v>
      </c>
      <c r="O1111">
        <v>-0.78944979999999998</v>
      </c>
      <c r="P1111">
        <v>-0.69601789999999997</v>
      </c>
      <c r="Q1111">
        <v>0.143562299999999</v>
      </c>
      <c r="R1111">
        <v>-0.70352630000000005</v>
      </c>
      <c r="S1111">
        <v>-2.9446409999999998</v>
      </c>
      <c r="T1111">
        <v>-0.26942670000000002</v>
      </c>
      <c r="U1111">
        <v>-1.461273</v>
      </c>
      <c r="V1111">
        <v>0.1223924</v>
      </c>
      <c r="W1111">
        <v>0.15392410000000001</v>
      </c>
      <c r="X1111">
        <v>0.98047309999999999</v>
      </c>
      <c r="Y1111">
        <v>0.43178149999999998</v>
      </c>
      <c r="Z1111">
        <v>6.6739430000000002E-2</v>
      </c>
      <c r="AA1111">
        <v>0.89950569999999896</v>
      </c>
      <c r="AB1111">
        <v>28</v>
      </c>
      <c r="AC1111">
        <v>-11.620799999999999</v>
      </c>
      <c r="AD1111">
        <v>-1.0977866930139999</v>
      </c>
      <c r="AE1111">
        <v>-5.4970000000000097</v>
      </c>
      <c r="AF1111">
        <v>5.7593817976885902</v>
      </c>
      <c r="AG1111">
        <v>-1.0977866930139999</v>
      </c>
      <c r="AH1111">
        <v>11.3888262135129</v>
      </c>
      <c r="AI1111">
        <v>94.916369855865895</v>
      </c>
      <c r="AJ1111">
        <v>63.1740663474082</v>
      </c>
      <c r="AK1111">
        <v>12.809409698987</v>
      </c>
      <c r="AL1111">
        <v>81.145597203956399</v>
      </c>
      <c r="AM1111">
        <v>82.884577567685696</v>
      </c>
      <c r="AN1111">
        <v>1.0000000139810801</v>
      </c>
    </row>
    <row r="1112" spans="1:40" x14ac:dyDescent="0.25">
      <c r="A1112" t="str">
        <f>"20190304155342500"</f>
        <v>20190304155342500</v>
      </c>
      <c r="B1112" t="str">
        <f>"1551686022497312"</f>
        <v>1551686022497312</v>
      </c>
      <c r="C1112" t="s">
        <v>40</v>
      </c>
      <c r="D1112">
        <v>5.3566449999999897</v>
      </c>
      <c r="E1112">
        <v>0.61791269999999998</v>
      </c>
      <c r="F1112" t="s">
        <v>51</v>
      </c>
      <c r="G1112">
        <v>-209.72669999999999</v>
      </c>
      <c r="H1112" s="1">
        <v>6.4698100000000001E-6</v>
      </c>
      <c r="I1112">
        <v>285.3091</v>
      </c>
      <c r="J1112">
        <v>-197.97030000000001</v>
      </c>
      <c r="K1112">
        <v>1.0976790000000001</v>
      </c>
      <c r="L1112">
        <v>290.74279999999999</v>
      </c>
      <c r="M1112">
        <v>-0.62694700000000003</v>
      </c>
      <c r="N1112">
        <v>-1.42375E-2</v>
      </c>
      <c r="O1112">
        <v>-0.77893190000000001</v>
      </c>
      <c r="P1112">
        <v>-0.70845839999999904</v>
      </c>
      <c r="Q1112">
        <v>0.14360229999999999</v>
      </c>
      <c r="R1112">
        <v>-0.69098870000000001</v>
      </c>
      <c r="S1112">
        <v>-2.9526979999999998</v>
      </c>
      <c r="T1112">
        <v>-0.27112579999999997</v>
      </c>
      <c r="U1112">
        <v>-1.3983760000000001</v>
      </c>
      <c r="V1112">
        <v>0.1233109</v>
      </c>
      <c r="W1112">
        <v>0.15394769999999999</v>
      </c>
      <c r="X1112">
        <v>0.98035430000000001</v>
      </c>
      <c r="Y1112">
        <v>0.43293789999999999</v>
      </c>
      <c r="Z1112">
        <v>6.7272929999999995E-2</v>
      </c>
      <c r="AA1112">
        <v>0.89890999999999999</v>
      </c>
      <c r="AB1112">
        <v>28</v>
      </c>
      <c r="AC1112">
        <v>-11.7563999999999</v>
      </c>
      <c r="AD1112">
        <v>-1.0976725301899899</v>
      </c>
      <c r="AE1112">
        <v>-5.4336999999999804</v>
      </c>
      <c r="AF1112">
        <v>5.7103573195792103</v>
      </c>
      <c r="AG1112">
        <v>-1.0976725301899899</v>
      </c>
      <c r="AH1112">
        <v>11.521536532012201</v>
      </c>
      <c r="AI1112">
        <v>94.879064436286299</v>
      </c>
      <c r="AJ1112">
        <v>63.635851643605903</v>
      </c>
      <c r="AK1112">
        <v>12.905768855798501</v>
      </c>
      <c r="AL1112">
        <v>81.144228703199204</v>
      </c>
      <c r="AM1112">
        <v>82.830873331298605</v>
      </c>
      <c r="AN1112">
        <v>1.00000001296129</v>
      </c>
    </row>
    <row r="1113" spans="1:40" x14ac:dyDescent="0.25">
      <c r="A1113" t="str">
        <f>"20190304155342522"</f>
        <v>20190304155342522</v>
      </c>
      <c r="B1113" t="str">
        <f>"1551686022517808"</f>
        <v>1551686022517808</v>
      </c>
      <c r="C1113" t="s">
        <v>40</v>
      </c>
      <c r="D1113">
        <v>5.373367</v>
      </c>
      <c r="E1113">
        <v>0.61625390000000002</v>
      </c>
      <c r="F1113" t="s">
        <v>51</v>
      </c>
      <c r="G1113">
        <v>-208.3938</v>
      </c>
      <c r="H1113" s="1">
        <v>5.8579159999999999E-6</v>
      </c>
      <c r="I1113">
        <v>285.54719999999998</v>
      </c>
      <c r="J1113">
        <v>-198.1611</v>
      </c>
      <c r="K1113">
        <v>1.097572</v>
      </c>
      <c r="L1113">
        <v>290.53140000000002</v>
      </c>
      <c r="M1113">
        <v>-0.63940509999999995</v>
      </c>
      <c r="N1113">
        <v>-1.4279729999999999E-2</v>
      </c>
      <c r="O1113">
        <v>-0.76873749999999996</v>
      </c>
      <c r="P1113">
        <v>-0.71988799999999997</v>
      </c>
      <c r="Q1113">
        <v>0.143813</v>
      </c>
      <c r="R1113">
        <v>-0.67902830000000003</v>
      </c>
      <c r="S1113">
        <v>-2.8908390000000002</v>
      </c>
      <c r="T1113">
        <v>-0.30442760000000002</v>
      </c>
      <c r="U1113">
        <v>-1.4409479999999999</v>
      </c>
      <c r="V1113">
        <v>0.1239609</v>
      </c>
      <c r="W1113">
        <v>0.154148799999999</v>
      </c>
      <c r="X1113">
        <v>0.98024069999999996</v>
      </c>
      <c r="Y1113">
        <v>0.39935910000000002</v>
      </c>
      <c r="Z1113">
        <v>7.5701980000000002E-2</v>
      </c>
      <c r="AA1113">
        <v>0.91366369999999997</v>
      </c>
      <c r="AB1113">
        <v>28</v>
      </c>
      <c r="AC1113">
        <v>-10.2326999999999</v>
      </c>
      <c r="AD1113">
        <v>-1.0975661420839999</v>
      </c>
      <c r="AE1113">
        <v>-4.9842000000000404</v>
      </c>
      <c r="AF1113">
        <v>4.6366988414074397</v>
      </c>
      <c r="AG1113">
        <v>-1.0975661420839999</v>
      </c>
      <c r="AH1113">
        <v>10.279849860978</v>
      </c>
      <c r="AI1113">
        <v>95.558888890023894</v>
      </c>
      <c r="AJ1113">
        <v>65.722371843803202</v>
      </c>
      <c r="AK1113">
        <v>11.3304430957668</v>
      </c>
      <c r="AL1113">
        <v>81.132567150952795</v>
      </c>
      <c r="AM1113">
        <v>82.792653117163496</v>
      </c>
      <c r="AN1113">
        <v>0.999999993603369</v>
      </c>
    </row>
    <row r="1114" spans="1:40" x14ac:dyDescent="0.25">
      <c r="A1114" t="str">
        <f>"20190304155342567"</f>
        <v>20190304155342567</v>
      </c>
      <c r="B1114" t="str">
        <f>"1551686022557823"</f>
        <v>1551686022557823</v>
      </c>
      <c r="C1114" t="s">
        <v>40</v>
      </c>
      <c r="D1114">
        <v>5.3314219999999999</v>
      </c>
      <c r="E1114">
        <v>0.61405619999999905</v>
      </c>
      <c r="F1114" t="s">
        <v>51</v>
      </c>
      <c r="G1114">
        <v>-208.6952</v>
      </c>
      <c r="H1114" s="1">
        <v>6.0004150000000004E-6</v>
      </c>
      <c r="I1114">
        <v>285.44580000000002</v>
      </c>
      <c r="J1114">
        <v>-198.5599</v>
      </c>
      <c r="K1114">
        <v>1.097343</v>
      </c>
      <c r="L1114">
        <v>290.11200000000002</v>
      </c>
      <c r="M1114">
        <v>-0.66458359999999905</v>
      </c>
      <c r="N1114">
        <v>-1.437006E-2</v>
      </c>
      <c r="O1114">
        <v>-0.74707599999999996</v>
      </c>
      <c r="P1114">
        <v>-0.74342949999999997</v>
      </c>
      <c r="Q1114">
        <v>0.1420071</v>
      </c>
      <c r="R1114">
        <v>-0.65356479999999995</v>
      </c>
      <c r="S1114">
        <v>-2.9049680000000002</v>
      </c>
      <c r="T1114">
        <v>-0.30267359999999999</v>
      </c>
      <c r="U1114">
        <v>-1.4024350000000001</v>
      </c>
      <c r="V1114">
        <v>0.1258108</v>
      </c>
      <c r="W1114">
        <v>0.15230920000000001</v>
      </c>
      <c r="X1114">
        <v>0.98029259999999996</v>
      </c>
      <c r="Y1114">
        <v>0.38053670000000001</v>
      </c>
      <c r="Z1114">
        <v>7.3361140000000005E-2</v>
      </c>
      <c r="AA1114">
        <v>0.92185139999999999</v>
      </c>
      <c r="AB1114">
        <v>28</v>
      </c>
      <c r="AC1114">
        <v>-10.135300000000001</v>
      </c>
      <c r="AD1114">
        <v>-1.097336999585</v>
      </c>
      <c r="AE1114">
        <v>-4.6661999999999999</v>
      </c>
      <c r="AF1114">
        <v>4.4283885427172596</v>
      </c>
      <c r="AG1114">
        <v>-1.097336999585</v>
      </c>
      <c r="AH1114">
        <v>10.1248852350531</v>
      </c>
      <c r="AI1114">
        <v>95.670755850621404</v>
      </c>
      <c r="AJ1114">
        <v>66.376553802880096</v>
      </c>
      <c r="AK1114">
        <v>11.105317401989099</v>
      </c>
      <c r="AL1114">
        <v>81.239228269213797</v>
      </c>
      <c r="AM1114">
        <v>82.686635228689397</v>
      </c>
      <c r="AN1114">
        <v>1.00000001570801</v>
      </c>
    </row>
    <row r="1115" spans="1:40" x14ac:dyDescent="0.25">
      <c r="A1115" t="str">
        <f>"20190304155342611"</f>
        <v>20190304155342611</v>
      </c>
      <c r="B1115" t="str">
        <f>"1551686022607600"</f>
        <v>1551686022607600</v>
      </c>
      <c r="C1115" t="s">
        <v>40</v>
      </c>
      <c r="D1115">
        <v>5.3734479999999998</v>
      </c>
      <c r="E1115">
        <v>0.60928369999999998</v>
      </c>
      <c r="F1115" t="s">
        <v>51</v>
      </c>
      <c r="G1115">
        <v>-209.2687</v>
      </c>
      <c r="H1115" s="1">
        <v>6.2644719999999898E-6</v>
      </c>
      <c r="I1115">
        <v>285.33460000000002</v>
      </c>
      <c r="J1115">
        <v>-198.96789999999999</v>
      </c>
      <c r="K1115">
        <v>1.0971310000000001</v>
      </c>
      <c r="L1115">
        <v>289.71100000000001</v>
      </c>
      <c r="M1115">
        <v>-0.68914629999999999</v>
      </c>
      <c r="N1115">
        <v>-1.4454069999999999E-2</v>
      </c>
      <c r="O1115">
        <v>-0.72447819999999996</v>
      </c>
      <c r="P1115">
        <v>-0.76671480000000003</v>
      </c>
      <c r="Q1115">
        <v>0.14145189999999999</v>
      </c>
      <c r="R1115">
        <v>-0.62621099999999996</v>
      </c>
      <c r="S1115">
        <v>-2.93988</v>
      </c>
      <c r="T1115">
        <v>-0.30125249999999998</v>
      </c>
      <c r="U1115">
        <v>-1.3115540000000001</v>
      </c>
      <c r="V1115">
        <v>0.12873689999999999</v>
      </c>
      <c r="W1115">
        <v>0.15168099999999901</v>
      </c>
      <c r="X1115">
        <v>0.98001000000000005</v>
      </c>
      <c r="Y1115">
        <v>0.37755689999999997</v>
      </c>
      <c r="Z1115">
        <v>7.1715029999999999E-2</v>
      </c>
      <c r="AA1115">
        <v>0.9232051</v>
      </c>
      <c r="AB1115">
        <v>28</v>
      </c>
      <c r="AC1115">
        <v>-10.300800000000001</v>
      </c>
      <c r="AD1115">
        <v>-1.0971247355279901</v>
      </c>
      <c r="AE1115">
        <v>-4.3763999999999896</v>
      </c>
      <c r="AF1115">
        <v>4.4048606864981696</v>
      </c>
      <c r="AG1115">
        <v>-1.0971247355279901</v>
      </c>
      <c r="AH1115">
        <v>10.1726818334595</v>
      </c>
      <c r="AI1115">
        <v>95.652166995979201</v>
      </c>
      <c r="AJ1115">
        <v>66.586964134331893</v>
      </c>
      <c r="AK1115">
        <v>11.1395662409971</v>
      </c>
      <c r="AL1115">
        <v>81.275644079663394</v>
      </c>
      <c r="AM1115">
        <v>82.516313835889605</v>
      </c>
      <c r="AN1115">
        <v>0.999999957641304</v>
      </c>
    </row>
    <row r="1116" spans="1:40" x14ac:dyDescent="0.25">
      <c r="A1116" t="str">
        <f>"20190304155342632"</f>
        <v>20190304155342632</v>
      </c>
      <c r="B1116" t="str">
        <f>"1551686022627120"</f>
        <v>1551686022627120</v>
      </c>
      <c r="C1116" t="s">
        <v>40</v>
      </c>
      <c r="D1116">
        <v>5.3119269999999998</v>
      </c>
      <c r="E1116">
        <v>0.60754989999999998</v>
      </c>
      <c r="F1116" t="s">
        <v>51</v>
      </c>
      <c r="G1116">
        <v>-209.75030000000001</v>
      </c>
      <c r="H1116" s="1">
        <v>6.4874419999999998E-6</v>
      </c>
      <c r="I1116">
        <v>285.22730000000001</v>
      </c>
      <c r="J1116">
        <v>-199.17910000000001</v>
      </c>
      <c r="K1116">
        <v>1.0970299999999999</v>
      </c>
      <c r="L1116">
        <v>289.5138</v>
      </c>
      <c r="M1116">
        <v>-0.7014148</v>
      </c>
      <c r="N1116">
        <v>-1.449459E-2</v>
      </c>
      <c r="O1116">
        <v>-0.71260590000000001</v>
      </c>
      <c r="P1116">
        <v>-0.77876119999999904</v>
      </c>
      <c r="Q1116">
        <v>0.1412503</v>
      </c>
      <c r="R1116">
        <v>-0.61121169999999903</v>
      </c>
      <c r="S1116">
        <v>-2.9623110000000001</v>
      </c>
      <c r="T1116">
        <v>-0.30141829999999997</v>
      </c>
      <c r="U1116">
        <v>-1.2318420000000001</v>
      </c>
      <c r="V1116">
        <v>0.13108639999999999</v>
      </c>
      <c r="W1116">
        <v>0.151412299999999</v>
      </c>
      <c r="X1116">
        <v>0.9797401</v>
      </c>
      <c r="Y1116">
        <v>0.38529619999999998</v>
      </c>
      <c r="Z1116">
        <v>7.1661500000000003E-2</v>
      </c>
      <c r="AA1116">
        <v>0.9200062</v>
      </c>
      <c r="AB1116">
        <v>28</v>
      </c>
      <c r="AC1116">
        <v>-10.571199999999999</v>
      </c>
      <c r="AD1116">
        <v>-1.0970235125579999</v>
      </c>
      <c r="AE1116">
        <v>-4.2864999999999798</v>
      </c>
      <c r="AF1116">
        <v>4.4854764347560403</v>
      </c>
      <c r="AG1116">
        <v>-1.0970235125579999</v>
      </c>
      <c r="AH1116">
        <v>10.3745320564945</v>
      </c>
      <c r="AI1116">
        <v>95.5436933814605</v>
      </c>
      <c r="AJ1116">
        <v>66.618537017465101</v>
      </c>
      <c r="AK1116">
        <v>11.355785962455</v>
      </c>
      <c r="AL1116">
        <v>81.291219687468597</v>
      </c>
      <c r="AM1116">
        <v>82.3792495725897</v>
      </c>
      <c r="AN1116">
        <v>0.99999999620212998</v>
      </c>
    </row>
    <row r="1117" spans="1:40" x14ac:dyDescent="0.25">
      <c r="A1117" t="str">
        <f>"20190304155343034"</f>
        <v>20190304155343034</v>
      </c>
      <c r="B1117" t="str">
        <f>"1551686023027280"</f>
        <v>1551686023027280</v>
      </c>
      <c r="C1117" t="s">
        <v>40</v>
      </c>
      <c r="D1117">
        <v>5.1726609999999997</v>
      </c>
      <c r="E1117">
        <v>0.63015399999999999</v>
      </c>
      <c r="F1117" t="s">
        <v>63</v>
      </c>
      <c r="G1117">
        <v>-209.9991</v>
      </c>
      <c r="H1117" s="1">
        <v>-1.5372929999999999E-6</v>
      </c>
      <c r="I1117">
        <v>285.2045</v>
      </c>
      <c r="J1117">
        <v>-203.49029999999999</v>
      </c>
      <c r="K1117">
        <v>1.095299</v>
      </c>
      <c r="L1117">
        <v>286.70569999999998</v>
      </c>
      <c r="M1117">
        <v>-0.89494030000000002</v>
      </c>
      <c r="N1117">
        <v>-1.5296880000000001E-2</v>
      </c>
      <c r="O1117">
        <v>-0.44592369999999998</v>
      </c>
      <c r="P1117">
        <v>-0.93678589999999995</v>
      </c>
      <c r="Q1117">
        <v>0.14025470000000001</v>
      </c>
      <c r="R1117">
        <v>-0.32056380000000001</v>
      </c>
      <c r="S1117">
        <v>-2.9765630000000001</v>
      </c>
      <c r="T1117">
        <v>-0.30179299999999998</v>
      </c>
      <c r="U1117">
        <v>-1.185486</v>
      </c>
      <c r="V1117">
        <v>0.1363134</v>
      </c>
      <c r="W1117">
        <v>0.15048989999999901</v>
      </c>
      <c r="X1117">
        <v>0.97916879999999995</v>
      </c>
      <c r="Y1117">
        <v>8.1508410000000003E-2</v>
      </c>
      <c r="Z1117">
        <v>3.9080620000000003E-2</v>
      </c>
      <c r="AA1117">
        <v>0.99590619999999996</v>
      </c>
      <c r="AB1117">
        <v>28</v>
      </c>
      <c r="AC1117">
        <v>-6.5087999999999999</v>
      </c>
      <c r="AD1117">
        <v>-1.095300537293</v>
      </c>
      <c r="AE1117">
        <v>-1.5011999999999801</v>
      </c>
      <c r="AF1117">
        <v>1.5183023084121201</v>
      </c>
      <c r="AG1117">
        <v>-1.095300537293</v>
      </c>
      <c r="AH1117">
        <v>6.3250995854023797</v>
      </c>
      <c r="AI1117">
        <v>99.558033181384303</v>
      </c>
      <c r="AJ1117">
        <v>76.501882143783007</v>
      </c>
      <c r="AK1117">
        <v>6.5963482270102496</v>
      </c>
      <c r="AL1117">
        <v>81.344682362169195</v>
      </c>
      <c r="AM1117">
        <v>82.074597885956095</v>
      </c>
      <c r="AN1117">
        <v>1.0000000459575</v>
      </c>
    </row>
    <row r="1118" spans="1:40" x14ac:dyDescent="0.25">
      <c r="A1118" t="str">
        <f>"20190304155343056"</f>
        <v>20190304155343056</v>
      </c>
      <c r="B1118" t="str">
        <f>"1551686023047777"</f>
        <v>1551686023047777</v>
      </c>
      <c r="C1118" t="s">
        <v>40</v>
      </c>
      <c r="D1118">
        <v>5.1312850000000001</v>
      </c>
      <c r="E1118">
        <v>0.63046409999999997</v>
      </c>
      <c r="F1118" t="s">
        <v>63</v>
      </c>
      <c r="G1118">
        <v>-224.48910000000001</v>
      </c>
      <c r="H1118" s="1">
        <v>8.5208219999999998E-7</v>
      </c>
      <c r="I1118">
        <v>286.9434</v>
      </c>
      <c r="J1118">
        <v>-203.75989999999999</v>
      </c>
      <c r="K1118">
        <v>1.09524</v>
      </c>
      <c r="L1118">
        <v>286.59339999999997</v>
      </c>
      <c r="M1118">
        <v>-0.90368599999999999</v>
      </c>
      <c r="N1118">
        <v>-1.5337450000000001E-2</v>
      </c>
      <c r="O1118">
        <v>-0.42792140000000001</v>
      </c>
      <c r="P1118">
        <v>-0.94240579999999996</v>
      </c>
      <c r="Q1118">
        <v>0.1408442</v>
      </c>
      <c r="R1118">
        <v>-0.30337120000000001</v>
      </c>
      <c r="S1118">
        <v>-3.240326</v>
      </c>
      <c r="T1118">
        <v>-0.1690159</v>
      </c>
      <c r="U1118">
        <v>3.668213E-2</v>
      </c>
      <c r="V1118">
        <v>0.13463629999999999</v>
      </c>
      <c r="W1118">
        <v>0.15115970000000001</v>
      </c>
      <c r="X1118">
        <v>0.97929759999999999</v>
      </c>
      <c r="Y1118">
        <v>0.43715310000000002</v>
      </c>
      <c r="Z1118">
        <v>2.9780600000000001E-2</v>
      </c>
      <c r="AA1118">
        <v>0.89889399999999997</v>
      </c>
      <c r="AB1118">
        <v>28</v>
      </c>
      <c r="AC1118">
        <v>-20.729199999999999</v>
      </c>
      <c r="AD1118">
        <v>-1.0952391479178001</v>
      </c>
      <c r="AE1118">
        <v>0.35000000000002202</v>
      </c>
      <c r="AF1118">
        <v>9.16226743320677</v>
      </c>
      <c r="AG1118">
        <v>-1.0952391479178001</v>
      </c>
      <c r="AH1118">
        <v>18.5333752028288</v>
      </c>
      <c r="AI1118">
        <v>93.032436533179506</v>
      </c>
      <c r="AJ1118">
        <v>63.6937816736028</v>
      </c>
      <c r="AK1118">
        <v>20.703446324647501</v>
      </c>
      <c r="AL1118">
        <v>81.305861058832505</v>
      </c>
      <c r="AM1118">
        <v>82.171906546489694</v>
      </c>
      <c r="AN1118">
        <v>0.99999998877376906</v>
      </c>
    </row>
    <row r="1119" spans="1:40" x14ac:dyDescent="0.25">
      <c r="A1119" t="str">
        <f>"20190304155343078"</f>
        <v>20190304155343078</v>
      </c>
      <c r="B1119" t="str">
        <f>"1551686023067297"</f>
        <v>1551686023067297</v>
      </c>
      <c r="C1119" t="s">
        <v>40</v>
      </c>
      <c r="D1119">
        <v>5.1327769999999999</v>
      </c>
      <c r="E1119">
        <v>0.62814119999999996</v>
      </c>
      <c r="F1119" t="s">
        <v>63</v>
      </c>
      <c r="G1119">
        <v>-226.58519999999999</v>
      </c>
      <c r="H1119" s="1">
        <v>1.9675359999999999E-6</v>
      </c>
      <c r="I1119">
        <v>287.2901</v>
      </c>
      <c r="J1119">
        <v>-204.0232</v>
      </c>
      <c r="K1119">
        <v>1.095173</v>
      </c>
      <c r="L1119">
        <v>286.48970000000003</v>
      </c>
      <c r="M1119">
        <v>-0.91185369999999999</v>
      </c>
      <c r="N1119">
        <v>-1.537444E-2</v>
      </c>
      <c r="O1119">
        <v>-0.41022740000000002</v>
      </c>
      <c r="P1119">
        <v>-0.94758469999999995</v>
      </c>
      <c r="Q1119">
        <v>0.14201340000000001</v>
      </c>
      <c r="R1119">
        <v>-0.28621039999999998</v>
      </c>
      <c r="S1119">
        <v>-3.238388</v>
      </c>
      <c r="T1119">
        <v>-0.1553891</v>
      </c>
      <c r="U1119">
        <v>9.8846439999999994E-2</v>
      </c>
      <c r="V1119">
        <v>0.133323</v>
      </c>
      <c r="W1119">
        <v>0.15239359999999999</v>
      </c>
      <c r="X1119">
        <v>0.97928610000000005</v>
      </c>
      <c r="Y1119">
        <v>0.43705329999999898</v>
      </c>
      <c r="Z1119">
        <v>2.664766E-2</v>
      </c>
      <c r="AA1119">
        <v>0.89904079999999997</v>
      </c>
      <c r="AB1119">
        <v>28</v>
      </c>
      <c r="AC1119">
        <v>-22.561999999999902</v>
      </c>
      <c r="AD1119">
        <v>-1.095171032464</v>
      </c>
      <c r="AE1119">
        <v>0.80039999999996703</v>
      </c>
      <c r="AF1119">
        <v>9.9631328935699397</v>
      </c>
      <c r="AG1119">
        <v>-1.095171032464</v>
      </c>
      <c r="AH1119">
        <v>20.1997551665185</v>
      </c>
      <c r="AI1119">
        <v>92.783766122171301</v>
      </c>
      <c r="AJ1119">
        <v>63.7460848584576</v>
      </c>
      <c r="AK1119">
        <v>22.5498010064961</v>
      </c>
      <c r="AL1119">
        <v>81.234335678951794</v>
      </c>
      <c r="AM1119">
        <v>82.2472420868841</v>
      </c>
      <c r="AN1119">
        <v>1.0000000486515801</v>
      </c>
    </row>
    <row r="1120" spans="1:40" x14ac:dyDescent="0.25">
      <c r="A1120" t="str">
        <f>"20190304155343099"</f>
        <v>20190304155343099</v>
      </c>
      <c r="B1120" t="str">
        <f>"1551686023097553"</f>
        <v>1551686023097553</v>
      </c>
      <c r="C1120" t="s">
        <v>40</v>
      </c>
      <c r="D1120">
        <v>5.1624930000000004</v>
      </c>
      <c r="E1120">
        <v>0.62558510000000001</v>
      </c>
      <c r="F1120" t="s">
        <v>63</v>
      </c>
      <c r="G1120">
        <v>-228.30850000000001</v>
      </c>
      <c r="H1120" s="1">
        <v>2.8846100000000002E-6</v>
      </c>
      <c r="I1120">
        <v>287.53989999999999</v>
      </c>
      <c r="J1120">
        <v>-204.2808</v>
      </c>
      <c r="K1120">
        <v>1.095124</v>
      </c>
      <c r="L1120">
        <v>286.39400000000001</v>
      </c>
      <c r="M1120">
        <v>-0.91948719999999995</v>
      </c>
      <c r="N1120">
        <v>-1.5407499999999999E-2</v>
      </c>
      <c r="O1120">
        <v>-0.3928179</v>
      </c>
      <c r="P1120">
        <v>-0.95229330000000001</v>
      </c>
      <c r="Q1120">
        <v>0.14353109999999999</v>
      </c>
      <c r="R1120">
        <v>-0.26932600000000001</v>
      </c>
      <c r="S1120">
        <v>-3.229965</v>
      </c>
      <c r="T1120">
        <v>-0.14565829999999999</v>
      </c>
      <c r="U1120">
        <v>0.139679</v>
      </c>
      <c r="V1120">
        <v>0.132091299999999</v>
      </c>
      <c r="W1120">
        <v>0.15397259999999999</v>
      </c>
      <c r="X1120">
        <v>0.97920600000000002</v>
      </c>
      <c r="Y1120">
        <v>0.43148809999999899</v>
      </c>
      <c r="Z1120">
        <v>2.425012E-2</v>
      </c>
      <c r="AA1120">
        <v>0.90179260000000006</v>
      </c>
      <c r="AB1120">
        <v>28</v>
      </c>
      <c r="AC1120">
        <v>-24.027699999999999</v>
      </c>
      <c r="AD1120">
        <v>-1.09512111538999</v>
      </c>
      <c r="AE1120">
        <v>1.1458999999999799</v>
      </c>
      <c r="AF1120">
        <v>10.471693087938799</v>
      </c>
      <c r="AG1120">
        <v>-1.09512111538999</v>
      </c>
      <c r="AH1120">
        <v>21.600832248141099</v>
      </c>
      <c r="AI1120">
        <v>92.612025629099506</v>
      </c>
      <c r="AJ1120">
        <v>64.136730919948803</v>
      </c>
      <c r="AK1120">
        <v>24.030222641450798</v>
      </c>
      <c r="AL1120">
        <v>81.142784990862495</v>
      </c>
      <c r="AM1120">
        <v>82.317385601201806</v>
      </c>
      <c r="AN1120">
        <v>1.0000000317612201</v>
      </c>
    </row>
    <row r="1121" spans="1:40" x14ac:dyDescent="0.25">
      <c r="A1121" t="str">
        <f>"20190304155343123"</f>
        <v>20190304155343123</v>
      </c>
      <c r="B1121" t="str">
        <f>"1551686023117072"</f>
        <v>1551686023117072</v>
      </c>
      <c r="C1121" t="s">
        <v>40</v>
      </c>
      <c r="D1121">
        <v>5.1549170000000002</v>
      </c>
      <c r="E1121">
        <v>0.62220949999999997</v>
      </c>
      <c r="F1121" t="s">
        <v>63</v>
      </c>
      <c r="G1121">
        <v>-229.8716</v>
      </c>
      <c r="H1121" s="1">
        <v>3.7163930000000001E-6</v>
      </c>
      <c r="I1121">
        <v>287.78980000000001</v>
      </c>
      <c r="J1121">
        <v>-204.5609</v>
      </c>
      <c r="K1121">
        <v>1.0950879999999901</v>
      </c>
      <c r="L1121">
        <v>286.29649999999998</v>
      </c>
      <c r="M1121">
        <v>-0.92738560000000003</v>
      </c>
      <c r="N1121">
        <v>-1.5439899999999999E-2</v>
      </c>
      <c r="O1121">
        <v>-0.37378860000000003</v>
      </c>
      <c r="P1121">
        <v>-0.95689400000000002</v>
      </c>
      <c r="Q1121">
        <v>0.1441646</v>
      </c>
      <c r="R1121">
        <v>-0.25213190000000002</v>
      </c>
      <c r="S1121">
        <v>-3.2207490000000001</v>
      </c>
      <c r="T1121">
        <v>-0.1378269</v>
      </c>
      <c r="U1121">
        <v>0.17565919999999999</v>
      </c>
      <c r="V1121">
        <v>0.12955059999999999</v>
      </c>
      <c r="W1121">
        <v>0.1547193</v>
      </c>
      <c r="X1121">
        <v>0.97942770000000001</v>
      </c>
      <c r="Y1121">
        <v>0.42313869999999998</v>
      </c>
      <c r="Z1121">
        <v>2.217146E-2</v>
      </c>
      <c r="AA1121">
        <v>0.90579359999999998</v>
      </c>
      <c r="AB1121">
        <v>28</v>
      </c>
      <c r="AC1121">
        <v>-25.310700000000001</v>
      </c>
      <c r="AD1121">
        <v>-1.0950842836069901</v>
      </c>
      <c r="AE1121">
        <v>1.49330000000003</v>
      </c>
      <c r="AF1121">
        <v>10.8268104774927</v>
      </c>
      <c r="AG1121">
        <v>-1.0950842836069901</v>
      </c>
      <c r="AH1121">
        <v>22.874656927259799</v>
      </c>
      <c r="AI1121">
        <v>92.477707463816401</v>
      </c>
      <c r="AJ1121">
        <v>64.671324581092804</v>
      </c>
      <c r="AK1121">
        <v>25.331185606749301</v>
      </c>
      <c r="AL1121">
        <v>81.099483234396402</v>
      </c>
      <c r="AM1121">
        <v>82.465127647311704</v>
      </c>
      <c r="AN1121">
        <v>1.00000001964006</v>
      </c>
    </row>
    <row r="1122" spans="1:40" x14ac:dyDescent="0.25">
      <c r="A1122" t="str">
        <f>"20190304155343147"</f>
        <v>20190304155343147</v>
      </c>
      <c r="B1122" t="str">
        <f>"1551686023137569"</f>
        <v>1551686023137569</v>
      </c>
      <c r="C1122" t="s">
        <v>40</v>
      </c>
      <c r="D1122">
        <v>5.1198969999999999</v>
      </c>
      <c r="E1122">
        <v>0.62109609999999904</v>
      </c>
      <c r="F1122" t="s">
        <v>63</v>
      </c>
      <c r="G1122">
        <v>-229.4863</v>
      </c>
      <c r="H1122" s="1">
        <v>3.5113429999999999E-6</v>
      </c>
      <c r="I1122">
        <v>287.90780000000001</v>
      </c>
      <c r="J1122">
        <v>-204.852</v>
      </c>
      <c r="K1122">
        <v>1.095054</v>
      </c>
      <c r="L1122">
        <v>286.20229999999998</v>
      </c>
      <c r="M1122">
        <v>-0.93514370000000002</v>
      </c>
      <c r="N1122">
        <v>-1.5473590000000001E-2</v>
      </c>
      <c r="O1122">
        <v>-0.353931</v>
      </c>
      <c r="P1122">
        <v>-0.96105839999999998</v>
      </c>
      <c r="Q1122">
        <v>0.14393349999999999</v>
      </c>
      <c r="R1122">
        <v>-0.23590230000000001</v>
      </c>
      <c r="S1122">
        <v>-3.2111049999999999</v>
      </c>
      <c r="T1122">
        <v>-0.14107839999999999</v>
      </c>
      <c r="U1122">
        <v>0.2075806</v>
      </c>
      <c r="V1122">
        <v>0.125253</v>
      </c>
      <c r="W1122">
        <v>0.15467500000000001</v>
      </c>
      <c r="X1122">
        <v>0.97999349999999996</v>
      </c>
      <c r="Y1122">
        <v>0.4129024</v>
      </c>
      <c r="Z1122">
        <v>2.2022050000000001E-2</v>
      </c>
      <c r="AA1122">
        <v>0.91050900000000001</v>
      </c>
      <c r="AB1122">
        <v>28</v>
      </c>
      <c r="AC1122">
        <v>-24.6343</v>
      </c>
      <c r="AD1122">
        <v>-1.0950504886570001</v>
      </c>
      <c r="AE1122">
        <v>1.70550000000002</v>
      </c>
      <c r="AF1122">
        <v>10.2947179153973</v>
      </c>
      <c r="AG1122">
        <v>-1.0950504886570001</v>
      </c>
      <c r="AH1122">
        <v>22.3916286748602</v>
      </c>
      <c r="AI1122">
        <v>92.544168548465393</v>
      </c>
      <c r="AJ1122">
        <v>65.309041252711395</v>
      </c>
      <c r="AK1122">
        <v>24.669118088069801</v>
      </c>
      <c r="AL1122">
        <v>81.102051873143907</v>
      </c>
      <c r="AM1122">
        <v>82.716512891619004</v>
      </c>
      <c r="AN1122">
        <v>0.99999996483812403</v>
      </c>
    </row>
    <row r="1123" spans="1:40" x14ac:dyDescent="0.25">
      <c r="A1123" t="str">
        <f>"20190304155343169"</f>
        <v>20190304155343169</v>
      </c>
      <c r="B1123" t="str">
        <f>"1551686023157088"</f>
        <v>1551686023157088</v>
      </c>
      <c r="C1123" t="s">
        <v>40</v>
      </c>
      <c r="D1123">
        <v>5.0656439999999998</v>
      </c>
      <c r="E1123">
        <v>0.59700469999999894</v>
      </c>
      <c r="F1123" t="s">
        <v>63</v>
      </c>
      <c r="G1123">
        <v>-229.96799999999999</v>
      </c>
      <c r="H1123" s="1">
        <v>-1.7104800000000001E-6</v>
      </c>
      <c r="I1123">
        <v>288.20010000000002</v>
      </c>
      <c r="J1123">
        <v>-205.1217</v>
      </c>
      <c r="K1123">
        <v>1.09504</v>
      </c>
      <c r="L1123">
        <v>286.12090000000001</v>
      </c>
      <c r="M1123">
        <v>-0.94192989999999999</v>
      </c>
      <c r="N1123">
        <v>-1.5504540000000001E-2</v>
      </c>
      <c r="O1123">
        <v>-0.33545190000000003</v>
      </c>
      <c r="P1123">
        <v>-0.96443959999999995</v>
      </c>
      <c r="Q1123">
        <v>0.1442031</v>
      </c>
      <c r="R1123">
        <v>-0.22149949999999999</v>
      </c>
      <c r="S1123">
        <v>-3.2050779999999999</v>
      </c>
      <c r="T1123">
        <v>-0.13974120000000001</v>
      </c>
      <c r="U1123">
        <v>0.2549438</v>
      </c>
      <c r="V1123">
        <v>0.12061620000000001</v>
      </c>
      <c r="W1123">
        <v>0.15514420000000001</v>
      </c>
      <c r="X1123">
        <v>0.98050090000000001</v>
      </c>
      <c r="Y1123">
        <v>0.40848820000000002</v>
      </c>
      <c r="Z1123">
        <v>2.1235589999999999E-2</v>
      </c>
      <c r="AA1123">
        <v>0.91251649999999995</v>
      </c>
      <c r="AB1123">
        <v>28</v>
      </c>
      <c r="AC1123">
        <v>-24.8462999999999</v>
      </c>
      <c r="AD1123">
        <v>-1.0950417104799901</v>
      </c>
      <c r="AE1123">
        <v>2.0792000000000099</v>
      </c>
      <c r="AF1123">
        <v>10.274616447847301</v>
      </c>
      <c r="AG1123">
        <v>-1.0950417104799901</v>
      </c>
      <c r="AH1123">
        <v>22.6650091896745</v>
      </c>
      <c r="AI1123">
        <v>92.519608472516097</v>
      </c>
      <c r="AJ1123">
        <v>65.614022541718597</v>
      </c>
      <c r="AK1123">
        <v>24.909225220108599</v>
      </c>
      <c r="AL1123">
        <v>81.074840551300795</v>
      </c>
      <c r="AM1123">
        <v>82.987000075482499</v>
      </c>
      <c r="AN1123">
        <v>1.0000000026984399</v>
      </c>
    </row>
    <row r="1124" spans="1:40" x14ac:dyDescent="0.25">
      <c r="A1124" t="str">
        <f>"20190304155343192"</f>
        <v>20190304155343192</v>
      </c>
      <c r="B1124" t="str">
        <f>"1551686023187345"</f>
        <v>1551686023187345</v>
      </c>
      <c r="C1124" t="s">
        <v>40</v>
      </c>
      <c r="D1124">
        <v>5.0373330000000003</v>
      </c>
      <c r="E1124">
        <v>0.59212410000000004</v>
      </c>
      <c r="F1124" t="s">
        <v>63</v>
      </c>
      <c r="G1124">
        <v>-228.13509999999999</v>
      </c>
      <c r="H1124" s="1">
        <v>2.7923240000000002E-6</v>
      </c>
      <c r="I1124">
        <v>286.97039999999998</v>
      </c>
      <c r="J1124">
        <v>-205.40940000000001</v>
      </c>
      <c r="K1124">
        <v>1.0950219999999999</v>
      </c>
      <c r="L1124">
        <v>286.04039999999998</v>
      </c>
      <c r="M1124">
        <v>-0.94874049999999999</v>
      </c>
      <c r="N1124">
        <v>-1.55352999999999E-2</v>
      </c>
      <c r="O1124">
        <v>-0.31567420000000002</v>
      </c>
      <c r="P1124">
        <v>-0.96762230000000005</v>
      </c>
      <c r="Q1124">
        <v>0.14471049999999999</v>
      </c>
      <c r="R1124">
        <v>-0.20679980000000001</v>
      </c>
      <c r="S1124">
        <v>-3.1598660000000001</v>
      </c>
      <c r="T1124">
        <v>-0.1503545</v>
      </c>
      <c r="U1124">
        <v>0.1166382</v>
      </c>
      <c r="V1124">
        <v>0.11501450000000001</v>
      </c>
      <c r="W1124">
        <v>0.1558899</v>
      </c>
      <c r="X1124">
        <v>0.98105560000000003</v>
      </c>
      <c r="Y1124">
        <v>0.34982259999999998</v>
      </c>
      <c r="Z1124">
        <v>2.090943E-2</v>
      </c>
      <c r="AA1124">
        <v>0.93658260000000004</v>
      </c>
      <c r="AB1124">
        <v>28</v>
      </c>
      <c r="AC1124">
        <v>-22.7256999999999</v>
      </c>
      <c r="AD1124">
        <v>-1.0950192076759999</v>
      </c>
      <c r="AE1124">
        <v>0.93000000000000604</v>
      </c>
      <c r="AF1124">
        <v>8.0385857417616204</v>
      </c>
      <c r="AG1124">
        <v>-1.0950192076759999</v>
      </c>
      <c r="AH1124">
        <v>21.2205951295605</v>
      </c>
      <c r="AI1124">
        <v>92.762691884057304</v>
      </c>
      <c r="AJ1124">
        <v>69.252782744129604</v>
      </c>
      <c r="AK1124">
        <v>22.718529561693899</v>
      </c>
      <c r="AL1124">
        <v>81.031589219475507</v>
      </c>
      <c r="AM1124">
        <v>83.313425489154497</v>
      </c>
      <c r="AN1124">
        <v>1.0000000432117999</v>
      </c>
    </row>
    <row r="1125" spans="1:40" x14ac:dyDescent="0.25">
      <c r="A1125" t="str">
        <f>"20190304155343222"</f>
        <v>20190304155343222</v>
      </c>
      <c r="B1125" t="str">
        <f>"1551686023217131"</f>
        <v>1551686023217131</v>
      </c>
      <c r="C1125" t="s">
        <v>40</v>
      </c>
      <c r="D1125">
        <v>5.1154580000000003</v>
      </c>
      <c r="E1125">
        <v>0.59263239999999995</v>
      </c>
      <c r="F1125" t="s">
        <v>63</v>
      </c>
      <c r="G1125">
        <v>-227.47710000000001</v>
      </c>
      <c r="H1125" s="1">
        <v>2.4421580000000002E-6</v>
      </c>
      <c r="I1125">
        <v>286.92750000000001</v>
      </c>
      <c r="J1125">
        <v>-205.7817</v>
      </c>
      <c r="K1125">
        <v>1.095</v>
      </c>
      <c r="L1125">
        <v>285.94529999999997</v>
      </c>
      <c r="M1125">
        <v>-0.95690560000000002</v>
      </c>
      <c r="N1125">
        <v>-1.5570229999999999E-2</v>
      </c>
      <c r="O1125">
        <v>-0.2899815</v>
      </c>
      <c r="P1125">
        <v>-0.97088030000000003</v>
      </c>
      <c r="Q1125">
        <v>0.144481</v>
      </c>
      <c r="R1125">
        <v>-0.1910945</v>
      </c>
      <c r="S1125">
        <v>-3.1508180000000001</v>
      </c>
      <c r="T1125">
        <v>-0.1563464</v>
      </c>
      <c r="U1125">
        <v>0.12664790000000001</v>
      </c>
      <c r="V1125">
        <v>0.1044437</v>
      </c>
      <c r="W1125">
        <v>0.15609379999999901</v>
      </c>
      <c r="X1125">
        <v>0.98220479999999999</v>
      </c>
      <c r="Y1125">
        <v>0.32753149999999998</v>
      </c>
      <c r="Z1125">
        <v>2.0353980000000001E-2</v>
      </c>
      <c r="AA1125">
        <v>0.94462100000000004</v>
      </c>
      <c r="AB1125">
        <v>28</v>
      </c>
      <c r="AC1125">
        <v>-21.695399999999999</v>
      </c>
      <c r="AD1125">
        <v>-1.0949975578419999</v>
      </c>
      <c r="AE1125">
        <v>0.98220000000003405</v>
      </c>
      <c r="AF1125">
        <v>7.2136756264711197</v>
      </c>
      <c r="AG1125">
        <v>-1.0949975578419999</v>
      </c>
      <c r="AH1125">
        <v>20.426185547771301</v>
      </c>
      <c r="AI1125">
        <v>92.893721158430694</v>
      </c>
      <c r="AJ1125">
        <v>70.548906996693304</v>
      </c>
      <c r="AK1125">
        <v>21.690209582380799</v>
      </c>
      <c r="AL1125">
        <v>81.019761568202398</v>
      </c>
      <c r="AM1125">
        <v>83.930206874851905</v>
      </c>
      <c r="AN1125">
        <v>1.0000000150055799</v>
      </c>
    </row>
    <row r="1126" spans="1:40" x14ac:dyDescent="0.25">
      <c r="A1126" t="str">
        <f>"20190304155343246"</f>
        <v>20190304155343246</v>
      </c>
      <c r="B1126" t="str">
        <f>"1551686023237628"</f>
        <v>1551686023237628</v>
      </c>
      <c r="C1126" t="s">
        <v>40</v>
      </c>
      <c r="D1126">
        <v>5.1151600000000004</v>
      </c>
      <c r="E1126">
        <v>0.58907030000000005</v>
      </c>
      <c r="F1126" t="s">
        <v>63</v>
      </c>
      <c r="G1126">
        <v>-234.8477</v>
      </c>
      <c r="H1126" s="1">
        <v>9.1259719999999996E-7</v>
      </c>
      <c r="I1126">
        <v>287.59730000000002</v>
      </c>
      <c r="J1126">
        <v>-206.07490000000001</v>
      </c>
      <c r="K1126">
        <v>1.094997</v>
      </c>
      <c r="L1126">
        <v>285.87869999999998</v>
      </c>
      <c r="M1126">
        <v>-0.96281830000000002</v>
      </c>
      <c r="N1126">
        <v>-1.559259E-2</v>
      </c>
      <c r="O1126">
        <v>-0.26969979999999999</v>
      </c>
      <c r="P1126">
        <v>-0.97339960000000003</v>
      </c>
      <c r="Q1126">
        <v>0.14393059999999999</v>
      </c>
      <c r="R1126">
        <v>-0.1782629</v>
      </c>
      <c r="S1126">
        <v>-3.142776</v>
      </c>
      <c r="T1126">
        <v>-0.1183975</v>
      </c>
      <c r="U1126">
        <v>0.17861939999999901</v>
      </c>
      <c r="V1126">
        <v>9.6643989999999999E-2</v>
      </c>
      <c r="W1126">
        <v>0.15586120000000001</v>
      </c>
      <c r="X1126">
        <v>0.98303980000000002</v>
      </c>
      <c r="Y1126">
        <v>0.32355299999999998</v>
      </c>
      <c r="Z1126">
        <v>1.445277E-2</v>
      </c>
      <c r="AA1126">
        <v>0.94609960000000004</v>
      </c>
      <c r="AB1126">
        <v>28</v>
      </c>
      <c r="AC1126">
        <v>-28.772799999999901</v>
      </c>
      <c r="AD1126">
        <v>-1.0949960874028</v>
      </c>
      <c r="AE1126">
        <v>1.7186000000000301</v>
      </c>
      <c r="AF1126">
        <v>9.4022927411565398</v>
      </c>
      <c r="AG1126">
        <v>-1.0949960874028</v>
      </c>
      <c r="AH1126">
        <v>27.203522663257999</v>
      </c>
      <c r="AI1126">
        <v>92.178696089998695</v>
      </c>
      <c r="AJ1126">
        <v>70.933429341352493</v>
      </c>
      <c r="AK1126">
        <v>28.803363874940398</v>
      </c>
      <c r="AL1126">
        <v>81.033253669493504</v>
      </c>
      <c r="AM1126">
        <v>84.385216200750307</v>
      </c>
      <c r="AN1126">
        <v>1.0000000114262999</v>
      </c>
    </row>
    <row r="1127" spans="1:40" x14ac:dyDescent="0.25">
      <c r="A1127" t="str">
        <f>"20190304155343266"</f>
        <v>20190304155343266</v>
      </c>
      <c r="B1127" t="str">
        <f>"1551686023257148"</f>
        <v>1551686023257148</v>
      </c>
      <c r="C1127" t="s">
        <v>40</v>
      </c>
      <c r="D1127">
        <v>5.0493209999999999</v>
      </c>
      <c r="E1127">
        <v>0.58618700000000001</v>
      </c>
      <c r="F1127" t="s">
        <v>63</v>
      </c>
      <c r="G1127">
        <v>-230.99520000000001</v>
      </c>
      <c r="H1127" s="1">
        <v>-1.129495E-6</v>
      </c>
      <c r="I1127">
        <v>287.41460000000001</v>
      </c>
      <c r="J1127">
        <v>-206.3381</v>
      </c>
      <c r="K1127">
        <v>1.094997</v>
      </c>
      <c r="L1127">
        <v>285.82409999999999</v>
      </c>
      <c r="M1127">
        <v>-0.96774420000000005</v>
      </c>
      <c r="N1127">
        <v>-1.5609120000000001E-2</v>
      </c>
      <c r="O1127">
        <v>-0.25145070000000003</v>
      </c>
      <c r="P1127">
        <v>-0.97508309999999998</v>
      </c>
      <c r="Q1127">
        <v>0.1453431</v>
      </c>
      <c r="R1127">
        <v>-0.16759660000000001</v>
      </c>
      <c r="S1127">
        <v>-3.1378020000000002</v>
      </c>
      <c r="T1127">
        <v>-0.13787469999999999</v>
      </c>
      <c r="U1127">
        <v>0.1933899</v>
      </c>
      <c r="V1127">
        <v>8.880441E-2</v>
      </c>
      <c r="W1127">
        <v>0.1575839</v>
      </c>
      <c r="X1127">
        <v>0.9835045</v>
      </c>
      <c r="Y1127">
        <v>0.31004290000000001</v>
      </c>
      <c r="Z1127">
        <v>1.6245229999999999E-2</v>
      </c>
      <c r="AA1127">
        <v>0.95058379999999998</v>
      </c>
      <c r="AB1127">
        <v>28</v>
      </c>
      <c r="AC1127">
        <v>-24.6571</v>
      </c>
      <c r="AD1127">
        <v>-1.094998129495</v>
      </c>
      <c r="AE1127">
        <v>1.59050000000002</v>
      </c>
      <c r="AF1127">
        <v>7.7250135819611998</v>
      </c>
      <c r="AG1127">
        <v>-1.094998129495</v>
      </c>
      <c r="AH1127">
        <v>23.4186985154025</v>
      </c>
      <c r="AI1127">
        <v>92.542490218250293</v>
      </c>
      <c r="AJ1127">
        <v>71.744075514679594</v>
      </c>
      <c r="AK1127">
        <v>24.684211470095502</v>
      </c>
      <c r="AL1127">
        <v>80.933315188268907</v>
      </c>
      <c r="AM1127">
        <v>84.840534667417401</v>
      </c>
      <c r="AN1127">
        <v>1.00000000514745</v>
      </c>
    </row>
    <row r="1128" spans="1:40" x14ac:dyDescent="0.25">
      <c r="A1128" t="str">
        <f>"20190304155343290"</f>
        <v>20190304155343290</v>
      </c>
      <c r="B1128" t="str">
        <f>"1551686023287404"</f>
        <v>1551686023287404</v>
      </c>
      <c r="C1128" t="s">
        <v>40</v>
      </c>
      <c r="D1128">
        <v>5.1281850000000002</v>
      </c>
      <c r="E1128">
        <v>0.58177519999999905</v>
      </c>
      <c r="F1128" t="s">
        <v>63</v>
      </c>
      <c r="G1128">
        <v>-230.08920000000001</v>
      </c>
      <c r="H1128" s="1">
        <v>-1.610488E-6</v>
      </c>
      <c r="I1128">
        <v>287.3879</v>
      </c>
      <c r="J1128">
        <v>-206.625</v>
      </c>
      <c r="K1128">
        <v>1.095019</v>
      </c>
      <c r="L1128">
        <v>285.7706</v>
      </c>
      <c r="M1128">
        <v>-0.97269890000000003</v>
      </c>
      <c r="N1128">
        <v>-1.562271E-2</v>
      </c>
      <c r="O1128">
        <v>-0.23154430000000001</v>
      </c>
      <c r="P1128">
        <v>-0.97701660000000001</v>
      </c>
      <c r="Q1128">
        <v>0.14715449999999999</v>
      </c>
      <c r="R1128">
        <v>-0.15422139999999901</v>
      </c>
      <c r="S1128">
        <v>-3.1336819999999999</v>
      </c>
      <c r="T1128">
        <v>-0.14447260000000001</v>
      </c>
      <c r="U1128">
        <v>0.20632929999999999</v>
      </c>
      <c r="V1128">
        <v>8.2088240000000007E-2</v>
      </c>
      <c r="W1128">
        <v>0.15966060000000001</v>
      </c>
      <c r="X1128">
        <v>0.98375299999999999</v>
      </c>
      <c r="Y1128">
        <v>0.29446519999999998</v>
      </c>
      <c r="Z1128">
        <v>1.60556E-2</v>
      </c>
      <c r="AA1128">
        <v>0.95552729999999997</v>
      </c>
      <c r="AB1128">
        <v>28</v>
      </c>
      <c r="AC1128">
        <v>-23.464200000000002</v>
      </c>
      <c r="AD1128">
        <v>-1.095020610488</v>
      </c>
      <c r="AE1128">
        <v>1.6173</v>
      </c>
      <c r="AF1128">
        <v>6.9918475326392802</v>
      </c>
      <c r="AG1128">
        <v>-1.095020610488</v>
      </c>
      <c r="AH1128">
        <v>22.403304298592101</v>
      </c>
      <c r="AI1128">
        <v>92.671378838618296</v>
      </c>
      <c r="AJ1128">
        <v>72.667378474742605</v>
      </c>
      <c r="AK1128">
        <v>23.494532248001502</v>
      </c>
      <c r="AL1128">
        <v>80.812802986855502</v>
      </c>
      <c r="AM1128">
        <v>85.230063985201895</v>
      </c>
      <c r="AN1128">
        <v>0.99999997567382803</v>
      </c>
    </row>
    <row r="1129" spans="1:40" x14ac:dyDescent="0.25">
      <c r="A1129" t="str">
        <f>"20190304155343311"</f>
        <v>20190304155343311</v>
      </c>
      <c r="B1129" t="str">
        <f>"1551686023307431"</f>
        <v>1551686023307431</v>
      </c>
      <c r="C1129" t="s">
        <v>40</v>
      </c>
      <c r="D1129">
        <v>5.0530019999999896</v>
      </c>
      <c r="E1129">
        <v>0.58028190000000002</v>
      </c>
      <c r="F1129" t="s">
        <v>63</v>
      </c>
      <c r="G1129">
        <v>-228.6979</v>
      </c>
      <c r="H1129" s="1">
        <v>3.09181E-6</v>
      </c>
      <c r="I1129">
        <v>287.29969999999997</v>
      </c>
      <c r="J1129">
        <v>-206.89879999999999</v>
      </c>
      <c r="K1129">
        <v>1.095045</v>
      </c>
      <c r="L1129">
        <v>285.7251</v>
      </c>
      <c r="M1129">
        <v>-0.97702880000000003</v>
      </c>
      <c r="N1129">
        <v>-1.563055E-2</v>
      </c>
      <c r="O1129">
        <v>-0.21253320000000001</v>
      </c>
      <c r="P1129">
        <v>-0.97886870000000004</v>
      </c>
      <c r="Q1129">
        <v>0.14783760000000001</v>
      </c>
      <c r="R1129">
        <v>-0.14128160000000001</v>
      </c>
      <c r="S1129">
        <v>-3.1281590000000001</v>
      </c>
      <c r="T1129">
        <v>-0.15518460000000001</v>
      </c>
      <c r="U1129">
        <v>0.21670529999999999</v>
      </c>
      <c r="V1129">
        <v>7.590363E-2</v>
      </c>
      <c r="W1129">
        <v>0.16058599999999901</v>
      </c>
      <c r="X1129">
        <v>0.98409899999999995</v>
      </c>
      <c r="Y1129">
        <v>0.2790125</v>
      </c>
      <c r="Z1129">
        <v>1.6246400000000001E-2</v>
      </c>
      <c r="AA1129">
        <v>0.96014999999999995</v>
      </c>
      <c r="AB1129">
        <v>28</v>
      </c>
      <c r="AC1129">
        <v>-21.799099999999999</v>
      </c>
      <c r="AD1129">
        <v>-1.09504190818999</v>
      </c>
      <c r="AE1129">
        <v>1.57459999999997</v>
      </c>
      <c r="AF1129">
        <v>6.1567609348385597</v>
      </c>
      <c r="AG1129">
        <v>-1.09504190818999</v>
      </c>
      <c r="AH1129">
        <v>20.9137559388626</v>
      </c>
      <c r="AI1129">
        <v>92.875469704310603</v>
      </c>
      <c r="AJ1129">
        <v>73.596198489645602</v>
      </c>
      <c r="AK1129">
        <v>21.828651114069199</v>
      </c>
      <c r="AL1129">
        <v>80.759088926293998</v>
      </c>
      <c r="AM1129">
        <v>85.589504462345005</v>
      </c>
      <c r="AN1129">
        <v>1.00000003312208</v>
      </c>
    </row>
    <row r="1130" spans="1:40" x14ac:dyDescent="0.25">
      <c r="A1130" t="str">
        <f>"20190304155343333"</f>
        <v>20190304155343333</v>
      </c>
      <c r="B1130" t="str">
        <f>"1551686023326949"</f>
        <v>1551686023326949</v>
      </c>
      <c r="C1130" t="s">
        <v>40</v>
      </c>
      <c r="D1130">
        <v>5.0519040000000004</v>
      </c>
      <c r="E1130">
        <v>0.57861909999999905</v>
      </c>
      <c r="F1130" t="s">
        <v>63</v>
      </c>
      <c r="G1130">
        <v>-227.97200000000001</v>
      </c>
      <c r="H1130" s="1">
        <v>2.7055319999999998E-6</v>
      </c>
      <c r="I1130">
        <v>287.39060000000001</v>
      </c>
      <c r="J1130">
        <v>-207.17769999999999</v>
      </c>
      <c r="K1130">
        <v>1.095086</v>
      </c>
      <c r="L1130">
        <v>285.68430000000001</v>
      </c>
      <c r="M1130">
        <v>-0.98103549999999995</v>
      </c>
      <c r="N1130">
        <v>-1.5631599999999999E-2</v>
      </c>
      <c r="O1130">
        <v>-0.1931968</v>
      </c>
      <c r="P1130">
        <v>-0.9808057</v>
      </c>
      <c r="Q1130">
        <v>0.14783270000000001</v>
      </c>
      <c r="R1130">
        <v>-0.12714449999999999</v>
      </c>
      <c r="S1130">
        <v>-3.1249389999999999</v>
      </c>
      <c r="T1130">
        <v>-0.16238339999999901</v>
      </c>
      <c r="U1130">
        <v>0.2469788</v>
      </c>
      <c r="V1130">
        <v>7.0641510000000005E-2</v>
      </c>
      <c r="W1130">
        <v>0.1607846</v>
      </c>
      <c r="X1130">
        <v>0.98445830000000001</v>
      </c>
      <c r="Y1130">
        <v>0.26932840000000002</v>
      </c>
      <c r="Z1130">
        <v>1.6058030000000001E-2</v>
      </c>
      <c r="AA1130">
        <v>0.96291450000000001</v>
      </c>
      <c r="AB1130">
        <v>28</v>
      </c>
      <c r="AC1130">
        <v>-20.7943</v>
      </c>
      <c r="AD1130">
        <v>-1.095083294468</v>
      </c>
      <c r="AE1130">
        <v>1.7062999999999899</v>
      </c>
      <c r="AF1130">
        <v>5.6763911748773799</v>
      </c>
      <c r="AG1130">
        <v>-1.095083294468</v>
      </c>
      <c r="AH1130">
        <v>20.017602629833501</v>
      </c>
      <c r="AI1130">
        <v>93.012745990877605</v>
      </c>
      <c r="AJ1130">
        <v>74.1682555709491</v>
      </c>
      <c r="AK1130">
        <v>20.835667477620401</v>
      </c>
      <c r="AL1130">
        <v>80.747560124106499</v>
      </c>
      <c r="AM1130">
        <v>85.895676906976306</v>
      </c>
      <c r="AN1130">
        <v>1.0000000274855601</v>
      </c>
    </row>
    <row r="1131" spans="1:40" x14ac:dyDescent="0.25">
      <c r="A1131" t="str">
        <f>"20190304155343357"</f>
        <v>20190304155343357</v>
      </c>
      <c r="B1131" t="str">
        <f>"1551686023347445"</f>
        <v>1551686023347445</v>
      </c>
      <c r="C1131" t="s">
        <v>40</v>
      </c>
      <c r="D1131">
        <v>5.0054949999999998</v>
      </c>
      <c r="E1131">
        <v>0.57725930000000003</v>
      </c>
      <c r="F1131" t="s">
        <v>63</v>
      </c>
      <c r="G1131">
        <v>-227.69499999999999</v>
      </c>
      <c r="H1131" s="1">
        <v>2.5581149999999999E-6</v>
      </c>
      <c r="I1131">
        <v>287.5224</v>
      </c>
      <c r="J1131">
        <v>-207.46530000000001</v>
      </c>
      <c r="K1131">
        <v>1.0951470000000001</v>
      </c>
      <c r="L1131">
        <v>285.64800000000002</v>
      </c>
      <c r="M1131">
        <v>-0.98474260000000002</v>
      </c>
      <c r="N1131">
        <v>-1.562378E-2</v>
      </c>
      <c r="O1131">
        <v>-0.17331389999999999</v>
      </c>
      <c r="P1131">
        <v>-0.98252159999999999</v>
      </c>
      <c r="Q1131">
        <v>0.1486045</v>
      </c>
      <c r="R1131">
        <v>-0.11210589999999999</v>
      </c>
      <c r="S1131">
        <v>-3.1200410000000001</v>
      </c>
      <c r="T1131">
        <v>-0.16652800000000001</v>
      </c>
      <c r="U1131">
        <v>0.2795105</v>
      </c>
      <c r="V1131">
        <v>6.5782579999999993E-2</v>
      </c>
      <c r="W1131">
        <v>0.16173709999999999</v>
      </c>
      <c r="X1131">
        <v>0.98463889999999998</v>
      </c>
      <c r="Y1131">
        <v>0.25992399999999999</v>
      </c>
      <c r="Z1131">
        <v>1.545614E-2</v>
      </c>
      <c r="AA1131">
        <v>0.96550539999999996</v>
      </c>
      <c r="AB1131">
        <v>28</v>
      </c>
      <c r="AC1131">
        <v>-20.229699999999902</v>
      </c>
      <c r="AD1131">
        <v>-1.09514444188499</v>
      </c>
      <c r="AE1131">
        <v>1.87440000000003</v>
      </c>
      <c r="AF1131">
        <v>5.3370357494796199</v>
      </c>
      <c r="AG1131">
        <v>-1.09514444188499</v>
      </c>
      <c r="AH1131">
        <v>19.541799267118499</v>
      </c>
      <c r="AI1131">
        <v>93.094467048871294</v>
      </c>
      <c r="AJ1131">
        <v>74.724541104139405</v>
      </c>
      <c r="AK1131">
        <v>20.287070033303699</v>
      </c>
      <c r="AL1131">
        <v>80.692261888762303</v>
      </c>
      <c r="AM1131">
        <v>86.177815512306395</v>
      </c>
      <c r="AN1131">
        <v>1.0000000003705301</v>
      </c>
    </row>
    <row r="1132" spans="1:40" x14ac:dyDescent="0.25">
      <c r="A1132" t="str">
        <f>"20190304155343380"</f>
        <v>20190304155343380</v>
      </c>
      <c r="B1132" t="str">
        <f>"1551686023377702"</f>
        <v>1551686023377702</v>
      </c>
      <c r="C1132" t="s">
        <v>40</v>
      </c>
      <c r="D1132">
        <v>4.9868930000000002</v>
      </c>
      <c r="E1132">
        <v>0.57564879999999996</v>
      </c>
      <c r="F1132" t="s">
        <v>63</v>
      </c>
      <c r="G1132">
        <v>-228.01609999999999</v>
      </c>
      <c r="H1132" s="1">
        <v>2.7289799999999902E-6</v>
      </c>
      <c r="I1132">
        <v>287.7423</v>
      </c>
      <c r="J1132">
        <v>-207.7628</v>
      </c>
      <c r="K1132">
        <v>1.0952360000000001</v>
      </c>
      <c r="L1132">
        <v>285.6164</v>
      </c>
      <c r="M1132">
        <v>-0.98812549999999999</v>
      </c>
      <c r="N1132">
        <v>-1.560458E-2</v>
      </c>
      <c r="O1132">
        <v>-0.152854399999999</v>
      </c>
      <c r="P1132">
        <v>-0.98403680000000004</v>
      </c>
      <c r="Q1132">
        <v>0.14882870000000001</v>
      </c>
      <c r="R1132">
        <v>-9.7577720000000007E-2</v>
      </c>
      <c r="S1132">
        <v>-3.1147</v>
      </c>
      <c r="T1132">
        <v>-0.1659813</v>
      </c>
      <c r="U1132">
        <v>0.31741329999999901</v>
      </c>
      <c r="V1132">
        <v>5.986329E-2</v>
      </c>
      <c r="W1132">
        <v>0.16217319999999999</v>
      </c>
      <c r="X1132">
        <v>0.98494479999999995</v>
      </c>
      <c r="Y1132">
        <v>0.25171130000000003</v>
      </c>
      <c r="Z1132">
        <v>1.438585E-2</v>
      </c>
      <c r="AA1132">
        <v>0.96769550000000004</v>
      </c>
      <c r="AB1132">
        <v>28</v>
      </c>
      <c r="AC1132">
        <v>-20.253299999999999</v>
      </c>
      <c r="AD1132">
        <v>-1.0952332710199999</v>
      </c>
      <c r="AE1132">
        <v>2.1259000000000001</v>
      </c>
      <c r="AF1132">
        <v>5.1821059998810801</v>
      </c>
      <c r="AG1132">
        <v>-1.0952332710199999</v>
      </c>
      <c r="AH1132">
        <v>19.6334583299559</v>
      </c>
      <c r="AI1132">
        <v>93.0873637730014</v>
      </c>
      <c r="AJ1132">
        <v>75.214397032582497</v>
      </c>
      <c r="AK1132">
        <v>20.3353496283213</v>
      </c>
      <c r="AL1132">
        <v>80.666941002185695</v>
      </c>
      <c r="AM1132">
        <v>86.5219372407349</v>
      </c>
      <c r="AN1132">
        <v>1.00000000966745</v>
      </c>
    </row>
    <row r="1133" spans="1:40" x14ac:dyDescent="0.25">
      <c r="A1133" t="str">
        <f>"20190304155343403"</f>
        <v>20190304155343403</v>
      </c>
      <c r="B1133" t="str">
        <f>"1551686023397727"</f>
        <v>1551686023397727</v>
      </c>
      <c r="C1133" t="s">
        <v>40</v>
      </c>
      <c r="D1133">
        <v>4.7160250000000001</v>
      </c>
      <c r="E1133">
        <v>0.57597379999999998</v>
      </c>
      <c r="F1133" t="s">
        <v>63</v>
      </c>
      <c r="G1133">
        <v>-228.26609999999999</v>
      </c>
      <c r="H1133" s="1">
        <v>2.8620420000000002E-6</v>
      </c>
      <c r="I1133">
        <v>287.93079999999998</v>
      </c>
      <c r="J1133">
        <v>-208.0549</v>
      </c>
      <c r="K1133">
        <v>1.095372</v>
      </c>
      <c r="L1133">
        <v>285.5915</v>
      </c>
      <c r="M1133">
        <v>-0.99100239999999995</v>
      </c>
      <c r="N1133">
        <v>-1.557126E-2</v>
      </c>
      <c r="O1133">
        <v>-0.13293569999999999</v>
      </c>
      <c r="P1133">
        <v>-0.98538400000000004</v>
      </c>
      <c r="Q1133">
        <v>0.14832049999999999</v>
      </c>
      <c r="R1133">
        <v>-8.3781129999999995E-2</v>
      </c>
      <c r="S1133">
        <v>-3.1085660000000002</v>
      </c>
      <c r="T1133">
        <v>-0.166050799999999</v>
      </c>
      <c r="U1133">
        <v>0.35089110000000001</v>
      </c>
      <c r="V1133">
        <v>5.3765710000000001E-2</v>
      </c>
      <c r="W1133">
        <v>0.16187260000000001</v>
      </c>
      <c r="X1133">
        <v>0.9853459</v>
      </c>
      <c r="Y1133">
        <v>0.24274660000000001</v>
      </c>
      <c r="Z1133">
        <v>1.33639E-2</v>
      </c>
      <c r="AA1133">
        <v>0.96999769999999996</v>
      </c>
      <c r="AB1133">
        <v>28</v>
      </c>
      <c r="AC1133">
        <v>-20.211199999999899</v>
      </c>
      <c r="AD1133">
        <v>-1.0953691379579999</v>
      </c>
      <c r="AE1133">
        <v>2.3392999999999802</v>
      </c>
      <c r="AF1133">
        <v>4.9911820992946199</v>
      </c>
      <c r="AG1133">
        <v>-1.0953691379579999</v>
      </c>
      <c r="AH1133">
        <v>19.6637676116382</v>
      </c>
      <c r="AI1133">
        <v>93.090557332575003</v>
      </c>
      <c r="AJ1133">
        <v>75.757606132324796</v>
      </c>
      <c r="AK1133">
        <v>20.316876949502301</v>
      </c>
      <c r="AL1133">
        <v>80.684394793047105</v>
      </c>
      <c r="AM1133">
        <v>86.8767349606171</v>
      </c>
      <c r="AN1133">
        <v>1.0000000164246801</v>
      </c>
    </row>
    <row r="1134" spans="1:40" x14ac:dyDescent="0.25">
      <c r="A1134" t="str">
        <f>"20190304155343423"</f>
        <v>20190304155343423</v>
      </c>
      <c r="B1134" t="str">
        <f>"1551686023417248"</f>
        <v>1551686023417248</v>
      </c>
      <c r="C1134" t="s">
        <v>40</v>
      </c>
      <c r="D1134">
        <v>4.7118010000000004</v>
      </c>
      <c r="E1134">
        <v>0.59239799999999998</v>
      </c>
      <c r="F1134" t="s">
        <v>63</v>
      </c>
      <c r="G1134">
        <v>-229.26050000000001</v>
      </c>
      <c r="H1134" s="1">
        <v>3.3912089999999999E-6</v>
      </c>
      <c r="I1134">
        <v>288.29910000000001</v>
      </c>
      <c r="J1134">
        <v>-208.3091</v>
      </c>
      <c r="K1134">
        <v>1.0955280000000001</v>
      </c>
      <c r="L1134">
        <v>285.5745</v>
      </c>
      <c r="M1134">
        <v>-0.99315149999999996</v>
      </c>
      <c r="N1134">
        <v>-1.5529650000000001E-2</v>
      </c>
      <c r="O1134">
        <v>-0.115796</v>
      </c>
      <c r="P1134">
        <v>-0.98624579999999995</v>
      </c>
      <c r="Q1134">
        <v>0.14828659999999999</v>
      </c>
      <c r="R1134">
        <v>-7.3007879999999997E-2</v>
      </c>
      <c r="S1134">
        <v>-3.1022949999999998</v>
      </c>
      <c r="T1134">
        <v>-0.160248</v>
      </c>
      <c r="U1134">
        <v>0.39611819999999998</v>
      </c>
      <c r="V1134">
        <v>4.7437010000000002E-2</v>
      </c>
      <c r="W1134">
        <v>0.16204289999999999</v>
      </c>
      <c r="X1134">
        <v>0.98564289999999999</v>
      </c>
      <c r="Y1134">
        <v>0.24019599999999999</v>
      </c>
      <c r="Z1134">
        <v>1.221304E-2</v>
      </c>
      <c r="AA1134">
        <v>0.97064760000000005</v>
      </c>
      <c r="AB1134">
        <v>28</v>
      </c>
      <c r="AC1134">
        <v>-20.9514</v>
      </c>
      <c r="AD1134">
        <v>-1.095524608791</v>
      </c>
      <c r="AE1134">
        <v>2.7246000000000001</v>
      </c>
      <c r="AF1134">
        <v>5.11888548277686</v>
      </c>
      <c r="AG1134">
        <v>-1.095524608791</v>
      </c>
      <c r="AH1134">
        <v>20.4399343485366</v>
      </c>
      <c r="AI1134">
        <v>92.976222565234906</v>
      </c>
      <c r="AJ1134">
        <v>75.940273608217396</v>
      </c>
      <c r="AK1134">
        <v>21.0996227200094</v>
      </c>
      <c r="AL1134">
        <v>80.674507082309802</v>
      </c>
      <c r="AM1134">
        <v>87.244595529875497</v>
      </c>
      <c r="AN1134">
        <v>1.00000004883927</v>
      </c>
    </row>
    <row r="1135" spans="1:40" x14ac:dyDescent="0.25">
      <c r="A1135" t="str">
        <f>"20190304155343445"</f>
        <v>20190304155343445</v>
      </c>
      <c r="B1135" t="str">
        <f>"1551686023437744"</f>
        <v>1551686023437744</v>
      </c>
      <c r="C1135" t="s">
        <v>40</v>
      </c>
      <c r="D1135">
        <v>4.7410880000000004</v>
      </c>
      <c r="E1135">
        <v>0.58921159999999995</v>
      </c>
      <c r="F1135" t="s">
        <v>64</v>
      </c>
      <c r="G1135">
        <v>-321.03539999999998</v>
      </c>
      <c r="H1135">
        <v>1.9803390000000001</v>
      </c>
      <c r="I1135">
        <v>305.61369999999999</v>
      </c>
      <c r="J1135">
        <v>-208.58799999999999</v>
      </c>
      <c r="K1135">
        <v>1.0957129999999999</v>
      </c>
      <c r="L1135">
        <v>285.56079999999997</v>
      </c>
      <c r="M1135">
        <v>-0.99514570000000002</v>
      </c>
      <c r="N1135">
        <v>-1.547304E-2</v>
      </c>
      <c r="O1135">
        <v>-9.7188930000000007E-2</v>
      </c>
      <c r="P1135">
        <v>-0.98692599999999997</v>
      </c>
      <c r="Q1135">
        <v>0.14898220000000001</v>
      </c>
      <c r="R1135">
        <v>-6.149495E-2</v>
      </c>
      <c r="S1135">
        <v>-3.0787200000000001</v>
      </c>
      <c r="T1135">
        <v>2.4167660000000001E-2</v>
      </c>
      <c r="U1135">
        <v>0.54730219999999996</v>
      </c>
      <c r="V1135">
        <v>4.0416349999999997E-2</v>
      </c>
      <c r="W1135">
        <v>0.1629486</v>
      </c>
      <c r="X1135">
        <v>0.98580639999999997</v>
      </c>
      <c r="Y1135">
        <v>0.26987919999999999</v>
      </c>
      <c r="Z1135">
        <v>-1.195127E-3</v>
      </c>
      <c r="AA1135">
        <v>0.96289340000000001</v>
      </c>
      <c r="AB1135">
        <v>28</v>
      </c>
      <c r="AC1135">
        <v>-112.4474</v>
      </c>
      <c r="AD1135">
        <v>0.88462599999999902</v>
      </c>
      <c r="AE1135">
        <v>20.052900000000001</v>
      </c>
      <c r="AF1135">
        <v>30.886043768421899</v>
      </c>
      <c r="AG1135">
        <v>0.88462599999999902</v>
      </c>
      <c r="AH1135">
        <v>109.959191884963</v>
      </c>
      <c r="AI1135">
        <v>89.556235988116498</v>
      </c>
      <c r="AJ1135">
        <v>74.310668570392494</v>
      </c>
      <c r="AK1135">
        <v>114.218011464125</v>
      </c>
      <c r="AL1135">
        <v>80.621914782005803</v>
      </c>
      <c r="AM1135">
        <v>87.652287366989995</v>
      </c>
      <c r="AN1135">
        <v>0.99999999293512098</v>
      </c>
    </row>
    <row r="1136" spans="1:40" x14ac:dyDescent="0.25">
      <c r="A1136" t="str">
        <f>"20190304155343468"</f>
        <v>20190304155343468</v>
      </c>
      <c r="B1136" t="str">
        <f>"1551686023457264"</f>
        <v>1551686023457264</v>
      </c>
      <c r="C1136" t="s">
        <v>40</v>
      </c>
      <c r="D1136">
        <v>4.7852639999999997</v>
      </c>
      <c r="E1136">
        <v>0.58632030000000002</v>
      </c>
      <c r="F1136" t="s">
        <v>64</v>
      </c>
      <c r="G1136">
        <v>-321.03539999999998</v>
      </c>
      <c r="H1136">
        <v>1.5568229999999901</v>
      </c>
      <c r="I1136">
        <v>305.98129999999998</v>
      </c>
      <c r="J1136">
        <v>-208.87620000000001</v>
      </c>
      <c r="K1136">
        <v>1.095939</v>
      </c>
      <c r="L1136">
        <v>285.55200000000002</v>
      </c>
      <c r="M1136">
        <v>-0.9968146</v>
      </c>
      <c r="N1136">
        <v>-1.5406029999999999E-2</v>
      </c>
      <c r="O1136">
        <v>-7.8252550000000004E-2</v>
      </c>
      <c r="P1136">
        <v>-0.98733919999999997</v>
      </c>
      <c r="Q1136">
        <v>0.1505502</v>
      </c>
      <c r="R1136">
        <v>-4.9963760000000003E-2</v>
      </c>
      <c r="S1136">
        <v>-3.0725859999999998</v>
      </c>
      <c r="T1136">
        <v>1.260185E-2</v>
      </c>
      <c r="U1136">
        <v>0.55798340000000002</v>
      </c>
      <c r="V1136">
        <v>3.3118729999999999E-2</v>
      </c>
      <c r="W1136">
        <v>0.1647197</v>
      </c>
      <c r="X1136">
        <v>0.9857842</v>
      </c>
      <c r="Y1136">
        <v>0.25512400000000002</v>
      </c>
      <c r="Z1136" s="1">
        <v>-5.0947069999999997E-5</v>
      </c>
      <c r="AA1136">
        <v>0.96690830000000005</v>
      </c>
      <c r="AB1136">
        <v>28</v>
      </c>
      <c r="AC1136">
        <v>-112.159199999999</v>
      </c>
      <c r="AD1136">
        <v>0.46088399999999902</v>
      </c>
      <c r="AE1136">
        <v>20.429299999999898</v>
      </c>
      <c r="AF1136">
        <v>29.143948218562201</v>
      </c>
      <c r="AG1136">
        <v>0.46088399999999902</v>
      </c>
      <c r="AH1136">
        <v>110.21455397385201</v>
      </c>
      <c r="AI1136">
        <v>89.768368976047498</v>
      </c>
      <c r="AJ1136">
        <v>75.188334806852595</v>
      </c>
      <c r="AK1136">
        <v>114.00364046592</v>
      </c>
      <c r="AL1136">
        <v>80.519047947701097</v>
      </c>
      <c r="AM1136">
        <v>88.075795899442696</v>
      </c>
      <c r="AN1136">
        <v>0.99999995940727004</v>
      </c>
    </row>
    <row r="1137" spans="1:40" x14ac:dyDescent="0.25">
      <c r="A1137" t="str">
        <f>"20190304155343491"</f>
        <v>20190304155343491</v>
      </c>
      <c r="B1137" t="str">
        <f>"1551686023487520"</f>
        <v>1551686023487520</v>
      </c>
      <c r="C1137" t="s">
        <v>40</v>
      </c>
      <c r="D1137">
        <v>4.7747159999999997</v>
      </c>
      <c r="E1137">
        <v>0.58220680000000002</v>
      </c>
      <c r="F1137" t="s">
        <v>64</v>
      </c>
      <c r="G1137">
        <v>-321.03539999999998</v>
      </c>
      <c r="H1137">
        <v>1.247223</v>
      </c>
      <c r="I1137">
        <v>306.43459999999999</v>
      </c>
      <c r="J1137">
        <v>-209.17140000000001</v>
      </c>
      <c r="K1137">
        <v>1.0962160000000001</v>
      </c>
      <c r="L1137">
        <v>285.54820000000001</v>
      </c>
      <c r="M1137">
        <v>-0.99812690000000004</v>
      </c>
      <c r="N1137">
        <v>-1.532535E-2</v>
      </c>
      <c r="O1137">
        <v>-5.9228360000000001E-2</v>
      </c>
      <c r="P1137">
        <v>-0.98771189999999998</v>
      </c>
      <c r="Q1137">
        <v>0.15148879999999901</v>
      </c>
      <c r="R1137">
        <v>-3.8427669999999997E-2</v>
      </c>
      <c r="S1137">
        <v>-3.0667110000000002</v>
      </c>
      <c r="T1137">
        <v>4.1385889999999998E-3</v>
      </c>
      <c r="U1137">
        <v>0.57098389999999999</v>
      </c>
      <c r="V1137">
        <v>2.5729889999999998E-2</v>
      </c>
      <c r="W1137">
        <v>0.16584599999999999</v>
      </c>
      <c r="X1137">
        <v>0.98581589999999997</v>
      </c>
      <c r="Y1137">
        <v>0.24094930000000001</v>
      </c>
      <c r="Z1137">
        <v>7.2246910000000003E-4</v>
      </c>
      <c r="AA1137">
        <v>0.97053739999999999</v>
      </c>
      <c r="AB1137">
        <v>28</v>
      </c>
      <c r="AC1137">
        <v>-111.863999999999</v>
      </c>
      <c r="AD1137">
        <v>0.151006999999999</v>
      </c>
      <c r="AE1137">
        <v>20.886399999999899</v>
      </c>
      <c r="AF1137">
        <v>27.475974967701099</v>
      </c>
      <c r="AG1137">
        <v>0.151006999999999</v>
      </c>
      <c r="AH1137">
        <v>110.430165237704</v>
      </c>
      <c r="AI1137">
        <v>89.923969340949</v>
      </c>
      <c r="AJ1137">
        <v>76.028021212325498</v>
      </c>
      <c r="AK1137">
        <v>113.797071130879</v>
      </c>
      <c r="AL1137">
        <v>80.4536157294595</v>
      </c>
      <c r="AM1137">
        <v>88.504914062733803</v>
      </c>
      <c r="AN1137">
        <v>0.99999995582411005</v>
      </c>
    </row>
    <row r="1138" spans="1:40" x14ac:dyDescent="0.25">
      <c r="A1138" t="str">
        <f>"20190304155343513"</f>
        <v>20190304155343513</v>
      </c>
      <c r="B1138" t="str">
        <f>"1551686023507547"</f>
        <v>1551686023507547</v>
      </c>
      <c r="C1138" t="s">
        <v>40</v>
      </c>
      <c r="D1138">
        <v>4.7576559999999999</v>
      </c>
      <c r="E1138">
        <v>0.56636660000000005</v>
      </c>
      <c r="F1138" t="s">
        <v>64</v>
      </c>
      <c r="G1138">
        <v>-321.03539999999998</v>
      </c>
      <c r="H1138">
        <v>0.67485209999999995</v>
      </c>
      <c r="I1138">
        <v>306.53550000000001</v>
      </c>
      <c r="J1138">
        <v>-209.45</v>
      </c>
      <c r="K1138">
        <v>1.096522</v>
      </c>
      <c r="L1138">
        <v>285.54930000000002</v>
      </c>
      <c r="M1138">
        <v>-0.99901300000000004</v>
      </c>
      <c r="N1138">
        <v>-1.5233129999999999E-2</v>
      </c>
      <c r="O1138">
        <v>-4.1727479999999997E-2</v>
      </c>
      <c r="P1138">
        <v>-0.98799040000000005</v>
      </c>
      <c r="Q1138">
        <v>0.15198399999999901</v>
      </c>
      <c r="R1138">
        <v>-2.7861029999999998E-2</v>
      </c>
      <c r="S1138">
        <v>-3.0614469999999998</v>
      </c>
      <c r="T1138">
        <v>-1.1529559999999999E-2</v>
      </c>
      <c r="U1138">
        <v>0.57437130000000003</v>
      </c>
      <c r="V1138">
        <v>1.8868050000000001E-2</v>
      </c>
      <c r="W1138">
        <v>0.16649159999999999</v>
      </c>
      <c r="X1138">
        <v>0.98586229999999997</v>
      </c>
      <c r="Y1138">
        <v>0.22524240000000001</v>
      </c>
      <c r="Z1138">
        <v>1.677212E-3</v>
      </c>
      <c r="AA1138">
        <v>0.97430130000000004</v>
      </c>
      <c r="AB1138">
        <v>28</v>
      </c>
      <c r="AC1138">
        <v>-111.58540000000001</v>
      </c>
      <c r="AD1138">
        <v>-0.42166989999999999</v>
      </c>
      <c r="AE1138">
        <v>20.9862</v>
      </c>
      <c r="AF1138">
        <v>25.624281373007101</v>
      </c>
      <c r="AG1138">
        <v>-0.42166989999999999</v>
      </c>
      <c r="AH1138">
        <v>110.61086151036299</v>
      </c>
      <c r="AI1138">
        <v>90.212786347174799</v>
      </c>
      <c r="AJ1138">
        <v>76.956852717724004</v>
      </c>
      <c r="AK1138">
        <v>113.540936606372</v>
      </c>
      <c r="AL1138">
        <v>80.416104151525303</v>
      </c>
      <c r="AM1138">
        <v>88.903571351757705</v>
      </c>
      <c r="AN1138">
        <v>0.99999996537132496</v>
      </c>
    </row>
    <row r="1139" spans="1:40" x14ac:dyDescent="0.25">
      <c r="A1139" t="str">
        <f>"20190304155343536"</f>
        <v>20190304155343536</v>
      </c>
      <c r="B1139" t="str">
        <f>"1551686023527068"</f>
        <v>1551686023527068</v>
      </c>
      <c r="C1139" t="s">
        <v>40</v>
      </c>
      <c r="D1139">
        <v>4.8113780000000004</v>
      </c>
      <c r="E1139">
        <v>0.56345249999999902</v>
      </c>
      <c r="F1139" t="s">
        <v>63</v>
      </c>
      <c r="G1139">
        <v>-258.40519999999998</v>
      </c>
      <c r="H1139">
        <v>8.0001009999999997E-2</v>
      </c>
      <c r="I1139">
        <v>293.29289999999997</v>
      </c>
      <c r="J1139">
        <v>-209.73920000000001</v>
      </c>
      <c r="K1139">
        <v>1.096916</v>
      </c>
      <c r="L1139">
        <v>285.55500000000001</v>
      </c>
      <c r="M1139">
        <v>-0.9995946</v>
      </c>
      <c r="N1139">
        <v>-1.5117439999999999E-2</v>
      </c>
      <c r="O1139">
        <v>-2.412454E-2</v>
      </c>
      <c r="P1139">
        <v>-0.98830879999999999</v>
      </c>
      <c r="Q1139">
        <v>0.15148639999999999</v>
      </c>
      <c r="R1139">
        <v>-1.7243629999999999E-2</v>
      </c>
      <c r="S1139">
        <v>-3.0598909999999999</v>
      </c>
      <c r="T1139">
        <v>-6.3536519999999999E-2</v>
      </c>
      <c r="U1139">
        <v>0.48400880000000002</v>
      </c>
      <c r="V1139">
        <v>1.190221E-2</v>
      </c>
      <c r="W1139">
        <v>0.166117299999999</v>
      </c>
      <c r="X1139">
        <v>0.98603419999999997</v>
      </c>
      <c r="Y1139">
        <v>0.17995510000000001</v>
      </c>
      <c r="Z1139">
        <v>3.3612160000000002E-3</v>
      </c>
      <c r="AA1139">
        <v>0.98366909999999996</v>
      </c>
      <c r="AB1139">
        <v>28</v>
      </c>
      <c r="AC1139">
        <v>-48.665999999999897</v>
      </c>
      <c r="AD1139">
        <v>-1.0169149900000001</v>
      </c>
      <c r="AE1139">
        <v>7.7378999999999598</v>
      </c>
      <c r="AF1139">
        <v>8.9060337631572608</v>
      </c>
      <c r="AG1139">
        <v>-1.0169149900000001</v>
      </c>
      <c r="AH1139">
        <v>48.444507462321901</v>
      </c>
      <c r="AI1139">
        <v>91.182723940359494</v>
      </c>
      <c r="AJ1139">
        <v>79.583063981363495</v>
      </c>
      <c r="AK1139">
        <v>49.266843381267599</v>
      </c>
      <c r="AL1139">
        <v>80.437853465674806</v>
      </c>
      <c r="AM1139">
        <v>89.308428366868796</v>
      </c>
      <c r="AN1139">
        <v>1.0000000317658999</v>
      </c>
    </row>
    <row r="1140" spans="1:40" x14ac:dyDescent="0.25">
      <c r="A1140" t="str">
        <f>"20190304155343558"</f>
        <v>20190304155343558</v>
      </c>
      <c r="B1140" t="str">
        <f>"1551686023547564"</f>
        <v>1551686023547564</v>
      </c>
      <c r="C1140" t="s">
        <v>40</v>
      </c>
      <c r="D1140">
        <v>4.7990570000000004</v>
      </c>
      <c r="E1140">
        <v>0.56110879999999996</v>
      </c>
      <c r="F1140" t="s">
        <v>63</v>
      </c>
      <c r="G1140">
        <v>-251.32210000000001</v>
      </c>
      <c r="H1140">
        <v>8.0000399999999902E-2</v>
      </c>
      <c r="I1140">
        <v>292.27839999999998</v>
      </c>
      <c r="J1140">
        <v>-210.0093</v>
      </c>
      <c r="K1140">
        <v>1.097369</v>
      </c>
      <c r="L1140">
        <v>285.56439999999998</v>
      </c>
      <c r="M1140">
        <v>-0.99985299999999999</v>
      </c>
      <c r="N1140">
        <v>-1.4990359999999999E-2</v>
      </c>
      <c r="O1140">
        <v>-8.3157860000000004E-3</v>
      </c>
      <c r="P1140">
        <v>-0.98849790000000004</v>
      </c>
      <c r="Q1140">
        <v>0.15098929999999999</v>
      </c>
      <c r="R1140">
        <v>-8.5943909999999998E-3</v>
      </c>
      <c r="S1140">
        <v>-3.0555729999999999</v>
      </c>
      <c r="T1140">
        <v>-7.4724440000000003E-2</v>
      </c>
      <c r="U1140">
        <v>0.49404910000000002</v>
      </c>
      <c r="V1140">
        <v>4.7228770000000003E-3</v>
      </c>
      <c r="W1140">
        <v>0.16572419999999999</v>
      </c>
      <c r="X1140">
        <v>0.98616079999999995</v>
      </c>
      <c r="Y1140">
        <v>0.16773959999999999</v>
      </c>
      <c r="Z1140">
        <v>3.381457E-3</v>
      </c>
      <c r="AA1140">
        <v>0.98582550000000002</v>
      </c>
      <c r="AB1140">
        <v>28</v>
      </c>
      <c r="AC1140">
        <v>-41.312800000000003</v>
      </c>
      <c r="AD1140">
        <v>-1.0173686</v>
      </c>
      <c r="AE1140">
        <v>6.7139999999999898</v>
      </c>
      <c r="AF1140">
        <v>7.0531875623541902</v>
      </c>
      <c r="AG1140">
        <v>-1.0173686</v>
      </c>
      <c r="AH1140">
        <v>41.231171951324299</v>
      </c>
      <c r="AI1140">
        <v>91.393241754336799</v>
      </c>
      <c r="AJ1140">
        <v>80.292689952694502</v>
      </c>
      <c r="AK1140">
        <v>41.842466874429</v>
      </c>
      <c r="AL1140">
        <v>80.460692415770595</v>
      </c>
      <c r="AM1140">
        <v>89.725603724612498</v>
      </c>
      <c r="AN1140">
        <v>0.99999996974471805</v>
      </c>
    </row>
    <row r="1141" spans="1:40" x14ac:dyDescent="0.25">
      <c r="A1141" t="str">
        <f>"20190304155343580"</f>
        <v>20190304155343580</v>
      </c>
      <c r="B1141" t="str">
        <f>"1551686023576843"</f>
        <v>1551686023576843</v>
      </c>
      <c r="C1141" t="s">
        <v>40</v>
      </c>
      <c r="D1141">
        <v>4.8253760000000003</v>
      </c>
      <c r="E1141">
        <v>0.55791040000000003</v>
      </c>
      <c r="F1141" t="s">
        <v>63</v>
      </c>
      <c r="G1141">
        <v>-247.0437</v>
      </c>
      <c r="H1141">
        <v>8.0000619999999995E-2</v>
      </c>
      <c r="I1141">
        <v>291.65260000000001</v>
      </c>
      <c r="J1141">
        <v>-210.3006</v>
      </c>
      <c r="K1141">
        <v>1.0979399999999999</v>
      </c>
      <c r="L1141">
        <v>285.57850000000002</v>
      </c>
      <c r="M1141">
        <v>-0.99985840000000004</v>
      </c>
      <c r="N1141">
        <v>-1.4837370000000001E-2</v>
      </c>
      <c r="O1141">
        <v>7.9592480000000004E-3</v>
      </c>
      <c r="P1141">
        <v>-0.98854589999999998</v>
      </c>
      <c r="Q1141">
        <v>0.1509172</v>
      </c>
      <c r="R1141">
        <v>1.0778610000000001E-3</v>
      </c>
      <c r="S1141">
        <v>-3.0520779999999998</v>
      </c>
      <c r="T1141">
        <v>-8.3843470000000003E-2</v>
      </c>
      <c r="U1141">
        <v>0.5017395</v>
      </c>
      <c r="V1141">
        <v>-1.931126E-3</v>
      </c>
      <c r="W1141">
        <v>0.16569600000000001</v>
      </c>
      <c r="X1141">
        <v>0.98617500000000002</v>
      </c>
      <c r="Y1141">
        <v>0.15426819999999999</v>
      </c>
      <c r="Z1141">
        <v>3.1571300000000002E-3</v>
      </c>
      <c r="AA1141">
        <v>0.98802389999999995</v>
      </c>
      <c r="AB1141">
        <v>28</v>
      </c>
      <c r="AC1141">
        <v>-36.743099999999998</v>
      </c>
      <c r="AD1141">
        <v>-1.0179393799999901</v>
      </c>
      <c r="AE1141">
        <v>6.0740999999999801</v>
      </c>
      <c r="AF1141">
        <v>5.7771118411412496</v>
      </c>
      <c r="AG1141">
        <v>-1.0179393799999901</v>
      </c>
      <c r="AH1141">
        <v>36.7628207048921</v>
      </c>
      <c r="AI1141">
        <v>91.566860000884006</v>
      </c>
      <c r="AJ1141">
        <v>81.069262124136401</v>
      </c>
      <c r="AK1141">
        <v>37.227895562151403</v>
      </c>
      <c r="AL1141">
        <v>80.462331216555498</v>
      </c>
      <c r="AM1141">
        <v>90.112196342518899</v>
      </c>
      <c r="AN1141">
        <v>1.00000001214431</v>
      </c>
    </row>
    <row r="1142" spans="1:40" x14ac:dyDescent="0.25">
      <c r="A1142" t="str">
        <f>"20190304155343603"</f>
        <v>20190304155343603</v>
      </c>
      <c r="B1142" t="str">
        <f>"1551686023597847"</f>
        <v>1551686023597847</v>
      </c>
      <c r="C1142" t="s">
        <v>40</v>
      </c>
      <c r="D1142">
        <v>4.8951379999999904</v>
      </c>
      <c r="E1142">
        <v>0.55709750000000002</v>
      </c>
      <c r="F1142" t="s">
        <v>63</v>
      </c>
      <c r="G1142">
        <v>-242.00370000000001</v>
      </c>
      <c r="H1142">
        <v>8.000061E-2</v>
      </c>
      <c r="I1142">
        <v>290.83769999999998</v>
      </c>
      <c r="J1142">
        <v>-210.5753</v>
      </c>
      <c r="K1142">
        <v>1.0985579999999999</v>
      </c>
      <c r="L1142">
        <v>285.59539999999998</v>
      </c>
      <c r="M1142">
        <v>-0.99964059999999999</v>
      </c>
      <c r="N1142">
        <v>-1.46801E-2</v>
      </c>
      <c r="O1142">
        <v>2.2431010000000001E-2</v>
      </c>
      <c r="P1142">
        <v>-0.98856719999999998</v>
      </c>
      <c r="Q1142">
        <v>0.15053069999999999</v>
      </c>
      <c r="R1142">
        <v>8.6930610000000002E-3</v>
      </c>
      <c r="S1142">
        <v>-3.0491790000000001</v>
      </c>
      <c r="T1142">
        <v>-9.79048E-2</v>
      </c>
      <c r="U1142">
        <v>0.50582890000000003</v>
      </c>
      <c r="V1142">
        <v>-8.8874249999999991E-3</v>
      </c>
      <c r="W1142">
        <v>0.1653376</v>
      </c>
      <c r="X1142">
        <v>0.98619699999999999</v>
      </c>
      <c r="Y1142">
        <v>0.1413807</v>
      </c>
      <c r="Z1142">
        <v>2.911435E-3</v>
      </c>
      <c r="AA1142">
        <v>0.98995100000000003</v>
      </c>
      <c r="AB1142">
        <v>28</v>
      </c>
      <c r="AC1142">
        <v>-31.4284</v>
      </c>
      <c r="AD1142">
        <v>-1.01855739</v>
      </c>
      <c r="AE1142">
        <v>5.2423000000000002</v>
      </c>
      <c r="AF1142">
        <v>4.5313034451710203</v>
      </c>
      <c r="AG1142">
        <v>-1.01855739</v>
      </c>
      <c r="AH1142">
        <v>31.505897588130999</v>
      </c>
      <c r="AI1142">
        <v>91.832829937176896</v>
      </c>
      <c r="AJ1142">
        <v>81.815617483741207</v>
      </c>
      <c r="AK1142">
        <v>31.846377390572101</v>
      </c>
      <c r="AL1142">
        <v>80.483153255077497</v>
      </c>
      <c r="AM1142">
        <v>90.516324992943794</v>
      </c>
      <c r="AN1142">
        <v>1.00000001555294</v>
      </c>
    </row>
    <row r="1143" spans="1:40" x14ac:dyDescent="0.25">
      <c r="A1143" t="str">
        <f>"20190304155343623"</f>
        <v>20190304155343623</v>
      </c>
      <c r="B1143" t="str">
        <f>"1551686023617366"</f>
        <v>1551686023617366</v>
      </c>
      <c r="C1143" t="s">
        <v>40</v>
      </c>
      <c r="D1143">
        <v>4.9403009999999998</v>
      </c>
      <c r="E1143">
        <v>0.54488300000000001</v>
      </c>
      <c r="F1143" t="s">
        <v>63</v>
      </c>
      <c r="G1143">
        <v>-240.63409999999999</v>
      </c>
      <c r="H1143">
        <v>8.0000210000000002E-2</v>
      </c>
      <c r="I1143">
        <v>290.74250000000001</v>
      </c>
      <c r="J1143">
        <v>-210.8389</v>
      </c>
      <c r="K1143">
        <v>1.09921</v>
      </c>
      <c r="L1143">
        <v>285.61470000000003</v>
      </c>
      <c r="M1143">
        <v>-0.99926610000000005</v>
      </c>
      <c r="N1143">
        <v>-1.452181E-2</v>
      </c>
      <c r="O1143">
        <v>3.5443189999999999E-2</v>
      </c>
      <c r="P1143">
        <v>-0.98855870000000001</v>
      </c>
      <c r="Q1143">
        <v>0.15018670000000001</v>
      </c>
      <c r="R1143">
        <v>1.4000169999999999E-2</v>
      </c>
      <c r="S1143">
        <v>-3.0458219999999998</v>
      </c>
      <c r="T1143">
        <v>-0.1032095</v>
      </c>
      <c r="U1143">
        <v>0.52154540000000005</v>
      </c>
      <c r="V1143">
        <v>-1.6722420000000002E-2</v>
      </c>
      <c r="W1143">
        <v>0.16502069999999999</v>
      </c>
      <c r="X1143">
        <v>0.98614840000000004</v>
      </c>
      <c r="Y1143">
        <v>0.13363139999999901</v>
      </c>
      <c r="Z1143">
        <v>2.5453170000000001E-3</v>
      </c>
      <c r="AA1143">
        <v>0.99102780000000001</v>
      </c>
      <c r="AB1143">
        <v>28</v>
      </c>
      <c r="AC1143">
        <v>-29.795199999999902</v>
      </c>
      <c r="AD1143">
        <v>-1.0192097899999999</v>
      </c>
      <c r="AE1143">
        <v>5.1277999999999704</v>
      </c>
      <c r="AF1143">
        <v>4.0638106999655799</v>
      </c>
      <c r="AG1143">
        <v>-1.0192097899999999</v>
      </c>
      <c r="AH1143">
        <v>29.924232280552999</v>
      </c>
      <c r="AI1143">
        <v>91.932992285901094</v>
      </c>
      <c r="AJ1143">
        <v>82.266352890147402</v>
      </c>
      <c r="AK1143">
        <v>30.216105367530002</v>
      </c>
      <c r="AL1143">
        <v>80.501563684143605</v>
      </c>
      <c r="AM1143">
        <v>90.971488945093895</v>
      </c>
      <c r="AN1143">
        <v>1.0000000687908499</v>
      </c>
    </row>
    <row r="1144" spans="1:40" x14ac:dyDescent="0.25">
      <c r="A1144" t="str">
        <f>"20190304155343646"</f>
        <v>20190304155343646</v>
      </c>
      <c r="B1144" t="str">
        <f>"1551686023636887"</f>
        <v>1551686023636887</v>
      </c>
      <c r="C1144" t="s">
        <v>40</v>
      </c>
      <c r="D1144">
        <v>4.9337770000000001</v>
      </c>
      <c r="E1144">
        <v>0.5437014</v>
      </c>
      <c r="F1144" t="s">
        <v>63</v>
      </c>
      <c r="G1144">
        <v>-236.19990000000001</v>
      </c>
      <c r="H1144" s="1">
        <v>1.5583819999999999E-6</v>
      </c>
      <c r="I1144">
        <v>289.286</v>
      </c>
      <c r="J1144">
        <v>-211.12020000000001</v>
      </c>
      <c r="K1144">
        <v>1.099872</v>
      </c>
      <c r="L1144">
        <v>285.63830000000002</v>
      </c>
      <c r="M1144">
        <v>-0.99871940000000003</v>
      </c>
      <c r="N1144">
        <v>-1.435591E-2</v>
      </c>
      <c r="O1144">
        <v>4.851308E-2</v>
      </c>
      <c r="P1144">
        <v>-0.98850099999999996</v>
      </c>
      <c r="Q1144">
        <v>0.1499344</v>
      </c>
      <c r="R1144">
        <v>1.9643020000000001E-2</v>
      </c>
      <c r="S1144">
        <v>-3.0485530000000001</v>
      </c>
      <c r="T1144">
        <v>-0.13213159999999999</v>
      </c>
      <c r="U1144">
        <v>0.4413147</v>
      </c>
      <c r="V1144">
        <v>-2.428145E-2</v>
      </c>
      <c r="W1144">
        <v>0.16475590000000001</v>
      </c>
      <c r="X1144">
        <v>0.98603549999999995</v>
      </c>
      <c r="Y1144">
        <v>9.4985529999999999E-2</v>
      </c>
      <c r="Z1144">
        <v>1.3377339999999999E-3</v>
      </c>
      <c r="AA1144">
        <v>0.99547770000000002</v>
      </c>
      <c r="AB1144">
        <v>28</v>
      </c>
      <c r="AC1144">
        <v>-25.079699999999999</v>
      </c>
      <c r="AD1144">
        <v>-1.0998704416179901</v>
      </c>
      <c r="AE1144">
        <v>3.64769999999998</v>
      </c>
      <c r="AF1144">
        <v>2.4220235769069101</v>
      </c>
      <c r="AG1144">
        <v>-1.0998704416179901</v>
      </c>
      <c r="AH1144">
        <v>25.1797191659305</v>
      </c>
      <c r="AI1144">
        <v>92.489659337044898</v>
      </c>
      <c r="AJ1144">
        <v>84.505653648055898</v>
      </c>
      <c r="AK1144">
        <v>25.319837489023701</v>
      </c>
      <c r="AL1144">
        <v>80.516945989909999</v>
      </c>
      <c r="AM1144">
        <v>91.410642407566797</v>
      </c>
      <c r="AN1144">
        <v>1.0000000513295799</v>
      </c>
    </row>
    <row r="1145" spans="1:40" x14ac:dyDescent="0.25">
      <c r="A1145" t="str">
        <f>"20190304155343668"</f>
        <v>20190304155343668</v>
      </c>
      <c r="B1145" t="str">
        <f>"1551686023657382"</f>
        <v>1551686023657382</v>
      </c>
      <c r="C1145" t="s">
        <v>40</v>
      </c>
      <c r="D1145">
        <v>4.9556769999999997</v>
      </c>
      <c r="E1145">
        <v>0.54269129999999999</v>
      </c>
      <c r="F1145" t="s">
        <v>63</v>
      </c>
      <c r="G1145">
        <v>-235.51349999999999</v>
      </c>
      <c r="H1145" s="1">
        <v>1.195767E-6</v>
      </c>
      <c r="I1145">
        <v>289.22550000000001</v>
      </c>
      <c r="J1145">
        <v>-211.3905</v>
      </c>
      <c r="K1145">
        <v>1.100481</v>
      </c>
      <c r="L1145">
        <v>285.66359999999997</v>
      </c>
      <c r="M1145">
        <v>-0.99808140000000001</v>
      </c>
      <c r="N1145">
        <v>-1.4204019999999999E-2</v>
      </c>
      <c r="O1145">
        <v>6.0265939999999997E-2</v>
      </c>
      <c r="P1145">
        <v>-0.98825439999999998</v>
      </c>
      <c r="Q1145">
        <v>0.15088550000000001</v>
      </c>
      <c r="R1145">
        <v>2.423463E-2</v>
      </c>
      <c r="S1145">
        <v>-3.0468440000000001</v>
      </c>
      <c r="T1145">
        <v>-0.1373789</v>
      </c>
      <c r="U1145">
        <v>0.44805909999999899</v>
      </c>
      <c r="V1145">
        <v>-3.1531099999999999E-2</v>
      </c>
      <c r="W1145">
        <v>0.16567999999999999</v>
      </c>
      <c r="X1145">
        <v>0.98567539999999998</v>
      </c>
      <c r="Y1145">
        <v>8.5512610000000003E-2</v>
      </c>
      <c r="Z1145">
        <v>6.8284330000000003E-4</v>
      </c>
      <c r="AA1145">
        <v>0.99633689999999997</v>
      </c>
      <c r="AB1145">
        <v>28</v>
      </c>
      <c r="AC1145">
        <v>-24.122999999999902</v>
      </c>
      <c r="AD1145">
        <v>-1.100479804233</v>
      </c>
      <c r="AE1145">
        <v>3.5619000000000298</v>
      </c>
      <c r="AF1145">
        <v>2.0972111754598601</v>
      </c>
      <c r="AG1145">
        <v>-1.100479804233</v>
      </c>
      <c r="AH1145">
        <v>24.244447489146999</v>
      </c>
      <c r="AI1145">
        <v>92.589272900913997</v>
      </c>
      <c r="AJ1145">
        <v>85.056064850145404</v>
      </c>
      <c r="AK1145">
        <v>24.359856004664898</v>
      </c>
      <c r="AL1145">
        <v>80.463261002235598</v>
      </c>
      <c r="AM1145">
        <v>91.832229038123003</v>
      </c>
      <c r="AN1145">
        <v>1.00000003341618</v>
      </c>
    </row>
    <row r="1146" spans="1:40" x14ac:dyDescent="0.25">
      <c r="A1146" t="str">
        <f>"20190304155343690"</f>
        <v>20190304155343690</v>
      </c>
      <c r="B1146" t="str">
        <f>"1551686023687638"</f>
        <v>1551686023687638</v>
      </c>
      <c r="C1146" t="s">
        <v>40</v>
      </c>
      <c r="D1146">
        <v>4.9817720000000003</v>
      </c>
      <c r="E1146">
        <v>0.54139530000000002</v>
      </c>
      <c r="F1146" t="s">
        <v>63</v>
      </c>
      <c r="G1146">
        <v>-235.93209999999999</v>
      </c>
      <c r="H1146" s="1">
        <v>1.414861E-6</v>
      </c>
      <c r="I1146">
        <v>289.30869999999999</v>
      </c>
      <c r="J1146">
        <v>-211.6721</v>
      </c>
      <c r="K1146">
        <v>1.1011120000000001</v>
      </c>
      <c r="L1146">
        <v>285.69260000000003</v>
      </c>
      <c r="M1146">
        <v>-0.99733609999999995</v>
      </c>
      <c r="N1146">
        <v>-1.4046889999999999E-2</v>
      </c>
      <c r="O1146">
        <v>7.1577059999999998E-2</v>
      </c>
      <c r="P1146">
        <v>-0.98771450000000005</v>
      </c>
      <c r="Q1146">
        <v>0.15367339999999999</v>
      </c>
      <c r="R1146">
        <v>2.8364540000000001E-2</v>
      </c>
      <c r="S1146">
        <v>-3.0454249999999998</v>
      </c>
      <c r="T1146">
        <v>-0.13656119999999999</v>
      </c>
      <c r="U1146">
        <v>0.4523315</v>
      </c>
      <c r="V1146">
        <v>-3.8758109999999998E-2</v>
      </c>
      <c r="W1146">
        <v>0.16840869999999999</v>
      </c>
      <c r="X1146">
        <v>0.98495500000000002</v>
      </c>
      <c r="Y1146">
        <v>7.5667250000000005E-2</v>
      </c>
      <c r="Z1146" s="1">
        <v>3.8506E-5</v>
      </c>
      <c r="AA1146">
        <v>0.99713309999999999</v>
      </c>
      <c r="AB1146">
        <v>28</v>
      </c>
      <c r="AC1146">
        <v>-24.259999999999899</v>
      </c>
      <c r="AD1146">
        <v>-1.101110585139</v>
      </c>
      <c r="AE1146">
        <v>3.6160999999999599</v>
      </c>
      <c r="AF1146">
        <v>1.8664308253970701</v>
      </c>
      <c r="AG1146">
        <v>-1.101110585139</v>
      </c>
      <c r="AH1146">
        <v>24.407429950037201</v>
      </c>
      <c r="AI1146">
        <v>92.575566438680994</v>
      </c>
      <c r="AJ1146">
        <v>85.627114699931596</v>
      </c>
      <c r="AK1146">
        <v>24.5034414993623</v>
      </c>
      <c r="AL1146">
        <v>80.304689774648097</v>
      </c>
      <c r="AM1146">
        <v>92.253433912459798</v>
      </c>
      <c r="AN1146">
        <v>1.0000000166757299</v>
      </c>
    </row>
    <row r="1147" spans="1:40" x14ac:dyDescent="0.25">
      <c r="A1147" t="str">
        <f>"20190304155343713"</f>
        <v>20190304155343713</v>
      </c>
      <c r="B1147" t="str">
        <f>"1551686023707158"</f>
        <v>1551686023707158</v>
      </c>
      <c r="C1147" t="s">
        <v>40</v>
      </c>
      <c r="D1147">
        <v>4.9471829999999999</v>
      </c>
      <c r="E1147">
        <v>0.54073939999999998</v>
      </c>
      <c r="F1147" t="s">
        <v>63</v>
      </c>
      <c r="G1147">
        <v>-235.83179999999999</v>
      </c>
      <c r="H1147" s="1">
        <v>1.362787E-6</v>
      </c>
      <c r="I1147">
        <v>289.27949999999998</v>
      </c>
      <c r="J1147">
        <v>-211.9512</v>
      </c>
      <c r="K1147">
        <v>1.1017790000000001</v>
      </c>
      <c r="L1147">
        <v>285.72379999999998</v>
      </c>
      <c r="M1147">
        <v>-0.99655190000000005</v>
      </c>
      <c r="N1147">
        <v>-1.3886559999999999E-2</v>
      </c>
      <c r="O1147">
        <v>8.1802819999999998E-2</v>
      </c>
      <c r="P1147">
        <v>-0.98719979999999996</v>
      </c>
      <c r="Q1147">
        <v>0.15651999999999999</v>
      </c>
      <c r="R1147">
        <v>3.0634290000000002E-2</v>
      </c>
      <c r="S1147">
        <v>-3.0459139999999998</v>
      </c>
      <c r="T1147">
        <v>-0.1388211</v>
      </c>
      <c r="U1147">
        <v>0.45220949999999999</v>
      </c>
      <c r="V1147">
        <v>-4.6787349999999998E-2</v>
      </c>
      <c r="W1147">
        <v>0.17118159999999999</v>
      </c>
      <c r="X1147">
        <v>0.98412790000000006</v>
      </c>
      <c r="Y1147">
        <v>6.5391699999999997E-2</v>
      </c>
      <c r="Z1147">
        <v>-6.2715310000000001E-4</v>
      </c>
      <c r="AA1147">
        <v>0.99785950000000001</v>
      </c>
      <c r="AB1147">
        <v>28</v>
      </c>
      <c r="AC1147">
        <v>-23.880599999999902</v>
      </c>
      <c r="AD1147">
        <v>-1.1017776372129999</v>
      </c>
      <c r="AE1147">
        <v>3.5556999999999999</v>
      </c>
      <c r="AF1147">
        <v>1.58678790279927</v>
      </c>
      <c r="AG1147">
        <v>-1.1017776372129999</v>
      </c>
      <c r="AH1147">
        <v>24.041378866826602</v>
      </c>
      <c r="AI1147">
        <v>92.618248467871695</v>
      </c>
      <c r="AJ1147">
        <v>86.223820004036099</v>
      </c>
      <c r="AK1147">
        <v>24.118866217727302</v>
      </c>
      <c r="AL1147">
        <v>80.143472724946307</v>
      </c>
      <c r="AM1147">
        <v>92.721903056707006</v>
      </c>
      <c r="AN1147">
        <v>0.999999959928495</v>
      </c>
    </row>
    <row r="1148" spans="1:40" x14ac:dyDescent="0.25">
      <c r="A1148" t="str">
        <f>"20190304155343733"</f>
        <v>20190304155343733</v>
      </c>
      <c r="B1148" t="str">
        <f>"1551686023727655"</f>
        <v>1551686023727655</v>
      </c>
      <c r="C1148" t="s">
        <v>40</v>
      </c>
      <c r="D1148">
        <v>4.9374669999999998</v>
      </c>
      <c r="E1148">
        <v>0.53691219999999995</v>
      </c>
      <c r="F1148" t="s">
        <v>63</v>
      </c>
      <c r="G1148">
        <v>-237.05940000000001</v>
      </c>
      <c r="H1148" s="1">
        <v>2.0085610000000001E-6</v>
      </c>
      <c r="I1148">
        <v>289.45</v>
      </c>
      <c r="J1148">
        <v>-212.21340000000001</v>
      </c>
      <c r="K1148">
        <v>1.1024689999999999</v>
      </c>
      <c r="L1148">
        <v>285.75479999999999</v>
      </c>
      <c r="M1148">
        <v>-0.99580290000000005</v>
      </c>
      <c r="N1148">
        <v>-1.3734349999999999E-2</v>
      </c>
      <c r="O1148">
        <v>9.0486839999999999E-2</v>
      </c>
      <c r="P1148">
        <v>-0.98682380000000003</v>
      </c>
      <c r="Q1148">
        <v>0.1587162</v>
      </c>
      <c r="R1148">
        <v>3.1436199999999997E-2</v>
      </c>
      <c r="S1148">
        <v>-3.0460509999999998</v>
      </c>
      <c r="T1148">
        <v>-0.13366459999999999</v>
      </c>
      <c r="U1148">
        <v>0.45205689999999998</v>
      </c>
      <c r="V1148">
        <v>-5.4792559999999997E-2</v>
      </c>
      <c r="W1148">
        <v>0.17328360000000001</v>
      </c>
      <c r="X1148">
        <v>0.98334659999999996</v>
      </c>
      <c r="Y1148">
        <v>5.6652050000000002E-2</v>
      </c>
      <c r="Z1148">
        <v>-1.0704829999999999E-3</v>
      </c>
      <c r="AA1148">
        <v>0.99839339999999999</v>
      </c>
      <c r="AB1148">
        <v>28</v>
      </c>
      <c r="AC1148">
        <v>-24.846</v>
      </c>
      <c r="AD1148">
        <v>-1.102466991439</v>
      </c>
      <c r="AE1148">
        <v>3.6951999999999998</v>
      </c>
      <c r="AF1148">
        <v>1.4288376129912499</v>
      </c>
      <c r="AG1148">
        <v>-1.102466991439</v>
      </c>
      <c r="AH1148">
        <v>25.030237332847999</v>
      </c>
      <c r="AI1148">
        <v>92.517892068776902</v>
      </c>
      <c r="AJ1148">
        <v>86.732847036738605</v>
      </c>
      <c r="AK1148">
        <v>25.095214510543801</v>
      </c>
      <c r="AL1148">
        <v>80.021210143276306</v>
      </c>
      <c r="AM1148">
        <v>93.189251329969295</v>
      </c>
      <c r="AN1148">
        <v>0.99999998319593597</v>
      </c>
    </row>
    <row r="1149" spans="1:40" x14ac:dyDescent="0.25">
      <c r="A1149" t="str">
        <f>"20190304155343756"</f>
        <v>20190304155343756</v>
      </c>
      <c r="B1149" t="str">
        <f>"1551686023747174"</f>
        <v>1551686023747174</v>
      </c>
      <c r="C1149" t="s">
        <v>40</v>
      </c>
      <c r="D1149">
        <v>4.9324300000000001</v>
      </c>
      <c r="E1149">
        <v>0.5402266</v>
      </c>
      <c r="F1149" t="s">
        <v>63</v>
      </c>
      <c r="G1149">
        <v>-239.35380000000001</v>
      </c>
      <c r="H1149" s="1">
        <v>3.2267369999999999E-6</v>
      </c>
      <c r="I1149">
        <v>289.5145</v>
      </c>
      <c r="J1149">
        <v>-212.50540000000001</v>
      </c>
      <c r="K1149">
        <v>1.103308</v>
      </c>
      <c r="L1149">
        <v>285.791</v>
      </c>
      <c r="M1149">
        <v>-0.99498279999999995</v>
      </c>
      <c r="N1149">
        <v>-1.3570749999999999E-2</v>
      </c>
      <c r="O1149">
        <v>9.9121440000000005E-2</v>
      </c>
      <c r="P1149">
        <v>-0.9866935</v>
      </c>
      <c r="Q1149">
        <v>0.15930949999999999</v>
      </c>
      <c r="R1149">
        <v>3.2502610000000001E-2</v>
      </c>
      <c r="S1149">
        <v>-3.0465239999999998</v>
      </c>
      <c r="T1149">
        <v>-0.123752399999999</v>
      </c>
      <c r="U1149">
        <v>0.4220276</v>
      </c>
      <c r="V1149">
        <v>-6.2603279999999997E-2</v>
      </c>
      <c r="W1149">
        <v>0.17372270000000001</v>
      </c>
      <c r="X1149">
        <v>0.98280270000000003</v>
      </c>
      <c r="Y1149">
        <v>3.8342189999999998E-2</v>
      </c>
      <c r="Z1149">
        <v>-1.615156E-3</v>
      </c>
      <c r="AA1149">
        <v>0.99926329999999997</v>
      </c>
      <c r="AB1149">
        <v>28</v>
      </c>
      <c r="AC1149">
        <v>-26.848400000000002</v>
      </c>
      <c r="AD1149">
        <v>-1.1033047732629999</v>
      </c>
      <c r="AE1149">
        <v>3.7235</v>
      </c>
      <c r="AF1149">
        <v>1.04193617443722</v>
      </c>
      <c r="AG1149">
        <v>-1.1033047732629999</v>
      </c>
      <c r="AH1149">
        <v>27.0404674174241</v>
      </c>
      <c r="AI1149">
        <v>92.334754870605593</v>
      </c>
      <c r="AJ1149">
        <v>87.793343404554506</v>
      </c>
      <c r="AK1149">
        <v>27.083016644515101</v>
      </c>
      <c r="AL1149">
        <v>79.995663752901393</v>
      </c>
      <c r="AM1149">
        <v>93.644743938691306</v>
      </c>
      <c r="AN1149">
        <v>0.999999947144667</v>
      </c>
    </row>
    <row r="1150" spans="1:40" x14ac:dyDescent="0.25">
      <c r="A1150" t="str">
        <f>"20190304155343780"</f>
        <v>20190304155343780</v>
      </c>
      <c r="B1150" t="str">
        <f>"1551686023777431"</f>
        <v>1551686023777431</v>
      </c>
      <c r="C1150" t="s">
        <v>40</v>
      </c>
      <c r="D1150">
        <v>4.9451549999999997</v>
      </c>
      <c r="E1150">
        <v>0.54163099999999997</v>
      </c>
      <c r="F1150" t="s">
        <v>63</v>
      </c>
      <c r="G1150">
        <v>-246.01589999999999</v>
      </c>
      <c r="H1150">
        <v>8.0000310000000005E-2</v>
      </c>
      <c r="I1150">
        <v>290.7303</v>
      </c>
      <c r="J1150">
        <v>-212.79499999999999</v>
      </c>
      <c r="K1150">
        <v>1.104177</v>
      </c>
      <c r="L1150">
        <v>285.82839999999999</v>
      </c>
      <c r="M1150">
        <v>-0.99421040000000005</v>
      </c>
      <c r="N1150">
        <v>-1.3419749999999999E-2</v>
      </c>
      <c r="O1150">
        <v>0.10661</v>
      </c>
      <c r="P1150">
        <v>-0.98705549999999997</v>
      </c>
      <c r="Q1150">
        <v>0.1571284</v>
      </c>
      <c r="R1150">
        <v>3.2129610000000003E-2</v>
      </c>
      <c r="S1150">
        <v>-3.04068</v>
      </c>
      <c r="T1150">
        <v>-9.2852950000000004E-2</v>
      </c>
      <c r="U1150">
        <v>0.4481812</v>
      </c>
      <c r="V1150">
        <v>-7.0819530000000006E-2</v>
      </c>
      <c r="W1150">
        <v>0.17137369999999999</v>
      </c>
      <c r="X1150">
        <v>0.98265740000000001</v>
      </c>
      <c r="Y1150">
        <v>3.9497419999999998E-2</v>
      </c>
      <c r="Z1150">
        <v>-9.3241709999999998E-4</v>
      </c>
      <c r="AA1150">
        <v>0.99921919999999997</v>
      </c>
      <c r="AB1150">
        <v>28</v>
      </c>
      <c r="AC1150">
        <v>-33.2209</v>
      </c>
      <c r="AD1150">
        <v>-1.02417669</v>
      </c>
      <c r="AE1150">
        <v>4.9019000000000101</v>
      </c>
      <c r="AF1150">
        <v>1.3307218573594199</v>
      </c>
      <c r="AG1150">
        <v>-1.02417669</v>
      </c>
      <c r="AH1150">
        <v>33.522992818211897</v>
      </c>
      <c r="AI1150">
        <v>91.748549689632696</v>
      </c>
      <c r="AJ1150">
        <v>87.726791976567597</v>
      </c>
      <c r="AK1150">
        <v>33.565023551963698</v>
      </c>
      <c r="AL1150">
        <v>80.132301104244405</v>
      </c>
      <c r="AM1150">
        <v>94.122145549482696</v>
      </c>
      <c r="AN1150">
        <v>0.99999995832793398</v>
      </c>
    </row>
    <row r="1151" spans="1:40" x14ac:dyDescent="0.25">
      <c r="A1151" t="str">
        <f>"20190304155343802"</f>
        <v>20190304155343802</v>
      </c>
      <c r="B1151" t="str">
        <f>"1551686023796951"</f>
        <v>1551686023796951</v>
      </c>
      <c r="C1151" t="s">
        <v>40</v>
      </c>
      <c r="D1151">
        <v>4.9371679999999998</v>
      </c>
      <c r="E1151">
        <v>0.53958729999999999</v>
      </c>
      <c r="F1151" t="s">
        <v>63</v>
      </c>
      <c r="G1151">
        <v>-249.38890000000001</v>
      </c>
      <c r="H1151">
        <v>8.0001310000000006E-2</v>
      </c>
      <c r="I1151">
        <v>291.32900000000001</v>
      </c>
      <c r="J1151">
        <v>-213.06639999999999</v>
      </c>
      <c r="K1151">
        <v>1.1049770000000001</v>
      </c>
      <c r="L1151">
        <v>285.86439999999999</v>
      </c>
      <c r="M1151">
        <v>-0.99355380000000004</v>
      </c>
      <c r="N1151">
        <v>-1.3288909999999999E-2</v>
      </c>
      <c r="O1151">
        <v>0.11258029999999999</v>
      </c>
      <c r="P1151">
        <v>-0.98769580000000001</v>
      </c>
      <c r="Q1151">
        <v>0.15354519999999999</v>
      </c>
      <c r="R1151">
        <v>2.968585E-2</v>
      </c>
      <c r="S1151">
        <v>-3.0380250000000002</v>
      </c>
      <c r="T1151">
        <v>-8.5027220000000001E-2</v>
      </c>
      <c r="U1151">
        <v>0.45666499999999999</v>
      </c>
      <c r="V1151">
        <v>-7.9609269999999996E-2</v>
      </c>
      <c r="W1151">
        <v>0.16763069999999999</v>
      </c>
      <c r="X1151">
        <v>0.98263029999999996</v>
      </c>
      <c r="Y1151">
        <v>3.6352969999999998E-2</v>
      </c>
      <c r="Z1151">
        <v>-8.7916640000000005E-4</v>
      </c>
      <c r="AA1151">
        <v>0.99933859999999997</v>
      </c>
      <c r="AB1151">
        <v>28</v>
      </c>
      <c r="AC1151">
        <v>-36.322499999999998</v>
      </c>
      <c r="AD1151">
        <v>-1.02497569</v>
      </c>
      <c r="AE1151">
        <v>5.4646000000000097</v>
      </c>
      <c r="AF1151">
        <v>1.3392516104235199</v>
      </c>
      <c r="AG1151">
        <v>-1.02497569</v>
      </c>
      <c r="AH1151">
        <v>36.678243766886503</v>
      </c>
      <c r="AI1151">
        <v>91.599651903251697</v>
      </c>
      <c r="AJ1151">
        <v>87.908858683881107</v>
      </c>
      <c r="AK1151">
        <v>36.716995191113597</v>
      </c>
      <c r="AL1151">
        <v>80.349908548779396</v>
      </c>
      <c r="AM1151">
        <v>94.631787484556199</v>
      </c>
      <c r="AN1151">
        <v>0.99999999696525599</v>
      </c>
    </row>
    <row r="1152" spans="1:40" x14ac:dyDescent="0.25">
      <c r="A1152" t="str">
        <f>"20190304155343825"</f>
        <v>20190304155343825</v>
      </c>
      <c r="B1152" t="str">
        <f>"1551686023817446"</f>
        <v>1551686023817446</v>
      </c>
      <c r="C1152" t="s">
        <v>40</v>
      </c>
      <c r="D1152">
        <v>4.9610900000000004</v>
      </c>
      <c r="E1152">
        <v>0.53819359999999905</v>
      </c>
      <c r="F1152" t="s">
        <v>63</v>
      </c>
      <c r="G1152">
        <v>-242.20609999999999</v>
      </c>
      <c r="H1152">
        <v>8.0000669999999996E-2</v>
      </c>
      <c r="I1152">
        <v>290.02949999999998</v>
      </c>
      <c r="J1152">
        <v>-213.3424</v>
      </c>
      <c r="K1152">
        <v>1.1057459999999999</v>
      </c>
      <c r="L1152">
        <v>285.90170000000001</v>
      </c>
      <c r="M1152">
        <v>-0.99296779999999996</v>
      </c>
      <c r="N1152">
        <v>-1.316584E-2</v>
      </c>
      <c r="O1152">
        <v>0.1176516</v>
      </c>
      <c r="P1152">
        <v>-0.98823309999999998</v>
      </c>
      <c r="Q1152">
        <v>0.1505734</v>
      </c>
      <c r="R1152">
        <v>2.689136E-2</v>
      </c>
      <c r="S1152">
        <v>-3.040924</v>
      </c>
      <c r="T1152">
        <v>-0.106963</v>
      </c>
      <c r="U1152">
        <v>0.43466189999999999</v>
      </c>
      <c r="V1152">
        <v>-8.7816930000000001E-2</v>
      </c>
      <c r="W1152">
        <v>0.16447220000000001</v>
      </c>
      <c r="X1152">
        <v>0.98246480000000003</v>
      </c>
      <c r="Y1152">
        <v>2.4045819999999999E-2</v>
      </c>
      <c r="Z1152">
        <v>-1.9737370000000001E-3</v>
      </c>
      <c r="AA1152">
        <v>0.99970890000000001</v>
      </c>
      <c r="AB1152">
        <v>28</v>
      </c>
      <c r="AC1152">
        <v>-28.863699999999898</v>
      </c>
      <c r="AD1152">
        <v>-1.0257453299999999</v>
      </c>
      <c r="AE1152">
        <v>4.1277999999999704</v>
      </c>
      <c r="AF1152">
        <v>0.70210389668108497</v>
      </c>
      <c r="AG1152">
        <v>-1.0257453299999999</v>
      </c>
      <c r="AH1152">
        <v>29.112858906396699</v>
      </c>
      <c r="AI1152">
        <v>92.017304965056994</v>
      </c>
      <c r="AJ1152">
        <v>88.618486972886799</v>
      </c>
      <c r="AK1152">
        <v>29.1393832650507</v>
      </c>
      <c r="AL1152">
        <v>80.533425130318804</v>
      </c>
      <c r="AM1152">
        <v>95.107769166291206</v>
      </c>
      <c r="AN1152">
        <v>1.0000000005032501</v>
      </c>
    </row>
    <row r="1153" spans="1:40" x14ac:dyDescent="0.25">
      <c r="A1153" t="str">
        <f>"20190304155343846"</f>
        <v>20190304155343846</v>
      </c>
      <c r="B1153" t="str">
        <f>"1551686023836967"</f>
        <v>1551686023836967</v>
      </c>
      <c r="C1153" t="s">
        <v>40</v>
      </c>
      <c r="D1153">
        <v>5.1148189999999998</v>
      </c>
      <c r="E1153">
        <v>0.53659519999999905</v>
      </c>
      <c r="F1153" t="s">
        <v>63</v>
      </c>
      <c r="G1153">
        <v>-240.4365</v>
      </c>
      <c r="H1153">
        <v>1.7292080000000001E-2</v>
      </c>
      <c r="I1153">
        <v>289.61630000000002</v>
      </c>
      <c r="J1153">
        <v>-213.6086</v>
      </c>
      <c r="K1153">
        <v>1.1063799999999999</v>
      </c>
      <c r="L1153">
        <v>285.93819999999999</v>
      </c>
      <c r="M1153">
        <v>-0.99246769999999995</v>
      </c>
      <c r="N1153">
        <v>-1.305685E-2</v>
      </c>
      <c r="O1153">
        <v>0.1218094</v>
      </c>
      <c r="P1153">
        <v>-0.9884984</v>
      </c>
      <c r="Q1153">
        <v>0.14917420000000001</v>
      </c>
      <c r="R1153">
        <v>2.4860529999999999E-2</v>
      </c>
      <c r="S1153">
        <v>-3.0430299999999999</v>
      </c>
      <c r="T1153">
        <v>-0.12224790000000001</v>
      </c>
      <c r="U1153">
        <v>0.41720580000000002</v>
      </c>
      <c r="V1153">
        <v>-9.4253160000000002E-2</v>
      </c>
      <c r="W1153">
        <v>0.16288320000000001</v>
      </c>
      <c r="X1153">
        <v>0.98213309999999998</v>
      </c>
      <c r="Y1153">
        <v>1.415749E-2</v>
      </c>
      <c r="Z1153">
        <v>-2.8847429999999999E-3</v>
      </c>
      <c r="AA1153">
        <v>0.9998956</v>
      </c>
      <c r="AB1153">
        <v>28</v>
      </c>
      <c r="AC1153">
        <v>-26.8279</v>
      </c>
      <c r="AD1153">
        <v>-1.0890879200000001</v>
      </c>
      <c r="AE1153">
        <v>3.6781000000000201</v>
      </c>
      <c r="AF1153">
        <v>0.38191984117749</v>
      </c>
      <c r="AG1153">
        <v>-1.0890879200000001</v>
      </c>
      <c r="AH1153">
        <v>27.032430407902499</v>
      </c>
      <c r="AI1153">
        <v>92.306866055324704</v>
      </c>
      <c r="AJ1153">
        <v>89.190567074388696</v>
      </c>
      <c r="AK1153">
        <v>27.057055808433201</v>
      </c>
      <c r="AL1153">
        <v>80.625712832644794</v>
      </c>
      <c r="AM1153">
        <v>95.481762771919705</v>
      </c>
      <c r="AN1153">
        <v>1.00000001056391</v>
      </c>
    </row>
    <row r="1154" spans="1:40" x14ac:dyDescent="0.25">
      <c r="A1154" t="str">
        <f>"20190304155343870"</f>
        <v>20190304155343870</v>
      </c>
      <c r="B1154" t="str">
        <f>"1551686023867223"</f>
        <v>1551686023867223</v>
      </c>
      <c r="C1154" t="s">
        <v>40</v>
      </c>
      <c r="D1154">
        <v>4.9902379999999997</v>
      </c>
      <c r="E1154">
        <v>0.53568039999999995</v>
      </c>
      <c r="F1154" t="s">
        <v>63</v>
      </c>
      <c r="G1154">
        <v>-238.29320000000001</v>
      </c>
      <c r="H1154" s="1">
        <v>2.6768739999999999E-6</v>
      </c>
      <c r="I1154">
        <v>289.1823</v>
      </c>
      <c r="J1154">
        <v>-213.886</v>
      </c>
      <c r="K1154">
        <v>1.106957</v>
      </c>
      <c r="L1154">
        <v>285.97669999999999</v>
      </c>
      <c r="M1154">
        <v>-0.99202009999999996</v>
      </c>
      <c r="N1154">
        <v>-1.295236E-2</v>
      </c>
      <c r="O1154">
        <v>0.12541350000000001</v>
      </c>
      <c r="P1154">
        <v>-0.98854019999999998</v>
      </c>
      <c r="Q1154">
        <v>0.14918819999999999</v>
      </c>
      <c r="R1154">
        <v>2.3054760000000001E-2</v>
      </c>
      <c r="S1154">
        <v>-3.0454249999999998</v>
      </c>
      <c r="T1154">
        <v>-0.13649749999999999</v>
      </c>
      <c r="U1154">
        <v>0.40023799999999998</v>
      </c>
      <c r="V1154">
        <v>-9.9848270000000003E-2</v>
      </c>
      <c r="W1154">
        <v>0.1626997</v>
      </c>
      <c r="X1154">
        <v>0.98161050000000005</v>
      </c>
      <c r="Y1154">
        <v>4.9738830000000001E-3</v>
      </c>
      <c r="Z1154">
        <v>-3.804927E-3</v>
      </c>
      <c r="AA1154">
        <v>0.99998039999999999</v>
      </c>
      <c r="AB1154">
        <v>28</v>
      </c>
      <c r="AC1154">
        <v>-24.4072</v>
      </c>
      <c r="AD1154">
        <v>-1.106954323126</v>
      </c>
      <c r="AE1154">
        <v>3.2056</v>
      </c>
      <c r="AF1154">
        <v>0.118797013907719</v>
      </c>
      <c r="AG1154">
        <v>-1.106954323126</v>
      </c>
      <c r="AH1154">
        <v>24.566845298997901</v>
      </c>
      <c r="AI1154">
        <v>92.579907964752707</v>
      </c>
      <c r="AJ1154">
        <v>89.722939010709496</v>
      </c>
      <c r="AK1154">
        <v>24.592058648045199</v>
      </c>
      <c r="AL1154">
        <v>80.636368856578898</v>
      </c>
      <c r="AM1154">
        <v>95.808082999730004</v>
      </c>
      <c r="AN1154">
        <v>1.00000002155616</v>
      </c>
    </row>
    <row r="1155" spans="1:40" x14ac:dyDescent="0.25">
      <c r="A1155" t="str">
        <f>"20190304155343890"</f>
        <v>20190304155343890</v>
      </c>
      <c r="B1155" t="str">
        <f>"1551686023887719"</f>
        <v>1551686023887719</v>
      </c>
      <c r="C1155" t="s">
        <v>40</v>
      </c>
      <c r="D1155">
        <v>5.0897739999999896</v>
      </c>
      <c r="E1155">
        <v>0.53550909999999996</v>
      </c>
      <c r="F1155" t="s">
        <v>63</v>
      </c>
      <c r="G1155">
        <v>-238.27680000000001</v>
      </c>
      <c r="H1155" s="1">
        <v>2.6723790000000001E-6</v>
      </c>
      <c r="I1155">
        <v>289.0847</v>
      </c>
      <c r="J1155">
        <v>-214.14609999999999</v>
      </c>
      <c r="K1155">
        <v>1.107456</v>
      </c>
      <c r="L1155">
        <v>286.01310000000001</v>
      </c>
      <c r="M1155">
        <v>-0.991672</v>
      </c>
      <c r="N1155">
        <v>-1.286208E-2</v>
      </c>
      <c r="O1155">
        <v>0.12814639999999999</v>
      </c>
      <c r="P1155">
        <v>-0.98883180000000004</v>
      </c>
      <c r="Q1155">
        <v>0.14767189999999999</v>
      </c>
      <c r="R1155">
        <v>2.0122620000000001E-2</v>
      </c>
      <c r="S1155">
        <v>-3.04657</v>
      </c>
      <c r="T1155">
        <v>-0.13826579999999999</v>
      </c>
      <c r="U1155">
        <v>0.38821410000000001</v>
      </c>
      <c r="V1155">
        <v>-0.10570880000000001</v>
      </c>
      <c r="W1155">
        <v>0.1610076</v>
      </c>
      <c r="X1155">
        <v>0.98127580000000003</v>
      </c>
      <c r="Y1155">
        <v>-1.6989819999999999E-3</v>
      </c>
      <c r="Z1155">
        <v>-4.1672599999999999E-3</v>
      </c>
      <c r="AA1155">
        <v>0.99998989999999999</v>
      </c>
      <c r="AB1155">
        <v>28</v>
      </c>
      <c r="AC1155">
        <v>-24.130700000000001</v>
      </c>
      <c r="AD1155">
        <v>-1.1074533276209999</v>
      </c>
      <c r="AE1155">
        <v>3.0715999999999801</v>
      </c>
      <c r="AF1155">
        <v>-4.6150782662557302E-2</v>
      </c>
      <c r="AG1155">
        <v>-1.1074533276209999</v>
      </c>
      <c r="AH1155">
        <v>24.275048475616401</v>
      </c>
      <c r="AI1155">
        <v>92.612078054075198</v>
      </c>
      <c r="AJ1155">
        <v>90.1089283872967</v>
      </c>
      <c r="AK1155">
        <v>24.3003407643006</v>
      </c>
      <c r="AL1155">
        <v>80.734614213494297</v>
      </c>
      <c r="AM1155">
        <v>96.148527204739693</v>
      </c>
      <c r="AN1155">
        <v>0.99999999666041905</v>
      </c>
    </row>
    <row r="1156" spans="1:40" x14ac:dyDescent="0.25">
      <c r="A1156" t="str">
        <f>"20190304155343914"</f>
        <v>20190304155343914</v>
      </c>
      <c r="B1156" t="str">
        <f>"1551686023907238"</f>
        <v>1551686023907238</v>
      </c>
      <c r="C1156" t="s">
        <v>40</v>
      </c>
      <c r="D1156">
        <v>5.000337</v>
      </c>
      <c r="E1156">
        <v>0.53540949999999998</v>
      </c>
      <c r="F1156" t="s">
        <v>63</v>
      </c>
      <c r="G1156">
        <v>-237.91640000000001</v>
      </c>
      <c r="H1156" s="1">
        <v>2.4858349999999999E-6</v>
      </c>
      <c r="I1156">
        <v>288.96539999999999</v>
      </c>
      <c r="J1156">
        <v>-214.43440000000001</v>
      </c>
      <c r="K1156">
        <v>1.108007</v>
      </c>
      <c r="L1156">
        <v>286.05360000000002</v>
      </c>
      <c r="M1156">
        <v>-0.99136860000000004</v>
      </c>
      <c r="N1156">
        <v>-1.27717E-2</v>
      </c>
      <c r="O1156">
        <v>0.13048100000000001</v>
      </c>
      <c r="P1156">
        <v>-0.98934279999999997</v>
      </c>
      <c r="Q1156">
        <v>0.1445149</v>
      </c>
      <c r="R1156">
        <v>1.7794529999999999E-2</v>
      </c>
      <c r="S1156">
        <v>-3.0473789999999998</v>
      </c>
      <c r="T1156">
        <v>-0.14197670000000001</v>
      </c>
      <c r="U1156">
        <v>0.37847900000000001</v>
      </c>
      <c r="V1156">
        <v>-0.1106308</v>
      </c>
      <c r="W1156">
        <v>0.15764420000000001</v>
      </c>
      <c r="X1156">
        <v>0.98127929999999997</v>
      </c>
      <c r="Y1156">
        <v>-7.2171029999999999E-3</v>
      </c>
      <c r="Z1156">
        <v>-4.5746379999999998E-3</v>
      </c>
      <c r="AA1156">
        <v>0.99996350000000001</v>
      </c>
      <c r="AB1156">
        <v>28</v>
      </c>
      <c r="AC1156">
        <v>-23.481999999999999</v>
      </c>
      <c r="AD1156">
        <v>-1.1080045141649999</v>
      </c>
      <c r="AE1156">
        <v>2.9117999999999702</v>
      </c>
      <c r="AF1156">
        <v>-0.176914278044149</v>
      </c>
      <c r="AG1156">
        <v>-1.1080045141649999</v>
      </c>
      <c r="AH1156">
        <v>23.609411447783</v>
      </c>
      <c r="AI1156">
        <v>92.686880109276004</v>
      </c>
      <c r="AJ1156">
        <v>90.4293309798705</v>
      </c>
      <c r="AK1156">
        <v>23.636058926476998</v>
      </c>
      <c r="AL1156">
        <v>80.929816165572603</v>
      </c>
      <c r="AM1156">
        <v>96.432444582013602</v>
      </c>
      <c r="AN1156">
        <v>0.999999966155384</v>
      </c>
    </row>
    <row r="1157" spans="1:40" x14ac:dyDescent="0.25">
      <c r="A1157" t="str">
        <f>"20190304155343935"</f>
        <v>20190304155343935</v>
      </c>
      <c r="B1157" t="str">
        <f>"1551686023927735"</f>
        <v>1551686023927735</v>
      </c>
      <c r="C1157" t="s">
        <v>40</v>
      </c>
      <c r="D1157">
        <v>5.0508600000000001</v>
      </c>
      <c r="E1157">
        <v>0.53528229999999999</v>
      </c>
      <c r="F1157" t="s">
        <v>63</v>
      </c>
      <c r="G1157">
        <v>-236.80969999999999</v>
      </c>
      <c r="H1157" s="1">
        <v>1.9055400000000001E-6</v>
      </c>
      <c r="I1157">
        <v>288.76780000000002</v>
      </c>
      <c r="J1157">
        <v>-214.7012</v>
      </c>
      <c r="K1157">
        <v>1.1085400000000001</v>
      </c>
      <c r="L1157">
        <v>286.09100000000001</v>
      </c>
      <c r="M1157">
        <v>-0.99116519999999997</v>
      </c>
      <c r="N1157">
        <v>-1.269822E-2</v>
      </c>
      <c r="O1157">
        <v>0.13202369999999999</v>
      </c>
      <c r="P1157">
        <v>-0.98986300000000005</v>
      </c>
      <c r="Q1157">
        <v>0.14121800000000001</v>
      </c>
      <c r="R1157">
        <v>1.51264E-2</v>
      </c>
      <c r="S1157">
        <v>-3.047714</v>
      </c>
      <c r="T1157">
        <v>-0.1509202</v>
      </c>
      <c r="U1157">
        <v>0.36968990000000002</v>
      </c>
      <c r="V1157">
        <v>-0.11508989999999999</v>
      </c>
      <c r="W1157">
        <v>0.15415019999999999</v>
      </c>
      <c r="X1157">
        <v>0.98132160000000002</v>
      </c>
      <c r="Y1157">
        <v>-1.1605259999999999E-2</v>
      </c>
      <c r="Z1157">
        <v>-5.1660660000000004E-3</v>
      </c>
      <c r="AA1157">
        <v>0.99991929999999996</v>
      </c>
      <c r="AB1157">
        <v>28</v>
      </c>
      <c r="AC1157">
        <v>-22.1084999999999</v>
      </c>
      <c r="AD1157">
        <v>-1.1085380944599901</v>
      </c>
      <c r="AE1157">
        <v>2.6768000000000098</v>
      </c>
      <c r="AF1157">
        <v>-0.2650596344992</v>
      </c>
      <c r="AG1157">
        <v>-1.1085380944599901</v>
      </c>
      <c r="AH1157">
        <v>22.2133330431387</v>
      </c>
      <c r="AI1157">
        <v>92.856725582298694</v>
      </c>
      <c r="AJ1157">
        <v>90.683646962159102</v>
      </c>
      <c r="AK1157">
        <v>22.242555568147001</v>
      </c>
      <c r="AL1157">
        <v>81.132486255512902</v>
      </c>
      <c r="AM1157">
        <v>96.689121070777503</v>
      </c>
      <c r="AN1157">
        <v>1.0000000259343</v>
      </c>
    </row>
    <row r="1158" spans="1:40" x14ac:dyDescent="0.25">
      <c r="A1158" t="str">
        <f>"20190304155343957"</f>
        <v>20190304155343957</v>
      </c>
      <c r="B1158" t="str">
        <f>"1551686023947254"</f>
        <v>1551686023947254</v>
      </c>
      <c r="C1158" t="s">
        <v>40</v>
      </c>
      <c r="D1158">
        <v>5.068384</v>
      </c>
      <c r="E1158">
        <v>0.53512369999999898</v>
      </c>
      <c r="F1158" t="s">
        <v>63</v>
      </c>
      <c r="G1158">
        <v>-235.7533</v>
      </c>
      <c r="H1158" s="1">
        <v>1.351749E-6</v>
      </c>
      <c r="I1158">
        <v>288.57560000000001</v>
      </c>
      <c r="J1158">
        <v>-214.97810000000001</v>
      </c>
      <c r="K1158">
        <v>1.109108</v>
      </c>
      <c r="L1158">
        <v>286.12959999999998</v>
      </c>
      <c r="M1158">
        <v>-0.99103260000000004</v>
      </c>
      <c r="N1158">
        <v>-1.2632549999999999E-2</v>
      </c>
      <c r="O1158">
        <v>0.13302169999999999</v>
      </c>
      <c r="P1158">
        <v>-0.98999800000000004</v>
      </c>
      <c r="Q1158">
        <v>0.140560299999999</v>
      </c>
      <c r="R1158">
        <v>1.2109079999999999E-2</v>
      </c>
      <c r="S1158">
        <v>-3.048111</v>
      </c>
      <c r="T1158">
        <v>-0.16050449999999999</v>
      </c>
      <c r="U1158">
        <v>0.35974119999999998</v>
      </c>
      <c r="V1158">
        <v>-0.1192988</v>
      </c>
      <c r="W1158">
        <v>0.15327859999999999</v>
      </c>
      <c r="X1158">
        <v>0.98095540000000003</v>
      </c>
      <c r="Y1158">
        <v>-1.581929E-2</v>
      </c>
      <c r="Z1158">
        <v>-5.7806589999999996E-3</v>
      </c>
      <c r="AA1158">
        <v>0.99985809999999997</v>
      </c>
      <c r="AB1158">
        <v>28</v>
      </c>
      <c r="AC1158">
        <v>-20.775199999999899</v>
      </c>
      <c r="AD1158">
        <v>-1.1091066482509999</v>
      </c>
      <c r="AE1158">
        <v>2.4460000000000202</v>
      </c>
      <c r="AF1158">
        <v>-0.33856204457328498</v>
      </c>
      <c r="AG1158">
        <v>-1.1091066482509999</v>
      </c>
      <c r="AH1158">
        <v>20.857308716543201</v>
      </c>
      <c r="AI1158">
        <v>93.043488908960299</v>
      </c>
      <c r="AJ1158">
        <v>90.929960478826999</v>
      </c>
      <c r="AK1158">
        <v>20.889520547691099</v>
      </c>
      <c r="AL1158">
        <v>81.183025806409006</v>
      </c>
      <c r="AM1158">
        <v>96.933969804077606</v>
      </c>
      <c r="AN1158">
        <v>1.00000001484428</v>
      </c>
    </row>
    <row r="1159" spans="1:40" x14ac:dyDescent="0.25">
      <c r="A1159" t="str">
        <f>"20190304155343982"</f>
        <v>20190304155343982</v>
      </c>
      <c r="B1159" t="str">
        <f>"1551686023977510"</f>
        <v>1551686023977510</v>
      </c>
      <c r="C1159" t="s">
        <v>40</v>
      </c>
      <c r="D1159">
        <v>5.0296609999999999</v>
      </c>
      <c r="E1159">
        <v>0.53488239999999998</v>
      </c>
      <c r="F1159" t="s">
        <v>63</v>
      </c>
      <c r="G1159">
        <v>-235.87209999999999</v>
      </c>
      <c r="H1159" s="1">
        <v>1.4173500000000001E-6</v>
      </c>
      <c r="I1159">
        <v>288.52199999999999</v>
      </c>
      <c r="J1159">
        <v>-215.2611</v>
      </c>
      <c r="K1159">
        <v>1.1096870000000001</v>
      </c>
      <c r="L1159">
        <v>286.16840000000002</v>
      </c>
      <c r="M1159">
        <v>-0.99098339999999996</v>
      </c>
      <c r="N1159">
        <v>-1.2575350000000001E-2</v>
      </c>
      <c r="O1159">
        <v>0.1333936</v>
      </c>
      <c r="P1159">
        <v>-0.98986589999999997</v>
      </c>
      <c r="Q1159">
        <v>0.1416975</v>
      </c>
      <c r="R1159">
        <v>9.3605579999999997E-3</v>
      </c>
      <c r="S1159">
        <v>-3.0490110000000001</v>
      </c>
      <c r="T1159">
        <v>-0.1618494</v>
      </c>
      <c r="U1159">
        <v>0.34912110000000002</v>
      </c>
      <c r="V1159">
        <v>-0.122581</v>
      </c>
      <c r="W1159">
        <v>0.1541931</v>
      </c>
      <c r="X1159">
        <v>0.98040720000000003</v>
      </c>
      <c r="Y1159">
        <v>-1.9654979999999999E-2</v>
      </c>
      <c r="Z1159">
        <v>-5.9892529999999999E-3</v>
      </c>
      <c r="AA1159">
        <v>0.99978889999999998</v>
      </c>
      <c r="AB1159">
        <v>28</v>
      </c>
      <c r="AC1159">
        <v>-20.610999999999901</v>
      </c>
      <c r="AD1159">
        <v>-1.1096855826500001</v>
      </c>
      <c r="AE1159">
        <v>2.3535999999999699</v>
      </c>
      <c r="AF1159">
        <v>-0.415840040391878</v>
      </c>
      <c r="AG1159">
        <v>-1.1096855826500001</v>
      </c>
      <c r="AH1159">
        <v>20.6815753068696</v>
      </c>
      <c r="AI1159">
        <v>93.070683864080806</v>
      </c>
      <c r="AJ1159">
        <v>91.151878853210505</v>
      </c>
      <c r="AK1159">
        <v>20.715498599002</v>
      </c>
      <c r="AL1159">
        <v>81.129997806361303</v>
      </c>
      <c r="AM1159">
        <v>97.126748347803002</v>
      </c>
      <c r="AN1159">
        <v>0.99999994573022299</v>
      </c>
    </row>
    <row r="1160" spans="1:40" x14ac:dyDescent="0.25">
      <c r="A1160" t="str">
        <f>"20190304155344005"</f>
        <v>20190304155344005</v>
      </c>
      <c r="B1160" t="str">
        <f>"1551686023997031"</f>
        <v>1551686023997031</v>
      </c>
      <c r="C1160" t="s">
        <v>40</v>
      </c>
      <c r="D1160">
        <v>5.0294299999999996</v>
      </c>
      <c r="E1160">
        <v>0.53472259999999905</v>
      </c>
      <c r="F1160" t="s">
        <v>63</v>
      </c>
      <c r="G1160">
        <v>-236.76679999999999</v>
      </c>
      <c r="H1160" s="1">
        <v>1.892083E-6</v>
      </c>
      <c r="I1160">
        <v>288.55349999999999</v>
      </c>
      <c r="J1160">
        <v>-215.5453</v>
      </c>
      <c r="K1160">
        <v>1.1102620000000001</v>
      </c>
      <c r="L1160">
        <v>286.20670000000001</v>
      </c>
      <c r="M1160">
        <v>-0.99104080000000006</v>
      </c>
      <c r="N1160">
        <v>-1.252846E-2</v>
      </c>
      <c r="O1160">
        <v>0.1329716</v>
      </c>
      <c r="P1160">
        <v>-0.98964220000000003</v>
      </c>
      <c r="Q1160">
        <v>0.14339440000000001</v>
      </c>
      <c r="R1160">
        <v>6.8408640000000003E-3</v>
      </c>
      <c r="S1160">
        <v>-3.050049</v>
      </c>
      <c r="T1160">
        <v>-0.15738079999999999</v>
      </c>
      <c r="U1160">
        <v>0.33825680000000002</v>
      </c>
      <c r="V1160">
        <v>-0.1248369</v>
      </c>
      <c r="W1160">
        <v>0.15567329999999999</v>
      </c>
      <c r="X1160">
        <v>0.9798886</v>
      </c>
      <c r="Y1160">
        <v>-2.2788320000000001E-2</v>
      </c>
      <c r="Z1160">
        <v>-5.8702229999999999E-3</v>
      </c>
      <c r="AA1160">
        <v>0.99972309999999998</v>
      </c>
      <c r="AB1160">
        <v>28</v>
      </c>
      <c r="AC1160">
        <v>-21.221499999999899</v>
      </c>
      <c r="AD1160">
        <v>-1.110260107917</v>
      </c>
      <c r="AE1160">
        <v>2.3467999999999698</v>
      </c>
      <c r="AF1160">
        <v>-0.49478319923372499</v>
      </c>
      <c r="AG1160">
        <v>-1.110260107917</v>
      </c>
      <c r="AH1160">
        <v>21.287539333602702</v>
      </c>
      <c r="AI1160">
        <v>92.984774427539904</v>
      </c>
      <c r="AJ1160">
        <v>91.331477786389897</v>
      </c>
      <c r="AK1160">
        <v>21.3222142096255</v>
      </c>
      <c r="AL1160">
        <v>81.044152912595706</v>
      </c>
      <c r="AM1160">
        <v>97.260318226213897</v>
      </c>
      <c r="AN1160">
        <v>1.00000004817222</v>
      </c>
    </row>
    <row r="1161" spans="1:40" x14ac:dyDescent="0.25">
      <c r="A1161" t="str">
        <f>"20190304155344027"</f>
        <v>20190304155344027</v>
      </c>
      <c r="B1161" t="str">
        <f>"1551686024017527"</f>
        <v>1551686024017527</v>
      </c>
      <c r="C1161" t="s">
        <v>40</v>
      </c>
      <c r="D1161">
        <v>5.1242979999999996</v>
      </c>
      <c r="E1161">
        <v>0.53421779999999996</v>
      </c>
      <c r="F1161" t="s">
        <v>63</v>
      </c>
      <c r="G1161">
        <v>-237.71430000000001</v>
      </c>
      <c r="H1161" s="1">
        <v>2.3945399999999999E-6</v>
      </c>
      <c r="I1161">
        <v>288.59339999999997</v>
      </c>
      <c r="J1161">
        <v>-215.8201</v>
      </c>
      <c r="K1161">
        <v>1.1107800000000001</v>
      </c>
      <c r="L1161">
        <v>286.24290000000002</v>
      </c>
      <c r="M1161">
        <v>-0.99118269999999997</v>
      </c>
      <c r="N1161">
        <v>-1.249252E-2</v>
      </c>
      <c r="O1161">
        <v>0.1319118</v>
      </c>
      <c r="P1161">
        <v>-0.98948700000000001</v>
      </c>
      <c r="Q1161">
        <v>0.14456949999999999</v>
      </c>
      <c r="R1161">
        <v>3.8824240000000002E-3</v>
      </c>
      <c r="S1161">
        <v>-3.0512700000000001</v>
      </c>
      <c r="T1161">
        <v>-0.1528128</v>
      </c>
      <c r="U1161">
        <v>0.32849119999999998</v>
      </c>
      <c r="V1161">
        <v>-0.1268927</v>
      </c>
      <c r="W1161">
        <v>0.1566515</v>
      </c>
      <c r="X1161">
        <v>0.97946849999999996</v>
      </c>
      <c r="Y1161">
        <v>-2.493163E-2</v>
      </c>
      <c r="Z1161">
        <v>-5.6866180000000001E-3</v>
      </c>
      <c r="AA1161">
        <v>0.99967300000000003</v>
      </c>
      <c r="AB1161">
        <v>28</v>
      </c>
      <c r="AC1161">
        <v>-21.894200000000001</v>
      </c>
      <c r="AD1161">
        <v>-1.11077760545999</v>
      </c>
      <c r="AE1161">
        <v>2.3504999999999501</v>
      </c>
      <c r="AF1161">
        <v>-0.556954760803553</v>
      </c>
      <c r="AG1161">
        <v>-1.11077760545999</v>
      </c>
      <c r="AH1161">
        <v>21.957057599617801</v>
      </c>
      <c r="AI1161">
        <v>92.8951168690473</v>
      </c>
      <c r="AJ1161">
        <v>91.453032384914295</v>
      </c>
      <c r="AK1161">
        <v>21.9921896119351</v>
      </c>
      <c r="AL1161">
        <v>80.987409552246405</v>
      </c>
      <c r="AM1161">
        <v>97.381703103318301</v>
      </c>
      <c r="AN1161">
        <v>0.99999999612889501</v>
      </c>
    </row>
    <row r="1162" spans="1:40" x14ac:dyDescent="0.25">
      <c r="A1162" t="str">
        <f>"20190304155344047"</f>
        <v>20190304155344047</v>
      </c>
      <c r="B1162" t="str">
        <f>"1551686024038023"</f>
        <v>1551686024038023</v>
      </c>
      <c r="C1162" t="s">
        <v>40</v>
      </c>
      <c r="D1162">
        <v>5.1368280000000004</v>
      </c>
      <c r="E1162">
        <v>0.53354140000000005</v>
      </c>
      <c r="F1162" t="s">
        <v>63</v>
      </c>
      <c r="G1162">
        <v>-238.27629999999999</v>
      </c>
      <c r="H1162" s="1">
        <v>2.6951829999999998E-6</v>
      </c>
      <c r="I1162">
        <v>288.55689999999998</v>
      </c>
      <c r="J1162">
        <v>-216.065</v>
      </c>
      <c r="K1162">
        <v>1.111183</v>
      </c>
      <c r="L1162">
        <v>286.27420000000001</v>
      </c>
      <c r="M1162">
        <v>-0.99136690000000005</v>
      </c>
      <c r="N1162">
        <v>-1.246617E-2</v>
      </c>
      <c r="O1162">
        <v>0.1305229</v>
      </c>
      <c r="P1162">
        <v>-0.98943119999999996</v>
      </c>
      <c r="Q1162">
        <v>0.14499699999999999</v>
      </c>
      <c r="R1162">
        <v>1.350274E-3</v>
      </c>
      <c r="S1162">
        <v>-3.052689</v>
      </c>
      <c r="T1162">
        <v>-0.15099870000000001</v>
      </c>
      <c r="U1162">
        <v>0.3145752</v>
      </c>
      <c r="V1162">
        <v>-0.12817319999999999</v>
      </c>
      <c r="W1162">
        <v>0.1569246</v>
      </c>
      <c r="X1162">
        <v>0.97925810000000002</v>
      </c>
      <c r="Y1162">
        <v>-2.8087069999999999E-2</v>
      </c>
      <c r="Z1162">
        <v>-5.6503630000000003E-3</v>
      </c>
      <c r="AA1162">
        <v>0.99958950000000002</v>
      </c>
      <c r="AB1162">
        <v>28</v>
      </c>
      <c r="AC1162">
        <v>-22.211299999999898</v>
      </c>
      <c r="AD1162">
        <v>-1.1111803048169999</v>
      </c>
      <c r="AE1162">
        <v>2.28269999999997</v>
      </c>
      <c r="AF1162">
        <v>-0.63456793045095194</v>
      </c>
      <c r="AG1162">
        <v>-1.1111803048169999</v>
      </c>
      <c r="AH1162">
        <v>22.2640874675966</v>
      </c>
      <c r="AI1162">
        <v>92.856051420647205</v>
      </c>
      <c r="AJ1162">
        <v>91.6325943673354</v>
      </c>
      <c r="AK1162">
        <v>22.3008293319545</v>
      </c>
      <c r="AL1162">
        <v>80.971566735018897</v>
      </c>
      <c r="AM1162">
        <v>97.456943315018904</v>
      </c>
      <c r="AN1162">
        <v>1.0000000628495</v>
      </c>
    </row>
    <row r="1163" spans="1:40" x14ac:dyDescent="0.25">
      <c r="A1163" t="str">
        <f>"20190304155344072"</f>
        <v>20190304155344072</v>
      </c>
      <c r="B1163" t="str">
        <f>"1551686024067304"</f>
        <v>1551686024067304</v>
      </c>
      <c r="C1163" t="s">
        <v>40</v>
      </c>
      <c r="D1163">
        <v>5.1628339999999904</v>
      </c>
      <c r="E1163">
        <v>0.53267810000000004</v>
      </c>
      <c r="F1163" t="s">
        <v>63</v>
      </c>
      <c r="G1163">
        <v>-238.23310000000001</v>
      </c>
      <c r="H1163" s="1">
        <v>2.6767550000000002E-6</v>
      </c>
      <c r="I1163">
        <v>288.45299999999997</v>
      </c>
      <c r="J1163">
        <v>-216.36490000000001</v>
      </c>
      <c r="K1163">
        <v>1.1116029999999999</v>
      </c>
      <c r="L1163">
        <v>286.3116</v>
      </c>
      <c r="M1163">
        <v>-0.99166140000000003</v>
      </c>
      <c r="N1163">
        <v>-1.2438029999999999E-2</v>
      </c>
      <c r="O1163">
        <v>0.12826940000000001</v>
      </c>
      <c r="P1163">
        <v>-0.98942059999999998</v>
      </c>
      <c r="Q1163">
        <v>0.1450726</v>
      </c>
      <c r="R1163">
        <v>-1.2019050000000001E-3</v>
      </c>
      <c r="S1163">
        <v>-3.0540769999999999</v>
      </c>
      <c r="T1163">
        <v>-0.15308620000000001</v>
      </c>
      <c r="U1163">
        <v>0.30017090000000002</v>
      </c>
      <c r="V1163">
        <v>-0.12863350000000001</v>
      </c>
      <c r="W1163">
        <v>0.15684029999999999</v>
      </c>
      <c r="X1163">
        <v>0.97921119999999995</v>
      </c>
      <c r="Y1163">
        <v>-3.0521960000000001E-2</v>
      </c>
      <c r="Z1163">
        <v>-5.7430889999999998E-3</v>
      </c>
      <c r="AA1163">
        <v>0.99951760000000001</v>
      </c>
      <c r="AB1163">
        <v>28</v>
      </c>
      <c r="AC1163">
        <v>-21.868200000000002</v>
      </c>
      <c r="AD1163">
        <v>-1.111600323245</v>
      </c>
      <c r="AE1163">
        <v>2.1413999999999702</v>
      </c>
      <c r="AF1163">
        <v>-0.67979005656079305</v>
      </c>
      <c r="AG1163">
        <v>-1.111600323245</v>
      </c>
      <c r="AH1163">
        <v>21.9061588419186</v>
      </c>
      <c r="AI1163">
        <v>92.903514979097906</v>
      </c>
      <c r="AJ1163">
        <v>91.777427357172698</v>
      </c>
      <c r="AK1163">
        <v>21.944875597893201</v>
      </c>
      <c r="AL1163">
        <v>80.976456897976206</v>
      </c>
      <c r="AM1163">
        <v>97.483774320896899</v>
      </c>
      <c r="AN1163">
        <v>1.0000000156158799</v>
      </c>
    </row>
    <row r="1164" spans="1:40" x14ac:dyDescent="0.25">
      <c r="A1164" t="str">
        <f>"20190304155344092"</f>
        <v>20190304155344092</v>
      </c>
      <c r="B1164" t="str">
        <f>"1551686024087799"</f>
        <v>1551686024087799</v>
      </c>
      <c r="C1164" t="s">
        <v>40</v>
      </c>
      <c r="D1164">
        <v>5.1772720000000003</v>
      </c>
      <c r="E1164">
        <v>0.53239630000000004</v>
      </c>
      <c r="F1164" t="s">
        <v>63</v>
      </c>
      <c r="G1164">
        <v>-237.9683</v>
      </c>
      <c r="H1164" s="1">
        <v>2.5413519999999999E-6</v>
      </c>
      <c r="I1164">
        <v>288.32670000000002</v>
      </c>
      <c r="J1164">
        <v>-216.6182</v>
      </c>
      <c r="K1164">
        <v>1.1119110000000001</v>
      </c>
      <c r="L1164">
        <v>286.34210000000002</v>
      </c>
      <c r="M1164">
        <v>-0.99195880000000003</v>
      </c>
      <c r="N1164">
        <v>-1.241804E-2</v>
      </c>
      <c r="O1164">
        <v>0.12595120000000001</v>
      </c>
      <c r="P1164">
        <v>-0.98942479999999999</v>
      </c>
      <c r="Q1164">
        <v>0.14499889999999999</v>
      </c>
      <c r="R1164">
        <v>-3.7474420000000001E-3</v>
      </c>
      <c r="S1164">
        <v>-3.055466</v>
      </c>
      <c r="T1164">
        <v>-0.15721889999999999</v>
      </c>
      <c r="U1164">
        <v>0.28500370000000003</v>
      </c>
      <c r="V1164">
        <v>-0.12898490000000001</v>
      </c>
      <c r="W1164">
        <v>0.1566477</v>
      </c>
      <c r="X1164">
        <v>0.97919579999999995</v>
      </c>
      <c r="Y1164">
        <v>-3.3134799999999999E-2</v>
      </c>
      <c r="Z1164">
        <v>-5.9312100000000001E-3</v>
      </c>
      <c r="AA1164">
        <v>0.99943329999999997</v>
      </c>
      <c r="AB1164">
        <v>28</v>
      </c>
      <c r="AC1164">
        <v>-21.350100000000001</v>
      </c>
      <c r="AD1164">
        <v>-1.1119084586479999</v>
      </c>
      <c r="AE1164">
        <v>1.9845999999999999</v>
      </c>
      <c r="AF1164">
        <v>-0.71855253587460699</v>
      </c>
      <c r="AG1164">
        <v>-1.1119084586479999</v>
      </c>
      <c r="AH1164">
        <v>21.372560603541</v>
      </c>
      <c r="AI1164">
        <v>92.976451973748297</v>
      </c>
      <c r="AJ1164">
        <v>91.925577710610199</v>
      </c>
      <c r="AK1164">
        <v>21.4135238790643</v>
      </c>
      <c r="AL1164">
        <v>80.987630128740804</v>
      </c>
      <c r="AM1164">
        <v>97.504102437095597</v>
      </c>
      <c r="AN1164">
        <v>1.0000000105404601</v>
      </c>
    </row>
    <row r="1165" spans="1:40" x14ac:dyDescent="0.25">
      <c r="A1165" t="str">
        <f>"20190304155344115"</f>
        <v>20190304155344115</v>
      </c>
      <c r="B1165" t="str">
        <f>"1551686024107319"</f>
        <v>1551686024107319</v>
      </c>
      <c r="C1165" t="s">
        <v>40</v>
      </c>
      <c r="D1165">
        <v>5.0406000000000004</v>
      </c>
      <c r="E1165">
        <v>0.53228690000000001</v>
      </c>
      <c r="F1165" t="s">
        <v>63</v>
      </c>
      <c r="G1165">
        <v>-238.08869999999999</v>
      </c>
      <c r="H1165" s="1">
        <v>2.607521E-6</v>
      </c>
      <c r="I1165">
        <v>288.27879999999999</v>
      </c>
      <c r="J1165">
        <v>-216.8854</v>
      </c>
      <c r="K1165">
        <v>1.112204</v>
      </c>
      <c r="L1165">
        <v>286.37329999999997</v>
      </c>
      <c r="M1165">
        <v>-0.99231060000000004</v>
      </c>
      <c r="N1165">
        <v>-1.2401560000000001E-2</v>
      </c>
      <c r="O1165">
        <v>0.12314990000000001</v>
      </c>
      <c r="P1165">
        <v>-0.98965510000000001</v>
      </c>
      <c r="Q1165">
        <v>0.14328850000000001</v>
      </c>
      <c r="R1165">
        <v>-7.1756420000000003E-3</v>
      </c>
      <c r="S1165">
        <v>-3.0563199999999999</v>
      </c>
      <c r="T1165">
        <v>-0.15828</v>
      </c>
      <c r="U1165">
        <v>0.27569579999999999</v>
      </c>
      <c r="V1165">
        <v>-0.129749</v>
      </c>
      <c r="W1165">
        <v>0.1548272</v>
      </c>
      <c r="X1165">
        <v>0.97938440000000004</v>
      </c>
      <c r="Y1165">
        <v>-3.3356339999999998E-2</v>
      </c>
      <c r="Z1165">
        <v>-5.8799109999999998E-3</v>
      </c>
      <c r="AA1165">
        <v>0.99942620000000004</v>
      </c>
      <c r="AB1165">
        <v>28</v>
      </c>
      <c r="AC1165">
        <v>-21.203299999999899</v>
      </c>
      <c r="AD1165">
        <v>-1.112201392479</v>
      </c>
      <c r="AE1165">
        <v>1.90550000000001</v>
      </c>
      <c r="AF1165">
        <v>-0.71843093515648104</v>
      </c>
      <c r="AG1165">
        <v>-1.112201392479</v>
      </c>
      <c r="AH1165">
        <v>21.218643364839501</v>
      </c>
      <c r="AI1165">
        <v>92.998767880595693</v>
      </c>
      <c r="AJ1165">
        <v>91.939206990326198</v>
      </c>
      <c r="AK1165">
        <v>21.259914421047601</v>
      </c>
      <c r="AL1165">
        <v>81.093225743876999</v>
      </c>
      <c r="AM1165">
        <v>97.546608519640799</v>
      </c>
      <c r="AN1165">
        <v>1.00000003391209</v>
      </c>
    </row>
    <row r="1166" spans="1:40" x14ac:dyDescent="0.25">
      <c r="A1166" t="str">
        <f>"20190304155344137"</f>
        <v>20190304155344137</v>
      </c>
      <c r="B1166" t="str">
        <f>"1551686024126839"</f>
        <v>1551686024126839</v>
      </c>
      <c r="C1166" t="s">
        <v>40</v>
      </c>
      <c r="D1166">
        <v>5.1425769999999904</v>
      </c>
      <c r="E1166">
        <v>0.53173700000000002</v>
      </c>
      <c r="F1166" t="s">
        <v>63</v>
      </c>
      <c r="G1166">
        <v>-237.57550000000001</v>
      </c>
      <c r="H1166" s="1">
        <v>2.3391390000000002E-6</v>
      </c>
      <c r="I1166">
        <v>288.17140000000001</v>
      </c>
      <c r="J1166">
        <v>-217.1551</v>
      </c>
      <c r="K1166">
        <v>1.1124620000000001</v>
      </c>
      <c r="L1166">
        <v>286.40359999999998</v>
      </c>
      <c r="M1166">
        <v>-0.99269450000000004</v>
      </c>
      <c r="N1166">
        <v>-1.2389010000000001E-2</v>
      </c>
      <c r="O1166">
        <v>0.1200171</v>
      </c>
      <c r="P1166">
        <v>-0.98979600000000001</v>
      </c>
      <c r="Q1166">
        <v>0.14190610000000001</v>
      </c>
      <c r="R1166">
        <v>-1.290149E-2</v>
      </c>
      <c r="S1166">
        <v>-3.0570979999999999</v>
      </c>
      <c r="T1166">
        <v>-0.16433499999999901</v>
      </c>
      <c r="U1166">
        <v>0.26568599999999998</v>
      </c>
      <c r="V1166">
        <v>-0.13244410000000001</v>
      </c>
      <c r="W1166">
        <v>0.15333369999999999</v>
      </c>
      <c r="X1166">
        <v>0.97925859999999998</v>
      </c>
      <c r="Y1166">
        <v>-3.3460259999999999E-2</v>
      </c>
      <c r="Z1166">
        <v>-6.0316459999999999E-3</v>
      </c>
      <c r="AA1166">
        <v>0.99942180000000003</v>
      </c>
      <c r="AB1166">
        <v>28</v>
      </c>
      <c r="AC1166">
        <v>-20.420400000000001</v>
      </c>
      <c r="AD1166">
        <v>-1.112459660861</v>
      </c>
      <c r="AE1166">
        <v>1.76780000000002</v>
      </c>
      <c r="AF1166">
        <v>-0.69392115256682896</v>
      </c>
      <c r="AG1166">
        <v>-1.112459660861</v>
      </c>
      <c r="AH1166">
        <v>20.4247909992832</v>
      </c>
      <c r="AI1166">
        <v>93.115805744554393</v>
      </c>
      <c r="AJ1166">
        <v>91.945844468272995</v>
      </c>
      <c r="AK1166">
        <v>20.466831225849901</v>
      </c>
      <c r="AL1166">
        <v>81.179831216981</v>
      </c>
      <c r="AM1166">
        <v>97.702478918106607</v>
      </c>
      <c r="AN1166">
        <v>1.00000003442722</v>
      </c>
    </row>
    <row r="1167" spans="1:40" x14ac:dyDescent="0.25">
      <c r="A1167" t="str">
        <f>"20190304155344160"</f>
        <v>20190304155344160</v>
      </c>
      <c r="B1167" t="str">
        <f>"1551686024157096"</f>
        <v>1551686024157096</v>
      </c>
      <c r="C1167" t="s">
        <v>40</v>
      </c>
      <c r="D1167">
        <v>5.2103729999999997</v>
      </c>
      <c r="E1167">
        <v>0.5316651</v>
      </c>
      <c r="F1167" t="s">
        <v>63</v>
      </c>
      <c r="G1167">
        <v>-237.24209999999999</v>
      </c>
      <c r="H1167" s="1">
        <v>2.1682409999999999E-6</v>
      </c>
      <c r="I1167">
        <v>288.02229999999997</v>
      </c>
      <c r="J1167">
        <v>-217.43129999999999</v>
      </c>
      <c r="K1167">
        <v>1.1126849999999999</v>
      </c>
      <c r="L1167">
        <v>286.43340000000001</v>
      </c>
      <c r="M1167">
        <v>-0.99310719999999997</v>
      </c>
      <c r="N1167">
        <v>-1.2378760000000001E-2</v>
      </c>
      <c r="O1167">
        <v>0.1165544</v>
      </c>
      <c r="P1167">
        <v>-0.98972329999999997</v>
      </c>
      <c r="Q1167">
        <v>0.141789</v>
      </c>
      <c r="R1167">
        <v>-1.854573E-2</v>
      </c>
      <c r="S1167">
        <v>-3.0584259999999999</v>
      </c>
      <c r="T1167">
        <v>-0.169382</v>
      </c>
      <c r="U1167">
        <v>0.24646000000000001</v>
      </c>
      <c r="V1167">
        <v>-0.13470270000000001</v>
      </c>
      <c r="W1167">
        <v>0.153117</v>
      </c>
      <c r="X1167">
        <v>0.97898439999999998</v>
      </c>
      <c r="Y1167">
        <v>-3.6237239999999997E-2</v>
      </c>
      <c r="Z1167">
        <v>-6.2032229999999999E-3</v>
      </c>
      <c r="AA1167">
        <v>0.99932399999999999</v>
      </c>
      <c r="AB1167">
        <v>28</v>
      </c>
      <c r="AC1167">
        <v>-19.8108</v>
      </c>
      <c r="AD1167">
        <v>-1.1126828317590001</v>
      </c>
      <c r="AE1167">
        <v>1.58889999999996</v>
      </c>
      <c r="AF1167">
        <v>-0.72885933631668398</v>
      </c>
      <c r="AG1167">
        <v>-1.1126828317590001</v>
      </c>
      <c r="AH1167">
        <v>19.798904793724301</v>
      </c>
      <c r="AI1167">
        <v>93.214421289759201</v>
      </c>
      <c r="AJ1167">
        <v>92.108284012466797</v>
      </c>
      <c r="AK1167">
        <v>19.843536228383901</v>
      </c>
      <c r="AL1167">
        <v>81.1923956684263</v>
      </c>
      <c r="AM1167">
        <v>97.834380717383894</v>
      </c>
      <c r="AN1167">
        <v>1.00000004425982</v>
      </c>
    </row>
    <row r="1168" spans="1:40" x14ac:dyDescent="0.25">
      <c r="A1168" t="str">
        <f>"20190304155344183"</f>
        <v>20190304155344183</v>
      </c>
      <c r="B1168" t="str">
        <f>"1551686024177591"</f>
        <v>1551686024177591</v>
      </c>
      <c r="C1168" t="s">
        <v>40</v>
      </c>
      <c r="D1168">
        <v>5.2070949999999998</v>
      </c>
      <c r="E1168">
        <v>0.53137650000000003</v>
      </c>
      <c r="F1168" t="s">
        <v>63</v>
      </c>
      <c r="G1168">
        <v>-237.4871</v>
      </c>
      <c r="H1168" s="1">
        <v>2.3019599999999999E-6</v>
      </c>
      <c r="I1168">
        <v>287.94560000000001</v>
      </c>
      <c r="J1168">
        <v>-217.7159</v>
      </c>
      <c r="K1168">
        <v>1.1128670000000001</v>
      </c>
      <c r="L1168">
        <v>286.46280000000002</v>
      </c>
      <c r="M1168">
        <v>-0.99354569999999998</v>
      </c>
      <c r="N1168">
        <v>-1.237009E-2</v>
      </c>
      <c r="O1168">
        <v>0.1127571</v>
      </c>
      <c r="P1168">
        <v>-0.98962209999999995</v>
      </c>
      <c r="Q1168">
        <v>0.1416606</v>
      </c>
      <c r="R1168">
        <v>-2.410141E-2</v>
      </c>
      <c r="S1168">
        <v>-3.0598139999999998</v>
      </c>
      <c r="T1168">
        <v>-0.1697565</v>
      </c>
      <c r="U1168">
        <v>0.2307129</v>
      </c>
      <c r="V1168">
        <v>-0.1365304</v>
      </c>
      <c r="W1168">
        <v>0.15290390000000001</v>
      </c>
      <c r="X1168">
        <v>0.97876439999999998</v>
      </c>
      <c r="Y1168">
        <v>-3.7565220000000003E-2</v>
      </c>
      <c r="Z1168">
        <v>-6.1023450000000003E-3</v>
      </c>
      <c r="AA1168">
        <v>0.99927560000000004</v>
      </c>
      <c r="AB1168">
        <v>28</v>
      </c>
      <c r="AC1168">
        <v>-19.7712</v>
      </c>
      <c r="AD1168">
        <v>-1.1128646980399901</v>
      </c>
      <c r="AE1168">
        <v>1.4827999999999899</v>
      </c>
      <c r="AF1168">
        <v>-0.75379652332851499</v>
      </c>
      <c r="AG1168">
        <v>-1.1128646980399901</v>
      </c>
      <c r="AH1168">
        <v>19.750077389658699</v>
      </c>
      <c r="AI1168">
        <v>93.222714062257396</v>
      </c>
      <c r="AJ1168">
        <v>92.185733529941601</v>
      </c>
      <c r="AK1168">
        <v>19.795763029805901</v>
      </c>
      <c r="AL1168">
        <v>81.204750066263003</v>
      </c>
      <c r="AM1168">
        <v>97.9410959067948</v>
      </c>
      <c r="AN1168">
        <v>0.99999995173336298</v>
      </c>
    </row>
    <row r="1169" spans="1:40" x14ac:dyDescent="0.25">
      <c r="A1169" t="str">
        <f>"20190304155344206"</f>
        <v>20190304155344206</v>
      </c>
      <c r="B1169" t="str">
        <f>"1551686024197111"</f>
        <v>1551686024197111</v>
      </c>
      <c r="C1169" t="s">
        <v>40</v>
      </c>
      <c r="D1169">
        <v>5.1426689999999997</v>
      </c>
      <c r="E1169">
        <v>0.53105309999999994</v>
      </c>
      <c r="F1169" t="s">
        <v>63</v>
      </c>
      <c r="G1169">
        <v>-237.5368</v>
      </c>
      <c r="H1169" s="1">
        <v>2.3334719999999998E-6</v>
      </c>
      <c r="I1169">
        <v>287.82960000000003</v>
      </c>
      <c r="J1169">
        <v>-217.999</v>
      </c>
      <c r="K1169">
        <v>1.1130059999999999</v>
      </c>
      <c r="L1169">
        <v>286.49059999999997</v>
      </c>
      <c r="M1169">
        <v>-0.99398799999999998</v>
      </c>
      <c r="N1169">
        <v>-1.236335E-2</v>
      </c>
      <c r="O1169">
        <v>0.1087883</v>
      </c>
      <c r="P1169">
        <v>-0.98956409999999995</v>
      </c>
      <c r="Q1169">
        <v>0.1411559</v>
      </c>
      <c r="R1169">
        <v>-2.8954870000000001E-2</v>
      </c>
      <c r="S1169">
        <v>-3.061172</v>
      </c>
      <c r="T1169">
        <v>-0.17187239999999901</v>
      </c>
      <c r="U1169">
        <v>0.2110901</v>
      </c>
      <c r="V1169">
        <v>-0.13748099999999999</v>
      </c>
      <c r="W1169">
        <v>0.1523389</v>
      </c>
      <c r="X1169">
        <v>0.97871949999999996</v>
      </c>
      <c r="Y1169">
        <v>-3.9974099999999999E-2</v>
      </c>
      <c r="Z1169">
        <v>-6.1029659999999996E-3</v>
      </c>
      <c r="AA1169">
        <v>0.99918209999999996</v>
      </c>
      <c r="AB1169">
        <v>28</v>
      </c>
      <c r="AC1169">
        <v>-19.537799999999901</v>
      </c>
      <c r="AD1169">
        <v>-1.1130036665280001</v>
      </c>
      <c r="AE1169">
        <v>1.3390000000000499</v>
      </c>
      <c r="AF1169">
        <v>-0.79203658587035197</v>
      </c>
      <c r="AG1169">
        <v>-1.1130036665280001</v>
      </c>
      <c r="AH1169">
        <v>19.504502709460098</v>
      </c>
      <c r="AI1169">
        <v>93.263297029449205</v>
      </c>
      <c r="AJ1169">
        <v>92.3253827511042</v>
      </c>
      <c r="AK1169">
        <v>19.552281837637299</v>
      </c>
      <c r="AL1169">
        <v>81.237506466347995</v>
      </c>
      <c r="AM1169">
        <v>97.996035647656001</v>
      </c>
      <c r="AN1169">
        <v>1.0000000127472299</v>
      </c>
    </row>
    <row r="1170" spans="1:40" x14ac:dyDescent="0.25">
      <c r="A1170" t="str">
        <f>"20190304155344228"</f>
        <v>20190304155344228</v>
      </c>
      <c r="B1170" t="str">
        <f>"1551686024217607"</f>
        <v>1551686024217607</v>
      </c>
      <c r="C1170" t="s">
        <v>40</v>
      </c>
      <c r="D1170">
        <v>5.2313900000000002</v>
      </c>
      <c r="E1170">
        <v>0.53081339999999999</v>
      </c>
      <c r="F1170" t="s">
        <v>63</v>
      </c>
      <c r="G1170">
        <v>-237.4503</v>
      </c>
      <c r="H1170" s="1">
        <v>2.2923289999999998E-6</v>
      </c>
      <c r="I1170">
        <v>287.71719999999999</v>
      </c>
      <c r="J1170">
        <v>-218.27160000000001</v>
      </c>
      <c r="K1170">
        <v>1.113103</v>
      </c>
      <c r="L1170">
        <v>286.51620000000003</v>
      </c>
      <c r="M1170">
        <v>-0.99441159999999995</v>
      </c>
      <c r="N1170">
        <v>-1.235811E-2</v>
      </c>
      <c r="O1170">
        <v>0.1048472</v>
      </c>
      <c r="P1170">
        <v>-0.98953409999999997</v>
      </c>
      <c r="Q1170">
        <v>0.14019690000000001</v>
      </c>
      <c r="R1170">
        <v>-3.4159700000000001E-2</v>
      </c>
      <c r="S1170">
        <v>-3.0622859999999998</v>
      </c>
      <c r="T1170">
        <v>-0.17522409999999999</v>
      </c>
      <c r="U1170">
        <v>0.19311519999999999</v>
      </c>
      <c r="V1170">
        <v>-0.13879629999999901</v>
      </c>
      <c r="W1170">
        <v>0.15133179999999999</v>
      </c>
      <c r="X1170">
        <v>0.97869010000000001</v>
      </c>
      <c r="Y1170">
        <v>-4.1869719999999999E-2</v>
      </c>
      <c r="Z1170">
        <v>-6.1337650000000002E-3</v>
      </c>
      <c r="AA1170">
        <v>0.99910429999999995</v>
      </c>
      <c r="AB1170">
        <v>28</v>
      </c>
      <c r="AC1170">
        <v>-19.1786999999999</v>
      </c>
      <c r="AD1170">
        <v>-1.113100707671</v>
      </c>
      <c r="AE1170">
        <v>1.2009999999999601</v>
      </c>
      <c r="AF1170">
        <v>-0.81387619100444497</v>
      </c>
      <c r="AG1170">
        <v>-1.113100707671</v>
      </c>
      <c r="AH1170">
        <v>19.134705899763901</v>
      </c>
      <c r="AI1170">
        <v>93.326247219486902</v>
      </c>
      <c r="AJ1170">
        <v>92.435552466121493</v>
      </c>
      <c r="AK1170">
        <v>19.1843258289198</v>
      </c>
      <c r="AL1170">
        <v>81.295885967442004</v>
      </c>
      <c r="AM1170">
        <v>98.071770682644598</v>
      </c>
      <c r="AN1170">
        <v>1.00000001921146</v>
      </c>
    </row>
    <row r="1171" spans="1:40" x14ac:dyDescent="0.25">
      <c r="A1171" t="str">
        <f>"20190304155344248"</f>
        <v>20190304155344248</v>
      </c>
      <c r="B1171" t="str">
        <f>"1551686024237127"</f>
        <v>1551686024237127</v>
      </c>
      <c r="C1171" t="s">
        <v>40</v>
      </c>
      <c r="D1171">
        <v>5.1867729999999996</v>
      </c>
      <c r="E1171">
        <v>0.53074909999999997</v>
      </c>
      <c r="F1171" t="s">
        <v>63</v>
      </c>
      <c r="G1171">
        <v>-237.3237</v>
      </c>
      <c r="H1171" s="1">
        <v>2.2296039999999999E-6</v>
      </c>
      <c r="I1171">
        <v>287.61200000000002</v>
      </c>
      <c r="J1171">
        <v>-218.52109999999999</v>
      </c>
      <c r="K1171">
        <v>1.11317</v>
      </c>
      <c r="L1171">
        <v>286.5385</v>
      </c>
      <c r="M1171">
        <v>-0.99479419999999996</v>
      </c>
      <c r="N1171">
        <v>-1.235434E-2</v>
      </c>
      <c r="O1171">
        <v>0.1011528</v>
      </c>
      <c r="P1171">
        <v>-0.98953029999999997</v>
      </c>
      <c r="Q1171">
        <v>0.139089299999999</v>
      </c>
      <c r="R1171">
        <v>-3.8522750000000001E-2</v>
      </c>
      <c r="S1171">
        <v>-3.0631870000000001</v>
      </c>
      <c r="T1171">
        <v>-0.17896329999999999</v>
      </c>
      <c r="U1171">
        <v>0.176178</v>
      </c>
      <c r="V1171">
        <v>-0.139512</v>
      </c>
      <c r="W1171">
        <v>0.1501914</v>
      </c>
      <c r="X1171">
        <v>0.97876399999999997</v>
      </c>
      <c r="Y1171">
        <v>-4.367236E-2</v>
      </c>
      <c r="Z1171">
        <v>-6.1815050000000003E-3</v>
      </c>
      <c r="AA1171">
        <v>0.99902679999999999</v>
      </c>
      <c r="AB1171">
        <v>28</v>
      </c>
      <c r="AC1171">
        <v>-18.802600000000002</v>
      </c>
      <c r="AD1171">
        <v>-1.1131677703959999</v>
      </c>
      <c r="AE1171">
        <v>1.0735000000000201</v>
      </c>
      <c r="AF1171">
        <v>-0.83118389454827502</v>
      </c>
      <c r="AG1171">
        <v>-1.1131677703959999</v>
      </c>
      <c r="AH1171">
        <v>18.7492384995438</v>
      </c>
      <c r="AI1171">
        <v>93.394413682809301</v>
      </c>
      <c r="AJ1171">
        <v>92.538352050219402</v>
      </c>
      <c r="AK1171">
        <v>18.800637049429501</v>
      </c>
      <c r="AL1171">
        <v>81.361981470104396</v>
      </c>
      <c r="AM1171">
        <v>98.112235482942694</v>
      </c>
      <c r="AN1171">
        <v>1.00000001123697</v>
      </c>
    </row>
    <row r="1172" spans="1:40" x14ac:dyDescent="0.25">
      <c r="A1172" t="str">
        <f>"20190304155344272"</f>
        <v>20190304155344272</v>
      </c>
      <c r="B1172" t="str">
        <f>"1551686024267383"</f>
        <v>1551686024267383</v>
      </c>
      <c r="C1172" t="s">
        <v>40</v>
      </c>
      <c r="D1172">
        <v>5.137397</v>
      </c>
      <c r="E1172">
        <v>0.53054349999999995</v>
      </c>
      <c r="F1172" t="s">
        <v>63</v>
      </c>
      <c r="G1172">
        <v>-236.9906</v>
      </c>
      <c r="H1172" s="1">
        <v>2.0564419999999998E-6</v>
      </c>
      <c r="I1172">
        <v>287.5172</v>
      </c>
      <c r="J1172">
        <v>-218.79599999999999</v>
      </c>
      <c r="K1172">
        <v>1.1132359999999999</v>
      </c>
      <c r="L1172">
        <v>286.56200000000001</v>
      </c>
      <c r="M1172">
        <v>-0.9952086</v>
      </c>
      <c r="N1172">
        <v>-1.2351539999999999E-2</v>
      </c>
      <c r="O1172">
        <v>9.6990969999999996E-2</v>
      </c>
      <c r="P1172">
        <v>-0.9894944</v>
      </c>
      <c r="Q1172">
        <v>0.13832410000000001</v>
      </c>
      <c r="R1172">
        <v>-4.2042410000000002E-2</v>
      </c>
      <c r="S1172">
        <v>-3.0640260000000001</v>
      </c>
      <c r="T1172">
        <v>-0.18467069999999999</v>
      </c>
      <c r="U1172">
        <v>0.16235350000000001</v>
      </c>
      <c r="V1172">
        <v>-0.13892889999999999</v>
      </c>
      <c r="W1172">
        <v>0.14940690000000001</v>
      </c>
      <c r="X1172">
        <v>0.97896700000000003</v>
      </c>
      <c r="Y1172">
        <v>-4.3993070000000002E-2</v>
      </c>
      <c r="Z1172">
        <v>-6.2229690000000001E-3</v>
      </c>
      <c r="AA1172">
        <v>0.99901249999999997</v>
      </c>
      <c r="AB1172">
        <v>28</v>
      </c>
      <c r="AC1172">
        <v>-18.194600000000001</v>
      </c>
      <c r="AD1172">
        <v>-1.1132339435580001</v>
      </c>
      <c r="AE1172">
        <v>0.95519999999998995</v>
      </c>
      <c r="AF1172">
        <v>-0.81112260632711197</v>
      </c>
      <c r="AG1172">
        <v>-1.1132339435580001</v>
      </c>
      <c r="AH1172">
        <v>18.133758237938</v>
      </c>
      <c r="AI1172">
        <v>93.509486819028496</v>
      </c>
      <c r="AJ1172">
        <v>92.5611317858923</v>
      </c>
      <c r="AK1172">
        <v>18.1859945432624</v>
      </c>
      <c r="AL1172">
        <v>81.407443088132794</v>
      </c>
      <c r="AM1172">
        <v>98.077125248228299</v>
      </c>
      <c r="AN1172">
        <v>1.0000000240558999</v>
      </c>
    </row>
    <row r="1173" spans="1:40" x14ac:dyDescent="0.25">
      <c r="A1173" t="str">
        <f>"20190304155344293"</f>
        <v>20190304155344293</v>
      </c>
      <c r="B1173" t="str">
        <f>"1551686024286903"</f>
        <v>1551686024286903</v>
      </c>
      <c r="C1173" t="s">
        <v>40</v>
      </c>
      <c r="D1173">
        <v>5.1233029999999999</v>
      </c>
      <c r="E1173">
        <v>0.53049939999999995</v>
      </c>
      <c r="F1173" t="s">
        <v>63</v>
      </c>
      <c r="G1173">
        <v>-236.85509999999999</v>
      </c>
      <c r="H1173" s="1">
        <v>1.987774E-6</v>
      </c>
      <c r="I1173">
        <v>287.43889999999999</v>
      </c>
      <c r="J1173">
        <v>-219.06100000000001</v>
      </c>
      <c r="K1173">
        <v>1.1133040000000001</v>
      </c>
      <c r="L1173">
        <v>286.58339999999998</v>
      </c>
      <c r="M1173">
        <v>-0.99559940000000002</v>
      </c>
      <c r="N1173">
        <v>-1.235035E-2</v>
      </c>
      <c r="O1173">
        <v>9.2895939999999996E-2</v>
      </c>
      <c r="P1173">
        <v>-0.98933510000000002</v>
      </c>
      <c r="Q1173">
        <v>0.1386645</v>
      </c>
      <c r="R1173">
        <v>-4.4593729999999998E-2</v>
      </c>
      <c r="S1173">
        <v>-3.064575</v>
      </c>
      <c r="T1173">
        <v>-0.188912</v>
      </c>
      <c r="U1173">
        <v>0.14880370000000001</v>
      </c>
      <c r="V1173">
        <v>-0.13744579999999901</v>
      </c>
      <c r="W1173">
        <v>0.14973649999999999</v>
      </c>
      <c r="X1173">
        <v>0.97912600000000005</v>
      </c>
      <c r="Y1173">
        <v>-4.4291980000000002E-2</v>
      </c>
      <c r="Z1173">
        <v>-6.1976280000000002E-3</v>
      </c>
      <c r="AA1173">
        <v>0.99899939999999998</v>
      </c>
      <c r="AB1173">
        <v>28</v>
      </c>
      <c r="AC1173">
        <v>-17.7941</v>
      </c>
      <c r="AD1173">
        <v>-1.113302012226</v>
      </c>
      <c r="AE1173">
        <v>0.85550000000000603</v>
      </c>
      <c r="AF1173">
        <v>-0.79820797162031598</v>
      </c>
      <c r="AG1173">
        <v>-1.113302012226</v>
      </c>
      <c r="AH1173">
        <v>17.727388494531699</v>
      </c>
      <c r="AI1173">
        <v>93.589899041345205</v>
      </c>
      <c r="AJ1173">
        <v>92.578105527377204</v>
      </c>
      <c r="AK1173">
        <v>17.780238473441301</v>
      </c>
      <c r="AL1173">
        <v>81.388343733718102</v>
      </c>
      <c r="AM1173">
        <v>97.990738880535304</v>
      </c>
      <c r="AN1173">
        <v>1.0000000456229401</v>
      </c>
    </row>
    <row r="1174" spans="1:40" x14ac:dyDescent="0.25">
      <c r="A1174" t="str">
        <f>"20190304155344316"</f>
        <v>20190304155344316</v>
      </c>
      <c r="B1174" t="str">
        <f>"1551686024307399"</f>
        <v>1551686024307399</v>
      </c>
      <c r="C1174" t="s">
        <v>40</v>
      </c>
      <c r="D1174">
        <v>5.156968</v>
      </c>
      <c r="E1174">
        <v>0.53051680000000001</v>
      </c>
      <c r="F1174" t="s">
        <v>63</v>
      </c>
      <c r="G1174">
        <v>-237.0806</v>
      </c>
      <c r="H1174" s="1">
        <v>2.1093100000000001E-6</v>
      </c>
      <c r="I1174">
        <v>287.40370000000001</v>
      </c>
      <c r="J1174">
        <v>-219.3339</v>
      </c>
      <c r="K1174">
        <v>1.1133879999999901</v>
      </c>
      <c r="L1174">
        <v>286.60430000000002</v>
      </c>
      <c r="M1174">
        <v>-0.99599070000000001</v>
      </c>
      <c r="N1174">
        <v>-1.235058E-2</v>
      </c>
      <c r="O1174">
        <v>8.8599410000000003E-2</v>
      </c>
      <c r="P1174">
        <v>-0.98902500000000004</v>
      </c>
      <c r="Q1174">
        <v>0.1401511</v>
      </c>
      <c r="R1174">
        <v>-4.6768490000000003E-2</v>
      </c>
      <c r="S1174">
        <v>-3.0651549999999999</v>
      </c>
      <c r="T1174">
        <v>-0.18937419999999999</v>
      </c>
      <c r="U1174">
        <v>0.13952639999999999</v>
      </c>
      <c r="V1174">
        <v>-0.13538739999999999</v>
      </c>
      <c r="W1174">
        <v>0.1512172</v>
      </c>
      <c r="X1174">
        <v>0.97918519999999998</v>
      </c>
      <c r="Y1174">
        <v>-4.3014719999999999E-2</v>
      </c>
      <c r="Z1174">
        <v>-5.9561450000000004E-3</v>
      </c>
      <c r="AA1174">
        <v>0.99905670000000002</v>
      </c>
      <c r="AB1174">
        <v>28</v>
      </c>
      <c r="AC1174">
        <v>-17.746700000000001</v>
      </c>
      <c r="AD1174">
        <v>-1.1133858906899901</v>
      </c>
      <c r="AE1174">
        <v>0.79939999999999101</v>
      </c>
      <c r="AF1174">
        <v>-0.77317437839151804</v>
      </c>
      <c r="AG1174">
        <v>-1.1133858906899901</v>
      </c>
      <c r="AH1174">
        <v>17.678288326096901</v>
      </c>
      <c r="AI1174">
        <v>93.600319383085804</v>
      </c>
      <c r="AJ1174">
        <v>92.504281777901596</v>
      </c>
      <c r="AK1174">
        <v>17.7301806223626</v>
      </c>
      <c r="AL1174">
        <v>81.302528538620706</v>
      </c>
      <c r="AM1174">
        <v>97.872110597862104</v>
      </c>
      <c r="AN1174">
        <v>1.00000002277681</v>
      </c>
    </row>
    <row r="1175" spans="1:40" x14ac:dyDescent="0.25">
      <c r="A1175" t="str">
        <f>"20190304155344337"</f>
        <v>20190304155344337</v>
      </c>
      <c r="B1175" t="str">
        <f>"1551686024327895"</f>
        <v>1551686024327895</v>
      </c>
      <c r="C1175" t="s">
        <v>40</v>
      </c>
      <c r="D1175">
        <v>5.2166629999999996</v>
      </c>
      <c r="E1175">
        <v>0.53051079999999995</v>
      </c>
      <c r="F1175" t="s">
        <v>63</v>
      </c>
      <c r="G1175">
        <v>-237.7148</v>
      </c>
      <c r="H1175" s="1">
        <v>2.4473080000000001E-6</v>
      </c>
      <c r="I1175">
        <v>287.39269999999999</v>
      </c>
      <c r="J1175">
        <v>-219.60380000000001</v>
      </c>
      <c r="K1175">
        <v>1.113461</v>
      </c>
      <c r="L1175">
        <v>286.62360000000001</v>
      </c>
      <c r="M1175">
        <v>-0.99636639999999999</v>
      </c>
      <c r="N1175">
        <v>-1.235194E-2</v>
      </c>
      <c r="O1175">
        <v>8.4271319999999997E-2</v>
      </c>
      <c r="P1175">
        <v>-0.98864759999999996</v>
      </c>
      <c r="Q1175">
        <v>0.14204849999999999</v>
      </c>
      <c r="R1175">
        <v>-4.8973599999999999E-2</v>
      </c>
      <c r="S1175">
        <v>-3.065842</v>
      </c>
      <c r="T1175">
        <v>-0.18570700000000001</v>
      </c>
      <c r="U1175">
        <v>0.13150020000000001</v>
      </c>
      <c r="V1175">
        <v>-0.13332929999999901</v>
      </c>
      <c r="W1175">
        <v>0.15311079999999999</v>
      </c>
      <c r="X1175">
        <v>0.97917330000000002</v>
      </c>
      <c r="Y1175">
        <v>-4.1311880000000002E-2</v>
      </c>
      <c r="Z1175">
        <v>-5.5546099999999998E-3</v>
      </c>
      <c r="AA1175">
        <v>0.99913079999999999</v>
      </c>
      <c r="AB1175">
        <v>28</v>
      </c>
      <c r="AC1175">
        <v>-18.110999999999901</v>
      </c>
      <c r="AD1175">
        <v>-1.113458552692</v>
      </c>
      <c r="AE1175">
        <v>0.76909999999998002</v>
      </c>
      <c r="AF1175">
        <v>-0.75713374364016095</v>
      </c>
      <c r="AG1175">
        <v>-1.113458552692</v>
      </c>
      <c r="AH1175">
        <v>18.043308098340201</v>
      </c>
      <c r="AI1175">
        <v>93.528166637058405</v>
      </c>
      <c r="AJ1175">
        <v>92.402837273474603</v>
      </c>
      <c r="AK1175">
        <v>18.093479725745201</v>
      </c>
      <c r="AL1175">
        <v>81.192754618200794</v>
      </c>
      <c r="AM1175">
        <v>97.754002092153499</v>
      </c>
      <c r="AN1175">
        <v>0.99999998537401003</v>
      </c>
    </row>
    <row r="1176" spans="1:40" x14ac:dyDescent="0.25">
      <c r="A1176" t="str">
        <f>"20190304155344361"</f>
        <v>20190304155344361</v>
      </c>
      <c r="B1176" t="str">
        <f>"1551686024357175"</f>
        <v>1551686024357175</v>
      </c>
      <c r="C1176" t="s">
        <v>40</v>
      </c>
      <c r="D1176">
        <v>5.1285730000000003</v>
      </c>
      <c r="E1176">
        <v>0.53048589999999995</v>
      </c>
      <c r="F1176" t="s">
        <v>63</v>
      </c>
      <c r="G1176">
        <v>-238.52269999999999</v>
      </c>
      <c r="H1176" s="1">
        <v>2.8772269999999999E-6</v>
      </c>
      <c r="I1176">
        <v>287.39179999999999</v>
      </c>
      <c r="J1176">
        <v>-219.886</v>
      </c>
      <c r="K1176">
        <v>1.1135299999999999</v>
      </c>
      <c r="L1176">
        <v>286.64249999999998</v>
      </c>
      <c r="M1176">
        <v>-0.9967452</v>
      </c>
      <c r="N1176">
        <v>-1.2353909999999999E-2</v>
      </c>
      <c r="O1176">
        <v>7.9664360000000004E-2</v>
      </c>
      <c r="P1176">
        <v>-0.98835189999999995</v>
      </c>
      <c r="Q1176">
        <v>0.14316139999999999</v>
      </c>
      <c r="R1176">
        <v>-5.162448E-2</v>
      </c>
      <c r="S1176">
        <v>-3.0665279999999999</v>
      </c>
      <c r="T1176">
        <v>-0.1804789</v>
      </c>
      <c r="U1176">
        <v>0.1245117</v>
      </c>
      <c r="V1176">
        <v>-0.13144459999999999</v>
      </c>
      <c r="W1176">
        <v>0.15422089999999999</v>
      </c>
      <c r="X1176">
        <v>0.97925390000000001</v>
      </c>
      <c r="Y1176">
        <v>-3.8996700000000002E-2</v>
      </c>
      <c r="Z1176">
        <v>-5.0800430000000002E-3</v>
      </c>
      <c r="AA1176">
        <v>0.99922650000000002</v>
      </c>
      <c r="AB1176">
        <v>28</v>
      </c>
      <c r="AC1176">
        <v>-18.636699999999902</v>
      </c>
      <c r="AD1176">
        <v>-1.1135271227729999</v>
      </c>
      <c r="AE1176">
        <v>0.74930000000000496</v>
      </c>
      <c r="AF1176">
        <v>-0.73525530307932196</v>
      </c>
      <c r="AG1176">
        <v>-1.1135271227729999</v>
      </c>
      <c r="AH1176">
        <v>18.570965166030899</v>
      </c>
      <c r="AI1176">
        <v>93.428704017482403</v>
      </c>
      <c r="AJ1176">
        <v>92.2672507686476</v>
      </c>
      <c r="AK1176">
        <v>18.618842343491401</v>
      </c>
      <c r="AL1176">
        <v>81.128386049599897</v>
      </c>
      <c r="AM1176">
        <v>97.645077843237303</v>
      </c>
      <c r="AN1176">
        <v>0.99999998476558905</v>
      </c>
    </row>
    <row r="1177" spans="1:40" x14ac:dyDescent="0.25">
      <c r="A1177" t="str">
        <f>"20190304155344383"</f>
        <v>20190304155344383</v>
      </c>
      <c r="B1177" t="str">
        <f>"1551686024377671"</f>
        <v>1551686024377671</v>
      </c>
      <c r="C1177" t="s">
        <v>40</v>
      </c>
      <c r="D1177">
        <v>5.1983030000000001</v>
      </c>
      <c r="E1177">
        <v>0.53050509999999995</v>
      </c>
      <c r="F1177" t="s">
        <v>63</v>
      </c>
      <c r="G1177">
        <v>-239.06620000000001</v>
      </c>
      <c r="H1177" s="1">
        <v>3.1673280000000001E-6</v>
      </c>
      <c r="I1177">
        <v>287.3723</v>
      </c>
      <c r="J1177">
        <v>-220.1576</v>
      </c>
      <c r="K1177">
        <v>1.1135900000000001</v>
      </c>
      <c r="L1177">
        <v>286.65929999999997</v>
      </c>
      <c r="M1177">
        <v>-0.99709559999999997</v>
      </c>
      <c r="N1177">
        <v>-1.235609E-2</v>
      </c>
      <c r="O1177">
        <v>7.515173E-2</v>
      </c>
      <c r="P1177">
        <v>-0.98811890000000002</v>
      </c>
      <c r="Q1177">
        <v>0.14379400000000001</v>
      </c>
      <c r="R1177">
        <v>-5.426044E-2</v>
      </c>
      <c r="S1177">
        <v>-3.0672760000000001</v>
      </c>
      <c r="T1177">
        <v>-0.17807410000000001</v>
      </c>
      <c r="U1177">
        <v>0.1166992</v>
      </c>
      <c r="V1177">
        <v>-0.1296387</v>
      </c>
      <c r="W1177">
        <v>0.15485550000000001</v>
      </c>
      <c r="X1177">
        <v>0.97939449999999995</v>
      </c>
      <c r="Y1177">
        <v>-3.7038099999999997E-2</v>
      </c>
      <c r="Z1177">
        <v>-4.7274760000000004E-3</v>
      </c>
      <c r="AA1177">
        <v>0.99930269999999999</v>
      </c>
      <c r="AB1177">
        <v>28</v>
      </c>
      <c r="AC1177">
        <v>-18.9086</v>
      </c>
      <c r="AD1177">
        <v>-1.11358683267199</v>
      </c>
      <c r="AE1177">
        <v>0.71300000000002195</v>
      </c>
      <c r="AF1177">
        <v>-0.70768795712485899</v>
      </c>
      <c r="AG1177">
        <v>-1.11358683267199</v>
      </c>
      <c r="AH1177">
        <v>18.843443823344199</v>
      </c>
      <c r="AI1177">
        <v>93.379685367765305</v>
      </c>
      <c r="AJ1177">
        <v>92.150800352333803</v>
      </c>
      <c r="AK1177">
        <v>18.8895810700526</v>
      </c>
      <c r="AL1177">
        <v>81.091584196752507</v>
      </c>
      <c r="AM1177">
        <v>97.540190109382905</v>
      </c>
      <c r="AN1177">
        <v>1.00000000252409</v>
      </c>
    </row>
    <row r="1178" spans="1:40" x14ac:dyDescent="0.25">
      <c r="A1178" t="str">
        <f>"20190304155344406"</f>
        <v>20190304155344406</v>
      </c>
      <c r="B1178" t="str">
        <f>"1551686024397191"</f>
        <v>1551686024397191</v>
      </c>
      <c r="C1178" t="s">
        <v>40</v>
      </c>
      <c r="D1178">
        <v>5.176024</v>
      </c>
      <c r="E1178">
        <v>0.53054080000000003</v>
      </c>
      <c r="F1178" t="s">
        <v>63</v>
      </c>
      <c r="G1178">
        <v>-239.4948</v>
      </c>
      <c r="H1178" s="1">
        <v>3.3966889999999999E-6</v>
      </c>
      <c r="I1178">
        <v>287.34339999999997</v>
      </c>
      <c r="J1178">
        <v>-220.44049999999999</v>
      </c>
      <c r="K1178">
        <v>1.113626</v>
      </c>
      <c r="L1178">
        <v>286.67540000000002</v>
      </c>
      <c r="M1178">
        <v>-0.99744310000000003</v>
      </c>
      <c r="N1178">
        <v>-1.2358330000000001E-2</v>
      </c>
      <c r="O1178">
        <v>7.0388060000000002E-2</v>
      </c>
      <c r="P1178">
        <v>-0.98795250000000001</v>
      </c>
      <c r="Q1178">
        <v>0.14385039999999999</v>
      </c>
      <c r="R1178">
        <v>-5.7069969999999998E-2</v>
      </c>
      <c r="S1178">
        <v>-3.0677340000000002</v>
      </c>
      <c r="T1178">
        <v>-0.176663299999999</v>
      </c>
      <c r="U1178">
        <v>0.10852050000000001</v>
      </c>
      <c r="V1178">
        <v>-0.12775699999999901</v>
      </c>
      <c r="W1178">
        <v>0.15491949999999999</v>
      </c>
      <c r="X1178">
        <v>0.97963160000000005</v>
      </c>
      <c r="Y1178">
        <v>-3.4942590000000003E-2</v>
      </c>
      <c r="Z1178">
        <v>-4.39639E-3</v>
      </c>
      <c r="AA1178">
        <v>0.99937960000000003</v>
      </c>
      <c r="AB1178">
        <v>28</v>
      </c>
      <c r="AC1178">
        <v>-19.054300000000001</v>
      </c>
      <c r="AD1178">
        <v>-1.1136226033109999</v>
      </c>
      <c r="AE1178">
        <v>0.66799999999994897</v>
      </c>
      <c r="AF1178">
        <v>-0.67265994481279601</v>
      </c>
      <c r="AG1178">
        <v>-1.1136226033109999</v>
      </c>
      <c r="AH1178">
        <v>18.989271331225499</v>
      </c>
      <c r="AI1178">
        <v>93.354158251767103</v>
      </c>
      <c r="AJ1178">
        <v>92.028749134178</v>
      </c>
      <c r="AK1178">
        <v>19.033787126971401</v>
      </c>
      <c r="AL1178">
        <v>81.087872335862897</v>
      </c>
      <c r="AM1178">
        <v>97.430198285694701</v>
      </c>
      <c r="AN1178">
        <v>0.99999998712390503</v>
      </c>
    </row>
    <row r="1179" spans="1:40" x14ac:dyDescent="0.25">
      <c r="A1179" t="str">
        <f>"20190304155344429"</f>
        <v>20190304155344429</v>
      </c>
      <c r="B1179" t="str">
        <f>"1551686024427447"</f>
        <v>1551686024427447</v>
      </c>
      <c r="C1179" t="s">
        <v>40</v>
      </c>
      <c r="D1179">
        <v>5.1443390000000004</v>
      </c>
      <c r="E1179">
        <v>0.53064339999999999</v>
      </c>
      <c r="F1179" t="s">
        <v>63</v>
      </c>
      <c r="G1179">
        <v>-239.70740000000001</v>
      </c>
      <c r="H1179" s="1">
        <v>3.5116700000000002E-6</v>
      </c>
      <c r="I1179">
        <v>287.30009999999999</v>
      </c>
      <c r="J1179">
        <v>-220.71530000000001</v>
      </c>
      <c r="K1179">
        <v>1.1136569999999999</v>
      </c>
      <c r="L1179">
        <v>286.68959999999998</v>
      </c>
      <c r="M1179">
        <v>-0.99776169999999997</v>
      </c>
      <c r="N1179">
        <v>-1.236016E-2</v>
      </c>
      <c r="O1179">
        <v>6.5719040000000006E-2</v>
      </c>
      <c r="P1179">
        <v>-0.98763780000000001</v>
      </c>
      <c r="Q1179">
        <v>0.1449056</v>
      </c>
      <c r="R1179">
        <v>-5.9783160000000002E-2</v>
      </c>
      <c r="S1179">
        <v>-3.0681150000000001</v>
      </c>
      <c r="T1179">
        <v>-0.17733650000000001</v>
      </c>
      <c r="U1179">
        <v>9.9487300000000001E-2</v>
      </c>
      <c r="V1179">
        <v>-0.12586829999999999</v>
      </c>
      <c r="W1179">
        <v>0.1559846</v>
      </c>
      <c r="X1179">
        <v>0.97970710000000005</v>
      </c>
      <c r="Y1179">
        <v>-3.3215689999999999E-2</v>
      </c>
      <c r="Z1179">
        <v>-4.1435049999999996E-3</v>
      </c>
      <c r="AA1179">
        <v>0.99943959999999998</v>
      </c>
      <c r="AB1179">
        <v>27</v>
      </c>
      <c r="AC1179">
        <v>-18.992099999999901</v>
      </c>
      <c r="AD1179">
        <v>-1.11365348833</v>
      </c>
      <c r="AE1179">
        <v>0.61050000000000104</v>
      </c>
      <c r="AF1179">
        <v>-0.63687027976421395</v>
      </c>
      <c r="AG1179">
        <v>-1.11365348833</v>
      </c>
      <c r="AH1179">
        <v>18.9261523383073</v>
      </c>
      <c r="AI1179">
        <v>93.365617219561599</v>
      </c>
      <c r="AJ1179">
        <v>91.927291653915304</v>
      </c>
      <c r="AK1179">
        <v>18.969582762362801</v>
      </c>
      <c r="AL1179">
        <v>81.0260958394326</v>
      </c>
      <c r="AM1179">
        <v>97.320996247336595</v>
      </c>
      <c r="AN1179">
        <v>1.0000000130862201</v>
      </c>
    </row>
    <row r="1180" spans="1:40" x14ac:dyDescent="0.25">
      <c r="A1180" t="str">
        <f>"20190304155344450"</f>
        <v>20190304155344450</v>
      </c>
      <c r="B1180" t="str">
        <f>"1551686024446968"</f>
        <v>1551686024446968</v>
      </c>
      <c r="C1180" t="s">
        <v>40</v>
      </c>
      <c r="D1180">
        <v>5.2127039999999996</v>
      </c>
      <c r="E1180">
        <v>0.53071820000000003</v>
      </c>
      <c r="F1180" t="s">
        <v>63</v>
      </c>
      <c r="G1180">
        <v>-240.19739999999999</v>
      </c>
      <c r="H1180" s="1">
        <v>-1.4317279999999999E-6</v>
      </c>
      <c r="I1180">
        <v>287.27159999999998</v>
      </c>
      <c r="J1180">
        <v>-220.9768</v>
      </c>
      <c r="K1180">
        <v>1.1136760000000001</v>
      </c>
      <c r="L1180">
        <v>286.70209999999997</v>
      </c>
      <c r="M1180">
        <v>-0.99804570000000004</v>
      </c>
      <c r="N1180">
        <v>-1.2361469999999999E-2</v>
      </c>
      <c r="O1180">
        <v>6.1253799999999997E-2</v>
      </c>
      <c r="P1180">
        <v>-0.98728039999999995</v>
      </c>
      <c r="Q1180">
        <v>0.14626329999999901</v>
      </c>
      <c r="R1180">
        <v>-6.2327340000000002E-2</v>
      </c>
      <c r="S1180">
        <v>-3.068832</v>
      </c>
      <c r="T1180">
        <v>-0.175424</v>
      </c>
      <c r="U1180">
        <v>9.1674800000000001E-2</v>
      </c>
      <c r="V1180">
        <v>-0.12400949999999999</v>
      </c>
      <c r="W1180">
        <v>0.15735499999999999</v>
      </c>
      <c r="X1180">
        <v>0.97972499999999996</v>
      </c>
      <c r="Y1180">
        <v>-3.130438E-2</v>
      </c>
      <c r="Z1180">
        <v>-3.825813E-3</v>
      </c>
      <c r="AA1180">
        <v>0.99950260000000002</v>
      </c>
      <c r="AB1180">
        <v>27</v>
      </c>
      <c r="AC1180">
        <v>-19.220599999999902</v>
      </c>
      <c r="AD1180">
        <v>-1.113677431728</v>
      </c>
      <c r="AE1180">
        <v>0.569500000000005</v>
      </c>
      <c r="AF1180">
        <v>-0.60695834715470198</v>
      </c>
      <c r="AG1180">
        <v>-1.113677431728</v>
      </c>
      <c r="AH1180">
        <v>19.155136819873899</v>
      </c>
      <c r="AI1180">
        <v>93.325758759722802</v>
      </c>
      <c r="AJ1180">
        <v>91.814892797880205</v>
      </c>
      <c r="AK1180">
        <v>19.1970816127142</v>
      </c>
      <c r="AL1180">
        <v>80.946595963626507</v>
      </c>
      <c r="AM1180">
        <v>97.213898104376099</v>
      </c>
      <c r="AN1180">
        <v>1.0000000138701199</v>
      </c>
    </row>
    <row r="1181" spans="1:40" x14ac:dyDescent="0.25">
      <c r="A1181" t="str">
        <f>"20190304155344474"</f>
        <v>20190304155344474</v>
      </c>
      <c r="B1181" t="str">
        <f>"1551686024467463"</f>
        <v>1551686024467463</v>
      </c>
      <c r="C1181" t="s">
        <v>40</v>
      </c>
      <c r="D1181">
        <v>5.1907880000000004</v>
      </c>
      <c r="E1181">
        <v>0.53080530000000004</v>
      </c>
      <c r="F1181" t="s">
        <v>63</v>
      </c>
      <c r="G1181">
        <v>-240.8758</v>
      </c>
      <c r="H1181" s="1">
        <v>-1.0707190000000001E-6</v>
      </c>
      <c r="I1181">
        <v>287.2473</v>
      </c>
      <c r="J1181">
        <v>-221.2586</v>
      </c>
      <c r="K1181">
        <v>1.113688</v>
      </c>
      <c r="L1181">
        <v>286.71409999999997</v>
      </c>
      <c r="M1181">
        <v>-0.99832989999999999</v>
      </c>
      <c r="N1181">
        <v>-1.2362389999999999E-2</v>
      </c>
      <c r="O1181">
        <v>5.643227E-2</v>
      </c>
      <c r="P1181">
        <v>-0.98691139999999999</v>
      </c>
      <c r="Q1181">
        <v>0.14756620000000001</v>
      </c>
      <c r="R1181">
        <v>-6.5038559999999995E-2</v>
      </c>
      <c r="S1181">
        <v>-3.0694119999999998</v>
      </c>
      <c r="T1181">
        <v>-0.1717842</v>
      </c>
      <c r="U1181">
        <v>8.4106449999999999E-2</v>
      </c>
      <c r="V1181">
        <v>-0.1219669</v>
      </c>
      <c r="W1181">
        <v>0.15867479999999901</v>
      </c>
      <c r="X1181">
        <v>0.97976850000000004</v>
      </c>
      <c r="Y1181">
        <v>-2.8959120000000001E-2</v>
      </c>
      <c r="Z1181">
        <v>-3.4446630000000002E-3</v>
      </c>
      <c r="AA1181">
        <v>0.99957470000000004</v>
      </c>
      <c r="AB1181">
        <v>27</v>
      </c>
      <c r="AC1181">
        <v>-19.6172</v>
      </c>
      <c r="AD1181">
        <v>-1.1136890707189999</v>
      </c>
      <c r="AE1181">
        <v>0.53320000000002199</v>
      </c>
      <c r="AF1181">
        <v>-0.57293237127727503</v>
      </c>
      <c r="AG1181">
        <v>-1.1136890707189999</v>
      </c>
      <c r="AH1181">
        <v>19.553053779300399</v>
      </c>
      <c r="AI1181">
        <v>93.258495027866104</v>
      </c>
      <c r="AJ1181">
        <v>91.678367857094401</v>
      </c>
      <c r="AK1181">
        <v>19.5931229502729</v>
      </c>
      <c r="AL1181">
        <v>80.870014431877706</v>
      </c>
      <c r="AM1181">
        <v>97.095985229296502</v>
      </c>
      <c r="AN1181">
        <v>0.99999996522144896</v>
      </c>
    </row>
    <row r="1182" spans="1:40" x14ac:dyDescent="0.25">
      <c r="A1182" t="str">
        <f>"20190304155344496"</f>
        <v>20190304155344496</v>
      </c>
      <c r="B1182" t="str">
        <f>"1551686024486983"</f>
        <v>1551686024486983</v>
      </c>
      <c r="C1182" t="s">
        <v>40</v>
      </c>
      <c r="D1182">
        <v>5.168139</v>
      </c>
      <c r="E1182">
        <v>0.53089699999999995</v>
      </c>
      <c r="F1182" t="s">
        <v>63</v>
      </c>
      <c r="G1182">
        <v>-241.54740000000001</v>
      </c>
      <c r="H1182" s="1">
        <v>-7.1332079999999997E-7</v>
      </c>
      <c r="I1182">
        <v>287.21390000000002</v>
      </c>
      <c r="J1182">
        <v>-221.5429</v>
      </c>
      <c r="K1182">
        <v>1.1136889999999999</v>
      </c>
      <c r="L1182">
        <v>286.72489999999999</v>
      </c>
      <c r="M1182">
        <v>-0.99859319999999896</v>
      </c>
      <c r="N1182">
        <v>-1.2362969999999999E-2</v>
      </c>
      <c r="O1182">
        <v>5.1563270000000001E-2</v>
      </c>
      <c r="P1182">
        <v>-0.98667380000000005</v>
      </c>
      <c r="Q1182">
        <v>0.14831800000000001</v>
      </c>
      <c r="R1182">
        <v>-6.6907549999999996E-2</v>
      </c>
      <c r="S1182">
        <v>-3.0699619999999999</v>
      </c>
      <c r="T1182">
        <v>-0.1685152</v>
      </c>
      <c r="U1182">
        <v>7.5622560000000005E-2</v>
      </c>
      <c r="V1182">
        <v>-0.1190397</v>
      </c>
      <c r="W1182">
        <v>0.15945390000000001</v>
      </c>
      <c r="X1182">
        <v>0.98000200000000004</v>
      </c>
      <c r="Y1182">
        <v>-2.6862730000000001E-2</v>
      </c>
      <c r="Z1182">
        <v>-3.0919400000000001E-3</v>
      </c>
      <c r="AA1182">
        <v>0.99963429999999998</v>
      </c>
      <c r="AB1182">
        <v>27</v>
      </c>
      <c r="AC1182">
        <v>-20.0045</v>
      </c>
      <c r="AD1182">
        <v>-1.1136897133207999</v>
      </c>
      <c r="AE1182">
        <v>0.48900000000003202</v>
      </c>
      <c r="AF1182">
        <v>-0.54154941954185298</v>
      </c>
      <c r="AG1182">
        <v>-1.1136897133207999</v>
      </c>
      <c r="AH1182">
        <v>19.9413323049436</v>
      </c>
      <c r="AI1182">
        <v>93.195376194483799</v>
      </c>
      <c r="AJ1182">
        <v>91.555606771696802</v>
      </c>
      <c r="AK1182">
        <v>19.979747612208499</v>
      </c>
      <c r="AL1182">
        <v>80.824799557121906</v>
      </c>
      <c r="AM1182">
        <v>96.925722244038198</v>
      </c>
      <c r="AN1182">
        <v>0.99999995820264898</v>
      </c>
    </row>
    <row r="1183" spans="1:40" x14ac:dyDescent="0.25">
      <c r="A1183" t="str">
        <f>"20190304155344517"</f>
        <v>20190304155344517</v>
      </c>
      <c r="B1183" t="str">
        <f>"1551686024506900"</f>
        <v>1551686024506900</v>
      </c>
      <c r="C1183" t="s">
        <v>40</v>
      </c>
      <c r="D1183">
        <v>5.1786560000000001</v>
      </c>
      <c r="E1183">
        <v>0.53092039999999996</v>
      </c>
      <c r="F1183" t="s">
        <v>63</v>
      </c>
      <c r="G1183">
        <v>-242.05799999999999</v>
      </c>
      <c r="H1183" s="1">
        <v>-4.4160360000000002E-7</v>
      </c>
      <c r="I1183">
        <v>287.19690000000003</v>
      </c>
      <c r="J1183">
        <v>-221.79560000000001</v>
      </c>
      <c r="K1183">
        <v>1.113699</v>
      </c>
      <c r="L1183">
        <v>286.73320000000001</v>
      </c>
      <c r="M1183">
        <v>-0.99880709999999995</v>
      </c>
      <c r="N1183">
        <v>-1.2363310000000001E-2</v>
      </c>
      <c r="O1183">
        <v>4.7239879999999998E-2</v>
      </c>
      <c r="P1183">
        <v>-0.98634409999999895</v>
      </c>
      <c r="Q1183">
        <v>0.15010279999999901</v>
      </c>
      <c r="R1183">
        <v>-6.7783769999999993E-2</v>
      </c>
      <c r="S1183">
        <v>-3.0703580000000001</v>
      </c>
      <c r="T1183">
        <v>-0.1666783</v>
      </c>
      <c r="U1183">
        <v>7.064819E-2</v>
      </c>
      <c r="V1183">
        <v>-0.1156623</v>
      </c>
      <c r="W1183">
        <v>0.16126879999999999</v>
      </c>
      <c r="X1183">
        <v>0.98010949999999997</v>
      </c>
      <c r="Y1183">
        <v>-2.4167939999999999E-2</v>
      </c>
      <c r="Z1183">
        <v>-2.7822739999999999E-3</v>
      </c>
      <c r="AA1183">
        <v>0.99970409999999998</v>
      </c>
      <c r="AB1183">
        <v>27</v>
      </c>
      <c r="AC1183">
        <v>-20.2623999999999</v>
      </c>
      <c r="AD1183">
        <v>-1.1136994416035999</v>
      </c>
      <c r="AE1183">
        <v>0.46370000000001699</v>
      </c>
      <c r="AF1183">
        <v>-0.49259686628112098</v>
      </c>
      <c r="AG1183">
        <v>-1.1136994416035999</v>
      </c>
      <c r="AH1183">
        <v>20.2006870454432</v>
      </c>
      <c r="AI1183">
        <v>93.154686691762095</v>
      </c>
      <c r="AJ1183">
        <v>91.396889575738598</v>
      </c>
      <c r="AK1183">
        <v>20.237359887762899</v>
      </c>
      <c r="AL1183">
        <v>80.719450543302699</v>
      </c>
      <c r="AM1183">
        <v>96.730322713792702</v>
      </c>
      <c r="AN1183">
        <v>1.00000001274249</v>
      </c>
    </row>
    <row r="1184" spans="1:40" x14ac:dyDescent="0.25">
      <c r="A1184" t="str">
        <f>"20190304155344542"</f>
        <v>20190304155344542</v>
      </c>
      <c r="B1184" t="str">
        <f>"1551686024537155"</f>
        <v>1551686024537155</v>
      </c>
      <c r="C1184" t="s">
        <v>40</v>
      </c>
      <c r="D1184">
        <v>5.2289300000000001</v>
      </c>
      <c r="E1184">
        <v>0.51710119999999904</v>
      </c>
      <c r="F1184" t="s">
        <v>63</v>
      </c>
      <c r="G1184">
        <v>-242.85</v>
      </c>
      <c r="H1184" s="1">
        <v>-2.0145579999999999E-8</v>
      </c>
      <c r="I1184">
        <v>287.19850000000002</v>
      </c>
      <c r="J1184">
        <v>-222.08320000000001</v>
      </c>
      <c r="K1184">
        <v>1.113704</v>
      </c>
      <c r="L1184">
        <v>286.74149999999997</v>
      </c>
      <c r="M1184">
        <v>-0.999027</v>
      </c>
      <c r="N1184">
        <v>-1.2363539999999999E-2</v>
      </c>
      <c r="O1184">
        <v>4.2333719999999998E-2</v>
      </c>
      <c r="P1184">
        <v>-0.9855216</v>
      </c>
      <c r="Q1184">
        <v>0.15477969999999999</v>
      </c>
      <c r="R1184">
        <v>-6.9214139999999993E-2</v>
      </c>
      <c r="S1184">
        <v>-3.0709230000000001</v>
      </c>
      <c r="T1184">
        <v>-0.16244040000000001</v>
      </c>
      <c r="U1184">
        <v>6.7871089999999995E-2</v>
      </c>
      <c r="V1184">
        <v>-0.1122691</v>
      </c>
      <c r="W1184">
        <v>0.16597110000000001</v>
      </c>
      <c r="X1184">
        <v>0.97971900000000001</v>
      </c>
      <c r="Y1184">
        <v>-2.018114E-2</v>
      </c>
      <c r="Z1184">
        <v>-2.3716459999999998E-3</v>
      </c>
      <c r="AA1184">
        <v>0.9997935</v>
      </c>
      <c r="AB1184">
        <v>27</v>
      </c>
      <c r="AC1184">
        <v>-20.7667999999999</v>
      </c>
      <c r="AD1184">
        <v>-1.1137040201455799</v>
      </c>
      <c r="AE1184">
        <v>0.45700000000004998</v>
      </c>
      <c r="AF1184">
        <v>-0.42140147330658101</v>
      </c>
      <c r="AG1184">
        <v>-1.1137040201455799</v>
      </c>
      <c r="AH1184">
        <v>20.707999290735099</v>
      </c>
      <c r="AI1184">
        <v>93.077842188486898</v>
      </c>
      <c r="AJ1184">
        <v>91.165790743922003</v>
      </c>
      <c r="AK1184">
        <v>20.742206981690199</v>
      </c>
      <c r="AL1184">
        <v>80.446348086439798</v>
      </c>
      <c r="AM1184">
        <v>96.537189602186501</v>
      </c>
      <c r="AN1184">
        <v>1.0000000379055001</v>
      </c>
    </row>
    <row r="1185" spans="1:40" x14ac:dyDescent="0.25">
      <c r="A1185" t="str">
        <f>"20190304155344561"</f>
        <v>20190304155344561</v>
      </c>
      <c r="B1185" t="str">
        <f>"1551686024557652"</f>
        <v>1551686024557652</v>
      </c>
      <c r="C1185" t="s">
        <v>40</v>
      </c>
      <c r="D1185">
        <v>5.1737599999999997</v>
      </c>
      <c r="E1185">
        <v>0.5143238</v>
      </c>
      <c r="F1185" t="s">
        <v>63</v>
      </c>
      <c r="G1185">
        <v>-246.6703</v>
      </c>
      <c r="H1185" s="1">
        <v>2.0128419999999999E-6</v>
      </c>
      <c r="I1185">
        <v>286.37479999999999</v>
      </c>
      <c r="J1185">
        <v>-222.32660000000001</v>
      </c>
      <c r="K1185">
        <v>1.113707</v>
      </c>
      <c r="L1185">
        <v>286.74740000000003</v>
      </c>
      <c r="M1185">
        <v>-0.99919340000000001</v>
      </c>
      <c r="N1185">
        <v>-1.2363239999999999E-2</v>
      </c>
      <c r="O1185">
        <v>3.8206820000000002E-2</v>
      </c>
      <c r="P1185">
        <v>-0.98469790000000001</v>
      </c>
      <c r="Q1185">
        <v>0.15987079999999901</v>
      </c>
      <c r="R1185">
        <v>-6.9365650000000001E-2</v>
      </c>
      <c r="S1185">
        <v>-3.0626530000000001</v>
      </c>
      <c r="T1185">
        <v>-0.1387264</v>
      </c>
      <c r="U1185">
        <v>-4.5684809999999999E-2</v>
      </c>
      <c r="V1185">
        <v>-0.1083711</v>
      </c>
      <c r="W1185">
        <v>0.1710933</v>
      </c>
      <c r="X1185">
        <v>0.9792767</v>
      </c>
      <c r="Y1185">
        <v>-5.3019789999999997E-2</v>
      </c>
      <c r="Z1185">
        <v>-2.785324E-3</v>
      </c>
      <c r="AA1185">
        <v>0.99858959999999997</v>
      </c>
      <c r="AB1185">
        <v>27</v>
      </c>
      <c r="AC1185">
        <v>-24.343699999999899</v>
      </c>
      <c r="AD1185">
        <v>-1.113704987158</v>
      </c>
      <c r="AE1185">
        <v>-0.37260000000003302</v>
      </c>
      <c r="AF1185">
        <v>-1.2997745536318099</v>
      </c>
      <c r="AG1185">
        <v>-1.113704987158</v>
      </c>
      <c r="AH1185">
        <v>24.260919882025402</v>
      </c>
      <c r="AI1185">
        <v>92.624576547085297</v>
      </c>
      <c r="AJ1185">
        <v>93.066679584348805</v>
      </c>
      <c r="AK1185">
        <v>24.321225014598799</v>
      </c>
      <c r="AL1185">
        <v>80.148608433809201</v>
      </c>
      <c r="AM1185">
        <v>96.314909800804998</v>
      </c>
      <c r="AN1185">
        <v>1.0000000338914901</v>
      </c>
    </row>
    <row r="1186" spans="1:40" x14ac:dyDescent="0.25">
      <c r="A1186" t="str">
        <f>"20190304155344585"</f>
        <v>20190304155344585</v>
      </c>
      <c r="B1186" t="str">
        <f>"1551686024577171"</f>
        <v>1551686024577171</v>
      </c>
      <c r="C1186" t="s">
        <v>40</v>
      </c>
      <c r="D1186">
        <v>5.0620609999999999</v>
      </c>
      <c r="E1186">
        <v>0.51331450000000001</v>
      </c>
      <c r="F1186" t="s">
        <v>63</v>
      </c>
      <c r="G1186">
        <v>-250.2354</v>
      </c>
      <c r="H1186" s="1">
        <v>-1.4115420000000001E-6</v>
      </c>
      <c r="I1186">
        <v>286.12900000000002</v>
      </c>
      <c r="J1186">
        <v>-222.61009999999999</v>
      </c>
      <c r="K1186">
        <v>1.113685</v>
      </c>
      <c r="L1186">
        <v>286.75290000000001</v>
      </c>
      <c r="M1186">
        <v>-0.99936400000000003</v>
      </c>
      <c r="N1186">
        <v>-1.235499E-2</v>
      </c>
      <c r="O1186">
        <v>3.3454909999999997E-2</v>
      </c>
      <c r="P1186">
        <v>-0.98423300000000002</v>
      </c>
      <c r="Q1186">
        <v>0.16212969999999999</v>
      </c>
      <c r="R1186">
        <v>-7.070825E-2</v>
      </c>
      <c r="S1186">
        <v>-3.061661</v>
      </c>
      <c r="T1186">
        <v>-0.1221764</v>
      </c>
      <c r="U1186">
        <v>-6.7840579999999998E-2</v>
      </c>
      <c r="V1186">
        <v>-0.1050349</v>
      </c>
      <c r="W1186">
        <v>0.17337939999999999</v>
      </c>
      <c r="X1186">
        <v>0.9792381</v>
      </c>
      <c r="Y1186">
        <v>-5.5518959999999999E-2</v>
      </c>
      <c r="Z1186">
        <v>-2.371438E-3</v>
      </c>
      <c r="AA1186">
        <v>0.99845479999999998</v>
      </c>
      <c r="AB1186">
        <v>27</v>
      </c>
      <c r="AC1186">
        <v>-27.625299999999999</v>
      </c>
      <c r="AD1186">
        <v>-1.113686411542</v>
      </c>
      <c r="AE1186">
        <v>-0.62389999999999102</v>
      </c>
      <c r="AF1186">
        <v>-1.5453128547983299</v>
      </c>
      <c r="AG1186">
        <v>-1.113686411542</v>
      </c>
      <c r="AH1186">
        <v>27.544217101801699</v>
      </c>
      <c r="AI1186">
        <v>92.311729208233103</v>
      </c>
      <c r="AJ1186">
        <v>93.211098172490196</v>
      </c>
      <c r="AK1186">
        <v>27.6100015391822</v>
      </c>
      <c r="AL1186">
        <v>80.015637032428899</v>
      </c>
      <c r="AM1186">
        <v>96.122244459716001</v>
      </c>
      <c r="AN1186">
        <v>1.0000000015269801</v>
      </c>
    </row>
    <row r="1187" spans="1:40" x14ac:dyDescent="0.25">
      <c r="A1187" t="str">
        <f>"20190304155344608"</f>
        <v>20190304155344608</v>
      </c>
      <c r="B1187" t="str">
        <f>"1551686024597669"</f>
        <v>1551686024597669</v>
      </c>
      <c r="C1187" t="s">
        <v>40</v>
      </c>
      <c r="D1187">
        <v>5.3193049999999999</v>
      </c>
      <c r="E1187">
        <v>0.51476350000000004</v>
      </c>
      <c r="F1187" t="s">
        <v>63</v>
      </c>
      <c r="G1187">
        <v>-249.8665</v>
      </c>
      <c r="H1187" s="1">
        <v>3.7136969999999998E-6</v>
      </c>
      <c r="I1187">
        <v>286.05309999999997</v>
      </c>
      <c r="J1187">
        <v>-222.90020000000001</v>
      </c>
      <c r="K1187">
        <v>1.1136299999999999</v>
      </c>
      <c r="L1187">
        <v>286.75729999999999</v>
      </c>
      <c r="M1187">
        <v>-0.99951259999999997</v>
      </c>
      <c r="N1187">
        <v>-1.233452E-2</v>
      </c>
      <c r="O1187">
        <v>2.8677419999999999E-2</v>
      </c>
      <c r="P1187">
        <v>-0.98416919999999997</v>
      </c>
      <c r="Q1187">
        <v>0.16138369999999999</v>
      </c>
      <c r="R1187">
        <v>-7.3256310000000005E-2</v>
      </c>
      <c r="S1187">
        <v>-3.0630039999999998</v>
      </c>
      <c r="T1187">
        <v>-0.12515219999999999</v>
      </c>
      <c r="U1187">
        <v>-7.86438E-2</v>
      </c>
      <c r="V1187">
        <v>-0.10285900000000001</v>
      </c>
      <c r="W1187">
        <v>0.1726491</v>
      </c>
      <c r="X1187">
        <v>0.97959799999999997</v>
      </c>
      <c r="Y1187">
        <v>-5.4255940000000002E-2</v>
      </c>
      <c r="Z1187">
        <v>-2.2601129999999998E-3</v>
      </c>
      <c r="AA1187">
        <v>0.99852450000000004</v>
      </c>
      <c r="AB1187">
        <v>27</v>
      </c>
      <c r="AC1187">
        <v>-26.966299999999901</v>
      </c>
      <c r="AD1187">
        <v>-1.113626286303</v>
      </c>
      <c r="AE1187">
        <v>-0.70420000000001404</v>
      </c>
      <c r="AF1187">
        <v>-1.474779653618</v>
      </c>
      <c r="AG1187">
        <v>-1.113626286303</v>
      </c>
      <c r="AH1187">
        <v>26.889184771211902</v>
      </c>
      <c r="AI1187">
        <v>92.368017254549699</v>
      </c>
      <c r="AJ1187">
        <v>93.139331856627294</v>
      </c>
      <c r="AK1187">
        <v>26.952613902785799</v>
      </c>
      <c r="AL1187">
        <v>80.058120444810996</v>
      </c>
      <c r="AM1187">
        <v>95.994162949128196</v>
      </c>
      <c r="AN1187">
        <v>0.999999963607904</v>
      </c>
    </row>
    <row r="1188" spans="1:40" x14ac:dyDescent="0.25">
      <c r="A1188" t="str">
        <f>"20190304155344630"</f>
        <v>20190304155344630</v>
      </c>
      <c r="B1188" t="str">
        <f>"1551686024627924"</f>
        <v>1551686024627924</v>
      </c>
      <c r="C1188" t="s">
        <v>40</v>
      </c>
      <c r="D1188">
        <v>5.1664079999999997</v>
      </c>
      <c r="E1188">
        <v>0.51585400000000003</v>
      </c>
      <c r="F1188" t="s">
        <v>63</v>
      </c>
      <c r="G1188">
        <v>-250.0993</v>
      </c>
      <c r="H1188" s="1">
        <v>-1.4839399999999999E-6</v>
      </c>
      <c r="I1188">
        <v>286.10000000000002</v>
      </c>
      <c r="J1188">
        <v>-223.1738</v>
      </c>
      <c r="K1188">
        <v>1.113558</v>
      </c>
      <c r="L1188">
        <v>286.76029999999997</v>
      </c>
      <c r="M1188">
        <v>-0.99963000000000002</v>
      </c>
      <c r="N1188">
        <v>-1.231089E-2</v>
      </c>
      <c r="O1188">
        <v>2.425472E-2</v>
      </c>
      <c r="P1188">
        <v>-0.98420070000000004</v>
      </c>
      <c r="Q1188">
        <v>0.15978899999999999</v>
      </c>
      <c r="R1188">
        <v>-7.6264349999999995E-2</v>
      </c>
      <c r="S1188">
        <v>-3.0633240000000002</v>
      </c>
      <c r="T1188">
        <v>-0.1254237</v>
      </c>
      <c r="U1188">
        <v>-7.403564E-2</v>
      </c>
      <c r="V1188">
        <v>-0.1014824</v>
      </c>
      <c r="W1188">
        <v>0.1710632</v>
      </c>
      <c r="X1188">
        <v>0.98001970000000005</v>
      </c>
      <c r="Y1188">
        <v>-4.834111E-2</v>
      </c>
      <c r="Z1188">
        <v>-1.9808880000000001E-3</v>
      </c>
      <c r="AA1188">
        <v>0.99882890000000002</v>
      </c>
      <c r="AB1188">
        <v>27</v>
      </c>
      <c r="AC1188">
        <v>-26.9255</v>
      </c>
      <c r="AD1188">
        <v>-1.11355948394</v>
      </c>
      <c r="AE1188">
        <v>-0.66029999999994904</v>
      </c>
      <c r="AF1188">
        <v>-1.3109847112062001</v>
      </c>
      <c r="AG1188">
        <v>-1.11355948394</v>
      </c>
      <c r="AH1188">
        <v>26.8556545345477</v>
      </c>
      <c r="AI1188">
        <v>92.371566711166295</v>
      </c>
      <c r="AJ1188">
        <v>92.794730271657201</v>
      </c>
      <c r="AK1188">
        <v>26.910683308237701</v>
      </c>
      <c r="AL1188">
        <v>80.150358048910704</v>
      </c>
      <c r="AM1188">
        <v>95.911986376543098</v>
      </c>
      <c r="AN1188">
        <v>0.99999995414604403</v>
      </c>
    </row>
    <row r="1189" spans="1:40" x14ac:dyDescent="0.25">
      <c r="A1189" t="str">
        <f>"20190304155344651"</f>
        <v>20190304155344651</v>
      </c>
      <c r="B1189" t="str">
        <f>"1551686024647444"</f>
        <v>1551686024647444</v>
      </c>
      <c r="C1189" t="s">
        <v>40</v>
      </c>
      <c r="D1189">
        <v>5.1563629999999998</v>
      </c>
      <c r="E1189">
        <v>0.51607440000000004</v>
      </c>
      <c r="F1189" t="s">
        <v>63</v>
      </c>
      <c r="G1189">
        <v>-250.31309999999999</v>
      </c>
      <c r="H1189" s="1">
        <v>-1.3701790000000001E-6</v>
      </c>
      <c r="I1189">
        <v>286.10750000000002</v>
      </c>
      <c r="J1189">
        <v>-223.42259999999999</v>
      </c>
      <c r="K1189">
        <v>1.113472</v>
      </c>
      <c r="L1189">
        <v>286.76209999999998</v>
      </c>
      <c r="M1189">
        <v>-0.99971770000000004</v>
      </c>
      <c r="N1189">
        <v>-1.2287289999999999E-2</v>
      </c>
      <c r="O1189">
        <v>2.033482E-2</v>
      </c>
      <c r="P1189">
        <v>-0.98395880000000002</v>
      </c>
      <c r="Q1189">
        <v>0.1595433</v>
      </c>
      <c r="R1189">
        <v>-7.9818899999999998E-2</v>
      </c>
      <c r="S1189">
        <v>-3.0628660000000001</v>
      </c>
      <c r="T1189">
        <v>-0.12567329999999999</v>
      </c>
      <c r="U1189">
        <v>-7.3669429999999994E-2</v>
      </c>
      <c r="V1189">
        <v>-0.1011465</v>
      </c>
      <c r="W1189">
        <v>0.1708161</v>
      </c>
      <c r="X1189">
        <v>0.98009760000000001</v>
      </c>
      <c r="Y1189">
        <v>-4.431417E-2</v>
      </c>
      <c r="Z1189">
        <v>-1.7652119999999999E-3</v>
      </c>
      <c r="AA1189">
        <v>0.99901609999999996</v>
      </c>
      <c r="AB1189">
        <v>27</v>
      </c>
      <c r="AC1189">
        <v>-26.890499999999999</v>
      </c>
      <c r="AD1189">
        <v>-1.1134733701790001</v>
      </c>
      <c r="AE1189">
        <v>-0.65459999999995899</v>
      </c>
      <c r="AF1189">
        <v>-1.1992643593274099</v>
      </c>
      <c r="AG1189">
        <v>-1.1134733701790001</v>
      </c>
      <c r="AH1189">
        <v>26.8256587914288</v>
      </c>
      <c r="AI1189">
        <v>92.374486903803202</v>
      </c>
      <c r="AJ1189">
        <v>92.559753140319103</v>
      </c>
      <c r="AK1189">
        <v>26.875528414224899</v>
      </c>
      <c r="AL1189">
        <v>80.164728084498194</v>
      </c>
      <c r="AM1189">
        <v>95.892090955050307</v>
      </c>
      <c r="AN1189">
        <v>1.0000000300036</v>
      </c>
    </row>
    <row r="1190" spans="1:40" x14ac:dyDescent="0.25">
      <c r="A1190" t="str">
        <f>"20190304155344673"</f>
        <v>20190304155344673</v>
      </c>
      <c r="B1190" t="str">
        <f>"1551686024667940"</f>
        <v>1551686024667940</v>
      </c>
      <c r="C1190" t="s">
        <v>40</v>
      </c>
      <c r="D1190">
        <v>5.2542730000000004</v>
      </c>
      <c r="E1190">
        <v>0.51673040000000003</v>
      </c>
      <c r="F1190" t="s">
        <v>63</v>
      </c>
      <c r="G1190">
        <v>-250.32929999999999</v>
      </c>
      <c r="H1190" s="1">
        <v>-1.3615739999999999E-6</v>
      </c>
      <c r="I1190">
        <v>286.04219999999998</v>
      </c>
      <c r="J1190">
        <v>-223.69540000000001</v>
      </c>
      <c r="K1190">
        <v>1.1133500000000001</v>
      </c>
      <c r="L1190">
        <v>286.76299999999998</v>
      </c>
      <c r="M1190">
        <v>-0.99979399999999996</v>
      </c>
      <c r="N1190">
        <v>-1.225363E-2</v>
      </c>
      <c r="O1190">
        <v>1.6184179999999999E-2</v>
      </c>
      <c r="P1190">
        <v>-0.98368089999999997</v>
      </c>
      <c r="Q1190">
        <v>0.1589661</v>
      </c>
      <c r="R1190">
        <v>-8.427374E-2</v>
      </c>
      <c r="S1190">
        <v>-3.0628199999999999</v>
      </c>
      <c r="T1190">
        <v>-0.12674830000000001</v>
      </c>
      <c r="U1190">
        <v>-8.1939699999999893E-2</v>
      </c>
      <c r="V1190">
        <v>-0.10147009999999999</v>
      </c>
      <c r="W1190">
        <v>0.1702292</v>
      </c>
      <c r="X1190">
        <v>0.98016619999999999</v>
      </c>
      <c r="Y1190">
        <v>-4.2865149999999998E-2</v>
      </c>
      <c r="Z1190">
        <v>-1.620366E-3</v>
      </c>
      <c r="AA1190">
        <v>0.99907950000000001</v>
      </c>
      <c r="AB1190">
        <v>27</v>
      </c>
      <c r="AC1190">
        <v>-26.633899999999901</v>
      </c>
      <c r="AD1190">
        <v>-1.1133513615740001</v>
      </c>
      <c r="AE1190">
        <v>-0.720799999999997</v>
      </c>
      <c r="AF1190">
        <v>-1.14977808734733</v>
      </c>
      <c r="AG1190">
        <v>-1.1133513615740001</v>
      </c>
      <c r="AH1190">
        <v>26.5723459232679</v>
      </c>
      <c r="AI1190">
        <v>92.396985086341004</v>
      </c>
      <c r="AJ1190">
        <v>92.477627104117403</v>
      </c>
      <c r="AK1190">
        <v>26.6205016626336</v>
      </c>
      <c r="AL1190">
        <v>80.198854218020401</v>
      </c>
      <c r="AM1190">
        <v>95.910397628183304</v>
      </c>
      <c r="AN1190">
        <v>0.99999997067454405</v>
      </c>
    </row>
    <row r="1191" spans="1:40" x14ac:dyDescent="0.25">
      <c r="A1191" t="str">
        <f>"20190304155344695"</f>
        <v>20190304155344695</v>
      </c>
      <c r="B1191" t="str">
        <f>"1551686024687461"</f>
        <v>1551686024687461</v>
      </c>
      <c r="C1191" t="s">
        <v>40</v>
      </c>
      <c r="D1191">
        <v>5.1552160000000002</v>
      </c>
      <c r="E1191">
        <v>0.5171367</v>
      </c>
      <c r="F1191" t="s">
        <v>63</v>
      </c>
      <c r="G1191">
        <v>-249.98910000000001</v>
      </c>
      <c r="H1191" s="1">
        <v>-1.5425860000000001E-6</v>
      </c>
      <c r="I1191">
        <v>285.99040000000002</v>
      </c>
      <c r="J1191">
        <v>-223.9624</v>
      </c>
      <c r="K1191">
        <v>1.113208</v>
      </c>
      <c r="L1191">
        <v>286.76299999999998</v>
      </c>
      <c r="M1191">
        <v>-0.99985000000000002</v>
      </c>
      <c r="N1191">
        <v>-1.2209609999999999E-2</v>
      </c>
      <c r="O1191">
        <v>1.228867E-2</v>
      </c>
      <c r="P1191">
        <v>-0.98367009999999999</v>
      </c>
      <c r="Q1191">
        <v>0.15670789999999901</v>
      </c>
      <c r="R1191">
        <v>-8.8523669999999999E-2</v>
      </c>
      <c r="S1191">
        <v>-3.0630190000000002</v>
      </c>
      <c r="T1191">
        <v>-0.12969700000000001</v>
      </c>
      <c r="U1191">
        <v>-8.9996339999999994E-2</v>
      </c>
      <c r="V1191">
        <v>-0.10182629999999999</v>
      </c>
      <c r="W1191">
        <v>0.16795829999999901</v>
      </c>
      <c r="X1191">
        <v>0.98052099999999998</v>
      </c>
      <c r="Y1191">
        <v>-4.1597410000000001E-2</v>
      </c>
      <c r="Z1191">
        <v>-1.504292E-3</v>
      </c>
      <c r="AA1191">
        <v>0.9991333</v>
      </c>
      <c r="AB1191">
        <v>27</v>
      </c>
      <c r="AC1191">
        <v>-26.026700000000002</v>
      </c>
      <c r="AD1191">
        <v>-1.113209542586</v>
      </c>
      <c r="AE1191">
        <v>-0.77259999999995399</v>
      </c>
      <c r="AF1191">
        <v>-1.0904059414281499</v>
      </c>
      <c r="AG1191">
        <v>-1.113209542586</v>
      </c>
      <c r="AH1191">
        <v>25.967775151745599</v>
      </c>
      <c r="AI1191">
        <v>92.4525445676922</v>
      </c>
      <c r="AJ1191">
        <v>92.404479296086706</v>
      </c>
      <c r="AK1191">
        <v>26.014487635439298</v>
      </c>
      <c r="AL1191">
        <v>80.330868615688502</v>
      </c>
      <c r="AM1191">
        <v>95.928866976781194</v>
      </c>
      <c r="AN1191">
        <v>1.0000000086757801</v>
      </c>
    </row>
    <row r="1192" spans="1:40" x14ac:dyDescent="0.25">
      <c r="A1192" t="str">
        <f>"20190304155344718"</f>
        <v>20190304155344718</v>
      </c>
      <c r="B1192" t="str">
        <f>"1551686024707956"</f>
        <v>1551686024707956</v>
      </c>
      <c r="C1192" t="s">
        <v>40</v>
      </c>
      <c r="D1192">
        <v>5.1084990000000001</v>
      </c>
      <c r="E1192">
        <v>0.51753439999999995</v>
      </c>
      <c r="F1192" t="s">
        <v>63</v>
      </c>
      <c r="G1192">
        <v>-248.92009999999999</v>
      </c>
      <c r="H1192" s="1">
        <v>3.2100569999999999E-6</v>
      </c>
      <c r="I1192">
        <v>285.94979999999998</v>
      </c>
      <c r="J1192">
        <v>-224.24709999999999</v>
      </c>
      <c r="K1192">
        <v>1.113051</v>
      </c>
      <c r="L1192">
        <v>286.76209999999998</v>
      </c>
      <c r="M1192">
        <v>-0.99989150000000004</v>
      </c>
      <c r="N1192">
        <v>-1.215188E-2</v>
      </c>
      <c r="O1192">
        <v>8.3315690000000005E-3</v>
      </c>
      <c r="P1192">
        <v>-0.98392469999999999</v>
      </c>
      <c r="Q1192">
        <v>0.15311839999999999</v>
      </c>
      <c r="R1192">
        <v>-9.1908219999999999E-2</v>
      </c>
      <c r="S1192">
        <v>-3.062592</v>
      </c>
      <c r="T1192">
        <v>-0.13660239999999901</v>
      </c>
      <c r="U1192">
        <v>-9.9792480000000003E-2</v>
      </c>
      <c r="V1192">
        <v>-0.1012405</v>
      </c>
      <c r="W1192">
        <v>0.1643589</v>
      </c>
      <c r="X1192">
        <v>0.98119140000000005</v>
      </c>
      <c r="Y1192">
        <v>-4.0837659999999998E-2</v>
      </c>
      <c r="Z1192">
        <v>-1.4285789999999999E-3</v>
      </c>
      <c r="AA1192">
        <v>0.99916479999999996</v>
      </c>
      <c r="AB1192">
        <v>27</v>
      </c>
      <c r="AC1192">
        <v>-24.672999999999998</v>
      </c>
      <c r="AD1192">
        <v>-1.113047789943</v>
      </c>
      <c r="AE1192">
        <v>-0.81229999999999303</v>
      </c>
      <c r="AF1192">
        <v>-1.01578679424847</v>
      </c>
      <c r="AG1192">
        <v>-1.113047789943</v>
      </c>
      <c r="AH1192">
        <v>24.615335093528799</v>
      </c>
      <c r="AI1192">
        <v>92.586818720322</v>
      </c>
      <c r="AJ1192">
        <v>92.363051037913706</v>
      </c>
      <c r="AK1192">
        <v>24.661415611452199</v>
      </c>
      <c r="AL1192">
        <v>80.540006539480999</v>
      </c>
      <c r="AM1192">
        <v>95.891000053698605</v>
      </c>
      <c r="AN1192">
        <v>1.0000000251417001</v>
      </c>
    </row>
    <row r="1193" spans="1:40" x14ac:dyDescent="0.25">
      <c r="A1193" t="str">
        <f>"20190304155344740"</f>
        <v>20190304155344740</v>
      </c>
      <c r="B1193" t="str">
        <f>"1551686024737236"</f>
        <v>1551686024737236</v>
      </c>
      <c r="C1193" t="s">
        <v>40</v>
      </c>
      <c r="D1193">
        <v>5.1657489999999999</v>
      </c>
      <c r="E1193">
        <v>0.5170979</v>
      </c>
      <c r="F1193" t="s">
        <v>63</v>
      </c>
      <c r="G1193">
        <v>-247.24189999999999</v>
      </c>
      <c r="H1193" s="1">
        <v>2.316968E-6</v>
      </c>
      <c r="I1193">
        <v>285.9538</v>
      </c>
      <c r="J1193">
        <v>-224.511</v>
      </c>
      <c r="K1193">
        <v>1.1128849999999999</v>
      </c>
      <c r="L1193">
        <v>286.76049999999998</v>
      </c>
      <c r="M1193">
        <v>-0.99991490000000005</v>
      </c>
      <c r="N1193">
        <v>-1.209418E-2</v>
      </c>
      <c r="O1193">
        <v>4.8688239999999999E-3</v>
      </c>
      <c r="P1193">
        <v>-0.98402109999999998</v>
      </c>
      <c r="Q1193">
        <v>0.15082119999999999</v>
      </c>
      <c r="R1193">
        <v>-9.4633179999999997E-2</v>
      </c>
      <c r="S1193">
        <v>-3.0620270000000001</v>
      </c>
      <c r="T1193">
        <v>-0.1482155</v>
      </c>
      <c r="U1193">
        <v>-0.1076355</v>
      </c>
      <c r="V1193">
        <v>-0.1004873</v>
      </c>
      <c r="W1193">
        <v>0.16205039999999901</v>
      </c>
      <c r="X1193">
        <v>0.98165270000000004</v>
      </c>
      <c r="Y1193">
        <v>-3.993418E-2</v>
      </c>
      <c r="Z1193">
        <v>-1.3840020000000001E-3</v>
      </c>
      <c r="AA1193">
        <v>0.99920140000000002</v>
      </c>
      <c r="AB1193">
        <v>27</v>
      </c>
      <c r="AC1193">
        <v>-22.730899999999899</v>
      </c>
      <c r="AD1193">
        <v>-1.112882683032</v>
      </c>
      <c r="AE1193">
        <v>-0.80669999999997799</v>
      </c>
      <c r="AF1193">
        <v>-0.91518038018617398</v>
      </c>
      <c r="AG1193">
        <v>-1.112882683032</v>
      </c>
      <c r="AH1193">
        <v>22.6724254412132</v>
      </c>
      <c r="AI1193">
        <v>92.8078418941667</v>
      </c>
      <c r="AJ1193">
        <v>92.311509290075193</v>
      </c>
      <c r="AK1193">
        <v>22.718163182393099</v>
      </c>
      <c r="AL1193">
        <v>80.674071398262797</v>
      </c>
      <c r="AM1193">
        <v>95.844748712702398</v>
      </c>
      <c r="AN1193">
        <v>1.00000002650936</v>
      </c>
    </row>
    <row r="1194" spans="1:40" x14ac:dyDescent="0.25">
      <c r="A1194" t="str">
        <f>"20190304155344763"</f>
        <v>20190304155344763</v>
      </c>
      <c r="B1194" t="str">
        <f>"1551686024757732"</f>
        <v>1551686024757732</v>
      </c>
      <c r="C1194" t="s">
        <v>40</v>
      </c>
      <c r="D1194">
        <v>5.154827</v>
      </c>
      <c r="E1194">
        <v>0.51690619999999998</v>
      </c>
      <c r="F1194" t="s">
        <v>63</v>
      </c>
      <c r="G1194">
        <v>-246.0395</v>
      </c>
      <c r="H1194" s="1">
        <v>1.677116E-6</v>
      </c>
      <c r="I1194">
        <v>285.91090000000003</v>
      </c>
      <c r="J1194">
        <v>-224.7929</v>
      </c>
      <c r="K1194">
        <v>1.1127</v>
      </c>
      <c r="L1194">
        <v>286.75790000000001</v>
      </c>
      <c r="M1194">
        <v>-0.9999268</v>
      </c>
      <c r="N1194">
        <v>-1.202859E-2</v>
      </c>
      <c r="O1194">
        <v>1.4055440000000001E-3</v>
      </c>
      <c r="P1194">
        <v>-0.98390069999999996</v>
      </c>
      <c r="Q1194">
        <v>0.14951</v>
      </c>
      <c r="R1194">
        <v>-9.7911590000000007E-2</v>
      </c>
      <c r="S1194">
        <v>-3.061356</v>
      </c>
      <c r="T1194">
        <v>-0.158252</v>
      </c>
      <c r="U1194">
        <v>-0.1208191</v>
      </c>
      <c r="V1194">
        <v>-0.10028570000000001</v>
      </c>
      <c r="W1194">
        <v>0.16071769999999999</v>
      </c>
      <c r="X1194">
        <v>0.98189230000000005</v>
      </c>
      <c r="Y1194">
        <v>-4.0771559999999998E-2</v>
      </c>
      <c r="Z1194">
        <v>-1.353906E-3</v>
      </c>
      <c r="AA1194">
        <v>0.99916760000000004</v>
      </c>
      <c r="AB1194">
        <v>28</v>
      </c>
      <c r="AC1194">
        <v>-21.246600000000001</v>
      </c>
      <c r="AD1194">
        <v>-1.1126983228839999</v>
      </c>
      <c r="AE1194">
        <v>-0.84699999999997999</v>
      </c>
      <c r="AF1194">
        <v>-0.87446976119077502</v>
      </c>
      <c r="AG1194">
        <v>-1.1126983228839999</v>
      </c>
      <c r="AH1194">
        <v>21.187370342838101</v>
      </c>
      <c r="AI1194">
        <v>93.0036913539182</v>
      </c>
      <c r="AJ1194">
        <v>92.363436561559496</v>
      </c>
      <c r="AK1194">
        <v>21.234581629162399</v>
      </c>
      <c r="AL1194">
        <v>80.751442946087593</v>
      </c>
      <c r="AM1194">
        <v>95.831690200429904</v>
      </c>
      <c r="AN1194">
        <v>0.99999994475853304</v>
      </c>
    </row>
    <row r="1195" spans="1:40" x14ac:dyDescent="0.25">
      <c r="A1195" t="str">
        <f>"20190304155344786"</f>
        <v>20190304155344786</v>
      </c>
      <c r="B1195" t="str">
        <f>"1551686024777252"</f>
        <v>1551686024777252</v>
      </c>
      <c r="C1195" t="s">
        <v>40</v>
      </c>
      <c r="D1195">
        <v>5.1874529999999996</v>
      </c>
      <c r="E1195">
        <v>0.51717579999999996</v>
      </c>
      <c r="F1195" t="s">
        <v>63</v>
      </c>
      <c r="G1195">
        <v>-245.66720000000001</v>
      </c>
      <c r="H1195" s="1">
        <v>1.4789999999999999E-6</v>
      </c>
      <c r="I1195">
        <v>285.8519</v>
      </c>
      <c r="J1195">
        <v>-225.07079999999999</v>
      </c>
      <c r="K1195">
        <v>1.11252</v>
      </c>
      <c r="L1195">
        <v>286.75470000000001</v>
      </c>
      <c r="M1195">
        <v>-0.99992700000000001</v>
      </c>
      <c r="N1195">
        <v>-1.195762E-2</v>
      </c>
      <c r="O1195">
        <v>-1.7743940000000001E-3</v>
      </c>
      <c r="P1195">
        <v>-0.98390080000000002</v>
      </c>
      <c r="Q1195">
        <v>0.14719170000000001</v>
      </c>
      <c r="R1195">
        <v>-0.1013613</v>
      </c>
      <c r="S1195">
        <v>-3.060654</v>
      </c>
      <c r="T1195">
        <v>-0.1631476</v>
      </c>
      <c r="U1195">
        <v>-0.13284299999999999</v>
      </c>
      <c r="V1195">
        <v>-0.1005312</v>
      </c>
      <c r="W1195">
        <v>0.15837109999999999</v>
      </c>
      <c r="X1195">
        <v>0.98224849999999997</v>
      </c>
      <c r="Y1195">
        <v>-4.1519180000000003E-2</v>
      </c>
      <c r="Z1195">
        <v>-1.280584E-3</v>
      </c>
      <c r="AA1195">
        <v>0.99913689999999999</v>
      </c>
      <c r="AB1195">
        <v>28</v>
      </c>
      <c r="AC1195">
        <v>-20.596399999999999</v>
      </c>
      <c r="AD1195">
        <v>-1.1125185209999999</v>
      </c>
      <c r="AE1195">
        <v>-0.90280000000001304</v>
      </c>
      <c r="AF1195">
        <v>-0.86373460449603401</v>
      </c>
      <c r="AG1195">
        <v>-1.1125185209999999</v>
      </c>
      <c r="AH1195">
        <v>20.538161536017199</v>
      </c>
      <c r="AI1195">
        <v>93.097855235436995</v>
      </c>
      <c r="AJ1195">
        <v>92.408161155584395</v>
      </c>
      <c r="AK1195">
        <v>20.586398767295599</v>
      </c>
      <c r="AL1195">
        <v>80.887638524046395</v>
      </c>
      <c r="AM1195">
        <v>95.843762206727405</v>
      </c>
      <c r="AN1195">
        <v>1.0000000216204401</v>
      </c>
    </row>
    <row r="1196" spans="1:40" x14ac:dyDescent="0.25">
      <c r="A1196" t="str">
        <f>"20190304155344809"</f>
        <v>20190304155344809</v>
      </c>
      <c r="B1196" t="str">
        <f>"1551686024797748"</f>
        <v>1551686024797748</v>
      </c>
      <c r="C1196" t="s">
        <v>40</v>
      </c>
      <c r="D1196">
        <v>5.1355339999999998</v>
      </c>
      <c r="E1196">
        <v>0.51743119999999998</v>
      </c>
      <c r="F1196" t="s">
        <v>63</v>
      </c>
      <c r="G1196">
        <v>-245.18299999999999</v>
      </c>
      <c r="H1196" s="1">
        <v>1.2213339999999999E-6</v>
      </c>
      <c r="I1196">
        <v>285.82619999999997</v>
      </c>
      <c r="J1196">
        <v>-225.35480000000001</v>
      </c>
      <c r="K1196">
        <v>1.1123639999999999</v>
      </c>
      <c r="L1196">
        <v>286.75069999999999</v>
      </c>
      <c r="M1196">
        <v>-0.99991770000000002</v>
      </c>
      <c r="N1196">
        <v>-1.18838E-2</v>
      </c>
      <c r="O1196">
        <v>-4.8382809999999998E-3</v>
      </c>
      <c r="P1196">
        <v>-0.98406329999999997</v>
      </c>
      <c r="Q1196">
        <v>0.14419399999999999</v>
      </c>
      <c r="R1196">
        <v>-0.1040558</v>
      </c>
      <c r="S1196">
        <v>-3.0598749999999999</v>
      </c>
      <c r="T1196">
        <v>-0.1692594</v>
      </c>
      <c r="U1196">
        <v>-0.1412659</v>
      </c>
      <c r="V1196">
        <v>-0.1001383</v>
      </c>
      <c r="W1196">
        <v>0.15534300000000001</v>
      </c>
      <c r="X1196">
        <v>0.98277210000000004</v>
      </c>
      <c r="Y1196">
        <v>-4.1212199999999997E-2</v>
      </c>
      <c r="Z1196">
        <v>-1.1737690000000001E-3</v>
      </c>
      <c r="AA1196">
        <v>0.99914970000000003</v>
      </c>
      <c r="AB1196">
        <v>28</v>
      </c>
      <c r="AC1196">
        <v>-19.828199999999899</v>
      </c>
      <c r="AD1196">
        <v>-1.112362778666</v>
      </c>
      <c r="AE1196">
        <v>-0.92450000000002297</v>
      </c>
      <c r="AF1196">
        <v>-0.825954185339137</v>
      </c>
      <c r="AG1196">
        <v>-1.112362778666</v>
      </c>
      <c r="AH1196">
        <v>19.770354623382101</v>
      </c>
      <c r="AI1196">
        <v>93.217504041778298</v>
      </c>
      <c r="AJ1196">
        <v>92.392278055961498</v>
      </c>
      <c r="AK1196">
        <v>19.818841368806702</v>
      </c>
      <c r="AL1196">
        <v>81.063310910074094</v>
      </c>
      <c r="AM1196">
        <v>95.818000458819796</v>
      </c>
      <c r="AN1196">
        <v>1.00000006365714</v>
      </c>
    </row>
    <row r="1197" spans="1:40" x14ac:dyDescent="0.25">
      <c r="A1197" t="str">
        <f>"20190304155344852"</f>
        <v>20190304155344852</v>
      </c>
      <c r="B1197" t="str">
        <f>"1551686024847523"</f>
        <v>1551686024847523</v>
      </c>
      <c r="C1197" t="s">
        <v>40</v>
      </c>
      <c r="D1197">
        <v>5.1451310000000001</v>
      </c>
      <c r="E1197">
        <v>0.5184628</v>
      </c>
      <c r="F1197" t="s">
        <v>63</v>
      </c>
      <c r="G1197">
        <v>-244.50880000000001</v>
      </c>
      <c r="H1197" s="1">
        <v>8.62569E-7</v>
      </c>
      <c r="I1197">
        <v>285.82909999999998</v>
      </c>
      <c r="J1197">
        <v>-225.88489999999999</v>
      </c>
      <c r="K1197">
        <v>1.1121239999999999</v>
      </c>
      <c r="L1197">
        <v>286.74149999999997</v>
      </c>
      <c r="M1197">
        <v>-0.99988049999999995</v>
      </c>
      <c r="N1197">
        <v>-1.173622E-2</v>
      </c>
      <c r="O1197">
        <v>-1.0074369999999999E-2</v>
      </c>
      <c r="P1197">
        <v>-0.98355789999999998</v>
      </c>
      <c r="Q1197">
        <v>0.1446067</v>
      </c>
      <c r="R1197">
        <v>-0.1081811</v>
      </c>
      <c r="S1197">
        <v>-3.0590519999999999</v>
      </c>
      <c r="T1197">
        <v>-0.17765359999999999</v>
      </c>
      <c r="U1197">
        <v>-0.14718629999999999</v>
      </c>
      <c r="V1197">
        <v>-9.902801E-2</v>
      </c>
      <c r="W1197">
        <v>0.15567039999999999</v>
      </c>
      <c r="X1197">
        <v>0.9828327</v>
      </c>
      <c r="Y1197">
        <v>-3.792765E-2</v>
      </c>
      <c r="Z1197">
        <v>-8.5658809999999996E-4</v>
      </c>
      <c r="AA1197">
        <v>0.9992801</v>
      </c>
      <c r="AB1197">
        <v>28</v>
      </c>
      <c r="AC1197">
        <v>-18.623899999999999</v>
      </c>
      <c r="AD1197">
        <v>-1.1121231374310001</v>
      </c>
      <c r="AE1197">
        <v>-0.91239999999999</v>
      </c>
      <c r="AF1197">
        <v>-0.72214781856216503</v>
      </c>
      <c r="AG1197">
        <v>-1.1121231374310001</v>
      </c>
      <c r="AH1197">
        <v>18.566101602353701</v>
      </c>
      <c r="AI1197">
        <v>93.425379303400007</v>
      </c>
      <c r="AJ1197">
        <v>92.227456040071701</v>
      </c>
      <c r="AK1197">
        <v>18.613394210986399</v>
      </c>
      <c r="AL1197">
        <v>81.044320398865295</v>
      </c>
      <c r="AM1197">
        <v>95.753575836100396</v>
      </c>
      <c r="AN1197">
        <v>0.99999996819500403</v>
      </c>
    </row>
    <row r="1198" spans="1:40" x14ac:dyDescent="0.25">
      <c r="A1198" t="str">
        <f>"20190304155344875"</f>
        <v>20190304155344875</v>
      </c>
      <c r="B1198" t="str">
        <f>"1551686024867044"</f>
        <v>1551686024867044</v>
      </c>
      <c r="C1198" t="s">
        <v>40</v>
      </c>
      <c r="D1198">
        <v>5.1029660000000003</v>
      </c>
      <c r="E1198">
        <v>0.51886270000000001</v>
      </c>
      <c r="F1198" t="s">
        <v>63</v>
      </c>
      <c r="G1198">
        <v>-245.523</v>
      </c>
      <c r="H1198" s="1">
        <v>1.402272E-6</v>
      </c>
      <c r="I1198">
        <v>285.75970000000001</v>
      </c>
      <c r="J1198">
        <v>-226.16640000000001</v>
      </c>
      <c r="K1198">
        <v>1.1120080000000001</v>
      </c>
      <c r="L1198">
        <v>286.73579999999998</v>
      </c>
      <c r="M1198">
        <v>-0.99985250000000003</v>
      </c>
      <c r="N1198">
        <v>-1.165267E-2</v>
      </c>
      <c r="O1198">
        <v>-1.262431E-2</v>
      </c>
      <c r="P1198">
        <v>-0.9831046</v>
      </c>
      <c r="Q1198">
        <v>0.14658119999999999</v>
      </c>
      <c r="R1198">
        <v>-0.10963489999999999</v>
      </c>
      <c r="S1198">
        <v>-3.0587770000000001</v>
      </c>
      <c r="T1198">
        <v>-0.1732216</v>
      </c>
      <c r="U1198">
        <v>-0.15292359999999999</v>
      </c>
      <c r="V1198">
        <v>-9.7943310000000006E-2</v>
      </c>
      <c r="W1198">
        <v>0.15759139999999999</v>
      </c>
      <c r="X1198">
        <v>0.98263529999999999</v>
      </c>
      <c r="Y1198">
        <v>-3.7260139999999997E-2</v>
      </c>
      <c r="Z1198">
        <v>-7.0408250000000003E-4</v>
      </c>
      <c r="AA1198">
        <v>0.99930540000000001</v>
      </c>
      <c r="AB1198">
        <v>28</v>
      </c>
      <c r="AC1198">
        <v>-19.356599999999901</v>
      </c>
      <c r="AD1198">
        <v>-1.11200659772799</v>
      </c>
      <c r="AE1198">
        <v>-0.97609999999997399</v>
      </c>
      <c r="AF1198">
        <v>-0.72924128720723203</v>
      </c>
      <c r="AG1198">
        <v>-1.11200659772799</v>
      </c>
      <c r="AH1198">
        <v>19.303833382632501</v>
      </c>
      <c r="AI1198">
        <v>93.294562501883206</v>
      </c>
      <c r="AJ1198">
        <v>92.163435014310295</v>
      </c>
      <c r="AK1198">
        <v>19.349582289878899</v>
      </c>
      <c r="AL1198">
        <v>80.932880324514997</v>
      </c>
      <c r="AM1198">
        <v>95.692105928627697</v>
      </c>
      <c r="AN1198">
        <v>1.0000000370669</v>
      </c>
    </row>
    <row r="1199" spans="1:40" x14ac:dyDescent="0.25">
      <c r="A1199" t="str">
        <f>"20190304155344896"</f>
        <v>20190304155344896</v>
      </c>
      <c r="B1199" t="str">
        <f>"1551686024887540"</f>
        <v>1551686024887540</v>
      </c>
      <c r="C1199" t="s">
        <v>40</v>
      </c>
      <c r="D1199">
        <v>5.0916220000000001</v>
      </c>
      <c r="E1199">
        <v>0.51929510000000001</v>
      </c>
      <c r="F1199" t="s">
        <v>63</v>
      </c>
      <c r="G1199">
        <v>-246.6798</v>
      </c>
      <c r="H1199" s="1">
        <v>2.0178649999999999E-6</v>
      </c>
      <c r="I1199">
        <v>285.70339999999999</v>
      </c>
      <c r="J1199">
        <v>-226.43340000000001</v>
      </c>
      <c r="K1199">
        <v>1.1119049999999999</v>
      </c>
      <c r="L1199">
        <v>286.72989999999999</v>
      </c>
      <c r="M1199">
        <v>-0.99982199999999999</v>
      </c>
      <c r="N1199">
        <v>-1.1570159999999999E-2</v>
      </c>
      <c r="O1199">
        <v>-1.4914709999999999E-2</v>
      </c>
      <c r="P1199">
        <v>-0.98286410000000002</v>
      </c>
      <c r="Q1199">
        <v>0.1478611</v>
      </c>
      <c r="R1199">
        <v>-0.11007020000000001</v>
      </c>
      <c r="S1199">
        <v>-3.059113</v>
      </c>
      <c r="T1199">
        <v>-0.16583059999999999</v>
      </c>
      <c r="U1199">
        <v>-0.15396119999999999</v>
      </c>
      <c r="V1199">
        <v>-9.609376E-2</v>
      </c>
      <c r="W1199">
        <v>0.15882170000000001</v>
      </c>
      <c r="X1199">
        <v>0.98261980000000004</v>
      </c>
      <c r="Y1199">
        <v>-3.5313379999999998E-2</v>
      </c>
      <c r="Z1199">
        <v>-5.2552679999999996E-4</v>
      </c>
      <c r="AA1199">
        <v>0.99937619999999905</v>
      </c>
      <c r="AB1199">
        <v>28</v>
      </c>
      <c r="AC1199">
        <v>-20.246399999999898</v>
      </c>
      <c r="AD1199">
        <v>-1.1119029821349999</v>
      </c>
      <c r="AE1199">
        <v>-1.02649999999999</v>
      </c>
      <c r="AF1199">
        <v>-0.72222378443225199</v>
      </c>
      <c r="AG1199">
        <v>-1.1119029821349999</v>
      </c>
      <c r="AH1199">
        <v>20.198694629530699</v>
      </c>
      <c r="AI1199">
        <v>93.148844629578605</v>
      </c>
      <c r="AJ1199">
        <v>92.047793394688497</v>
      </c>
      <c r="AK1199">
        <v>20.242163920231299</v>
      </c>
      <c r="AL1199">
        <v>80.861489965851803</v>
      </c>
      <c r="AM1199">
        <v>95.585390552930903</v>
      </c>
      <c r="AN1199">
        <v>1.0000000072269299</v>
      </c>
    </row>
    <row r="1200" spans="1:40" x14ac:dyDescent="0.25">
      <c r="A1200" t="str">
        <f>"20190304155344919"</f>
        <v>20190304155344919</v>
      </c>
      <c r="B1200" t="str">
        <f>"1551686024917796"</f>
        <v>1551686024917796</v>
      </c>
      <c r="C1200" t="s">
        <v>40</v>
      </c>
      <c r="D1200">
        <v>5.0941679999999998</v>
      </c>
      <c r="E1200">
        <v>0.51994879999999999</v>
      </c>
      <c r="F1200" t="s">
        <v>63</v>
      </c>
      <c r="G1200">
        <v>-247.68709999999999</v>
      </c>
      <c r="H1200" s="1">
        <v>2.5539140000000002E-6</v>
      </c>
      <c r="I1200">
        <v>285.67360000000002</v>
      </c>
      <c r="J1200">
        <v>-226.71729999999999</v>
      </c>
      <c r="K1200">
        <v>1.1117840000000001</v>
      </c>
      <c r="L1200">
        <v>286.72309999999999</v>
      </c>
      <c r="M1200">
        <v>-0.99978619999999996</v>
      </c>
      <c r="N1200">
        <v>-1.1474979999999999E-2</v>
      </c>
      <c r="O1200">
        <v>-1.7198970000000001E-2</v>
      </c>
      <c r="P1200">
        <v>-0.98272159999999997</v>
      </c>
      <c r="Q1200">
        <v>0.14857960000000001</v>
      </c>
      <c r="R1200">
        <v>-0.11037279999999999</v>
      </c>
      <c r="S1200">
        <v>-3.0593409999999999</v>
      </c>
      <c r="T1200">
        <v>-0.16005179999999899</v>
      </c>
      <c r="U1200">
        <v>-0.1520386</v>
      </c>
      <c r="V1200">
        <v>-9.4108010000000006E-2</v>
      </c>
      <c r="W1200">
        <v>0.15948219999999999</v>
      </c>
      <c r="X1200">
        <v>0.98270500000000005</v>
      </c>
      <c r="Y1200">
        <v>-3.240937E-2</v>
      </c>
      <c r="Z1200">
        <v>-3.3156979999999998E-4</v>
      </c>
      <c r="AA1200">
        <v>0.99947459999999999</v>
      </c>
      <c r="AB1200">
        <v>28</v>
      </c>
      <c r="AC1200">
        <v>-20.9697999999999</v>
      </c>
      <c r="AD1200">
        <v>-1.111781446086</v>
      </c>
      <c r="AE1200">
        <v>-1.0494999999999599</v>
      </c>
      <c r="AF1200">
        <v>-0.68673647672993998</v>
      </c>
      <c r="AG1200">
        <v>-1.111781446086</v>
      </c>
      <c r="AH1200">
        <v>20.9260745955389</v>
      </c>
      <c r="AI1200">
        <v>93.039574977798907</v>
      </c>
      <c r="AJ1200">
        <v>91.879616047614505</v>
      </c>
      <c r="AK1200">
        <v>20.966837218578998</v>
      </c>
      <c r="AL1200">
        <v>80.823157485537095</v>
      </c>
      <c r="AM1200">
        <v>95.4702061689039</v>
      </c>
      <c r="AN1200">
        <v>1.000000003344</v>
      </c>
    </row>
    <row r="1201" spans="1:40" x14ac:dyDescent="0.25">
      <c r="A1201" t="str">
        <f>"20190304155344940"</f>
        <v>20190304155344940</v>
      </c>
      <c r="B1201" t="str">
        <f>"1551686024937316"</f>
        <v>1551686024937316</v>
      </c>
      <c r="C1201" t="s">
        <v>40</v>
      </c>
      <c r="D1201">
        <v>5.0302800000000003</v>
      </c>
      <c r="E1201">
        <v>0.52040980000000003</v>
      </c>
      <c r="F1201" t="s">
        <v>63</v>
      </c>
      <c r="G1201">
        <v>-248.65010000000001</v>
      </c>
      <c r="H1201" s="1">
        <v>3.0663799999999999E-6</v>
      </c>
      <c r="I1201">
        <v>285.66199999999998</v>
      </c>
      <c r="J1201">
        <v>-226.97579999999999</v>
      </c>
      <c r="K1201">
        <v>1.111664</v>
      </c>
      <c r="L1201">
        <v>286.71640000000002</v>
      </c>
      <c r="M1201">
        <v>-0.99975230000000004</v>
      </c>
      <c r="N1201">
        <v>-1.1377979999999999E-2</v>
      </c>
      <c r="O1201">
        <v>-1.9136360000000002E-2</v>
      </c>
      <c r="P1201">
        <v>-0.98265709999999995</v>
      </c>
      <c r="Q1201">
        <v>0.14939269999999999</v>
      </c>
      <c r="R1201">
        <v>-0.1098504</v>
      </c>
      <c r="S1201">
        <v>-3.0595699999999999</v>
      </c>
      <c r="T1201">
        <v>-0.15509010000000001</v>
      </c>
      <c r="U1201">
        <v>-0.14801029999999901</v>
      </c>
      <c r="V1201">
        <v>-9.1639109999999996E-2</v>
      </c>
      <c r="W1201">
        <v>0.16023579999999901</v>
      </c>
      <c r="X1201">
        <v>0.98281569999999996</v>
      </c>
      <c r="Y1201">
        <v>-2.9164539999999999E-2</v>
      </c>
      <c r="Z1201">
        <v>-1.532809E-4</v>
      </c>
      <c r="AA1201">
        <v>0.99957459999999998</v>
      </c>
      <c r="AB1201">
        <v>28</v>
      </c>
      <c r="AC1201">
        <v>-21.674299999999999</v>
      </c>
      <c r="AD1201">
        <v>-1.1116609336200001</v>
      </c>
      <c r="AE1201">
        <v>-1.05439999999998</v>
      </c>
      <c r="AF1201">
        <v>-0.637739230451286</v>
      </c>
      <c r="AG1201">
        <v>-1.1116609336200001</v>
      </c>
      <c r="AH1201">
        <v>21.633733938054501</v>
      </c>
      <c r="AI1201">
        <v>92.940311832441395</v>
      </c>
      <c r="AJ1201">
        <v>91.688529012909896</v>
      </c>
      <c r="AK1201">
        <v>21.671662268038599</v>
      </c>
      <c r="AL1201">
        <v>80.779416556392604</v>
      </c>
      <c r="AM1201">
        <v>95.326936829230604</v>
      </c>
      <c r="AN1201">
        <v>0.99999996912486</v>
      </c>
    </row>
    <row r="1202" spans="1:40" x14ac:dyDescent="0.25">
      <c r="A1202" t="str">
        <f>"20190304155344964"</f>
        <v>20190304155344964</v>
      </c>
      <c r="B1202" t="str">
        <f>"1551686024957812"</f>
        <v>1551686024957812</v>
      </c>
      <c r="C1202" t="s">
        <v>40</v>
      </c>
      <c r="D1202">
        <v>5.1826040000000004</v>
      </c>
      <c r="E1202">
        <v>0.52082600000000001</v>
      </c>
      <c r="F1202" t="s">
        <v>63</v>
      </c>
      <c r="G1202">
        <v>-249.386</v>
      </c>
      <c r="H1202" s="1">
        <v>3.4579649999999998E-6</v>
      </c>
      <c r="I1202">
        <v>285.66550000000001</v>
      </c>
      <c r="J1202">
        <v>-227.26339999999999</v>
      </c>
      <c r="K1202">
        <v>1.1115170000000001</v>
      </c>
      <c r="L1202">
        <v>286.70859999999999</v>
      </c>
      <c r="M1202">
        <v>-0.99971370000000004</v>
      </c>
      <c r="N1202">
        <v>-1.124378E-2</v>
      </c>
      <c r="O1202">
        <v>-2.1130369999999999E-2</v>
      </c>
      <c r="P1202">
        <v>-0.98254189999999997</v>
      </c>
      <c r="Q1202">
        <v>0.150084</v>
      </c>
      <c r="R1202">
        <v>-0.10993940000000001</v>
      </c>
      <c r="S1202">
        <v>-3.059952</v>
      </c>
      <c r="T1202">
        <v>-0.15178920000000001</v>
      </c>
      <c r="U1202">
        <v>-0.1434937</v>
      </c>
      <c r="V1202">
        <v>-8.9719960000000001E-2</v>
      </c>
      <c r="W1202">
        <v>0.16083020000000001</v>
      </c>
      <c r="X1202">
        <v>0.98289570000000004</v>
      </c>
      <c r="Y1202">
        <v>-2.570045E-2</v>
      </c>
      <c r="Z1202" s="1">
        <v>2.800219E-5</v>
      </c>
      <c r="AA1202">
        <v>0.99966969999999999</v>
      </c>
      <c r="AB1202">
        <v>28</v>
      </c>
      <c r="AC1202">
        <v>-22.122599999999998</v>
      </c>
      <c r="AD1202">
        <v>-1.111513542035</v>
      </c>
      <c r="AE1202">
        <v>-1.0430999999999799</v>
      </c>
      <c r="AF1202">
        <v>-0.57393327450599296</v>
      </c>
      <c r="AG1202">
        <v>-1.111513542035</v>
      </c>
      <c r="AH1202">
        <v>22.084077264650599</v>
      </c>
      <c r="AI1202">
        <v>92.880351232820203</v>
      </c>
      <c r="AJ1202">
        <v>91.488699465529194</v>
      </c>
      <c r="AK1202">
        <v>22.119478528861599</v>
      </c>
      <c r="AL1202">
        <v>80.744912643441893</v>
      </c>
      <c r="AM1202">
        <v>95.215577249544907</v>
      </c>
      <c r="AN1202">
        <v>0.99999999076646495</v>
      </c>
    </row>
    <row r="1203" spans="1:40" x14ac:dyDescent="0.25">
      <c r="A1203" t="str">
        <f>"20190304155344985"</f>
        <v>20190304155344985</v>
      </c>
      <c r="B1203" t="str">
        <f>"1551686024977332"</f>
        <v>1551686024977332</v>
      </c>
      <c r="C1203" t="s">
        <v>40</v>
      </c>
      <c r="D1203">
        <v>5.0862639999999999</v>
      </c>
      <c r="E1203">
        <v>0.53213029999999995</v>
      </c>
      <c r="F1203" t="s">
        <v>63</v>
      </c>
      <c r="G1203">
        <v>-249.93860000000001</v>
      </c>
      <c r="H1203" s="1">
        <v>3.752045E-6</v>
      </c>
      <c r="I1203">
        <v>285.66930000000002</v>
      </c>
      <c r="J1203">
        <v>-227.52610000000001</v>
      </c>
      <c r="K1203">
        <v>1.111383</v>
      </c>
      <c r="L1203">
        <v>286.70119999999997</v>
      </c>
      <c r="M1203">
        <v>-0.99967830000000002</v>
      </c>
      <c r="N1203">
        <v>-1.109752E-2</v>
      </c>
      <c r="O1203">
        <v>-2.2807330000000001E-2</v>
      </c>
      <c r="P1203">
        <v>-0.9823788</v>
      </c>
      <c r="Q1203">
        <v>0.151029</v>
      </c>
      <c r="R1203">
        <v>-0.1101009</v>
      </c>
      <c r="S1203">
        <v>-3.0605319999999998</v>
      </c>
      <c r="T1203">
        <v>-0.15002360000000001</v>
      </c>
      <c r="U1203">
        <v>-0.14028929999999901</v>
      </c>
      <c r="V1203">
        <v>-8.8192489999999998E-2</v>
      </c>
      <c r="W1203">
        <v>0.16166040000000001</v>
      </c>
      <c r="X1203">
        <v>0.98289780000000004</v>
      </c>
      <c r="Y1203">
        <v>-2.297598E-2</v>
      </c>
      <c r="Z1203">
        <v>1.7345380000000001E-4</v>
      </c>
      <c r="AA1203">
        <v>0.99973599999999996</v>
      </c>
      <c r="AB1203">
        <v>28</v>
      </c>
      <c r="AC1203">
        <v>-22.412499999999898</v>
      </c>
      <c r="AD1203">
        <v>-1.111379247955</v>
      </c>
      <c r="AE1203">
        <v>-1.0318999999999501</v>
      </c>
      <c r="AF1203">
        <v>-0.51915692968991001</v>
      </c>
      <c r="AG1203">
        <v>-1.111379247955</v>
      </c>
      <c r="AH1203">
        <v>22.3753030112603</v>
      </c>
      <c r="AI1203">
        <v>92.8427753808094</v>
      </c>
      <c r="AJ1203">
        <v>91.329151382627998</v>
      </c>
      <c r="AK1203">
        <v>22.408901637432901</v>
      </c>
      <c r="AL1203">
        <v>80.696715475890699</v>
      </c>
      <c r="AM1203">
        <v>95.127249216892494</v>
      </c>
      <c r="AN1203">
        <v>1.0000000427326901</v>
      </c>
    </row>
    <row r="1204" spans="1:40" x14ac:dyDescent="0.25">
      <c r="A1204" t="str">
        <f>"20190304155345011"</f>
        <v>20190304155345011</v>
      </c>
      <c r="B1204" t="str">
        <f>"1551686025007588"</f>
        <v>1551686025007588</v>
      </c>
      <c r="C1204" t="s">
        <v>40</v>
      </c>
      <c r="D1204">
        <v>5.0808210000000003</v>
      </c>
      <c r="E1204">
        <v>0.53291599999999995</v>
      </c>
      <c r="F1204" t="s">
        <v>63</v>
      </c>
      <c r="G1204">
        <v>-255.0865</v>
      </c>
      <c r="H1204" s="1">
        <v>1.169969E-6</v>
      </c>
      <c r="I1204">
        <v>286.2353</v>
      </c>
      <c r="J1204">
        <v>-227.8459</v>
      </c>
      <c r="K1204">
        <v>1.1112420000000001</v>
      </c>
      <c r="L1204">
        <v>286.6918</v>
      </c>
      <c r="M1204">
        <v>-0.99963559999999996</v>
      </c>
      <c r="N1204">
        <v>-1.090853E-2</v>
      </c>
      <c r="O1204">
        <v>-2.4691999999999999E-2</v>
      </c>
      <c r="P1204">
        <v>-0.98230660000000003</v>
      </c>
      <c r="Q1204">
        <v>0.15102850000000001</v>
      </c>
      <c r="R1204">
        <v>-0.1107447</v>
      </c>
      <c r="S1204">
        <v>-3.0670169999999999</v>
      </c>
      <c r="T1204">
        <v>-0.1236786</v>
      </c>
      <c r="U1204">
        <v>-5.1849369999999999E-2</v>
      </c>
      <c r="V1204">
        <v>-8.6935330000000005E-2</v>
      </c>
      <c r="W1204">
        <v>0.1615036</v>
      </c>
      <c r="X1204">
        <v>0.98303549999999995</v>
      </c>
      <c r="Y1204">
        <v>7.77334599999999E-3</v>
      </c>
      <c r="Z1204">
        <v>9.2489449999999995E-4</v>
      </c>
      <c r="AA1204">
        <v>0.99996940000000001</v>
      </c>
      <c r="AB1204">
        <v>28</v>
      </c>
      <c r="AC1204">
        <v>-27.240600000000001</v>
      </c>
      <c r="AD1204">
        <v>-1.1112408300309999</v>
      </c>
      <c r="AE1204">
        <v>-0.45650000000000501</v>
      </c>
      <c r="AF1204">
        <v>0.215944855347277</v>
      </c>
      <c r="AG1204">
        <v>-1.1112408300309999</v>
      </c>
      <c r="AH1204">
        <v>27.1983176964191</v>
      </c>
      <c r="AI1204">
        <v>92.339556981816798</v>
      </c>
      <c r="AJ1204">
        <v>89.545101686680098</v>
      </c>
      <c r="AK1204">
        <v>27.22186573103</v>
      </c>
      <c r="AL1204">
        <v>80.705818487153806</v>
      </c>
      <c r="AM1204">
        <v>95.053838643332099</v>
      </c>
      <c r="AN1204">
        <v>0.99999997933770901</v>
      </c>
    </row>
    <row r="1205" spans="1:40" x14ac:dyDescent="0.25">
      <c r="A1205" t="str">
        <f>"20190304155345032"</f>
        <v>20190304155345032</v>
      </c>
      <c r="B1205" t="str">
        <f>"1551686025027108"</f>
        <v>1551686025027108</v>
      </c>
      <c r="C1205" t="s">
        <v>40</v>
      </c>
      <c r="D1205">
        <v>5.1008849999999999</v>
      </c>
      <c r="E1205">
        <v>0.53268590000000005</v>
      </c>
      <c r="F1205" t="s">
        <v>63</v>
      </c>
      <c r="G1205">
        <v>-253.30869999999999</v>
      </c>
      <c r="H1205" s="1">
        <v>2.239516E-7</v>
      </c>
      <c r="I1205">
        <v>286.30189999999999</v>
      </c>
      <c r="J1205">
        <v>-228.11680000000001</v>
      </c>
      <c r="K1205">
        <v>1.1111219999999999</v>
      </c>
      <c r="L1205">
        <v>286.68340000000001</v>
      </c>
      <c r="M1205">
        <v>-0.99960039999999994</v>
      </c>
      <c r="N1205">
        <v>-1.0731320000000001E-2</v>
      </c>
      <c r="O1205">
        <v>-2.61528E-2</v>
      </c>
      <c r="P1205">
        <v>-0.98245689999999997</v>
      </c>
      <c r="Q1205">
        <v>0.14999079999999901</v>
      </c>
      <c r="R1205">
        <v>-0.1108215</v>
      </c>
      <c r="S1205">
        <v>-3.069321</v>
      </c>
      <c r="T1205">
        <v>-0.1339506</v>
      </c>
      <c r="U1205">
        <v>-4.6997070000000002E-2</v>
      </c>
      <c r="V1205">
        <v>-8.5530300000000004E-2</v>
      </c>
      <c r="W1205">
        <v>0.16031719999999999</v>
      </c>
      <c r="X1205">
        <v>0.98335289999999997</v>
      </c>
      <c r="Y1205">
        <v>1.081942E-2</v>
      </c>
      <c r="Z1205">
        <v>1.154064E-3</v>
      </c>
      <c r="AA1205">
        <v>0.99994079999999996</v>
      </c>
      <c r="AB1205">
        <v>28</v>
      </c>
      <c r="AC1205">
        <v>-25.191899999999901</v>
      </c>
      <c r="AD1205">
        <v>-1.1111217760484</v>
      </c>
      <c r="AE1205">
        <v>-0.38150000000001599</v>
      </c>
      <c r="AF1205">
        <v>0.27696845507936202</v>
      </c>
      <c r="AG1205">
        <v>-1.1111217760484</v>
      </c>
      <c r="AH1205">
        <v>25.144356385586399</v>
      </c>
      <c r="AI1205">
        <v>92.530084399998898</v>
      </c>
      <c r="AJ1205">
        <v>89.368904834125601</v>
      </c>
      <c r="AK1205">
        <v>25.170418374983399</v>
      </c>
      <c r="AL1205">
        <v>80.774691710351206</v>
      </c>
      <c r="AM1205">
        <v>94.970975489317496</v>
      </c>
      <c r="AN1205">
        <v>0.99999998138616897</v>
      </c>
    </row>
    <row r="1206" spans="1:40" x14ac:dyDescent="0.25">
      <c r="A1206" t="str">
        <f>"20190304155345053"</f>
        <v>20190304155345053</v>
      </c>
      <c r="B1206" t="str">
        <f>"1551686025047604"</f>
        <v>1551686025047604</v>
      </c>
      <c r="C1206" t="s">
        <v>40</v>
      </c>
      <c r="D1206">
        <v>5.1983699999999997</v>
      </c>
      <c r="E1206">
        <v>0.53293829999999998</v>
      </c>
      <c r="F1206" t="s">
        <v>63</v>
      </c>
      <c r="G1206">
        <v>-252.8442</v>
      </c>
      <c r="H1206" s="1">
        <v>-2.32319E-8</v>
      </c>
      <c r="I1206">
        <v>286.28629999999998</v>
      </c>
      <c r="J1206">
        <v>-228.3809</v>
      </c>
      <c r="K1206">
        <v>1.1109960000000001</v>
      </c>
      <c r="L1206">
        <v>286.67500000000001</v>
      </c>
      <c r="M1206">
        <v>-0.99956789999999995</v>
      </c>
      <c r="N1206">
        <v>-1.0538570000000001E-2</v>
      </c>
      <c r="O1206">
        <v>-2.7440719999999998E-2</v>
      </c>
      <c r="P1206">
        <v>-0.98256160000000003</v>
      </c>
      <c r="Q1206">
        <v>0.14905539999999901</v>
      </c>
      <c r="R1206">
        <v>-0.11115369999999999</v>
      </c>
      <c r="S1206">
        <v>-3.0690770000000001</v>
      </c>
      <c r="T1206">
        <v>-0.13790849999999999</v>
      </c>
      <c r="U1206">
        <v>-4.9285889999999999E-2</v>
      </c>
      <c r="V1206">
        <v>-8.4552379999999996E-2</v>
      </c>
      <c r="W1206">
        <v>0.1592162</v>
      </c>
      <c r="X1206">
        <v>0.98361639999999995</v>
      </c>
      <c r="Y1206">
        <v>1.1357600000000001E-2</v>
      </c>
      <c r="Z1206">
        <v>1.2579729999999999E-3</v>
      </c>
      <c r="AA1206">
        <v>0.99993469999999995</v>
      </c>
      <c r="AB1206">
        <v>28</v>
      </c>
      <c r="AC1206">
        <v>-24.4633</v>
      </c>
      <c r="AD1206">
        <v>-1.1109960232318901</v>
      </c>
      <c r="AE1206">
        <v>-0.38870000000002802</v>
      </c>
      <c r="AF1206">
        <v>0.28219234399773502</v>
      </c>
      <c r="AG1206">
        <v>-1.1109960232318901</v>
      </c>
      <c r="AH1206">
        <v>24.414411567586399</v>
      </c>
      <c r="AI1206">
        <v>92.605315963578406</v>
      </c>
      <c r="AJ1206">
        <v>89.337780051959498</v>
      </c>
      <c r="AK1206">
        <v>24.441305956804801</v>
      </c>
      <c r="AL1206">
        <v>80.838595974173401</v>
      </c>
      <c r="AM1206">
        <v>94.913109174475295</v>
      </c>
      <c r="AN1206">
        <v>1.0000000628275301</v>
      </c>
    </row>
    <row r="1207" spans="1:40" x14ac:dyDescent="0.25">
      <c r="A1207" t="str">
        <f>"20190304155345075"</f>
        <v>20190304155345075</v>
      </c>
      <c r="B1207" t="str">
        <f>"1551686025067124"</f>
        <v>1551686025067124</v>
      </c>
      <c r="C1207" t="s">
        <v>40</v>
      </c>
      <c r="D1207">
        <v>5.0918190000000001</v>
      </c>
      <c r="E1207">
        <v>0.53277769999999902</v>
      </c>
      <c r="F1207" t="s">
        <v>63</v>
      </c>
      <c r="G1207">
        <v>-252.01820000000001</v>
      </c>
      <c r="H1207" s="1">
        <v>-4.6279830000000002E-7</v>
      </c>
      <c r="I1207">
        <v>286.30329999999998</v>
      </c>
      <c r="J1207">
        <v>-228.65039999999999</v>
      </c>
      <c r="K1207">
        <v>1.110868</v>
      </c>
      <c r="L1207">
        <v>286.66629999999998</v>
      </c>
      <c r="M1207">
        <v>-0.99953729999999996</v>
      </c>
      <c r="N1207">
        <v>-1.032399E-2</v>
      </c>
      <c r="O1207">
        <v>-2.8611589999999999E-2</v>
      </c>
      <c r="P1207">
        <v>-0.98238440000000005</v>
      </c>
      <c r="Q1207">
        <v>0.14971770000000001</v>
      </c>
      <c r="R1207">
        <v>-0.1118296</v>
      </c>
      <c r="S1207">
        <v>-3.0696409999999998</v>
      </c>
      <c r="T1207">
        <v>-0.14427879999999901</v>
      </c>
      <c r="U1207">
        <v>-4.8278809999999998E-2</v>
      </c>
      <c r="V1207">
        <v>-8.4040260000000006E-2</v>
      </c>
      <c r="W1207">
        <v>0.15968879999999999</v>
      </c>
      <c r="X1207">
        <v>0.9835836</v>
      </c>
      <c r="Y1207">
        <v>1.28536E-2</v>
      </c>
      <c r="Z1207">
        <v>1.4167509999999999E-3</v>
      </c>
      <c r="AA1207">
        <v>0.99991640000000004</v>
      </c>
      <c r="AB1207">
        <v>28</v>
      </c>
      <c r="AC1207">
        <v>-23.367799999999999</v>
      </c>
      <c r="AD1207">
        <v>-1.1108684627983001</v>
      </c>
      <c r="AE1207">
        <v>-0.36299999999999899</v>
      </c>
      <c r="AF1207">
        <v>0.30508486981995903</v>
      </c>
      <c r="AG1207">
        <v>-1.1108684627983001</v>
      </c>
      <c r="AH1207">
        <v>23.3159398435164</v>
      </c>
      <c r="AI1207">
        <v>92.727513672055395</v>
      </c>
      <c r="AJ1207">
        <v>89.250337835350194</v>
      </c>
      <c r="AK1207">
        <v>23.3443816860912</v>
      </c>
      <c r="AL1207">
        <v>80.811166361731907</v>
      </c>
      <c r="AM1207">
        <v>94.883657683446998</v>
      </c>
      <c r="AN1207">
        <v>0.99999998816763302</v>
      </c>
    </row>
    <row r="1208" spans="1:40" x14ac:dyDescent="0.25">
      <c r="A1208" t="str">
        <f>"20190304155345098"</f>
        <v>20190304155345098</v>
      </c>
      <c r="B1208" t="str">
        <f>"1551686025087620"</f>
        <v>1551686025087620</v>
      </c>
      <c r="C1208" t="s">
        <v>40</v>
      </c>
      <c r="D1208">
        <v>5.2088070000000002</v>
      </c>
      <c r="E1208">
        <v>0.53234209999999904</v>
      </c>
      <c r="F1208" t="s">
        <v>63</v>
      </c>
      <c r="G1208">
        <v>-251.51750000000001</v>
      </c>
      <c r="H1208" s="1">
        <v>-7.2922259999999997E-7</v>
      </c>
      <c r="I1208">
        <v>286.28129999999999</v>
      </c>
      <c r="J1208">
        <v>-228.93770000000001</v>
      </c>
      <c r="K1208">
        <v>1.1107180000000001</v>
      </c>
      <c r="L1208">
        <v>286.65690000000001</v>
      </c>
      <c r="M1208">
        <v>-0.99950799999999995</v>
      </c>
      <c r="N1208">
        <v>-1.008267E-2</v>
      </c>
      <c r="O1208">
        <v>-2.97065E-2</v>
      </c>
      <c r="P1208">
        <v>-0.98215160000000001</v>
      </c>
      <c r="Q1208">
        <v>0.15067320000000001</v>
      </c>
      <c r="R1208">
        <v>-0.1125878</v>
      </c>
      <c r="S1208">
        <v>-3.0706479999999998</v>
      </c>
      <c r="T1208">
        <v>-0.14916979999999999</v>
      </c>
      <c r="U1208">
        <v>-5.1696779999999998E-2</v>
      </c>
      <c r="V1208">
        <v>-8.3682060000000003E-2</v>
      </c>
      <c r="W1208">
        <v>0.1604302</v>
      </c>
      <c r="X1208">
        <v>0.98349350000000002</v>
      </c>
      <c r="Y1208">
        <v>1.283757E-2</v>
      </c>
      <c r="Z1208">
        <v>1.518883E-3</v>
      </c>
      <c r="AA1208">
        <v>0.99991640000000004</v>
      </c>
      <c r="AB1208">
        <v>28</v>
      </c>
      <c r="AC1208">
        <v>-22.579799999999999</v>
      </c>
      <c r="AD1208">
        <v>-1.1107187292226</v>
      </c>
      <c r="AE1208">
        <v>-0.37560000000001897</v>
      </c>
      <c r="AF1208">
        <v>0.29465379470454001</v>
      </c>
      <c r="AG1208">
        <v>-1.1107187292226</v>
      </c>
      <c r="AH1208">
        <v>22.526498945449401</v>
      </c>
      <c r="AI1208">
        <v>92.822567630845896</v>
      </c>
      <c r="AJ1208">
        <v>89.250595657908093</v>
      </c>
      <c r="AK1208">
        <v>22.555790203260798</v>
      </c>
      <c r="AL1208">
        <v>80.768132562638598</v>
      </c>
      <c r="AM1208">
        <v>94.863385748779805</v>
      </c>
      <c r="AN1208">
        <v>1.00000000039006</v>
      </c>
    </row>
    <row r="1209" spans="1:40" x14ac:dyDescent="0.25">
      <c r="A1209" t="str">
        <f>"20190304155345120"</f>
        <v>20190304155345120</v>
      </c>
      <c r="B1209" t="str">
        <f>"1551686025117408"</f>
        <v>1551686025117408</v>
      </c>
      <c r="C1209" t="s">
        <v>40</v>
      </c>
      <c r="D1209">
        <v>5.1506040000000004</v>
      </c>
      <c r="E1209">
        <v>0.53231759999999995</v>
      </c>
      <c r="F1209" t="s">
        <v>63</v>
      </c>
      <c r="G1209">
        <v>-252.2876</v>
      </c>
      <c r="H1209" s="1">
        <v>-3.1943339999999999E-7</v>
      </c>
      <c r="I1209">
        <v>286.21429999999998</v>
      </c>
      <c r="J1209">
        <v>-229.21700000000001</v>
      </c>
      <c r="K1209">
        <v>1.1105579999999999</v>
      </c>
      <c r="L1209">
        <v>286.64749999999998</v>
      </c>
      <c r="M1209">
        <v>-0.99948289999999995</v>
      </c>
      <c r="N1209">
        <v>-9.8386519999999998E-3</v>
      </c>
      <c r="O1209">
        <v>-3.0618780000000002E-2</v>
      </c>
      <c r="P1209">
        <v>-0.98198830000000004</v>
      </c>
      <c r="Q1209">
        <v>0.15149799999999999</v>
      </c>
      <c r="R1209">
        <v>-0.1129081</v>
      </c>
      <c r="S1209">
        <v>-3.0702509999999998</v>
      </c>
      <c r="T1209">
        <v>-0.14604679999999901</v>
      </c>
      <c r="U1209">
        <v>-5.8197020000000002E-2</v>
      </c>
      <c r="V1209">
        <v>-8.3062629999999998E-2</v>
      </c>
      <c r="W1209">
        <v>0.16103919999999999</v>
      </c>
      <c r="X1209">
        <v>0.9834465</v>
      </c>
      <c r="Y1209">
        <v>1.163429E-2</v>
      </c>
      <c r="Z1209">
        <v>1.4879139999999999E-3</v>
      </c>
      <c r="AA1209">
        <v>0.99993120000000002</v>
      </c>
      <c r="AB1209">
        <v>28</v>
      </c>
      <c r="AC1209">
        <v>-23.070599999999899</v>
      </c>
      <c r="AD1209">
        <v>-1.1105583194334001</v>
      </c>
      <c r="AE1209">
        <v>-0.43319999999999897</v>
      </c>
      <c r="AF1209">
        <v>0.27279890747779301</v>
      </c>
      <c r="AG1209">
        <v>-1.1105583194334001</v>
      </c>
      <c r="AH1209">
        <v>23.0197239794796</v>
      </c>
      <c r="AI1209">
        <v>92.761829402234795</v>
      </c>
      <c r="AJ1209">
        <v>89.321039016948504</v>
      </c>
      <c r="AK1209">
        <v>23.0481116605289</v>
      </c>
      <c r="AL1209">
        <v>80.732779959192598</v>
      </c>
      <c r="AM1209">
        <v>94.827786463905397</v>
      </c>
      <c r="AN1209">
        <v>1.0000000214007001</v>
      </c>
    </row>
    <row r="1210" spans="1:40" x14ac:dyDescent="0.25">
      <c r="A1210" t="str">
        <f>"20190304155345143"</f>
        <v>20190304155345143</v>
      </c>
      <c r="B1210" t="str">
        <f>"1551686025137904"</f>
        <v>1551686025137904</v>
      </c>
      <c r="C1210" t="s">
        <v>40</v>
      </c>
      <c r="D1210">
        <v>5.1180680000000001</v>
      </c>
      <c r="E1210">
        <v>0.53213859999999902</v>
      </c>
      <c r="F1210" t="s">
        <v>63</v>
      </c>
      <c r="G1210">
        <v>-252.71870000000001</v>
      </c>
      <c r="H1210" s="1">
        <v>-9.0037770000000001E-8</v>
      </c>
      <c r="I1210">
        <v>286.18639999999999</v>
      </c>
      <c r="J1210">
        <v>-229.4984</v>
      </c>
      <c r="K1210">
        <v>1.110409</v>
      </c>
      <c r="L1210">
        <v>286.63799999999998</v>
      </c>
      <c r="M1210">
        <v>-0.99946179999999996</v>
      </c>
      <c r="N1210">
        <v>-9.5862870000000006E-3</v>
      </c>
      <c r="O1210">
        <v>-3.1373829999999998E-2</v>
      </c>
      <c r="P1210">
        <v>-0.9820991</v>
      </c>
      <c r="Q1210">
        <v>0.15085029999999999</v>
      </c>
      <c r="R1210">
        <v>-0.112808199999999</v>
      </c>
      <c r="S1210">
        <v>-3.0704799999999999</v>
      </c>
      <c r="T1210">
        <v>-0.14509359999999999</v>
      </c>
      <c r="U1210">
        <v>-6.0241699999999898E-2</v>
      </c>
      <c r="V1210">
        <v>-8.2168850000000002E-2</v>
      </c>
      <c r="W1210">
        <v>0.16016939999999999</v>
      </c>
      <c r="X1210">
        <v>0.98366359999999997</v>
      </c>
      <c r="Y1210">
        <v>1.1725080000000001E-2</v>
      </c>
      <c r="Z1210">
        <v>1.5137149999999999E-3</v>
      </c>
      <c r="AA1210">
        <v>0.99993010000000004</v>
      </c>
      <c r="AB1210">
        <v>28</v>
      </c>
      <c r="AC1210">
        <v>-23.220300000000002</v>
      </c>
      <c r="AD1210">
        <v>-1.1104090900377701</v>
      </c>
      <c r="AE1210">
        <v>-0.45159999999998401</v>
      </c>
      <c r="AF1210">
        <v>0.27653337650965398</v>
      </c>
      <c r="AG1210">
        <v>-1.1104090900377701</v>
      </c>
      <c r="AH1210">
        <v>23.170071586480301</v>
      </c>
      <c r="AI1210">
        <v>92.743564832044896</v>
      </c>
      <c r="AJ1210">
        <v>89.316210868114098</v>
      </c>
      <c r="AK1210">
        <v>23.198312360561602</v>
      </c>
      <c r="AL1210">
        <v>80.783271224546297</v>
      </c>
      <c r="AM1210">
        <v>94.775030341493704</v>
      </c>
      <c r="AN1210">
        <v>1.0000000172858201</v>
      </c>
    </row>
    <row r="1211" spans="1:40" x14ac:dyDescent="0.25">
      <c r="A1211" t="str">
        <f>"20190304155345165"</f>
        <v>20190304155345165</v>
      </c>
      <c r="B1211" t="str">
        <f>"1551686025157424"</f>
        <v>1551686025157424</v>
      </c>
      <c r="C1211" t="s">
        <v>40</v>
      </c>
      <c r="D1211">
        <v>5.1588750000000001</v>
      </c>
      <c r="E1211">
        <v>0.53227170000000001</v>
      </c>
      <c r="F1211" t="s">
        <v>63</v>
      </c>
      <c r="G1211">
        <v>-252.7268</v>
      </c>
      <c r="H1211" s="1">
        <v>-8.5720080000000002E-8</v>
      </c>
      <c r="I1211">
        <v>286.1728</v>
      </c>
      <c r="J1211">
        <v>-229.77670000000001</v>
      </c>
      <c r="K1211">
        <v>1.1102650000000001</v>
      </c>
      <c r="L1211">
        <v>286.62860000000001</v>
      </c>
      <c r="M1211">
        <v>-0.99944529999999998</v>
      </c>
      <c r="N1211">
        <v>-9.3365129999999994E-3</v>
      </c>
      <c r="O1211">
        <v>-3.196703E-2</v>
      </c>
      <c r="P1211">
        <v>-0.98240950000000005</v>
      </c>
      <c r="Q1211">
        <v>0.14927079999999901</v>
      </c>
      <c r="R1211">
        <v>-0.1122046</v>
      </c>
      <c r="S1211">
        <v>-3.07016</v>
      </c>
      <c r="T1211">
        <v>-0.1467656</v>
      </c>
      <c r="U1211">
        <v>-6.149292E-2</v>
      </c>
      <c r="V1211">
        <v>-8.0927070000000004E-2</v>
      </c>
      <c r="W1211">
        <v>0.1583707</v>
      </c>
      <c r="X1211">
        <v>0.98405770000000004</v>
      </c>
      <c r="Y1211">
        <v>1.190718E-2</v>
      </c>
      <c r="Z1211">
        <v>1.5684879999999901E-3</v>
      </c>
      <c r="AA1211">
        <v>0.99992789999999998</v>
      </c>
      <c r="AB1211">
        <v>28</v>
      </c>
      <c r="AC1211">
        <v>-22.9500999999999</v>
      </c>
      <c r="AD1211">
        <v>-1.11026508572008</v>
      </c>
      <c r="AE1211">
        <v>-0.45580000000000997</v>
      </c>
      <c r="AF1211">
        <v>0.277462385439953</v>
      </c>
      <c r="AG1211">
        <v>-1.11026508572008</v>
      </c>
      <c r="AH1211">
        <v>22.8993691107266</v>
      </c>
      <c r="AI1211">
        <v>92.775581668631403</v>
      </c>
      <c r="AJ1211">
        <v>89.305804204730705</v>
      </c>
      <c r="AK1211">
        <v>22.927947566347999</v>
      </c>
      <c r="AL1211">
        <v>80.887661657018398</v>
      </c>
      <c r="AM1211">
        <v>94.701318585713693</v>
      </c>
      <c r="AN1211">
        <v>1.00000001310328</v>
      </c>
    </row>
    <row r="1212" spans="1:40" x14ac:dyDescent="0.25">
      <c r="A1212" t="str">
        <f>"20190304155345187"</f>
        <v>20190304155345187</v>
      </c>
      <c r="B1212" t="str">
        <f>"1551686025177921"</f>
        <v>1551686025177921</v>
      </c>
      <c r="C1212" t="s">
        <v>40</v>
      </c>
      <c r="D1212">
        <v>4.9994269999999998</v>
      </c>
      <c r="E1212">
        <v>0.53353269999999997</v>
      </c>
      <c r="F1212" t="s">
        <v>63</v>
      </c>
      <c r="G1212">
        <v>-252.12299999999999</v>
      </c>
      <c r="H1212" s="1">
        <v>-4.070342E-7</v>
      </c>
      <c r="I1212">
        <v>286.19990000000001</v>
      </c>
      <c r="J1212">
        <v>-230.06790000000001</v>
      </c>
      <c r="K1212">
        <v>1.1101299999999901</v>
      </c>
      <c r="L1212">
        <v>286.61869999999999</v>
      </c>
      <c r="M1212">
        <v>-0.99943170000000003</v>
      </c>
      <c r="N1212">
        <v>-9.0858510000000007E-3</v>
      </c>
      <c r="O1212">
        <v>-3.2461209999999997E-2</v>
      </c>
      <c r="P1212">
        <v>-0.98276140000000001</v>
      </c>
      <c r="Q1212">
        <v>0.14752129999999999</v>
      </c>
      <c r="R1212">
        <v>-0.1114338</v>
      </c>
      <c r="S1212">
        <v>-3.07016</v>
      </c>
      <c r="T1212">
        <v>-0.15253949999999999</v>
      </c>
      <c r="U1212">
        <v>-5.8898930000000002E-2</v>
      </c>
      <c r="V1212">
        <v>-7.9620189999999993E-2</v>
      </c>
      <c r="W1212">
        <v>0.1563976</v>
      </c>
      <c r="X1212">
        <v>0.98447980000000002</v>
      </c>
      <c r="Y1212">
        <v>1.3239880000000001E-2</v>
      </c>
      <c r="Z1212">
        <v>1.705385E-3</v>
      </c>
      <c r="AA1212">
        <v>0.99991090000000005</v>
      </c>
      <c r="AB1212">
        <v>28</v>
      </c>
      <c r="AC1212">
        <v>-22.0550999999999</v>
      </c>
      <c r="AD1212">
        <v>-1.11013040703419</v>
      </c>
      <c r="AE1212">
        <v>-0.41879999999997602</v>
      </c>
      <c r="AF1212">
        <v>0.296634243501185</v>
      </c>
      <c r="AG1212">
        <v>-1.11013040703419</v>
      </c>
      <c r="AH1212">
        <v>22.0013497451768</v>
      </c>
      <c r="AI1212">
        <v>92.888283012348893</v>
      </c>
      <c r="AJ1212">
        <v>89.227553732459796</v>
      </c>
      <c r="AK1212">
        <v>22.0313361375254</v>
      </c>
      <c r="AL1212">
        <v>81.002138808544103</v>
      </c>
      <c r="AM1212">
        <v>94.623755102814101</v>
      </c>
      <c r="AN1212">
        <v>1.0000000302747101</v>
      </c>
    </row>
    <row r="1213" spans="1:40" x14ac:dyDescent="0.25">
      <c r="A1213" t="str">
        <f>"20190304155345276"</f>
        <v>20190304155345276</v>
      </c>
      <c r="B1213" t="str">
        <f>"1551686025267244"</f>
        <v>1551686025267244</v>
      </c>
      <c r="C1213" t="s">
        <v>40</v>
      </c>
      <c r="D1213">
        <v>4.4950359999999998</v>
      </c>
      <c r="E1213">
        <v>0.53303739999999999</v>
      </c>
      <c r="F1213" t="s">
        <v>63</v>
      </c>
      <c r="G1213">
        <v>-252.65369999999999</v>
      </c>
      <c r="H1213" s="1">
        <v>-1.246303E-7</v>
      </c>
      <c r="I1213">
        <v>286.27409999999998</v>
      </c>
      <c r="J1213">
        <v>-231.20259999999999</v>
      </c>
      <c r="K1213">
        <v>1.109712</v>
      </c>
      <c r="L1213">
        <v>286.58019999999999</v>
      </c>
      <c r="M1213">
        <v>-0.99941159999999996</v>
      </c>
      <c r="N1213">
        <v>-8.1421489999999996E-3</v>
      </c>
      <c r="O1213">
        <v>-3.3321419999999997E-2</v>
      </c>
      <c r="P1213">
        <v>-0.98343440000000004</v>
      </c>
      <c r="Q1213">
        <v>0.1447157</v>
      </c>
      <c r="R1213">
        <v>-0.109152</v>
      </c>
      <c r="S1213">
        <v>-3.0699459999999998</v>
      </c>
      <c r="T1213">
        <v>-0.1508931</v>
      </c>
      <c r="U1213">
        <v>-4.6844480000000001E-2</v>
      </c>
      <c r="V1213">
        <v>-7.6356010000000002E-2</v>
      </c>
      <c r="W1213">
        <v>0.15272629999999901</v>
      </c>
      <c r="X1213">
        <v>0.98531440000000003</v>
      </c>
      <c r="Y1213">
        <v>1.8016509999999999E-2</v>
      </c>
      <c r="Z1213">
        <v>1.881057E-3</v>
      </c>
      <c r="AA1213">
        <v>0.9998359</v>
      </c>
      <c r="AB1213">
        <v>29</v>
      </c>
      <c r="AC1213">
        <v>-21.4511</v>
      </c>
      <c r="AD1213">
        <v>-1.1097121246302999</v>
      </c>
      <c r="AE1213">
        <v>-0.30610000000001403</v>
      </c>
      <c r="AF1213">
        <v>0.407783646985862</v>
      </c>
      <c r="AG1213">
        <v>-1.1097121246302999</v>
      </c>
      <c r="AH1213">
        <v>21.3921487638071</v>
      </c>
      <c r="AI1213">
        <v>92.969003413441996</v>
      </c>
      <c r="AJ1213">
        <v>88.907942683524297</v>
      </c>
      <c r="AK1213">
        <v>21.424793516744899</v>
      </c>
      <c r="AL1213">
        <v>81.2150472930674</v>
      </c>
      <c r="AM1213">
        <v>94.4312262244501</v>
      </c>
      <c r="AN1213">
        <v>1.0000000149110799</v>
      </c>
    </row>
    <row r="1214" spans="1:40" x14ac:dyDescent="0.25">
      <c r="A1214" t="str">
        <f>"20190304155345300"</f>
        <v>20190304155345300</v>
      </c>
      <c r="B1214" t="str">
        <f>"1551686025297499"</f>
        <v>1551686025297499</v>
      </c>
      <c r="C1214" t="s">
        <v>40</v>
      </c>
      <c r="D1214">
        <v>5.0994510000000002</v>
      </c>
      <c r="E1214">
        <v>0.53523889999999996</v>
      </c>
      <c r="F1214" t="s">
        <v>63</v>
      </c>
      <c r="G1214">
        <v>-251.21019999999999</v>
      </c>
      <c r="H1214" s="1">
        <v>-8.9276430000000004E-7</v>
      </c>
      <c r="I1214">
        <v>286.28730000000002</v>
      </c>
      <c r="J1214">
        <v>-231.5078</v>
      </c>
      <c r="K1214">
        <v>1.1096159999999999</v>
      </c>
      <c r="L1214">
        <v>286.57</v>
      </c>
      <c r="M1214">
        <v>-0.99941290000000005</v>
      </c>
      <c r="N1214">
        <v>-7.8825879999999994E-3</v>
      </c>
      <c r="O1214">
        <v>-3.3341719999999998E-2</v>
      </c>
      <c r="P1214">
        <v>-0.9835486</v>
      </c>
      <c r="Q1214">
        <v>0.1444174</v>
      </c>
      <c r="R1214">
        <v>-0.1085158</v>
      </c>
      <c r="S1214">
        <v>-3.0705870000000002</v>
      </c>
      <c r="T1214">
        <v>-0.17030819999999999</v>
      </c>
      <c r="U1214">
        <v>-4.4952390000000002E-2</v>
      </c>
      <c r="V1214">
        <v>-7.5673610000000002E-2</v>
      </c>
      <c r="W1214">
        <v>0.15218389999999901</v>
      </c>
      <c r="X1214">
        <v>0.98545090000000002</v>
      </c>
      <c r="Y1214">
        <v>1.8638829999999999E-2</v>
      </c>
      <c r="Z1214">
        <v>2.1747030000000001E-3</v>
      </c>
      <c r="AA1214">
        <v>0.99982389999999999</v>
      </c>
      <c r="AB1214">
        <v>29</v>
      </c>
      <c r="AC1214">
        <v>-19.702399999999901</v>
      </c>
      <c r="AD1214">
        <v>-1.1096168927643</v>
      </c>
      <c r="AE1214">
        <v>-0.28269999999997703</v>
      </c>
      <c r="AF1214">
        <v>0.37320602137074699</v>
      </c>
      <c r="AG1214">
        <v>-1.1096168927643</v>
      </c>
      <c r="AH1214">
        <v>19.638593818387299</v>
      </c>
      <c r="AI1214">
        <v>93.233296607199904</v>
      </c>
      <c r="AJ1214">
        <v>88.911299018546899</v>
      </c>
      <c r="AK1214">
        <v>19.673456725921199</v>
      </c>
      <c r="AL1214">
        <v>81.246491576888701</v>
      </c>
      <c r="AM1214">
        <v>94.391173669501498</v>
      </c>
      <c r="AN1214">
        <v>0.99999995549022502</v>
      </c>
    </row>
    <row r="1215" spans="1:40" x14ac:dyDescent="0.25">
      <c r="A1215" t="str">
        <f>"20190304155345322"</f>
        <v>20190304155345322</v>
      </c>
      <c r="B1215" t="str">
        <f>"1551686025317526"</f>
        <v>1551686025317526</v>
      </c>
      <c r="C1215" t="s">
        <v>40</v>
      </c>
      <c r="D1215">
        <v>5.1902900000000001</v>
      </c>
      <c r="E1215">
        <v>0.53615610000000002</v>
      </c>
      <c r="F1215" t="s">
        <v>63</v>
      </c>
      <c r="G1215">
        <v>-252.74969999999999</v>
      </c>
      <c r="H1215" s="1">
        <v>-7.3537069999999995E-8</v>
      </c>
      <c r="I1215">
        <v>286.38740000000001</v>
      </c>
      <c r="J1215">
        <v>-231.7996</v>
      </c>
      <c r="K1215">
        <v>1.1095330000000001</v>
      </c>
      <c r="L1215">
        <v>286.56029999999998</v>
      </c>
      <c r="M1215">
        <v>-0.99941650000000004</v>
      </c>
      <c r="N1215">
        <v>-7.6319680000000003E-3</v>
      </c>
      <c r="O1215">
        <v>-3.3294289999999997E-2</v>
      </c>
      <c r="P1215">
        <v>-0.98357459999999997</v>
      </c>
      <c r="Q1215">
        <v>0.1445285</v>
      </c>
      <c r="R1215">
        <v>-0.10813200000000001</v>
      </c>
      <c r="S1215">
        <v>-3.0708160000000002</v>
      </c>
      <c r="T1215">
        <v>-0.16041079999999999</v>
      </c>
      <c r="U1215">
        <v>-2.6397710000000001E-2</v>
      </c>
      <c r="V1215">
        <v>-7.5317490000000001E-2</v>
      </c>
      <c r="W1215">
        <v>0.1520571</v>
      </c>
      <c r="X1215">
        <v>0.98549779999999998</v>
      </c>
      <c r="Y1215">
        <v>2.463123E-2</v>
      </c>
      <c r="Z1215">
        <v>2.2206349999999999E-3</v>
      </c>
      <c r="AA1215">
        <v>0.99969419999999998</v>
      </c>
      <c r="AB1215">
        <v>29</v>
      </c>
      <c r="AC1215">
        <v>-20.9500999999999</v>
      </c>
      <c r="AD1215">
        <v>-1.1095330735370701</v>
      </c>
      <c r="AE1215">
        <v>-0.17289999999996999</v>
      </c>
      <c r="AF1215">
        <v>0.52326726718966099</v>
      </c>
      <c r="AG1215">
        <v>-1.1095330735370701</v>
      </c>
      <c r="AH1215">
        <v>20.885664174609499</v>
      </c>
      <c r="AI1215">
        <v>93.039978673865093</v>
      </c>
      <c r="AJ1215">
        <v>88.564817710603194</v>
      </c>
      <c r="AK1215">
        <v>20.9216595969046</v>
      </c>
      <c r="AL1215">
        <v>81.253842620599698</v>
      </c>
      <c r="AM1215">
        <v>94.370381873787906</v>
      </c>
      <c r="AN1215">
        <v>0.99999999988257504</v>
      </c>
    </row>
    <row r="1216" spans="1:40" x14ac:dyDescent="0.25">
      <c r="A1216" t="str">
        <f>"20190304155345342"</f>
        <v>20190304155345342</v>
      </c>
      <c r="B1216" t="str">
        <f>"1551686025337046"</f>
        <v>1551686025337046</v>
      </c>
      <c r="C1216" t="s">
        <v>40</v>
      </c>
      <c r="D1216">
        <v>5.1928239999999999</v>
      </c>
      <c r="E1216">
        <v>0.53623399999999999</v>
      </c>
      <c r="F1216" t="s">
        <v>63</v>
      </c>
      <c r="G1216">
        <v>-253.88499999999999</v>
      </c>
      <c r="H1216" s="1">
        <v>5.3061680000000001E-7</v>
      </c>
      <c r="I1216">
        <v>286.42239999999998</v>
      </c>
      <c r="J1216">
        <v>-232.0711</v>
      </c>
      <c r="K1216">
        <v>1.109461</v>
      </c>
      <c r="L1216">
        <v>286.55130000000003</v>
      </c>
      <c r="M1216">
        <v>-0.99942160000000002</v>
      </c>
      <c r="N1216">
        <v>-7.4005700000000004E-3</v>
      </c>
      <c r="O1216">
        <v>-3.3197009999999999E-2</v>
      </c>
      <c r="P1216">
        <v>-0.98362050000000001</v>
      </c>
      <c r="Q1216">
        <v>0.14475779999999999</v>
      </c>
      <c r="R1216">
        <v>-0.10740810000000001</v>
      </c>
      <c r="S1216">
        <v>-3.0706630000000001</v>
      </c>
      <c r="T1216">
        <v>-0.1542647</v>
      </c>
      <c r="U1216">
        <v>-1.9165040000000001E-2</v>
      </c>
      <c r="V1216">
        <v>-7.4673589999999998E-2</v>
      </c>
      <c r="W1216">
        <v>0.15206610000000001</v>
      </c>
      <c r="X1216">
        <v>0.98554540000000002</v>
      </c>
      <c r="Y1216">
        <v>2.689016E-2</v>
      </c>
      <c r="Z1216">
        <v>2.1954330000000001E-3</v>
      </c>
      <c r="AA1216">
        <v>0.99963599999999997</v>
      </c>
      <c r="AB1216">
        <v>29</v>
      </c>
      <c r="AC1216">
        <v>-21.813899999999901</v>
      </c>
      <c r="AD1216">
        <v>-1.1094604693832</v>
      </c>
      <c r="AE1216">
        <v>-0.12890000000004401</v>
      </c>
      <c r="AF1216">
        <v>0.59381101688478899</v>
      </c>
      <c r="AG1216">
        <v>-1.1094604693832</v>
      </c>
      <c r="AH1216">
        <v>21.749895421065101</v>
      </c>
      <c r="AI1216">
        <v>92.919036446966501</v>
      </c>
      <c r="AJ1216">
        <v>88.436111309552999</v>
      </c>
      <c r="AK1216">
        <v>21.786267805298099</v>
      </c>
      <c r="AL1216">
        <v>81.253320801086701</v>
      </c>
      <c r="AM1216">
        <v>94.332953281379602</v>
      </c>
      <c r="AN1216">
        <v>0.99999998963692904</v>
      </c>
    </row>
    <row r="1217" spans="1:40" x14ac:dyDescent="0.25">
      <c r="A1217" t="str">
        <f>"20190304155345365"</f>
        <v>20190304155345365</v>
      </c>
      <c r="B1217" t="str">
        <f>"1551686025357542"</f>
        <v>1551686025357542</v>
      </c>
      <c r="C1217" t="s">
        <v>40</v>
      </c>
      <c r="D1217">
        <v>5.1649839999999996</v>
      </c>
      <c r="E1217">
        <v>0.53615059999999903</v>
      </c>
      <c r="F1217" t="s">
        <v>63</v>
      </c>
      <c r="G1217">
        <v>-254.40360000000001</v>
      </c>
      <c r="H1217" s="1">
        <v>8.0660939999999898E-7</v>
      </c>
      <c r="I1217">
        <v>286.43349999999998</v>
      </c>
      <c r="J1217">
        <v>-232.36170000000001</v>
      </c>
      <c r="K1217">
        <v>1.109394</v>
      </c>
      <c r="L1217">
        <v>286.54169999999999</v>
      </c>
      <c r="M1217">
        <v>-0.99942799999999998</v>
      </c>
      <c r="N1217">
        <v>-7.1647639999999997E-3</v>
      </c>
      <c r="O1217">
        <v>-3.305259E-2</v>
      </c>
      <c r="P1217">
        <v>-0.98362329999999998</v>
      </c>
      <c r="Q1217">
        <v>0.14518420000000001</v>
      </c>
      <c r="R1217">
        <v>-0.10680249999999999</v>
      </c>
      <c r="S1217">
        <v>-3.0706479999999998</v>
      </c>
      <c r="T1217">
        <v>-0.15254699999999999</v>
      </c>
      <c r="U1217">
        <v>-1.620483E-2</v>
      </c>
      <c r="V1217">
        <v>-7.4196609999999996E-2</v>
      </c>
      <c r="W1217">
        <v>0.15226679999999901</v>
      </c>
      <c r="X1217">
        <v>0.9855505</v>
      </c>
      <c r="Y1217">
        <v>2.7709660000000001E-2</v>
      </c>
      <c r="Z1217">
        <v>2.1912160000000002E-3</v>
      </c>
      <c r="AA1217">
        <v>0.99961359999999999</v>
      </c>
      <c r="AB1217">
        <v>29</v>
      </c>
      <c r="AC1217">
        <v>-22.041899999999998</v>
      </c>
      <c r="AD1217">
        <v>-1.1093931933906001</v>
      </c>
      <c r="AE1217">
        <v>-0.10820000000001</v>
      </c>
      <c r="AF1217">
        <v>0.61885200597873102</v>
      </c>
      <c r="AG1217">
        <v>-1.1093931933906001</v>
      </c>
      <c r="AH1217">
        <v>21.977759215180601</v>
      </c>
      <c r="AI1217">
        <v>92.888580323392901</v>
      </c>
      <c r="AJ1217">
        <v>88.387085735194901</v>
      </c>
      <c r="AK1217">
        <v>22.0144414233771</v>
      </c>
      <c r="AL1217">
        <v>81.241686597637994</v>
      </c>
      <c r="AM1217">
        <v>94.305358604434701</v>
      </c>
      <c r="AN1217">
        <v>1.00000005168398</v>
      </c>
    </row>
    <row r="1218" spans="1:40" x14ac:dyDescent="0.25">
      <c r="A1218" t="str">
        <f>"20190304155345387"</f>
        <v>20190304155345387</v>
      </c>
      <c r="B1218" t="str">
        <f>"1551686025378038"</f>
        <v>1551686025378038</v>
      </c>
      <c r="C1218" t="s">
        <v>40</v>
      </c>
      <c r="D1218">
        <v>5.2771189999999999</v>
      </c>
      <c r="E1218">
        <v>0.53617190000000003</v>
      </c>
      <c r="F1218" t="s">
        <v>63</v>
      </c>
      <c r="G1218">
        <v>-255.44210000000001</v>
      </c>
      <c r="H1218" s="1">
        <v>1.3592240000000001E-6</v>
      </c>
      <c r="I1218">
        <v>286.43799999999999</v>
      </c>
      <c r="J1218">
        <v>-232.65199999999999</v>
      </c>
      <c r="K1218">
        <v>1.1093329999999999</v>
      </c>
      <c r="L1218">
        <v>286.53230000000002</v>
      </c>
      <c r="M1218">
        <v>-0.99943539999999997</v>
      </c>
      <c r="N1218">
        <v>-6.9446469999999904E-3</v>
      </c>
      <c r="O1218">
        <v>-3.2877089999999998E-2</v>
      </c>
      <c r="P1218">
        <v>-0.98362959999999999</v>
      </c>
      <c r="Q1218">
        <v>0.14529539999999999</v>
      </c>
      <c r="R1218">
        <v>-0.10659390000000001</v>
      </c>
      <c r="S1218">
        <v>-3.0702210000000001</v>
      </c>
      <c r="T1218">
        <v>-0.14757439999999999</v>
      </c>
      <c r="U1218">
        <v>-1.3793949999999999E-2</v>
      </c>
      <c r="V1218">
        <v>-7.4149380000000001E-2</v>
      </c>
      <c r="W1218">
        <v>0.15216640000000001</v>
      </c>
      <c r="X1218">
        <v>0.98556949999999999</v>
      </c>
      <c r="Y1218">
        <v>2.8322010000000002E-2</v>
      </c>
      <c r="Z1218">
        <v>2.1295580000000001E-3</v>
      </c>
      <c r="AA1218">
        <v>0.99959659999999995</v>
      </c>
      <c r="AB1218">
        <v>29</v>
      </c>
      <c r="AC1218">
        <v>-22.790099999999899</v>
      </c>
      <c r="AD1218">
        <v>-1.1093316407760001</v>
      </c>
      <c r="AE1218">
        <v>-9.43000000000324E-2</v>
      </c>
      <c r="AF1218">
        <v>0.65349279398412197</v>
      </c>
      <c r="AG1218">
        <v>-1.1093316407760001</v>
      </c>
      <c r="AH1218">
        <v>22.727032008075199</v>
      </c>
      <c r="AI1218">
        <v>92.793300003381603</v>
      </c>
      <c r="AJ1218">
        <v>88.352971689267903</v>
      </c>
      <c r="AK1218">
        <v>22.763471910433399</v>
      </c>
      <c r="AL1218">
        <v>81.247506386723501</v>
      </c>
      <c r="AM1218">
        <v>94.302545679304899</v>
      </c>
      <c r="AN1218">
        <v>0.99999999158679698</v>
      </c>
    </row>
    <row r="1219" spans="1:40" x14ac:dyDescent="0.25">
      <c r="A1219" t="str">
        <f>"20190304155345412"</f>
        <v>20190304155345412</v>
      </c>
      <c r="B1219" t="str">
        <f>"1551686025407826"</f>
        <v>1551686025407826</v>
      </c>
      <c r="C1219" t="s">
        <v>40</v>
      </c>
      <c r="D1219">
        <v>5.1337859999999997</v>
      </c>
      <c r="E1219">
        <v>0.53607959999999999</v>
      </c>
      <c r="F1219" t="s">
        <v>63</v>
      </c>
      <c r="G1219">
        <v>-256.06630000000001</v>
      </c>
      <c r="H1219" s="1">
        <v>1.6913889999999999E-6</v>
      </c>
      <c r="I1219">
        <v>286.43729999999999</v>
      </c>
      <c r="J1219">
        <v>-232.98330000000001</v>
      </c>
      <c r="K1219">
        <v>1.1092679999999999</v>
      </c>
      <c r="L1219">
        <v>286.52159999999998</v>
      </c>
      <c r="M1219">
        <v>-0.99944449999999996</v>
      </c>
      <c r="N1219">
        <v>-6.714373E-3</v>
      </c>
      <c r="O1219">
        <v>-3.2648709999999997E-2</v>
      </c>
      <c r="P1219">
        <v>-0.98385540000000005</v>
      </c>
      <c r="Q1219">
        <v>0.1444655</v>
      </c>
      <c r="R1219">
        <v>-0.1056353</v>
      </c>
      <c r="S1219">
        <v>-3.0700530000000001</v>
      </c>
      <c r="T1219">
        <v>-0.145454</v>
      </c>
      <c r="U1219">
        <v>-1.2451169999999999E-2</v>
      </c>
      <c r="V1219">
        <v>-7.3400469999999995E-2</v>
      </c>
      <c r="W1219">
        <v>0.15111540000000001</v>
      </c>
      <c r="X1219">
        <v>0.98578730000000003</v>
      </c>
      <c r="Y1219">
        <v>2.8532169999999999E-2</v>
      </c>
      <c r="Z1219">
        <v>2.0979639999999999E-3</v>
      </c>
      <c r="AA1219">
        <v>0.99959070000000005</v>
      </c>
      <c r="AB1219">
        <v>29</v>
      </c>
      <c r="AC1219">
        <v>-23.082999999999998</v>
      </c>
      <c r="AD1219">
        <v>-1.109266308611</v>
      </c>
      <c r="AE1219">
        <v>-8.4299999999984707E-2</v>
      </c>
      <c r="AF1219">
        <v>0.667849711580351</v>
      </c>
      <c r="AG1219">
        <v>-1.109266308611</v>
      </c>
      <c r="AH1219">
        <v>23.020285124174201</v>
      </c>
      <c r="AI1219">
        <v>92.757589105689505</v>
      </c>
      <c r="AJ1219">
        <v>88.338237789659999</v>
      </c>
      <c r="AK1219">
        <v>23.056669798107301</v>
      </c>
      <c r="AL1219">
        <v>81.308429267510803</v>
      </c>
      <c r="AM1219">
        <v>94.258313046135896</v>
      </c>
      <c r="AN1219">
        <v>1.00000004697733</v>
      </c>
    </row>
    <row r="1220" spans="1:40" x14ac:dyDescent="0.25">
      <c r="A1220" t="str">
        <f>"20190304155345434"</f>
        <v>20190304155345434</v>
      </c>
      <c r="B1220" t="str">
        <f>"1551686025427345"</f>
        <v>1551686025427345</v>
      </c>
      <c r="C1220" t="s">
        <v>40</v>
      </c>
      <c r="D1220">
        <v>5.153105</v>
      </c>
      <c r="E1220">
        <v>0.53602269999999996</v>
      </c>
      <c r="F1220" t="s">
        <v>63</v>
      </c>
      <c r="G1220">
        <v>-256.63420000000002</v>
      </c>
      <c r="H1220" s="1">
        <v>1.9935769999999999E-6</v>
      </c>
      <c r="I1220">
        <v>286.44420000000002</v>
      </c>
      <c r="J1220">
        <v>-233.274</v>
      </c>
      <c r="K1220">
        <v>1.109219</v>
      </c>
      <c r="L1220">
        <v>286.51229999999998</v>
      </c>
      <c r="M1220">
        <v>-0.99945260000000002</v>
      </c>
      <c r="N1220">
        <v>-6.5295930000000002E-3</v>
      </c>
      <c r="O1220">
        <v>-3.2433209999999997E-2</v>
      </c>
      <c r="P1220">
        <v>-0.9841124</v>
      </c>
      <c r="Q1220">
        <v>0.1431857</v>
      </c>
      <c r="R1220">
        <v>-0.1049784</v>
      </c>
      <c r="S1220">
        <v>-3.0692900000000001</v>
      </c>
      <c r="T1220">
        <v>-0.14395520000000001</v>
      </c>
      <c r="U1220">
        <v>-1.004028E-2</v>
      </c>
      <c r="V1220">
        <v>-7.2942060000000003E-2</v>
      </c>
      <c r="W1220">
        <v>0.14965780000000001</v>
      </c>
      <c r="X1220">
        <v>0.98604360000000002</v>
      </c>
      <c r="Y1220">
        <v>2.9101410000000001E-2</v>
      </c>
      <c r="Z1220">
        <v>2.0855560000000001E-3</v>
      </c>
      <c r="AA1220">
        <v>0.99957430000000003</v>
      </c>
      <c r="AB1220">
        <v>30</v>
      </c>
      <c r="AC1220">
        <v>-23.360199999999999</v>
      </c>
      <c r="AD1220">
        <v>-1.109217006423</v>
      </c>
      <c r="AE1220">
        <v>-6.8099999999958499E-2</v>
      </c>
      <c r="AF1220">
        <v>0.688046939704686</v>
      </c>
      <c r="AG1220">
        <v>-1.109217006423</v>
      </c>
      <c r="AH1220">
        <v>23.297590979129001</v>
      </c>
      <c r="AI1220">
        <v>92.724653495136295</v>
      </c>
      <c r="AJ1220">
        <v>88.308377441675304</v>
      </c>
      <c r="AK1220">
        <v>23.3341277186307</v>
      </c>
      <c r="AL1220">
        <v>81.392903827961405</v>
      </c>
      <c r="AM1220">
        <v>94.230719428498404</v>
      </c>
      <c r="AN1220">
        <v>0.99999999115942095</v>
      </c>
    </row>
    <row r="1221" spans="1:40" x14ac:dyDescent="0.25">
      <c r="A1221" t="str">
        <f>"20190304155345455"</f>
        <v>20190304155345455</v>
      </c>
      <c r="B1221" t="str">
        <f>"1551686025447840"</f>
        <v>1551686025447840</v>
      </c>
      <c r="C1221" t="s">
        <v>40</v>
      </c>
      <c r="D1221">
        <v>5.173451</v>
      </c>
      <c r="E1221">
        <v>0.53602280000000002</v>
      </c>
      <c r="F1221" t="s">
        <v>63</v>
      </c>
      <c r="G1221">
        <v>-256.5625</v>
      </c>
      <c r="H1221" s="1">
        <v>1.9554540000000002E-6</v>
      </c>
      <c r="I1221">
        <v>286.447</v>
      </c>
      <c r="J1221">
        <v>-233.56290000000001</v>
      </c>
      <c r="K1221">
        <v>1.1091869999999999</v>
      </c>
      <c r="L1221">
        <v>286.50310000000002</v>
      </c>
      <c r="M1221">
        <v>-0.99946100000000004</v>
      </c>
      <c r="N1221">
        <v>-6.3638619999999996E-3</v>
      </c>
      <c r="O1221">
        <v>-3.221152E-2</v>
      </c>
      <c r="P1221">
        <v>-0.98425110000000005</v>
      </c>
      <c r="Q1221">
        <v>0.14227579999999901</v>
      </c>
      <c r="R1221">
        <v>-0.1049196</v>
      </c>
      <c r="S1221">
        <v>-3.0687709999999999</v>
      </c>
      <c r="T1221">
        <v>-0.146163299999999</v>
      </c>
      <c r="U1221">
        <v>-8.6059569999999991E-3</v>
      </c>
      <c r="V1221">
        <v>-7.3094099999999995E-2</v>
      </c>
      <c r="W1221">
        <v>0.14858750000000001</v>
      </c>
      <c r="X1221">
        <v>0.98619420000000002</v>
      </c>
      <c r="Y1221">
        <v>2.9344019999999998E-2</v>
      </c>
      <c r="Z1221">
        <v>2.120055E-3</v>
      </c>
      <c r="AA1221">
        <v>0.99956719999999999</v>
      </c>
      <c r="AB1221">
        <v>30</v>
      </c>
      <c r="AC1221">
        <v>-22.999599999999901</v>
      </c>
      <c r="AD1221">
        <v>-1.1091850445460001</v>
      </c>
      <c r="AE1221">
        <v>-5.6100000000014902E-2</v>
      </c>
      <c r="AF1221">
        <v>0.68320707743296405</v>
      </c>
      <c r="AG1221">
        <v>-1.1091850445460001</v>
      </c>
      <c r="AH1221">
        <v>22.936127617328101</v>
      </c>
      <c r="AI1221">
        <v>92.767426150514098</v>
      </c>
      <c r="AJ1221">
        <v>88.293813529005305</v>
      </c>
      <c r="AK1221">
        <v>22.97309324954</v>
      </c>
      <c r="AL1221">
        <v>81.454920980776194</v>
      </c>
      <c r="AM1221">
        <v>94.238860748425296</v>
      </c>
      <c r="AN1221">
        <v>0.99999999636235004</v>
      </c>
    </row>
    <row r="1222" spans="1:40" x14ac:dyDescent="0.25">
      <c r="A1222" t="str">
        <f>"20190304155345479"</f>
        <v>20190304155345479</v>
      </c>
      <c r="B1222" t="str">
        <f>"1551686025467361"</f>
        <v>1551686025467361</v>
      </c>
      <c r="C1222" t="s">
        <v>40</v>
      </c>
      <c r="D1222">
        <v>5.141832</v>
      </c>
      <c r="E1222">
        <v>0.53602629999999996</v>
      </c>
      <c r="F1222" t="s">
        <v>63</v>
      </c>
      <c r="G1222">
        <v>-256.65320000000003</v>
      </c>
      <c r="H1222" s="1">
        <v>2.0037360000000001E-6</v>
      </c>
      <c r="I1222">
        <v>286.4418</v>
      </c>
      <c r="J1222">
        <v>-233.8708</v>
      </c>
      <c r="K1222">
        <v>1.1091580000000001</v>
      </c>
      <c r="L1222">
        <v>286.49340000000001</v>
      </c>
      <c r="M1222">
        <v>-0.99946959999999996</v>
      </c>
      <c r="N1222">
        <v>-6.2075659999999899E-3</v>
      </c>
      <c r="O1222">
        <v>-3.1971289999999999E-2</v>
      </c>
      <c r="P1222">
        <v>-0.98445950000000004</v>
      </c>
      <c r="Q1222">
        <v>0.1410941</v>
      </c>
      <c r="R1222">
        <v>-0.10455589999999999</v>
      </c>
      <c r="S1222">
        <v>-3.0684200000000001</v>
      </c>
      <c r="T1222">
        <v>-0.14739669999999999</v>
      </c>
      <c r="U1222">
        <v>-8.1481929999999998E-3</v>
      </c>
      <c r="V1222">
        <v>-7.2959270000000007E-2</v>
      </c>
      <c r="W1222">
        <v>0.14725379999999999</v>
      </c>
      <c r="X1222">
        <v>0.98640419999999995</v>
      </c>
      <c r="Y1222">
        <v>2.9251619999999999E-2</v>
      </c>
      <c r="Z1222">
        <v>2.129321E-3</v>
      </c>
      <c r="AA1222">
        <v>0.99956979999999995</v>
      </c>
      <c r="AB1222">
        <v>30</v>
      </c>
      <c r="AC1222">
        <v>-22.782399999999999</v>
      </c>
      <c r="AD1222">
        <v>-1.1091559962639901</v>
      </c>
      <c r="AE1222">
        <v>-5.1600000000007598E-2</v>
      </c>
      <c r="AF1222">
        <v>0.67522265652490299</v>
      </c>
      <c r="AG1222">
        <v>-1.1091559962639901</v>
      </c>
      <c r="AH1222">
        <v>22.7185552513129</v>
      </c>
      <c r="AI1222">
        <v>92.793820037383796</v>
      </c>
      <c r="AJ1222">
        <v>88.297602001764005</v>
      </c>
      <c r="AK1222">
        <v>22.755634585018498</v>
      </c>
      <c r="AL1222">
        <v>81.532186302993097</v>
      </c>
      <c r="AM1222">
        <v>94.230172629657304</v>
      </c>
      <c r="AN1222">
        <v>0.99999999123550598</v>
      </c>
    </row>
    <row r="1223" spans="1:40" x14ac:dyDescent="0.25">
      <c r="A1223" t="str">
        <f>"20190304155345500"</f>
        <v>20190304155345500</v>
      </c>
      <c r="B1223" t="str">
        <f>"1551686025497616"</f>
        <v>1551686025497616</v>
      </c>
      <c r="C1223" t="s">
        <v>40</v>
      </c>
      <c r="D1223">
        <v>5.1398000000000001</v>
      </c>
      <c r="E1223">
        <v>0.53600899999999996</v>
      </c>
      <c r="F1223" t="s">
        <v>63</v>
      </c>
      <c r="G1223">
        <v>-256.60719999999998</v>
      </c>
      <c r="H1223" s="1">
        <v>1.9792570000000001E-6</v>
      </c>
      <c r="I1223">
        <v>286.4434</v>
      </c>
      <c r="J1223">
        <v>-234.1643</v>
      </c>
      <c r="K1223">
        <v>1.109132</v>
      </c>
      <c r="L1223">
        <v>286.48430000000002</v>
      </c>
      <c r="M1223">
        <v>-0.99947770000000002</v>
      </c>
      <c r="N1223">
        <v>-6.0776040000000003E-3</v>
      </c>
      <c r="O1223">
        <v>-3.1741079999999998E-2</v>
      </c>
      <c r="P1223">
        <v>-0.98462870000000002</v>
      </c>
      <c r="Q1223">
        <v>0.14013709999999999</v>
      </c>
      <c r="R1223">
        <v>-0.10425039999999999</v>
      </c>
      <c r="S1223">
        <v>-3.0680999999999998</v>
      </c>
      <c r="T1223">
        <v>-0.14967179999999999</v>
      </c>
      <c r="U1223">
        <v>-6.7443850000000003E-3</v>
      </c>
      <c r="V1223">
        <v>-7.287515E-2</v>
      </c>
      <c r="W1223">
        <v>0.14617040000000001</v>
      </c>
      <c r="X1223">
        <v>0.98657159999999999</v>
      </c>
      <c r="Y1223">
        <v>2.947613E-2</v>
      </c>
      <c r="Z1223">
        <v>2.1626390000000001E-3</v>
      </c>
      <c r="AA1223">
        <v>0.99956319999999999</v>
      </c>
      <c r="AB1223">
        <v>30</v>
      </c>
      <c r="AC1223">
        <v>-22.442899999999899</v>
      </c>
      <c r="AD1223">
        <v>-1.1091300207429999</v>
      </c>
      <c r="AE1223">
        <v>-4.0900000000021898E-2</v>
      </c>
      <c r="AF1223">
        <v>0.66985958981885596</v>
      </c>
      <c r="AG1223">
        <v>-1.1091300207429999</v>
      </c>
      <c r="AH1223">
        <v>22.378234218657301</v>
      </c>
      <c r="AI1223">
        <v>92.836154472390604</v>
      </c>
      <c r="AJ1223">
        <v>88.285446918059293</v>
      </c>
      <c r="AK1223">
        <v>22.4157143097888</v>
      </c>
      <c r="AL1223">
        <v>81.594940070348002</v>
      </c>
      <c r="AM1223">
        <v>94.224598683853202</v>
      </c>
      <c r="AN1223">
        <v>1.0000000476251201</v>
      </c>
    </row>
    <row r="1224" spans="1:40" x14ac:dyDescent="0.25">
      <c r="A1224" t="str">
        <f>"20190304155345523"</f>
        <v>20190304155345523</v>
      </c>
      <c r="B1224" t="str">
        <f>"1551686025517137"</f>
        <v>1551686025517137</v>
      </c>
      <c r="C1224" t="s">
        <v>40</v>
      </c>
      <c r="D1224">
        <v>5.0573969999999999</v>
      </c>
      <c r="E1224">
        <v>0.53594960000000003</v>
      </c>
      <c r="F1224" t="s">
        <v>63</v>
      </c>
      <c r="G1224">
        <v>-256.60750000000002</v>
      </c>
      <c r="H1224" s="1">
        <v>1.9793790000000001E-6</v>
      </c>
      <c r="I1224">
        <v>286.44119999999998</v>
      </c>
      <c r="J1224">
        <v>-234.47569999999999</v>
      </c>
      <c r="K1224">
        <v>1.10911</v>
      </c>
      <c r="L1224">
        <v>286.47460000000001</v>
      </c>
      <c r="M1224">
        <v>-0.99948610000000004</v>
      </c>
      <c r="N1224">
        <v>-5.9589509999999997E-3</v>
      </c>
      <c r="O1224">
        <v>-3.149851E-2</v>
      </c>
      <c r="P1224">
        <v>-0.98482740000000002</v>
      </c>
      <c r="Q1224">
        <v>0.13947329999999999</v>
      </c>
      <c r="R1224">
        <v>-0.1032593</v>
      </c>
      <c r="S1224">
        <v>-3.06778</v>
      </c>
      <c r="T1224">
        <v>-0.15160789999999999</v>
      </c>
      <c r="U1224">
        <v>-5.8898930000000002E-3</v>
      </c>
      <c r="V1224">
        <v>-7.2117630000000002E-2</v>
      </c>
      <c r="W1224">
        <v>0.14539060000000001</v>
      </c>
      <c r="X1224">
        <v>0.98674240000000002</v>
      </c>
      <c r="Y1224">
        <v>2.950997E-2</v>
      </c>
      <c r="Z1224">
        <v>2.1845810000000001E-3</v>
      </c>
      <c r="AA1224">
        <v>0.99956210000000001</v>
      </c>
      <c r="AB1224">
        <v>30</v>
      </c>
      <c r="AC1224">
        <v>-22.131799999999998</v>
      </c>
      <c r="AD1224">
        <v>-1.109108020621</v>
      </c>
      <c r="AE1224">
        <v>-3.3400000000028698E-2</v>
      </c>
      <c r="AF1224">
        <v>0.662084879823432</v>
      </c>
      <c r="AG1224">
        <v>-1.109108020621</v>
      </c>
      <c r="AH1224">
        <v>22.066452505791101</v>
      </c>
      <c r="AI1224">
        <v>92.876097274662996</v>
      </c>
      <c r="AJ1224">
        <v>88.281405138050403</v>
      </c>
      <c r="AK1224">
        <v>22.104225912251</v>
      </c>
      <c r="AL1224">
        <v>81.640101142080297</v>
      </c>
      <c r="AM1224">
        <v>94.180120387568607</v>
      </c>
      <c r="AN1224">
        <v>0.99999997154146802</v>
      </c>
    </row>
    <row r="1225" spans="1:40" x14ac:dyDescent="0.25">
      <c r="A1225" t="str">
        <f>"20190304155345546"</f>
        <v>20190304155345546</v>
      </c>
      <c r="B1225" t="str">
        <f>"1551686025537633"</f>
        <v>1551686025537633</v>
      </c>
      <c r="C1225" t="s">
        <v>40</v>
      </c>
      <c r="D1225">
        <v>5.0493309999999996</v>
      </c>
      <c r="E1225">
        <v>0.53591919999999904</v>
      </c>
      <c r="F1225" t="s">
        <v>63</v>
      </c>
      <c r="G1225">
        <v>-256.87189999999998</v>
      </c>
      <c r="H1225" s="1">
        <v>2.1200800000000001E-6</v>
      </c>
      <c r="I1225">
        <v>286.44900000000001</v>
      </c>
      <c r="J1225">
        <v>-234.77799999999999</v>
      </c>
      <c r="K1225">
        <v>1.109094</v>
      </c>
      <c r="L1225">
        <v>286.46530000000001</v>
      </c>
      <c r="M1225">
        <v>-0.99949399999999999</v>
      </c>
      <c r="N1225">
        <v>-5.8605069999999896E-3</v>
      </c>
      <c r="O1225">
        <v>-3.1265300000000003E-2</v>
      </c>
      <c r="P1225">
        <v>-0.98494660000000001</v>
      </c>
      <c r="Q1225">
        <v>0.13888200000000001</v>
      </c>
      <c r="R1225">
        <v>-0.1029178</v>
      </c>
      <c r="S1225">
        <v>-3.067383</v>
      </c>
      <c r="T1225">
        <v>-0.1519037</v>
      </c>
      <c r="U1225">
        <v>-3.5095209999999998E-3</v>
      </c>
      <c r="V1225">
        <v>-7.2002170000000004E-2</v>
      </c>
      <c r="W1225">
        <v>0.14470269999999999</v>
      </c>
      <c r="X1225">
        <v>0.98685199999999995</v>
      </c>
      <c r="Y1225">
        <v>3.005128E-2</v>
      </c>
      <c r="Z1225">
        <v>2.195794E-3</v>
      </c>
      <c r="AA1225">
        <v>0.99954589999999999</v>
      </c>
      <c r="AB1225">
        <v>30</v>
      </c>
      <c r="AC1225">
        <v>-22.093899999999898</v>
      </c>
      <c r="AD1225">
        <v>-1.10909187992</v>
      </c>
      <c r="AE1225">
        <v>-1.6300000000001001E-2</v>
      </c>
      <c r="AF1225">
        <v>0.67279679485323896</v>
      </c>
      <c r="AG1225">
        <v>-1.10909187992</v>
      </c>
      <c r="AH1225">
        <v>22.028098552678301</v>
      </c>
      <c r="AI1225">
        <v>92.881007821299406</v>
      </c>
      <c r="AJ1225">
        <v>88.250578153972</v>
      </c>
      <c r="AK1225">
        <v>22.066260810834599</v>
      </c>
      <c r="AL1225">
        <v>81.679936637279795</v>
      </c>
      <c r="AM1225">
        <v>94.172989832364394</v>
      </c>
      <c r="AN1225">
        <v>1.0000000268879901</v>
      </c>
    </row>
    <row r="1226" spans="1:40" x14ac:dyDescent="0.25">
      <c r="A1226" t="str">
        <f>"20190304155345566"</f>
        <v>20190304155345566</v>
      </c>
      <c r="B1226" t="str">
        <f>"1551686025557153"</f>
        <v>1551686025557153</v>
      </c>
      <c r="C1226" t="s">
        <v>40</v>
      </c>
      <c r="D1226">
        <v>5.0326719999999998</v>
      </c>
      <c r="E1226">
        <v>0.53590119999999997</v>
      </c>
      <c r="F1226" t="s">
        <v>63</v>
      </c>
      <c r="G1226">
        <v>-257.19900000000001</v>
      </c>
      <c r="H1226" s="1">
        <v>2.2941779999999998E-6</v>
      </c>
      <c r="I1226">
        <v>286.44720000000001</v>
      </c>
      <c r="J1226">
        <v>-235.06280000000001</v>
      </c>
      <c r="K1226">
        <v>1.1090880000000001</v>
      </c>
      <c r="L1226">
        <v>286.45659999999998</v>
      </c>
      <c r="M1226">
        <v>-0.99950119999999998</v>
      </c>
      <c r="N1226">
        <v>-5.780744E-3</v>
      </c>
      <c r="O1226">
        <v>-3.1047890000000002E-2</v>
      </c>
      <c r="P1226">
        <v>-0.98490009999999995</v>
      </c>
      <c r="Q1226">
        <v>0.13998169999999999</v>
      </c>
      <c r="R1226">
        <v>-0.101868</v>
      </c>
      <c r="S1226">
        <v>-3.066986</v>
      </c>
      <c r="T1226">
        <v>-0.1517136</v>
      </c>
      <c r="U1226">
        <v>-2.4719239999999999E-3</v>
      </c>
      <c r="V1226">
        <v>-7.1167859999999999E-2</v>
      </c>
      <c r="W1226">
        <v>0.14572309999999999</v>
      </c>
      <c r="X1226">
        <v>0.98676229999999998</v>
      </c>
      <c r="Y1226">
        <v>3.0172000000000001E-2</v>
      </c>
      <c r="Z1226">
        <v>2.1883670000000001E-3</v>
      </c>
      <c r="AA1226">
        <v>0.99954240000000005</v>
      </c>
      <c r="AB1226">
        <v>30</v>
      </c>
      <c r="AC1226">
        <v>-22.136199999999999</v>
      </c>
      <c r="AD1226">
        <v>-1.1090857058219901</v>
      </c>
      <c r="AE1226">
        <v>-9.3999999999709802E-3</v>
      </c>
      <c r="AF1226">
        <v>0.676200844845538</v>
      </c>
      <c r="AG1226">
        <v>-1.1090857058219901</v>
      </c>
      <c r="AH1226">
        <v>22.0704164349245</v>
      </c>
      <c r="AI1226">
        <v>92.875468674117897</v>
      </c>
      <c r="AJ1226">
        <v>88.245101603564194</v>
      </c>
      <c r="AK1226">
        <v>22.108609189553601</v>
      </c>
      <c r="AL1226">
        <v>81.620845131724096</v>
      </c>
      <c r="AM1226">
        <v>94.125177724606004</v>
      </c>
      <c r="AN1226">
        <v>0.99999996143593906</v>
      </c>
    </row>
    <row r="1227" spans="1:40" x14ac:dyDescent="0.25">
      <c r="A1227" t="str">
        <f>"20190304155345591"</f>
        <v>20190304155345591</v>
      </c>
      <c r="B1227" t="str">
        <f>"1551686025587409"</f>
        <v>1551686025587409</v>
      </c>
      <c r="C1227" t="s">
        <v>40</v>
      </c>
      <c r="D1227">
        <v>5.0245579999999999</v>
      </c>
      <c r="E1227">
        <v>0.53574060000000001</v>
      </c>
      <c r="F1227" t="s">
        <v>63</v>
      </c>
      <c r="G1227">
        <v>-258.32510000000002</v>
      </c>
      <c r="H1227" s="1">
        <v>2.8934039999999998E-6</v>
      </c>
      <c r="I1227">
        <v>286.46030000000002</v>
      </c>
      <c r="J1227">
        <v>-235.39349999999999</v>
      </c>
      <c r="K1227">
        <v>1.109078</v>
      </c>
      <c r="L1227">
        <v>286.44659999999999</v>
      </c>
      <c r="M1227">
        <v>-0.99950950000000005</v>
      </c>
      <c r="N1227">
        <v>-5.7024750000000003E-3</v>
      </c>
      <c r="O1227">
        <v>-3.0796500000000001E-2</v>
      </c>
      <c r="P1227">
        <v>-0.98488500000000001</v>
      </c>
      <c r="Q1227">
        <v>0.1408837</v>
      </c>
      <c r="R1227">
        <v>-0.1007639</v>
      </c>
      <c r="S1227">
        <v>-3.066818</v>
      </c>
      <c r="T1227">
        <v>-0.14621789999999901</v>
      </c>
      <c r="U1227">
        <v>4.8828130000000002E-4</v>
      </c>
      <c r="V1227">
        <v>-7.0312250000000007E-2</v>
      </c>
      <c r="W1227">
        <v>0.1465477</v>
      </c>
      <c r="X1227">
        <v>0.98670150000000001</v>
      </c>
      <c r="Y1227">
        <v>3.0889739999999999E-2</v>
      </c>
      <c r="Z1227">
        <v>2.1158240000000001E-3</v>
      </c>
      <c r="AA1227">
        <v>0.99952050000000003</v>
      </c>
      <c r="AB1227">
        <v>30</v>
      </c>
      <c r="AC1227">
        <v>-22.9316</v>
      </c>
      <c r="AD1227">
        <v>-1.1090751065960001</v>
      </c>
      <c r="AE1227">
        <v>1.37000000000284E-2</v>
      </c>
      <c r="AF1227">
        <v>0.71823789219948897</v>
      </c>
      <c r="AG1227">
        <v>-1.1090751065960001</v>
      </c>
      <c r="AH1227">
        <v>22.866812419996599</v>
      </c>
      <c r="AI1227">
        <v>92.775389710935698</v>
      </c>
      <c r="AJ1227">
        <v>88.200952798824204</v>
      </c>
      <c r="AK1227">
        <v>22.904956308912102</v>
      </c>
      <c r="AL1227">
        <v>81.573086183197901</v>
      </c>
      <c r="AM1227">
        <v>94.076001547780805</v>
      </c>
      <c r="AN1227">
        <v>0.999999945488799</v>
      </c>
    </row>
    <row r="1228" spans="1:40" x14ac:dyDescent="0.25">
      <c r="A1228" t="str">
        <f>"20190304155345612"</f>
        <v>20190304155345612</v>
      </c>
      <c r="B1228" t="str">
        <f>"1551686025607905"</f>
        <v>1551686025607905</v>
      </c>
      <c r="C1228" t="s">
        <v>40</v>
      </c>
      <c r="D1228">
        <v>5.0095109999999998</v>
      </c>
      <c r="E1228">
        <v>0.53565719999999994</v>
      </c>
      <c r="F1228" t="s">
        <v>63</v>
      </c>
      <c r="G1228">
        <v>-259.52260000000001</v>
      </c>
      <c r="H1228" s="1">
        <v>3.5306620000000001E-6</v>
      </c>
      <c r="I1228">
        <v>286.46050000000002</v>
      </c>
      <c r="J1228">
        <v>-235.69319999999999</v>
      </c>
      <c r="K1228">
        <v>1.1090629999999999</v>
      </c>
      <c r="L1228">
        <v>286.43759999999997</v>
      </c>
      <c r="M1228">
        <v>-0.99951670000000004</v>
      </c>
      <c r="N1228">
        <v>-5.6450320000000003E-3</v>
      </c>
      <c r="O1228">
        <v>-3.05689E-2</v>
      </c>
      <c r="P1228">
        <v>-0.98509449999999998</v>
      </c>
      <c r="Q1228">
        <v>0.1408085</v>
      </c>
      <c r="R1228">
        <v>-9.8801639999999996E-2</v>
      </c>
      <c r="S1228">
        <v>-3.06636</v>
      </c>
      <c r="T1228">
        <v>-0.14094289999999901</v>
      </c>
      <c r="U1228">
        <v>1.77002E-3</v>
      </c>
      <c r="V1228">
        <v>-6.8568420000000005E-2</v>
      </c>
      <c r="W1228">
        <v>0.14641609999999999</v>
      </c>
      <c r="X1228">
        <v>0.98684380000000005</v>
      </c>
      <c r="Y1228">
        <v>3.1084669999999998E-2</v>
      </c>
      <c r="Z1228">
        <v>2.033474E-3</v>
      </c>
      <c r="AA1228">
        <v>0.99951469999999998</v>
      </c>
      <c r="AB1228">
        <v>31</v>
      </c>
      <c r="AC1228">
        <v>-23.8294</v>
      </c>
      <c r="AD1228">
        <v>-1.10905946933799</v>
      </c>
      <c r="AE1228">
        <v>2.2900000000049599E-2</v>
      </c>
      <c r="AF1228">
        <v>0.74971548960916001</v>
      </c>
      <c r="AG1228">
        <v>-1.10905946933799</v>
      </c>
      <c r="AH1228">
        <v>23.766082969122799</v>
      </c>
      <c r="AI1228">
        <v>92.670479414998098</v>
      </c>
      <c r="AJ1228">
        <v>88.193169095832701</v>
      </c>
      <c r="AK1228">
        <v>23.803755710331099</v>
      </c>
      <c r="AL1228">
        <v>81.580708939835503</v>
      </c>
      <c r="AM1228">
        <v>93.974668531714201</v>
      </c>
      <c r="AN1228">
        <v>0.99999999407947304</v>
      </c>
    </row>
    <row r="1229" spans="1:40" x14ac:dyDescent="0.25">
      <c r="A1229" t="str">
        <f>"20190304155345656"</f>
        <v>20190304155345656</v>
      </c>
      <c r="B1229" t="str">
        <f>"1551686025647921"</f>
        <v>1551686025647921</v>
      </c>
      <c r="C1229" t="s">
        <v>40</v>
      </c>
      <c r="D1229">
        <v>5.2524689999999996</v>
      </c>
      <c r="E1229">
        <v>0.53564009999999995</v>
      </c>
      <c r="F1229" t="s">
        <v>63</v>
      </c>
      <c r="G1229">
        <v>-260.01170000000002</v>
      </c>
      <c r="H1229" s="1">
        <v>-1.5305410000000001E-6</v>
      </c>
      <c r="I1229">
        <v>286.49110000000002</v>
      </c>
      <c r="J1229">
        <v>-236.28479999999999</v>
      </c>
      <c r="K1229">
        <v>1.1090530000000001</v>
      </c>
      <c r="L1229">
        <v>286.42</v>
      </c>
      <c r="M1229">
        <v>-0.99953080000000005</v>
      </c>
      <c r="N1229">
        <v>-5.5776589999999996E-3</v>
      </c>
      <c r="O1229">
        <v>-3.0120609999999999E-2</v>
      </c>
      <c r="P1229">
        <v>-0.98525609999999997</v>
      </c>
      <c r="Q1229">
        <v>0.1404202</v>
      </c>
      <c r="R1229">
        <v>-9.7738909999999998E-2</v>
      </c>
      <c r="S1229">
        <v>-3.066055</v>
      </c>
      <c r="T1229">
        <v>-0.1398295</v>
      </c>
      <c r="U1229">
        <v>6.7443850000000003E-3</v>
      </c>
      <c r="V1229">
        <v>-6.7943870000000003E-2</v>
      </c>
      <c r="W1229">
        <v>0.1459618</v>
      </c>
      <c r="X1229">
        <v>0.98695429999999995</v>
      </c>
      <c r="Y1229">
        <v>3.2257950000000001E-2</v>
      </c>
      <c r="Z1229">
        <v>2.030071E-3</v>
      </c>
      <c r="AA1229">
        <v>0.99947750000000002</v>
      </c>
      <c r="AB1229">
        <v>31</v>
      </c>
      <c r="AC1229">
        <v>-23.726900000000001</v>
      </c>
      <c r="AD1229">
        <v>-1.109054530541</v>
      </c>
      <c r="AE1229">
        <v>7.1100000000001204E-2</v>
      </c>
      <c r="AF1229">
        <v>0.78403450148231302</v>
      </c>
      <c r="AG1229">
        <v>-1.109054530541</v>
      </c>
      <c r="AH1229">
        <v>23.6622941295321</v>
      </c>
      <c r="AI1229">
        <v>92.682026362201498</v>
      </c>
      <c r="AJ1229">
        <v>88.102236459892495</v>
      </c>
      <c r="AK1229">
        <v>23.701242067109401</v>
      </c>
      <c r="AL1229">
        <v>81.607021171455898</v>
      </c>
      <c r="AM1229">
        <v>93.938140462373596</v>
      </c>
      <c r="AN1229">
        <v>1.0000000034091501</v>
      </c>
    </row>
    <row r="1230" spans="1:40" x14ac:dyDescent="0.25">
      <c r="A1230" t="str">
        <f>"20190304155345678"</f>
        <v>20190304155345678</v>
      </c>
      <c r="B1230" t="str">
        <f>"1551686025667441"</f>
        <v>1551686025667441</v>
      </c>
      <c r="C1230" t="s">
        <v>40</v>
      </c>
      <c r="D1230">
        <v>5.0021269999999998</v>
      </c>
      <c r="E1230">
        <v>0.53550739999999997</v>
      </c>
      <c r="F1230" t="s">
        <v>63</v>
      </c>
      <c r="G1230">
        <v>-260.55799999999999</v>
      </c>
      <c r="H1230" s="1">
        <v>-1.2398369999999999E-6</v>
      </c>
      <c r="I1230">
        <v>286.50330000000002</v>
      </c>
      <c r="J1230">
        <v>-236.59829999999999</v>
      </c>
      <c r="K1230">
        <v>1.109048</v>
      </c>
      <c r="L1230">
        <v>286.41079999999999</v>
      </c>
      <c r="M1230">
        <v>-0.99953809999999998</v>
      </c>
      <c r="N1230">
        <v>-5.559769E-3</v>
      </c>
      <c r="O1230">
        <v>-2.988333E-2</v>
      </c>
      <c r="P1230">
        <v>-0.98520059999999998</v>
      </c>
      <c r="Q1230">
        <v>0.14060610000000001</v>
      </c>
      <c r="R1230">
        <v>-9.8031469999999996E-2</v>
      </c>
      <c r="S1230">
        <v>-3.065887</v>
      </c>
      <c r="T1230">
        <v>-0.1400815</v>
      </c>
      <c r="U1230">
        <v>1.0528559999999999E-2</v>
      </c>
      <c r="V1230">
        <v>-6.8471599999999994E-2</v>
      </c>
      <c r="W1230">
        <v>0.14613029999999999</v>
      </c>
      <c r="X1230">
        <v>0.98689289999999996</v>
      </c>
      <c r="Y1230">
        <v>3.3253199999999997E-2</v>
      </c>
      <c r="Z1230">
        <v>2.0502160000000001E-3</v>
      </c>
      <c r="AA1230">
        <v>0.99944480000000002</v>
      </c>
      <c r="AB1230">
        <v>31</v>
      </c>
      <c r="AC1230">
        <v>-23.959700000000002</v>
      </c>
      <c r="AD1230">
        <v>-1.109049239837</v>
      </c>
      <c r="AE1230">
        <v>9.2500000000029503E-2</v>
      </c>
      <c r="AF1230">
        <v>0.80673677513122699</v>
      </c>
      <c r="AG1230">
        <v>-1.109049239837</v>
      </c>
      <c r="AH1230">
        <v>23.895038378943699</v>
      </c>
      <c r="AI1230">
        <v>92.6558720375658</v>
      </c>
      <c r="AJ1230">
        <v>88.066332375864704</v>
      </c>
      <c r="AK1230">
        <v>23.934361774902701</v>
      </c>
      <c r="AL1230">
        <v>81.597262253413504</v>
      </c>
      <c r="AM1230">
        <v>93.968877330737797</v>
      </c>
      <c r="AN1230">
        <v>1.0000000103275299</v>
      </c>
    </row>
    <row r="1231" spans="1:40" x14ac:dyDescent="0.25">
      <c r="A1231" t="str">
        <f>"20190304155345701"</f>
        <v>20190304155345701</v>
      </c>
      <c r="B1231" t="str">
        <f>"1551686025697697"</f>
        <v>1551686025697697</v>
      </c>
      <c r="C1231" t="s">
        <v>40</v>
      </c>
      <c r="D1231">
        <v>4.9909019999999904</v>
      </c>
      <c r="E1231">
        <v>0.53522479999999995</v>
      </c>
      <c r="F1231" t="s">
        <v>63</v>
      </c>
      <c r="G1231">
        <v>-261.08100000000002</v>
      </c>
      <c r="H1231" s="1">
        <v>-9.6155330000000004E-7</v>
      </c>
      <c r="I1231">
        <v>286.47629999999998</v>
      </c>
      <c r="J1231">
        <v>-236.91730000000001</v>
      </c>
      <c r="K1231">
        <v>1.109038</v>
      </c>
      <c r="L1231">
        <v>286.40140000000002</v>
      </c>
      <c r="M1231">
        <v>-0.99954529999999997</v>
      </c>
      <c r="N1231">
        <v>-5.5487469999999997E-3</v>
      </c>
      <c r="O1231">
        <v>-2.964261E-2</v>
      </c>
      <c r="P1231">
        <v>-0.98522509999999996</v>
      </c>
      <c r="Q1231">
        <v>0.14023469999999999</v>
      </c>
      <c r="R1231">
        <v>-9.831753E-2</v>
      </c>
      <c r="S1231">
        <v>-3.0656889999999999</v>
      </c>
      <c r="T1231">
        <v>-0.13887369999999999</v>
      </c>
      <c r="U1231">
        <v>8.2092290000000002E-3</v>
      </c>
      <c r="V1231">
        <v>-6.8994100000000003E-2</v>
      </c>
      <c r="W1231">
        <v>0.14574819999999999</v>
      </c>
      <c r="X1231">
        <v>0.98691300000000004</v>
      </c>
      <c r="Y1231">
        <v>3.2259009999999998E-2</v>
      </c>
      <c r="Z1231">
        <v>1.9973740000000001E-3</v>
      </c>
      <c r="AA1231">
        <v>0.99947759999999997</v>
      </c>
      <c r="AB1231">
        <v>31</v>
      </c>
      <c r="AC1231">
        <v>-24.163699999999899</v>
      </c>
      <c r="AD1231">
        <v>-1.1090389615533001</v>
      </c>
      <c r="AE1231">
        <v>7.4899999999956807E-2</v>
      </c>
      <c r="AF1231">
        <v>0.78949008186112402</v>
      </c>
      <c r="AG1231">
        <v>-1.1090389615533001</v>
      </c>
      <c r="AH1231">
        <v>24.100093968676401</v>
      </c>
      <c r="AI1231">
        <v>92.6333697488366</v>
      </c>
      <c r="AJ1231">
        <v>88.123730173820206</v>
      </c>
      <c r="AK1231">
        <v>24.138512615872401</v>
      </c>
      <c r="AL1231">
        <v>81.619391784716299</v>
      </c>
      <c r="AM1231">
        <v>93.998984362532497</v>
      </c>
      <c r="AN1231">
        <v>0.99999999660352501</v>
      </c>
    </row>
    <row r="1232" spans="1:40" x14ac:dyDescent="0.25">
      <c r="A1232" t="str">
        <f>"20190304155345724"</f>
        <v>20190304155345724</v>
      </c>
      <c r="B1232" t="str">
        <f>"1551686025717217"</f>
        <v>1551686025717217</v>
      </c>
      <c r="C1232" t="s">
        <v>40</v>
      </c>
      <c r="D1232">
        <v>5.040152</v>
      </c>
      <c r="E1232">
        <v>0.53508699999999998</v>
      </c>
      <c r="F1232" t="s">
        <v>63</v>
      </c>
      <c r="G1232">
        <v>-261.33280000000002</v>
      </c>
      <c r="H1232" s="1">
        <v>-8.2753019999999903E-7</v>
      </c>
      <c r="I1232">
        <v>286.43720000000002</v>
      </c>
      <c r="J1232">
        <v>-237.2303</v>
      </c>
      <c r="K1232">
        <v>1.109029</v>
      </c>
      <c r="L1232">
        <v>286.39240000000001</v>
      </c>
      <c r="M1232">
        <v>-0.9995522</v>
      </c>
      <c r="N1232">
        <v>-5.5479530000000004E-3</v>
      </c>
      <c r="O1232">
        <v>-2.9406209999999999E-2</v>
      </c>
      <c r="P1232">
        <v>-0.98532560000000002</v>
      </c>
      <c r="Q1232">
        <v>0.13952129999999999</v>
      </c>
      <c r="R1232">
        <v>-9.8322800000000002E-2</v>
      </c>
      <c r="S1232">
        <v>-3.065277</v>
      </c>
      <c r="T1232">
        <v>-0.139236</v>
      </c>
      <c r="U1232">
        <v>4.4860840000000004E-3</v>
      </c>
      <c r="V1232">
        <v>-6.9230130000000001E-2</v>
      </c>
      <c r="W1232">
        <v>0.14503529999999901</v>
      </c>
      <c r="X1232">
        <v>0.98700149999999998</v>
      </c>
      <c r="Y1232">
        <v>3.0810509999999999E-2</v>
      </c>
      <c r="Z1232">
        <v>1.9567410000000001E-3</v>
      </c>
      <c r="AA1232">
        <v>0.9995233</v>
      </c>
      <c r="AB1232">
        <v>31</v>
      </c>
      <c r="AC1232">
        <v>-24.102499999999999</v>
      </c>
      <c r="AD1232">
        <v>-1.1090298275302</v>
      </c>
      <c r="AE1232">
        <v>4.4800000000009201E-2</v>
      </c>
      <c r="AF1232">
        <v>0.75196262137716097</v>
      </c>
      <c r="AG1232">
        <v>-1.1090298275302</v>
      </c>
      <c r="AH1232">
        <v>24.039861923622901</v>
      </c>
      <c r="AI1232">
        <v>92.640061355218606</v>
      </c>
      <c r="AJ1232">
        <v>88.208382339172601</v>
      </c>
      <c r="AK1232">
        <v>24.0771750055764</v>
      </c>
      <c r="AL1232">
        <v>81.660676704127397</v>
      </c>
      <c r="AM1232">
        <v>94.012261725114797</v>
      </c>
      <c r="AN1232">
        <v>1.0000000050740701</v>
      </c>
    </row>
    <row r="1233" spans="1:40" x14ac:dyDescent="0.25">
      <c r="A1233" t="str">
        <f>"20190304155345745"</f>
        <v>20190304155345745</v>
      </c>
      <c r="B1233" t="str">
        <f>"1551686025737714"</f>
        <v>1551686025737714</v>
      </c>
      <c r="C1233" t="s">
        <v>40</v>
      </c>
      <c r="D1233">
        <v>5.0110049999999999</v>
      </c>
      <c r="E1233">
        <v>0.53494140000000001</v>
      </c>
      <c r="F1233" t="s">
        <v>63</v>
      </c>
      <c r="G1233">
        <v>-261.33109999999999</v>
      </c>
      <c r="H1233" s="1">
        <v>-8.2844549999999997E-7</v>
      </c>
      <c r="I1233">
        <v>286.41539999999998</v>
      </c>
      <c r="J1233">
        <v>-237.541</v>
      </c>
      <c r="K1233">
        <v>1.1090249999999999</v>
      </c>
      <c r="L1233">
        <v>286.38350000000003</v>
      </c>
      <c r="M1233">
        <v>-0.99955910000000003</v>
      </c>
      <c r="N1233">
        <v>-5.5548890000000004E-3</v>
      </c>
      <c r="O1233">
        <v>-2.9172210000000001E-2</v>
      </c>
      <c r="P1233">
        <v>-0.98540000000000005</v>
      </c>
      <c r="Q1233">
        <v>0.13879659999999999</v>
      </c>
      <c r="R1233">
        <v>-9.8604919999999999E-2</v>
      </c>
      <c r="S1233">
        <v>-3.0649410000000001</v>
      </c>
      <c r="T1233">
        <v>-0.14103760000000001</v>
      </c>
      <c r="U1233">
        <v>2.9296880000000002E-3</v>
      </c>
      <c r="V1233">
        <v>-6.9740620000000003E-2</v>
      </c>
      <c r="W1233">
        <v>0.1443181</v>
      </c>
      <c r="X1233">
        <v>0.98707069999999997</v>
      </c>
      <c r="Y1233">
        <v>3.0068589999999999E-2</v>
      </c>
      <c r="Z1233">
        <v>1.9545830000000002E-3</v>
      </c>
      <c r="AA1233">
        <v>0.99954589999999999</v>
      </c>
      <c r="AB1233">
        <v>31</v>
      </c>
      <c r="AC1233">
        <v>-23.790099999999899</v>
      </c>
      <c r="AD1233">
        <v>-1.1090258284454999</v>
      </c>
      <c r="AE1233">
        <v>3.1899999999950503E-2</v>
      </c>
      <c r="AF1233">
        <v>0.72433274563396799</v>
      </c>
      <c r="AG1233">
        <v>-1.1090258284454999</v>
      </c>
      <c r="AH1233">
        <v>23.727480617903801</v>
      </c>
      <c r="AI1233">
        <v>92.6748210513028</v>
      </c>
      <c r="AJ1233">
        <v>88.251465235957994</v>
      </c>
      <c r="AK1233">
        <v>23.764425780724402</v>
      </c>
      <c r="AL1233">
        <v>81.702206273536305</v>
      </c>
      <c r="AM1233">
        <v>94.041467283342499</v>
      </c>
      <c r="AN1233">
        <v>1.00000001743204</v>
      </c>
    </row>
    <row r="1234" spans="1:40" x14ac:dyDescent="0.25">
      <c r="A1234" t="str">
        <f>"20190304155345766"</f>
        <v>20190304155345766</v>
      </c>
      <c r="B1234" t="str">
        <f>"1551686025757233"</f>
        <v>1551686025757233</v>
      </c>
      <c r="C1234" t="s">
        <v>40</v>
      </c>
      <c r="D1234">
        <v>4.9993530000000002</v>
      </c>
      <c r="E1234">
        <v>0.53478970000000003</v>
      </c>
      <c r="F1234" t="s">
        <v>63</v>
      </c>
      <c r="G1234">
        <v>-261.38310000000001</v>
      </c>
      <c r="H1234" s="1">
        <v>-8.0079349999999995E-7</v>
      </c>
      <c r="I1234">
        <v>286.39109999999999</v>
      </c>
      <c r="J1234">
        <v>-237.85290000000001</v>
      </c>
      <c r="K1234">
        <v>1.10902099999999</v>
      </c>
      <c r="L1234">
        <v>286.37459999999999</v>
      </c>
      <c r="M1234">
        <v>-0.99956579999999995</v>
      </c>
      <c r="N1234">
        <v>-5.5669700000000001E-3</v>
      </c>
      <c r="O1234">
        <v>-2.893573E-2</v>
      </c>
      <c r="P1234">
        <v>-0.98544390000000004</v>
      </c>
      <c r="Q1234">
        <v>0.13864870000000001</v>
      </c>
      <c r="R1234">
        <v>-9.8369869999999998E-2</v>
      </c>
      <c r="S1234">
        <v>-3.0646360000000001</v>
      </c>
      <c r="T1234">
        <v>-0.14255290000000001</v>
      </c>
      <c r="U1234">
        <v>9.765625E-4</v>
      </c>
      <c r="V1234">
        <v>-6.9737779999999999E-2</v>
      </c>
      <c r="W1234">
        <v>0.1441827</v>
      </c>
      <c r="X1234">
        <v>0.98709060000000004</v>
      </c>
      <c r="Y1234">
        <v>2.919511E-2</v>
      </c>
      <c r="Z1234">
        <v>1.9440239999999999E-3</v>
      </c>
      <c r="AA1234">
        <v>0.99957189999999996</v>
      </c>
      <c r="AB1234">
        <v>31</v>
      </c>
      <c r="AC1234">
        <v>-23.530200000000001</v>
      </c>
      <c r="AD1234">
        <v>-1.10902180079349</v>
      </c>
      <c r="AE1234">
        <v>1.6500000000007699E-2</v>
      </c>
      <c r="AF1234">
        <v>0.69582143169157795</v>
      </c>
      <c r="AG1234">
        <v>-1.10902180079349</v>
      </c>
      <c r="AH1234">
        <v>23.467738076729901</v>
      </c>
      <c r="AI1234">
        <v>92.704443832511899</v>
      </c>
      <c r="AJ1234">
        <v>88.301670386194701</v>
      </c>
      <c r="AK1234">
        <v>23.504229986481899</v>
      </c>
      <c r="AL1234">
        <v>81.710045393715305</v>
      </c>
      <c r="AM1234">
        <v>94.041222046969196</v>
      </c>
      <c r="AN1234">
        <v>0.99999993077348603</v>
      </c>
    </row>
    <row r="1235" spans="1:40" x14ac:dyDescent="0.25">
      <c r="A1235" t="str">
        <f>"20190304155345790"</f>
        <v>20190304155345790</v>
      </c>
      <c r="B1235" t="str">
        <f>"1551686025787489"</f>
        <v>1551686025787489</v>
      </c>
      <c r="C1235" t="s">
        <v>40</v>
      </c>
      <c r="D1235">
        <v>4.9720519999999997</v>
      </c>
      <c r="E1235">
        <v>0.53467710000000002</v>
      </c>
      <c r="F1235" t="s">
        <v>63</v>
      </c>
      <c r="G1235">
        <v>-261.74919999999997</v>
      </c>
      <c r="H1235" s="1">
        <v>-6.0594079999999998E-7</v>
      </c>
      <c r="I1235">
        <v>286.38099999999997</v>
      </c>
      <c r="J1235">
        <v>-238.17580000000001</v>
      </c>
      <c r="K1235">
        <v>1.109019</v>
      </c>
      <c r="L1235">
        <v>286.3655</v>
      </c>
      <c r="M1235">
        <v>-0.99957289999999999</v>
      </c>
      <c r="N1235">
        <v>-5.5880770000000003E-3</v>
      </c>
      <c r="O1235">
        <v>-2.8688519999999999E-2</v>
      </c>
      <c r="P1235">
        <v>-0.98542419999999997</v>
      </c>
      <c r="Q1235">
        <v>0.13923529999999901</v>
      </c>
      <c r="R1235">
        <v>-9.7739820000000005E-2</v>
      </c>
      <c r="S1235">
        <v>-3.0644070000000001</v>
      </c>
      <c r="T1235">
        <v>-0.1422185</v>
      </c>
      <c r="U1235">
        <v>8.2397459999999998E-4</v>
      </c>
      <c r="V1235">
        <v>-6.9351720000000006E-2</v>
      </c>
      <c r="W1235">
        <v>0.14479049999999999</v>
      </c>
      <c r="X1235">
        <v>0.98702889999999999</v>
      </c>
      <c r="Y1235">
        <v>2.8899000000000001E-2</v>
      </c>
      <c r="Z1235">
        <v>1.9213520000000001E-3</v>
      </c>
      <c r="AA1235">
        <v>0.99958049999999998</v>
      </c>
      <c r="AB1235">
        <v>32</v>
      </c>
      <c r="AC1235">
        <v>-23.5733999999999</v>
      </c>
      <c r="AD1235">
        <v>-1.1090196059408</v>
      </c>
      <c r="AE1235">
        <v>1.5499999999974499E-2</v>
      </c>
      <c r="AF1235">
        <v>0.69026232062753201</v>
      </c>
      <c r="AG1235">
        <v>-1.1090196059408</v>
      </c>
      <c r="AH1235">
        <v>23.511215604195002</v>
      </c>
      <c r="AI1235">
        <v>92.699467921681403</v>
      </c>
      <c r="AJ1235">
        <v>88.318344689233101</v>
      </c>
      <c r="AK1235">
        <v>23.547476419875299</v>
      </c>
      <c r="AL1235">
        <v>81.674852297982696</v>
      </c>
      <c r="AM1235">
        <v>94.019174240162499</v>
      </c>
      <c r="AN1235">
        <v>0.99999999969620901</v>
      </c>
    </row>
    <row r="1236" spans="1:40" x14ac:dyDescent="0.25">
      <c r="A1236" t="str">
        <f>"20190304155345813"</f>
        <v>20190304155345813</v>
      </c>
      <c r="B1236" t="str">
        <f>"1551686025807985"</f>
        <v>1551686025807985</v>
      </c>
      <c r="C1236" t="s">
        <v>40</v>
      </c>
      <c r="D1236">
        <v>5.0665529999999999</v>
      </c>
      <c r="E1236">
        <v>0.53462619999999905</v>
      </c>
      <c r="F1236" t="s">
        <v>63</v>
      </c>
      <c r="G1236">
        <v>-262.67099999999999</v>
      </c>
      <c r="H1236" s="1">
        <v>-1.1539889999999999E-7</v>
      </c>
      <c r="I1236">
        <v>286.38209999999998</v>
      </c>
      <c r="J1236">
        <v>-238.50700000000001</v>
      </c>
      <c r="K1236">
        <v>1.109008</v>
      </c>
      <c r="L1236">
        <v>286.35629999999998</v>
      </c>
      <c r="M1236">
        <v>-0.99958009999999997</v>
      </c>
      <c r="N1236">
        <v>-5.6211689999999996E-3</v>
      </c>
      <c r="O1236">
        <v>-2.8427029999999999E-2</v>
      </c>
      <c r="P1236">
        <v>-0.98539969999999999</v>
      </c>
      <c r="Q1236">
        <v>0.13951160000000001</v>
      </c>
      <c r="R1236">
        <v>-9.7591739999999996E-2</v>
      </c>
      <c r="S1236">
        <v>-3.0641780000000001</v>
      </c>
      <c r="T1236">
        <v>-0.13872999999999999</v>
      </c>
      <c r="U1236">
        <v>2.0751950000000002E-3</v>
      </c>
      <c r="V1236">
        <v>-6.9461030000000007E-2</v>
      </c>
      <c r="W1236">
        <v>0.14509949999999999</v>
      </c>
      <c r="X1236">
        <v>0.98697579999999996</v>
      </c>
      <c r="Y1236">
        <v>2.9048649999999999E-2</v>
      </c>
      <c r="Z1236">
        <v>1.865444E-3</v>
      </c>
      <c r="AA1236">
        <v>0.99957629999999997</v>
      </c>
      <c r="AB1236">
        <v>32</v>
      </c>
      <c r="AC1236">
        <v>-24.163999999999898</v>
      </c>
      <c r="AD1236">
        <v>-1.1090081153989</v>
      </c>
      <c r="AE1236">
        <v>2.5800000000003799E-2</v>
      </c>
      <c r="AF1236">
        <v>0.71121308832468899</v>
      </c>
      <c r="AG1236">
        <v>-1.1090081153989</v>
      </c>
      <c r="AH1236">
        <v>24.102731994948002</v>
      </c>
      <c r="AI1236">
        <v>92.633274697871201</v>
      </c>
      <c r="AJ1236">
        <v>88.309831115540604</v>
      </c>
      <c r="AK1236">
        <v>24.138711910069201</v>
      </c>
      <c r="AL1236">
        <v>81.656958648916799</v>
      </c>
      <c r="AM1236">
        <v>94.025704188317903</v>
      </c>
      <c r="AN1236">
        <v>0.99999996468727403</v>
      </c>
    </row>
    <row r="1237" spans="1:40" x14ac:dyDescent="0.25">
      <c r="A1237" t="str">
        <f>"20190304155345857"</f>
        <v>20190304155345857</v>
      </c>
      <c r="B1237" t="str">
        <f>"1551686025847025"</f>
        <v>1551686025847025</v>
      </c>
      <c r="C1237" t="s">
        <v>40</v>
      </c>
      <c r="D1237">
        <v>5.0255460000000003</v>
      </c>
      <c r="E1237">
        <v>0.53435159999999904</v>
      </c>
      <c r="F1237" t="s">
        <v>63</v>
      </c>
      <c r="G1237">
        <v>-263.42829999999998</v>
      </c>
      <c r="H1237" s="1">
        <v>2.8760499999999999E-7</v>
      </c>
      <c r="I1237">
        <v>286.37990000000002</v>
      </c>
      <c r="J1237">
        <v>-239.13030000000001</v>
      </c>
      <c r="K1237">
        <v>1.1089960000000001</v>
      </c>
      <c r="L1237">
        <v>286.33909999999997</v>
      </c>
      <c r="M1237">
        <v>-0.99959469999999995</v>
      </c>
      <c r="N1237">
        <v>-5.7171510000000002E-3</v>
      </c>
      <c r="O1237">
        <v>-2.789115E-2</v>
      </c>
      <c r="P1237">
        <v>-0.98539509999999997</v>
      </c>
      <c r="Q1237">
        <v>0.1399435</v>
      </c>
      <c r="R1237">
        <v>-9.7020430000000005E-2</v>
      </c>
      <c r="S1237">
        <v>-3.0640559999999999</v>
      </c>
      <c r="T1237">
        <v>-0.13635149999999999</v>
      </c>
      <c r="U1237">
        <v>2.89917E-3</v>
      </c>
      <c r="V1237">
        <v>-6.9410379999999994E-2</v>
      </c>
      <c r="W1237">
        <v>0.14563019999999999</v>
      </c>
      <c r="X1237">
        <v>0.98690120000000003</v>
      </c>
      <c r="Y1237">
        <v>2.8784299999999999E-2</v>
      </c>
      <c r="Z1237">
        <v>1.8034959999999999E-3</v>
      </c>
      <c r="AA1237">
        <v>0.99958400000000003</v>
      </c>
      <c r="AB1237">
        <v>32</v>
      </c>
      <c r="AC1237">
        <v>-24.297999999999899</v>
      </c>
      <c r="AD1237">
        <v>-1.1089957123949901</v>
      </c>
      <c r="AE1237">
        <v>4.0800000000047E-2</v>
      </c>
      <c r="AF1237">
        <v>0.71700069970240998</v>
      </c>
      <c r="AG1237">
        <v>-1.1089957123949901</v>
      </c>
      <c r="AH1237">
        <v>24.236920190686298</v>
      </c>
      <c r="AI1237">
        <v>92.618680802146201</v>
      </c>
      <c r="AJ1237">
        <v>88.305513412125904</v>
      </c>
      <c r="AK1237">
        <v>24.272870901959202</v>
      </c>
      <c r="AL1237">
        <v>81.6262253534628</v>
      </c>
      <c r="AM1237">
        <v>94.023081426793297</v>
      </c>
      <c r="AN1237">
        <v>0.99999996728261098</v>
      </c>
    </row>
    <row r="1238" spans="1:40" x14ac:dyDescent="0.25">
      <c r="A1238" t="str">
        <f>"20190304155345880"</f>
        <v>20190304155345880</v>
      </c>
      <c r="B1238" t="str">
        <f>"1551686025877280"</f>
        <v>1551686025877280</v>
      </c>
      <c r="C1238" t="s">
        <v>40</v>
      </c>
      <c r="D1238">
        <v>4.9407129999999997</v>
      </c>
      <c r="E1238">
        <v>0.53419019999999995</v>
      </c>
      <c r="F1238" t="s">
        <v>63</v>
      </c>
      <c r="G1238">
        <v>-264.55529999999999</v>
      </c>
      <c r="H1238" s="1">
        <v>8.8730969999999999E-7</v>
      </c>
      <c r="I1238">
        <v>286.35989999999998</v>
      </c>
      <c r="J1238">
        <v>-239.45500000000001</v>
      </c>
      <c r="K1238">
        <v>1.108986</v>
      </c>
      <c r="L1238">
        <v>286.33030000000002</v>
      </c>
      <c r="M1238">
        <v>-0.99960280000000001</v>
      </c>
      <c r="N1238">
        <v>-5.7840290000000004E-3</v>
      </c>
      <c r="O1238">
        <v>-2.7582929999999999E-2</v>
      </c>
      <c r="P1238">
        <v>-0.98544960000000004</v>
      </c>
      <c r="Q1238">
        <v>0.13978989999999999</v>
      </c>
      <c r="R1238">
        <v>-9.6685030000000005E-2</v>
      </c>
      <c r="S1238">
        <v>-3.0637050000000001</v>
      </c>
      <c r="T1238">
        <v>-0.1336339</v>
      </c>
      <c r="U1238">
        <v>2.5024410000000002E-3</v>
      </c>
      <c r="V1238">
        <v>-6.9372180000000006E-2</v>
      </c>
      <c r="W1238">
        <v>0.14554629999999999</v>
      </c>
      <c r="X1238">
        <v>0.98691629999999997</v>
      </c>
      <c r="Y1238">
        <v>2.8349619999999999E-2</v>
      </c>
      <c r="Z1238">
        <v>1.7429699999999999E-3</v>
      </c>
      <c r="AA1238">
        <v>0.9995965</v>
      </c>
      <c r="AB1238">
        <v>32</v>
      </c>
      <c r="AC1238">
        <v>-25.100299999999901</v>
      </c>
      <c r="AD1238">
        <v>-1.1089851126903001</v>
      </c>
      <c r="AE1238">
        <v>2.9599999999959398E-2</v>
      </c>
      <c r="AF1238">
        <v>0.72053360168801095</v>
      </c>
      <c r="AG1238">
        <v>-1.1089851126903001</v>
      </c>
      <c r="AH1238">
        <v>25.0410513981967</v>
      </c>
      <c r="AI1238">
        <v>92.534735359516304</v>
      </c>
      <c r="AJ1238">
        <v>88.351820543526301</v>
      </c>
      <c r="AK1238">
        <v>25.0759500673147</v>
      </c>
      <c r="AL1238">
        <v>81.631084549170794</v>
      </c>
      <c r="AM1238">
        <v>94.020813270042893</v>
      </c>
      <c r="AN1238">
        <v>1.0000000040036601</v>
      </c>
    </row>
    <row r="1239" spans="1:40" x14ac:dyDescent="0.25">
      <c r="A1239" t="str">
        <f>"20190304155345902"</f>
        <v>20190304155345902</v>
      </c>
      <c r="B1239" t="str">
        <f>"1551686025897777"</f>
        <v>1551686025897777</v>
      </c>
      <c r="C1239" t="s">
        <v>40</v>
      </c>
      <c r="D1239">
        <v>4.9859549999999997</v>
      </c>
      <c r="E1239">
        <v>0.53411699999999995</v>
      </c>
      <c r="F1239" t="s">
        <v>63</v>
      </c>
      <c r="G1239">
        <v>-265.03370000000001</v>
      </c>
      <c r="H1239" s="1">
        <v>1.141899E-6</v>
      </c>
      <c r="I1239">
        <v>286.3553</v>
      </c>
      <c r="J1239">
        <v>-239.7807</v>
      </c>
      <c r="K1239">
        <v>1.10897</v>
      </c>
      <c r="L1239">
        <v>286.32170000000002</v>
      </c>
      <c r="M1239">
        <v>-0.99961169999999999</v>
      </c>
      <c r="N1239">
        <v>-5.8659979999999999E-3</v>
      </c>
      <c r="O1239">
        <v>-2.7243489999999999E-2</v>
      </c>
      <c r="P1239">
        <v>-0.98547260000000003</v>
      </c>
      <c r="Q1239">
        <v>0.13934589999999999</v>
      </c>
      <c r="R1239">
        <v>-9.7089930000000005E-2</v>
      </c>
      <c r="S1239">
        <v>-3.063431</v>
      </c>
      <c r="T1239">
        <v>-0.132817299999999</v>
      </c>
      <c r="U1239">
        <v>2.9907229999999998E-3</v>
      </c>
      <c r="V1239">
        <v>-7.0103440000000003E-2</v>
      </c>
      <c r="W1239">
        <v>0.14518719999999999</v>
      </c>
      <c r="X1239">
        <v>0.9869175</v>
      </c>
      <c r="Y1239">
        <v>2.8170669999999998E-2</v>
      </c>
      <c r="Z1239">
        <v>1.7138019999999999E-3</v>
      </c>
      <c r="AA1239">
        <v>0.99960170000000004</v>
      </c>
      <c r="AB1239">
        <v>32</v>
      </c>
      <c r="AC1239">
        <v>-25.253</v>
      </c>
      <c r="AD1239">
        <v>-1.108968858101</v>
      </c>
      <c r="AE1239">
        <v>3.3599999999978501E-2</v>
      </c>
      <c r="AF1239">
        <v>0.72019029769801601</v>
      </c>
      <c r="AG1239">
        <v>-1.108968858101</v>
      </c>
      <c r="AH1239">
        <v>25.194125044131098</v>
      </c>
      <c r="AI1239">
        <v>92.519331508928502</v>
      </c>
      <c r="AJ1239">
        <v>88.362609120146203</v>
      </c>
      <c r="AK1239">
        <v>25.228801452555199</v>
      </c>
      <c r="AL1239">
        <v>81.651880188326501</v>
      </c>
      <c r="AM1239">
        <v>94.063050981313395</v>
      </c>
      <c r="AN1239">
        <v>0.999999983574961</v>
      </c>
    </row>
    <row r="1240" spans="1:40" x14ac:dyDescent="0.25">
      <c r="A1240" t="str">
        <f>"20190304155345924"</f>
        <v>20190304155345924</v>
      </c>
      <c r="B1240" t="str">
        <f>"1551686025917298"</f>
        <v>1551686025917298</v>
      </c>
      <c r="C1240" t="s">
        <v>40</v>
      </c>
      <c r="D1240">
        <v>4.9855049999999999</v>
      </c>
      <c r="E1240">
        <v>0.53403140000000004</v>
      </c>
      <c r="F1240" t="s">
        <v>63</v>
      </c>
      <c r="G1240">
        <v>-265.24029999999999</v>
      </c>
      <c r="H1240" s="1">
        <v>1.251828E-6</v>
      </c>
      <c r="I1240">
        <v>286.33710000000002</v>
      </c>
      <c r="J1240">
        <v>-240.09780000000001</v>
      </c>
      <c r="K1240">
        <v>1.108949</v>
      </c>
      <c r="L1240">
        <v>286.3134</v>
      </c>
      <c r="M1240">
        <v>-0.99962099999999998</v>
      </c>
      <c r="N1240">
        <v>-5.9598689999999996E-3</v>
      </c>
      <c r="O1240">
        <v>-2.6875799999999998E-2</v>
      </c>
      <c r="P1240">
        <v>-0.98553729999999995</v>
      </c>
      <c r="Q1240">
        <v>0.1388877</v>
      </c>
      <c r="R1240">
        <v>-9.7089819999999993E-2</v>
      </c>
      <c r="S1240">
        <v>-3.0632630000000001</v>
      </c>
      <c r="T1240">
        <v>-0.13342989999999999</v>
      </c>
      <c r="U1240">
        <v>1.8615719999999999E-3</v>
      </c>
      <c r="V1240">
        <v>-7.0455909999999997E-2</v>
      </c>
      <c r="W1240">
        <v>0.14482679999999901</v>
      </c>
      <c r="X1240">
        <v>0.98694539999999997</v>
      </c>
      <c r="Y1240">
        <v>2.74352E-2</v>
      </c>
      <c r="Z1240">
        <v>1.6889029999999901E-3</v>
      </c>
      <c r="AA1240">
        <v>0.99962220000000002</v>
      </c>
      <c r="AB1240">
        <v>32</v>
      </c>
      <c r="AC1240">
        <v>-25.142499999999899</v>
      </c>
      <c r="AD1240">
        <v>-1.108947748172</v>
      </c>
      <c r="AE1240">
        <v>2.3700000000019299E-2</v>
      </c>
      <c r="AF1240">
        <v>0.69807023767339704</v>
      </c>
      <c r="AG1240">
        <v>-1.108947748172</v>
      </c>
      <c r="AH1240">
        <v>25.083982821395601</v>
      </c>
      <c r="AI1240">
        <v>92.530385156089295</v>
      </c>
      <c r="AJ1240">
        <v>88.405908737486797</v>
      </c>
      <c r="AK1240">
        <v>25.118185868986899</v>
      </c>
      <c r="AL1240">
        <v>81.672750558948906</v>
      </c>
      <c r="AM1240">
        <v>94.083295440732797</v>
      </c>
      <c r="AN1240">
        <v>1.00000002991666</v>
      </c>
    </row>
    <row r="1241" spans="1:40" x14ac:dyDescent="0.25">
      <c r="A1241" t="str">
        <f>"20190304155345945"</f>
        <v>20190304155345945</v>
      </c>
      <c r="B1241" t="str">
        <f>"1551686025937793"</f>
        <v>1551686025937793</v>
      </c>
      <c r="C1241" t="s">
        <v>40</v>
      </c>
      <c r="D1241">
        <v>4.9508739999999998</v>
      </c>
      <c r="E1241">
        <v>0.53393829999999998</v>
      </c>
      <c r="F1241" t="s">
        <v>63</v>
      </c>
      <c r="G1241">
        <v>-265.3843</v>
      </c>
      <c r="H1241" s="1">
        <v>1.328459E-6</v>
      </c>
      <c r="I1241">
        <v>286.31939999999997</v>
      </c>
      <c r="J1241">
        <v>-240.41290000000001</v>
      </c>
      <c r="K1241">
        <v>1.1089329999999999</v>
      </c>
      <c r="L1241">
        <v>286.30529999999999</v>
      </c>
      <c r="M1241">
        <v>-0.99963100000000005</v>
      </c>
      <c r="N1241">
        <v>-6.056812E-3</v>
      </c>
      <c r="O1241">
        <v>-2.648356E-2</v>
      </c>
      <c r="P1241">
        <v>-0.98560639999999999</v>
      </c>
      <c r="Q1241">
        <v>0.13841870000000001</v>
      </c>
      <c r="R1241">
        <v>-9.7059000000000006E-2</v>
      </c>
      <c r="S1241">
        <v>-3.063034</v>
      </c>
      <c r="T1241">
        <v>-0.13433059999999999</v>
      </c>
      <c r="U1241">
        <v>7.3242190000000001E-4</v>
      </c>
      <c r="V1241">
        <v>-7.0801909999999996E-2</v>
      </c>
      <c r="W1241">
        <v>0.14445829999999901</v>
      </c>
      <c r="X1241">
        <v>0.98697460000000004</v>
      </c>
      <c r="Y1241">
        <v>2.6674989999999999E-2</v>
      </c>
      <c r="Z1241">
        <v>1.6659019999999999E-3</v>
      </c>
      <c r="AA1241">
        <v>0.99964280000000005</v>
      </c>
      <c r="AB1241">
        <v>32</v>
      </c>
      <c r="AC1241">
        <v>-24.9713999999999</v>
      </c>
      <c r="AD1241">
        <v>-1.108931671541</v>
      </c>
      <c r="AE1241">
        <v>1.4099999999984901E-2</v>
      </c>
      <c r="AF1241">
        <v>0.674109294271521</v>
      </c>
      <c r="AG1241">
        <v>-1.108931671541</v>
      </c>
      <c r="AH1241">
        <v>24.913136912118301</v>
      </c>
      <c r="AI1241">
        <v>92.5477318047746</v>
      </c>
      <c r="AJ1241">
        <v>88.450046833029504</v>
      </c>
      <c r="AK1241">
        <v>24.946914510510599</v>
      </c>
      <c r="AL1241">
        <v>81.694088075369095</v>
      </c>
      <c r="AM1241">
        <v>94.103158675075903</v>
      </c>
      <c r="AN1241">
        <v>0.99999998597184903</v>
      </c>
    </row>
    <row r="1242" spans="1:40" x14ac:dyDescent="0.25">
      <c r="A1242" t="str">
        <f>"20190304155345969"</f>
        <v>20190304155345969</v>
      </c>
      <c r="B1242" t="str">
        <f>"1551686025957313"</f>
        <v>1551686025957313</v>
      </c>
      <c r="C1242" t="s">
        <v>40</v>
      </c>
      <c r="D1242">
        <v>4.9843640000000002</v>
      </c>
      <c r="E1242">
        <v>0.53385749999999998</v>
      </c>
      <c r="F1242" t="s">
        <v>63</v>
      </c>
      <c r="G1242">
        <v>-265.52670000000001</v>
      </c>
      <c r="H1242" s="1">
        <v>1.4042330000000001E-6</v>
      </c>
      <c r="I1242">
        <v>286.30430000000001</v>
      </c>
      <c r="J1242">
        <v>-240.75290000000001</v>
      </c>
      <c r="K1242">
        <v>1.1089150000000001</v>
      </c>
      <c r="L1242">
        <v>286.29669999999999</v>
      </c>
      <c r="M1242">
        <v>-0.99964229999999998</v>
      </c>
      <c r="N1242">
        <v>-6.1624260000000004E-3</v>
      </c>
      <c r="O1242">
        <v>-2.603426E-2</v>
      </c>
      <c r="P1242">
        <v>-0.98562570000000005</v>
      </c>
      <c r="Q1242">
        <v>0.13821739999999999</v>
      </c>
      <c r="R1242">
        <v>-9.7150970000000003E-2</v>
      </c>
      <c r="S1242">
        <v>-3.0627749999999998</v>
      </c>
      <c r="T1242">
        <v>-0.135241</v>
      </c>
      <c r="U1242">
        <v>-1.220703E-4</v>
      </c>
      <c r="V1242">
        <v>-7.1328539999999996E-2</v>
      </c>
      <c r="W1242">
        <v>0.1443662</v>
      </c>
      <c r="X1242">
        <v>0.9869502</v>
      </c>
      <c r="Y1242">
        <v>2.5947310000000001E-2</v>
      </c>
      <c r="Z1242">
        <v>1.6411240000000001E-3</v>
      </c>
      <c r="AA1242">
        <v>0.99966200000000005</v>
      </c>
      <c r="AB1242">
        <v>32</v>
      </c>
      <c r="AC1242">
        <v>-24.773799999999898</v>
      </c>
      <c r="AD1242">
        <v>-1.10891359576699</v>
      </c>
      <c r="AE1242">
        <v>7.6000000000249202E-3</v>
      </c>
      <c r="AF1242">
        <v>0.65127217810398397</v>
      </c>
      <c r="AG1242">
        <v>-1.10891359576699</v>
      </c>
      <c r="AH1242">
        <v>24.715684528841901</v>
      </c>
      <c r="AI1242">
        <v>92.568065005685298</v>
      </c>
      <c r="AJ1242">
        <v>88.490573301528897</v>
      </c>
      <c r="AK1242">
        <v>24.749119308413501</v>
      </c>
      <c r="AL1242">
        <v>81.699421275679299</v>
      </c>
      <c r="AM1242">
        <v>94.133674719534298</v>
      </c>
      <c r="AN1242">
        <v>1.0000000288005</v>
      </c>
    </row>
    <row r="1243" spans="1:40" x14ac:dyDescent="0.25">
      <c r="A1243" t="str">
        <f>"20190304155345990"</f>
        <v>20190304155345990</v>
      </c>
      <c r="B1243" t="str">
        <f>"1551686025987569"</f>
        <v>1551686025987569</v>
      </c>
      <c r="C1243" t="s">
        <v>40</v>
      </c>
      <c r="D1243">
        <v>4.9417519999999904</v>
      </c>
      <c r="E1243">
        <v>0.53373939999999997</v>
      </c>
      <c r="F1243" t="s">
        <v>63</v>
      </c>
      <c r="G1243">
        <v>-265.82100000000003</v>
      </c>
      <c r="H1243" s="1">
        <v>1.56084E-6</v>
      </c>
      <c r="I1243">
        <v>286.2817</v>
      </c>
      <c r="J1243">
        <v>-241.06720000000001</v>
      </c>
      <c r="K1243">
        <v>1.108905</v>
      </c>
      <c r="L1243">
        <v>286.28890000000001</v>
      </c>
      <c r="M1243">
        <v>-0.99965269999999995</v>
      </c>
      <c r="N1243">
        <v>-6.2572349999999999E-3</v>
      </c>
      <c r="O1243">
        <v>-2.5600709999999999E-2</v>
      </c>
      <c r="P1243">
        <v>-0.98571240000000004</v>
      </c>
      <c r="Q1243">
        <v>0.13760820000000001</v>
      </c>
      <c r="R1243">
        <v>-9.7134650000000003E-2</v>
      </c>
      <c r="S1243">
        <v>-3.0625610000000001</v>
      </c>
      <c r="T1243">
        <v>-0.13547600000000001</v>
      </c>
      <c r="U1243">
        <v>-1.8310550000000001E-3</v>
      </c>
      <c r="V1243">
        <v>-7.1733019999999995E-2</v>
      </c>
      <c r="W1243">
        <v>0.14385429999999999</v>
      </c>
      <c r="X1243">
        <v>0.98699559999999997</v>
      </c>
      <c r="Y1243">
        <v>2.4957219999999999E-2</v>
      </c>
      <c r="Z1243">
        <v>1.601554E-3</v>
      </c>
      <c r="AA1243">
        <v>0.99968729999999995</v>
      </c>
      <c r="AB1243">
        <v>33</v>
      </c>
      <c r="AC1243">
        <v>-24.753799999999899</v>
      </c>
      <c r="AD1243">
        <v>-1.1089034391599999</v>
      </c>
      <c r="AE1243">
        <v>-7.2000000000116398E-3</v>
      </c>
      <c r="AF1243">
        <v>0.62527479897289395</v>
      </c>
      <c r="AG1243">
        <v>-1.1089034391599999</v>
      </c>
      <c r="AH1243">
        <v>24.6963103995502</v>
      </c>
      <c r="AI1243">
        <v>92.570121816319897</v>
      </c>
      <c r="AJ1243">
        <v>88.549663723214806</v>
      </c>
      <c r="AK1243">
        <v>24.729099918164099</v>
      </c>
      <c r="AL1243">
        <v>81.729060129251295</v>
      </c>
      <c r="AM1243">
        <v>94.156842898337999</v>
      </c>
      <c r="AN1243">
        <v>1.00000000010308</v>
      </c>
    </row>
    <row r="1244" spans="1:40" x14ac:dyDescent="0.25">
      <c r="A1244" t="str">
        <f>"20190304155346014"</f>
        <v>20190304155346014</v>
      </c>
      <c r="B1244" t="str">
        <f>"1551686026007089"</f>
        <v>1551686026007089</v>
      </c>
      <c r="C1244" t="s">
        <v>40</v>
      </c>
      <c r="D1244">
        <v>4.9638429999999998</v>
      </c>
      <c r="E1244">
        <v>0.53364350000000005</v>
      </c>
      <c r="F1244" t="s">
        <v>63</v>
      </c>
      <c r="G1244">
        <v>-265.90820000000002</v>
      </c>
      <c r="H1244" s="1">
        <v>1.607251E-6</v>
      </c>
      <c r="I1244">
        <v>286.26319999999998</v>
      </c>
      <c r="J1244">
        <v>-241.4152</v>
      </c>
      <c r="K1244">
        <v>1.108894</v>
      </c>
      <c r="L1244">
        <v>286.28050000000002</v>
      </c>
      <c r="M1244">
        <v>-0.99966469999999996</v>
      </c>
      <c r="N1244">
        <v>-6.3582650000000001E-3</v>
      </c>
      <c r="O1244">
        <v>-2.510737E-2</v>
      </c>
      <c r="P1244">
        <v>-0.98572749999999998</v>
      </c>
      <c r="Q1244">
        <v>0.13766439999999999</v>
      </c>
      <c r="R1244">
        <v>-9.690211E-2</v>
      </c>
      <c r="S1244">
        <v>-3.0622410000000002</v>
      </c>
      <c r="T1244">
        <v>-0.1366985</v>
      </c>
      <c r="U1244">
        <v>-3.1738280000000001E-3</v>
      </c>
      <c r="V1244">
        <v>-7.1982669999999999E-2</v>
      </c>
      <c r="W1244">
        <v>0.14401229999999901</v>
      </c>
      <c r="X1244">
        <v>0.98695440000000001</v>
      </c>
      <c r="Y1244">
        <v>2.4026019999999999E-2</v>
      </c>
      <c r="Z1244">
        <v>1.5729769999999999E-3</v>
      </c>
      <c r="AA1244">
        <v>0.99971010000000005</v>
      </c>
      <c r="AB1244">
        <v>33</v>
      </c>
      <c r="AC1244">
        <v>-24.492999999999999</v>
      </c>
      <c r="AD1244">
        <v>-1.108892392749</v>
      </c>
      <c r="AE1244">
        <v>-1.7300000000034201E-2</v>
      </c>
      <c r="AF1244">
        <v>0.59645004397919898</v>
      </c>
      <c r="AG1244">
        <v>-1.108892392749</v>
      </c>
      <c r="AH1244">
        <v>24.435626687580999</v>
      </c>
      <c r="AI1244">
        <v>92.597535772269893</v>
      </c>
      <c r="AJ1244">
        <v>88.601743016811795</v>
      </c>
      <c r="AK1244">
        <v>24.468045418637001</v>
      </c>
      <c r="AL1244">
        <v>81.7199122867694</v>
      </c>
      <c r="AM1244">
        <v>94.171432354910905</v>
      </c>
      <c r="AN1244">
        <v>1.00000001750548</v>
      </c>
    </row>
    <row r="1245" spans="1:40" x14ac:dyDescent="0.25">
      <c r="A1245" t="str">
        <f>"20190304155346061"</f>
        <v>20190304155346061</v>
      </c>
      <c r="B1245" t="str">
        <f>"1551686026057841"</f>
        <v>1551686026057841</v>
      </c>
      <c r="C1245" t="s">
        <v>40</v>
      </c>
      <c r="D1245">
        <v>4.9419069999999996</v>
      </c>
      <c r="E1245">
        <v>0.53346709999999997</v>
      </c>
      <c r="F1245" t="s">
        <v>63</v>
      </c>
      <c r="G1245">
        <v>-266.3528</v>
      </c>
      <c r="H1245" s="1">
        <v>1.8438729999999999E-6</v>
      </c>
      <c r="I1245">
        <v>286.25290000000001</v>
      </c>
      <c r="J1245">
        <v>-242.08510000000001</v>
      </c>
      <c r="K1245">
        <v>1.108886</v>
      </c>
      <c r="L1245">
        <v>286.26479999999998</v>
      </c>
      <c r="M1245">
        <v>-0.99968729999999995</v>
      </c>
      <c r="N1245">
        <v>-6.5519619999999997E-3</v>
      </c>
      <c r="O1245">
        <v>-2.413885E-2</v>
      </c>
      <c r="P1245">
        <v>-0.98576379999999997</v>
      </c>
      <c r="Q1245">
        <v>0.1374001</v>
      </c>
      <c r="R1245">
        <v>-9.6908739999999993E-2</v>
      </c>
      <c r="S1245">
        <v>-3.0621489999999998</v>
      </c>
      <c r="T1245">
        <v>-0.13616349999999999</v>
      </c>
      <c r="U1245">
        <v>-3.3874510000000001E-3</v>
      </c>
      <c r="V1245">
        <v>-7.2940140000000001E-2</v>
      </c>
      <c r="W1245">
        <v>0.14394299999999999</v>
      </c>
      <c r="X1245">
        <v>0.98689420000000005</v>
      </c>
      <c r="Y1245">
        <v>2.299004E-2</v>
      </c>
      <c r="Z1245">
        <v>1.50090799999999E-3</v>
      </c>
      <c r="AA1245">
        <v>0.99973460000000003</v>
      </c>
      <c r="AB1245">
        <v>33</v>
      </c>
      <c r="AC1245">
        <v>-24.267699999999898</v>
      </c>
      <c r="AD1245">
        <v>-1.108884156127</v>
      </c>
      <c r="AE1245">
        <v>-1.18999999999687E-2</v>
      </c>
      <c r="AF1245">
        <v>0.57271453556586405</v>
      </c>
      <c r="AG1245">
        <v>-1.108884156127</v>
      </c>
      <c r="AH1245">
        <v>24.2103662822765</v>
      </c>
      <c r="AI1245">
        <v>92.621698369154998</v>
      </c>
      <c r="AJ1245">
        <v>88.644877712553907</v>
      </c>
      <c r="AK1245">
        <v>24.242513515164799</v>
      </c>
      <c r="AL1245">
        <v>81.723924599074095</v>
      </c>
      <c r="AM1245">
        <v>94.226975348811195</v>
      </c>
      <c r="AN1245">
        <v>1.00000000663292</v>
      </c>
    </row>
    <row r="1246" spans="1:40" x14ac:dyDescent="0.25">
      <c r="A1246" t="str">
        <f>"20190304155346081"</f>
        <v>20190304155346081</v>
      </c>
      <c r="B1246" t="str">
        <f>"1551686026077361"</f>
        <v>1551686026077361</v>
      </c>
      <c r="C1246" t="s">
        <v>40</v>
      </c>
      <c r="D1246">
        <v>4.9990040000000002</v>
      </c>
      <c r="E1246">
        <v>0.53346070000000001</v>
      </c>
      <c r="F1246" t="s">
        <v>63</v>
      </c>
      <c r="G1246">
        <v>-267.18619999999999</v>
      </c>
      <c r="H1246" s="1">
        <v>2.287328E-6</v>
      </c>
      <c r="I1246">
        <v>286.22399999999999</v>
      </c>
      <c r="J1246">
        <v>-242.39320000000001</v>
      </c>
      <c r="K1246">
        <v>1.108887</v>
      </c>
      <c r="L1246">
        <v>286.2577</v>
      </c>
      <c r="M1246">
        <v>-0.99969739999999996</v>
      </c>
      <c r="N1246">
        <v>-6.6356310000000003E-3</v>
      </c>
      <c r="O1246">
        <v>-2.3692250000000002E-2</v>
      </c>
      <c r="P1246">
        <v>-0.9858555</v>
      </c>
      <c r="Q1246">
        <v>0.1372862</v>
      </c>
      <c r="R1246">
        <v>-9.6133440000000001E-2</v>
      </c>
      <c r="S1246">
        <v>-3.0616759999999998</v>
      </c>
      <c r="T1246">
        <v>-0.13525470000000001</v>
      </c>
      <c r="U1246">
        <v>-4.9743649999999997E-3</v>
      </c>
      <c r="V1246">
        <v>-7.2602120000000006E-2</v>
      </c>
      <c r="W1246">
        <v>0.14391229999999999</v>
      </c>
      <c r="X1246">
        <v>0.98692360000000001</v>
      </c>
      <c r="Y1246">
        <v>2.2027080000000001E-2</v>
      </c>
      <c r="Z1246">
        <v>1.4483229999999901E-3</v>
      </c>
      <c r="AA1246">
        <v>0.99975630000000004</v>
      </c>
      <c r="AB1246">
        <v>33</v>
      </c>
      <c r="AC1246">
        <v>-24.7929999999999</v>
      </c>
      <c r="AD1246">
        <v>-1.1088847126720001</v>
      </c>
      <c r="AE1246">
        <v>-3.3700000000010201E-2</v>
      </c>
      <c r="AF1246">
        <v>0.55261882359533498</v>
      </c>
      <c r="AG1246">
        <v>-1.1088847126720001</v>
      </c>
      <c r="AH1246">
        <v>24.737354467635299</v>
      </c>
      <c r="AI1246">
        <v>92.566001721370299</v>
      </c>
      <c r="AJ1246">
        <v>88.720256817055002</v>
      </c>
      <c r="AK1246">
        <v>24.768361248326901</v>
      </c>
      <c r="AL1246">
        <v>81.725702073358605</v>
      </c>
      <c r="AM1246">
        <v>94.207332273888298</v>
      </c>
      <c r="AN1246">
        <v>1.0000000050783699</v>
      </c>
    </row>
    <row r="1247" spans="1:40" x14ac:dyDescent="0.25">
      <c r="A1247" t="str">
        <f>"20190304155346102"</f>
        <v>20190304155346102</v>
      </c>
      <c r="B1247" t="str">
        <f>"1551686026097857"</f>
        <v>1551686026097857</v>
      </c>
      <c r="C1247" t="s">
        <v>40</v>
      </c>
      <c r="D1247">
        <v>5.0510029999999997</v>
      </c>
      <c r="E1247">
        <v>0.53334119999999996</v>
      </c>
      <c r="F1247" t="s">
        <v>63</v>
      </c>
      <c r="G1247">
        <v>-267.54610000000002</v>
      </c>
      <c r="H1247" s="1">
        <v>2.4788490000000002E-6</v>
      </c>
      <c r="I1247">
        <v>286.2346</v>
      </c>
      <c r="J1247">
        <v>-242.7056</v>
      </c>
      <c r="K1247">
        <v>1.1088929999999999</v>
      </c>
      <c r="L1247">
        <v>286.25069999999999</v>
      </c>
      <c r="M1247">
        <v>-0.99970729999999997</v>
      </c>
      <c r="N1247">
        <v>-6.722324E-3</v>
      </c>
      <c r="O1247">
        <v>-2.324066E-2</v>
      </c>
      <c r="P1247">
        <v>-0.98593370000000002</v>
      </c>
      <c r="Q1247">
        <v>0.13752139999999999</v>
      </c>
      <c r="R1247">
        <v>-9.4989149999999994E-2</v>
      </c>
      <c r="S1247">
        <v>-3.061569</v>
      </c>
      <c r="T1247">
        <v>-0.1349717</v>
      </c>
      <c r="U1247">
        <v>-2.8076170000000001E-3</v>
      </c>
      <c r="V1247">
        <v>-7.1900339999999993E-2</v>
      </c>
      <c r="W1247">
        <v>0.14423320000000001</v>
      </c>
      <c r="X1247">
        <v>0.98692809999999997</v>
      </c>
      <c r="Y1247">
        <v>2.2283210000000001E-2</v>
      </c>
      <c r="Z1247">
        <v>1.4337219999999999E-3</v>
      </c>
      <c r="AA1247">
        <v>0.99975069999999999</v>
      </c>
      <c r="AB1247">
        <v>33</v>
      </c>
      <c r="AC1247">
        <v>-24.840499999999999</v>
      </c>
      <c r="AD1247">
        <v>-1.1088905211510001</v>
      </c>
      <c r="AE1247">
        <v>-1.60999999999944E-2</v>
      </c>
      <c r="AF1247">
        <v>0.56011083684252505</v>
      </c>
      <c r="AG1247">
        <v>-1.1088905211510001</v>
      </c>
      <c r="AH1247">
        <v>24.784774168786299</v>
      </c>
      <c r="AI1247">
        <v>92.561097327053503</v>
      </c>
      <c r="AJ1247">
        <v>88.705393674894793</v>
      </c>
      <c r="AK1247">
        <v>24.815889928333899</v>
      </c>
      <c r="AL1247">
        <v>81.707121760279094</v>
      </c>
      <c r="AM1247">
        <v>94.166788746566297</v>
      </c>
      <c r="AN1247">
        <v>0.99999997472198199</v>
      </c>
    </row>
    <row r="1248" spans="1:40" x14ac:dyDescent="0.25">
      <c r="A1248" t="str">
        <f>"20190304155346126"</f>
        <v>20190304155346126</v>
      </c>
      <c r="B1248" t="str">
        <f>"1551686026117378"</f>
        <v>1551686026117378</v>
      </c>
      <c r="C1248" t="s">
        <v>40</v>
      </c>
      <c r="D1248">
        <v>4.9286029999999998</v>
      </c>
      <c r="E1248">
        <v>0.53330519999999904</v>
      </c>
      <c r="F1248" t="s">
        <v>63</v>
      </c>
      <c r="G1248">
        <v>-268.13639999999998</v>
      </c>
      <c r="H1248" s="1">
        <v>2.7929829999999999E-6</v>
      </c>
      <c r="I1248">
        <v>286.24799999999999</v>
      </c>
      <c r="J1248">
        <v>-243.05430000000001</v>
      </c>
      <c r="K1248">
        <v>1.108897</v>
      </c>
      <c r="L1248">
        <v>286.24310000000003</v>
      </c>
      <c r="M1248">
        <v>-0.99971810000000005</v>
      </c>
      <c r="N1248">
        <v>-6.8292559999999997E-3</v>
      </c>
      <c r="O1248">
        <v>-2.2738939999999999E-2</v>
      </c>
      <c r="P1248">
        <v>-0.98607800000000001</v>
      </c>
      <c r="Q1248">
        <v>0.13773769999999999</v>
      </c>
      <c r="R1248">
        <v>-9.3159420000000007E-2</v>
      </c>
      <c r="S1248">
        <v>-3.0613709999999998</v>
      </c>
      <c r="T1248">
        <v>-0.13348869999999999</v>
      </c>
      <c r="U1248">
        <v>-3.3569339999999902E-4</v>
      </c>
      <c r="V1248">
        <v>-7.0561810000000003E-2</v>
      </c>
      <c r="W1248">
        <v>0.1445555</v>
      </c>
      <c r="X1248">
        <v>0.98697760000000001</v>
      </c>
      <c r="Y1248">
        <v>2.2589649999999999E-2</v>
      </c>
      <c r="Z1248">
        <v>1.405185E-3</v>
      </c>
      <c r="AA1248">
        <v>0.99974379999999996</v>
      </c>
      <c r="AB1248">
        <v>33</v>
      </c>
      <c r="AC1248">
        <v>-25.082099999999901</v>
      </c>
      <c r="AD1248">
        <v>-1.108894207017</v>
      </c>
      <c r="AE1248">
        <v>4.8999999999637103E-3</v>
      </c>
      <c r="AF1248">
        <v>0.574130225985792</v>
      </c>
      <c r="AG1248">
        <v>-1.108894207017</v>
      </c>
      <c r="AH1248">
        <v>25.026586617903</v>
      </c>
      <c r="AI1248">
        <v>92.536372623066796</v>
      </c>
      <c r="AJ1248">
        <v>88.685818787359096</v>
      </c>
      <c r="AK1248">
        <v>25.057719561487399</v>
      </c>
      <c r="AL1248">
        <v>81.688460154216202</v>
      </c>
      <c r="AM1248">
        <v>94.089279139292302</v>
      </c>
      <c r="AN1248">
        <v>1.00000002225624</v>
      </c>
    </row>
    <row r="1249" spans="1:40" x14ac:dyDescent="0.25">
      <c r="A1249" t="str">
        <f>"20190304155346148"</f>
        <v>20190304155346148</v>
      </c>
      <c r="B1249" t="str">
        <f>"1551686026137873"</f>
        <v>1551686026137873</v>
      </c>
      <c r="C1249" t="s">
        <v>40</v>
      </c>
      <c r="D1249">
        <v>4.997179</v>
      </c>
      <c r="E1249">
        <v>0.53326909999999905</v>
      </c>
      <c r="F1249" t="s">
        <v>63</v>
      </c>
      <c r="G1249">
        <v>-268.71370000000002</v>
      </c>
      <c r="H1249" s="1">
        <v>3.1001779999999998E-6</v>
      </c>
      <c r="I1249">
        <v>286.27890000000002</v>
      </c>
      <c r="J1249">
        <v>-243.39099999999999</v>
      </c>
      <c r="K1249">
        <v>1.1089</v>
      </c>
      <c r="L1249">
        <v>286.23590000000002</v>
      </c>
      <c r="M1249">
        <v>-0.99972830000000001</v>
      </c>
      <c r="N1249">
        <v>-6.936518E-3</v>
      </c>
      <c r="O1249">
        <v>-2.2255580000000001E-2</v>
      </c>
      <c r="P1249">
        <v>-0.98633930000000003</v>
      </c>
      <c r="Q1249">
        <v>0.1371918</v>
      </c>
      <c r="R1249">
        <v>-9.1178159999999994E-2</v>
      </c>
      <c r="S1249">
        <v>-3.0612339999999998</v>
      </c>
      <c r="T1249">
        <v>-0.1322943</v>
      </c>
      <c r="U1249">
        <v>4.272461E-3</v>
      </c>
      <c r="V1249">
        <v>-6.9051249999999995E-2</v>
      </c>
      <c r="W1249">
        <v>0.14411570000000001</v>
      </c>
      <c r="X1249">
        <v>0.98714869999999999</v>
      </c>
      <c r="Y1249">
        <v>2.3611199999999999E-2</v>
      </c>
      <c r="Z1249">
        <v>1.3988539999999999E-3</v>
      </c>
      <c r="AA1249">
        <v>0.99972019999999995</v>
      </c>
      <c r="AB1249">
        <v>33</v>
      </c>
      <c r="AC1249">
        <v>-25.322700000000001</v>
      </c>
      <c r="AD1249">
        <v>-1.1088968998219999</v>
      </c>
      <c r="AE1249">
        <v>4.3000000000006297E-2</v>
      </c>
      <c r="AF1249">
        <v>0.60541330647707503</v>
      </c>
      <c r="AG1249">
        <v>-1.1088968998219999</v>
      </c>
      <c r="AH1249">
        <v>25.267018231270701</v>
      </c>
      <c r="AI1249">
        <v>92.512214631292593</v>
      </c>
      <c r="AJ1249">
        <v>88.627420493126607</v>
      </c>
      <c r="AK1249">
        <v>25.2985847016283</v>
      </c>
      <c r="AL1249">
        <v>81.713925163006493</v>
      </c>
      <c r="AM1249">
        <v>94.001333572246594</v>
      </c>
      <c r="AN1249">
        <v>0.99999998301237103</v>
      </c>
    </row>
    <row r="1250" spans="1:40" x14ac:dyDescent="0.25">
      <c r="A1250" t="str">
        <f>"20190304155346169"</f>
        <v>20190304155346169</v>
      </c>
      <c r="B1250" t="str">
        <f>"1551686026157393"</f>
        <v>1551686026157393</v>
      </c>
      <c r="C1250" t="s">
        <v>40</v>
      </c>
      <c r="D1250">
        <v>4.8811869999999997</v>
      </c>
      <c r="E1250">
        <v>0.533273</v>
      </c>
      <c r="F1250" t="s">
        <v>63</v>
      </c>
      <c r="G1250">
        <v>-268.76900000000001</v>
      </c>
      <c r="H1250" s="1">
        <v>3.1296040000000002E-6</v>
      </c>
      <c r="I1250">
        <v>286.31939999999997</v>
      </c>
      <c r="J1250">
        <v>-243.7029</v>
      </c>
      <c r="K1250">
        <v>1.108897</v>
      </c>
      <c r="L1250">
        <v>286.2294</v>
      </c>
      <c r="M1250">
        <v>-0.9997374</v>
      </c>
      <c r="N1250">
        <v>-7.0421909999999997E-3</v>
      </c>
      <c r="O1250">
        <v>-2.180955E-2</v>
      </c>
      <c r="P1250">
        <v>-0.98654419999999998</v>
      </c>
      <c r="Q1250">
        <v>0.13660799999999901</v>
      </c>
      <c r="R1250">
        <v>-8.9826749999999997E-2</v>
      </c>
      <c r="S1250">
        <v>-3.0610810000000002</v>
      </c>
      <c r="T1250">
        <v>-0.13375500000000001</v>
      </c>
      <c r="U1250">
        <v>1.00708E-2</v>
      </c>
      <c r="V1250">
        <v>-6.8136249999999995E-2</v>
      </c>
      <c r="W1250">
        <v>0.14363679999999901</v>
      </c>
      <c r="X1250">
        <v>0.98728210000000005</v>
      </c>
      <c r="Y1250">
        <v>2.5056720000000001E-2</v>
      </c>
      <c r="Z1250">
        <v>1.434381E-3</v>
      </c>
      <c r="AA1250">
        <v>0.99968500000000005</v>
      </c>
      <c r="AB1250">
        <v>33</v>
      </c>
      <c r="AC1250">
        <v>-25.066099999999999</v>
      </c>
      <c r="AD1250">
        <v>-1.1088938703960001</v>
      </c>
      <c r="AE1250">
        <v>8.9999999999974906E-2</v>
      </c>
      <c r="AF1250">
        <v>0.63542891396449197</v>
      </c>
      <c r="AG1250">
        <v>-1.1088938703960001</v>
      </c>
      <c r="AH1250">
        <v>25.009230469910602</v>
      </c>
      <c r="AI1250">
        <v>92.537978693189402</v>
      </c>
      <c r="AJ1250">
        <v>88.544554831398898</v>
      </c>
      <c r="AK1250">
        <v>25.041865430067499</v>
      </c>
      <c r="AL1250">
        <v>81.741652837943604</v>
      </c>
      <c r="AM1250">
        <v>93.947948799286905</v>
      </c>
      <c r="AN1250">
        <v>1.00000001192935</v>
      </c>
    </row>
    <row r="1251" spans="1:40" x14ac:dyDescent="0.25">
      <c r="A1251" t="str">
        <f>"20190304155346190"</f>
        <v>20190304155346190</v>
      </c>
      <c r="B1251" t="str">
        <f>"1551686026187649"</f>
        <v>1551686026187649</v>
      </c>
      <c r="C1251" t="s">
        <v>40</v>
      </c>
      <c r="D1251">
        <v>5.2805730000000004</v>
      </c>
      <c r="E1251">
        <v>0.56525479999999995</v>
      </c>
      <c r="F1251" t="s">
        <v>63</v>
      </c>
      <c r="G1251">
        <v>-268.77440000000001</v>
      </c>
      <c r="H1251" s="1">
        <v>3.1324989999999998E-6</v>
      </c>
      <c r="I1251">
        <v>286.34140000000002</v>
      </c>
      <c r="J1251">
        <v>-244.02889999999999</v>
      </c>
      <c r="K1251">
        <v>1.1089059999999999</v>
      </c>
      <c r="L1251">
        <v>286.22269999999997</v>
      </c>
      <c r="M1251">
        <v>-0.99974660000000004</v>
      </c>
      <c r="N1251">
        <v>-7.1633909999999999E-3</v>
      </c>
      <c r="O1251">
        <v>-2.134666E-2</v>
      </c>
      <c r="P1251">
        <v>-0.98675230000000003</v>
      </c>
      <c r="Q1251">
        <v>0.13591020000000001</v>
      </c>
      <c r="R1251">
        <v>-8.8592959999999998E-2</v>
      </c>
      <c r="S1251">
        <v>-3.0609130000000002</v>
      </c>
      <c r="T1251">
        <v>-0.1353818</v>
      </c>
      <c r="U1251">
        <v>1.3671880000000001E-2</v>
      </c>
      <c r="V1251">
        <v>-6.735621E-2</v>
      </c>
      <c r="W1251">
        <v>0.14305870000000001</v>
      </c>
      <c r="X1251">
        <v>0.98741950000000001</v>
      </c>
      <c r="Y1251">
        <v>2.5768599999999999E-2</v>
      </c>
      <c r="Z1251">
        <v>1.4527089999999999E-3</v>
      </c>
      <c r="AA1251">
        <v>0.99966690000000002</v>
      </c>
      <c r="AB1251">
        <v>33</v>
      </c>
      <c r="AC1251">
        <v>-24.7455</v>
      </c>
      <c r="AD1251">
        <v>-1.108902867501</v>
      </c>
      <c r="AE1251">
        <v>0.118700000000046</v>
      </c>
      <c r="AF1251">
        <v>0.64562373651784499</v>
      </c>
      <c r="AG1251">
        <v>-1.108902867501</v>
      </c>
      <c r="AH1251">
        <v>24.687751758069801</v>
      </c>
      <c r="AI1251">
        <v>92.570955289371298</v>
      </c>
      <c r="AJ1251">
        <v>88.5019662308367</v>
      </c>
      <c r="AK1251">
        <v>24.721075673335601</v>
      </c>
      <c r="AL1251">
        <v>81.775120744896995</v>
      </c>
      <c r="AM1251">
        <v>93.902350818378196</v>
      </c>
      <c r="AN1251">
        <v>0.99999995982575096</v>
      </c>
    </row>
    <row r="1252" spans="1:40" x14ac:dyDescent="0.25">
      <c r="A1252" t="str">
        <f>"20190304155346214"</f>
        <v>20190304155346214</v>
      </c>
      <c r="B1252" t="str">
        <f>"1551686026207169"</f>
        <v>1551686026207169</v>
      </c>
      <c r="C1252" t="s">
        <v>40</v>
      </c>
      <c r="D1252">
        <v>5.0529679999999999</v>
      </c>
      <c r="E1252">
        <v>0.59181229999999996</v>
      </c>
      <c r="F1252" t="s">
        <v>48</v>
      </c>
      <c r="G1252">
        <v>-244.91059999999999</v>
      </c>
      <c r="H1252">
        <v>1.0248839999999999</v>
      </c>
      <c r="I1252">
        <v>286.30149999999998</v>
      </c>
      <c r="J1252">
        <v>-244.37559999999999</v>
      </c>
      <c r="K1252">
        <v>1.1089199999999999</v>
      </c>
      <c r="L1252">
        <v>286.21589999999998</v>
      </c>
      <c r="M1252">
        <v>-0.99975579999999997</v>
      </c>
      <c r="N1252">
        <v>-7.3028619999999898E-3</v>
      </c>
      <c r="O1252">
        <v>-2.0861669999999999E-2</v>
      </c>
      <c r="P1252">
        <v>-0.98694530000000003</v>
      </c>
      <c r="Q1252">
        <v>0.135347</v>
      </c>
      <c r="R1252">
        <v>-8.729663E-2</v>
      </c>
      <c r="S1252">
        <v>-3.1058810000000001</v>
      </c>
      <c r="T1252">
        <v>-0.29604449999999999</v>
      </c>
      <c r="U1252">
        <v>0.27655030000000003</v>
      </c>
      <c r="V1252">
        <v>-6.6536339999999999E-2</v>
      </c>
      <c r="W1252">
        <v>0.1426335</v>
      </c>
      <c r="X1252">
        <v>0.98753670000000005</v>
      </c>
      <c r="Y1252">
        <v>0.1088431</v>
      </c>
      <c r="Z1252">
        <v>7.3933609999999898E-3</v>
      </c>
      <c r="AA1252">
        <v>0.99403140000000001</v>
      </c>
      <c r="AB1252">
        <v>33</v>
      </c>
      <c r="AC1252">
        <v>-0.53499999999999603</v>
      </c>
      <c r="AD1252">
        <v>-8.4036000000000194E-2</v>
      </c>
      <c r="AE1252">
        <v>8.5599999999999399E-2</v>
      </c>
      <c r="AF1252">
        <v>9.4469976399272196E-2</v>
      </c>
      <c r="AG1252">
        <v>-8.4036000000000194E-2</v>
      </c>
      <c r="AH1252">
        <v>0.52057419612690004</v>
      </c>
      <c r="AI1252">
        <v>99.025193820476005</v>
      </c>
      <c r="AJ1252">
        <v>79.714318956105998</v>
      </c>
      <c r="AK1252">
        <v>0.53570898761365504</v>
      </c>
      <c r="AL1252">
        <v>81.799736220043599</v>
      </c>
      <c r="AM1252">
        <v>93.854538785057898</v>
      </c>
      <c r="AN1252">
        <v>1.0000000668548601</v>
      </c>
    </row>
    <row r="1253" spans="1:40" x14ac:dyDescent="0.25">
      <c r="A1253" t="str">
        <f>"20190304155346237"</f>
        <v>20190304155346237</v>
      </c>
      <c r="B1253" t="str">
        <f>"1551686026227023"</f>
        <v>1551686026227023</v>
      </c>
      <c r="C1253" t="s">
        <v>40</v>
      </c>
      <c r="D1253">
        <v>5.4163670000000002</v>
      </c>
      <c r="E1253">
        <v>0.584982</v>
      </c>
      <c r="F1253" t="s">
        <v>48</v>
      </c>
      <c r="G1253">
        <v>-245.1874</v>
      </c>
      <c r="H1253">
        <v>0.97334949999999998</v>
      </c>
      <c r="I1253">
        <v>286.34429999999998</v>
      </c>
      <c r="J1253">
        <v>-244.7295</v>
      </c>
      <c r="K1253">
        <v>1.108943</v>
      </c>
      <c r="L1253">
        <v>286.209</v>
      </c>
      <c r="M1253">
        <v>-0.9997646</v>
      </c>
      <c r="N1253">
        <v>-7.4503579999999998E-3</v>
      </c>
      <c r="O1253">
        <v>-2.0377470000000002E-2</v>
      </c>
      <c r="P1253">
        <v>-0.98705730000000003</v>
      </c>
      <c r="Q1253">
        <v>0.13547029999999999</v>
      </c>
      <c r="R1253">
        <v>-8.5823369999999996E-2</v>
      </c>
      <c r="S1253">
        <v>-3.1560969999999999</v>
      </c>
      <c r="T1253">
        <v>-0.52711419999999998</v>
      </c>
      <c r="U1253">
        <v>0.49874879999999999</v>
      </c>
      <c r="V1253">
        <v>-6.5541119999999994E-2</v>
      </c>
      <c r="W1253">
        <v>0.14290059999999999</v>
      </c>
      <c r="X1253">
        <v>0.98756460000000001</v>
      </c>
      <c r="Y1253">
        <v>0.17347969999999999</v>
      </c>
      <c r="Z1253">
        <v>1.8165830000000001E-2</v>
      </c>
      <c r="AA1253">
        <v>0.98466989999999999</v>
      </c>
      <c r="AB1253">
        <v>33</v>
      </c>
      <c r="AC1253">
        <v>-0.45789999999999498</v>
      </c>
      <c r="AD1253">
        <v>-0.13559349999999901</v>
      </c>
      <c r="AE1253">
        <v>0.135299999999972</v>
      </c>
      <c r="AF1253">
        <v>0.13381161046735901</v>
      </c>
      <c r="AG1253">
        <v>-0.13559349999999901</v>
      </c>
      <c r="AH1253">
        <v>0.42108857802239302</v>
      </c>
      <c r="AI1253">
        <v>107.060456754442</v>
      </c>
      <c r="AJ1253">
        <v>72.371021198690002</v>
      </c>
      <c r="AK1253">
        <v>0.46217608644221297</v>
      </c>
      <c r="AL1253">
        <v>81.784273820844504</v>
      </c>
      <c r="AM1253">
        <v>93.796947340023394</v>
      </c>
      <c r="AN1253">
        <v>1.00000002953218</v>
      </c>
    </row>
    <row r="1254" spans="1:40" x14ac:dyDescent="0.25">
      <c r="A1254" t="str">
        <f>"20190304155346261"</f>
        <v>20190304155346261</v>
      </c>
      <c r="B1254" t="str">
        <f>"1551686026257279"</f>
        <v>1551686026257279</v>
      </c>
      <c r="C1254" t="s">
        <v>40</v>
      </c>
      <c r="D1254">
        <v>5.1864939999999997</v>
      </c>
      <c r="E1254">
        <v>0.58702639999999995</v>
      </c>
      <c r="F1254" t="s">
        <v>48</v>
      </c>
      <c r="G1254">
        <v>-245.4913</v>
      </c>
      <c r="H1254">
        <v>0.98378849999999995</v>
      </c>
      <c r="I1254">
        <v>286.3177</v>
      </c>
      <c r="J1254">
        <v>-245.07480000000001</v>
      </c>
      <c r="K1254">
        <v>1.10897</v>
      </c>
      <c r="L1254">
        <v>286.20240000000001</v>
      </c>
      <c r="M1254">
        <v>-0.99977289999999996</v>
      </c>
      <c r="N1254">
        <v>-7.59552199999999E-3</v>
      </c>
      <c r="O1254">
        <v>-1.991737E-2</v>
      </c>
      <c r="P1254">
        <v>-0.98713850000000003</v>
      </c>
      <c r="Q1254">
        <v>0.13545950000000001</v>
      </c>
      <c r="R1254">
        <v>-8.4904060000000003E-2</v>
      </c>
      <c r="S1254">
        <v>-3.1493679999999999</v>
      </c>
      <c r="T1254">
        <v>-0.51753930000000004</v>
      </c>
      <c r="U1254">
        <v>0.4483337</v>
      </c>
      <c r="V1254">
        <v>-6.5077419999999997E-2</v>
      </c>
      <c r="W1254">
        <v>0.14303179999999999</v>
      </c>
      <c r="X1254">
        <v>0.98757620000000002</v>
      </c>
      <c r="Y1254">
        <v>0.15820809999999999</v>
      </c>
      <c r="Z1254">
        <v>1.6543820000000001E-2</v>
      </c>
      <c r="AA1254">
        <v>0.98726720000000001</v>
      </c>
      <c r="AB1254">
        <v>33</v>
      </c>
      <c r="AC1254">
        <v>-0.41649999999998399</v>
      </c>
      <c r="AD1254">
        <v>-0.125181499999999</v>
      </c>
      <c r="AE1254">
        <v>0.11529999999998999</v>
      </c>
      <c r="AF1254">
        <v>0.11400730217439101</v>
      </c>
      <c r="AG1254">
        <v>-0.125181499999999</v>
      </c>
      <c r="AH1254">
        <v>0.382064192877824</v>
      </c>
      <c r="AI1254">
        <v>107.43047655999401</v>
      </c>
      <c r="AJ1254">
        <v>73.3849865719382</v>
      </c>
      <c r="AK1254">
        <v>0.41790084992820498</v>
      </c>
      <c r="AL1254">
        <v>81.776678006072501</v>
      </c>
      <c r="AM1254">
        <v>93.770117729997494</v>
      </c>
      <c r="AN1254">
        <v>0.99999995860576696</v>
      </c>
    </row>
    <row r="1255" spans="1:40" x14ac:dyDescent="0.25">
      <c r="A1255" t="str">
        <f>"20190304155346281"</f>
        <v>20190304155346281</v>
      </c>
      <c r="B1255" t="str">
        <f>"1551686026277775"</f>
        <v>1551686026277775</v>
      </c>
      <c r="C1255" t="s">
        <v>40</v>
      </c>
      <c r="D1255">
        <v>5.1604049999999999</v>
      </c>
      <c r="E1255">
        <v>0.5937093</v>
      </c>
      <c r="F1255" t="s">
        <v>48</v>
      </c>
      <c r="G1255">
        <v>-245.79390000000001</v>
      </c>
      <c r="H1255">
        <v>0.98843009999999998</v>
      </c>
      <c r="I1255">
        <v>286.30869999999999</v>
      </c>
      <c r="J1255">
        <v>-245.38149999999999</v>
      </c>
      <c r="K1255">
        <v>1.108994</v>
      </c>
      <c r="L1255">
        <v>286.19659999999999</v>
      </c>
      <c r="M1255">
        <v>-0.99977959999999999</v>
      </c>
      <c r="N1255">
        <v>-7.7247890000000001E-3</v>
      </c>
      <c r="O1255">
        <v>-1.9523760000000001E-2</v>
      </c>
      <c r="P1255">
        <v>-0.98718669999999997</v>
      </c>
      <c r="Q1255">
        <v>0.13586689999999901</v>
      </c>
      <c r="R1255">
        <v>-8.3681309999999995E-2</v>
      </c>
      <c r="S1255">
        <v>-3.1517490000000001</v>
      </c>
      <c r="T1255">
        <v>-0.52834759999999903</v>
      </c>
      <c r="U1255">
        <v>0.46673579999999998</v>
      </c>
      <c r="V1255">
        <v>-6.4246410000000004E-2</v>
      </c>
      <c r="W1255">
        <v>0.143565</v>
      </c>
      <c r="X1255">
        <v>0.98755329999999997</v>
      </c>
      <c r="Y1255">
        <v>0.16319719999999999</v>
      </c>
      <c r="Z1255">
        <v>1.7235159999999999E-2</v>
      </c>
      <c r="AA1255">
        <v>0.98644290000000001</v>
      </c>
      <c r="AB1255">
        <v>34</v>
      </c>
      <c r="AC1255">
        <v>-0.41240000000001897</v>
      </c>
      <c r="AD1255">
        <v>-0.1205639</v>
      </c>
      <c r="AE1255">
        <v>0.11209999999999801</v>
      </c>
      <c r="AF1255">
        <v>0.111274541939461</v>
      </c>
      <c r="AG1255">
        <v>-0.1205639</v>
      </c>
      <c r="AH1255">
        <v>0.37989803433152203</v>
      </c>
      <c r="AI1255">
        <v>106.93877213592501</v>
      </c>
      <c r="AJ1255">
        <v>73.674357795503894</v>
      </c>
      <c r="AK1255">
        <v>0.41381178590755602</v>
      </c>
      <c r="AL1255">
        <v>81.745809787210106</v>
      </c>
      <c r="AM1255">
        <v>93.722197259666103</v>
      </c>
      <c r="AN1255">
        <v>1.00000001538188</v>
      </c>
    </row>
    <row r="1256" spans="1:40" x14ac:dyDescent="0.25">
      <c r="A1256" t="str">
        <f>"20190304155346305"</f>
        <v>20190304155346305</v>
      </c>
      <c r="B1256" t="str">
        <f>"1551686026297295"</f>
        <v>1551686026297295</v>
      </c>
      <c r="C1256" t="s">
        <v>40</v>
      </c>
      <c r="D1256">
        <v>5.1450750000000003</v>
      </c>
      <c r="E1256">
        <v>0.59745130000000002</v>
      </c>
      <c r="F1256" t="s">
        <v>48</v>
      </c>
      <c r="G1256">
        <v>-246.09690000000001</v>
      </c>
      <c r="H1256">
        <v>0.99160309999999896</v>
      </c>
      <c r="I1256">
        <v>286.31549999999999</v>
      </c>
      <c r="J1256">
        <v>-245.7353</v>
      </c>
      <c r="K1256">
        <v>1.1090279999999999</v>
      </c>
      <c r="L1256">
        <v>286.1902</v>
      </c>
      <c r="M1256">
        <v>-0.99978690000000003</v>
      </c>
      <c r="N1256">
        <v>-7.8681970000000004E-3</v>
      </c>
      <c r="O1256">
        <v>-1.9095330000000001E-2</v>
      </c>
      <c r="P1256">
        <v>-0.98723289999999997</v>
      </c>
      <c r="Q1256">
        <v>0.1361687</v>
      </c>
      <c r="R1256">
        <v>-8.2644120000000001E-2</v>
      </c>
      <c r="S1256">
        <v>-3.154541</v>
      </c>
      <c r="T1256">
        <v>-0.51773939999999996</v>
      </c>
      <c r="U1256">
        <v>0.52325440000000001</v>
      </c>
      <c r="V1256">
        <v>-6.3636230000000002E-2</v>
      </c>
      <c r="W1256">
        <v>0.14400579999999999</v>
      </c>
      <c r="X1256">
        <v>0.98752859999999998</v>
      </c>
      <c r="Y1256">
        <v>0.17976159999999999</v>
      </c>
      <c r="Z1256">
        <v>1.8218290000000002E-2</v>
      </c>
      <c r="AA1256">
        <v>0.98354149999999996</v>
      </c>
      <c r="AB1256">
        <v>34</v>
      </c>
      <c r="AC1256">
        <v>-0.36160000000000903</v>
      </c>
      <c r="AD1256">
        <v>-0.1174249</v>
      </c>
      <c r="AE1256">
        <v>0.12529999999998101</v>
      </c>
      <c r="AF1256">
        <v>0.12080822286743199</v>
      </c>
      <c r="AG1256">
        <v>-0.1174249</v>
      </c>
      <c r="AH1256">
        <v>0.32823796195539001</v>
      </c>
      <c r="AI1256">
        <v>108.558250375797</v>
      </c>
      <c r="AJ1256">
        <v>69.793824727432494</v>
      </c>
      <c r="AK1256">
        <v>0.36894903919244099</v>
      </c>
      <c r="AL1256">
        <v>81.720288386287393</v>
      </c>
      <c r="AM1256">
        <v>93.687035645114406</v>
      </c>
      <c r="AN1256">
        <v>0.99999998801010603</v>
      </c>
    </row>
    <row r="1257" spans="1:40" x14ac:dyDescent="0.25">
      <c r="A1257" t="str">
        <f>"20190304155346325"</f>
        <v>20190304155346325</v>
      </c>
      <c r="B1257" t="str">
        <f>"1551686026317791"</f>
        <v>1551686026317791</v>
      </c>
      <c r="C1257" t="s">
        <v>40</v>
      </c>
      <c r="D1257">
        <v>5.1529559999999996</v>
      </c>
      <c r="E1257">
        <v>0.59974380000000005</v>
      </c>
      <c r="F1257" t="s">
        <v>48</v>
      </c>
      <c r="G1257">
        <v>-246.68539999999999</v>
      </c>
      <c r="H1257">
        <v>0.95417689999999999</v>
      </c>
      <c r="I1257">
        <v>286.35770000000002</v>
      </c>
      <c r="J1257">
        <v>-246.0515</v>
      </c>
      <c r="K1257">
        <v>1.1090599999999999</v>
      </c>
      <c r="L1257">
        <v>286.18439999999998</v>
      </c>
      <c r="M1257">
        <v>-0.99979260000000003</v>
      </c>
      <c r="N1257">
        <v>-7.9916529999999996E-3</v>
      </c>
      <c r="O1257">
        <v>-1.8735999999999999E-2</v>
      </c>
      <c r="P1257">
        <v>-0.98734029999999995</v>
      </c>
      <c r="Q1257">
        <v>0.13594189999999901</v>
      </c>
      <c r="R1257">
        <v>-8.1724820000000004E-2</v>
      </c>
      <c r="S1257">
        <v>-3.1563110000000001</v>
      </c>
      <c r="T1257">
        <v>-0.51450490000000004</v>
      </c>
      <c r="U1257">
        <v>0.55590819999999996</v>
      </c>
      <c r="V1257">
        <v>-6.3076850000000004E-2</v>
      </c>
      <c r="W1257">
        <v>0.1438982</v>
      </c>
      <c r="X1257">
        <v>0.98758020000000002</v>
      </c>
      <c r="Y1257">
        <v>0.18911459999999999</v>
      </c>
      <c r="Z1257">
        <v>1.8829220000000001E-2</v>
      </c>
      <c r="AA1257">
        <v>0.98177440000000005</v>
      </c>
      <c r="AB1257">
        <v>34</v>
      </c>
      <c r="AC1257">
        <v>-0.63389999999998203</v>
      </c>
      <c r="AD1257">
        <v>-0.154883099999999</v>
      </c>
      <c r="AE1257">
        <v>0.17330000000004001</v>
      </c>
      <c r="AF1257">
        <v>0.175403514708042</v>
      </c>
      <c r="AG1257">
        <v>-0.154883099999999</v>
      </c>
      <c r="AH1257">
        <v>0.59735993645887997</v>
      </c>
      <c r="AI1257">
        <v>103.97024156257</v>
      </c>
      <c r="AJ1257">
        <v>73.636115371974597</v>
      </c>
      <c r="AK1257">
        <v>0.64155596897207801</v>
      </c>
      <c r="AL1257">
        <v>81.726518533696805</v>
      </c>
      <c r="AM1257">
        <v>93.654523376953705</v>
      </c>
      <c r="AN1257">
        <v>1.0000000162006</v>
      </c>
    </row>
    <row r="1258" spans="1:40" x14ac:dyDescent="0.25">
      <c r="A1258" t="str">
        <f>"20190304155346349"</f>
        <v>20190304155346349</v>
      </c>
      <c r="B1258" t="str">
        <f>"1551686026337311"</f>
        <v>1551686026337311</v>
      </c>
      <c r="C1258" t="s">
        <v>40</v>
      </c>
      <c r="D1258">
        <v>5.1983459999999999</v>
      </c>
      <c r="E1258">
        <v>0.60152069999999902</v>
      </c>
      <c r="F1258" t="s">
        <v>48</v>
      </c>
      <c r="G1258">
        <v>-246.98929999999999</v>
      </c>
      <c r="H1258">
        <v>0.95734609999999998</v>
      </c>
      <c r="I1258">
        <v>286.35570000000001</v>
      </c>
      <c r="J1258">
        <v>-246.399</v>
      </c>
      <c r="K1258">
        <v>1.1090990000000001</v>
      </c>
      <c r="L1258">
        <v>286.17829999999998</v>
      </c>
      <c r="M1258">
        <v>-0.99979839999999998</v>
      </c>
      <c r="N1258">
        <v>-8.1203909999999994E-3</v>
      </c>
      <c r="O1258">
        <v>-1.8366850000000001E-2</v>
      </c>
      <c r="P1258">
        <v>-0.98744609999999999</v>
      </c>
      <c r="Q1258">
        <v>0.1357844</v>
      </c>
      <c r="R1258">
        <v>-8.0703830000000004E-2</v>
      </c>
      <c r="S1258">
        <v>-3.1564480000000001</v>
      </c>
      <c r="T1258">
        <v>-0.51059719999999997</v>
      </c>
      <c r="U1258">
        <v>0.57586669999999995</v>
      </c>
      <c r="V1258">
        <v>-6.2426349999999999E-2</v>
      </c>
      <c r="W1258">
        <v>0.1438642</v>
      </c>
      <c r="X1258">
        <v>0.98762649999999996</v>
      </c>
      <c r="Y1258">
        <v>0.19472900000000001</v>
      </c>
      <c r="Z1258">
        <v>1.9107229999999999E-2</v>
      </c>
      <c r="AA1258">
        <v>0.98067090000000001</v>
      </c>
      <c r="AB1258">
        <v>34</v>
      </c>
      <c r="AC1258">
        <v>-0.59029999999998495</v>
      </c>
      <c r="AD1258">
        <v>-0.1517529</v>
      </c>
      <c r="AE1258">
        <v>0.177400000000034</v>
      </c>
      <c r="AF1258">
        <v>0.17745598178756999</v>
      </c>
      <c r="AG1258">
        <v>-0.1517529</v>
      </c>
      <c r="AH1258">
        <v>0.55339810090338204</v>
      </c>
      <c r="AI1258">
        <v>104.634487035493</v>
      </c>
      <c r="AJ1258">
        <v>72.220718126975498</v>
      </c>
      <c r="AK1258">
        <v>0.60064051329732204</v>
      </c>
      <c r="AL1258">
        <v>81.728487190814405</v>
      </c>
      <c r="AM1258">
        <v>93.616766401358404</v>
      </c>
      <c r="AN1258">
        <v>1.0000000303590999</v>
      </c>
    </row>
    <row r="1259" spans="1:40" x14ac:dyDescent="0.25">
      <c r="A1259" t="str">
        <f>"20190304155346371"</f>
        <v>20190304155346371</v>
      </c>
      <c r="B1259" t="str">
        <f>"1551686026367567"</f>
        <v>1551686026367567</v>
      </c>
      <c r="C1259" t="s">
        <v>40</v>
      </c>
      <c r="D1259">
        <v>4.8672570000000004</v>
      </c>
      <c r="E1259">
        <v>0.60855909999999902</v>
      </c>
      <c r="F1259" t="s">
        <v>48</v>
      </c>
      <c r="G1259">
        <v>-247.2953</v>
      </c>
      <c r="H1259">
        <v>0.96452000000000004</v>
      </c>
      <c r="I1259">
        <v>286.34699999999998</v>
      </c>
      <c r="J1259">
        <v>-246.7424</v>
      </c>
      <c r="K1259">
        <v>1.1091340000000001</v>
      </c>
      <c r="L1259">
        <v>286.17239999999998</v>
      </c>
      <c r="M1259">
        <v>-0.99980340000000001</v>
      </c>
      <c r="N1259">
        <v>-8.2416920000000001E-3</v>
      </c>
      <c r="O1259">
        <v>-1.8033469999999999E-2</v>
      </c>
      <c r="P1259">
        <v>-0.98754240000000004</v>
      </c>
      <c r="Q1259">
        <v>0.13544679999999901</v>
      </c>
      <c r="R1259">
        <v>-8.0089579999999994E-2</v>
      </c>
      <c r="S1259">
        <v>-3.156647</v>
      </c>
      <c r="T1259">
        <v>-0.50936709999999996</v>
      </c>
      <c r="U1259">
        <v>0.59307860000000001</v>
      </c>
      <c r="V1259">
        <v>-6.2148620000000002E-2</v>
      </c>
      <c r="W1259">
        <v>0.1436433</v>
      </c>
      <c r="X1259">
        <v>0.98767609999999995</v>
      </c>
      <c r="Y1259">
        <v>0.19951459999999999</v>
      </c>
      <c r="Z1259">
        <v>1.9413619999999999E-2</v>
      </c>
      <c r="AA1259">
        <v>0.97970250000000003</v>
      </c>
      <c r="AB1259">
        <v>34</v>
      </c>
      <c r="AC1259">
        <v>-0.55289999999999395</v>
      </c>
      <c r="AD1259">
        <v>-0.14461399999999999</v>
      </c>
      <c r="AE1259">
        <v>0.17459999999999801</v>
      </c>
      <c r="AF1259">
        <v>0.17373499404353801</v>
      </c>
      <c r="AG1259">
        <v>-0.14461399999999999</v>
      </c>
      <c r="AH1259">
        <v>0.51747066880964798</v>
      </c>
      <c r="AI1259">
        <v>104.838492689189</v>
      </c>
      <c r="AJ1259">
        <v>71.441098779733096</v>
      </c>
      <c r="AK1259">
        <v>0.56468836558726099</v>
      </c>
      <c r="AL1259">
        <v>81.741276110606506</v>
      </c>
      <c r="AM1259">
        <v>93.600537765845502</v>
      </c>
      <c r="AN1259">
        <v>0.99999996355700105</v>
      </c>
    </row>
    <row r="1260" spans="1:40" x14ac:dyDescent="0.25">
      <c r="A1260" t="str">
        <f>"20190304155346392"</f>
        <v>20190304155346392</v>
      </c>
      <c r="B1260" t="str">
        <f>"1551686026387089"</f>
        <v>1551686026387089</v>
      </c>
      <c r="C1260" t="s">
        <v>40</v>
      </c>
      <c r="D1260">
        <v>4.8649620000000002</v>
      </c>
      <c r="E1260">
        <v>0.61405419999999999</v>
      </c>
      <c r="F1260" t="s">
        <v>48</v>
      </c>
      <c r="G1260">
        <v>-247.6037</v>
      </c>
      <c r="H1260">
        <v>0.97481859999999998</v>
      </c>
      <c r="I1260">
        <v>286.34989999999999</v>
      </c>
      <c r="J1260">
        <v>-247.0694</v>
      </c>
      <c r="K1260">
        <v>1.109164</v>
      </c>
      <c r="L1260">
        <v>286.16669999999999</v>
      </c>
      <c r="M1260">
        <v>-0.99980760000000002</v>
      </c>
      <c r="N1260">
        <v>-8.3517090000000006E-3</v>
      </c>
      <c r="O1260">
        <v>-1.775183E-2</v>
      </c>
      <c r="P1260">
        <v>-0.98760680000000001</v>
      </c>
      <c r="Q1260">
        <v>0.13520769999999999</v>
      </c>
      <c r="R1260">
        <v>-7.9699179999999994E-2</v>
      </c>
      <c r="S1260">
        <v>-3.1581269999999999</v>
      </c>
      <c r="T1260">
        <v>-0.49257909999999999</v>
      </c>
      <c r="U1260">
        <v>0.65029910000000002</v>
      </c>
      <c r="V1260">
        <v>-6.2044349999999998E-2</v>
      </c>
      <c r="W1260">
        <v>0.14350940000000001</v>
      </c>
      <c r="X1260">
        <v>0.98770219999999997</v>
      </c>
      <c r="Y1260">
        <v>0.21620200000000001</v>
      </c>
      <c r="Z1260">
        <v>2.0085519999999999E-2</v>
      </c>
      <c r="AA1260">
        <v>0.97614199999999995</v>
      </c>
      <c r="AB1260">
        <v>34</v>
      </c>
      <c r="AC1260">
        <v>-0.534300000000001</v>
      </c>
      <c r="AD1260">
        <v>-0.1343454</v>
      </c>
      <c r="AE1260">
        <v>0.183199999999999</v>
      </c>
      <c r="AF1260">
        <v>0.182340860221648</v>
      </c>
      <c r="AG1260">
        <v>-0.1343454</v>
      </c>
      <c r="AH1260">
        <v>0.50253414763987603</v>
      </c>
      <c r="AI1260">
        <v>104.106566465998</v>
      </c>
      <c r="AJ1260">
        <v>70.057065170717294</v>
      </c>
      <c r="AK1260">
        <v>0.55121451845145397</v>
      </c>
      <c r="AL1260">
        <v>81.749028991161893</v>
      </c>
      <c r="AM1260">
        <v>93.594418070018406</v>
      </c>
      <c r="AN1260">
        <v>1.0000000425700599</v>
      </c>
    </row>
    <row r="1261" spans="1:40" x14ac:dyDescent="0.25">
      <c r="A1261" t="str">
        <f>"20190304155346416"</f>
        <v>20190304155346416</v>
      </c>
      <c r="B1261" t="str">
        <f>"1551686026407583"</f>
        <v>1551686026407583</v>
      </c>
      <c r="C1261" t="s">
        <v>40</v>
      </c>
      <c r="D1261">
        <v>4.8638760000000003</v>
      </c>
      <c r="E1261">
        <v>0.61863500000000005</v>
      </c>
      <c r="F1261" t="s">
        <v>48</v>
      </c>
      <c r="G1261">
        <v>-247.91059999999999</v>
      </c>
      <c r="H1261">
        <v>0.98113410000000001</v>
      </c>
      <c r="I1261">
        <v>286.35180000000003</v>
      </c>
      <c r="J1261">
        <v>-247.4178</v>
      </c>
      <c r="K1261">
        <v>1.1092010000000001</v>
      </c>
      <c r="L1261">
        <v>286.16079999999999</v>
      </c>
      <c r="M1261">
        <v>-0.99981120000000001</v>
      </c>
      <c r="N1261">
        <v>-8.4631510000000004E-3</v>
      </c>
      <c r="O1261">
        <v>-1.7495779999999999E-2</v>
      </c>
      <c r="P1261">
        <v>-0.98768509999999998</v>
      </c>
      <c r="Q1261">
        <v>0.1349872</v>
      </c>
      <c r="R1261">
        <v>-7.910056E-2</v>
      </c>
      <c r="S1261">
        <v>-3.1594850000000001</v>
      </c>
      <c r="T1261">
        <v>-0.48096470000000002</v>
      </c>
      <c r="U1261">
        <v>0.69403079999999995</v>
      </c>
      <c r="V1261">
        <v>-6.1709109999999998E-2</v>
      </c>
      <c r="W1261">
        <v>0.1433942</v>
      </c>
      <c r="X1261">
        <v>0.9877399</v>
      </c>
      <c r="Y1261">
        <v>0.228771</v>
      </c>
      <c r="Z1261">
        <v>2.0570620000000001E-2</v>
      </c>
      <c r="AA1261">
        <v>0.97326290000000004</v>
      </c>
      <c r="AB1261">
        <v>34</v>
      </c>
      <c r="AC1261">
        <v>-0.49279999999998803</v>
      </c>
      <c r="AD1261">
        <v>-0.12806690000000001</v>
      </c>
      <c r="AE1261">
        <v>0.19100000000003001</v>
      </c>
      <c r="AF1261">
        <v>0.18852374977092901</v>
      </c>
      <c r="AG1261">
        <v>-0.12806690000000001</v>
      </c>
      <c r="AH1261">
        <v>0.46224203973848499</v>
      </c>
      <c r="AI1261">
        <v>104.38837036803901</v>
      </c>
      <c r="AJ1261">
        <v>67.812085805358194</v>
      </c>
      <c r="AK1261">
        <v>0.51537368811853101</v>
      </c>
      <c r="AL1261">
        <v>81.755698178165304</v>
      </c>
      <c r="AM1261">
        <v>93.574911004103996</v>
      </c>
      <c r="AN1261">
        <v>1.00000001045132</v>
      </c>
    </row>
    <row r="1262" spans="1:40" x14ac:dyDescent="0.25">
      <c r="A1262" t="str">
        <f>"20190304155346439"</f>
        <v>20190304155346439</v>
      </c>
      <c r="B1262" t="str">
        <f>"1551686026428079"</f>
        <v>1551686026428079</v>
      </c>
      <c r="C1262" t="s">
        <v>40</v>
      </c>
      <c r="D1262">
        <v>4.8279449999999997</v>
      </c>
      <c r="E1262">
        <v>0.62239999999999995</v>
      </c>
      <c r="F1262" t="s">
        <v>48</v>
      </c>
      <c r="G1262">
        <v>-248.21860000000001</v>
      </c>
      <c r="H1262">
        <v>0.98961399999999999</v>
      </c>
      <c r="I1262">
        <v>286.34620000000001</v>
      </c>
      <c r="J1262">
        <v>-247.77289999999999</v>
      </c>
      <c r="K1262">
        <v>1.1092489999999999</v>
      </c>
      <c r="L1262">
        <v>286.15480000000002</v>
      </c>
      <c r="M1262">
        <v>-0.99981399999999998</v>
      </c>
      <c r="N1262">
        <v>-8.5716119999999993E-3</v>
      </c>
      <c r="O1262">
        <v>-1.728319E-2</v>
      </c>
      <c r="P1262">
        <v>-0.98781189999999996</v>
      </c>
      <c r="Q1262">
        <v>0.13403480000000001</v>
      </c>
      <c r="R1262">
        <v>-7.9138520000000004E-2</v>
      </c>
      <c r="S1262">
        <v>-3.1604770000000002</v>
      </c>
      <c r="T1262">
        <v>-0.47198560000000001</v>
      </c>
      <c r="U1262">
        <v>0.7312012</v>
      </c>
      <c r="V1262">
        <v>-6.1969249999999997E-2</v>
      </c>
      <c r="W1262">
        <v>0.14254420000000001</v>
      </c>
      <c r="X1262">
        <v>0.98784660000000002</v>
      </c>
      <c r="Y1262">
        <v>0.23937240000000001</v>
      </c>
      <c r="Z1262">
        <v>2.0982000000000001E-2</v>
      </c>
      <c r="AA1262">
        <v>0.97070109999999998</v>
      </c>
      <c r="AB1262">
        <v>34</v>
      </c>
      <c r="AC1262">
        <v>-0.44570000000001597</v>
      </c>
      <c r="AD1262">
        <v>-0.11963499999999901</v>
      </c>
      <c r="AE1262">
        <v>0.191399999999987</v>
      </c>
      <c r="AF1262">
        <v>0.18765925605115399</v>
      </c>
      <c r="AG1262">
        <v>-0.11963499999999901</v>
      </c>
      <c r="AH1262">
        <v>0.41696102519780898</v>
      </c>
      <c r="AI1262">
        <v>104.662379241176</v>
      </c>
      <c r="AJ1262">
        <v>65.769192854421703</v>
      </c>
      <c r="AK1262">
        <v>0.47263625140342402</v>
      </c>
      <c r="AL1262">
        <v>81.804904762205098</v>
      </c>
      <c r="AM1262">
        <v>93.589555270983197</v>
      </c>
      <c r="AN1262">
        <v>0.99999997101537996</v>
      </c>
    </row>
    <row r="1263" spans="1:40" x14ac:dyDescent="0.25">
      <c r="A1263" t="str">
        <f>"20190304155346461"</f>
        <v>20190304155346461</v>
      </c>
      <c r="B1263" t="str">
        <f>"1551686026457359"</f>
        <v>1551686026457359</v>
      </c>
      <c r="C1263" t="s">
        <v>40</v>
      </c>
      <c r="D1263">
        <v>4.787426</v>
      </c>
      <c r="E1263">
        <v>0.62861659999999997</v>
      </c>
      <c r="F1263" t="s">
        <v>48</v>
      </c>
      <c r="G1263">
        <v>-248.5273</v>
      </c>
      <c r="H1263">
        <v>0.99796220000000002</v>
      </c>
      <c r="I1263">
        <v>286.3365</v>
      </c>
      <c r="J1263">
        <v>-248.1095</v>
      </c>
      <c r="K1263">
        <v>1.1092949999999999</v>
      </c>
      <c r="L1263">
        <v>286.14920000000001</v>
      </c>
      <c r="M1263">
        <v>-0.99981569999999997</v>
      </c>
      <c r="N1263">
        <v>-8.6691289999999994E-3</v>
      </c>
      <c r="O1263">
        <v>-1.7131859999999999E-2</v>
      </c>
      <c r="P1263">
        <v>-0.98791660000000003</v>
      </c>
      <c r="Q1263">
        <v>0.1335181</v>
      </c>
      <c r="R1263">
        <v>-7.8701389999999996E-2</v>
      </c>
      <c r="S1263">
        <v>-3.1612089999999999</v>
      </c>
      <c r="T1263">
        <v>-0.46650580000000003</v>
      </c>
      <c r="U1263">
        <v>0.76010129999999998</v>
      </c>
      <c r="V1263">
        <v>-6.1693739999999997E-2</v>
      </c>
      <c r="W1263">
        <v>0.14211849999999901</v>
      </c>
      <c r="X1263">
        <v>0.98792519999999995</v>
      </c>
      <c r="Y1263">
        <v>0.2475562</v>
      </c>
      <c r="Z1263">
        <v>2.1345739999999998E-2</v>
      </c>
      <c r="AA1263">
        <v>0.96863840000000001</v>
      </c>
      <c r="AB1263">
        <v>34</v>
      </c>
      <c r="AC1263">
        <v>-0.41779999999999901</v>
      </c>
      <c r="AD1263">
        <v>-0.1113328</v>
      </c>
      <c r="AE1263">
        <v>0.187299999999993</v>
      </c>
      <c r="AF1263">
        <v>0.183576394271034</v>
      </c>
      <c r="AG1263">
        <v>-0.1113328</v>
      </c>
      <c r="AH1263">
        <v>0.39138864940812101</v>
      </c>
      <c r="AI1263">
        <v>104.441820987913</v>
      </c>
      <c r="AJ1263">
        <v>64.871608628213707</v>
      </c>
      <c r="AK1263">
        <v>0.44640828820140399</v>
      </c>
      <c r="AL1263">
        <v>81.829546634304805</v>
      </c>
      <c r="AM1263">
        <v>93.573354278979707</v>
      </c>
      <c r="AN1263">
        <v>0.999999993196238</v>
      </c>
    </row>
    <row r="1264" spans="1:40" x14ac:dyDescent="0.25">
      <c r="A1264" t="str">
        <f>"20190304155346483"</f>
        <v>20190304155346483</v>
      </c>
      <c r="B1264" t="str">
        <f>"1551686026477856"</f>
        <v>1551686026477856</v>
      </c>
      <c r="C1264" t="s">
        <v>40</v>
      </c>
      <c r="D1264">
        <v>4.7845089999999999</v>
      </c>
      <c r="E1264">
        <v>0.63225830000000005</v>
      </c>
      <c r="F1264" t="s">
        <v>48</v>
      </c>
      <c r="G1264">
        <v>-248.8383</v>
      </c>
      <c r="H1264">
        <v>1.0041910000000001</v>
      </c>
      <c r="I1264">
        <v>286.33620000000002</v>
      </c>
      <c r="J1264">
        <v>-248.446</v>
      </c>
      <c r="K1264">
        <v>1.1093390000000001</v>
      </c>
      <c r="L1264">
        <v>286.14359999999999</v>
      </c>
      <c r="M1264">
        <v>-0.9998167</v>
      </c>
      <c r="N1264">
        <v>-8.7585279999999998E-3</v>
      </c>
      <c r="O1264">
        <v>-1.7031069999999999E-2</v>
      </c>
      <c r="P1264">
        <v>-0.98799400000000004</v>
      </c>
      <c r="Q1264">
        <v>0.1330836</v>
      </c>
      <c r="R1264">
        <v>-7.8466140000000004E-2</v>
      </c>
      <c r="S1264">
        <v>-3.1629489999999998</v>
      </c>
      <c r="T1264">
        <v>-0.45620859999999902</v>
      </c>
      <c r="U1264">
        <v>0.81082149999999997</v>
      </c>
      <c r="V1264">
        <v>-6.1571550000000003E-2</v>
      </c>
      <c r="W1264">
        <v>0.141766899999999</v>
      </c>
      <c r="X1264">
        <v>0.98798330000000001</v>
      </c>
      <c r="Y1264">
        <v>0.26192589999999999</v>
      </c>
      <c r="Z1264">
        <v>2.1929569999999999E-2</v>
      </c>
      <c r="AA1264">
        <v>0.9648388</v>
      </c>
      <c r="AB1264">
        <v>34</v>
      </c>
      <c r="AC1264">
        <v>-0.39230000000000498</v>
      </c>
      <c r="AD1264">
        <v>-0.10514799999999901</v>
      </c>
      <c r="AE1264">
        <v>0.192600000000027</v>
      </c>
      <c r="AF1264">
        <v>0.18835053153488401</v>
      </c>
      <c r="AG1264">
        <v>-0.10514799999999901</v>
      </c>
      <c r="AH1264">
        <v>0.36767890212719001</v>
      </c>
      <c r="AI1264">
        <v>104.279994918364</v>
      </c>
      <c r="AJ1264">
        <v>62.875340030334698</v>
      </c>
      <c r="AK1264">
        <v>0.426286053845219</v>
      </c>
      <c r="AL1264">
        <v>81.849897579415995</v>
      </c>
      <c r="AM1264">
        <v>93.566086032358797</v>
      </c>
      <c r="AN1264">
        <v>0.99999995539194997</v>
      </c>
    </row>
    <row r="1265" spans="1:40" x14ac:dyDescent="0.25">
      <c r="A1265" t="str">
        <f>"20190304155346506"</f>
        <v>20190304155346506</v>
      </c>
      <c r="B1265" t="str">
        <f>"1551686026497375"</f>
        <v>1551686026497375</v>
      </c>
      <c r="C1265" t="s">
        <v>40</v>
      </c>
      <c r="D1265">
        <v>4.760446</v>
      </c>
      <c r="E1265">
        <v>0.63522330000000005</v>
      </c>
      <c r="F1265" t="s">
        <v>63</v>
      </c>
      <c r="G1265">
        <v>-256.22590000000002</v>
      </c>
      <c r="H1265" s="1">
        <v>1.776299E-6</v>
      </c>
      <c r="I1265">
        <v>288.21089999999998</v>
      </c>
      <c r="J1265">
        <v>-248.78489999999999</v>
      </c>
      <c r="K1265">
        <v>1.109383</v>
      </c>
      <c r="L1265">
        <v>286.13780000000003</v>
      </c>
      <c r="M1265">
        <v>-0.99981699999999996</v>
      </c>
      <c r="N1265">
        <v>-8.839642E-3</v>
      </c>
      <c r="O1265">
        <v>-1.6969919999999999E-2</v>
      </c>
      <c r="P1265">
        <v>-0.98801989999999995</v>
      </c>
      <c r="Q1265">
        <v>0.13311770000000001</v>
      </c>
      <c r="R1265">
        <v>-7.8079839999999998E-2</v>
      </c>
      <c r="S1265">
        <v>-3.1640009999999998</v>
      </c>
      <c r="T1265">
        <v>-0.45116079999999997</v>
      </c>
      <c r="U1265">
        <v>0.84078980000000003</v>
      </c>
      <c r="V1265">
        <v>-6.125825E-2</v>
      </c>
      <c r="W1265">
        <v>0.14187539999999901</v>
      </c>
      <c r="X1265">
        <v>0.98798719999999995</v>
      </c>
      <c r="Y1265">
        <v>0.2703199</v>
      </c>
      <c r="Z1265">
        <v>2.2296150000000001E-2</v>
      </c>
      <c r="AA1265">
        <v>0.96251240000000005</v>
      </c>
      <c r="AB1265">
        <v>34</v>
      </c>
      <c r="AC1265">
        <v>-7.44100000000003</v>
      </c>
      <c r="AD1265">
        <v>-1.1093812237009999</v>
      </c>
      <c r="AE1265">
        <v>2.07309999999995</v>
      </c>
      <c r="AF1265">
        <v>2.15463617743508</v>
      </c>
      <c r="AG1265">
        <v>-1.1093812237009999</v>
      </c>
      <c r="AH1265">
        <v>7.2550968559736999</v>
      </c>
      <c r="AI1265">
        <v>98.339197183373898</v>
      </c>
      <c r="AJ1265">
        <v>73.459506424720203</v>
      </c>
      <c r="AK1265">
        <v>7.6491577409654701</v>
      </c>
      <c r="AL1265">
        <v>81.843617505457303</v>
      </c>
      <c r="AM1265">
        <v>93.5479728995073</v>
      </c>
      <c r="AN1265">
        <v>0.99999995484102999</v>
      </c>
    </row>
    <row r="1266" spans="1:40" x14ac:dyDescent="0.25">
      <c r="A1266" t="str">
        <f>"20190304155346529"</f>
        <v>20190304155346529</v>
      </c>
      <c r="B1266" t="str">
        <f>"1551686026517872"</f>
        <v>1551686026517872</v>
      </c>
      <c r="C1266" t="s">
        <v>40</v>
      </c>
      <c r="D1266">
        <v>4.7380849999999999</v>
      </c>
      <c r="E1266">
        <v>0.63785150000000002</v>
      </c>
      <c r="F1266" t="s">
        <v>63</v>
      </c>
      <c r="G1266">
        <v>-256.67630000000003</v>
      </c>
      <c r="H1266" s="1">
        <v>2.0160120000000002E-6</v>
      </c>
      <c r="I1266">
        <v>288.29669999999999</v>
      </c>
      <c r="J1266">
        <v>-249.15170000000001</v>
      </c>
      <c r="K1266">
        <v>1.109421</v>
      </c>
      <c r="L1266">
        <v>286.13159999999999</v>
      </c>
      <c r="M1266">
        <v>-0.99981679999999995</v>
      </c>
      <c r="N1266">
        <v>-8.9179740000000004E-3</v>
      </c>
      <c r="O1266">
        <v>-1.693588E-2</v>
      </c>
      <c r="P1266">
        <v>-0.98793419999999998</v>
      </c>
      <c r="Q1266">
        <v>0.13393329999999901</v>
      </c>
      <c r="R1266">
        <v>-7.7771629999999994E-2</v>
      </c>
      <c r="S1266">
        <v>-3.164749</v>
      </c>
      <c r="T1266">
        <v>-0.44490550000000001</v>
      </c>
      <c r="U1266">
        <v>0.86578369999999905</v>
      </c>
      <c r="V1266">
        <v>-6.099504E-2</v>
      </c>
      <c r="W1266">
        <v>0.1427628</v>
      </c>
      <c r="X1266">
        <v>0.98787570000000002</v>
      </c>
      <c r="Y1266">
        <v>0.27732449999999997</v>
      </c>
      <c r="Z1266">
        <v>2.2498589999999999E-2</v>
      </c>
      <c r="AA1266">
        <v>0.96051280000000006</v>
      </c>
      <c r="AB1266">
        <v>34</v>
      </c>
      <c r="AC1266">
        <v>-7.5246000000000199</v>
      </c>
      <c r="AD1266">
        <v>-1.109418983988</v>
      </c>
      <c r="AE1266">
        <v>2.16509999999999</v>
      </c>
      <c r="AF1266">
        <v>2.24711690880281</v>
      </c>
      <c r="AG1266">
        <v>-1.109418983988</v>
      </c>
      <c r="AH1266">
        <v>7.3395028254437804</v>
      </c>
      <c r="AI1266">
        <v>98.224276133515602</v>
      </c>
      <c r="AJ1266">
        <v>72.9771166510954</v>
      </c>
      <c r="AK1266">
        <v>7.7555558542607201</v>
      </c>
      <c r="AL1266">
        <v>81.792250768617606</v>
      </c>
      <c r="AM1266">
        <v>93.533164646451993</v>
      </c>
      <c r="AN1266">
        <v>1.00000000530946</v>
      </c>
    </row>
    <row r="1267" spans="1:40" x14ac:dyDescent="0.25">
      <c r="A1267" t="str">
        <f>"20190304155346550"</f>
        <v>20190304155346550</v>
      </c>
      <c r="B1267" t="str">
        <f>"1551686026547152"</f>
        <v>1551686026547152</v>
      </c>
      <c r="C1267" t="s">
        <v>40</v>
      </c>
      <c r="D1267">
        <v>4.6956360000000004</v>
      </c>
      <c r="E1267">
        <v>0.64114930000000003</v>
      </c>
      <c r="F1267" t="s">
        <v>63</v>
      </c>
      <c r="G1267">
        <v>-257.17899999999997</v>
      </c>
      <c r="H1267" s="1">
        <v>2.2834969999999999E-6</v>
      </c>
      <c r="I1267">
        <v>288.38150000000002</v>
      </c>
      <c r="J1267">
        <v>-249.47720000000001</v>
      </c>
      <c r="K1267">
        <v>1.1094440000000001</v>
      </c>
      <c r="L1267">
        <v>286.12619999999998</v>
      </c>
      <c r="M1267">
        <v>-0.9998165</v>
      </c>
      <c r="N1267">
        <v>-8.9805189999999993E-3</v>
      </c>
      <c r="O1267">
        <v>-1.6924330000000001E-2</v>
      </c>
      <c r="P1267">
        <v>-0.98781300000000005</v>
      </c>
      <c r="Q1267">
        <v>0.13461999999999999</v>
      </c>
      <c r="R1267">
        <v>-7.8122670000000005E-2</v>
      </c>
      <c r="S1267">
        <v>-3.1657869999999999</v>
      </c>
      <c r="T1267">
        <v>-0.43753039999999999</v>
      </c>
      <c r="U1267">
        <v>0.88729859999999905</v>
      </c>
      <c r="V1267">
        <v>-6.1367089999999999E-2</v>
      </c>
      <c r="W1267">
        <v>0.14350750000000001</v>
      </c>
      <c r="X1267">
        <v>0.98774470000000003</v>
      </c>
      <c r="Y1267">
        <v>0.283331099999999</v>
      </c>
      <c r="Z1267">
        <v>2.256269E-2</v>
      </c>
      <c r="AA1267">
        <v>0.95875670000000002</v>
      </c>
      <c r="AB1267">
        <v>34</v>
      </c>
      <c r="AC1267">
        <v>-7.7018000000000102</v>
      </c>
      <c r="AD1267">
        <v>-1.1094417165029999</v>
      </c>
      <c r="AE1267">
        <v>2.2553000000000298</v>
      </c>
      <c r="AF1267">
        <v>2.34059760686538</v>
      </c>
      <c r="AG1267">
        <v>-1.1094417165029999</v>
      </c>
      <c r="AH1267">
        <v>7.5188294927171597</v>
      </c>
      <c r="AI1267">
        <v>98.019421804024802</v>
      </c>
      <c r="AJ1267">
        <v>72.7087320517373</v>
      </c>
      <c r="AK1267">
        <v>7.9524873480021601</v>
      </c>
      <c r="AL1267">
        <v>81.749138283577096</v>
      </c>
      <c r="AM1267">
        <v>93.555130944959402</v>
      </c>
      <c r="AN1267">
        <v>0.99999995733470304</v>
      </c>
    </row>
    <row r="1268" spans="1:40" x14ac:dyDescent="0.25">
      <c r="A1268" t="str">
        <f>"20190304155346571"</f>
        <v>20190304155346571</v>
      </c>
      <c r="B1268" t="str">
        <f>"1551686026567647"</f>
        <v>1551686026567647</v>
      </c>
      <c r="C1268" t="s">
        <v>40</v>
      </c>
      <c r="D1268">
        <v>4.7468250000000003</v>
      </c>
      <c r="E1268">
        <v>0.64346769999999998</v>
      </c>
      <c r="F1268" t="s">
        <v>63</v>
      </c>
      <c r="G1268">
        <v>-257.65699999999998</v>
      </c>
      <c r="H1268" s="1">
        <v>2.5378570000000002E-6</v>
      </c>
      <c r="I1268">
        <v>288.48200000000003</v>
      </c>
      <c r="J1268">
        <v>-249.79509999999999</v>
      </c>
      <c r="K1268">
        <v>1.1094630000000001</v>
      </c>
      <c r="L1268">
        <v>286.12079999999997</v>
      </c>
      <c r="M1268">
        <v>-0.99981589999999998</v>
      </c>
      <c r="N1268">
        <v>-9.035464E-3</v>
      </c>
      <c r="O1268">
        <v>-1.692364E-2</v>
      </c>
      <c r="P1268">
        <v>-0.98779450000000002</v>
      </c>
      <c r="Q1268">
        <v>0.13463410000000001</v>
      </c>
      <c r="R1268">
        <v>-7.8329910000000003E-2</v>
      </c>
      <c r="S1268">
        <v>-3.1677089999999999</v>
      </c>
      <c r="T1268">
        <v>-0.42964599999999997</v>
      </c>
      <c r="U1268">
        <v>0.912323</v>
      </c>
      <c r="V1268">
        <v>-6.1579849999999998E-2</v>
      </c>
      <c r="W1268">
        <v>0.14357400000000001</v>
      </c>
      <c r="X1268">
        <v>0.98772190000000004</v>
      </c>
      <c r="Y1268">
        <v>0.29022340000000002</v>
      </c>
      <c r="Z1268">
        <v>2.2642349999999999E-2</v>
      </c>
      <c r="AA1268">
        <v>0.95669099999999996</v>
      </c>
      <c r="AB1268">
        <v>34</v>
      </c>
      <c r="AC1268">
        <v>-7.8618999999999897</v>
      </c>
      <c r="AD1268">
        <v>-1.10946046214299</v>
      </c>
      <c r="AE1268">
        <v>2.3612000000000499</v>
      </c>
      <c r="AF1268">
        <v>2.4491805623198202</v>
      </c>
      <c r="AG1268">
        <v>-1.10946046214299</v>
      </c>
      <c r="AH1268">
        <v>7.68051393492801</v>
      </c>
      <c r="AI1268">
        <v>97.836021839725902</v>
      </c>
      <c r="AJ1268">
        <v>72.313434030309807</v>
      </c>
      <c r="AK1268">
        <v>8.1375476802613704</v>
      </c>
      <c r="AL1268">
        <v>81.745289111080098</v>
      </c>
      <c r="AM1268">
        <v>93.567506961005193</v>
      </c>
      <c r="AN1268">
        <v>1.00000006157081</v>
      </c>
    </row>
    <row r="1269" spans="1:40" x14ac:dyDescent="0.25">
      <c r="A1269" t="str">
        <f>"20190304155346594"</f>
        <v>20190304155346594</v>
      </c>
      <c r="B1269" t="str">
        <f>"1551686026587167"</f>
        <v>1551686026587167</v>
      </c>
      <c r="C1269" t="s">
        <v>40</v>
      </c>
      <c r="D1269">
        <v>4.6438360000000003</v>
      </c>
      <c r="E1269">
        <v>0.64509309999999997</v>
      </c>
      <c r="F1269" t="s">
        <v>63</v>
      </c>
      <c r="G1269">
        <v>-258.03840000000002</v>
      </c>
      <c r="H1269" s="1">
        <v>2.74086E-6</v>
      </c>
      <c r="I1269">
        <v>288.53789999999998</v>
      </c>
      <c r="J1269">
        <v>-250.14179999999999</v>
      </c>
      <c r="K1269">
        <v>1.109475</v>
      </c>
      <c r="L1269">
        <v>286.11489999999998</v>
      </c>
      <c r="M1269">
        <v>-0.99981549999999997</v>
      </c>
      <c r="N1269">
        <v>-9.089069E-3</v>
      </c>
      <c r="O1269">
        <v>-1.6929110000000001E-2</v>
      </c>
      <c r="P1269">
        <v>-0.98767020000000005</v>
      </c>
      <c r="Q1269">
        <v>0.1354417</v>
      </c>
      <c r="R1269">
        <v>-7.8506329999999999E-2</v>
      </c>
      <c r="S1269">
        <v>-3.1688689999999999</v>
      </c>
      <c r="T1269">
        <v>-0.42649510000000002</v>
      </c>
      <c r="U1269">
        <v>0.92916869999999996</v>
      </c>
      <c r="V1269">
        <v>-6.1756220000000001E-2</v>
      </c>
      <c r="W1269">
        <v>0.14443139999999999</v>
      </c>
      <c r="X1269">
        <v>0.98758579999999996</v>
      </c>
      <c r="Y1269">
        <v>0.29482520000000001</v>
      </c>
      <c r="Z1269">
        <v>2.2795840000000001E-2</v>
      </c>
      <c r="AA1269">
        <v>0.95527930000000005</v>
      </c>
      <c r="AB1269">
        <v>34</v>
      </c>
      <c r="AC1269">
        <v>-7.8966000000000296</v>
      </c>
      <c r="AD1269">
        <v>-1.1094722591399999</v>
      </c>
      <c r="AE1269">
        <v>2.423</v>
      </c>
      <c r="AF1269">
        <v>2.5110375015747302</v>
      </c>
      <c r="AG1269">
        <v>-1.1094722591399999</v>
      </c>
      <c r="AH1269">
        <v>7.7152518003542196</v>
      </c>
      <c r="AI1269">
        <v>97.786469219369295</v>
      </c>
      <c r="AJ1269">
        <v>71.971790930468799</v>
      </c>
      <c r="AK1269">
        <v>8.1890993626274309</v>
      </c>
      <c r="AL1269">
        <v>81.6956456683575</v>
      </c>
      <c r="AM1269">
        <v>93.578189871967993</v>
      </c>
      <c r="AN1269">
        <v>0.99999998618814401</v>
      </c>
    </row>
    <row r="1270" spans="1:40" x14ac:dyDescent="0.25">
      <c r="A1270" t="str">
        <f>"20190304155346615"</f>
        <v>20190304155346615</v>
      </c>
      <c r="B1270" t="str">
        <f>"1551686026607663"</f>
        <v>1551686026607663</v>
      </c>
      <c r="C1270" t="s">
        <v>40</v>
      </c>
      <c r="D1270">
        <v>4.6523159999999999</v>
      </c>
      <c r="E1270">
        <v>0.64669109999999996</v>
      </c>
      <c r="F1270" t="s">
        <v>63</v>
      </c>
      <c r="G1270">
        <v>-258.51569999999998</v>
      </c>
      <c r="H1270" s="1">
        <v>2.9948690000000001E-6</v>
      </c>
      <c r="I1270">
        <v>288.60180000000003</v>
      </c>
      <c r="J1270">
        <v>-250.47040000000001</v>
      </c>
      <c r="K1270">
        <v>1.1094900000000001</v>
      </c>
      <c r="L1270">
        <v>286.10939999999999</v>
      </c>
      <c r="M1270">
        <v>-0.99981489999999995</v>
      </c>
      <c r="N1270">
        <v>-9.1344059999999994E-3</v>
      </c>
      <c r="O1270">
        <v>-1.6934999999999999E-2</v>
      </c>
      <c r="P1270">
        <v>-0.98755139999999997</v>
      </c>
      <c r="Q1270">
        <v>0.13592899999999999</v>
      </c>
      <c r="R1270">
        <v>-7.9156840000000006E-2</v>
      </c>
      <c r="S1270">
        <v>-3.169861</v>
      </c>
      <c r="T1270">
        <v>-0.41997600000000002</v>
      </c>
      <c r="U1270">
        <v>0.94137570000000004</v>
      </c>
      <c r="V1270">
        <v>-6.2405889999999999E-2</v>
      </c>
      <c r="W1270">
        <v>0.1449617</v>
      </c>
      <c r="X1270">
        <v>0.98746730000000005</v>
      </c>
      <c r="Y1270">
        <v>0.29818810000000001</v>
      </c>
      <c r="Z1270">
        <v>2.2691599999999999E-2</v>
      </c>
      <c r="AA1270">
        <v>0.95423740000000001</v>
      </c>
      <c r="AB1270">
        <v>34</v>
      </c>
      <c r="AC1270">
        <v>-8.0452999999999601</v>
      </c>
      <c r="AD1270">
        <v>-1.109487005131</v>
      </c>
      <c r="AE1270">
        <v>2.4924000000000301</v>
      </c>
      <c r="AF1270">
        <v>2.5834660024051699</v>
      </c>
      <c r="AG1270">
        <v>-1.109487005131</v>
      </c>
      <c r="AH1270">
        <v>7.86545102310565</v>
      </c>
      <c r="AI1270">
        <v>97.632979168740405</v>
      </c>
      <c r="AJ1270">
        <v>71.816848554840007</v>
      </c>
      <c r="AK1270">
        <v>8.3528784138769598</v>
      </c>
      <c r="AL1270">
        <v>81.664938916384898</v>
      </c>
      <c r="AM1270">
        <v>93.616165524521804</v>
      </c>
      <c r="AN1270">
        <v>1.0000000290714299</v>
      </c>
    </row>
    <row r="1271" spans="1:40" x14ac:dyDescent="0.25">
      <c r="A1271" t="str">
        <f>"20190304155346640"</f>
        <v>20190304155346640</v>
      </c>
      <c r="B1271" t="str">
        <f>"1551686026637918"</f>
        <v>1551686026637918</v>
      </c>
      <c r="C1271" t="s">
        <v>40</v>
      </c>
      <c r="D1271">
        <v>4.6516590000000004</v>
      </c>
      <c r="E1271">
        <v>0.56153090000000005</v>
      </c>
      <c r="F1271" t="s">
        <v>63</v>
      </c>
      <c r="G1271">
        <v>-258.97019999999998</v>
      </c>
      <c r="H1271" s="1">
        <v>3.236676E-6</v>
      </c>
      <c r="I1271">
        <v>288.6617</v>
      </c>
      <c r="J1271">
        <v>-250.85740000000001</v>
      </c>
      <c r="K1271">
        <v>1.1095090000000001</v>
      </c>
      <c r="L1271">
        <v>286.1028</v>
      </c>
      <c r="M1271">
        <v>-0.99981439999999999</v>
      </c>
      <c r="N1271">
        <v>-9.1817440000000004E-3</v>
      </c>
      <c r="O1271">
        <v>-1.6940529999999999E-2</v>
      </c>
      <c r="P1271">
        <v>-0.98746719999999999</v>
      </c>
      <c r="Q1271">
        <v>0.1363335</v>
      </c>
      <c r="R1271">
        <v>-7.9509460000000004E-2</v>
      </c>
      <c r="S1271">
        <v>-3.1711119999999999</v>
      </c>
      <c r="T1271">
        <v>-0.41393229999999998</v>
      </c>
      <c r="U1271">
        <v>0.95220950000000004</v>
      </c>
      <c r="V1271">
        <v>-6.2756720000000002E-2</v>
      </c>
      <c r="W1271">
        <v>0.14541129999999999</v>
      </c>
      <c r="X1271">
        <v>0.98737900000000001</v>
      </c>
      <c r="Y1271">
        <v>0.30113600000000001</v>
      </c>
      <c r="Z1271">
        <v>2.2576539999999999E-2</v>
      </c>
      <c r="AA1271">
        <v>0.95331390000000005</v>
      </c>
      <c r="AB1271">
        <v>34</v>
      </c>
      <c r="AC1271">
        <v>-8.1127999999999592</v>
      </c>
      <c r="AD1271">
        <v>-1.109505763324</v>
      </c>
      <c r="AE1271">
        <v>2.5588999999999902</v>
      </c>
      <c r="AF1271">
        <v>2.6508797981093002</v>
      </c>
      <c r="AG1271">
        <v>-1.109505763324</v>
      </c>
      <c r="AH1271">
        <v>7.9333315540246199</v>
      </c>
      <c r="AI1271">
        <v>97.555864862532303</v>
      </c>
      <c r="AJ1271">
        <v>71.523228077199903</v>
      </c>
      <c r="AK1271">
        <v>8.4377672573350804</v>
      </c>
      <c r="AL1271">
        <v>81.638903216272098</v>
      </c>
      <c r="AM1271">
        <v>93.636764617228593</v>
      </c>
      <c r="AN1271">
        <v>1.0000000708569201</v>
      </c>
    </row>
    <row r="1272" spans="1:40" x14ac:dyDescent="0.25">
      <c r="A1272" t="str">
        <f>"20190304155346662"</f>
        <v>20190304155346662</v>
      </c>
      <c r="B1272" t="str">
        <f>"1551686026657439"</f>
        <v>1551686026657439</v>
      </c>
      <c r="C1272" t="s">
        <v>40</v>
      </c>
      <c r="D1272">
        <v>4.8404290000000003</v>
      </c>
      <c r="E1272">
        <v>0.5418811</v>
      </c>
      <c r="F1272" t="s">
        <v>48</v>
      </c>
      <c r="G1272">
        <v>-251.61189999999999</v>
      </c>
      <c r="H1272">
        <v>1.0460670000000001</v>
      </c>
      <c r="I1272">
        <v>286.1687</v>
      </c>
      <c r="J1272">
        <v>-251.1908</v>
      </c>
      <c r="K1272">
        <v>1.1095189999999999</v>
      </c>
      <c r="L1272">
        <v>286.09719999999999</v>
      </c>
      <c r="M1272">
        <v>-0.99981410000000004</v>
      </c>
      <c r="N1272">
        <v>-9.2177860000000004E-3</v>
      </c>
      <c r="O1272">
        <v>-1.6943139999999999E-2</v>
      </c>
      <c r="P1272">
        <v>-0.98740850000000002</v>
      </c>
      <c r="Q1272">
        <v>0.13664770000000001</v>
      </c>
      <c r="R1272">
        <v>-7.9699399999999906E-2</v>
      </c>
      <c r="S1272">
        <v>-3.0957490000000001</v>
      </c>
      <c r="T1272">
        <v>-0.26041959999999997</v>
      </c>
      <c r="U1272">
        <v>0.26968379999999997</v>
      </c>
      <c r="V1272">
        <v>-6.294698E-2</v>
      </c>
      <c r="W1272">
        <v>0.14575949999999999</v>
      </c>
      <c r="X1272">
        <v>0.98731550000000001</v>
      </c>
      <c r="Y1272">
        <v>0.103204</v>
      </c>
      <c r="Z1272">
        <v>6.0672249999999999E-3</v>
      </c>
      <c r="AA1272">
        <v>0.99464169999999996</v>
      </c>
      <c r="AB1272">
        <v>34</v>
      </c>
      <c r="AC1272">
        <v>-0.42109999999999498</v>
      </c>
      <c r="AD1272">
        <v>-6.3451999999999995E-2</v>
      </c>
      <c r="AE1272">
        <v>7.1500000000014496E-2</v>
      </c>
      <c r="AF1272">
        <v>7.6927113207656994E-2</v>
      </c>
      <c r="AG1272">
        <v>-6.3451999999999995E-2</v>
      </c>
      <c r="AH1272">
        <v>0.41076305829315102</v>
      </c>
      <c r="AI1272">
        <v>98.633493485934807</v>
      </c>
      <c r="AJ1272">
        <v>79.392602008488794</v>
      </c>
      <c r="AK1272">
        <v>0.422694011205277</v>
      </c>
      <c r="AL1272">
        <v>81.618737596206898</v>
      </c>
      <c r="AM1272">
        <v>93.647994473533601</v>
      </c>
      <c r="AN1272">
        <v>1.0000000253358099</v>
      </c>
    </row>
    <row r="1273" spans="1:40" x14ac:dyDescent="0.25">
      <c r="A1273" t="str">
        <f>"20190304155346684"</f>
        <v>20190304155346684</v>
      </c>
      <c r="B1273" t="str">
        <f>"1551686026677936"</f>
        <v>1551686026677936</v>
      </c>
      <c r="C1273" t="s">
        <v>40</v>
      </c>
      <c r="D1273">
        <v>4.94278</v>
      </c>
      <c r="E1273">
        <v>0.53276939999999995</v>
      </c>
      <c r="F1273" t="s">
        <v>48</v>
      </c>
      <c r="G1273">
        <v>-252.22739999999999</v>
      </c>
      <c r="H1273">
        <v>1.0414000000000001</v>
      </c>
      <c r="I1273">
        <v>286.13490000000002</v>
      </c>
      <c r="J1273">
        <v>-251.5377</v>
      </c>
      <c r="K1273">
        <v>1.109529</v>
      </c>
      <c r="L1273">
        <v>286.09129999999999</v>
      </c>
      <c r="M1273">
        <v>-0.99981379999999997</v>
      </c>
      <c r="N1273">
        <v>-9.2505710000000008E-3</v>
      </c>
      <c r="O1273">
        <v>-1.6944170000000001E-2</v>
      </c>
      <c r="P1273">
        <v>-0.98735479999999998</v>
      </c>
      <c r="Q1273">
        <v>0.13656509999999999</v>
      </c>
      <c r="R1273">
        <v>-8.0501399999999904E-2</v>
      </c>
      <c r="S1273">
        <v>-3.0752410000000001</v>
      </c>
      <c r="T1273">
        <v>-0.20228560000000001</v>
      </c>
      <c r="U1273">
        <v>0.1112061</v>
      </c>
      <c r="V1273">
        <v>-6.3750130000000002E-2</v>
      </c>
      <c r="W1273">
        <v>0.14570849999999999</v>
      </c>
      <c r="X1273">
        <v>0.98727149999999997</v>
      </c>
      <c r="Y1273">
        <v>5.2909419999999999E-2</v>
      </c>
      <c r="Z1273">
        <v>2.9393240000000001E-3</v>
      </c>
      <c r="AA1273">
        <v>0.99859500000000001</v>
      </c>
      <c r="AB1273">
        <v>35</v>
      </c>
      <c r="AC1273">
        <v>-0.68969999999998699</v>
      </c>
      <c r="AD1273">
        <v>-6.8128999999999801E-2</v>
      </c>
      <c r="AE1273">
        <v>4.3600000000026201E-2</v>
      </c>
      <c r="AF1273">
        <v>5.4748543677534803E-2</v>
      </c>
      <c r="AG1273">
        <v>-6.8128999999999801E-2</v>
      </c>
      <c r="AH1273">
        <v>0.68223172303339097</v>
      </c>
      <c r="AI1273">
        <v>95.684607869635499</v>
      </c>
      <c r="AJ1273">
        <v>85.411892238533099</v>
      </c>
      <c r="AK1273">
        <v>0.68780744950089101</v>
      </c>
      <c r="AL1273">
        <v>81.621691256837707</v>
      </c>
      <c r="AM1273">
        <v>93.694575882102399</v>
      </c>
      <c r="AN1273">
        <v>1.00000003037975</v>
      </c>
    </row>
    <row r="1274" spans="1:40" x14ac:dyDescent="0.25">
      <c r="A1274" t="str">
        <f>"20190304155346705"</f>
        <v>20190304155346705</v>
      </c>
      <c r="B1274" t="str">
        <f>"1551686026697456"</f>
        <v>1551686026697456</v>
      </c>
      <c r="C1274" t="s">
        <v>40</v>
      </c>
      <c r="D1274">
        <v>4.3096870000000003</v>
      </c>
      <c r="E1274">
        <v>0.5286575</v>
      </c>
      <c r="F1274" t="s">
        <v>63</v>
      </c>
      <c r="G1274">
        <v>-272.91449999999998</v>
      </c>
      <c r="H1274" s="1">
        <v>-6.097022E-8</v>
      </c>
      <c r="I1274">
        <v>286.33510000000001</v>
      </c>
      <c r="J1274">
        <v>-251.8604</v>
      </c>
      <c r="K1274">
        <v>1.109524</v>
      </c>
      <c r="L1274">
        <v>286.08580000000001</v>
      </c>
      <c r="M1274">
        <v>-0.99981339999999996</v>
      </c>
      <c r="N1274">
        <v>-9.2780629999999996E-3</v>
      </c>
      <c r="O1274">
        <v>-1.6943969999999999E-2</v>
      </c>
      <c r="P1274">
        <v>-0.98734169999999999</v>
      </c>
      <c r="Q1274">
        <v>0.13654189999999999</v>
      </c>
      <c r="R1274">
        <v>-8.0703079999999996E-2</v>
      </c>
      <c r="S1274">
        <v>-3.0632630000000001</v>
      </c>
      <c r="T1274">
        <v>-0.158994</v>
      </c>
      <c r="U1274">
        <v>3.4942630000000002E-2</v>
      </c>
      <c r="V1274">
        <v>-6.3952999999999996E-2</v>
      </c>
      <c r="W1274">
        <v>0.14571139999999999</v>
      </c>
      <c r="X1274">
        <v>0.98725790000000002</v>
      </c>
      <c r="Y1274">
        <v>2.8287940000000001E-2</v>
      </c>
      <c r="Z1274">
        <v>1.58664299999999E-3</v>
      </c>
      <c r="AA1274">
        <v>0.9995986</v>
      </c>
      <c r="AB1274">
        <v>35</v>
      </c>
      <c r="AC1274">
        <v>-21.054099999999899</v>
      </c>
      <c r="AD1274">
        <v>-1.1095240609702199</v>
      </c>
      <c r="AE1274">
        <v>0.24930000000000499</v>
      </c>
      <c r="AF1274">
        <v>0.60434148455645897</v>
      </c>
      <c r="AG1274">
        <v>-1.1095240609702199</v>
      </c>
      <c r="AH1274">
        <v>20.988572569581201</v>
      </c>
      <c r="AI1274">
        <v>93.024772874548304</v>
      </c>
      <c r="AJ1274">
        <v>88.3506905133885</v>
      </c>
      <c r="AK1274">
        <v>21.026565358622001</v>
      </c>
      <c r="AL1274">
        <v>81.621522878984706</v>
      </c>
      <c r="AM1274">
        <v>93.706351208001394</v>
      </c>
      <c r="AN1274">
        <v>0.99999997970568399</v>
      </c>
    </row>
    <row r="1275" spans="1:40" x14ac:dyDescent="0.25">
      <c r="A1275" t="str">
        <f>"20190304155346727"</f>
        <v>20190304155346727</v>
      </c>
      <c r="B1275" t="str">
        <f>"1551686026717951"</f>
        <v>1551686026717951</v>
      </c>
      <c r="C1275" t="s">
        <v>40</v>
      </c>
      <c r="D1275">
        <v>4.8086169999999999</v>
      </c>
      <c r="E1275">
        <v>0.52681269999999902</v>
      </c>
      <c r="F1275" t="s">
        <v>63</v>
      </c>
      <c r="G1275">
        <v>-275.65839999999997</v>
      </c>
      <c r="H1275" s="1">
        <v>1.4097119999999999E-6</v>
      </c>
      <c r="I1275">
        <v>286.09530000000001</v>
      </c>
      <c r="J1275">
        <v>-252.2159</v>
      </c>
      <c r="K1275">
        <v>1.1095280000000001</v>
      </c>
      <c r="L1275">
        <v>286.07979999999998</v>
      </c>
      <c r="M1275">
        <v>-0.99981310000000001</v>
      </c>
      <c r="N1275">
        <v>-9.3052910000000003E-3</v>
      </c>
      <c r="O1275">
        <v>-1.6943880000000001E-2</v>
      </c>
      <c r="P1275">
        <v>-0.98729080000000002</v>
      </c>
      <c r="Q1275">
        <v>0.13673060000000001</v>
      </c>
      <c r="R1275">
        <v>-8.100338E-2</v>
      </c>
      <c r="S1275">
        <v>-3.0582889999999998</v>
      </c>
      <c r="T1275">
        <v>-0.1425844</v>
      </c>
      <c r="U1275">
        <v>1.2207030000000001E-3</v>
      </c>
      <c r="V1275">
        <v>-6.4255519999999997E-2</v>
      </c>
      <c r="W1275">
        <v>0.14592639999999901</v>
      </c>
      <c r="X1275">
        <v>0.98720649999999999</v>
      </c>
      <c r="Y1275">
        <v>1.7309350000000001E-2</v>
      </c>
      <c r="Z1275">
        <v>1.1157680000000001E-3</v>
      </c>
      <c r="AA1275">
        <v>0.99984960000000001</v>
      </c>
      <c r="AB1275">
        <v>35</v>
      </c>
      <c r="AC1275">
        <v>-23.4424999999999</v>
      </c>
      <c r="AD1275">
        <v>-1.109526590288</v>
      </c>
      <c r="AE1275">
        <v>1.55000000000313E-2</v>
      </c>
      <c r="AF1275">
        <v>0.41179942378498602</v>
      </c>
      <c r="AG1275">
        <v>-1.109526590288</v>
      </c>
      <c r="AH1275">
        <v>23.386483651986001</v>
      </c>
      <c r="AI1275">
        <v>92.715830601430596</v>
      </c>
      <c r="AJ1275">
        <v>88.991215128365894</v>
      </c>
      <c r="AK1275">
        <v>23.4164097509545</v>
      </c>
      <c r="AL1275">
        <v>81.609071195041693</v>
      </c>
      <c r="AM1275">
        <v>93.724027667094305</v>
      </c>
      <c r="AN1275">
        <v>0.99999997985484002</v>
      </c>
    </row>
    <row r="1276" spans="1:40" x14ac:dyDescent="0.25">
      <c r="A1276" t="str">
        <f>"20190304155346749"</f>
        <v>20190304155346749</v>
      </c>
      <c r="B1276" t="str">
        <f>"1551686026737471"</f>
        <v>1551686026737471</v>
      </c>
      <c r="C1276" t="s">
        <v>40</v>
      </c>
      <c r="D1276">
        <v>4.8661469999999998</v>
      </c>
      <c r="E1276">
        <v>0.52567359999999996</v>
      </c>
      <c r="F1276" t="s">
        <v>63</v>
      </c>
      <c r="G1276">
        <v>-278.36009999999999</v>
      </c>
      <c r="H1276" s="1">
        <v>2.8536090000000001E-6</v>
      </c>
      <c r="I1276">
        <v>285.95370000000003</v>
      </c>
      <c r="J1276">
        <v>-252.54339999999999</v>
      </c>
      <c r="K1276">
        <v>1.109534</v>
      </c>
      <c r="L1276">
        <v>286.07429999999999</v>
      </c>
      <c r="M1276">
        <v>-0.99981299999999995</v>
      </c>
      <c r="N1276">
        <v>-9.327887E-3</v>
      </c>
      <c r="O1276">
        <v>-1.6944000000000001E-2</v>
      </c>
      <c r="P1276">
        <v>-0.98724659999999997</v>
      </c>
      <c r="Q1276">
        <v>0.1369032</v>
      </c>
      <c r="R1276">
        <v>-8.1252519999999995E-2</v>
      </c>
      <c r="S1276">
        <v>-3.0553590000000002</v>
      </c>
      <c r="T1276">
        <v>-0.12966530000000001</v>
      </c>
      <c r="U1276">
        <v>-1.473999E-2</v>
      </c>
      <c r="V1276">
        <v>-6.4505489999999999E-2</v>
      </c>
      <c r="W1276">
        <v>0.1461208</v>
      </c>
      <c r="X1276">
        <v>0.98716150000000003</v>
      </c>
      <c r="Y1276">
        <v>1.209841E-2</v>
      </c>
      <c r="Z1276">
        <v>8.7377530000000002E-4</v>
      </c>
      <c r="AA1276">
        <v>0.99992639999999999</v>
      </c>
      <c r="AB1276">
        <v>35</v>
      </c>
      <c r="AC1276">
        <v>-25.816700000000001</v>
      </c>
      <c r="AD1276">
        <v>-1.109531146391</v>
      </c>
      <c r="AE1276">
        <v>-0.120599999999967</v>
      </c>
      <c r="AF1276">
        <v>0.31629029035483303</v>
      </c>
      <c r="AG1276">
        <v>-1.109531146391</v>
      </c>
      <c r="AH1276">
        <v>25.767444373295898</v>
      </c>
      <c r="AI1276">
        <v>92.465414315767603</v>
      </c>
      <c r="AJ1276">
        <v>89.296740941742101</v>
      </c>
      <c r="AK1276">
        <v>25.7932605237005</v>
      </c>
      <c r="AL1276">
        <v>81.597812692976703</v>
      </c>
      <c r="AM1276">
        <v>93.738643994785207</v>
      </c>
      <c r="AN1276">
        <v>1.0000000367575099</v>
      </c>
    </row>
    <row r="1277" spans="1:40" x14ac:dyDescent="0.25">
      <c r="A1277" t="str">
        <f>"20190304155346771"</f>
        <v>20190304155346771</v>
      </c>
      <c r="B1277" t="str">
        <f>"1551686026767727"</f>
        <v>1551686026767727</v>
      </c>
      <c r="C1277" t="s">
        <v>40</v>
      </c>
      <c r="D1277">
        <v>4.8522379999999998</v>
      </c>
      <c r="E1277">
        <v>0.52467580000000003</v>
      </c>
      <c r="F1277" t="s">
        <v>63</v>
      </c>
      <c r="G1277">
        <v>-279.23149999999998</v>
      </c>
      <c r="H1277" s="1">
        <v>3.321306E-6</v>
      </c>
      <c r="I1277">
        <v>285.86180000000002</v>
      </c>
      <c r="J1277">
        <v>-252.90039999999999</v>
      </c>
      <c r="K1277">
        <v>1.109545</v>
      </c>
      <c r="L1277">
        <v>286.06819999999999</v>
      </c>
      <c r="M1277">
        <v>-0.99981279999999995</v>
      </c>
      <c r="N1277">
        <v>-9.3500189999999993E-3</v>
      </c>
      <c r="O1277">
        <v>-1.694412E-2</v>
      </c>
      <c r="P1277">
        <v>-0.98720379999999996</v>
      </c>
      <c r="Q1277">
        <v>0.13719429999999999</v>
      </c>
      <c r="R1277">
        <v>-8.1282179999999996E-2</v>
      </c>
      <c r="S1277">
        <v>-3.0543520000000002</v>
      </c>
      <c r="T1277">
        <v>-0.1269817</v>
      </c>
      <c r="U1277">
        <v>-2.4322509999999999E-2</v>
      </c>
      <c r="V1277">
        <v>-6.4536380000000004E-2</v>
      </c>
      <c r="W1277">
        <v>0.1464326</v>
      </c>
      <c r="X1277">
        <v>0.98711320000000002</v>
      </c>
      <c r="Y1277">
        <v>8.9642039999999999E-3</v>
      </c>
      <c r="Z1277">
        <v>7.73886E-4</v>
      </c>
      <c r="AA1277">
        <v>0.9999595</v>
      </c>
      <c r="AB1277">
        <v>35</v>
      </c>
      <c r="AC1277">
        <v>-26.3310999999999</v>
      </c>
      <c r="AD1277">
        <v>-1.109541678694</v>
      </c>
      <c r="AE1277">
        <v>-0.20639999999997299</v>
      </c>
      <c r="AF1277">
        <v>0.23938139590053201</v>
      </c>
      <c r="AG1277">
        <v>-1.109541678694</v>
      </c>
      <c r="AH1277">
        <v>26.2841492376124</v>
      </c>
      <c r="AI1277">
        <v>92.417110875335396</v>
      </c>
      <c r="AJ1277">
        <v>89.4781963700012</v>
      </c>
      <c r="AK1277">
        <v>26.308646626813399</v>
      </c>
      <c r="AL1277">
        <v>81.579752971249405</v>
      </c>
      <c r="AM1277">
        <v>93.740611754543295</v>
      </c>
      <c r="AN1277">
        <v>0.99999996015025105</v>
      </c>
    </row>
    <row r="1278" spans="1:40" x14ac:dyDescent="0.25">
      <c r="A1278" t="str">
        <f>"20190304155346794"</f>
        <v>20190304155346794</v>
      </c>
      <c r="B1278" t="str">
        <f>"1551686026787248"</f>
        <v>1551686026787248</v>
      </c>
      <c r="C1278" t="s">
        <v>40</v>
      </c>
      <c r="D1278">
        <v>4.9435099999999998</v>
      </c>
      <c r="E1278">
        <v>0.52370410000000001</v>
      </c>
      <c r="F1278" t="s">
        <v>63</v>
      </c>
      <c r="G1278">
        <v>-279.92509999999999</v>
      </c>
      <c r="H1278" s="1">
        <v>3.6938959999999998E-6</v>
      </c>
      <c r="I1278">
        <v>285.78199999999998</v>
      </c>
      <c r="J1278">
        <v>-253.24860000000001</v>
      </c>
      <c r="K1278">
        <v>1.10955</v>
      </c>
      <c r="L1278">
        <v>286.06229999999999</v>
      </c>
      <c r="M1278">
        <v>-0.99981249999999999</v>
      </c>
      <c r="N1278">
        <v>-9.3695710000000001E-3</v>
      </c>
      <c r="O1278">
        <v>-1.6944210000000001E-2</v>
      </c>
      <c r="P1278">
        <v>-0.98719599999999996</v>
      </c>
      <c r="Q1278">
        <v>0.13769229999999999</v>
      </c>
      <c r="R1278">
        <v>-8.0528329999999995E-2</v>
      </c>
      <c r="S1278">
        <v>-3.0536500000000002</v>
      </c>
      <c r="T1278">
        <v>-0.12537229999999999</v>
      </c>
      <c r="U1278">
        <v>-3.2348630000000003E-2</v>
      </c>
      <c r="V1278">
        <v>-6.3782539999999999E-2</v>
      </c>
      <c r="W1278">
        <v>0.14695</v>
      </c>
      <c r="X1278">
        <v>0.98708530000000005</v>
      </c>
      <c r="Y1278">
        <v>6.3376350000000003E-3</v>
      </c>
      <c r="Z1278">
        <v>6.9635080000000004E-4</v>
      </c>
      <c r="AA1278">
        <v>0.99997970000000003</v>
      </c>
      <c r="AB1278">
        <v>35</v>
      </c>
      <c r="AC1278">
        <v>-26.676499999999901</v>
      </c>
      <c r="AD1278">
        <v>-1.1095463061040001</v>
      </c>
      <c r="AE1278">
        <v>-0.28030000000001098</v>
      </c>
      <c r="AF1278">
        <v>0.17147570892542199</v>
      </c>
      <c r="AG1278">
        <v>-1.1095463061040001</v>
      </c>
      <c r="AH1278">
        <v>26.6313537805589</v>
      </c>
      <c r="AI1278">
        <v>92.385693962835603</v>
      </c>
      <c r="AJ1278">
        <v>89.631085271936698</v>
      </c>
      <c r="AK1278">
        <v>26.655008930957599</v>
      </c>
      <c r="AL1278">
        <v>81.549783870217496</v>
      </c>
      <c r="AM1278">
        <v>93.697144315681896</v>
      </c>
      <c r="AN1278">
        <v>0.99999995219246895</v>
      </c>
    </row>
    <row r="1279" spans="1:40" x14ac:dyDescent="0.25">
      <c r="A1279" t="str">
        <f>"20190304155346818"</f>
        <v>20190304155346818</v>
      </c>
      <c r="B1279" t="str">
        <f>"1551686026807744"</f>
        <v>1551686026807744</v>
      </c>
      <c r="C1279" t="s">
        <v>40</v>
      </c>
      <c r="D1279">
        <v>4.7869489999999999</v>
      </c>
      <c r="E1279">
        <v>0.52313329999999902</v>
      </c>
      <c r="F1279" t="s">
        <v>65</v>
      </c>
      <c r="G1279">
        <v>-280.83730000000003</v>
      </c>
      <c r="H1279" s="1">
        <v>7.8038430000000007E-6</v>
      </c>
      <c r="I1279">
        <v>285.71539999999999</v>
      </c>
      <c r="J1279">
        <v>-253.61879999999999</v>
      </c>
      <c r="K1279">
        <v>1.109548</v>
      </c>
      <c r="L1279">
        <v>286.05599999999998</v>
      </c>
      <c r="M1279">
        <v>-0.99981229999999999</v>
      </c>
      <c r="N1279">
        <v>-9.3884199999999998E-3</v>
      </c>
      <c r="O1279">
        <v>-1.6944540000000001E-2</v>
      </c>
      <c r="P1279">
        <v>-0.98720629999999998</v>
      </c>
      <c r="Q1279">
        <v>0.13788729999999999</v>
      </c>
      <c r="R1279">
        <v>-8.0065670000000005E-2</v>
      </c>
      <c r="S1279">
        <v>-3.0529169999999999</v>
      </c>
      <c r="T1279">
        <v>-0.1227801</v>
      </c>
      <c r="U1279">
        <v>-3.8391109999999999E-2</v>
      </c>
      <c r="V1279">
        <v>-6.3320169999999995E-2</v>
      </c>
      <c r="W1279">
        <v>0.14716370000000001</v>
      </c>
      <c r="X1279">
        <v>0.9870833</v>
      </c>
      <c r="Y1279">
        <v>4.3591389999999997E-3</v>
      </c>
      <c r="Z1279">
        <v>6.3017040000000002E-4</v>
      </c>
      <c r="AA1279">
        <v>0.9999903</v>
      </c>
      <c r="AB1279">
        <v>35</v>
      </c>
      <c r="AC1279">
        <v>-27.218499999999999</v>
      </c>
      <c r="AD1279">
        <v>-1.1095401961569999</v>
      </c>
      <c r="AE1279">
        <v>-0.34059999999999402</v>
      </c>
      <c r="AF1279">
        <v>0.120474054578992</v>
      </c>
      <c r="AG1279">
        <v>-1.1095401961569999</v>
      </c>
      <c r="AH1279">
        <v>27.175212976505101</v>
      </c>
      <c r="AI1279">
        <v>92.338015048132107</v>
      </c>
      <c r="AJ1279">
        <v>89.7459961158672</v>
      </c>
      <c r="AK1279">
        <v>27.1981211439894</v>
      </c>
      <c r="AL1279">
        <v>81.537405757528902</v>
      </c>
      <c r="AM1279">
        <v>93.670424062692405</v>
      </c>
      <c r="AN1279">
        <v>1.0000000198326999</v>
      </c>
    </row>
    <row r="1280" spans="1:40" x14ac:dyDescent="0.25">
      <c r="A1280" t="str">
        <f>"20190304155346840"</f>
        <v>20190304155346840</v>
      </c>
      <c r="B1280" t="str">
        <f>"1551686026837999"</f>
        <v>1551686026837999</v>
      </c>
      <c r="C1280" t="s">
        <v>40</v>
      </c>
      <c r="D1280">
        <v>4.790413</v>
      </c>
      <c r="E1280">
        <v>0.52236930000000004</v>
      </c>
      <c r="F1280" t="s">
        <v>65</v>
      </c>
      <c r="G1280">
        <v>-281.39440000000002</v>
      </c>
      <c r="H1280" s="1">
        <v>7.5647739999999997E-6</v>
      </c>
      <c r="I1280">
        <v>285.67669999999998</v>
      </c>
      <c r="J1280">
        <v>-253.9753</v>
      </c>
      <c r="K1280">
        <v>1.10955</v>
      </c>
      <c r="L1280">
        <v>286.05</v>
      </c>
      <c r="M1280">
        <v>-0.99981220000000004</v>
      </c>
      <c r="N1280">
        <v>-9.4049059999999993E-3</v>
      </c>
      <c r="O1280">
        <v>-1.694522E-2</v>
      </c>
      <c r="P1280">
        <v>-0.98725370000000001</v>
      </c>
      <c r="Q1280">
        <v>0.13780120000000001</v>
      </c>
      <c r="R1280">
        <v>-7.963046E-2</v>
      </c>
      <c r="S1280">
        <v>-3.052521</v>
      </c>
      <c r="T1280">
        <v>-0.1219375</v>
      </c>
      <c r="U1280">
        <v>-4.1687009999999997E-2</v>
      </c>
      <c r="V1280">
        <v>-6.2883099999999997E-2</v>
      </c>
      <c r="W1280">
        <v>0.147093899999999</v>
      </c>
      <c r="X1280">
        <v>0.98712160000000004</v>
      </c>
      <c r="Y1280">
        <v>3.2799090000000001E-3</v>
      </c>
      <c r="Z1280">
        <v>5.9814459999999999E-4</v>
      </c>
      <c r="AA1280">
        <v>0.99999450000000001</v>
      </c>
      <c r="AB1280">
        <v>35</v>
      </c>
      <c r="AC1280">
        <v>-27.4191</v>
      </c>
      <c r="AD1280">
        <v>-1.1095424352259999</v>
      </c>
      <c r="AE1280">
        <v>-0.373300000000028</v>
      </c>
      <c r="AF1280">
        <v>9.1247438343473902E-2</v>
      </c>
      <c r="AG1280">
        <v>-1.1095424352259999</v>
      </c>
      <c r="AH1280">
        <v>27.376667733397198</v>
      </c>
      <c r="AI1280">
        <v>92.320843926245303</v>
      </c>
      <c r="AJ1280">
        <v>89.809031771154807</v>
      </c>
      <c r="AK1280">
        <v>27.399294638647302</v>
      </c>
      <c r="AL1280">
        <v>81.541448634354197</v>
      </c>
      <c r="AM1280">
        <v>93.6450163085631</v>
      </c>
      <c r="AN1280">
        <v>0.99999997643468896</v>
      </c>
    </row>
    <row r="1281" spans="1:40" x14ac:dyDescent="0.25">
      <c r="A1281" t="str">
        <f>"20190304155346863"</f>
        <v>20190304155346863</v>
      </c>
      <c r="B1281" t="str">
        <f>"1551686026857520"</f>
        <v>1551686026857520</v>
      </c>
      <c r="C1281" t="s">
        <v>40</v>
      </c>
      <c r="D1281">
        <v>4.7973679999999996</v>
      </c>
      <c r="E1281">
        <v>0.52206600000000003</v>
      </c>
      <c r="F1281" t="s">
        <v>65</v>
      </c>
      <c r="G1281">
        <v>-281.74270000000001</v>
      </c>
      <c r="H1281" s="1">
        <v>7.4203239999999997E-6</v>
      </c>
      <c r="I1281">
        <v>285.62819999999999</v>
      </c>
      <c r="J1281">
        <v>-254.31800000000001</v>
      </c>
      <c r="K1281">
        <v>1.109553</v>
      </c>
      <c r="L1281">
        <v>286.04419999999999</v>
      </c>
      <c r="M1281">
        <v>-0.99981209999999998</v>
      </c>
      <c r="N1281">
        <v>-9.4193290000000006E-3</v>
      </c>
      <c r="O1281">
        <v>-1.694565E-2</v>
      </c>
      <c r="P1281">
        <v>-0.9873942</v>
      </c>
      <c r="Q1281">
        <v>0.13709170000000001</v>
      </c>
      <c r="R1281">
        <v>-7.9113829999999996E-2</v>
      </c>
      <c r="S1281">
        <v>-3.0520320000000001</v>
      </c>
      <c r="T1281">
        <v>-0.121954199999999</v>
      </c>
      <c r="U1281">
        <v>-4.6356199999999903E-2</v>
      </c>
      <c r="V1281">
        <v>-6.2363809999999999E-2</v>
      </c>
      <c r="W1281">
        <v>0.14640010000000001</v>
      </c>
      <c r="X1281">
        <v>0.98725770000000002</v>
      </c>
      <c r="Y1281">
        <v>1.7501229999999999E-3</v>
      </c>
      <c r="Z1281">
        <v>5.6038919999999996E-4</v>
      </c>
      <c r="AA1281">
        <v>0.99999830000000001</v>
      </c>
      <c r="AB1281">
        <v>35</v>
      </c>
      <c r="AC1281">
        <v>-27.424700000000001</v>
      </c>
      <c r="AD1281">
        <v>-1.1095455796760001</v>
      </c>
      <c r="AE1281">
        <v>-0.41599999999999598</v>
      </c>
      <c r="AF1281">
        <v>4.8729951668225698E-2</v>
      </c>
      <c r="AG1281">
        <v>-1.1095455796760001</v>
      </c>
      <c r="AH1281">
        <v>27.3830001907533</v>
      </c>
      <c r="AI1281">
        <v>92.320323578758902</v>
      </c>
      <c r="AJ1281">
        <v>89.898038286539006</v>
      </c>
      <c r="AK1281">
        <v>27.405513413332798</v>
      </c>
      <c r="AL1281">
        <v>81.581635709796302</v>
      </c>
      <c r="AM1281">
        <v>93.614498805564196</v>
      </c>
      <c r="AN1281">
        <v>1.0000000001435001</v>
      </c>
    </row>
    <row r="1282" spans="1:40" x14ac:dyDescent="0.25">
      <c r="A1282" t="str">
        <f>"20190304155346883"</f>
        <v>20190304155346883</v>
      </c>
      <c r="B1282" t="str">
        <f>"1551686026878016"</f>
        <v>1551686026878016</v>
      </c>
      <c r="C1282" t="s">
        <v>40</v>
      </c>
      <c r="D1282">
        <v>4.8010080000000004</v>
      </c>
      <c r="E1282">
        <v>0.52149670000000004</v>
      </c>
      <c r="F1282" t="s">
        <v>65</v>
      </c>
      <c r="G1282">
        <v>-281.8152</v>
      </c>
      <c r="H1282" s="1">
        <v>7.390108E-6</v>
      </c>
      <c r="I1282">
        <v>285.6191</v>
      </c>
      <c r="J1282">
        <v>-254.6481</v>
      </c>
      <c r="K1282">
        <v>1.1095549999999901</v>
      </c>
      <c r="L1282">
        <v>286.03859999999997</v>
      </c>
      <c r="M1282">
        <v>-0.99981200000000003</v>
      </c>
      <c r="N1282">
        <v>-9.4321500000000003E-3</v>
      </c>
      <c r="O1282">
        <v>-1.6945829999999999E-2</v>
      </c>
      <c r="P1282">
        <v>-0.98746420000000001</v>
      </c>
      <c r="Q1282">
        <v>0.137076</v>
      </c>
      <c r="R1282">
        <v>-7.8261380000000005E-2</v>
      </c>
      <c r="S1282">
        <v>-3.0516510000000001</v>
      </c>
      <c r="T1282">
        <v>-0.123138</v>
      </c>
      <c r="U1282">
        <v>-4.7180180000000002E-2</v>
      </c>
      <c r="V1282">
        <v>-6.151032E-2</v>
      </c>
      <c r="W1282">
        <v>0.14639769999999999</v>
      </c>
      <c r="X1282">
        <v>0.98731159999999996</v>
      </c>
      <c r="Y1282">
        <v>1.4785060000000001E-3</v>
      </c>
      <c r="Z1282">
        <v>5.6042169999999999E-4</v>
      </c>
      <c r="AA1282">
        <v>0.99999870000000002</v>
      </c>
      <c r="AB1282">
        <v>35</v>
      </c>
      <c r="AC1282">
        <v>-27.167100000000001</v>
      </c>
      <c r="AD1282">
        <v>-1.1095476098920001</v>
      </c>
      <c r="AE1282">
        <v>-0.41949999999997001</v>
      </c>
      <c r="AF1282">
        <v>4.08815668195485E-2</v>
      </c>
      <c r="AG1282">
        <v>-1.1095476098920001</v>
      </c>
      <c r="AH1282">
        <v>27.125072994571699</v>
      </c>
      <c r="AI1282">
        <v>92.342367966223193</v>
      </c>
      <c r="AJ1282">
        <v>89.913646703713198</v>
      </c>
      <c r="AK1282">
        <v>27.1477872424617</v>
      </c>
      <c r="AL1282">
        <v>81.581774722639693</v>
      </c>
      <c r="AM1282">
        <v>93.564966334619101</v>
      </c>
      <c r="AN1282">
        <v>1.00000000076317</v>
      </c>
    </row>
    <row r="1283" spans="1:40" x14ac:dyDescent="0.25">
      <c r="A1283" t="str">
        <f>"20190304155346906"</f>
        <v>20190304155346906</v>
      </c>
      <c r="B1283" t="str">
        <f>"1551686026897536"</f>
        <v>1551686026897536</v>
      </c>
      <c r="C1283" t="s">
        <v>40</v>
      </c>
      <c r="D1283">
        <v>4.9366149999999998</v>
      </c>
      <c r="E1283">
        <v>0.52112619999999998</v>
      </c>
      <c r="F1283" t="s">
        <v>65</v>
      </c>
      <c r="G1283">
        <v>-281.87520000000001</v>
      </c>
      <c r="H1283" s="1">
        <v>7.367131E-6</v>
      </c>
      <c r="I1283">
        <v>285.60129999999998</v>
      </c>
      <c r="J1283">
        <v>-254.9933</v>
      </c>
      <c r="K1283">
        <v>1.1095539999999999</v>
      </c>
      <c r="L1283">
        <v>286.03280000000001</v>
      </c>
      <c r="M1283">
        <v>-0.99981189999999998</v>
      </c>
      <c r="N1283">
        <v>-9.4445180000000007E-3</v>
      </c>
      <c r="O1283">
        <v>-1.6946010000000001E-2</v>
      </c>
      <c r="P1283">
        <v>-0.98742459999999999</v>
      </c>
      <c r="Q1283">
        <v>0.13768250000000001</v>
      </c>
      <c r="R1283">
        <v>-7.7692339999999999E-2</v>
      </c>
      <c r="S1283">
        <v>-3.051453</v>
      </c>
      <c r="T1283">
        <v>-0.1243515</v>
      </c>
      <c r="U1283">
        <v>-4.9011230000000003E-2</v>
      </c>
      <c r="V1283">
        <v>-6.0942070000000001E-2</v>
      </c>
      <c r="W1283">
        <v>0.1470156</v>
      </c>
      <c r="X1283">
        <v>0.98725499999999999</v>
      </c>
      <c r="Y1283">
        <v>8.781552E-4</v>
      </c>
      <c r="Z1283">
        <v>5.522309E-4</v>
      </c>
      <c r="AA1283">
        <v>0.99999950000000004</v>
      </c>
      <c r="AB1283">
        <v>35</v>
      </c>
      <c r="AC1283">
        <v>-26.881900000000002</v>
      </c>
      <c r="AD1283">
        <v>-1.109546632869</v>
      </c>
      <c r="AE1283">
        <v>-0.43150000000002797</v>
      </c>
      <c r="AF1283">
        <v>2.4082168691436898E-2</v>
      </c>
      <c r="AG1283">
        <v>-1.109546632869</v>
      </c>
      <c r="AH1283">
        <v>26.839639500160601</v>
      </c>
      <c r="AI1283">
        <v>92.367249980915403</v>
      </c>
      <c r="AJ1283">
        <v>89.948590730614995</v>
      </c>
      <c r="AK1283">
        <v>26.862574749638998</v>
      </c>
      <c r="AL1283">
        <v>81.545984223088098</v>
      </c>
      <c r="AM1283">
        <v>93.532317902664502</v>
      </c>
      <c r="AN1283">
        <v>0.99999997878212199</v>
      </c>
    </row>
    <row r="1284" spans="1:40" x14ac:dyDescent="0.25">
      <c r="A1284" t="str">
        <f>"20190304155346929"</f>
        <v>20190304155346929</v>
      </c>
      <c r="B1284" t="str">
        <f>"1551686026917566"</f>
        <v>1551686026917566</v>
      </c>
      <c r="C1284" t="s">
        <v>40</v>
      </c>
      <c r="D1284">
        <v>4.8021690000000001</v>
      </c>
      <c r="E1284">
        <v>0.51926890000000003</v>
      </c>
      <c r="F1284" t="s">
        <v>65</v>
      </c>
      <c r="G1284">
        <v>-283.17399999999998</v>
      </c>
      <c r="H1284" s="1">
        <v>6.7992970000000004E-6</v>
      </c>
      <c r="I1284">
        <v>285.56200000000001</v>
      </c>
      <c r="J1284">
        <v>-255.35570000000001</v>
      </c>
      <c r="K1284">
        <v>1.109556</v>
      </c>
      <c r="L1284">
        <v>286.02659999999997</v>
      </c>
      <c r="M1284">
        <v>-0.99981169999999997</v>
      </c>
      <c r="N1284">
        <v>-9.4566719999999993E-3</v>
      </c>
      <c r="O1284">
        <v>-1.694642E-2</v>
      </c>
      <c r="P1284">
        <v>-0.98735609999999996</v>
      </c>
      <c r="Q1284">
        <v>0.13823629999999901</v>
      </c>
      <c r="R1284">
        <v>-7.7582620000000005E-2</v>
      </c>
      <c r="S1284">
        <v>-3.0509029999999999</v>
      </c>
      <c r="T1284">
        <v>-0.12012200000000001</v>
      </c>
      <c r="U1284">
        <v>-5.096436E-2</v>
      </c>
      <c r="V1284">
        <v>-6.0832869999999997E-2</v>
      </c>
      <c r="W1284">
        <v>0.14758060000000001</v>
      </c>
      <c r="X1284">
        <v>0.98717739999999998</v>
      </c>
      <c r="Y1284">
        <v>2.370645E-4</v>
      </c>
      <c r="Z1284">
        <v>5.124452E-4</v>
      </c>
      <c r="AA1284">
        <v>0.99999979999999999</v>
      </c>
      <c r="AB1284">
        <v>35</v>
      </c>
      <c r="AC1284">
        <v>-27.818300000000001</v>
      </c>
      <c r="AD1284">
        <v>-1.1095492007029999</v>
      </c>
      <c r="AE1284">
        <v>-0.46459999999996099</v>
      </c>
      <c r="AF1284">
        <v>6.8974186530377703E-3</v>
      </c>
      <c r="AG1284">
        <v>-1.1095492007029999</v>
      </c>
      <c r="AH1284">
        <v>27.777999983240498</v>
      </c>
      <c r="AI1284">
        <v>92.287375161756202</v>
      </c>
      <c r="AJ1284">
        <v>89.985773166877706</v>
      </c>
      <c r="AK1284">
        <v>27.800151619587901</v>
      </c>
      <c r="AL1284">
        <v>81.513254815876493</v>
      </c>
      <c r="AM1284">
        <v>93.526280919132702</v>
      </c>
      <c r="AN1284">
        <v>0.99999994531977698</v>
      </c>
    </row>
    <row r="1285" spans="1:40" x14ac:dyDescent="0.25">
      <c r="A1285" t="str">
        <f>"20190304155346950"</f>
        <v>20190304155346950</v>
      </c>
      <c r="B1285" t="str">
        <f>"1551686026947819"</f>
        <v>1551686026947819</v>
      </c>
      <c r="C1285" t="s">
        <v>40</v>
      </c>
      <c r="D1285">
        <v>4.6920799999999998</v>
      </c>
      <c r="E1285">
        <v>0.51469339999999997</v>
      </c>
      <c r="F1285" t="s">
        <v>65</v>
      </c>
      <c r="G1285">
        <v>-286.34300000000002</v>
      </c>
      <c r="H1285" s="1">
        <v>5.4363199999999996E-6</v>
      </c>
      <c r="I1285">
        <v>285.35719999999998</v>
      </c>
      <c r="J1285">
        <v>-255.69550000000001</v>
      </c>
      <c r="K1285">
        <v>1.1095649999999999</v>
      </c>
      <c r="L1285">
        <v>286.02089999999998</v>
      </c>
      <c r="M1285">
        <v>-0.99981160000000002</v>
      </c>
      <c r="N1285">
        <v>-9.4691010000000006E-3</v>
      </c>
      <c r="O1285">
        <v>-1.6946840000000001E-2</v>
      </c>
      <c r="P1285">
        <v>-0.98734699999999997</v>
      </c>
      <c r="Q1285">
        <v>0.1384706</v>
      </c>
      <c r="R1285">
        <v>-7.7277299999999993E-2</v>
      </c>
      <c r="S1285">
        <v>-3.0485530000000001</v>
      </c>
      <c r="T1285">
        <v>-0.10915859999999999</v>
      </c>
      <c r="U1285">
        <v>-6.5856929999999994E-2</v>
      </c>
      <c r="V1285">
        <v>-6.0527930000000001E-2</v>
      </c>
      <c r="W1285">
        <v>0.14782679999999901</v>
      </c>
      <c r="X1285">
        <v>0.98715940000000002</v>
      </c>
      <c r="Y1285">
        <v>-4.6529989999999997E-3</v>
      </c>
      <c r="Z1285">
        <v>3.4075460000000001E-4</v>
      </c>
      <c r="AA1285">
        <v>0.99998909999999996</v>
      </c>
      <c r="AB1285">
        <v>35</v>
      </c>
      <c r="AC1285">
        <v>-30.647500000000001</v>
      </c>
      <c r="AD1285">
        <v>-1.10955956367999</v>
      </c>
      <c r="AE1285">
        <v>-0.66370000000000495</v>
      </c>
      <c r="AF1285">
        <v>-0.14401446356022601</v>
      </c>
      <c r="AG1285">
        <v>-1.10955956367999</v>
      </c>
      <c r="AH1285">
        <v>30.614238504324099</v>
      </c>
      <c r="AI1285">
        <v>92.075653901484102</v>
      </c>
      <c r="AJ1285">
        <v>90.269526876677304</v>
      </c>
      <c r="AK1285">
        <v>30.634677438985801</v>
      </c>
      <c r="AL1285">
        <v>81.498992942024202</v>
      </c>
      <c r="AM1285">
        <v>93.508712638924393</v>
      </c>
      <c r="AN1285">
        <v>1.00000003705834</v>
      </c>
    </row>
    <row r="1286" spans="1:40" x14ac:dyDescent="0.25">
      <c r="A1286" t="str">
        <f>"20190304155346973"</f>
        <v>20190304155346973</v>
      </c>
      <c r="B1286" t="str">
        <f>"1551686026967339"</f>
        <v>1551686026967339</v>
      </c>
      <c r="C1286" t="s">
        <v>40</v>
      </c>
      <c r="D1286">
        <v>4.6695310000000001</v>
      </c>
      <c r="E1286">
        <v>0.511957</v>
      </c>
      <c r="F1286" t="s">
        <v>65</v>
      </c>
      <c r="G1286">
        <v>-287.12700000000001</v>
      </c>
      <c r="H1286" s="1">
        <v>5.1681129999999901E-6</v>
      </c>
      <c r="I1286">
        <v>284.97269999999997</v>
      </c>
      <c r="J1286">
        <v>-256.04759999999999</v>
      </c>
      <c r="K1286">
        <v>1.1095729999999999</v>
      </c>
      <c r="L1286">
        <v>286.01490000000001</v>
      </c>
      <c r="M1286">
        <v>-0.99981149999999996</v>
      </c>
      <c r="N1286">
        <v>-9.4879330000000005E-3</v>
      </c>
      <c r="O1286">
        <v>-1.6947400000000001E-2</v>
      </c>
      <c r="P1286">
        <v>-0.98735989999999996</v>
      </c>
      <c r="Q1286">
        <v>0.13842769999999999</v>
      </c>
      <c r="R1286">
        <v>-7.7190990000000001E-2</v>
      </c>
      <c r="S1286">
        <v>-3.045563</v>
      </c>
      <c r="T1286">
        <v>-0.10751139999999999</v>
      </c>
      <c r="U1286">
        <v>-0.1015625</v>
      </c>
      <c r="V1286">
        <v>-6.0440599999999997E-2</v>
      </c>
      <c r="W1286">
        <v>0.14780279999999901</v>
      </c>
      <c r="X1286">
        <v>0.9871683</v>
      </c>
      <c r="Y1286">
        <v>-1.6378340000000002E-2</v>
      </c>
      <c r="Z1286" s="1">
        <v>7.0440979999999997E-5</v>
      </c>
      <c r="AA1286">
        <v>0.99986589999999997</v>
      </c>
      <c r="AB1286">
        <v>35</v>
      </c>
      <c r="AC1286">
        <v>-31.0794</v>
      </c>
      <c r="AD1286">
        <v>-1.1095678318869999</v>
      </c>
      <c r="AE1286">
        <v>-1.04220000000003</v>
      </c>
      <c r="AF1286">
        <v>-0.51465641991716404</v>
      </c>
      <c r="AG1286">
        <v>-1.1095678318869999</v>
      </c>
      <c r="AH1286">
        <v>31.053064690578601</v>
      </c>
      <c r="AI1286">
        <v>92.046104033416</v>
      </c>
      <c r="AJ1286">
        <v>90.949501816268906</v>
      </c>
      <c r="AK1286">
        <v>31.077143348148599</v>
      </c>
      <c r="AL1286">
        <v>81.500382938043998</v>
      </c>
      <c r="AM1286">
        <v>93.503631361308607</v>
      </c>
      <c r="AN1286">
        <v>0.999999993170545</v>
      </c>
    </row>
    <row r="1287" spans="1:40" x14ac:dyDescent="0.25">
      <c r="A1287" t="str">
        <f>"20190304155346995"</f>
        <v>20190304155346995</v>
      </c>
      <c r="B1287" t="str">
        <f>"1551686026987835"</f>
        <v>1551686026987835</v>
      </c>
      <c r="C1287" t="s">
        <v>40</v>
      </c>
      <c r="D1287">
        <v>4.6248709999999997</v>
      </c>
      <c r="E1287">
        <v>0.5095655</v>
      </c>
      <c r="F1287" t="s">
        <v>65</v>
      </c>
      <c r="G1287">
        <v>-287.42860000000002</v>
      </c>
      <c r="H1287" s="1">
        <v>5.0811749999999997E-6</v>
      </c>
      <c r="I1287">
        <v>284.74610000000001</v>
      </c>
      <c r="J1287">
        <v>-256.40230000000003</v>
      </c>
      <c r="K1287">
        <v>1.1095809999999999</v>
      </c>
      <c r="L1287">
        <v>286.00889999999998</v>
      </c>
      <c r="M1287">
        <v>-0.99981109999999895</v>
      </c>
      <c r="N1287">
        <v>-9.5186609999999994E-3</v>
      </c>
      <c r="O1287">
        <v>-1.6947790000000001E-2</v>
      </c>
      <c r="P1287">
        <v>-0.98726700000000001</v>
      </c>
      <c r="Q1287">
        <v>0.13906360000000001</v>
      </c>
      <c r="R1287">
        <v>-7.7238310000000004E-2</v>
      </c>
      <c r="S1287">
        <v>-3.0438839999999998</v>
      </c>
      <c r="T1287">
        <v>-0.1076255</v>
      </c>
      <c r="U1287">
        <v>-0.1230774</v>
      </c>
      <c r="V1287">
        <v>-6.0488640000000003E-2</v>
      </c>
      <c r="W1287">
        <v>0.14846770000000001</v>
      </c>
      <c r="X1287">
        <v>0.98706559999999999</v>
      </c>
      <c r="Y1287">
        <v>-2.3447860000000001E-2</v>
      </c>
      <c r="Z1287" s="1">
        <v>-8.8430259999999997E-5</v>
      </c>
      <c r="AA1287">
        <v>0.99972499999999997</v>
      </c>
      <c r="AB1287">
        <v>35</v>
      </c>
      <c r="AC1287">
        <v>-31.0262999999999</v>
      </c>
      <c r="AD1287">
        <v>-1.1095759188249901</v>
      </c>
      <c r="AE1287">
        <v>-1.2627999999999699</v>
      </c>
      <c r="AF1287">
        <v>-0.73582806122953304</v>
      </c>
      <c r="AG1287">
        <v>-1.1095759188249901</v>
      </c>
      <c r="AH1287">
        <v>31.0036595114777</v>
      </c>
      <c r="AI1287">
        <v>92.049081369990105</v>
      </c>
      <c r="AJ1287">
        <v>91.359579150258</v>
      </c>
      <c r="AK1287">
        <v>31.032233318905199</v>
      </c>
      <c r="AL1287">
        <v>81.461862173038</v>
      </c>
      <c r="AM1287">
        <v>93.506773123985397</v>
      </c>
      <c r="AN1287">
        <v>1.00000001610784</v>
      </c>
    </row>
    <row r="1288" spans="1:40" x14ac:dyDescent="0.25">
      <c r="A1288" t="str">
        <f>"20190304155347018"</f>
        <v>20190304155347018</v>
      </c>
      <c r="B1288" t="str">
        <f>"1551686027007354"</f>
        <v>1551686027007354</v>
      </c>
      <c r="C1288" t="s">
        <v>40</v>
      </c>
      <c r="D1288">
        <v>4.6206379999999996</v>
      </c>
      <c r="E1288">
        <v>0.50749239999999995</v>
      </c>
      <c r="F1288" t="s">
        <v>65</v>
      </c>
      <c r="G1288">
        <v>-288.3888</v>
      </c>
      <c r="H1288" s="1">
        <v>4.7048229999999998E-6</v>
      </c>
      <c r="I1288">
        <v>284.50670000000002</v>
      </c>
      <c r="J1288">
        <v>-256.7552</v>
      </c>
      <c r="K1288">
        <v>1.109588</v>
      </c>
      <c r="L1288">
        <v>286.00290000000001</v>
      </c>
      <c r="M1288">
        <v>-0.99981059999999999</v>
      </c>
      <c r="N1288">
        <v>-9.5631569999999992E-3</v>
      </c>
      <c r="O1288">
        <v>-1.6948109999999999E-2</v>
      </c>
      <c r="P1288">
        <v>-0.98727120000000002</v>
      </c>
      <c r="Q1288">
        <v>0.13894429999999999</v>
      </c>
      <c r="R1288">
        <v>-7.7394550000000006E-2</v>
      </c>
      <c r="S1288">
        <v>-3.042389</v>
      </c>
      <c r="T1288">
        <v>-0.10553709999999999</v>
      </c>
      <c r="U1288">
        <v>-0.14288329999999999</v>
      </c>
      <c r="V1288">
        <v>-6.0645110000000002E-2</v>
      </c>
      <c r="W1288">
        <v>0.1483932</v>
      </c>
      <c r="X1288">
        <v>0.98706719999999903</v>
      </c>
      <c r="Y1288">
        <v>-2.9957899999999999E-2</v>
      </c>
      <c r="Z1288">
        <v>-2.371912E-4</v>
      </c>
      <c r="AA1288">
        <v>0.99955110000000003</v>
      </c>
      <c r="AB1288">
        <v>35</v>
      </c>
      <c r="AC1288">
        <v>-31.633600000000001</v>
      </c>
      <c r="AD1288">
        <v>-1.1095832951769999</v>
      </c>
      <c r="AE1288">
        <v>-1.49619999999998</v>
      </c>
      <c r="AF1288">
        <v>-0.95865398210471797</v>
      </c>
      <c r="AG1288">
        <v>-1.1095832951769999</v>
      </c>
      <c r="AH1288">
        <v>31.615604097922699</v>
      </c>
      <c r="AI1288">
        <v>92.009108743660704</v>
      </c>
      <c r="AJ1288">
        <v>91.736800676819996</v>
      </c>
      <c r="AK1288">
        <v>31.6495910719701</v>
      </c>
      <c r="AL1288">
        <v>81.466178505364198</v>
      </c>
      <c r="AM1288">
        <v>93.515815918601803</v>
      </c>
      <c r="AN1288">
        <v>1.00000001424449</v>
      </c>
    </row>
    <row r="1289" spans="1:40" x14ac:dyDescent="0.25">
      <c r="A1289" t="str">
        <f>"20190304155347040"</f>
        <v>20190304155347040</v>
      </c>
      <c r="B1289" t="str">
        <f>"1551686027037141"</f>
        <v>1551686027037141</v>
      </c>
      <c r="C1289" t="s">
        <v>40</v>
      </c>
      <c r="D1289">
        <v>4.5895839999999897</v>
      </c>
      <c r="E1289">
        <v>0.50467150000000005</v>
      </c>
      <c r="F1289" t="s">
        <v>65</v>
      </c>
      <c r="G1289">
        <v>-288.9196</v>
      </c>
      <c r="H1289" s="1">
        <v>4.5105040000000004E-6</v>
      </c>
      <c r="I1289">
        <v>284.30790000000002</v>
      </c>
      <c r="J1289">
        <v>-257.11130000000003</v>
      </c>
      <c r="K1289">
        <v>1.109591</v>
      </c>
      <c r="L1289">
        <v>285.99689999999998</v>
      </c>
      <c r="M1289">
        <v>-0.99981010000000003</v>
      </c>
      <c r="N1289">
        <v>-9.6193049999999999E-3</v>
      </c>
      <c r="O1289">
        <v>-1.6948729999999999E-2</v>
      </c>
      <c r="P1289">
        <v>-0.9872322</v>
      </c>
      <c r="Q1289">
        <v>0.1388124</v>
      </c>
      <c r="R1289">
        <v>-7.812595E-2</v>
      </c>
      <c r="S1289">
        <v>-3.0408629999999999</v>
      </c>
      <c r="T1289">
        <v>-0.10490140000000001</v>
      </c>
      <c r="U1289">
        <v>-0.1602478</v>
      </c>
      <c r="V1289">
        <v>-6.1375829999999999E-2</v>
      </c>
      <c r="W1289">
        <v>0.14831629999999901</v>
      </c>
      <c r="X1289">
        <v>0.98703359999999996</v>
      </c>
      <c r="Y1289">
        <v>-3.5669670000000001E-2</v>
      </c>
      <c r="Z1289">
        <v>-3.6528560000000001E-4</v>
      </c>
      <c r="AA1289">
        <v>0.99936349999999996</v>
      </c>
      <c r="AB1289">
        <v>35</v>
      </c>
      <c r="AC1289">
        <v>-31.8082999999999</v>
      </c>
      <c r="AD1289">
        <v>-1.1095864894959999</v>
      </c>
      <c r="AE1289">
        <v>-1.6889999999999601</v>
      </c>
      <c r="AF1289">
        <v>-1.1482288364892299</v>
      </c>
      <c r="AG1289">
        <v>-1.1095864894959999</v>
      </c>
      <c r="AH1289">
        <v>31.793778490981602</v>
      </c>
      <c r="AI1289">
        <v>91.997480799948605</v>
      </c>
      <c r="AJ1289">
        <v>92.068331898009205</v>
      </c>
      <c r="AK1289">
        <v>31.833849317546001</v>
      </c>
      <c r="AL1289">
        <v>81.470633923127295</v>
      </c>
      <c r="AM1289">
        <v>93.558191022602898</v>
      </c>
      <c r="AN1289">
        <v>1.0000000224414101</v>
      </c>
    </row>
    <row r="1290" spans="1:40" x14ac:dyDescent="0.25">
      <c r="A1290" t="str">
        <f>"20190304155347064"</f>
        <v>20190304155347064</v>
      </c>
      <c r="B1290" t="str">
        <f>"1551686027057638"</f>
        <v>1551686027057638</v>
      </c>
      <c r="C1290" t="s">
        <v>40</v>
      </c>
      <c r="D1290">
        <v>4.566948</v>
      </c>
      <c r="E1290">
        <v>0.50299359999999904</v>
      </c>
      <c r="F1290" t="s">
        <v>65</v>
      </c>
      <c r="G1290">
        <v>-289.11450000000002</v>
      </c>
      <c r="H1290" s="1">
        <v>4.4759239999999996E-6</v>
      </c>
      <c r="I1290">
        <v>284.05709999999999</v>
      </c>
      <c r="J1290">
        <v>-257.49149999999997</v>
      </c>
      <c r="K1290">
        <v>1.1096029999999999</v>
      </c>
      <c r="L1290">
        <v>285.99040000000002</v>
      </c>
      <c r="M1290">
        <v>-0.99980959999999997</v>
      </c>
      <c r="N1290">
        <v>-9.6845170000000001E-3</v>
      </c>
      <c r="O1290">
        <v>-1.6949039999999999E-2</v>
      </c>
      <c r="P1290">
        <v>-0.98719599999999996</v>
      </c>
      <c r="Q1290">
        <v>0.13852030000000001</v>
      </c>
      <c r="R1290">
        <v>-7.9098520000000005E-2</v>
      </c>
      <c r="S1290">
        <v>-3.0390320000000002</v>
      </c>
      <c r="T1290">
        <v>-0.1053668</v>
      </c>
      <c r="U1290">
        <v>-0.18420410000000001</v>
      </c>
      <c r="V1290">
        <v>-6.2348439999999998E-2</v>
      </c>
      <c r="W1290">
        <v>0.1480881</v>
      </c>
      <c r="X1290">
        <v>0.98700690000000002</v>
      </c>
      <c r="Y1290">
        <v>-4.3546139999999997E-2</v>
      </c>
      <c r="Z1290">
        <v>-5.4227669999999998E-4</v>
      </c>
      <c r="AA1290">
        <v>0.99905129999999998</v>
      </c>
      <c r="AB1290">
        <v>35</v>
      </c>
      <c r="AC1290">
        <v>-31.623000000000001</v>
      </c>
      <c r="AD1290">
        <v>-1.109598524076</v>
      </c>
      <c r="AE1290">
        <v>-1.93330000000003</v>
      </c>
      <c r="AF1290">
        <v>-1.3953062232476801</v>
      </c>
      <c r="AG1290">
        <v>-1.109598524076</v>
      </c>
      <c r="AH1290">
        <v>31.612450140629001</v>
      </c>
      <c r="AI1290">
        <v>92.008305652287007</v>
      </c>
      <c r="AJ1290">
        <v>92.527273364397999</v>
      </c>
      <c r="AK1290">
        <v>31.662676643566002</v>
      </c>
      <c r="AL1290">
        <v>81.483854770232796</v>
      </c>
      <c r="AM1290">
        <v>93.614526137689097</v>
      </c>
      <c r="AN1290">
        <v>1.00000001698982</v>
      </c>
    </row>
    <row r="1291" spans="1:40" x14ac:dyDescent="0.25">
      <c r="A1291" t="str">
        <f>"20190304155347085"</f>
        <v>20190304155347085</v>
      </c>
      <c r="B1291" t="str">
        <f>"1551686027077159"</f>
        <v>1551686027077159</v>
      </c>
      <c r="C1291" t="s">
        <v>40</v>
      </c>
      <c r="D1291">
        <v>4.5504860000000003</v>
      </c>
      <c r="E1291">
        <v>0.50145139999999999</v>
      </c>
      <c r="F1291" t="s">
        <v>65</v>
      </c>
      <c r="G1291">
        <v>-289.42189999999999</v>
      </c>
      <c r="H1291" s="1">
        <v>4.3761089999999999E-6</v>
      </c>
      <c r="I1291">
        <v>283.8802</v>
      </c>
      <c r="J1291">
        <v>-257.8272</v>
      </c>
      <c r="K1291">
        <v>1.1096140000000001</v>
      </c>
      <c r="L1291">
        <v>285.98469999999998</v>
      </c>
      <c r="M1291">
        <v>-0.9998089</v>
      </c>
      <c r="N1291">
        <v>-9.7449540000000001E-3</v>
      </c>
      <c r="O1291">
        <v>-1.6949329999999999E-2</v>
      </c>
      <c r="P1291">
        <v>-0.98718620000000001</v>
      </c>
      <c r="Q1291">
        <v>0.13837269999999999</v>
      </c>
      <c r="R1291">
        <v>-7.9477290000000006E-2</v>
      </c>
      <c r="S1291">
        <v>-3.037598</v>
      </c>
      <c r="T1291">
        <v>-0.105558</v>
      </c>
      <c r="U1291">
        <v>-0.2007446</v>
      </c>
      <c r="V1291">
        <v>-6.2727210000000005E-2</v>
      </c>
      <c r="W1291">
        <v>0.1480004</v>
      </c>
      <c r="X1291">
        <v>0.98699610000000004</v>
      </c>
      <c r="Y1291">
        <v>-4.8987639999999999E-2</v>
      </c>
      <c r="Z1291">
        <v>-6.659503E-4</v>
      </c>
      <c r="AA1291">
        <v>0.99879910000000005</v>
      </c>
      <c r="AB1291">
        <v>35</v>
      </c>
      <c r="AC1291">
        <v>-31.5946999999999</v>
      </c>
      <c r="AD1291">
        <v>-1.10960962389099</v>
      </c>
      <c r="AE1291">
        <v>-2.1044999999999701</v>
      </c>
      <c r="AF1291">
        <v>-1.5667393396084801</v>
      </c>
      <c r="AG1291">
        <v>-1.10960962389099</v>
      </c>
      <c r="AH1291">
        <v>31.5870444565785</v>
      </c>
      <c r="AI1291">
        <v>92.0094267082182</v>
      </c>
      <c r="AJ1291">
        <v>92.839583301810904</v>
      </c>
      <c r="AK1291">
        <v>31.645335883469102</v>
      </c>
      <c r="AL1291">
        <v>81.488935977281898</v>
      </c>
      <c r="AM1291">
        <v>93.636465512024103</v>
      </c>
      <c r="AN1291">
        <v>1.0000000613448701</v>
      </c>
    </row>
    <row r="1292" spans="1:40" x14ac:dyDescent="0.25">
      <c r="A1292" t="str">
        <f>"20190304155347117"</f>
        <v>20190304155347117</v>
      </c>
      <c r="B1292" t="str">
        <f>"1551686027107414"</f>
        <v>1551686027107414</v>
      </c>
      <c r="C1292" t="s">
        <v>40</v>
      </c>
      <c r="D1292">
        <v>4.5673550000000001</v>
      </c>
      <c r="E1292">
        <v>0.49941140000000001</v>
      </c>
      <c r="F1292" t="s">
        <v>65</v>
      </c>
      <c r="G1292">
        <v>-289.77800000000002</v>
      </c>
      <c r="H1292" s="1">
        <v>4.2497549999999998E-6</v>
      </c>
      <c r="I1292">
        <v>283.7276</v>
      </c>
      <c r="J1292">
        <v>-258.34160000000003</v>
      </c>
      <c r="K1292">
        <v>1.1096250000000001</v>
      </c>
      <c r="L1292">
        <v>285.976</v>
      </c>
      <c r="M1292">
        <v>-0.99980789999999997</v>
      </c>
      <c r="N1292">
        <v>-9.8397710000000006E-3</v>
      </c>
      <c r="O1292">
        <v>-1.6949780000000001E-2</v>
      </c>
      <c r="P1292">
        <v>-0.98710750000000003</v>
      </c>
      <c r="Q1292">
        <v>0.13841709999999999</v>
      </c>
      <c r="R1292">
        <v>-8.0372699999999894E-2</v>
      </c>
      <c r="S1292">
        <v>-3.0364689999999999</v>
      </c>
      <c r="T1292">
        <v>-0.1054525</v>
      </c>
      <c r="U1292">
        <v>-0.21450810000000001</v>
      </c>
      <c r="V1292">
        <v>-6.3623349999999995E-2</v>
      </c>
      <c r="W1292">
        <v>0.14813760000000001</v>
      </c>
      <c r="X1292">
        <v>0.98691810000000002</v>
      </c>
      <c r="Y1292">
        <v>-5.3513709999999999E-2</v>
      </c>
      <c r="Z1292">
        <v>-7.7045990000000001E-4</v>
      </c>
      <c r="AA1292">
        <v>0.99856679999999998</v>
      </c>
      <c r="AB1292">
        <v>35</v>
      </c>
      <c r="AC1292">
        <v>-31.4363999999999</v>
      </c>
      <c r="AD1292">
        <v>-1.109620750245</v>
      </c>
      <c r="AE1292">
        <v>-2.2484000000000002</v>
      </c>
      <c r="AF1292">
        <v>-1.7130876198929901</v>
      </c>
      <c r="AG1292">
        <v>-1.109620750245</v>
      </c>
      <c r="AH1292">
        <v>31.431034551981099</v>
      </c>
      <c r="AI1292">
        <v>92.018899195719001</v>
      </c>
      <c r="AJ1292">
        <v>93.119708738560902</v>
      </c>
      <c r="AK1292">
        <v>31.497235758247701</v>
      </c>
      <c r="AL1292">
        <v>81.480986918887893</v>
      </c>
      <c r="AM1292">
        <v>93.688565463821405</v>
      </c>
      <c r="AN1292">
        <v>1.00000000765329</v>
      </c>
    </row>
    <row r="1293" spans="1:40" x14ac:dyDescent="0.25">
      <c r="A1293" t="str">
        <f>"20190304155347141"</f>
        <v>20190304155347141</v>
      </c>
      <c r="B1293" t="str">
        <f>"1551686027137202"</f>
        <v>1551686027137202</v>
      </c>
      <c r="C1293" t="s">
        <v>40</v>
      </c>
      <c r="D1293">
        <v>4.5738269999999996</v>
      </c>
      <c r="E1293">
        <v>0.4975733</v>
      </c>
      <c r="F1293" t="s">
        <v>65</v>
      </c>
      <c r="G1293">
        <v>-290.53219999999999</v>
      </c>
      <c r="H1293" s="1">
        <v>2.3978519999999999E-6</v>
      </c>
      <c r="I1293">
        <v>283.49869999999999</v>
      </c>
      <c r="J1293">
        <v>-258.70089999999999</v>
      </c>
      <c r="K1293">
        <v>1.109639</v>
      </c>
      <c r="L1293">
        <v>285.9699</v>
      </c>
      <c r="M1293">
        <v>-0.99980720000000001</v>
      </c>
      <c r="N1293">
        <v>-9.9069870000000008E-3</v>
      </c>
      <c r="O1293">
        <v>-1.6950110000000001E-2</v>
      </c>
      <c r="P1293">
        <v>-0.9869869</v>
      </c>
      <c r="Q1293">
        <v>0.13899139999999999</v>
      </c>
      <c r="R1293">
        <v>-8.0860870000000001E-2</v>
      </c>
      <c r="S1293">
        <v>-3.0348820000000001</v>
      </c>
      <c r="T1293">
        <v>-0.1046134</v>
      </c>
      <c r="U1293">
        <v>-0.23355100000000001</v>
      </c>
      <c r="V1293">
        <v>-6.4113589999999998E-2</v>
      </c>
      <c r="W1293">
        <v>0.14877699999999999</v>
      </c>
      <c r="X1293">
        <v>0.98679019999999995</v>
      </c>
      <c r="Y1293">
        <v>-5.9776299999999997E-2</v>
      </c>
      <c r="Z1293">
        <v>-9.0964219999999996E-4</v>
      </c>
      <c r="AA1293">
        <v>0.99821139999999997</v>
      </c>
      <c r="AB1293">
        <v>35</v>
      </c>
      <c r="AC1293">
        <v>-31.831299999999999</v>
      </c>
      <c r="AD1293">
        <v>-1.109636602148</v>
      </c>
      <c r="AE1293">
        <v>-2.4712000000000098</v>
      </c>
      <c r="AF1293">
        <v>-1.92894436171105</v>
      </c>
      <c r="AG1293">
        <v>-1.109636602148</v>
      </c>
      <c r="AH1293">
        <v>31.8301669927896</v>
      </c>
      <c r="AI1293">
        <v>91.992935668370805</v>
      </c>
      <c r="AJ1293">
        <v>93.467948280933797</v>
      </c>
      <c r="AK1293">
        <v>31.907861892146201</v>
      </c>
      <c r="AL1293">
        <v>81.443941626423296</v>
      </c>
      <c r="AM1293">
        <v>93.717388177197904</v>
      </c>
      <c r="AN1293">
        <v>1.00000002348386</v>
      </c>
    </row>
    <row r="1294" spans="1:40" x14ac:dyDescent="0.25">
      <c r="A1294" t="str">
        <f>"20190304155347163"</f>
        <v>20190304155347163</v>
      </c>
      <c r="B1294" t="str">
        <f>"1551686027157698"</f>
        <v>1551686027157698</v>
      </c>
      <c r="C1294" t="s">
        <v>40</v>
      </c>
      <c r="D1294">
        <v>4.5381989999999996</v>
      </c>
      <c r="E1294">
        <v>0.4964538</v>
      </c>
      <c r="F1294" t="s">
        <v>65</v>
      </c>
      <c r="G1294">
        <v>-291.62549999999999</v>
      </c>
      <c r="H1294" s="1">
        <v>2.6122499999999998E-6</v>
      </c>
      <c r="I1294">
        <v>283.26479999999998</v>
      </c>
      <c r="J1294">
        <v>-259.06209999999999</v>
      </c>
      <c r="K1294">
        <v>1.109645</v>
      </c>
      <c r="L1294">
        <v>285.96379999999999</v>
      </c>
      <c r="M1294">
        <v>-0.99980659999999999</v>
      </c>
      <c r="N1294">
        <v>-9.9755320000000005E-3</v>
      </c>
      <c r="O1294">
        <v>-1.6950320000000001E-2</v>
      </c>
      <c r="P1294">
        <v>-0.98682329999999996</v>
      </c>
      <c r="Q1294">
        <v>0.13996810000000001</v>
      </c>
      <c r="R1294">
        <v>-8.1169110000000003E-2</v>
      </c>
      <c r="S1294">
        <v>-3.0335079999999999</v>
      </c>
      <c r="T1294">
        <v>-0.1022363</v>
      </c>
      <c r="U1294">
        <v>-0.24923709999999999</v>
      </c>
      <c r="V1294">
        <v>-6.4424250000000002E-2</v>
      </c>
      <c r="W1294">
        <v>0.14982000000000001</v>
      </c>
      <c r="X1294">
        <v>0.98661209999999999</v>
      </c>
      <c r="Y1294">
        <v>-6.4936629999999995E-2</v>
      </c>
      <c r="Z1294">
        <v>-1.015455E-3</v>
      </c>
      <c r="AA1294">
        <v>0.99788889999999997</v>
      </c>
      <c r="AB1294">
        <v>35</v>
      </c>
      <c r="AC1294">
        <v>-32.563400000000001</v>
      </c>
      <c r="AD1294">
        <v>-1.1096423877499999</v>
      </c>
      <c r="AE1294">
        <v>-2.6990000000000101</v>
      </c>
      <c r="AF1294">
        <v>-2.14415190691372</v>
      </c>
      <c r="AG1294">
        <v>-1.1096423877499999</v>
      </c>
      <c r="AH1294">
        <v>32.5669137971217</v>
      </c>
      <c r="AI1294">
        <v>91.947253885881693</v>
      </c>
      <c r="AJ1294">
        <v>93.766823260375503</v>
      </c>
      <c r="AK1294">
        <v>32.656279149617902</v>
      </c>
      <c r="AL1294">
        <v>81.383504349673501</v>
      </c>
      <c r="AM1294">
        <v>93.736022153201205</v>
      </c>
      <c r="AN1294">
        <v>0.99999997612723601</v>
      </c>
    </row>
    <row r="1295" spans="1:40" x14ac:dyDescent="0.25">
      <c r="A1295" t="str">
        <f>"20190304155347184"</f>
        <v>20190304155347184</v>
      </c>
      <c r="B1295" t="str">
        <f>"1551686027177218"</f>
        <v>1551686027177218</v>
      </c>
      <c r="C1295" t="s">
        <v>40</v>
      </c>
      <c r="D1295">
        <v>4.569089</v>
      </c>
      <c r="E1295">
        <v>0.4953978</v>
      </c>
      <c r="F1295" t="s">
        <v>65</v>
      </c>
      <c r="G1295">
        <v>-293.03280000000001</v>
      </c>
      <c r="H1295" s="1">
        <v>2.8794770000000001E-6</v>
      </c>
      <c r="I1295">
        <v>283.0634</v>
      </c>
      <c r="J1295">
        <v>-259.3922</v>
      </c>
      <c r="K1295">
        <v>1.109653</v>
      </c>
      <c r="L1295">
        <v>285.95830000000001</v>
      </c>
      <c r="M1295">
        <v>-0.99980590000000003</v>
      </c>
      <c r="N1295">
        <v>-1.0041660000000001E-2</v>
      </c>
      <c r="O1295">
        <v>-1.6950650000000001E-2</v>
      </c>
      <c r="P1295">
        <v>-0.98677899999999996</v>
      </c>
      <c r="Q1295">
        <v>0.1405806</v>
      </c>
      <c r="R1295">
        <v>-8.0649150000000003E-2</v>
      </c>
      <c r="S1295">
        <v>-3.0328059999999999</v>
      </c>
      <c r="T1295">
        <v>-9.906566E-2</v>
      </c>
      <c r="U1295">
        <v>-0.2589417</v>
      </c>
      <c r="V1295">
        <v>-6.3904790000000003E-2</v>
      </c>
      <c r="W1295">
        <v>0.15049689999999999</v>
      </c>
      <c r="X1295">
        <v>0.9865429</v>
      </c>
      <c r="Y1295">
        <v>-6.8125500000000005E-2</v>
      </c>
      <c r="Z1295">
        <v>-1.070627E-3</v>
      </c>
      <c r="AA1295">
        <v>0.99767620000000001</v>
      </c>
      <c r="AB1295">
        <v>36</v>
      </c>
      <c r="AC1295">
        <v>-33.640599999999999</v>
      </c>
      <c r="AD1295">
        <v>-1.109650120523</v>
      </c>
      <c r="AE1295">
        <v>-2.8948999999999998</v>
      </c>
      <c r="AF1295">
        <v>-2.3217176998157201</v>
      </c>
      <c r="AG1295">
        <v>-1.109650120523</v>
      </c>
      <c r="AH1295">
        <v>33.648497416913401</v>
      </c>
      <c r="AI1295">
        <v>91.884321683607695</v>
      </c>
      <c r="AJ1295">
        <v>93.947104082637907</v>
      </c>
      <c r="AK1295">
        <v>33.746749100967399</v>
      </c>
      <c r="AL1295">
        <v>81.344276412798493</v>
      </c>
      <c r="AM1295">
        <v>93.706241701866901</v>
      </c>
      <c r="AN1295">
        <v>1.00000001631748</v>
      </c>
    </row>
    <row r="1296" spans="1:40" x14ac:dyDescent="0.25">
      <c r="A1296" t="str">
        <f>"20190304155347206"</f>
        <v>20190304155347206</v>
      </c>
      <c r="B1296" t="str">
        <f>"1551686027197726"</f>
        <v>1551686027197726</v>
      </c>
      <c r="C1296" t="s">
        <v>40</v>
      </c>
      <c r="D1296">
        <v>4.5952849999999996</v>
      </c>
      <c r="E1296">
        <v>0.49440299999999998</v>
      </c>
      <c r="F1296" t="s">
        <v>65</v>
      </c>
      <c r="G1296">
        <v>-294.08269999999999</v>
      </c>
      <c r="H1296" s="1">
        <v>3.078092E-6</v>
      </c>
      <c r="I1296">
        <v>282.92189999999999</v>
      </c>
      <c r="J1296">
        <v>-259.75790000000001</v>
      </c>
      <c r="K1296">
        <v>1.109667</v>
      </c>
      <c r="L1296">
        <v>285.952</v>
      </c>
      <c r="M1296">
        <v>-0.99980519999999995</v>
      </c>
      <c r="N1296">
        <v>-1.011535E-2</v>
      </c>
      <c r="O1296">
        <v>-1.6951009999999999E-2</v>
      </c>
      <c r="P1296">
        <v>-0.98674660000000003</v>
      </c>
      <c r="Q1296">
        <v>0.1408604</v>
      </c>
      <c r="R1296">
        <v>-8.0560129999999994E-2</v>
      </c>
      <c r="S1296">
        <v>-3.0323180000000001</v>
      </c>
      <c r="T1296">
        <v>-9.6995120000000004E-2</v>
      </c>
      <c r="U1296">
        <v>-0.26541140000000002</v>
      </c>
      <c r="V1296">
        <v>-6.3815709999999998E-2</v>
      </c>
      <c r="W1296">
        <v>0.1508495</v>
      </c>
      <c r="X1296">
        <v>0.98649480000000001</v>
      </c>
      <c r="Y1296">
        <v>-7.0251380000000002E-2</v>
      </c>
      <c r="Z1296">
        <v>-1.1074839999999999E-3</v>
      </c>
      <c r="AA1296">
        <v>0.99752870000000005</v>
      </c>
      <c r="AB1296">
        <v>36</v>
      </c>
      <c r="AC1296">
        <v>-34.324799999999897</v>
      </c>
      <c r="AD1296">
        <v>-1.109663921908</v>
      </c>
      <c r="AE1296">
        <v>-3.0301</v>
      </c>
      <c r="AF1296">
        <v>-2.4452589929457602</v>
      </c>
      <c r="AG1296">
        <v>-1.109663921908</v>
      </c>
      <c r="AH1296">
        <v>34.335626207616002</v>
      </c>
      <c r="AI1296">
        <v>91.846376301991995</v>
      </c>
      <c r="AJ1296">
        <v>94.073520620932698</v>
      </c>
      <c r="AK1296">
        <v>34.440468530949097</v>
      </c>
      <c r="AL1296">
        <v>81.323840506093006</v>
      </c>
      <c r="AM1296">
        <v>93.701269718473696</v>
      </c>
      <c r="AN1296">
        <v>1.00000000346004</v>
      </c>
    </row>
    <row r="1297" spans="1:40" x14ac:dyDescent="0.25">
      <c r="A1297" t="str">
        <f>"20190304155347229"</f>
        <v>20190304155347229</v>
      </c>
      <c r="B1297" t="str">
        <f>"1551686027217557"</f>
        <v>1551686027217557</v>
      </c>
      <c r="C1297" t="s">
        <v>40</v>
      </c>
      <c r="D1297">
        <v>4.6014970000000002</v>
      </c>
      <c r="E1297">
        <v>0.49345489999999997</v>
      </c>
      <c r="F1297" t="s">
        <v>65</v>
      </c>
      <c r="G1297">
        <v>-294.71190000000001</v>
      </c>
      <c r="H1297" s="1">
        <v>3.1998409999999999E-6</v>
      </c>
      <c r="I1297">
        <v>282.80579999999998</v>
      </c>
      <c r="J1297">
        <v>-260.11540000000002</v>
      </c>
      <c r="K1297">
        <v>1.1096760000000001</v>
      </c>
      <c r="L1297">
        <v>285.94600000000003</v>
      </c>
      <c r="M1297">
        <v>-0.99980440000000004</v>
      </c>
      <c r="N1297">
        <v>-1.0187430000000001E-2</v>
      </c>
      <c r="O1297">
        <v>-1.6951009999999999E-2</v>
      </c>
      <c r="P1297">
        <v>-0.98668690000000003</v>
      </c>
      <c r="Q1297">
        <v>0.1410351</v>
      </c>
      <c r="R1297">
        <v>-8.0979339999999997E-2</v>
      </c>
      <c r="S1297">
        <v>-3.0317690000000002</v>
      </c>
      <c r="T1297">
        <v>-9.6247910000000006E-2</v>
      </c>
      <c r="U1297">
        <v>-0.27288820000000003</v>
      </c>
      <c r="V1297">
        <v>-6.423616E-2</v>
      </c>
      <c r="W1297">
        <v>0.1510946</v>
      </c>
      <c r="X1297">
        <v>0.98643000000000003</v>
      </c>
      <c r="Y1297">
        <v>-7.2706460000000001E-2</v>
      </c>
      <c r="Z1297">
        <v>-1.158255E-3</v>
      </c>
      <c r="AA1297">
        <v>0.99735269999999998</v>
      </c>
      <c r="AB1297">
        <v>36</v>
      </c>
      <c r="AC1297">
        <v>-34.596499999999899</v>
      </c>
      <c r="AD1297">
        <v>-1.1096728001589999</v>
      </c>
      <c r="AE1297">
        <v>-3.1401999999999899</v>
      </c>
      <c r="AF1297">
        <v>-2.5506700550005399</v>
      </c>
      <c r="AG1297">
        <v>-1.1096728001589999</v>
      </c>
      <c r="AH1297">
        <v>34.609446216344601</v>
      </c>
      <c r="AI1297">
        <v>91.831465446600703</v>
      </c>
      <c r="AJ1297">
        <v>94.215002349308406</v>
      </c>
      <c r="AK1297">
        <v>34.721046338711297</v>
      </c>
      <c r="AL1297">
        <v>81.309634483209194</v>
      </c>
      <c r="AM1297">
        <v>93.725831140008907</v>
      </c>
      <c r="AN1297">
        <v>1.00000000365035</v>
      </c>
    </row>
    <row r="1298" spans="1:40" x14ac:dyDescent="0.25">
      <c r="A1298" t="str">
        <f>"20190304155347254"</f>
        <v>20190304155347254</v>
      </c>
      <c r="B1298" t="str">
        <f>"1551686027247813"</f>
        <v>1551686027247813</v>
      </c>
      <c r="C1298" t="s">
        <v>40</v>
      </c>
      <c r="D1298">
        <v>4.598687</v>
      </c>
      <c r="E1298">
        <v>0.4921449</v>
      </c>
      <c r="F1298" t="s">
        <v>65</v>
      </c>
      <c r="G1298">
        <v>-295.14409999999998</v>
      </c>
      <c r="H1298" s="1">
        <v>3.2862239999999998E-6</v>
      </c>
      <c r="I1298">
        <v>282.69470000000001</v>
      </c>
      <c r="J1298">
        <v>-260.50279999999998</v>
      </c>
      <c r="K1298">
        <v>1.109688</v>
      </c>
      <c r="L1298">
        <v>285.93939999999998</v>
      </c>
      <c r="M1298">
        <v>-0.99980369999999996</v>
      </c>
      <c r="N1298">
        <v>-1.026465E-2</v>
      </c>
      <c r="O1298">
        <v>-1.6951399999999998E-2</v>
      </c>
      <c r="P1298">
        <v>-0.98652989999999996</v>
      </c>
      <c r="Q1298">
        <v>0.14196410000000001</v>
      </c>
      <c r="R1298">
        <v>-8.1270239999999994E-2</v>
      </c>
      <c r="S1298">
        <v>-3.0311279999999998</v>
      </c>
      <c r="T1298">
        <v>-9.6023079999999997E-2</v>
      </c>
      <c r="U1298">
        <v>-0.28134160000000002</v>
      </c>
      <c r="V1298">
        <v>-6.4529489999999995E-2</v>
      </c>
      <c r="W1298">
        <v>0.15209810000000001</v>
      </c>
      <c r="X1298">
        <v>0.98625660000000004</v>
      </c>
      <c r="Y1298">
        <v>-7.548125E-2</v>
      </c>
      <c r="Z1298">
        <v>-1.219136E-3</v>
      </c>
      <c r="AA1298">
        <v>0.99714650000000005</v>
      </c>
      <c r="AB1298">
        <v>36</v>
      </c>
      <c r="AC1298">
        <v>-34.641300000000001</v>
      </c>
      <c r="AD1298">
        <v>-1.109684713776</v>
      </c>
      <c r="AE1298">
        <v>-3.2446999999999599</v>
      </c>
      <c r="AF1298">
        <v>-2.65428430294231</v>
      </c>
      <c r="AG1298">
        <v>-1.109684713776</v>
      </c>
      <c r="AH1298">
        <v>34.656074085739</v>
      </c>
      <c r="AI1298">
        <v>91.828627861343406</v>
      </c>
      <c r="AJ1298">
        <v>94.379693105723305</v>
      </c>
      <c r="AK1298">
        <v>34.775279960930099</v>
      </c>
      <c r="AL1298">
        <v>81.251465708955195</v>
      </c>
      <c r="AM1298">
        <v>93.743452814582795</v>
      </c>
      <c r="AN1298">
        <v>0.99999998407341495</v>
      </c>
    </row>
    <row r="1299" spans="1:40" x14ac:dyDescent="0.25">
      <c r="A1299" t="str">
        <f>"20190304155347276"</f>
        <v>20190304155347276</v>
      </c>
      <c r="B1299" t="str">
        <f>"1551686027267332"</f>
        <v>1551686027267332</v>
      </c>
      <c r="C1299" t="s">
        <v>40</v>
      </c>
      <c r="D1299">
        <v>4.6679899999999996</v>
      </c>
      <c r="E1299">
        <v>0.49139440000000001</v>
      </c>
      <c r="F1299" t="s">
        <v>65</v>
      </c>
      <c r="G1299">
        <v>-296.57740000000001</v>
      </c>
      <c r="H1299" s="1">
        <v>3.561873E-6</v>
      </c>
      <c r="I1299">
        <v>282.44990000000001</v>
      </c>
      <c r="J1299">
        <v>-260.84570000000002</v>
      </c>
      <c r="K1299">
        <v>1.109693</v>
      </c>
      <c r="L1299">
        <v>285.93360000000001</v>
      </c>
      <c r="M1299">
        <v>-0.99980290000000005</v>
      </c>
      <c r="N1299">
        <v>-1.03351E-2</v>
      </c>
      <c r="O1299">
        <v>-1.6951509999999999E-2</v>
      </c>
      <c r="P1299">
        <v>-0.98651009999999995</v>
      </c>
      <c r="Q1299">
        <v>0.14209179999999999</v>
      </c>
      <c r="R1299">
        <v>-8.1288520000000003E-2</v>
      </c>
      <c r="S1299">
        <v>-3.0302730000000002</v>
      </c>
      <c r="T1299">
        <v>-9.3213799999999999E-2</v>
      </c>
      <c r="U1299">
        <v>-0.29312129999999997</v>
      </c>
      <c r="V1299">
        <v>-6.4547729999999998E-2</v>
      </c>
      <c r="W1299">
        <v>0.15229509999999999</v>
      </c>
      <c r="X1299">
        <v>0.98622500000000002</v>
      </c>
      <c r="Y1299">
        <v>-7.9347829999999994E-2</v>
      </c>
      <c r="Z1299">
        <v>-1.28323E-3</v>
      </c>
      <c r="AA1299">
        <v>0.99684609999999996</v>
      </c>
      <c r="AB1299">
        <v>36</v>
      </c>
      <c r="AC1299">
        <v>-35.731699999999897</v>
      </c>
      <c r="AD1299">
        <v>-1.1096894381269999</v>
      </c>
      <c r="AE1299">
        <v>-3.48369999999999</v>
      </c>
      <c r="AF1299">
        <v>-2.8747142518105999</v>
      </c>
      <c r="AG1299">
        <v>-1.1096894381269999</v>
      </c>
      <c r="AH1299">
        <v>35.751465316039102</v>
      </c>
      <c r="AI1299">
        <v>91.772116534328504</v>
      </c>
      <c r="AJ1299">
        <v>94.597165129809696</v>
      </c>
      <c r="AK1299">
        <v>35.884016844865599</v>
      </c>
      <c r="AL1299">
        <v>81.240045349526596</v>
      </c>
      <c r="AM1299">
        <v>93.7446275722819</v>
      </c>
      <c r="AN1299">
        <v>0.99999997877858104</v>
      </c>
    </row>
    <row r="1300" spans="1:40" x14ac:dyDescent="0.25">
      <c r="A1300" t="str">
        <f>"20190304155347295"</f>
        <v>20190304155347295</v>
      </c>
      <c r="B1300" t="str">
        <f>"1551686027287829"</f>
        <v>1551686027287829</v>
      </c>
      <c r="C1300" t="s">
        <v>40</v>
      </c>
      <c r="D1300">
        <v>4.8406120000000001</v>
      </c>
      <c r="E1300">
        <v>0.49181419999999998</v>
      </c>
      <c r="F1300" t="s">
        <v>65</v>
      </c>
      <c r="G1300">
        <v>-297.10059999999999</v>
      </c>
      <c r="H1300" s="1">
        <v>3.6634610000000001E-6</v>
      </c>
      <c r="I1300">
        <v>282.34930000000003</v>
      </c>
      <c r="J1300">
        <v>-261.17309999999998</v>
      </c>
      <c r="K1300">
        <v>1.109701</v>
      </c>
      <c r="L1300">
        <v>285.928</v>
      </c>
      <c r="M1300">
        <v>-0.99980219999999997</v>
      </c>
      <c r="N1300">
        <v>-1.040569E-2</v>
      </c>
      <c r="O1300">
        <v>-1.6951750000000002E-2</v>
      </c>
      <c r="P1300">
        <v>-0.98644129999999997</v>
      </c>
      <c r="Q1300">
        <v>0.1423652</v>
      </c>
      <c r="R1300">
        <v>-8.1644129999999995E-2</v>
      </c>
      <c r="S1300">
        <v>-3.0297239999999999</v>
      </c>
      <c r="T1300">
        <v>-9.2733979999999994E-2</v>
      </c>
      <c r="U1300">
        <v>-0.29953000000000002</v>
      </c>
      <c r="V1300">
        <v>-6.4904020000000007E-2</v>
      </c>
      <c r="W1300">
        <v>0.15263769999999999</v>
      </c>
      <c r="X1300">
        <v>0.98614869999999999</v>
      </c>
      <c r="Y1300">
        <v>-8.1452319999999995E-2</v>
      </c>
      <c r="Z1300">
        <v>-1.3268220000000001E-3</v>
      </c>
      <c r="AA1300">
        <v>0.99667640000000002</v>
      </c>
      <c r="AB1300">
        <v>36</v>
      </c>
      <c r="AC1300">
        <v>-35.927500000000002</v>
      </c>
      <c r="AD1300">
        <v>-1.1096973365389999</v>
      </c>
      <c r="AE1300">
        <v>-3.57869999999996</v>
      </c>
      <c r="AF1300">
        <v>-2.96631665975461</v>
      </c>
      <c r="AG1300">
        <v>-1.1096973365389999</v>
      </c>
      <c r="AH1300">
        <v>35.9490465025562</v>
      </c>
      <c r="AI1300">
        <v>91.762095249656497</v>
      </c>
      <c r="AJ1300">
        <v>94.7170449211403</v>
      </c>
      <c r="AK1300">
        <v>36.088286287209698</v>
      </c>
      <c r="AL1300">
        <v>81.220184047880593</v>
      </c>
      <c r="AM1300">
        <v>93.7655283250526</v>
      </c>
      <c r="AN1300">
        <v>1.0000000288925699</v>
      </c>
    </row>
    <row r="1301" spans="1:40" x14ac:dyDescent="0.25">
      <c r="A1301" t="str">
        <f>"20190304155347318"</f>
        <v>20190304155347318</v>
      </c>
      <c r="B1301" t="str">
        <f>"1551686027307349"</f>
        <v>1551686027307349</v>
      </c>
      <c r="C1301" t="s">
        <v>40</v>
      </c>
      <c r="D1301">
        <v>4.6773089999999904</v>
      </c>
      <c r="E1301">
        <v>0.53901030000000005</v>
      </c>
      <c r="F1301" t="s">
        <v>65</v>
      </c>
      <c r="G1301">
        <v>-297.77280000000002</v>
      </c>
      <c r="H1301" s="1">
        <v>3.7834730000000002E-6</v>
      </c>
      <c r="I1301">
        <v>282.34050000000002</v>
      </c>
      <c r="J1301">
        <v>-261.54239999999999</v>
      </c>
      <c r="K1301">
        <v>1.10972</v>
      </c>
      <c r="L1301">
        <v>285.92180000000002</v>
      </c>
      <c r="M1301">
        <v>-0.9998013</v>
      </c>
      <c r="N1301">
        <v>-1.0489709999999999E-2</v>
      </c>
      <c r="O1301">
        <v>-1.6952060000000001E-2</v>
      </c>
      <c r="P1301">
        <v>-0.98655159999999997</v>
      </c>
      <c r="Q1301">
        <v>0.14163039999999999</v>
      </c>
      <c r="R1301">
        <v>-8.1588659999999993E-2</v>
      </c>
      <c r="S1301">
        <v>-3.0299070000000001</v>
      </c>
      <c r="T1301">
        <v>-9.1866370000000003E-2</v>
      </c>
      <c r="U1301">
        <v>-0.29699710000000001</v>
      </c>
      <c r="V1301">
        <v>-6.4846650000000006E-2</v>
      </c>
      <c r="W1301">
        <v>0.15198639999999999</v>
      </c>
      <c r="X1301">
        <v>0.98625300000000005</v>
      </c>
      <c r="Y1301">
        <v>-8.0621949999999998E-2</v>
      </c>
      <c r="Z1301">
        <v>-1.307931E-3</v>
      </c>
      <c r="AA1301">
        <v>0.99674390000000002</v>
      </c>
      <c r="AB1301">
        <v>36</v>
      </c>
      <c r="AC1301">
        <v>-36.230400000000003</v>
      </c>
      <c r="AD1301">
        <v>-1.109716216527</v>
      </c>
      <c r="AE1301">
        <v>-3.5812999999999899</v>
      </c>
      <c r="AF1301">
        <v>-2.96381799504096</v>
      </c>
      <c r="AG1301">
        <v>-1.109716216527</v>
      </c>
      <c r="AH1301">
        <v>36.252225652342801</v>
      </c>
      <c r="AI1301">
        <v>91.7475057845718</v>
      </c>
      <c r="AJ1301">
        <v>94.673849001182205</v>
      </c>
      <c r="AK1301">
        <v>36.390102389761601</v>
      </c>
      <c r="AL1301">
        <v>81.257940777307596</v>
      </c>
      <c r="AM1301">
        <v>93.761812734792002</v>
      </c>
      <c r="AN1301">
        <v>0.99999996690508997</v>
      </c>
    </row>
    <row r="1302" spans="1:40" x14ac:dyDescent="0.25">
      <c r="A1302" t="str">
        <f>"20190304155347341"</f>
        <v>20190304155347341</v>
      </c>
      <c r="B1302" t="str">
        <f>"1551686027337137"</f>
        <v>1551686027337137</v>
      </c>
      <c r="C1302" t="s">
        <v>40</v>
      </c>
      <c r="D1302">
        <v>4.6828089999999998</v>
      </c>
      <c r="E1302">
        <v>0.54165419999999997</v>
      </c>
      <c r="F1302" t="s">
        <v>65</v>
      </c>
      <c r="G1302">
        <v>-311.27879999999999</v>
      </c>
      <c r="H1302" s="1">
        <v>2.5591300000000002E-6</v>
      </c>
      <c r="I1302">
        <v>287.18939999999998</v>
      </c>
      <c r="J1302">
        <v>-261.89510000000001</v>
      </c>
      <c r="K1302">
        <v>1.1097300000000001</v>
      </c>
      <c r="L1302">
        <v>285.91579999999999</v>
      </c>
      <c r="M1302">
        <v>-0.99980049999999998</v>
      </c>
      <c r="N1302">
        <v>-1.0570349999999999E-2</v>
      </c>
      <c r="O1302">
        <v>-1.6952479999999999E-2</v>
      </c>
      <c r="P1302">
        <v>-0.9865353</v>
      </c>
      <c r="Q1302">
        <v>0.14174579999999901</v>
      </c>
      <c r="R1302">
        <v>-8.1587939999999998E-2</v>
      </c>
      <c r="S1302">
        <v>-3.0571290000000002</v>
      </c>
      <c r="T1302">
        <v>-6.8210599999999996E-2</v>
      </c>
      <c r="U1302">
        <v>7.7911380000000002E-2</v>
      </c>
      <c r="V1302">
        <v>-6.4845639999999996E-2</v>
      </c>
      <c r="W1302">
        <v>0.1521815</v>
      </c>
      <c r="X1302">
        <v>0.98622299999999996</v>
      </c>
      <c r="Y1302">
        <v>4.2404409999999997E-2</v>
      </c>
      <c r="Z1302">
        <v>8.9611319999999999E-4</v>
      </c>
      <c r="AA1302">
        <v>0.99910010000000005</v>
      </c>
      <c r="AB1302">
        <v>36</v>
      </c>
      <c r="AC1302">
        <v>-49.383699999999898</v>
      </c>
      <c r="AD1302">
        <v>-1.10972744087</v>
      </c>
      <c r="AE1302">
        <v>1.2735999999999801</v>
      </c>
      <c r="AF1302">
        <v>2.1095752887918802</v>
      </c>
      <c r="AG1302">
        <v>-1.10972744087</v>
      </c>
      <c r="AH1302">
        <v>49.330117047038598</v>
      </c>
      <c r="AI1302">
        <v>91.287528778018199</v>
      </c>
      <c r="AJ1302">
        <v>87.551269559899296</v>
      </c>
      <c r="AK1302">
        <v>49.387673064911901</v>
      </c>
      <c r="AL1302">
        <v>81.246630975133797</v>
      </c>
      <c r="AM1302">
        <v>93.761868412560801</v>
      </c>
      <c r="AN1302">
        <v>0.99999998584912897</v>
      </c>
    </row>
    <row r="1303" spans="1:40" x14ac:dyDescent="0.25">
      <c r="A1303" t="str">
        <f>"20190304155347364"</f>
        <v>20190304155347364</v>
      </c>
      <c r="B1303" t="str">
        <f>"1551686027357633"</f>
        <v>1551686027357633</v>
      </c>
      <c r="C1303" t="s">
        <v>40</v>
      </c>
      <c r="D1303">
        <v>4.6685720000000002</v>
      </c>
      <c r="E1303">
        <v>0.54189219999999905</v>
      </c>
      <c r="F1303" t="s">
        <v>63</v>
      </c>
      <c r="G1303">
        <v>-324.97559999999999</v>
      </c>
      <c r="H1303" s="1">
        <v>9.6506929999999989E-7</v>
      </c>
      <c r="I1303">
        <v>287.95370000000003</v>
      </c>
      <c r="J1303">
        <v>-262.25889999999998</v>
      </c>
      <c r="K1303">
        <v>1.109739</v>
      </c>
      <c r="L1303">
        <v>285.90960000000001</v>
      </c>
      <c r="M1303">
        <v>-0.99979960000000001</v>
      </c>
      <c r="N1303">
        <v>-1.0652969999999999E-2</v>
      </c>
      <c r="O1303">
        <v>-1.695255E-2</v>
      </c>
      <c r="P1303">
        <v>-0.98647459999999998</v>
      </c>
      <c r="Q1303">
        <v>0.14204520000000001</v>
      </c>
      <c r="R1303">
        <v>-8.1801840000000001E-2</v>
      </c>
      <c r="S1303">
        <v>-3.0568240000000002</v>
      </c>
      <c r="T1303">
        <v>-5.3776499999999998E-2</v>
      </c>
      <c r="U1303">
        <v>9.8754880000000003E-2</v>
      </c>
      <c r="V1303">
        <v>-6.505996E-2</v>
      </c>
      <c r="W1303">
        <v>0.1525618</v>
      </c>
      <c r="X1303">
        <v>0.98615010000000003</v>
      </c>
      <c r="Y1303">
        <v>4.9216929999999999E-2</v>
      </c>
      <c r="Z1303">
        <v>8.1263549999999998E-4</v>
      </c>
      <c r="AA1303">
        <v>0.9987878</v>
      </c>
      <c r="AB1303">
        <v>36</v>
      </c>
      <c r="AC1303">
        <v>-62.716700000000003</v>
      </c>
      <c r="AD1303">
        <v>-1.1097380349307</v>
      </c>
      <c r="AE1303">
        <v>2.04410000000001</v>
      </c>
      <c r="AF1303">
        <v>3.1061030160352598</v>
      </c>
      <c r="AG1303">
        <v>-1.1097380349307</v>
      </c>
      <c r="AH1303">
        <v>62.6534360252884</v>
      </c>
      <c r="AI1303">
        <v>91.013490931469406</v>
      </c>
      <c r="AJ1303">
        <v>87.161831514525204</v>
      </c>
      <c r="AK1303">
        <v>62.740197961333301</v>
      </c>
      <c r="AL1303">
        <v>81.224583728080304</v>
      </c>
      <c r="AM1303">
        <v>93.774544011002206</v>
      </c>
      <c r="AN1303">
        <v>0.99999996047222495</v>
      </c>
    </row>
    <row r="1304" spans="1:40" x14ac:dyDescent="0.25">
      <c r="A1304" t="str">
        <f>"20190304155347385"</f>
        <v>20190304155347385</v>
      </c>
      <c r="B1304" t="str">
        <f>"1551686027377153"</f>
        <v>1551686027377153</v>
      </c>
      <c r="C1304" t="s">
        <v>40</v>
      </c>
      <c r="D1304">
        <v>4.6696030000000004</v>
      </c>
      <c r="E1304">
        <v>0.54272519999999902</v>
      </c>
      <c r="F1304" t="s">
        <v>63</v>
      </c>
      <c r="G1304">
        <v>-323.01729999999998</v>
      </c>
      <c r="H1304" s="1">
        <v>-7.424998E-8</v>
      </c>
      <c r="I1304">
        <v>287.89030000000002</v>
      </c>
      <c r="J1304">
        <v>-262.6087</v>
      </c>
      <c r="K1304">
        <v>1.1097410000000001</v>
      </c>
      <c r="L1304">
        <v>285.90370000000001</v>
      </c>
      <c r="M1304">
        <v>-0.99979879999999999</v>
      </c>
      <c r="N1304">
        <v>-1.0729809999999999E-2</v>
      </c>
      <c r="O1304">
        <v>-1.6952720000000001E-2</v>
      </c>
      <c r="P1304">
        <v>-0.9865604</v>
      </c>
      <c r="Q1304">
        <v>0.14158370000000001</v>
      </c>
      <c r="R1304">
        <v>-8.1566780000000005E-2</v>
      </c>
      <c r="S1304">
        <v>-3.0574340000000002</v>
      </c>
      <c r="T1304">
        <v>-5.584335E-2</v>
      </c>
      <c r="U1304">
        <v>9.9670410000000001E-2</v>
      </c>
      <c r="V1304">
        <v>-6.4823560000000002E-2</v>
      </c>
      <c r="W1304">
        <v>0.15217729999999999</v>
      </c>
      <c r="X1304">
        <v>0.98622509999999997</v>
      </c>
      <c r="Y1304">
        <v>4.9508480000000001E-2</v>
      </c>
      <c r="Z1304">
        <v>8.4539039999999895E-4</v>
      </c>
      <c r="AA1304">
        <v>0.99877329999999998</v>
      </c>
      <c r="AB1304">
        <v>36</v>
      </c>
      <c r="AC1304">
        <v>-60.4085999999999</v>
      </c>
      <c r="AD1304">
        <v>-1.10974107424998</v>
      </c>
      <c r="AE1304">
        <v>1.9866000000000099</v>
      </c>
      <c r="AF1304">
        <v>3.0094489047867099</v>
      </c>
      <c r="AG1304">
        <v>-1.10974107424998</v>
      </c>
      <c r="AH1304">
        <v>60.3458941870784</v>
      </c>
      <c r="AI1304">
        <v>91.052224379711205</v>
      </c>
      <c r="AJ1304">
        <v>87.145025492641906</v>
      </c>
      <c r="AK1304">
        <v>60.431078537458397</v>
      </c>
      <c r="AL1304">
        <v>81.246874456483795</v>
      </c>
      <c r="AM1304">
        <v>93.760583184524904</v>
      </c>
      <c r="AN1304">
        <v>0.99999998621818598</v>
      </c>
    </row>
    <row r="1305" spans="1:40" x14ac:dyDescent="0.25">
      <c r="A1305" t="str">
        <f>"20190304155347409"</f>
        <v>20190304155347409</v>
      </c>
      <c r="B1305" t="str">
        <f>"1551686027397650"</f>
        <v>1551686027397650</v>
      </c>
      <c r="C1305" t="s">
        <v>40</v>
      </c>
      <c r="D1305">
        <v>4.6548439999999998</v>
      </c>
      <c r="E1305">
        <v>0.54327669999999995</v>
      </c>
      <c r="F1305" t="s">
        <v>63</v>
      </c>
      <c r="G1305">
        <v>-322.76139999999998</v>
      </c>
      <c r="H1305" s="1">
        <v>-2.153768E-7</v>
      </c>
      <c r="I1305">
        <v>288.00369999999998</v>
      </c>
      <c r="J1305">
        <v>-262.9794</v>
      </c>
      <c r="K1305">
        <v>1.109742</v>
      </c>
      <c r="L1305">
        <v>285.8974</v>
      </c>
      <c r="M1305">
        <v>-0.99979799999999996</v>
      </c>
      <c r="N1305">
        <v>-1.080651E-2</v>
      </c>
      <c r="O1305">
        <v>-1.6952760000000001E-2</v>
      </c>
      <c r="P1305">
        <v>-0.98661359999999998</v>
      </c>
      <c r="Q1305">
        <v>0.14066500000000001</v>
      </c>
      <c r="R1305">
        <v>-8.2506339999999997E-2</v>
      </c>
      <c r="S1305">
        <v>-3.0577700000000001</v>
      </c>
      <c r="T1305">
        <v>-5.641198E-2</v>
      </c>
      <c r="U1305">
        <v>0.1067505</v>
      </c>
      <c r="V1305">
        <v>-6.5761849999999997E-2</v>
      </c>
      <c r="W1305">
        <v>0.15133450000000001</v>
      </c>
      <c r="X1305">
        <v>0.98629270000000002</v>
      </c>
      <c r="Y1305">
        <v>5.1813919999999999E-2</v>
      </c>
      <c r="Z1305">
        <v>8.8737020000000002E-4</v>
      </c>
      <c r="AA1305">
        <v>0.9986564</v>
      </c>
      <c r="AB1305">
        <v>36</v>
      </c>
      <c r="AC1305">
        <v>-59.781999999999897</v>
      </c>
      <c r="AD1305">
        <v>-1.1097422153768</v>
      </c>
      <c r="AE1305">
        <v>2.1062999999999699</v>
      </c>
      <c r="AF1305">
        <v>3.1184529848282301</v>
      </c>
      <c r="AG1305">
        <v>-1.1097422153768</v>
      </c>
      <c r="AH1305">
        <v>59.717145695846597</v>
      </c>
      <c r="AI1305">
        <v>91.063174374772601</v>
      </c>
      <c r="AJ1305">
        <v>87.010706979700998</v>
      </c>
      <c r="AK1305">
        <v>59.808810110736502</v>
      </c>
      <c r="AL1305">
        <v>81.2957294815468</v>
      </c>
      <c r="AM1305">
        <v>93.814595541941301</v>
      </c>
      <c r="AN1305">
        <v>1.0000000209394799</v>
      </c>
    </row>
    <row r="1306" spans="1:40" x14ac:dyDescent="0.25">
      <c r="A1306" t="str">
        <f>"20190304155347441"</f>
        <v>20190304155347441</v>
      </c>
      <c r="B1306" t="str">
        <f>"1551686027437194"</f>
        <v>1551686027437194</v>
      </c>
      <c r="C1306" t="s">
        <v>40</v>
      </c>
      <c r="D1306">
        <v>4.6269280000000004</v>
      </c>
      <c r="E1306">
        <v>0.54388080000000005</v>
      </c>
      <c r="F1306" t="s">
        <v>63</v>
      </c>
      <c r="G1306">
        <v>-322.44240000000002</v>
      </c>
      <c r="H1306" s="1">
        <v>-3.852147E-7</v>
      </c>
      <c r="I1306">
        <v>288.00580000000002</v>
      </c>
      <c r="J1306">
        <v>-263.49639999999999</v>
      </c>
      <c r="K1306">
        <v>1.109753</v>
      </c>
      <c r="L1306">
        <v>285.8886</v>
      </c>
      <c r="M1306">
        <v>-0.99979680000000004</v>
      </c>
      <c r="N1306">
        <v>-1.0909490000000001E-2</v>
      </c>
      <c r="O1306">
        <v>-1.695319E-2</v>
      </c>
      <c r="P1306">
        <v>-0.98652830000000002</v>
      </c>
      <c r="Q1306">
        <v>0.140232299999999</v>
      </c>
      <c r="R1306">
        <v>-8.4243990000000005E-2</v>
      </c>
      <c r="S1306">
        <v>-3.0579529999999999</v>
      </c>
      <c r="T1306">
        <v>-5.7069780000000001E-2</v>
      </c>
      <c r="U1306">
        <v>0.108429</v>
      </c>
      <c r="V1306">
        <v>-6.7500630000000006E-2</v>
      </c>
      <c r="W1306">
        <v>0.1510032</v>
      </c>
      <c r="X1306">
        <v>0.98622600000000005</v>
      </c>
      <c r="Y1306">
        <v>5.2359259999999998E-2</v>
      </c>
      <c r="Z1306">
        <v>9.0552600000000003E-4</v>
      </c>
      <c r="AA1306">
        <v>0.99862790000000001</v>
      </c>
      <c r="AB1306">
        <v>36</v>
      </c>
      <c r="AC1306">
        <v>-58.945999999999998</v>
      </c>
      <c r="AD1306">
        <v>-1.1097533852146999</v>
      </c>
      <c r="AE1306">
        <v>2.11720000000002</v>
      </c>
      <c r="AF1306">
        <v>3.1151751417931202</v>
      </c>
      <c r="AG1306">
        <v>-1.1097533852146999</v>
      </c>
      <c r="AH1306">
        <v>58.880789208016601</v>
      </c>
      <c r="AI1306">
        <v>91.078244493142194</v>
      </c>
      <c r="AJ1306">
        <v>86.971505713113402</v>
      </c>
      <c r="AK1306">
        <v>58.9735805806204</v>
      </c>
      <c r="AL1306">
        <v>81.314932176182595</v>
      </c>
      <c r="AM1306">
        <v>93.915409890400099</v>
      </c>
      <c r="AN1306">
        <v>1.0000000122683099</v>
      </c>
    </row>
    <row r="1307" spans="1:40" x14ac:dyDescent="0.25">
      <c r="A1307" t="str">
        <f>"20190304155347465"</f>
        <v>20190304155347465</v>
      </c>
      <c r="B1307" t="str">
        <f>"1551686027457690"</f>
        <v>1551686027457690</v>
      </c>
      <c r="C1307" t="s">
        <v>40</v>
      </c>
      <c r="D1307">
        <v>4.61151</v>
      </c>
      <c r="E1307">
        <v>0.54422409999999999</v>
      </c>
      <c r="F1307" t="s">
        <v>63</v>
      </c>
      <c r="G1307">
        <v>-321.32920000000001</v>
      </c>
      <c r="H1307" s="1">
        <v>-9.7444209999999998E-7</v>
      </c>
      <c r="I1307">
        <v>287.93310000000002</v>
      </c>
      <c r="J1307">
        <v>-263.87860000000001</v>
      </c>
      <c r="K1307">
        <v>1.1097589999999999</v>
      </c>
      <c r="L1307">
        <v>285.88209999999998</v>
      </c>
      <c r="M1307">
        <v>-0.99979600000000002</v>
      </c>
      <c r="N1307">
        <v>-1.09797E-2</v>
      </c>
      <c r="O1307">
        <v>-1.6953449999999998E-2</v>
      </c>
      <c r="P1307">
        <v>-0.98638809999999999</v>
      </c>
      <c r="Q1307">
        <v>0.14049310000000001</v>
      </c>
      <c r="R1307">
        <v>-8.5442829999999997E-2</v>
      </c>
      <c r="S1307">
        <v>-3.0585330000000002</v>
      </c>
      <c r="T1307">
        <v>-5.8690190000000003E-2</v>
      </c>
      <c r="U1307">
        <v>0.10812380000000001</v>
      </c>
      <c r="V1307">
        <v>-6.8700979999999995E-2</v>
      </c>
      <c r="W1307">
        <v>0.15133170000000001</v>
      </c>
      <c r="X1307">
        <v>0.98609270000000004</v>
      </c>
      <c r="Y1307">
        <v>5.2252590000000002E-2</v>
      </c>
      <c r="Z1307">
        <v>9.272576E-4</v>
      </c>
      <c r="AA1307">
        <v>0.9986334</v>
      </c>
      <c r="AB1307">
        <v>36</v>
      </c>
      <c r="AC1307">
        <v>-57.450600000000001</v>
      </c>
      <c r="AD1307">
        <v>-1.1097599744420901</v>
      </c>
      <c r="AE1307">
        <v>2.0510000000000401</v>
      </c>
      <c r="AF1307">
        <v>3.0236229848706699</v>
      </c>
      <c r="AG1307">
        <v>-1.1097599744420901</v>
      </c>
      <c r="AH1307">
        <v>57.386182894464397</v>
      </c>
      <c r="AI1307">
        <v>91.106339393484106</v>
      </c>
      <c r="AJ1307">
        <v>86.983929226136596</v>
      </c>
      <c r="AK1307">
        <v>57.4764982436511</v>
      </c>
      <c r="AL1307">
        <v>81.295891249089195</v>
      </c>
      <c r="AM1307">
        <v>93.985351406815994</v>
      </c>
      <c r="AN1307">
        <v>0.99999996053556905</v>
      </c>
    </row>
    <row r="1308" spans="1:40" x14ac:dyDescent="0.25">
      <c r="A1308" t="str">
        <f>"20190304155347499"</f>
        <v>20190304155347499</v>
      </c>
      <c r="B1308" t="str">
        <f>"1551686027487947"</f>
        <v>1551686027487947</v>
      </c>
      <c r="C1308" t="s">
        <v>40</v>
      </c>
      <c r="D1308">
        <v>4.5759639999999999</v>
      </c>
      <c r="E1308">
        <v>0.54466329999999996</v>
      </c>
      <c r="F1308" t="s">
        <v>63</v>
      </c>
      <c r="G1308">
        <v>-322.51280000000003</v>
      </c>
      <c r="H1308" s="1">
        <v>-3.4486319999999999E-7</v>
      </c>
      <c r="I1308">
        <v>287.94</v>
      </c>
      <c r="J1308">
        <v>-264.42129999999997</v>
      </c>
      <c r="K1308">
        <v>1.1097699999999999</v>
      </c>
      <c r="L1308">
        <v>285.87290000000002</v>
      </c>
      <c r="M1308">
        <v>-0.99979499999999999</v>
      </c>
      <c r="N1308">
        <v>-1.10758E-2</v>
      </c>
      <c r="O1308">
        <v>-1.695373E-2</v>
      </c>
      <c r="P1308">
        <v>-0.98626599999999998</v>
      </c>
      <c r="Q1308">
        <v>0.140683</v>
      </c>
      <c r="R1308">
        <v>-8.653247E-2</v>
      </c>
      <c r="S1308">
        <v>-3.0589599999999999</v>
      </c>
      <c r="T1308">
        <v>-5.7896379999999997E-2</v>
      </c>
      <c r="U1308">
        <v>0.10736080000000001</v>
      </c>
      <c r="V1308">
        <v>-6.9792499999999993E-2</v>
      </c>
      <c r="W1308">
        <v>0.15161549999999999</v>
      </c>
      <c r="X1308">
        <v>0.98597250000000003</v>
      </c>
      <c r="Y1308">
        <v>5.1999589999999998E-2</v>
      </c>
      <c r="Z1308">
        <v>9.1305979999999998E-4</v>
      </c>
      <c r="AA1308">
        <v>0.9986467</v>
      </c>
      <c r="AB1308">
        <v>36</v>
      </c>
      <c r="AC1308">
        <v>-58.091500000000003</v>
      </c>
      <c r="AD1308">
        <v>-1.1097703448631999</v>
      </c>
      <c r="AE1308">
        <v>2.06709999999998</v>
      </c>
      <c r="AF1308">
        <v>3.05061888417044</v>
      </c>
      <c r="AG1308">
        <v>-1.1097703448631999</v>
      </c>
      <c r="AH1308">
        <v>58.026952054350197</v>
      </c>
      <c r="AI1308">
        <v>91.094142418159905</v>
      </c>
      <c r="AJ1308">
        <v>86.990591135797501</v>
      </c>
      <c r="AK1308">
        <v>58.117682597576596</v>
      </c>
      <c r="AL1308">
        <v>81.279441341221698</v>
      </c>
      <c r="AM1308">
        <v>94.048953601645806</v>
      </c>
      <c r="AN1308">
        <v>1.0000000118263701</v>
      </c>
    </row>
    <row r="1309" spans="1:40" x14ac:dyDescent="0.25">
      <c r="A1309" t="str">
        <f>"20190304155347520"</f>
        <v>20190304155347520</v>
      </c>
      <c r="B1309" t="str">
        <f>"1551686027517736"</f>
        <v>1551686027517736</v>
      </c>
      <c r="C1309" t="s">
        <v>40</v>
      </c>
      <c r="D1309">
        <v>4.5429740000000001</v>
      </c>
      <c r="E1309">
        <v>0.54517349999999998</v>
      </c>
      <c r="F1309" t="s">
        <v>63</v>
      </c>
      <c r="G1309">
        <v>-324.30200000000002</v>
      </c>
      <c r="H1309" s="1">
        <v>6.0507829999999999E-7</v>
      </c>
      <c r="I1309">
        <v>287.98919999999998</v>
      </c>
      <c r="J1309">
        <v>-264.76249999999999</v>
      </c>
      <c r="K1309">
        <v>1.1097669999999999</v>
      </c>
      <c r="L1309">
        <v>285.86709999999999</v>
      </c>
      <c r="M1309">
        <v>-0.99979439999999997</v>
      </c>
      <c r="N1309">
        <v>-1.113194E-2</v>
      </c>
      <c r="O1309">
        <v>-1.6948640000000001E-2</v>
      </c>
      <c r="P1309">
        <v>-0.9863191</v>
      </c>
      <c r="Q1309">
        <v>0.14029639999999999</v>
      </c>
      <c r="R1309">
        <v>-8.6553599999999994E-2</v>
      </c>
      <c r="S1309">
        <v>-3.0593870000000001</v>
      </c>
      <c r="T1309">
        <v>-5.6699630000000001E-2</v>
      </c>
      <c r="U1309">
        <v>0.10812380000000001</v>
      </c>
      <c r="V1309">
        <v>-6.9817219999999999E-2</v>
      </c>
      <c r="W1309">
        <v>0.15128510000000001</v>
      </c>
      <c r="X1309">
        <v>0.9860215</v>
      </c>
      <c r="Y1309">
        <v>5.2238819999999998E-2</v>
      </c>
      <c r="Z1309">
        <v>9.0017009999999998E-4</v>
      </c>
      <c r="AA1309">
        <v>0.99863420000000003</v>
      </c>
      <c r="AB1309">
        <v>36</v>
      </c>
      <c r="AC1309">
        <v>-59.539499999999997</v>
      </c>
      <c r="AD1309">
        <v>-1.10976639492169</v>
      </c>
      <c r="AE1309">
        <v>2.1220999999999801</v>
      </c>
      <c r="AF1309">
        <v>3.1298852192646902</v>
      </c>
      <c r="AG1309">
        <v>-1.10976639492169</v>
      </c>
      <c r="AH1309">
        <v>59.474341574096201</v>
      </c>
      <c r="AI1309">
        <v>91.067514417433301</v>
      </c>
      <c r="AJ1309">
        <v>86.987542292374201</v>
      </c>
      <c r="AK1309">
        <v>59.566979683456601</v>
      </c>
      <c r="AL1309">
        <v>81.298592783105207</v>
      </c>
      <c r="AM1309">
        <v>94.050182326990097</v>
      </c>
      <c r="AN1309">
        <v>1.0000000120763901</v>
      </c>
    </row>
    <row r="1310" spans="1:40" x14ac:dyDescent="0.25">
      <c r="A1310" t="str">
        <f>"20190304155347543"</f>
        <v>20190304155347543</v>
      </c>
      <c r="B1310" t="str">
        <f>"1551686027537256"</f>
        <v>1551686027537256</v>
      </c>
      <c r="C1310" t="s">
        <v>40</v>
      </c>
      <c r="D1310">
        <v>4.5394430000000003</v>
      </c>
      <c r="E1310">
        <v>0.54526239999999904</v>
      </c>
      <c r="F1310" t="s">
        <v>63</v>
      </c>
      <c r="G1310">
        <v>-323.96899999999999</v>
      </c>
      <c r="H1310" s="1">
        <v>4.2534200000000002E-7</v>
      </c>
      <c r="I1310">
        <v>288.04680000000002</v>
      </c>
      <c r="J1310">
        <v>-265.12459999999999</v>
      </c>
      <c r="K1310">
        <v>1.1097549999999901</v>
      </c>
      <c r="L1310">
        <v>285.86099999999999</v>
      </c>
      <c r="M1310">
        <v>-0.99979430000000002</v>
      </c>
      <c r="N1310">
        <v>-1.1185840000000001E-2</v>
      </c>
      <c r="O1310">
        <v>-1.6921720000000001E-2</v>
      </c>
      <c r="P1310">
        <v>-0.98641190000000001</v>
      </c>
      <c r="Q1310">
        <v>0.13992560000000001</v>
      </c>
      <c r="R1310">
        <v>-8.6095809999999995E-2</v>
      </c>
      <c r="S1310">
        <v>-3.059631</v>
      </c>
      <c r="T1310">
        <v>-5.7349799999999999E-2</v>
      </c>
      <c r="U1310">
        <v>0.1126404</v>
      </c>
      <c r="V1310">
        <v>-6.9380510000000006E-2</v>
      </c>
      <c r="W1310">
        <v>0.15097070000000001</v>
      </c>
      <c r="X1310">
        <v>0.98610050000000005</v>
      </c>
      <c r="Y1310">
        <v>5.3680619999999998E-2</v>
      </c>
      <c r="Z1310">
        <v>9.3111379999999996E-4</v>
      </c>
      <c r="AA1310">
        <v>0.99855769999999999</v>
      </c>
      <c r="AB1310">
        <v>36</v>
      </c>
      <c r="AC1310">
        <v>-58.8444</v>
      </c>
      <c r="AD1310">
        <v>-1.10975457465799</v>
      </c>
      <c r="AE1310">
        <v>2.1858000000000199</v>
      </c>
      <c r="AF1310">
        <v>3.1801681769552101</v>
      </c>
      <c r="AG1310">
        <v>-1.10975457465799</v>
      </c>
      <c r="AH1310">
        <v>58.778107017607198</v>
      </c>
      <c r="AI1310">
        <v>91.080059810922904</v>
      </c>
      <c r="AJ1310">
        <v>86.903052170734796</v>
      </c>
      <c r="AK1310">
        <v>58.874535152500201</v>
      </c>
      <c r="AL1310">
        <v>81.316815792360899</v>
      </c>
      <c r="AM1310">
        <v>94.024610378490294</v>
      </c>
      <c r="AN1310">
        <v>1.0000000017633</v>
      </c>
    </row>
    <row r="1311" spans="1:40" x14ac:dyDescent="0.25">
      <c r="A1311" t="str">
        <f>"20190304155347564"</f>
        <v>20190304155347564</v>
      </c>
      <c r="B1311" t="str">
        <f>"1551686027557753"</f>
        <v>1551686027557753</v>
      </c>
      <c r="C1311" t="s">
        <v>40</v>
      </c>
      <c r="D1311">
        <v>4.5837870000000001</v>
      </c>
      <c r="E1311">
        <v>0.54546219999999901</v>
      </c>
      <c r="F1311" t="s">
        <v>63</v>
      </c>
      <c r="G1311">
        <v>-323.61169999999998</v>
      </c>
      <c r="H1311" s="1">
        <v>2.347467E-7</v>
      </c>
      <c r="I1311">
        <v>288.05799999999999</v>
      </c>
      <c r="J1311">
        <v>-265.46749999999997</v>
      </c>
      <c r="K1311">
        <v>1.109737</v>
      </c>
      <c r="L1311">
        <v>285.85520000000002</v>
      </c>
      <c r="M1311">
        <v>-0.99979470000000004</v>
      </c>
      <c r="N1311">
        <v>-1.123122E-2</v>
      </c>
      <c r="O1311">
        <v>-1.6869019999999998E-2</v>
      </c>
      <c r="P1311">
        <v>-0.98651080000000002</v>
      </c>
      <c r="Q1311">
        <v>0.1394157</v>
      </c>
      <c r="R1311">
        <v>-8.5791539999999999E-2</v>
      </c>
      <c r="S1311">
        <v>-3.0596009999999998</v>
      </c>
      <c r="T1311">
        <v>-5.8053970000000003E-2</v>
      </c>
      <c r="U1311">
        <v>0.1149292</v>
      </c>
      <c r="V1311">
        <v>-6.9118840000000001E-2</v>
      </c>
      <c r="W1311">
        <v>0.15050920000000001</v>
      </c>
      <c r="X1311">
        <v>0.98618939999999999</v>
      </c>
      <c r="Y1311">
        <v>5.4373770000000002E-2</v>
      </c>
      <c r="Z1311">
        <v>9.5169609999999996E-4</v>
      </c>
      <c r="AA1311">
        <v>0.99852019999999997</v>
      </c>
      <c r="AB1311">
        <v>36</v>
      </c>
      <c r="AC1311">
        <v>-58.144199999999998</v>
      </c>
      <c r="AD1311">
        <v>-1.1097367652532999</v>
      </c>
      <c r="AE1311">
        <v>2.2027999999999599</v>
      </c>
      <c r="AF1311">
        <v>3.1822264496002401</v>
      </c>
      <c r="AG1311">
        <v>-1.1097367652532999</v>
      </c>
      <c r="AH1311">
        <v>58.077638279901201</v>
      </c>
      <c r="AI1311">
        <v>91.093024813029999</v>
      </c>
      <c r="AJ1311">
        <v>86.863749722214095</v>
      </c>
      <c r="AK1311">
        <v>58.175339698498902</v>
      </c>
      <c r="AL1311">
        <v>81.343563264321205</v>
      </c>
      <c r="AM1311">
        <v>94.0091208218807</v>
      </c>
      <c r="AN1311">
        <v>0.99999998299997195</v>
      </c>
    </row>
    <row r="1312" spans="1:40" x14ac:dyDescent="0.25">
      <c r="A1312" t="str">
        <f>"20190304155347587"</f>
        <v>20190304155347587</v>
      </c>
      <c r="B1312" t="str">
        <f>"1551686027577272"</f>
        <v>1551686027577272</v>
      </c>
      <c r="C1312" t="s">
        <v>40</v>
      </c>
      <c r="D1312">
        <v>4.5757629999999896</v>
      </c>
      <c r="E1312">
        <v>0.54564579999999996</v>
      </c>
      <c r="F1312" t="s">
        <v>63</v>
      </c>
      <c r="G1312">
        <v>-323.21499999999997</v>
      </c>
      <c r="H1312" s="1">
        <v>2.2989199999999999E-8</v>
      </c>
      <c r="I1312">
        <v>288.07279999999997</v>
      </c>
      <c r="J1312">
        <v>-265.83350000000002</v>
      </c>
      <c r="K1312">
        <v>1.1097189999999999</v>
      </c>
      <c r="L1312">
        <v>285.8492</v>
      </c>
      <c r="M1312">
        <v>-0.99979560000000001</v>
      </c>
      <c r="N1312">
        <v>-1.127452E-2</v>
      </c>
      <c r="O1312">
        <v>-1.678727E-2</v>
      </c>
      <c r="P1312">
        <v>-0.98654679999999995</v>
      </c>
      <c r="Q1312">
        <v>0.13931559999999901</v>
      </c>
      <c r="R1312">
        <v>-8.5538859999999994E-2</v>
      </c>
      <c r="S1312">
        <v>-3.0595089999999998</v>
      </c>
      <c r="T1312">
        <v>-5.8794739999999998E-2</v>
      </c>
      <c r="U1312">
        <v>0.11749270000000001</v>
      </c>
      <c r="V1312">
        <v>-6.8937860000000004E-2</v>
      </c>
      <c r="W1312">
        <v>0.15045639999999999</v>
      </c>
      <c r="X1312">
        <v>0.98621020000000004</v>
      </c>
      <c r="Y1312">
        <v>5.5128080000000003E-2</v>
      </c>
      <c r="Z1312">
        <v>9.7367560000000001E-4</v>
      </c>
      <c r="AA1312">
        <v>0.9984788</v>
      </c>
      <c r="AB1312">
        <v>36</v>
      </c>
      <c r="AC1312">
        <v>-57.381499999999903</v>
      </c>
      <c r="AD1312">
        <v>-1.1097189770108</v>
      </c>
      <c r="AE1312">
        <v>2.22359999999997</v>
      </c>
      <c r="AF1312">
        <v>3.1854369042868398</v>
      </c>
      <c r="AG1312">
        <v>-1.1097189770108</v>
      </c>
      <c r="AH1312">
        <v>57.314678377485301</v>
      </c>
      <c r="AI1312">
        <v>91.107505714259801</v>
      </c>
      <c r="AJ1312">
        <v>86.818886163029106</v>
      </c>
      <c r="AK1312">
        <v>57.413855836319797</v>
      </c>
      <c r="AL1312">
        <v>81.346623979096094</v>
      </c>
      <c r="AM1312">
        <v>93.998573420358795</v>
      </c>
      <c r="AN1312">
        <v>1.00000005771318</v>
      </c>
    </row>
    <row r="1313" spans="1:40" x14ac:dyDescent="0.25">
      <c r="A1313" t="str">
        <f>"20190304155347609"</f>
        <v>20190304155347609</v>
      </c>
      <c r="B1313" t="str">
        <f>"1551686027597768"</f>
        <v>1551686027597768</v>
      </c>
      <c r="C1313" t="s">
        <v>40</v>
      </c>
      <c r="D1313">
        <v>4.5813280000000001</v>
      </c>
      <c r="E1313">
        <v>0.54565390000000003</v>
      </c>
      <c r="F1313" t="s">
        <v>63</v>
      </c>
      <c r="G1313">
        <v>-323.73649999999998</v>
      </c>
      <c r="H1313" s="1">
        <v>2.9854010000000002E-7</v>
      </c>
      <c r="I1313">
        <v>288.11829999999998</v>
      </c>
      <c r="J1313">
        <v>-266.19139999999999</v>
      </c>
      <c r="K1313">
        <v>1.109702</v>
      </c>
      <c r="L1313">
        <v>285.84320000000002</v>
      </c>
      <c r="M1313">
        <v>-0.99979700000000005</v>
      </c>
      <c r="N1313">
        <v>-1.131215E-2</v>
      </c>
      <c r="O1313">
        <v>-1.6678180000000001E-2</v>
      </c>
      <c r="P1313">
        <v>-0.98652890000000004</v>
      </c>
      <c r="Q1313">
        <v>0.13958690000000001</v>
      </c>
      <c r="R1313">
        <v>-8.5303539999999997E-2</v>
      </c>
      <c r="S1313">
        <v>-3.0596009999999998</v>
      </c>
      <c r="T1313">
        <v>-5.8637620000000001E-2</v>
      </c>
      <c r="U1313">
        <v>0.1199036</v>
      </c>
      <c r="V1313">
        <v>-6.8801000000000001E-2</v>
      </c>
      <c r="W1313">
        <v>0.15076889999999901</v>
      </c>
      <c r="X1313">
        <v>0.98617200000000005</v>
      </c>
      <c r="Y1313">
        <v>5.5803440000000003E-2</v>
      </c>
      <c r="Z1313">
        <v>9.812098999999999E-4</v>
      </c>
      <c r="AA1313">
        <v>0.99844129999999998</v>
      </c>
      <c r="AB1313">
        <v>36</v>
      </c>
      <c r="AC1313">
        <v>-57.545099999999898</v>
      </c>
      <c r="AD1313">
        <v>-1.10970170145989</v>
      </c>
      <c r="AE1313">
        <v>2.2750999999999499</v>
      </c>
      <c r="AF1313">
        <v>3.2333918452069899</v>
      </c>
      <c r="AG1313">
        <v>-1.10970170145989</v>
      </c>
      <c r="AH1313">
        <v>57.477806903701897</v>
      </c>
      <c r="AI1313">
        <v>91.104304440832905</v>
      </c>
      <c r="AJ1313">
        <v>86.780241570064803</v>
      </c>
      <c r="AK1313">
        <v>57.579376057318697</v>
      </c>
      <c r="AL1313">
        <v>81.328512172679297</v>
      </c>
      <c r="AM1313">
        <v>93.990814942707502</v>
      </c>
      <c r="AN1313">
        <v>1.0000000261961</v>
      </c>
    </row>
    <row r="1314" spans="1:40" x14ac:dyDescent="0.25">
      <c r="A1314" t="str">
        <f>"20190304155347631"</f>
        <v>20190304155347631</v>
      </c>
      <c r="B1314" t="str">
        <f>"1551686027627464"</f>
        <v>1551686027627464</v>
      </c>
      <c r="C1314" t="s">
        <v>40</v>
      </c>
      <c r="D1314">
        <v>4.578659</v>
      </c>
      <c r="E1314">
        <v>0.54586239999999997</v>
      </c>
      <c r="F1314" t="s">
        <v>63</v>
      </c>
      <c r="G1314">
        <v>-323.72019999999998</v>
      </c>
      <c r="H1314" s="1">
        <v>2.9027530000000003E-7</v>
      </c>
      <c r="I1314">
        <v>288.10860000000002</v>
      </c>
      <c r="J1314">
        <v>-266.54689999999999</v>
      </c>
      <c r="K1314">
        <v>1.10968</v>
      </c>
      <c r="L1314">
        <v>285.8374</v>
      </c>
      <c r="M1314">
        <v>-0.99979899999999999</v>
      </c>
      <c r="N1314">
        <v>-1.1345350000000001E-2</v>
      </c>
      <c r="O1314">
        <v>-1.6539040000000001E-2</v>
      </c>
      <c r="P1314">
        <v>-0.98658290000000004</v>
      </c>
      <c r="Q1314">
        <v>0.13949500000000001</v>
      </c>
      <c r="R1314">
        <v>-8.4826260000000001E-2</v>
      </c>
      <c r="S1314">
        <v>-3.059723</v>
      </c>
      <c r="T1314">
        <v>-5.902052E-2</v>
      </c>
      <c r="U1314">
        <v>0.12048339999999901</v>
      </c>
      <c r="V1314">
        <v>-6.8451719999999994E-2</v>
      </c>
      <c r="W1314">
        <v>0.15071419999999999</v>
      </c>
      <c r="X1314">
        <v>0.98620459999999999</v>
      </c>
      <c r="Y1314">
        <v>5.5851629999999999E-2</v>
      </c>
      <c r="Z1314">
        <v>9.8675720000000007E-4</v>
      </c>
      <c r="AA1314">
        <v>0.99843859999999995</v>
      </c>
      <c r="AB1314">
        <v>36</v>
      </c>
      <c r="AC1314">
        <v>-57.173299999999898</v>
      </c>
      <c r="AD1314">
        <v>-1.1096797097247</v>
      </c>
      <c r="AE1314">
        <v>2.2712000000000199</v>
      </c>
      <c r="AF1314">
        <v>3.2153321809136002</v>
      </c>
      <c r="AG1314">
        <v>-1.1096797097247</v>
      </c>
      <c r="AH1314">
        <v>57.106434242787799</v>
      </c>
      <c r="AI1314">
        <v>91.111459008161901</v>
      </c>
      <c r="AJ1314">
        <v>86.777409390062502</v>
      </c>
      <c r="AK1314">
        <v>57.20764443689</v>
      </c>
      <c r="AL1314">
        <v>81.331681904797406</v>
      </c>
      <c r="AM1314">
        <v>93.970489026277505</v>
      </c>
      <c r="AN1314">
        <v>0.99999996055687801</v>
      </c>
    </row>
    <row r="1315" spans="1:40" x14ac:dyDescent="0.25">
      <c r="A1315" t="str">
        <f>"20190304155347652"</f>
        <v>20190304155347652</v>
      </c>
      <c r="B1315" t="str">
        <f>"1551686027647960"</f>
        <v>1551686027647960</v>
      </c>
      <c r="C1315" t="s">
        <v>40</v>
      </c>
      <c r="D1315">
        <v>4.6047650000000004</v>
      </c>
      <c r="E1315">
        <v>0.54591179999999995</v>
      </c>
      <c r="F1315" t="s">
        <v>63</v>
      </c>
      <c r="G1315">
        <v>-323.61759999999998</v>
      </c>
      <c r="H1315" s="1">
        <v>2.3422990000000001E-7</v>
      </c>
      <c r="I1315">
        <v>288.14150000000001</v>
      </c>
      <c r="J1315">
        <v>-266.89510000000001</v>
      </c>
      <c r="K1315">
        <v>1.109658</v>
      </c>
      <c r="L1315">
        <v>285.83179999999999</v>
      </c>
      <c r="M1315">
        <v>-0.9998013</v>
      </c>
      <c r="N1315">
        <v>-1.137403E-2</v>
      </c>
      <c r="O1315">
        <v>-1.6375580000000001E-2</v>
      </c>
      <c r="P1315">
        <v>-0.98662720000000004</v>
      </c>
      <c r="Q1315">
        <v>0.1394167</v>
      </c>
      <c r="R1315">
        <v>-8.4438959999999993E-2</v>
      </c>
      <c r="S1315">
        <v>-3.0598450000000001</v>
      </c>
      <c r="T1315">
        <v>-5.9495449999999998E-2</v>
      </c>
      <c r="U1315">
        <v>0.123535199999999</v>
      </c>
      <c r="V1315">
        <v>-6.8217079999999999E-2</v>
      </c>
      <c r="W1315">
        <v>0.15066760000000001</v>
      </c>
      <c r="X1315">
        <v>0.98622799999999999</v>
      </c>
      <c r="Y1315">
        <v>5.6680559999999998E-2</v>
      </c>
      <c r="Z1315">
        <v>1.0053950000000001E-3</v>
      </c>
      <c r="AA1315">
        <v>0.9983919</v>
      </c>
      <c r="AB1315">
        <v>36</v>
      </c>
      <c r="AC1315">
        <v>-56.722499999999897</v>
      </c>
      <c r="AD1315">
        <v>-1.1096577657700999</v>
      </c>
      <c r="AE1315">
        <v>2.3097000000000198</v>
      </c>
      <c r="AF1315">
        <v>3.2370772982212301</v>
      </c>
      <c r="AG1315">
        <v>-1.1096577657700999</v>
      </c>
      <c r="AH1315">
        <v>56.655421460466997</v>
      </c>
      <c r="AI1315">
        <v>91.120229841095593</v>
      </c>
      <c r="AJ1315">
        <v>86.729890440684301</v>
      </c>
      <c r="AK1315">
        <v>56.758671501850202</v>
      </c>
      <c r="AL1315">
        <v>81.334382914976004</v>
      </c>
      <c r="AM1315">
        <v>93.956828636011394</v>
      </c>
      <c r="AN1315">
        <v>0.99999998183874295</v>
      </c>
    </row>
    <row r="1316" spans="1:40" x14ac:dyDescent="0.25">
      <c r="A1316" t="str">
        <f>"20190304155347678"</f>
        <v>20190304155347678</v>
      </c>
      <c r="B1316" t="str">
        <f>"1551686027667480"</f>
        <v>1551686027667480</v>
      </c>
      <c r="C1316" t="s">
        <v>40</v>
      </c>
      <c r="D1316">
        <v>4.6476989999999896</v>
      </c>
      <c r="E1316">
        <v>0.54592059999999998</v>
      </c>
      <c r="F1316" t="s">
        <v>63</v>
      </c>
      <c r="G1316">
        <v>-323.5453</v>
      </c>
      <c r="H1316" s="1">
        <v>1.9576249999999999E-7</v>
      </c>
      <c r="I1316">
        <v>288.14159999999998</v>
      </c>
      <c r="J1316">
        <v>-267.29489999999998</v>
      </c>
      <c r="K1316">
        <v>1.109642</v>
      </c>
      <c r="L1316">
        <v>285.82549999999998</v>
      </c>
      <c r="M1316">
        <v>-0.99980449999999998</v>
      </c>
      <c r="N1316">
        <v>-1.1402860000000001E-2</v>
      </c>
      <c r="O1316">
        <v>-1.6161579999999998E-2</v>
      </c>
      <c r="P1316">
        <v>-0.98656999999999995</v>
      </c>
      <c r="Q1316">
        <v>0.13975470000000001</v>
      </c>
      <c r="R1316">
        <v>-8.4550130000000001E-2</v>
      </c>
      <c r="S1316">
        <v>-3.0598450000000001</v>
      </c>
      <c r="T1316">
        <v>-5.9935929999999998E-2</v>
      </c>
      <c r="U1316">
        <v>0.1247559</v>
      </c>
      <c r="V1316">
        <v>-6.8532010000000004E-2</v>
      </c>
      <c r="W1316">
        <v>0.15103710000000001</v>
      </c>
      <c r="X1316">
        <v>0.98614970000000002</v>
      </c>
      <c r="Y1316">
        <v>5.686422E-2</v>
      </c>
      <c r="Z1316">
        <v>1.013267E-3</v>
      </c>
      <c r="AA1316">
        <v>0.99838139999999997</v>
      </c>
      <c r="AB1316">
        <v>36</v>
      </c>
      <c r="AC1316">
        <v>-56.250399999999999</v>
      </c>
      <c r="AD1316">
        <v>-1.1096418042375</v>
      </c>
      <c r="AE1316">
        <v>2.3161</v>
      </c>
      <c r="AF1316">
        <v>3.2236994202251599</v>
      </c>
      <c r="AG1316">
        <v>-1.1096418042375</v>
      </c>
      <c r="AH1316">
        <v>56.183791308996803</v>
      </c>
      <c r="AI1316">
        <v>91.129599280235695</v>
      </c>
      <c r="AJ1316">
        <v>86.716097803233296</v>
      </c>
      <c r="AK1316">
        <v>56.287138395361502</v>
      </c>
      <c r="AL1316">
        <v>81.3129675248246</v>
      </c>
      <c r="AM1316">
        <v>93.975351854194798</v>
      </c>
      <c r="AN1316">
        <v>1.0000000363905599</v>
      </c>
    </row>
    <row r="1317" spans="1:40" x14ac:dyDescent="0.25">
      <c r="A1317" t="str">
        <f>"20190304155347699"</f>
        <v>20190304155347699</v>
      </c>
      <c r="B1317" t="str">
        <f>"1551686027697736"</f>
        <v>1551686027697736</v>
      </c>
      <c r="C1317" t="s">
        <v>40</v>
      </c>
      <c r="D1317">
        <v>4.6048289999999996</v>
      </c>
      <c r="E1317">
        <v>0.5461357</v>
      </c>
      <c r="F1317" t="s">
        <v>63</v>
      </c>
      <c r="G1317">
        <v>-324.80290000000002</v>
      </c>
      <c r="H1317" s="1">
        <v>8.63822199999999E-7</v>
      </c>
      <c r="I1317">
        <v>288.16789999999997</v>
      </c>
      <c r="J1317">
        <v>-267.64150000000001</v>
      </c>
      <c r="K1317">
        <v>1.109631</v>
      </c>
      <c r="L1317">
        <v>285.82010000000002</v>
      </c>
      <c r="M1317">
        <v>-0.99980749999999996</v>
      </c>
      <c r="N1317">
        <v>-1.1424709999999999E-2</v>
      </c>
      <c r="O1317">
        <v>-1.5959069999999999E-2</v>
      </c>
      <c r="P1317">
        <v>-0.98656560000000004</v>
      </c>
      <c r="Q1317">
        <v>0.13991439999999999</v>
      </c>
      <c r="R1317">
        <v>-8.4335709999999994E-2</v>
      </c>
      <c r="S1317">
        <v>-3.0598749999999999</v>
      </c>
      <c r="T1317">
        <v>-5.9041620000000003E-2</v>
      </c>
      <c r="U1317">
        <v>0.1246338</v>
      </c>
      <c r="V1317">
        <v>-6.8511710000000003E-2</v>
      </c>
      <c r="W1317">
        <v>0.15122089999999999</v>
      </c>
      <c r="X1317">
        <v>0.98612290000000002</v>
      </c>
      <c r="Y1317">
        <v>5.6622350000000002E-2</v>
      </c>
      <c r="Z1317">
        <v>9.9519259999999998E-4</v>
      </c>
      <c r="AA1317">
        <v>0.99839509999999998</v>
      </c>
      <c r="AB1317">
        <v>36</v>
      </c>
      <c r="AC1317">
        <v>-57.1614</v>
      </c>
      <c r="AD1317">
        <v>-1.1096301361778</v>
      </c>
      <c r="AE1317">
        <v>2.3477999999999399</v>
      </c>
      <c r="AF1317">
        <v>3.2585772916581299</v>
      </c>
      <c r="AG1317">
        <v>-1.1096301361778</v>
      </c>
      <c r="AH1317">
        <v>57.095168969718401</v>
      </c>
      <c r="AI1317">
        <v>91.111580339512003</v>
      </c>
      <c r="AJ1317">
        <v>86.733516876079705</v>
      </c>
      <c r="AK1317">
        <v>57.1988454838515</v>
      </c>
      <c r="AL1317">
        <v>81.302313829752507</v>
      </c>
      <c r="AM1317">
        <v>93.974285742006799</v>
      </c>
      <c r="AN1317">
        <v>0.99999999445417198</v>
      </c>
    </row>
    <row r="1318" spans="1:40" x14ac:dyDescent="0.25">
      <c r="A1318" t="str">
        <f>"20190304155347720"</f>
        <v>20190304155347720</v>
      </c>
      <c r="B1318" t="str">
        <f>"1551686027717256"</f>
        <v>1551686027717256</v>
      </c>
      <c r="C1318" t="s">
        <v>40</v>
      </c>
      <c r="D1318">
        <v>4.606287</v>
      </c>
      <c r="E1318">
        <v>0.54612059999999996</v>
      </c>
      <c r="F1318" t="s">
        <v>63</v>
      </c>
      <c r="G1318">
        <v>-324.97410000000002</v>
      </c>
      <c r="H1318" s="1">
        <v>9.5358879999999999E-7</v>
      </c>
      <c r="I1318">
        <v>288.19799999999998</v>
      </c>
      <c r="J1318">
        <v>-267.96949999999998</v>
      </c>
      <c r="K1318">
        <v>1.109613</v>
      </c>
      <c r="L1318">
        <v>285.815</v>
      </c>
      <c r="M1318">
        <v>-0.99981050000000005</v>
      </c>
      <c r="N1318">
        <v>-1.144296E-2</v>
      </c>
      <c r="O1318">
        <v>-1.575886E-2</v>
      </c>
      <c r="P1318">
        <v>-0.98662329999999998</v>
      </c>
      <c r="Q1318">
        <v>0.1398027</v>
      </c>
      <c r="R1318">
        <v>-8.384614E-2</v>
      </c>
      <c r="S1318">
        <v>-3.0600890000000001</v>
      </c>
      <c r="T1318">
        <v>-5.9225800000000002E-2</v>
      </c>
      <c r="U1318">
        <v>0.1269226</v>
      </c>
      <c r="V1318">
        <v>-6.8214559999999994E-2</v>
      </c>
      <c r="W1318">
        <v>0.1511295</v>
      </c>
      <c r="X1318">
        <v>0.98615750000000002</v>
      </c>
      <c r="Y1318">
        <v>5.716483E-2</v>
      </c>
      <c r="Z1318">
        <v>1.004787E-3</v>
      </c>
      <c r="AA1318">
        <v>0.99836429999999998</v>
      </c>
      <c r="AB1318">
        <v>36</v>
      </c>
      <c r="AC1318">
        <v>-57.004600000000003</v>
      </c>
      <c r="AD1318">
        <v>-1.1096120464112</v>
      </c>
      <c r="AE1318">
        <v>2.38299999999998</v>
      </c>
      <c r="AF1318">
        <v>3.27984967009021</v>
      </c>
      <c r="AG1318">
        <v>-1.1096120464112</v>
      </c>
      <c r="AH1318">
        <v>56.938428279250203</v>
      </c>
      <c r="AI1318">
        <v>91.114587573650894</v>
      </c>
      <c r="AJ1318">
        <v>86.703208870043298</v>
      </c>
      <c r="AK1318">
        <v>57.043608473371002</v>
      </c>
      <c r="AL1318">
        <v>81.3076114538691</v>
      </c>
      <c r="AM1318">
        <v>93.956964894623596</v>
      </c>
      <c r="AN1318">
        <v>0.99999998338624596</v>
      </c>
    </row>
    <row r="1319" spans="1:40" x14ac:dyDescent="0.25">
      <c r="A1319" t="str">
        <f>"20190304155347744"</f>
        <v>20190304155347744</v>
      </c>
      <c r="B1319" t="str">
        <f>"1551686027737752"</f>
        <v>1551686027737752</v>
      </c>
      <c r="C1319" t="s">
        <v>40</v>
      </c>
      <c r="D1319">
        <v>4.6233079999999998</v>
      </c>
      <c r="E1319">
        <v>0.54612700000000003</v>
      </c>
      <c r="F1319" t="s">
        <v>63</v>
      </c>
      <c r="G1319">
        <v>-324.6499</v>
      </c>
      <c r="H1319" s="1">
        <v>7.8141009999999899E-7</v>
      </c>
      <c r="I1319">
        <v>288.19080000000002</v>
      </c>
      <c r="J1319">
        <v>-268.3605</v>
      </c>
      <c r="K1319">
        <v>1.109607</v>
      </c>
      <c r="L1319">
        <v>285.8091</v>
      </c>
      <c r="M1319">
        <v>-0.99981410000000004</v>
      </c>
      <c r="N1319">
        <v>-1.146197E-2</v>
      </c>
      <c r="O1319">
        <v>-1.551373E-2</v>
      </c>
      <c r="P1319">
        <v>-0.98668180000000005</v>
      </c>
      <c r="Q1319">
        <v>0.1395825</v>
      </c>
      <c r="R1319">
        <v>-8.3523180000000002E-2</v>
      </c>
      <c r="S1319">
        <v>-3.0600589999999999</v>
      </c>
      <c r="T1319">
        <v>-5.9905649999999998E-2</v>
      </c>
      <c r="U1319">
        <v>0.1282654</v>
      </c>
      <c r="V1319">
        <v>-6.8129199999999904E-2</v>
      </c>
      <c r="W1319">
        <v>0.1509306</v>
      </c>
      <c r="X1319">
        <v>0.98619389999999996</v>
      </c>
      <c r="Y1319">
        <v>5.7357390000000001E-2</v>
      </c>
      <c r="Z1319">
        <v>1.0158820000000001E-3</v>
      </c>
      <c r="AA1319">
        <v>0.99835320000000005</v>
      </c>
      <c r="AB1319">
        <v>36</v>
      </c>
      <c r="AC1319">
        <v>-56.289400000000001</v>
      </c>
      <c r="AD1319">
        <v>-1.1096062185898901</v>
      </c>
      <c r="AE1319">
        <v>2.3817000000000199</v>
      </c>
      <c r="AF1319">
        <v>3.25346714819185</v>
      </c>
      <c r="AG1319">
        <v>-1.1096062185898901</v>
      </c>
      <c r="AH1319">
        <v>56.223864851521597</v>
      </c>
      <c r="AI1319">
        <v>91.128726514177103</v>
      </c>
      <c r="AJ1319">
        <v>86.688198351649106</v>
      </c>
      <c r="AK1319">
        <v>56.328849209680001</v>
      </c>
      <c r="AL1319">
        <v>81.319140154966306</v>
      </c>
      <c r="AM1319">
        <v>93.951883657912603</v>
      </c>
      <c r="AN1319">
        <v>1.0000000211530999</v>
      </c>
    </row>
    <row r="1320" spans="1:40" x14ac:dyDescent="0.25">
      <c r="A1320" t="str">
        <f>"20190304155347765"</f>
        <v>20190304155347765</v>
      </c>
      <c r="B1320" t="str">
        <f>"1551686027757272"</f>
        <v>1551686027757272</v>
      </c>
      <c r="C1320" t="s">
        <v>40</v>
      </c>
      <c r="D1320">
        <v>4.6303789999999996</v>
      </c>
      <c r="E1320">
        <v>0.5461568</v>
      </c>
      <c r="F1320" t="s">
        <v>63</v>
      </c>
      <c r="G1320">
        <v>-324.18189999999998</v>
      </c>
      <c r="H1320" s="1">
        <v>5.3310929999999999E-7</v>
      </c>
      <c r="I1320">
        <v>288.17450000000002</v>
      </c>
      <c r="J1320">
        <v>-268.70010000000002</v>
      </c>
      <c r="K1320">
        <v>1.109604</v>
      </c>
      <c r="L1320">
        <v>285.80399999999997</v>
      </c>
      <c r="M1320">
        <v>-0.99981719999999996</v>
      </c>
      <c r="N1320">
        <v>-1.147634E-2</v>
      </c>
      <c r="O1320">
        <v>-1.5297949999999999E-2</v>
      </c>
      <c r="P1320">
        <v>-0.98674919999999999</v>
      </c>
      <c r="Q1320">
        <v>0.139390299999999</v>
      </c>
      <c r="R1320">
        <v>-8.3046220000000004E-2</v>
      </c>
      <c r="S1320">
        <v>-3.0600890000000001</v>
      </c>
      <c r="T1320">
        <v>-6.0827730000000003E-2</v>
      </c>
      <c r="U1320">
        <v>0.12966920000000001</v>
      </c>
      <c r="V1320">
        <v>-6.7861589999999999E-2</v>
      </c>
      <c r="W1320">
        <v>0.15075379999999899</v>
      </c>
      <c r="X1320">
        <v>0.98623939999999999</v>
      </c>
      <c r="Y1320">
        <v>5.7598150000000001E-2</v>
      </c>
      <c r="Z1320">
        <v>1.03133E-3</v>
      </c>
      <c r="AA1320">
        <v>0.99833930000000004</v>
      </c>
      <c r="AB1320">
        <v>36</v>
      </c>
      <c r="AC1320">
        <v>-55.4817999999999</v>
      </c>
      <c r="AD1320">
        <v>-1.1096034668907</v>
      </c>
      <c r="AE1320">
        <v>2.3704999999999901</v>
      </c>
      <c r="AF1320">
        <v>3.2177515168042099</v>
      </c>
      <c r="AG1320">
        <v>-1.1096034668907</v>
      </c>
      <c r="AH1320">
        <v>55.416915385639903</v>
      </c>
      <c r="AI1320">
        <v>91.145142096553897</v>
      </c>
      <c r="AJ1320">
        <v>86.676884563194207</v>
      </c>
      <c r="AK1320">
        <v>55.521344143822702</v>
      </c>
      <c r="AL1320">
        <v>81.329387365241104</v>
      </c>
      <c r="AM1320">
        <v>93.936228607595496</v>
      </c>
      <c r="AN1320">
        <v>1.0000000288620601</v>
      </c>
    </row>
    <row r="1321" spans="1:40" x14ac:dyDescent="0.25">
      <c r="A1321" t="str">
        <f>"20190304155347788"</f>
        <v>20190304155347788</v>
      </c>
      <c r="B1321" t="str">
        <f>"1551686027777768"</f>
        <v>1551686027777768</v>
      </c>
      <c r="C1321" t="s">
        <v>40</v>
      </c>
      <c r="D1321">
        <v>4.608117</v>
      </c>
      <c r="E1321">
        <v>0.54612569999999905</v>
      </c>
      <c r="F1321" t="s">
        <v>63</v>
      </c>
      <c r="G1321">
        <v>-323.83350000000002</v>
      </c>
      <c r="H1321" s="1">
        <v>3.4777899999999998E-7</v>
      </c>
      <c r="I1321">
        <v>288.17160000000001</v>
      </c>
      <c r="J1321">
        <v>-269.07319999999999</v>
      </c>
      <c r="K1321">
        <v>1.1095999999999999</v>
      </c>
      <c r="L1321">
        <v>285.79860000000002</v>
      </c>
      <c r="M1321">
        <v>-0.99982070000000001</v>
      </c>
      <c r="N1321">
        <v>-1.148999E-2</v>
      </c>
      <c r="O1321">
        <v>-1.506013E-2</v>
      </c>
      <c r="P1321">
        <v>-0.98673259999999996</v>
      </c>
      <c r="Q1321">
        <v>0.13951350000000001</v>
      </c>
      <c r="R1321">
        <v>-8.3036750000000006E-2</v>
      </c>
      <c r="S1321">
        <v>-3.0600890000000001</v>
      </c>
      <c r="T1321">
        <v>-6.1586740000000001E-2</v>
      </c>
      <c r="U1321">
        <v>0.13140869999999999</v>
      </c>
      <c r="V1321">
        <v>-6.8085389999999996E-2</v>
      </c>
      <c r="W1321">
        <v>0.15089149999999901</v>
      </c>
      <c r="X1321">
        <v>0.98620289999999999</v>
      </c>
      <c r="Y1321">
        <v>5.7926659999999998E-2</v>
      </c>
      <c r="Z1321">
        <v>1.0455810000000001E-3</v>
      </c>
      <c r="AA1321">
        <v>0.99832030000000005</v>
      </c>
      <c r="AB1321">
        <v>36</v>
      </c>
      <c r="AC1321">
        <v>-54.760300000000001</v>
      </c>
      <c r="AD1321">
        <v>-1.1095996522210001</v>
      </c>
      <c r="AE1321">
        <v>2.37299999999999</v>
      </c>
      <c r="AF1321">
        <v>3.19617258105044</v>
      </c>
      <c r="AG1321">
        <v>-1.1095996522210001</v>
      </c>
      <c r="AH1321">
        <v>54.695933633314901</v>
      </c>
      <c r="AI1321">
        <v>91.160203881081998</v>
      </c>
      <c r="AJ1321">
        <v>86.655707784404697</v>
      </c>
      <c r="AK1321">
        <v>54.800473415619798</v>
      </c>
      <c r="AL1321">
        <v>81.321406298759996</v>
      </c>
      <c r="AM1321">
        <v>93.949314543962103</v>
      </c>
      <c r="AN1321">
        <v>1.00000001253605</v>
      </c>
    </row>
    <row r="1322" spans="1:40" x14ac:dyDescent="0.25">
      <c r="A1322" t="str">
        <f>"20190304155347809"</f>
        <v>20190304155347809</v>
      </c>
      <c r="B1322" t="str">
        <f>"1551686027808024"</f>
        <v>1551686027808024</v>
      </c>
      <c r="C1322" t="s">
        <v>40</v>
      </c>
      <c r="D1322">
        <v>4.6477649999999997</v>
      </c>
      <c r="E1322">
        <v>0.54612299999999903</v>
      </c>
      <c r="F1322" t="s">
        <v>63</v>
      </c>
      <c r="G1322">
        <v>-324.39080000000001</v>
      </c>
      <c r="H1322" s="1">
        <v>6.4443540000000001E-7</v>
      </c>
      <c r="I1322">
        <v>288.16969999999998</v>
      </c>
      <c r="J1322">
        <v>-269.41500000000002</v>
      </c>
      <c r="K1322">
        <v>1.1095969999999999</v>
      </c>
      <c r="L1322">
        <v>285.79360000000003</v>
      </c>
      <c r="M1322">
        <v>-0.99982380000000004</v>
      </c>
      <c r="N1322">
        <v>-1.1501050000000001E-2</v>
      </c>
      <c r="O1322">
        <v>-1.484211E-2</v>
      </c>
      <c r="P1322">
        <v>-0.98674930000000005</v>
      </c>
      <c r="Q1322">
        <v>0.13953660000000001</v>
      </c>
      <c r="R1322">
        <v>-8.2798159999999996E-2</v>
      </c>
      <c r="S1322">
        <v>-3.0599980000000002</v>
      </c>
      <c r="T1322">
        <v>-6.1379669999999997E-2</v>
      </c>
      <c r="U1322">
        <v>0.13116459999999999</v>
      </c>
      <c r="V1322">
        <v>-6.8061049999999998E-2</v>
      </c>
      <c r="W1322">
        <v>0.15092639999999999</v>
      </c>
      <c r="X1322">
        <v>0.9861993</v>
      </c>
      <c r="Y1322">
        <v>5.7630939999999999E-2</v>
      </c>
      <c r="Z1322">
        <v>1.0362539999999999E-3</v>
      </c>
      <c r="AA1322">
        <v>0.99833740000000004</v>
      </c>
      <c r="AB1322">
        <v>36</v>
      </c>
      <c r="AC1322">
        <v>-54.9757999999999</v>
      </c>
      <c r="AD1322">
        <v>-1.1095963555646</v>
      </c>
      <c r="AE1322">
        <v>2.3760999999999499</v>
      </c>
      <c r="AF1322">
        <v>3.1905516946489199</v>
      </c>
      <c r="AG1322">
        <v>-1.1095963555646</v>
      </c>
      <c r="AH1322">
        <v>54.912147195582797</v>
      </c>
      <c r="AI1322">
        <v>91.155655755482798</v>
      </c>
      <c r="AJ1322">
        <v>86.674691150110704</v>
      </c>
      <c r="AK1322">
        <v>55.0159498129211</v>
      </c>
      <c r="AL1322">
        <v>81.3193840308859</v>
      </c>
      <c r="AM1322">
        <v>93.947921525657506</v>
      </c>
      <c r="AN1322">
        <v>1.0000000720322699</v>
      </c>
    </row>
    <row r="1323" spans="1:40" x14ac:dyDescent="0.25">
      <c r="A1323" t="str">
        <f>"20190304155347833"</f>
        <v>20190304155347833</v>
      </c>
      <c r="B1323" t="str">
        <f>"1551686027827544"</f>
        <v>1551686027827544</v>
      </c>
      <c r="C1323" t="s">
        <v>40</v>
      </c>
      <c r="D1323">
        <v>4.630115</v>
      </c>
      <c r="E1323">
        <v>0.5461916</v>
      </c>
      <c r="F1323" t="s">
        <v>63</v>
      </c>
      <c r="G1323">
        <v>-324.16590000000002</v>
      </c>
      <c r="H1323" s="1">
        <v>5.2564040000000001E-7</v>
      </c>
      <c r="I1323">
        <v>288.1497</v>
      </c>
      <c r="J1323">
        <v>-269.79790000000003</v>
      </c>
      <c r="K1323">
        <v>1.109594</v>
      </c>
      <c r="L1323">
        <v>285.78809999999999</v>
      </c>
      <c r="M1323">
        <v>-0.99982720000000003</v>
      </c>
      <c r="N1323">
        <v>-1.1512130000000001E-2</v>
      </c>
      <c r="O1323">
        <v>-1.459859E-2</v>
      </c>
      <c r="P1323">
        <v>-0.98671929999999997</v>
      </c>
      <c r="Q1323">
        <v>0.13979839999999999</v>
      </c>
      <c r="R1323">
        <v>-8.2714969999999999E-2</v>
      </c>
      <c r="S1323">
        <v>-3.06012</v>
      </c>
      <c r="T1323">
        <v>-6.2017200000000001E-2</v>
      </c>
      <c r="U1323">
        <v>0.131683299999999</v>
      </c>
      <c r="V1323">
        <v>-6.8217130000000001E-2</v>
      </c>
      <c r="W1323">
        <v>0.15119879999999999</v>
      </c>
      <c r="X1323">
        <v>0.98614669999999904</v>
      </c>
      <c r="Y1323">
        <v>5.7554710000000002E-2</v>
      </c>
      <c r="Z1323">
        <v>1.042121E-3</v>
      </c>
      <c r="AA1323">
        <v>0.99834179999999995</v>
      </c>
      <c r="AB1323">
        <v>36</v>
      </c>
      <c r="AC1323">
        <v>-54.368000000000002</v>
      </c>
      <c r="AD1323">
        <v>-1.1095934743596001</v>
      </c>
      <c r="AE1323">
        <v>2.3616000000000099</v>
      </c>
      <c r="AF1323">
        <v>3.1537858551622899</v>
      </c>
      <c r="AG1323">
        <v>-1.1095934743596001</v>
      </c>
      <c r="AH1323">
        <v>54.305150333176002</v>
      </c>
      <c r="AI1323">
        <v>91.168568389509304</v>
      </c>
      <c r="AJ1323">
        <v>86.676265908291896</v>
      </c>
      <c r="AK1323">
        <v>54.407967390883201</v>
      </c>
      <c r="AL1323">
        <v>81.303594703236101</v>
      </c>
      <c r="AM1323">
        <v>93.957156700133197</v>
      </c>
      <c r="AN1323">
        <v>0.99999998393388301</v>
      </c>
    </row>
    <row r="1324" spans="1:40" x14ac:dyDescent="0.25">
      <c r="A1324" t="str">
        <f>"20190304155347853"</f>
        <v>20190304155347853</v>
      </c>
      <c r="B1324" t="str">
        <f>"1551686027848041"</f>
        <v>1551686027848041</v>
      </c>
      <c r="C1324" t="s">
        <v>40</v>
      </c>
      <c r="D1324">
        <v>4.6271149999999999</v>
      </c>
      <c r="E1324">
        <v>0.54623920000000004</v>
      </c>
      <c r="F1324" t="s">
        <v>63</v>
      </c>
      <c r="G1324">
        <v>-325.26530000000002</v>
      </c>
      <c r="H1324" s="1">
        <v>1.1089310000000001E-6</v>
      </c>
      <c r="I1324">
        <v>288.19</v>
      </c>
      <c r="J1324">
        <v>-270.1336</v>
      </c>
      <c r="K1324">
        <v>1.109583</v>
      </c>
      <c r="L1324">
        <v>285.7835</v>
      </c>
      <c r="M1324">
        <v>-0.99983010000000005</v>
      </c>
      <c r="N1324">
        <v>-1.1520799999999999E-2</v>
      </c>
      <c r="O1324">
        <v>-1.438653E-2</v>
      </c>
      <c r="P1324">
        <v>-0.98664540000000001</v>
      </c>
      <c r="Q1324">
        <v>0.14029330000000001</v>
      </c>
      <c r="R1324">
        <v>-8.2756709999999997E-2</v>
      </c>
      <c r="S1324">
        <v>-3.06012</v>
      </c>
      <c r="T1324">
        <v>-6.121588E-2</v>
      </c>
      <c r="U1324">
        <v>0.13250729999999999</v>
      </c>
      <c r="V1324">
        <v>-6.8468059999999997E-2</v>
      </c>
      <c r="W1324">
        <v>0.15170169999999999</v>
      </c>
      <c r="X1324">
        <v>0.98605209999999999</v>
      </c>
      <c r="Y1324">
        <v>5.7611700000000002E-2</v>
      </c>
      <c r="Z1324">
        <v>1.0299910000000001E-3</v>
      </c>
      <c r="AA1324">
        <v>0.99833850000000002</v>
      </c>
      <c r="AB1324">
        <v>36</v>
      </c>
      <c r="AC1324">
        <v>-55.131700000000002</v>
      </c>
      <c r="AD1324">
        <v>-1.1095818910690001</v>
      </c>
      <c r="AE1324">
        <v>2.4064999999999901</v>
      </c>
      <c r="AF1324">
        <v>3.1981644660995698</v>
      </c>
      <c r="AG1324">
        <v>-1.1095818910690001</v>
      </c>
      <c r="AH1324">
        <v>55.069106399831803</v>
      </c>
      <c r="AI1324">
        <v>91.152349576199001</v>
      </c>
      <c r="AJ1324">
        <v>86.676253815632293</v>
      </c>
      <c r="AK1324">
        <v>55.173054180471198</v>
      </c>
      <c r="AL1324">
        <v>81.274444653664503</v>
      </c>
      <c r="AM1324">
        <v>93.972046027540301</v>
      </c>
      <c r="AN1324">
        <v>1.00000001246873</v>
      </c>
    </row>
    <row r="1325" spans="1:40" x14ac:dyDescent="0.25">
      <c r="A1325" t="str">
        <f>"20190304155347879"</f>
        <v>20190304155347879</v>
      </c>
      <c r="B1325" t="str">
        <f>"1551686027867560"</f>
        <v>1551686027867560</v>
      </c>
      <c r="C1325" t="s">
        <v>40</v>
      </c>
      <c r="D1325">
        <v>4.7022139999999997</v>
      </c>
      <c r="E1325">
        <v>0.54627049999999999</v>
      </c>
      <c r="F1325" t="s">
        <v>63</v>
      </c>
      <c r="G1325">
        <v>-326.9787</v>
      </c>
      <c r="H1325" s="1">
        <v>2.018209E-6</v>
      </c>
      <c r="I1325">
        <v>288.24770000000001</v>
      </c>
      <c r="J1325">
        <v>-270.52640000000002</v>
      </c>
      <c r="K1325">
        <v>1.109578</v>
      </c>
      <c r="L1325">
        <v>285.77809999999999</v>
      </c>
      <c r="M1325">
        <v>-0.99983370000000005</v>
      </c>
      <c r="N1325">
        <v>-1.152982E-2</v>
      </c>
      <c r="O1325">
        <v>-1.413884E-2</v>
      </c>
      <c r="P1325">
        <v>-0.98667050000000001</v>
      </c>
      <c r="Q1325">
        <v>0.14034440000000001</v>
      </c>
      <c r="R1325">
        <v>-8.2371009999999995E-2</v>
      </c>
      <c r="S1325">
        <v>-3.0602719999999999</v>
      </c>
      <c r="T1325">
        <v>-5.9734580000000002E-2</v>
      </c>
      <c r="U1325">
        <v>0.1326599</v>
      </c>
      <c r="V1325">
        <v>-6.832589E-2</v>
      </c>
      <c r="W1325">
        <v>0.15176249999999999</v>
      </c>
      <c r="X1325">
        <v>0.98605259999999995</v>
      </c>
      <c r="Y1325">
        <v>5.7412739999999997E-2</v>
      </c>
      <c r="Z1325">
        <v>1.0041169999999999E-3</v>
      </c>
      <c r="AA1325">
        <v>0.99834999999999996</v>
      </c>
      <c r="AB1325">
        <v>36</v>
      </c>
      <c r="AC1325">
        <v>-56.452299999999902</v>
      </c>
      <c r="AD1325">
        <v>-1.109575981791</v>
      </c>
      <c r="AE1325">
        <v>2.46960000000001</v>
      </c>
      <c r="AF1325">
        <v>3.2663166537449402</v>
      </c>
      <c r="AG1325">
        <v>-1.109575981791</v>
      </c>
      <c r="AH1325">
        <v>56.389993621804699</v>
      </c>
      <c r="AI1325">
        <v>91.125367680226802</v>
      </c>
      <c r="AJ1325">
        <v>86.684921105006694</v>
      </c>
      <c r="AK1325">
        <v>56.495410114531197</v>
      </c>
      <c r="AL1325">
        <v>81.270920213921201</v>
      </c>
      <c r="AM1325">
        <v>93.963822616657495</v>
      </c>
      <c r="AN1325">
        <v>1.0000000068086501</v>
      </c>
    </row>
    <row r="1326" spans="1:40" x14ac:dyDescent="0.25">
      <c r="A1326" t="str">
        <f>"20190304155347901"</f>
        <v>20190304155347901</v>
      </c>
      <c r="B1326" t="str">
        <f>"1551686027897817"</f>
        <v>1551686027897817</v>
      </c>
      <c r="C1326" t="s">
        <v>40</v>
      </c>
      <c r="D1326">
        <v>4.6900500000000003</v>
      </c>
      <c r="E1326">
        <v>0.54627950000000003</v>
      </c>
      <c r="F1326" t="s">
        <v>63</v>
      </c>
      <c r="G1326">
        <v>-327.4513</v>
      </c>
      <c r="H1326" s="1">
        <v>2.2683590000000001E-6</v>
      </c>
      <c r="I1326">
        <v>288.27749999999997</v>
      </c>
      <c r="J1326">
        <v>-270.88200000000001</v>
      </c>
      <c r="K1326">
        <v>1.109577</v>
      </c>
      <c r="L1326">
        <v>285.77330000000001</v>
      </c>
      <c r="M1326">
        <v>-0.99983659999999996</v>
      </c>
      <c r="N1326">
        <v>-1.153704E-2</v>
      </c>
      <c r="O1326">
        <v>-1.3914640000000001E-2</v>
      </c>
      <c r="P1326">
        <v>-0.98670539999999995</v>
      </c>
      <c r="Q1326">
        <v>0.14072609999999999</v>
      </c>
      <c r="R1326">
        <v>-8.1293749999999998E-2</v>
      </c>
      <c r="S1326">
        <v>-3.0602420000000001</v>
      </c>
      <c r="T1326">
        <v>-5.9650059999999998E-2</v>
      </c>
      <c r="U1326">
        <v>0.13436890000000001</v>
      </c>
      <c r="V1326">
        <v>-6.7468399999999998E-2</v>
      </c>
      <c r="W1326">
        <v>0.15215090000000001</v>
      </c>
      <c r="X1326">
        <v>0.98605180000000003</v>
      </c>
      <c r="Y1326">
        <v>5.774572E-2</v>
      </c>
      <c r="Z1326">
        <v>1.0064270000000001E-3</v>
      </c>
      <c r="AA1326">
        <v>0.99833079999999996</v>
      </c>
      <c r="AB1326">
        <v>36</v>
      </c>
      <c r="AC1326">
        <v>-56.569299999999998</v>
      </c>
      <c r="AD1326">
        <v>-1.1095747316410001</v>
      </c>
      <c r="AE1326">
        <v>2.50419999999996</v>
      </c>
      <c r="AF1326">
        <v>3.2898881540543599</v>
      </c>
      <c r="AG1326">
        <v>-1.1095747316410001</v>
      </c>
      <c r="AH1326">
        <v>56.507277950383703</v>
      </c>
      <c r="AI1326">
        <v>91.123011950486301</v>
      </c>
      <c r="AJ1326">
        <v>86.667966205142207</v>
      </c>
      <c r="AK1326">
        <v>56.613840900553598</v>
      </c>
      <c r="AL1326">
        <v>81.2484051565432</v>
      </c>
      <c r="AM1326">
        <v>93.914235417198299</v>
      </c>
      <c r="AN1326">
        <v>1.0000000168262999</v>
      </c>
    </row>
    <row r="1327" spans="1:40" x14ac:dyDescent="0.25">
      <c r="A1327" t="str">
        <f>"20190304155347921"</f>
        <v>20190304155347921</v>
      </c>
      <c r="B1327" t="str">
        <f>"1551686027917337"</f>
        <v>1551686027917337</v>
      </c>
      <c r="C1327" t="s">
        <v>40</v>
      </c>
      <c r="D1327">
        <v>4.7119819999999999</v>
      </c>
      <c r="E1327">
        <v>0.54551660000000002</v>
      </c>
      <c r="F1327" t="s">
        <v>63</v>
      </c>
      <c r="G1327">
        <v>-328.69170000000003</v>
      </c>
      <c r="H1327" s="1">
        <v>2.9243659999999998E-6</v>
      </c>
      <c r="I1327">
        <v>288.3716</v>
      </c>
      <c r="J1327">
        <v>-271.20569999999998</v>
      </c>
      <c r="K1327">
        <v>1.109588</v>
      </c>
      <c r="L1327">
        <v>285.76900000000001</v>
      </c>
      <c r="M1327">
        <v>-0.99983949999999999</v>
      </c>
      <c r="N1327">
        <v>-1.154292E-2</v>
      </c>
      <c r="O1327">
        <v>-1.3711050000000001E-2</v>
      </c>
      <c r="P1327">
        <v>-0.98663230000000002</v>
      </c>
      <c r="Q1327">
        <v>0.1414106</v>
      </c>
      <c r="R1327">
        <v>-8.0996769999999996E-2</v>
      </c>
      <c r="S1327">
        <v>-3.06012</v>
      </c>
      <c r="T1327">
        <v>-5.8734540000000002E-2</v>
      </c>
      <c r="U1327">
        <v>0.13754269999999999</v>
      </c>
      <c r="V1327">
        <v>-6.7373219999999998E-2</v>
      </c>
      <c r="W1327">
        <v>0.1528399</v>
      </c>
      <c r="X1327">
        <v>0.98595169999999999</v>
      </c>
      <c r="Y1327">
        <v>5.8577780000000003E-2</v>
      </c>
      <c r="Z1327">
        <v>1.004977E-3</v>
      </c>
      <c r="AA1327">
        <v>0.99828229999999996</v>
      </c>
      <c r="AB1327">
        <v>36</v>
      </c>
      <c r="AC1327">
        <v>-57.485999999999997</v>
      </c>
      <c r="AD1327">
        <v>-1.109585075634</v>
      </c>
      <c r="AE1327">
        <v>2.60259999999999</v>
      </c>
      <c r="AF1327">
        <v>3.3893410015563199</v>
      </c>
      <c r="AG1327">
        <v>-1.109585075634</v>
      </c>
      <c r="AH1327">
        <v>57.423558796251697</v>
      </c>
      <c r="AI1327">
        <v>91.105055530253196</v>
      </c>
      <c r="AJ1327">
        <v>86.622119938390099</v>
      </c>
      <c r="AK1327">
        <v>57.534197798278797</v>
      </c>
      <c r="AL1327">
        <v>81.208460774265006</v>
      </c>
      <c r="AM1327">
        <v>93.909126207617106</v>
      </c>
      <c r="AN1327">
        <v>0.99999997026903298</v>
      </c>
    </row>
    <row r="1328" spans="1:40" x14ac:dyDescent="0.25">
      <c r="A1328" t="str">
        <f>"20190304155347944"</f>
        <v>20190304155347944</v>
      </c>
      <c r="B1328" t="str">
        <f>"1551686027937832"</f>
        <v>1551686027937832</v>
      </c>
      <c r="C1328" t="s">
        <v>40</v>
      </c>
      <c r="D1328">
        <v>4.6924950000000001</v>
      </c>
      <c r="E1328">
        <v>0.54498619999999898</v>
      </c>
      <c r="F1328" t="s">
        <v>63</v>
      </c>
      <c r="G1328">
        <v>-328.55709999999999</v>
      </c>
      <c r="H1328" s="1">
        <v>2.8578009999999998E-6</v>
      </c>
      <c r="I1328">
        <v>288.2559</v>
      </c>
      <c r="J1328">
        <v>-271.57709999999997</v>
      </c>
      <c r="K1328">
        <v>1.1095900000000001</v>
      </c>
      <c r="L1328">
        <v>285.76409999999998</v>
      </c>
      <c r="M1328">
        <v>-0.99984249999999997</v>
      </c>
      <c r="N1328">
        <v>-1.1548889999999999E-2</v>
      </c>
      <c r="O1328">
        <v>-1.347624E-2</v>
      </c>
      <c r="P1328">
        <v>-0.98658489999999999</v>
      </c>
      <c r="Q1328">
        <v>0.1421375</v>
      </c>
      <c r="R1328">
        <v>-8.0294550000000006E-2</v>
      </c>
      <c r="S1328">
        <v>-3.060028</v>
      </c>
      <c r="T1328">
        <v>-5.9202669999999999E-2</v>
      </c>
      <c r="U1328">
        <v>0.13269039999999999</v>
      </c>
      <c r="V1328">
        <v>-6.6902909999999996E-2</v>
      </c>
      <c r="W1328">
        <v>0.15357209999999999</v>
      </c>
      <c r="X1328">
        <v>0.98586989999999997</v>
      </c>
      <c r="Y1328">
        <v>5.676498E-2</v>
      </c>
      <c r="Z1328">
        <v>9.8184810000000004E-4</v>
      </c>
      <c r="AA1328">
        <v>0.99838709999999997</v>
      </c>
      <c r="AB1328">
        <v>36</v>
      </c>
      <c r="AC1328">
        <v>-56.98</v>
      </c>
      <c r="AD1328">
        <v>-1.10958714219899</v>
      </c>
      <c r="AE1328">
        <v>2.4918000000000098</v>
      </c>
      <c r="AF1328">
        <v>3.2582678533766498</v>
      </c>
      <c r="AG1328">
        <v>-1.10958714219899</v>
      </c>
      <c r="AH1328">
        <v>56.919699470660198</v>
      </c>
      <c r="AI1328">
        <v>91.114952186490996</v>
      </c>
      <c r="AJ1328">
        <v>86.723779479587606</v>
      </c>
      <c r="AK1328">
        <v>57.023676493722803</v>
      </c>
      <c r="AL1328">
        <v>81.166007204162099</v>
      </c>
      <c r="AM1328">
        <v>93.882242731809598</v>
      </c>
      <c r="AN1328">
        <v>0.99999992449544095</v>
      </c>
    </row>
    <row r="1329" spans="1:40" x14ac:dyDescent="0.25">
      <c r="A1329" t="str">
        <f>"20190304155347966"</f>
        <v>20190304155347966</v>
      </c>
      <c r="B1329" t="str">
        <f>"1551686027957352"</f>
        <v>1551686027957352</v>
      </c>
      <c r="C1329" t="s">
        <v>40</v>
      </c>
      <c r="D1329">
        <v>4.7152960000000004</v>
      </c>
      <c r="E1329">
        <v>0.54441600000000001</v>
      </c>
      <c r="F1329" t="s">
        <v>63</v>
      </c>
      <c r="G1329">
        <v>-328.03489999999999</v>
      </c>
      <c r="H1329" s="1">
        <v>2.5837400000000002E-6</v>
      </c>
      <c r="I1329">
        <v>288.16829999999999</v>
      </c>
      <c r="J1329">
        <v>-271.93419999999998</v>
      </c>
      <c r="K1329">
        <v>1.109594</v>
      </c>
      <c r="L1329">
        <v>285.7595</v>
      </c>
      <c r="M1329">
        <v>-0.99984550000000005</v>
      </c>
      <c r="N1329">
        <v>-1.155393E-2</v>
      </c>
      <c r="O1329">
        <v>-1.325049E-2</v>
      </c>
      <c r="P1329">
        <v>-0.98656759999999999</v>
      </c>
      <c r="Q1329">
        <v>0.1424578</v>
      </c>
      <c r="R1329">
        <v>-7.9941390000000001E-2</v>
      </c>
      <c r="S1329">
        <v>-3.0600589999999999</v>
      </c>
      <c r="T1329">
        <v>-6.0140489999999998E-2</v>
      </c>
      <c r="U1329">
        <v>0.13031010000000001</v>
      </c>
      <c r="V1329">
        <v>-6.6772100000000001E-2</v>
      </c>
      <c r="W1329">
        <v>0.153896799999999</v>
      </c>
      <c r="X1329">
        <v>0.98582820000000004</v>
      </c>
      <c r="Y1329">
        <v>5.5763729999999997E-2</v>
      </c>
      <c r="Z1329">
        <v>9.7729210000000008E-4</v>
      </c>
      <c r="AA1329">
        <v>0.99844350000000004</v>
      </c>
      <c r="AB1329">
        <v>36</v>
      </c>
      <c r="AC1329">
        <v>-56.100700000000003</v>
      </c>
      <c r="AD1329">
        <v>-1.10959141626</v>
      </c>
      <c r="AE1329">
        <v>2.4087999999999798</v>
      </c>
      <c r="AF1329">
        <v>3.1507695644494298</v>
      </c>
      <c r="AG1329">
        <v>-1.10959141626</v>
      </c>
      <c r="AH1329">
        <v>56.041971453079498</v>
      </c>
      <c r="AI1329">
        <v>91.132479798358901</v>
      </c>
      <c r="AJ1329">
        <v>86.782126906319505</v>
      </c>
      <c r="AK1329">
        <v>56.141438406110296</v>
      </c>
      <c r="AL1329">
        <v>81.147180019341604</v>
      </c>
      <c r="AM1329">
        <v>93.874838629227497</v>
      </c>
      <c r="AN1329">
        <v>0.99999998915194399</v>
      </c>
    </row>
    <row r="1330" spans="1:40" x14ac:dyDescent="0.25">
      <c r="A1330" t="str">
        <f>"20190304155347988"</f>
        <v>20190304155347988</v>
      </c>
      <c r="B1330" t="str">
        <f>"1551686027977848"</f>
        <v>1551686027977848</v>
      </c>
      <c r="C1330" t="s">
        <v>40</v>
      </c>
      <c r="D1330">
        <v>4.7083440000000003</v>
      </c>
      <c r="E1330">
        <v>0.54397200000000001</v>
      </c>
      <c r="F1330" t="s">
        <v>63</v>
      </c>
      <c r="G1330">
        <v>-327.2115</v>
      </c>
      <c r="H1330" s="1">
        <v>2.1509189999999999E-6</v>
      </c>
      <c r="I1330">
        <v>288.04570000000001</v>
      </c>
      <c r="J1330">
        <v>-272.30200000000002</v>
      </c>
      <c r="K1330">
        <v>1.1095919999999999</v>
      </c>
      <c r="L1330">
        <v>285.75490000000002</v>
      </c>
      <c r="M1330">
        <v>-0.99984859999999998</v>
      </c>
      <c r="N1330">
        <v>-1.155869E-2</v>
      </c>
      <c r="O1330">
        <v>-1.301794E-2</v>
      </c>
      <c r="P1330">
        <v>-0.98659819999999998</v>
      </c>
      <c r="Q1330">
        <v>0.1422908</v>
      </c>
      <c r="R1330">
        <v>-7.9862459999999996E-2</v>
      </c>
      <c r="S1330">
        <v>-3.0599669999999999</v>
      </c>
      <c r="T1330">
        <v>-6.14233E-2</v>
      </c>
      <c r="U1330">
        <v>0.12655640000000001</v>
      </c>
      <c r="V1330">
        <v>-6.6923289999999996E-2</v>
      </c>
      <c r="W1330">
        <v>0.1537347</v>
      </c>
      <c r="X1330">
        <v>0.98584320000000003</v>
      </c>
      <c r="Y1330">
        <v>5.4309910000000003E-2</v>
      </c>
      <c r="Z1330">
        <v>9.6965699999999996E-4</v>
      </c>
      <c r="AA1330">
        <v>0.99852370000000001</v>
      </c>
      <c r="AB1330">
        <v>36</v>
      </c>
      <c r="AC1330">
        <v>-54.909499999999902</v>
      </c>
      <c r="AD1330">
        <v>-1.1095898490809999</v>
      </c>
      <c r="AE1330">
        <v>2.2907999999999902</v>
      </c>
      <c r="AF1330">
        <v>3.00423744400269</v>
      </c>
      <c r="AG1330">
        <v>-1.1095898490809999</v>
      </c>
      <c r="AH1330">
        <v>54.8526629966589</v>
      </c>
      <c r="AI1330">
        <v>91.157118792681899</v>
      </c>
      <c r="AJ1330">
        <v>86.865087037281398</v>
      </c>
      <c r="AK1330">
        <v>54.9460760207511</v>
      </c>
      <c r="AL1330">
        <v>81.156579173388806</v>
      </c>
      <c r="AM1330">
        <v>93.883526579133402</v>
      </c>
      <c r="AN1330">
        <v>0.99999994985737495</v>
      </c>
    </row>
    <row r="1331" spans="1:40" x14ac:dyDescent="0.25">
      <c r="A1331" t="str">
        <f>"20190304155348011"</f>
        <v>20190304155348011</v>
      </c>
      <c r="B1331" t="str">
        <f>"1551686028007128"</f>
        <v>1551686028007128</v>
      </c>
      <c r="C1331" t="s">
        <v>40</v>
      </c>
      <c r="D1331">
        <v>4.7277250000000004</v>
      </c>
      <c r="E1331">
        <v>0.54332019999999903</v>
      </c>
      <c r="F1331" t="s">
        <v>63</v>
      </c>
      <c r="G1331">
        <v>-325.35390000000001</v>
      </c>
      <c r="H1331" s="1">
        <v>1.169078E-6</v>
      </c>
      <c r="I1331">
        <v>287.89249999999998</v>
      </c>
      <c r="J1331">
        <v>-272.65600000000001</v>
      </c>
      <c r="K1331">
        <v>1.109591</v>
      </c>
      <c r="L1331">
        <v>285.75049999999999</v>
      </c>
      <c r="M1331">
        <v>-0.9998513</v>
      </c>
      <c r="N1331">
        <v>-1.1562889999999999E-2</v>
      </c>
      <c r="O1331">
        <v>-1.2792649999999999E-2</v>
      </c>
      <c r="P1331">
        <v>-0.98662019999999995</v>
      </c>
      <c r="Q1331">
        <v>0.14207220000000001</v>
      </c>
      <c r="R1331">
        <v>-7.9976110000000003E-2</v>
      </c>
      <c r="S1331">
        <v>-3.0599370000000001</v>
      </c>
      <c r="T1331">
        <v>-6.3999180000000003E-2</v>
      </c>
      <c r="U1331">
        <v>0.123291</v>
      </c>
      <c r="V1331">
        <v>-6.7258860000000004E-2</v>
      </c>
      <c r="W1331">
        <v>0.15352080000000001</v>
      </c>
      <c r="X1331">
        <v>0.98585370000000005</v>
      </c>
      <c r="Y1331">
        <v>5.3020659999999997E-2</v>
      </c>
      <c r="Z1331">
        <v>9.8048949999999992E-4</v>
      </c>
      <c r="AA1331">
        <v>0.99859290000000001</v>
      </c>
      <c r="AB1331">
        <v>36</v>
      </c>
      <c r="AC1331">
        <v>-52.697899999999997</v>
      </c>
      <c r="AD1331">
        <v>-1.109589830922</v>
      </c>
      <c r="AE1331">
        <v>2.1419999999999901</v>
      </c>
      <c r="AF1331">
        <v>2.8147697228744302</v>
      </c>
      <c r="AG1331">
        <v>-1.109589830922</v>
      </c>
      <c r="AH1331">
        <v>52.642883227253598</v>
      </c>
      <c r="AI1331">
        <v>91.205761428569403</v>
      </c>
      <c r="AJ1331">
        <v>86.939358430615997</v>
      </c>
      <c r="AK1331">
        <v>52.729756994167502</v>
      </c>
      <c r="AL1331">
        <v>81.168982014772496</v>
      </c>
      <c r="AM1331">
        <v>93.902898071709799</v>
      </c>
      <c r="AN1331">
        <v>0.99999995404241304</v>
      </c>
    </row>
    <row r="1332" spans="1:40" x14ac:dyDescent="0.25">
      <c r="A1332" t="str">
        <f>"20190304155348034"</f>
        <v>20190304155348034</v>
      </c>
      <c r="B1332" t="str">
        <f>"1551686028027624"</f>
        <v>1551686028027624</v>
      </c>
      <c r="C1332" t="s">
        <v>40</v>
      </c>
      <c r="D1332">
        <v>4.7096799999999996</v>
      </c>
      <c r="E1332">
        <v>0.54286230000000002</v>
      </c>
      <c r="F1332" t="s">
        <v>63</v>
      </c>
      <c r="G1332">
        <v>-322.79950000000002</v>
      </c>
      <c r="H1332" s="1">
        <v>-1.8106499999999999E-7</v>
      </c>
      <c r="I1332">
        <v>287.68290000000002</v>
      </c>
      <c r="J1332">
        <v>-273.03190000000001</v>
      </c>
      <c r="K1332">
        <v>1.109586</v>
      </c>
      <c r="L1332">
        <v>285.74590000000001</v>
      </c>
      <c r="M1332">
        <v>-0.99985440000000003</v>
      </c>
      <c r="N1332">
        <v>-1.156691E-2</v>
      </c>
      <c r="O1332">
        <v>-1.2553770000000001E-2</v>
      </c>
      <c r="P1332">
        <v>-0.9866741</v>
      </c>
      <c r="Q1332">
        <v>0.14166489999999901</v>
      </c>
      <c r="R1332">
        <v>-8.0035220000000004E-2</v>
      </c>
      <c r="S1332">
        <v>-3.0599669999999999</v>
      </c>
      <c r="T1332">
        <v>-6.7711950000000007E-2</v>
      </c>
      <c r="U1332">
        <v>0.11791989999999899</v>
      </c>
      <c r="V1332">
        <v>-6.7553160000000001E-2</v>
      </c>
      <c r="W1332">
        <v>0.15311839999999999</v>
      </c>
      <c r="X1332">
        <v>0.9858962</v>
      </c>
      <c r="Y1332">
        <v>5.1030300000000001E-2</v>
      </c>
      <c r="Z1332">
        <v>9.9215809999999996E-4</v>
      </c>
      <c r="AA1332">
        <v>0.99869660000000005</v>
      </c>
      <c r="AB1332">
        <v>36</v>
      </c>
      <c r="AC1332">
        <v>-49.767600000000002</v>
      </c>
      <c r="AD1332">
        <v>-1.1095861810650001</v>
      </c>
      <c r="AE1332">
        <v>1.93700000000001</v>
      </c>
      <c r="AF1332">
        <v>2.5603892775069701</v>
      </c>
      <c r="AG1332">
        <v>-1.1095861810650001</v>
      </c>
      <c r="AH1332">
        <v>49.714684495920899</v>
      </c>
      <c r="AI1332">
        <v>91.276885259381203</v>
      </c>
      <c r="AJ1332">
        <v>87.051776471486306</v>
      </c>
      <c r="AK1332">
        <v>49.7929375441391</v>
      </c>
      <c r="AL1332">
        <v>81.1923140643718</v>
      </c>
      <c r="AM1332">
        <v>93.919754138211403</v>
      </c>
      <c r="AN1332">
        <v>0.99999999550949203</v>
      </c>
    </row>
    <row r="1333" spans="1:40" x14ac:dyDescent="0.25">
      <c r="A1333" t="str">
        <f>"20190304155348055"</f>
        <v>20190304155348055</v>
      </c>
      <c r="B1333" t="str">
        <f>"1551686028047145"</f>
        <v>1551686028047145</v>
      </c>
      <c r="C1333" t="s">
        <v>40</v>
      </c>
      <c r="D1333">
        <v>4.9862679999999999</v>
      </c>
      <c r="E1333">
        <v>0.54234329999999997</v>
      </c>
      <c r="F1333" t="s">
        <v>63</v>
      </c>
      <c r="G1333">
        <v>-320.98719999999997</v>
      </c>
      <c r="H1333" s="1">
        <v>-1.1389170000000001E-6</v>
      </c>
      <c r="I1333">
        <v>287.53269999999998</v>
      </c>
      <c r="J1333">
        <v>-273.3768</v>
      </c>
      <c r="K1333">
        <v>1.10958</v>
      </c>
      <c r="L1333">
        <v>285.74180000000001</v>
      </c>
      <c r="M1333">
        <v>-0.999857</v>
      </c>
      <c r="N1333">
        <v>-1.1570250000000001E-2</v>
      </c>
      <c r="O1333">
        <v>-1.2333719999999999E-2</v>
      </c>
      <c r="P1333">
        <v>-0.98672389999999999</v>
      </c>
      <c r="Q1333">
        <v>0.14123229999999901</v>
      </c>
      <c r="R1333">
        <v>-8.0182840000000005E-2</v>
      </c>
      <c r="S1333">
        <v>-3.0599370000000001</v>
      </c>
      <c r="T1333">
        <v>-7.0800660000000001E-2</v>
      </c>
      <c r="U1333">
        <v>0.1140137</v>
      </c>
      <c r="V1333">
        <v>-6.7917340000000007E-2</v>
      </c>
      <c r="W1333">
        <v>0.15268999999999999</v>
      </c>
      <c r="X1333">
        <v>0.98593759999999997</v>
      </c>
      <c r="Y1333">
        <v>4.9536759999999999E-2</v>
      </c>
      <c r="Z1333">
        <v>1.002164E-3</v>
      </c>
      <c r="AA1333">
        <v>0.99877179999999999</v>
      </c>
      <c r="AB1333">
        <v>36</v>
      </c>
      <c r="AC1333">
        <v>-47.610399999999899</v>
      </c>
      <c r="AD1333">
        <v>-1.1095811389170001</v>
      </c>
      <c r="AE1333">
        <v>1.79089999999996</v>
      </c>
      <c r="AF1333">
        <v>2.3767273289645998</v>
      </c>
      <c r="AG1333">
        <v>-1.1095811389170001</v>
      </c>
      <c r="AH1333">
        <v>47.558893378523202</v>
      </c>
      <c r="AI1333">
        <v>91.334841614258295</v>
      </c>
      <c r="AJ1333">
        <v>87.139057688384895</v>
      </c>
      <c r="AK1333">
        <v>47.631169862704702</v>
      </c>
      <c r="AL1333">
        <v>81.217151469780305</v>
      </c>
      <c r="AM1333">
        <v>93.940654226194098</v>
      </c>
      <c r="AN1333">
        <v>0.99999997613321701</v>
      </c>
    </row>
    <row r="1334" spans="1:40" x14ac:dyDescent="0.25">
      <c r="A1334" t="str">
        <f>"20190304155348080"</f>
        <v>20190304155348080</v>
      </c>
      <c r="B1334" t="str">
        <f>"1551686028077400"</f>
        <v>1551686028077400</v>
      </c>
      <c r="C1334" t="s">
        <v>40</v>
      </c>
      <c r="D1334">
        <v>4.8400089999999896</v>
      </c>
      <c r="E1334">
        <v>0.54198369999999996</v>
      </c>
      <c r="F1334" t="s">
        <v>65</v>
      </c>
      <c r="G1334">
        <v>-319.56150000000002</v>
      </c>
      <c r="H1334" s="1">
        <v>6.2142580000000001E-6</v>
      </c>
      <c r="I1334">
        <v>287.39409999999998</v>
      </c>
      <c r="J1334">
        <v>-273.77010000000001</v>
      </c>
      <c r="K1334">
        <v>1.1095740000000001</v>
      </c>
      <c r="L1334">
        <v>285.73719999999997</v>
      </c>
      <c r="M1334">
        <v>-0.99985999999999997</v>
      </c>
      <c r="N1334">
        <v>-1.157361E-2</v>
      </c>
      <c r="O1334">
        <v>-1.20822E-2</v>
      </c>
      <c r="P1334">
        <v>-0.98680570000000001</v>
      </c>
      <c r="Q1334">
        <v>0.14066619999999999</v>
      </c>
      <c r="R1334">
        <v>-8.0172320000000005E-2</v>
      </c>
      <c r="S1334">
        <v>-3.0597840000000001</v>
      </c>
      <c r="T1334">
        <v>-7.3510530000000004E-2</v>
      </c>
      <c r="U1334">
        <v>0.1094666</v>
      </c>
      <c r="V1334">
        <v>-6.8153690000000003E-2</v>
      </c>
      <c r="W1334">
        <v>0.15212829999999999</v>
      </c>
      <c r="X1334">
        <v>0.9860082</v>
      </c>
      <c r="Y1334">
        <v>4.7804350000000002E-2</v>
      </c>
      <c r="Z1334">
        <v>1.001137E-3</v>
      </c>
      <c r="AA1334">
        <v>0.99885619999999997</v>
      </c>
      <c r="AB1334">
        <v>36</v>
      </c>
      <c r="AC1334">
        <v>-45.791400000000003</v>
      </c>
      <c r="AD1334">
        <v>-1.1095677857420001</v>
      </c>
      <c r="AE1334">
        <v>1.6569</v>
      </c>
      <c r="AF1334">
        <v>2.20878180515487</v>
      </c>
      <c r="AG1334">
        <v>-1.1095677857420001</v>
      </c>
      <c r="AH1334">
        <v>45.741215519311503</v>
      </c>
      <c r="AI1334">
        <v>91.387963525789303</v>
      </c>
      <c r="AJ1334">
        <v>87.235411315796796</v>
      </c>
      <c r="AK1334">
        <v>45.807954057325503</v>
      </c>
      <c r="AL1334">
        <v>81.249715653705707</v>
      </c>
      <c r="AM1334">
        <v>93.954041898425004</v>
      </c>
      <c r="AN1334">
        <v>1.00000005779437</v>
      </c>
    </row>
    <row r="1335" spans="1:40" x14ac:dyDescent="0.25">
      <c r="A1335" t="str">
        <f>"20190304155348101"</f>
        <v>20190304155348101</v>
      </c>
      <c r="B1335" t="str">
        <f>"1551686028097897"</f>
        <v>1551686028097897</v>
      </c>
      <c r="C1335" t="s">
        <v>40</v>
      </c>
      <c r="D1335">
        <v>4.7020359999999997</v>
      </c>
      <c r="E1335">
        <v>0.54161550000000003</v>
      </c>
      <c r="F1335" t="s">
        <v>65</v>
      </c>
      <c r="G1335">
        <v>-317.3981</v>
      </c>
      <c r="H1335" s="1">
        <v>5.2665289999999996E-6</v>
      </c>
      <c r="I1335">
        <v>287.26100000000002</v>
      </c>
      <c r="J1335">
        <v>-274.11450000000002</v>
      </c>
      <c r="K1335">
        <v>1.1095729999999999</v>
      </c>
      <c r="L1335">
        <v>285.73329999999999</v>
      </c>
      <c r="M1335">
        <v>-0.99986260000000005</v>
      </c>
      <c r="N1335">
        <v>-1.1576390000000001E-2</v>
      </c>
      <c r="O1335">
        <v>-1.186132E-2</v>
      </c>
      <c r="P1335">
        <v>-0.98683860000000001</v>
      </c>
      <c r="Q1335">
        <v>0.1404666</v>
      </c>
      <c r="R1335">
        <v>-8.0117869999999994E-2</v>
      </c>
      <c r="S1335">
        <v>-3.0599059999999998</v>
      </c>
      <c r="T1335">
        <v>-7.7821020000000005E-2</v>
      </c>
      <c r="U1335">
        <v>0.1068726</v>
      </c>
      <c r="V1335">
        <v>-6.8317030000000001E-2</v>
      </c>
      <c r="W1335">
        <v>0.1519317</v>
      </c>
      <c r="X1335">
        <v>0.98602710000000005</v>
      </c>
      <c r="Y1335">
        <v>4.6734789999999998E-2</v>
      </c>
      <c r="Z1335">
        <v>1.0289539999999999E-3</v>
      </c>
      <c r="AA1335">
        <v>0.99890679999999998</v>
      </c>
      <c r="AB1335">
        <v>36</v>
      </c>
      <c r="AC1335">
        <v>-43.2835999999999</v>
      </c>
      <c r="AD1335">
        <v>-1.1095677334709999</v>
      </c>
      <c r="AE1335">
        <v>1.5276999999999801</v>
      </c>
      <c r="AF1335">
        <v>2.0396888671963498</v>
      </c>
      <c r="AG1335">
        <v>-1.1095677334709999</v>
      </c>
      <c r="AH1335">
        <v>43.234057251628698</v>
      </c>
      <c r="AI1335">
        <v>91.468495328752496</v>
      </c>
      <c r="AJ1335">
        <v>87.298912426146899</v>
      </c>
      <c r="AK1335">
        <v>43.296364485568901</v>
      </c>
      <c r="AL1335">
        <v>81.2611115319785</v>
      </c>
      <c r="AM1335">
        <v>93.963412425313507</v>
      </c>
      <c r="AN1335">
        <v>0.99999994999365904</v>
      </c>
    </row>
    <row r="1336" spans="1:40" x14ac:dyDescent="0.25">
      <c r="A1336" t="str">
        <f>"20190304155348123"</f>
        <v>20190304155348123</v>
      </c>
      <c r="B1336" t="str">
        <f>"1551686028117416"</f>
        <v>1551686028117416</v>
      </c>
      <c r="C1336" t="s">
        <v>40</v>
      </c>
      <c r="D1336">
        <v>4.8085750000000003</v>
      </c>
      <c r="E1336">
        <v>0.54122599999999998</v>
      </c>
      <c r="F1336" t="s">
        <v>65</v>
      </c>
      <c r="G1336">
        <v>-316.54070000000002</v>
      </c>
      <c r="H1336" s="1">
        <v>4.8932300000000004E-6</v>
      </c>
      <c r="I1336">
        <v>287.18209999999999</v>
      </c>
      <c r="J1336">
        <v>-274.46420000000001</v>
      </c>
      <c r="K1336">
        <v>1.109577</v>
      </c>
      <c r="L1336">
        <v>285.72930000000002</v>
      </c>
      <c r="M1336">
        <v>-0.99986540000000002</v>
      </c>
      <c r="N1336">
        <v>-1.1579010000000001E-2</v>
      </c>
      <c r="O1336">
        <v>-1.163615E-2</v>
      </c>
      <c r="P1336">
        <v>-0.986931</v>
      </c>
      <c r="Q1336">
        <v>0.14004610000000001</v>
      </c>
      <c r="R1336">
        <v>-7.9716040000000002E-2</v>
      </c>
      <c r="S1336">
        <v>-3.0598749999999999</v>
      </c>
      <c r="T1336">
        <v>-8.0024479999999995E-2</v>
      </c>
      <c r="U1336">
        <v>0.10449219999999999</v>
      </c>
      <c r="V1336">
        <v>-6.8136660000000002E-2</v>
      </c>
      <c r="W1336">
        <v>0.15151410000000001</v>
      </c>
      <c r="X1336">
        <v>0.98610390000000003</v>
      </c>
      <c r="Y1336">
        <v>4.5733339999999997E-2</v>
      </c>
      <c r="Z1336">
        <v>1.032182E-3</v>
      </c>
      <c r="AA1336">
        <v>0.99895319999999999</v>
      </c>
      <c r="AB1336">
        <v>36</v>
      </c>
      <c r="AC1336">
        <v>-42.076500000000003</v>
      </c>
      <c r="AD1336">
        <v>-1.10957210677</v>
      </c>
      <c r="AE1336">
        <v>1.4527999999999599</v>
      </c>
      <c r="AF1336">
        <v>1.9409946964134499</v>
      </c>
      <c r="AG1336">
        <v>-1.10957210677</v>
      </c>
      <c r="AH1336">
        <v>42.027553844295397</v>
      </c>
      <c r="AI1336">
        <v>91.510708666742403</v>
      </c>
      <c r="AJ1336">
        <v>87.355738651396393</v>
      </c>
      <c r="AK1336">
        <v>42.086980086563301</v>
      </c>
      <c r="AL1336">
        <v>81.285319057723498</v>
      </c>
      <c r="AM1336">
        <v>93.952674586904607</v>
      </c>
      <c r="AN1336">
        <v>1.0000000142649801</v>
      </c>
    </row>
    <row r="1337" spans="1:40" x14ac:dyDescent="0.25">
      <c r="A1337" t="str">
        <f>"20190304155348144"</f>
        <v>20190304155348144</v>
      </c>
      <c r="B1337" t="str">
        <f>"1551686028137913"</f>
        <v>1551686028137913</v>
      </c>
      <c r="C1337" t="s">
        <v>40</v>
      </c>
      <c r="D1337">
        <v>4.9346940000000004</v>
      </c>
      <c r="E1337">
        <v>0.54116660000000005</v>
      </c>
      <c r="F1337" t="s">
        <v>65</v>
      </c>
      <c r="G1337">
        <v>-315.33150000000001</v>
      </c>
      <c r="H1337" s="1">
        <v>4.3641710000000003E-6</v>
      </c>
      <c r="I1337">
        <v>287.10000000000002</v>
      </c>
      <c r="J1337">
        <v>-274.82279999999997</v>
      </c>
      <c r="K1337">
        <v>1.109586</v>
      </c>
      <c r="L1337">
        <v>285.72539999999998</v>
      </c>
      <c r="M1337">
        <v>-0.99986799999999998</v>
      </c>
      <c r="N1337">
        <v>-1.158151E-2</v>
      </c>
      <c r="O1337">
        <v>-1.1405139999999999E-2</v>
      </c>
      <c r="P1337">
        <v>-0.98698770000000002</v>
      </c>
      <c r="Q1337">
        <v>0.13981070000000001</v>
      </c>
      <c r="R1337">
        <v>-7.9424659999999994E-2</v>
      </c>
      <c r="S1337">
        <v>-3.0598139999999998</v>
      </c>
      <c r="T1337">
        <v>-8.3075759999999998E-2</v>
      </c>
      <c r="U1337">
        <v>0.1026306</v>
      </c>
      <c r="V1337">
        <v>-6.8072820000000006E-2</v>
      </c>
      <c r="W1337">
        <v>0.15128220000000001</v>
      </c>
      <c r="X1337">
        <v>0.98614389999999996</v>
      </c>
      <c r="Y1337">
        <v>4.4894940000000001E-2</v>
      </c>
      <c r="Z1337">
        <v>1.0467880000000001E-3</v>
      </c>
      <c r="AA1337">
        <v>0.99899119999999997</v>
      </c>
      <c r="AB1337">
        <v>36</v>
      </c>
      <c r="AC1337">
        <v>-40.508699999999997</v>
      </c>
      <c r="AD1337">
        <v>-1.109581635829</v>
      </c>
      <c r="AE1337">
        <v>1.37460000000004</v>
      </c>
      <c r="AF1337">
        <v>1.83517360771845</v>
      </c>
      <c r="AG1337">
        <v>-1.109581635829</v>
      </c>
      <c r="AH1337">
        <v>40.460065015721703</v>
      </c>
      <c r="AI1337">
        <v>91.569279922815895</v>
      </c>
      <c r="AJ1337">
        <v>87.402977878121902</v>
      </c>
      <c r="AK1337">
        <v>40.516859387833399</v>
      </c>
      <c r="AL1337">
        <v>81.298760788792407</v>
      </c>
      <c r="AM1337">
        <v>93.948823216457399</v>
      </c>
      <c r="AN1337">
        <v>1.0000000021833999</v>
      </c>
    </row>
    <row r="1338" spans="1:40" x14ac:dyDescent="0.25">
      <c r="A1338" t="str">
        <f>"20190304155348167"</f>
        <v>20190304155348167</v>
      </c>
      <c r="B1338" t="str">
        <f>"1551686028157435"</f>
        <v>1551686028157435</v>
      </c>
      <c r="C1338" t="s">
        <v>40</v>
      </c>
      <c r="D1338">
        <v>4.8611190000000004</v>
      </c>
      <c r="E1338">
        <v>0.58045599999999997</v>
      </c>
      <c r="F1338" t="s">
        <v>65</v>
      </c>
      <c r="G1338">
        <v>-315.05410000000001</v>
      </c>
      <c r="H1338" s="1">
        <v>4.2428399999999997E-6</v>
      </c>
      <c r="I1338">
        <v>287.0804</v>
      </c>
      <c r="J1338">
        <v>-275.1841</v>
      </c>
      <c r="K1338">
        <v>1.109586</v>
      </c>
      <c r="L1338">
        <v>285.72149999999999</v>
      </c>
      <c r="M1338">
        <v>-0.9998705</v>
      </c>
      <c r="N1338">
        <v>-1.158384E-2</v>
      </c>
      <c r="O1338">
        <v>-1.117222E-2</v>
      </c>
      <c r="P1338">
        <v>-0.98705869999999996</v>
      </c>
      <c r="Q1338">
        <v>0.13976549999999999</v>
      </c>
      <c r="R1338">
        <v>-7.8617560000000003E-2</v>
      </c>
      <c r="S1338">
        <v>-3.0597840000000001</v>
      </c>
      <c r="T1338">
        <v>-8.438909E-2</v>
      </c>
      <c r="U1338">
        <v>0.10305789999999999</v>
      </c>
      <c r="V1338">
        <v>-6.7495349999999996E-2</v>
      </c>
      <c r="W1338">
        <v>0.1512394</v>
      </c>
      <c r="X1338">
        <v>0.98619009999999996</v>
      </c>
      <c r="Y1338">
        <v>4.4801269999999997E-2</v>
      </c>
      <c r="Z1338">
        <v>1.0557850000000001E-3</v>
      </c>
      <c r="AA1338">
        <v>0.99899539999999998</v>
      </c>
      <c r="AB1338">
        <v>36</v>
      </c>
      <c r="AC1338">
        <v>-39.869999999999997</v>
      </c>
      <c r="AD1338">
        <v>-1.10958175716</v>
      </c>
      <c r="AE1338">
        <v>1.3589</v>
      </c>
      <c r="AF1338">
        <v>1.8028867426293</v>
      </c>
      <c r="AG1338">
        <v>-1.10958175716</v>
      </c>
      <c r="AH1338">
        <v>39.821522065917797</v>
      </c>
      <c r="AI1338">
        <v>91.594436820576902</v>
      </c>
      <c r="AJ1338">
        <v>87.4077507754008</v>
      </c>
      <c r="AK1338">
        <v>39.877753095290402</v>
      </c>
      <c r="AL1338">
        <v>81.301241098817002</v>
      </c>
      <c r="AM1338">
        <v>93.915246650896506</v>
      </c>
      <c r="AN1338">
        <v>0.99999994586099406</v>
      </c>
    </row>
    <row r="1339" spans="1:40" x14ac:dyDescent="0.25">
      <c r="A1339" t="str">
        <f>"20190304155348189"</f>
        <v>20190304155348189</v>
      </c>
      <c r="B1339" t="str">
        <f>"1551686028187690"</f>
        <v>1551686028187690</v>
      </c>
      <c r="C1339" t="s">
        <v>40</v>
      </c>
      <c r="D1339">
        <v>4.9782970000000004</v>
      </c>
      <c r="E1339">
        <v>0.58145049999999998</v>
      </c>
      <c r="F1339" t="s">
        <v>63</v>
      </c>
      <c r="G1339">
        <v>-333.97039999999998</v>
      </c>
      <c r="H1339">
        <v>8.0000790000000002E-2</v>
      </c>
      <c r="I1339">
        <v>293.68799999999999</v>
      </c>
      <c r="J1339">
        <v>-275.55180000000001</v>
      </c>
      <c r="K1339">
        <v>1.109586</v>
      </c>
      <c r="L1339">
        <v>285.7176</v>
      </c>
      <c r="M1339">
        <v>-0.99987300000000001</v>
      </c>
      <c r="N1339">
        <v>-1.158608E-2</v>
      </c>
      <c r="O1339">
        <v>-1.093596E-2</v>
      </c>
      <c r="P1339">
        <v>-0.98707250000000002</v>
      </c>
      <c r="Q1339">
        <v>0.1397668</v>
      </c>
      <c r="R1339">
        <v>-7.8441579999999997E-2</v>
      </c>
      <c r="S1339">
        <v>-3.0802309999999999</v>
      </c>
      <c r="T1339">
        <v>-5.3947330000000002E-2</v>
      </c>
      <c r="U1339">
        <v>0.4174194</v>
      </c>
      <c r="V1339">
        <v>-6.7552210000000001E-2</v>
      </c>
      <c r="W1339">
        <v>0.15124309999999999</v>
      </c>
      <c r="X1339">
        <v>0.98618570000000005</v>
      </c>
      <c r="Y1339">
        <v>0.14508109999999999</v>
      </c>
      <c r="Z1339">
        <v>2.173594E-3</v>
      </c>
      <c r="AA1339">
        <v>0.9894174</v>
      </c>
      <c r="AB1339">
        <v>36</v>
      </c>
      <c r="AC1339">
        <v>-58.418599999999898</v>
      </c>
      <c r="AD1339">
        <v>-1.02958521</v>
      </c>
      <c r="AE1339">
        <v>7.9703999999999802</v>
      </c>
      <c r="AF1339">
        <v>8.6062053522377493</v>
      </c>
      <c r="AG1339">
        <v>-1.02958521</v>
      </c>
      <c r="AH1339">
        <v>58.310155286176901</v>
      </c>
      <c r="AI1339">
        <v>91.000730285497099</v>
      </c>
      <c r="AJ1339">
        <v>81.6041247329198</v>
      </c>
      <c r="AK1339">
        <v>58.950835666405901</v>
      </c>
      <c r="AL1339">
        <v>81.301027161398807</v>
      </c>
      <c r="AM1339">
        <v>93.918552123439</v>
      </c>
      <c r="AN1339">
        <v>1.0000000056289899</v>
      </c>
    </row>
    <row r="1340" spans="1:40" x14ac:dyDescent="0.25">
      <c r="A1340" t="str">
        <f>"20190304155348212"</f>
        <v>20190304155348212</v>
      </c>
      <c r="B1340" t="str">
        <f>"1551686028207209"</f>
        <v>1551686028207209</v>
      </c>
      <c r="C1340" t="s">
        <v>40</v>
      </c>
      <c r="D1340">
        <v>4.8627089999999997</v>
      </c>
      <c r="E1340">
        <v>0.58183909999999905</v>
      </c>
      <c r="F1340" t="s">
        <v>65</v>
      </c>
      <c r="G1340">
        <v>-313.9633</v>
      </c>
      <c r="H1340">
        <v>8.0000080000000001E-2</v>
      </c>
      <c r="I1340">
        <v>291.03129999999999</v>
      </c>
      <c r="J1340">
        <v>-275.90710000000001</v>
      </c>
      <c r="K1340">
        <v>1.1095900000000001</v>
      </c>
      <c r="L1340">
        <v>285.714</v>
      </c>
      <c r="M1340">
        <v>-0.99987559999999998</v>
      </c>
      <c r="N1340">
        <v>-1.158818E-2</v>
      </c>
      <c r="O1340">
        <v>-1.070805E-2</v>
      </c>
      <c r="P1340">
        <v>-0.98699570000000003</v>
      </c>
      <c r="Q1340">
        <v>0.14025589999999999</v>
      </c>
      <c r="R1340">
        <v>-7.8537700000000002E-2</v>
      </c>
      <c r="S1340">
        <v>-3.0849000000000002</v>
      </c>
      <c r="T1340">
        <v>-8.268797E-2</v>
      </c>
      <c r="U1340">
        <v>0.42675780000000002</v>
      </c>
      <c r="V1340">
        <v>-6.7873870000000003E-2</v>
      </c>
      <c r="W1340">
        <v>0.15173329999999999</v>
      </c>
      <c r="X1340">
        <v>0.98608830000000003</v>
      </c>
      <c r="Y1340">
        <v>0.14755650000000001</v>
      </c>
      <c r="Z1340">
        <v>2.98928E-3</v>
      </c>
      <c r="AA1340">
        <v>0.98904910000000001</v>
      </c>
      <c r="AB1340">
        <v>36</v>
      </c>
      <c r="AC1340">
        <v>-38.056199999999897</v>
      </c>
      <c r="AD1340">
        <v>-1.0295899199999901</v>
      </c>
      <c r="AE1340">
        <v>5.3172999999999799</v>
      </c>
      <c r="AF1340">
        <v>5.7204232735144798</v>
      </c>
      <c r="AG1340">
        <v>-1.0295899199999901</v>
      </c>
      <c r="AH1340">
        <v>37.969816505250698</v>
      </c>
      <c r="AI1340">
        <v>91.535927643310998</v>
      </c>
      <c r="AJ1340">
        <v>81.4324161241924</v>
      </c>
      <c r="AK1340">
        <v>38.412110893231798</v>
      </c>
      <c r="AL1340">
        <v>81.272612757464103</v>
      </c>
      <c r="AM1340">
        <v>93.937540020684807</v>
      </c>
      <c r="AN1340">
        <v>0.99999999597727796</v>
      </c>
    </row>
    <row r="1341" spans="1:40" x14ac:dyDescent="0.25">
      <c r="A1341" t="str">
        <f>"20190304155348245"</f>
        <v>20190304155348245</v>
      </c>
      <c r="B1341" t="str">
        <f>"1551686028237464"</f>
        <v>1551686028237464</v>
      </c>
      <c r="C1341" t="s">
        <v>40</v>
      </c>
      <c r="D1341">
        <v>4.828335</v>
      </c>
      <c r="E1341">
        <v>0.58278699999999894</v>
      </c>
      <c r="F1341" t="s">
        <v>65</v>
      </c>
      <c r="G1341">
        <v>-311.23950000000002</v>
      </c>
      <c r="H1341">
        <v>8.0000100000000005E-2</v>
      </c>
      <c r="I1341">
        <v>290.63040000000001</v>
      </c>
      <c r="J1341">
        <v>-276.44220000000001</v>
      </c>
      <c r="K1341">
        <v>1.109578</v>
      </c>
      <c r="L1341">
        <v>285.70859999999999</v>
      </c>
      <c r="M1341">
        <v>-0.99987919999999997</v>
      </c>
      <c r="N1341">
        <v>-1.1591209999999999E-2</v>
      </c>
      <c r="O1341">
        <v>-1.0364150000000001E-2</v>
      </c>
      <c r="P1341">
        <v>-0.98695540000000004</v>
      </c>
      <c r="Q1341">
        <v>0.14058699999999999</v>
      </c>
      <c r="R1341">
        <v>-7.8452880000000003E-2</v>
      </c>
      <c r="S1341">
        <v>-3.086487</v>
      </c>
      <c r="T1341">
        <v>-8.9940549999999994E-2</v>
      </c>
      <c r="U1341">
        <v>0.42947390000000002</v>
      </c>
      <c r="V1341">
        <v>-6.8128939999999999E-2</v>
      </c>
      <c r="W1341">
        <v>0.15206649999999999</v>
      </c>
      <c r="X1341">
        <v>0.98601939999999999</v>
      </c>
      <c r="Y1341">
        <v>0.14798910000000001</v>
      </c>
      <c r="Z1341">
        <v>3.188527E-3</v>
      </c>
      <c r="AA1341">
        <v>0.98898390000000003</v>
      </c>
      <c r="AB1341">
        <v>36</v>
      </c>
      <c r="AC1341">
        <v>-34.7973</v>
      </c>
      <c r="AD1341">
        <v>-1.0295779</v>
      </c>
      <c r="AE1341">
        <v>4.9218000000000099</v>
      </c>
      <c r="AF1341">
        <v>5.2776745739439104</v>
      </c>
      <c r="AG1341">
        <v>-1.0295779</v>
      </c>
      <c r="AH1341">
        <v>34.714622546980301</v>
      </c>
      <c r="AI1341">
        <v>91.679512093903</v>
      </c>
      <c r="AJ1341">
        <v>81.3555004185001</v>
      </c>
      <c r="AK1341">
        <v>35.128605126590699</v>
      </c>
      <c r="AL1341">
        <v>81.253297836970702</v>
      </c>
      <c r="AM1341">
        <v>93.952565786444595</v>
      </c>
      <c r="AN1341">
        <v>1.00000001503206</v>
      </c>
    </row>
    <row r="1342" spans="1:40" x14ac:dyDescent="0.25">
      <c r="A1342" t="str">
        <f>"20190304155348267"</f>
        <v>20190304155348267</v>
      </c>
      <c r="B1342" t="str">
        <f>"1551686028257960"</f>
        <v>1551686028257960</v>
      </c>
      <c r="C1342" t="s">
        <v>40</v>
      </c>
      <c r="D1342">
        <v>4.8330199999999897</v>
      </c>
      <c r="E1342">
        <v>0.58354220000000001</v>
      </c>
      <c r="F1342" t="s">
        <v>65</v>
      </c>
      <c r="G1342">
        <v>-312.56920000000002</v>
      </c>
      <c r="H1342">
        <v>8.0000150000000006E-2</v>
      </c>
      <c r="I1342">
        <v>290.82440000000003</v>
      </c>
      <c r="J1342">
        <v>-276.80829999999997</v>
      </c>
      <c r="K1342">
        <v>1.109575</v>
      </c>
      <c r="L1342">
        <v>285.70499999999998</v>
      </c>
      <c r="M1342">
        <v>-0.99988160000000004</v>
      </c>
      <c r="N1342">
        <v>-1.159316E-2</v>
      </c>
      <c r="O1342">
        <v>-1.012885E-2</v>
      </c>
      <c r="P1342">
        <v>-0.98698850000000005</v>
      </c>
      <c r="Q1342">
        <v>0.14051900000000001</v>
      </c>
      <c r="R1342">
        <v>-7.8153529999999999E-2</v>
      </c>
      <c r="S1342">
        <v>-3.0869450000000001</v>
      </c>
      <c r="T1342">
        <v>-8.7974430000000006E-2</v>
      </c>
      <c r="U1342">
        <v>0.43713380000000002</v>
      </c>
      <c r="V1342">
        <v>-6.8061469999999999E-2</v>
      </c>
      <c r="W1342">
        <v>0.152001</v>
      </c>
      <c r="X1342">
        <v>0.98603419999999997</v>
      </c>
      <c r="Y1342">
        <v>0.15014479999999999</v>
      </c>
      <c r="Z1342">
        <v>3.1737599999999999E-3</v>
      </c>
      <c r="AA1342">
        <v>0.98865890000000001</v>
      </c>
      <c r="AB1342">
        <v>36</v>
      </c>
      <c r="AC1342">
        <v>-35.760899999999999</v>
      </c>
      <c r="AD1342">
        <v>-1.0295748499999999</v>
      </c>
      <c r="AE1342">
        <v>5.1194000000000397</v>
      </c>
      <c r="AF1342">
        <v>5.47692982192416</v>
      </c>
      <c r="AG1342">
        <v>-1.0295748499999999</v>
      </c>
      <c r="AH1342">
        <v>35.678228604648197</v>
      </c>
      <c r="AI1342">
        <v>91.633811022918294</v>
      </c>
      <c r="AJ1342">
        <v>81.272708554410301</v>
      </c>
      <c r="AK1342">
        <v>36.1108402146996</v>
      </c>
      <c r="AL1342">
        <v>81.257095207359598</v>
      </c>
      <c r="AM1342">
        <v>93.948604757865496</v>
      </c>
      <c r="AN1342">
        <v>1.00000005563459</v>
      </c>
    </row>
    <row r="1343" spans="1:40" x14ac:dyDescent="0.25">
      <c r="A1343" t="str">
        <f>"20190304155348291"</f>
        <v>20190304155348291</v>
      </c>
      <c r="B1343" t="str">
        <f>"1551686028287241"</f>
        <v>1551686028287241</v>
      </c>
      <c r="C1343" t="s">
        <v>40</v>
      </c>
      <c r="D1343">
        <v>4.8274460000000001</v>
      </c>
      <c r="E1343">
        <v>0.58424600000000004</v>
      </c>
      <c r="F1343" t="s">
        <v>65</v>
      </c>
      <c r="G1343">
        <v>-312.72899999999998</v>
      </c>
      <c r="H1343">
        <v>8.0000109999999999E-2</v>
      </c>
      <c r="I1343">
        <v>290.87200000000001</v>
      </c>
      <c r="J1343">
        <v>-277.19130000000001</v>
      </c>
      <c r="K1343">
        <v>1.1095729999999999</v>
      </c>
      <c r="L1343">
        <v>285.70139999999998</v>
      </c>
      <c r="M1343">
        <v>-0.99988390000000005</v>
      </c>
      <c r="N1343">
        <v>-1.159514E-2</v>
      </c>
      <c r="O1343">
        <v>-9.883055E-3</v>
      </c>
      <c r="P1343">
        <v>-0.98699749999999997</v>
      </c>
      <c r="Q1343">
        <v>0.1406406</v>
      </c>
      <c r="R1343">
        <v>-7.7822489999999994E-2</v>
      </c>
      <c r="S1343">
        <v>-3.0873110000000001</v>
      </c>
      <c r="T1343">
        <v>-8.8490009999999994E-2</v>
      </c>
      <c r="U1343">
        <v>0.44409179999999998</v>
      </c>
      <c r="V1343">
        <v>-6.7973169999999999E-2</v>
      </c>
      <c r="W1343">
        <v>0.1521245</v>
      </c>
      <c r="X1343">
        <v>0.98602120000000004</v>
      </c>
      <c r="Y1343">
        <v>0.15206710000000001</v>
      </c>
      <c r="Z1343">
        <v>3.2219589999999999E-3</v>
      </c>
      <c r="AA1343">
        <v>0.98836489999999999</v>
      </c>
      <c r="AB1343">
        <v>36</v>
      </c>
      <c r="AC1343">
        <v>-35.537700000000001</v>
      </c>
      <c r="AD1343">
        <v>-1.0295728900000001</v>
      </c>
      <c r="AE1343">
        <v>5.1706000000000296</v>
      </c>
      <c r="AF1343">
        <v>5.5170574421420504</v>
      </c>
      <c r="AG1343">
        <v>-1.0295728900000001</v>
      </c>
      <c r="AH1343">
        <v>35.455717072184299</v>
      </c>
      <c r="AI1343">
        <v>91.643536100162905</v>
      </c>
      <c r="AJ1343">
        <v>81.155465840634093</v>
      </c>
      <c r="AK1343">
        <v>35.897156102656602</v>
      </c>
      <c r="AL1343">
        <v>81.249935529744107</v>
      </c>
      <c r="AM1343">
        <v>93.943550010796798</v>
      </c>
      <c r="AN1343">
        <v>1.00000001109476</v>
      </c>
    </row>
    <row r="1344" spans="1:40" x14ac:dyDescent="0.25">
      <c r="A1344" t="str">
        <f>"20190304155348313"</f>
        <v>20190304155348313</v>
      </c>
      <c r="B1344" t="str">
        <f>"1551686028307736"</f>
        <v>1551686028307736</v>
      </c>
      <c r="C1344" t="s">
        <v>40</v>
      </c>
      <c r="D1344">
        <v>4.8213839999999903</v>
      </c>
      <c r="E1344">
        <v>0.58495659999999905</v>
      </c>
      <c r="F1344" t="s">
        <v>65</v>
      </c>
      <c r="G1344">
        <v>-312.76819999999998</v>
      </c>
      <c r="H1344">
        <v>8.0000070000000006E-2</v>
      </c>
      <c r="I1344">
        <v>290.89580000000001</v>
      </c>
      <c r="J1344">
        <v>-277.55329999999998</v>
      </c>
      <c r="K1344">
        <v>1.1095820000000001</v>
      </c>
      <c r="L1344">
        <v>285.69810000000001</v>
      </c>
      <c r="M1344">
        <v>-0.99988630000000001</v>
      </c>
      <c r="N1344">
        <v>-1.1599190000000001E-2</v>
      </c>
      <c r="O1344">
        <v>-9.6502689999999995E-3</v>
      </c>
      <c r="P1344">
        <v>-0.98697599999999996</v>
      </c>
      <c r="Q1344">
        <v>0.14117850000000001</v>
      </c>
      <c r="R1344">
        <v>-7.7118080000000006E-2</v>
      </c>
      <c r="S1344">
        <v>-3.0878299999999999</v>
      </c>
      <c r="T1344">
        <v>-8.9359999999999995E-2</v>
      </c>
      <c r="U1344">
        <v>0.45083620000000002</v>
      </c>
      <c r="V1344">
        <v>-6.7498240000000001E-2</v>
      </c>
      <c r="W1344">
        <v>0.15266550000000001</v>
      </c>
      <c r="X1344">
        <v>0.98597020000000002</v>
      </c>
      <c r="Y1344">
        <v>0.15392510000000001</v>
      </c>
      <c r="Z1344">
        <v>3.2792210000000001E-3</v>
      </c>
      <c r="AA1344">
        <v>0.98807699999999998</v>
      </c>
      <c r="AB1344">
        <v>36</v>
      </c>
      <c r="AC1344">
        <v>-35.2149</v>
      </c>
      <c r="AD1344">
        <v>-1.02958193</v>
      </c>
      <c r="AE1344">
        <v>5.1976999999999904</v>
      </c>
      <c r="AF1344">
        <v>5.5326854583898202</v>
      </c>
      <c r="AG1344">
        <v>-1.02958193</v>
      </c>
      <c r="AH1344">
        <v>35.133705163064597</v>
      </c>
      <c r="AI1344">
        <v>91.658132001228495</v>
      </c>
      <c r="AJ1344">
        <v>81.050830736253104</v>
      </c>
      <c r="AK1344">
        <v>35.581566657712102</v>
      </c>
      <c r="AL1344">
        <v>81.218572091801803</v>
      </c>
      <c r="AM1344">
        <v>93.916284305565796</v>
      </c>
      <c r="AN1344">
        <v>1.00000000129069</v>
      </c>
    </row>
    <row r="1345" spans="1:40" x14ac:dyDescent="0.25">
      <c r="A1345" t="str">
        <f>"20190304155348335"</f>
        <v>20190304155348335</v>
      </c>
      <c r="B1345" t="str">
        <f>"1551686028327256"</f>
        <v>1551686028327256</v>
      </c>
      <c r="C1345" t="s">
        <v>40</v>
      </c>
      <c r="D1345">
        <v>4.8225239999999996</v>
      </c>
      <c r="E1345">
        <v>0.58526519999999904</v>
      </c>
      <c r="F1345" t="s">
        <v>65</v>
      </c>
      <c r="G1345">
        <v>-313.85489999999999</v>
      </c>
      <c r="H1345">
        <v>8.0000080000000001E-2</v>
      </c>
      <c r="I1345">
        <v>291.08769999999998</v>
      </c>
      <c r="J1345">
        <v>-277.9008</v>
      </c>
      <c r="K1345">
        <v>1.1095839999999999</v>
      </c>
      <c r="L1345">
        <v>285.69490000000002</v>
      </c>
      <c r="M1345">
        <v>-0.9998882</v>
      </c>
      <c r="N1345">
        <v>-1.1609690000000001E-2</v>
      </c>
      <c r="O1345">
        <v>-9.4265740000000001E-3</v>
      </c>
      <c r="P1345">
        <v>-0.98696450000000002</v>
      </c>
      <c r="Q1345">
        <v>0.14136660000000001</v>
      </c>
      <c r="R1345">
        <v>-7.6921390000000006E-2</v>
      </c>
      <c r="S1345">
        <v>-3.0879819999999998</v>
      </c>
      <c r="T1345">
        <v>-8.7580920000000007E-2</v>
      </c>
      <c r="U1345">
        <v>0.45846559999999997</v>
      </c>
      <c r="V1345">
        <v>-6.7522470000000001E-2</v>
      </c>
      <c r="W1345">
        <v>0.15286340000000001</v>
      </c>
      <c r="X1345">
        <v>0.98593790000000003</v>
      </c>
      <c r="Y1345">
        <v>0.15608810000000001</v>
      </c>
      <c r="Z1345">
        <v>3.2693359999999999E-3</v>
      </c>
      <c r="AA1345">
        <v>0.98773770000000005</v>
      </c>
      <c r="AB1345">
        <v>36</v>
      </c>
      <c r="AC1345">
        <v>-35.954099999999897</v>
      </c>
      <c r="AD1345">
        <v>-1.0295839200000001</v>
      </c>
      <c r="AE1345">
        <v>5.3927999999999603</v>
      </c>
      <c r="AF1345">
        <v>5.7269142967270597</v>
      </c>
      <c r="AG1345">
        <v>-1.0295839200000001</v>
      </c>
      <c r="AH1345">
        <v>35.8728938458027</v>
      </c>
      <c r="AI1345">
        <v>91.623441985256306</v>
      </c>
      <c r="AJ1345">
        <v>80.929578029493896</v>
      </c>
      <c r="AK1345">
        <v>36.341740509813299</v>
      </c>
      <c r="AL1345">
        <v>81.2070987791991</v>
      </c>
      <c r="AM1345">
        <v>93.917813712641504</v>
      </c>
      <c r="AN1345">
        <v>1.00000002283543</v>
      </c>
    </row>
    <row r="1346" spans="1:40" x14ac:dyDescent="0.25">
      <c r="A1346" t="str">
        <f>"20190304155348357"</f>
        <v>20190304155348357</v>
      </c>
      <c r="B1346" t="str">
        <f>"1551686028347756"</f>
        <v>1551686028347756</v>
      </c>
      <c r="C1346" t="s">
        <v>40</v>
      </c>
      <c r="D1346">
        <v>4.7894540000000001</v>
      </c>
      <c r="E1346">
        <v>0.585565</v>
      </c>
      <c r="F1346" t="s">
        <v>65</v>
      </c>
      <c r="G1346">
        <v>-313.89150000000001</v>
      </c>
      <c r="H1346">
        <v>8.0000080000000001E-2</v>
      </c>
      <c r="I1346">
        <v>291.07310000000001</v>
      </c>
      <c r="J1346">
        <v>-278.26670000000001</v>
      </c>
      <c r="K1346">
        <v>1.109588</v>
      </c>
      <c r="L1346">
        <v>285.69170000000003</v>
      </c>
      <c r="M1346">
        <v>-0.99989019999999995</v>
      </c>
      <c r="N1346">
        <v>-1.1627419999999999E-2</v>
      </c>
      <c r="O1346">
        <v>-9.1908739999999999E-3</v>
      </c>
      <c r="P1346">
        <v>-0.98688779999999998</v>
      </c>
      <c r="Q1346">
        <v>0.14201569999999999</v>
      </c>
      <c r="R1346">
        <v>-7.6707999999999998E-2</v>
      </c>
      <c r="S1346">
        <v>-3.0882869999999998</v>
      </c>
      <c r="T1346">
        <v>-8.8346480000000005E-2</v>
      </c>
      <c r="U1346">
        <v>0.46148679999999997</v>
      </c>
      <c r="V1346">
        <v>-6.754222E-2</v>
      </c>
      <c r="W1346">
        <v>0.1535292</v>
      </c>
      <c r="X1346">
        <v>0.98583299999999996</v>
      </c>
      <c r="Y1346">
        <v>0.1567846</v>
      </c>
      <c r="Z1346">
        <v>3.3017680000000001E-3</v>
      </c>
      <c r="AA1346">
        <v>0.98762729999999999</v>
      </c>
      <c r="AB1346">
        <v>36</v>
      </c>
      <c r="AC1346">
        <v>-35.624799999999901</v>
      </c>
      <c r="AD1346">
        <v>-1.02958792</v>
      </c>
      <c r="AE1346">
        <v>5.3813999999999798</v>
      </c>
      <c r="AF1346">
        <v>5.70395984084902</v>
      </c>
      <c r="AG1346">
        <v>-1.02958792</v>
      </c>
      <c r="AH1346">
        <v>35.544805172303597</v>
      </c>
      <c r="AI1346">
        <v>91.638213520955304</v>
      </c>
      <c r="AJ1346">
        <v>80.883334661346794</v>
      </c>
      <c r="AK1346">
        <v>36.0142802772463</v>
      </c>
      <c r="AL1346">
        <v>81.168494789265594</v>
      </c>
      <c r="AM1346">
        <v>93.919371790823803</v>
      </c>
      <c r="AN1346">
        <v>0.99999993531208198</v>
      </c>
    </row>
    <row r="1347" spans="1:40" x14ac:dyDescent="0.25">
      <c r="A1347" t="str">
        <f>"20190304155348378"</f>
        <v>20190304155348378</v>
      </c>
      <c r="B1347" t="str">
        <f>"1551686028367276"</f>
        <v>1551686028367276</v>
      </c>
      <c r="C1347" t="s">
        <v>40</v>
      </c>
      <c r="D1347">
        <v>4.7765690000000003</v>
      </c>
      <c r="E1347">
        <v>0.5860052</v>
      </c>
      <c r="F1347" t="s">
        <v>65</v>
      </c>
      <c r="G1347">
        <v>-314.91140000000001</v>
      </c>
      <c r="H1347">
        <v>7.9999940000000005E-2</v>
      </c>
      <c r="I1347">
        <v>291.20139999999998</v>
      </c>
      <c r="J1347">
        <v>-278.61689999999999</v>
      </c>
      <c r="K1347">
        <v>1.109588</v>
      </c>
      <c r="L1347">
        <v>285.68869999999998</v>
      </c>
      <c r="M1347">
        <v>-0.999892</v>
      </c>
      <c r="N1347">
        <v>-1.164656E-2</v>
      </c>
      <c r="O1347">
        <v>-8.9665019999999995E-3</v>
      </c>
      <c r="P1347">
        <v>-0.98678529999999998</v>
      </c>
      <c r="Q1347">
        <v>0.14264370000000001</v>
      </c>
      <c r="R1347">
        <v>-7.6862890000000003E-2</v>
      </c>
      <c r="S1347">
        <v>-3.0884399999999999</v>
      </c>
      <c r="T1347">
        <v>-8.677435E-2</v>
      </c>
      <c r="U1347">
        <v>0.46435549999999998</v>
      </c>
      <c r="V1347">
        <v>-6.7919350000000003E-2</v>
      </c>
      <c r="W1347">
        <v>0.15417520000000001</v>
      </c>
      <c r="X1347">
        <v>0.98570630000000004</v>
      </c>
      <c r="Y1347">
        <v>0.1574555</v>
      </c>
      <c r="Z1347">
        <v>3.2681899999999998E-3</v>
      </c>
      <c r="AA1347">
        <v>0.98752070000000003</v>
      </c>
      <c r="AB1347">
        <v>36</v>
      </c>
      <c r="AC1347">
        <v>-36.294499999999999</v>
      </c>
      <c r="AD1347">
        <v>-1.02958806</v>
      </c>
      <c r="AE1347">
        <v>5.5126999999999899</v>
      </c>
      <c r="AF1347">
        <v>5.8333467684996396</v>
      </c>
      <c r="AG1347">
        <v>-1.02958806</v>
      </c>
      <c r="AH1347">
        <v>36.215121878581698</v>
      </c>
      <c r="AI1347">
        <v>91.607755874302498</v>
      </c>
      <c r="AJ1347">
        <v>80.849683780046007</v>
      </c>
      <c r="AK1347">
        <v>36.696362745855097</v>
      </c>
      <c r="AL1347">
        <v>81.131036031366193</v>
      </c>
      <c r="AM1347">
        <v>93.941692284886898</v>
      </c>
      <c r="AN1347">
        <v>0.99999997012957498</v>
      </c>
    </row>
    <row r="1348" spans="1:40" x14ac:dyDescent="0.25">
      <c r="A1348" t="str">
        <f>"20190304155348401"</f>
        <v>20190304155348401</v>
      </c>
      <c r="B1348" t="str">
        <f>"1551686028397529"</f>
        <v>1551686028397529</v>
      </c>
      <c r="C1348" t="s">
        <v>40</v>
      </c>
      <c r="D1348">
        <v>4.7326990000000002</v>
      </c>
      <c r="E1348">
        <v>0.58664439999999995</v>
      </c>
      <c r="F1348" t="s">
        <v>65</v>
      </c>
      <c r="G1348">
        <v>-315.93869999999998</v>
      </c>
      <c r="H1348">
        <v>8.0000100000000005E-2</v>
      </c>
      <c r="I1348">
        <v>291.3347</v>
      </c>
      <c r="J1348">
        <v>-278.97820000000002</v>
      </c>
      <c r="K1348">
        <v>1.109599</v>
      </c>
      <c r="L1348">
        <v>285.6857</v>
      </c>
      <c r="M1348">
        <v>-0.99989380000000005</v>
      </c>
      <c r="N1348">
        <v>-1.166611E-2</v>
      </c>
      <c r="O1348">
        <v>-8.7349839999999995E-3</v>
      </c>
      <c r="P1348">
        <v>-0.98672490000000002</v>
      </c>
      <c r="Q1348">
        <v>0.14327709999999999</v>
      </c>
      <c r="R1348">
        <v>-7.6461299999999996E-2</v>
      </c>
      <c r="S1348">
        <v>-3.0888979999999999</v>
      </c>
      <c r="T1348">
        <v>-8.5212830000000003E-2</v>
      </c>
      <c r="U1348">
        <v>0.46728520000000001</v>
      </c>
      <c r="V1348">
        <v>-6.7745970000000003E-2</v>
      </c>
      <c r="W1348">
        <v>0.15482670000000001</v>
      </c>
      <c r="X1348">
        <v>0.98561609999999999</v>
      </c>
      <c r="Y1348">
        <v>0.1581234</v>
      </c>
      <c r="Z1348">
        <v>3.2344499999999998E-3</v>
      </c>
      <c r="AA1348">
        <v>0.98741409999999996</v>
      </c>
      <c r="AB1348">
        <v>36</v>
      </c>
      <c r="AC1348">
        <v>-36.960499999999897</v>
      </c>
      <c r="AD1348">
        <v>-1.0295988999999901</v>
      </c>
      <c r="AE1348">
        <v>5.649</v>
      </c>
      <c r="AF1348">
        <v>5.96713102116769</v>
      </c>
      <c r="AG1348">
        <v>-1.0295988999999901</v>
      </c>
      <c r="AH1348">
        <v>36.881775579725797</v>
      </c>
      <c r="AI1348">
        <v>91.578548746250505</v>
      </c>
      <c r="AJ1348">
        <v>80.809708417418506</v>
      </c>
      <c r="AK1348">
        <v>37.375554797647098</v>
      </c>
      <c r="AL1348">
        <v>81.093254078043202</v>
      </c>
      <c r="AM1348">
        <v>93.932020474853502</v>
      </c>
      <c r="AN1348">
        <v>0.99999996003166902</v>
      </c>
    </row>
    <row r="1349" spans="1:40" x14ac:dyDescent="0.25">
      <c r="A1349" t="str">
        <f>"20190304155348423"</f>
        <v>20190304155348423</v>
      </c>
      <c r="B1349" t="str">
        <f>"1551686028418025"</f>
        <v>1551686028418025</v>
      </c>
      <c r="C1349" t="s">
        <v>40</v>
      </c>
      <c r="D1349">
        <v>4.7245799999999996</v>
      </c>
      <c r="E1349">
        <v>0.58715150000000005</v>
      </c>
      <c r="F1349" t="s">
        <v>65</v>
      </c>
      <c r="G1349">
        <v>-317.56639999999999</v>
      </c>
      <c r="H1349">
        <v>8.0000349999999998E-2</v>
      </c>
      <c r="I1349">
        <v>291.60570000000001</v>
      </c>
      <c r="J1349">
        <v>-279.33629999999999</v>
      </c>
      <c r="K1349">
        <v>1.1096060000000001</v>
      </c>
      <c r="L1349">
        <v>285.68279999999999</v>
      </c>
      <c r="M1349">
        <v>-0.9998956</v>
      </c>
      <c r="N1349">
        <v>-1.1684190000000001E-2</v>
      </c>
      <c r="O1349">
        <v>-8.5051359999999999E-3</v>
      </c>
      <c r="P1349">
        <v>-0.98664989999999997</v>
      </c>
      <c r="Q1349">
        <v>0.14396979999999901</v>
      </c>
      <c r="R1349">
        <v>-7.6123270000000007E-2</v>
      </c>
      <c r="S1349">
        <v>-3.0890499999999999</v>
      </c>
      <c r="T1349">
        <v>-8.2421179999999997E-2</v>
      </c>
      <c r="U1349">
        <v>0.47390749999999998</v>
      </c>
      <c r="V1349">
        <v>-6.7635429999999996E-2</v>
      </c>
      <c r="W1349">
        <v>0.1555357</v>
      </c>
      <c r="X1349">
        <v>0.9855121</v>
      </c>
      <c r="Y1349">
        <v>0.15996160000000001</v>
      </c>
      <c r="Z1349">
        <v>3.1882870000000002E-3</v>
      </c>
      <c r="AA1349">
        <v>0.9871181</v>
      </c>
      <c r="AB1349">
        <v>36</v>
      </c>
      <c r="AC1349">
        <v>-38.230099999999901</v>
      </c>
      <c r="AD1349">
        <v>-1.0296056499999999</v>
      </c>
      <c r="AE1349">
        <v>5.9229000000000198</v>
      </c>
      <c r="AF1349">
        <v>6.24343777331433</v>
      </c>
      <c r="AG1349">
        <v>-1.0296056499999999</v>
      </c>
      <c r="AH1349">
        <v>38.151315182080303</v>
      </c>
      <c r="AI1349">
        <v>91.525606207639001</v>
      </c>
      <c r="AJ1349">
        <v>80.705966973304399</v>
      </c>
      <c r="AK1349">
        <v>38.672515474768304</v>
      </c>
      <c r="AL1349">
        <v>81.052133612156993</v>
      </c>
      <c r="AM1349">
        <v>93.926037708259798</v>
      </c>
      <c r="AN1349">
        <v>1.00000000230609</v>
      </c>
    </row>
    <row r="1350" spans="1:40" x14ac:dyDescent="0.25">
      <c r="A1350" t="str">
        <f>"20190304155348446"</f>
        <v>20190304155348446</v>
      </c>
      <c r="B1350" t="str">
        <f>"1551686028437544"</f>
        <v>1551686028437544</v>
      </c>
      <c r="C1350" t="s">
        <v>40</v>
      </c>
      <c r="D1350">
        <v>4.6806979999999996</v>
      </c>
      <c r="E1350">
        <v>0.58777270000000004</v>
      </c>
      <c r="F1350" t="s">
        <v>65</v>
      </c>
      <c r="G1350">
        <v>-319.03739999999999</v>
      </c>
      <c r="H1350">
        <v>8.0000539999999995E-2</v>
      </c>
      <c r="I1350">
        <v>291.8279</v>
      </c>
      <c r="J1350">
        <v>-279.70389999999998</v>
      </c>
      <c r="K1350">
        <v>1.10961</v>
      </c>
      <c r="L1350">
        <v>285.67989999999998</v>
      </c>
      <c r="M1350">
        <v>-0.99989749999999999</v>
      </c>
      <c r="N1350">
        <v>-1.17013E-2</v>
      </c>
      <c r="O1350">
        <v>-8.2683770000000004E-3</v>
      </c>
      <c r="P1350">
        <v>-0.98676059999999999</v>
      </c>
      <c r="Q1350">
        <v>0.14339009999999999</v>
      </c>
      <c r="R1350">
        <v>-7.5783820000000002E-2</v>
      </c>
      <c r="S1350">
        <v>-3.0891419999999998</v>
      </c>
      <c r="T1350">
        <v>-8.0113649999999995E-2</v>
      </c>
      <c r="U1350">
        <v>0.4781494</v>
      </c>
      <c r="V1350">
        <v>-6.7529140000000001E-2</v>
      </c>
      <c r="W1350">
        <v>0.15497420000000001</v>
      </c>
      <c r="X1350">
        <v>0.98560789999999998</v>
      </c>
      <c r="Y1350">
        <v>0.16105069999999999</v>
      </c>
      <c r="Z1350">
        <v>3.1407259999999999E-3</v>
      </c>
      <c r="AA1350">
        <v>0.98694119999999996</v>
      </c>
      <c r="AB1350">
        <v>36</v>
      </c>
      <c r="AC1350">
        <v>-39.333500000000001</v>
      </c>
      <c r="AD1350">
        <v>-1.0296094600000001</v>
      </c>
      <c r="AE1350">
        <v>6.1480000000000201</v>
      </c>
      <c r="AF1350">
        <v>6.4687095561008201</v>
      </c>
      <c r="AG1350">
        <v>-1.0296094600000001</v>
      </c>
      <c r="AH1350">
        <v>39.255061545348397</v>
      </c>
      <c r="AI1350">
        <v>91.482465685239902</v>
      </c>
      <c r="AJ1350">
        <v>80.642516141442499</v>
      </c>
      <c r="AK1350">
        <v>39.797790841834498</v>
      </c>
      <c r="AL1350">
        <v>81.084700597898205</v>
      </c>
      <c r="AM1350">
        <v>93.919507314782507</v>
      </c>
      <c r="AN1350">
        <v>1.0000000599785901</v>
      </c>
    </row>
    <row r="1351" spans="1:40" x14ac:dyDescent="0.25">
      <c r="A1351" t="str">
        <f>"20190304155348469"</f>
        <v>20190304155348469</v>
      </c>
      <c r="B1351" t="str">
        <f>"1551686028458040"</f>
        <v>1551686028458040</v>
      </c>
      <c r="C1351" t="s">
        <v>40</v>
      </c>
      <c r="D1351">
        <v>4.7581150000000001</v>
      </c>
      <c r="E1351">
        <v>0.58800109999999906</v>
      </c>
      <c r="F1351" t="s">
        <v>65</v>
      </c>
      <c r="G1351">
        <v>-319.80489999999998</v>
      </c>
      <c r="H1351">
        <v>8.0000650000000006E-2</v>
      </c>
      <c r="I1351">
        <v>291.97160000000002</v>
      </c>
      <c r="J1351">
        <v>-280.08280000000002</v>
      </c>
      <c r="K1351">
        <v>1.109607</v>
      </c>
      <c r="L1351">
        <v>285.67700000000002</v>
      </c>
      <c r="M1351">
        <v>-0.99989910000000004</v>
      </c>
      <c r="N1351">
        <v>-1.171752E-2</v>
      </c>
      <c r="O1351">
        <v>-8.0244579999999999E-3</v>
      </c>
      <c r="P1351">
        <v>-0.98682270000000005</v>
      </c>
      <c r="Q1351">
        <v>0.1429694</v>
      </c>
      <c r="R1351">
        <v>-7.5767760000000003E-2</v>
      </c>
      <c r="S1351">
        <v>-3.0889890000000002</v>
      </c>
      <c r="T1351">
        <v>-7.9310889999999995E-2</v>
      </c>
      <c r="U1351">
        <v>0.48464970000000002</v>
      </c>
      <c r="V1351">
        <v>-6.7753899999999895E-2</v>
      </c>
      <c r="W1351">
        <v>0.15457000000000001</v>
      </c>
      <c r="X1351">
        <v>0.98565590000000003</v>
      </c>
      <c r="Y1351">
        <v>0.1628452</v>
      </c>
      <c r="Z1351">
        <v>3.1489769999999999E-3</v>
      </c>
      <c r="AA1351">
        <v>0.98664660000000004</v>
      </c>
      <c r="AB1351">
        <v>36</v>
      </c>
      <c r="AC1351">
        <v>-39.722099999999898</v>
      </c>
      <c r="AD1351">
        <v>-1.0296063499999999</v>
      </c>
      <c r="AE1351">
        <v>6.2946</v>
      </c>
      <c r="AF1351">
        <v>6.6088360950629399</v>
      </c>
      <c r="AG1351">
        <v>-1.0296063499999999</v>
      </c>
      <c r="AH1351">
        <v>39.644323768940303</v>
      </c>
      <c r="AI1351">
        <v>91.467457960412702</v>
      </c>
      <c r="AJ1351">
        <v>80.535640523193806</v>
      </c>
      <c r="AK1351">
        <v>40.204591912665101</v>
      </c>
      <c r="AL1351">
        <v>81.108141607770904</v>
      </c>
      <c r="AM1351">
        <v>93.932321001044997</v>
      </c>
      <c r="AN1351">
        <v>1.0000000145350101</v>
      </c>
    </row>
    <row r="1352" spans="1:40" x14ac:dyDescent="0.25">
      <c r="A1352" t="str">
        <f>"20190304155348493"</f>
        <v>20190304155348493</v>
      </c>
      <c r="B1352" t="str">
        <f>"1551686028487321"</f>
        <v>1551686028487321</v>
      </c>
      <c r="C1352" t="s">
        <v>40</v>
      </c>
      <c r="D1352">
        <v>4.6389149999999999</v>
      </c>
      <c r="E1352">
        <v>0.5337731</v>
      </c>
      <c r="F1352" t="s">
        <v>63</v>
      </c>
      <c r="G1352">
        <v>-320.1302</v>
      </c>
      <c r="H1352">
        <v>7.999974E-2</v>
      </c>
      <c r="I1352">
        <v>291.99</v>
      </c>
      <c r="J1352">
        <v>-280.4599</v>
      </c>
      <c r="K1352">
        <v>1.1096060000000001</v>
      </c>
      <c r="L1352">
        <v>285.67430000000002</v>
      </c>
      <c r="M1352">
        <v>-0.99990109999999999</v>
      </c>
      <c r="N1352">
        <v>-1.173221E-2</v>
      </c>
      <c r="O1352">
        <v>-7.7816029999999998E-3</v>
      </c>
      <c r="P1352">
        <v>-0.98676459999999999</v>
      </c>
      <c r="Q1352">
        <v>0.14286160000000001</v>
      </c>
      <c r="R1352">
        <v>-7.6723260000000001E-2</v>
      </c>
      <c r="S1352">
        <v>-3.088959</v>
      </c>
      <c r="T1352">
        <v>-7.9416390000000003E-2</v>
      </c>
      <c r="U1352">
        <v>0.4869385</v>
      </c>
      <c r="V1352">
        <v>-6.89496E-2</v>
      </c>
      <c r="W1352">
        <v>0.15447669999999999</v>
      </c>
      <c r="X1352">
        <v>0.98558760000000001</v>
      </c>
      <c r="Y1352">
        <v>0.16331999999999999</v>
      </c>
      <c r="Z1352">
        <v>3.158545E-3</v>
      </c>
      <c r="AA1352">
        <v>0.98656809999999995</v>
      </c>
      <c r="AB1352">
        <v>36</v>
      </c>
      <c r="AC1352">
        <v>-39.670299999999997</v>
      </c>
      <c r="AD1352">
        <v>-1.02960625999999</v>
      </c>
      <c r="AE1352">
        <v>6.3156999999999899</v>
      </c>
      <c r="AF1352">
        <v>6.6198794470684303</v>
      </c>
      <c r="AG1352">
        <v>-1.02960625999999</v>
      </c>
      <c r="AH1352">
        <v>39.593937339876298</v>
      </c>
      <c r="AI1352">
        <v>91.469207335550095</v>
      </c>
      <c r="AJ1352">
        <v>80.508267882619606</v>
      </c>
      <c r="AK1352">
        <v>40.156727543693101</v>
      </c>
      <c r="AL1352">
        <v>81.113552229920899</v>
      </c>
      <c r="AM1352">
        <v>94.001770300863399</v>
      </c>
      <c r="AN1352">
        <v>1.0000000077283999</v>
      </c>
    </row>
    <row r="1353" spans="1:40" x14ac:dyDescent="0.25">
      <c r="A1353" t="str">
        <f>"20190304155348514"</f>
        <v>20190304155348514</v>
      </c>
      <c r="B1353" t="str">
        <f>"1551686028507817"</f>
        <v>1551686028507817</v>
      </c>
      <c r="C1353" t="s">
        <v>40</v>
      </c>
      <c r="D1353">
        <v>4.5972140000000001</v>
      </c>
      <c r="E1353">
        <v>0.53007720000000003</v>
      </c>
      <c r="F1353" t="s">
        <v>63</v>
      </c>
      <c r="G1353">
        <v>-329.06139999999999</v>
      </c>
      <c r="H1353" s="1">
        <v>3.2026519999999998E-6</v>
      </c>
      <c r="I1353">
        <v>286.50560000000002</v>
      </c>
      <c r="J1353">
        <v>-280.82339999999999</v>
      </c>
      <c r="K1353">
        <v>1.1096109999999999</v>
      </c>
      <c r="L1353">
        <v>285.67169999999999</v>
      </c>
      <c r="M1353">
        <v>-0.99990250000000003</v>
      </c>
      <c r="N1353">
        <v>-1.174501E-2</v>
      </c>
      <c r="O1353">
        <v>-7.5473190000000002E-3</v>
      </c>
      <c r="P1353">
        <v>-0.98678560000000004</v>
      </c>
      <c r="Q1353">
        <v>0.14240329999999901</v>
      </c>
      <c r="R1353">
        <v>-7.7300629999999995E-2</v>
      </c>
      <c r="S1353">
        <v>-3.0544129999999998</v>
      </c>
      <c r="T1353">
        <v>-6.9734099999999993E-2</v>
      </c>
      <c r="U1353">
        <v>5.2246090000000002E-2</v>
      </c>
      <c r="V1353">
        <v>-6.9758589999999995E-2</v>
      </c>
      <c r="W1353">
        <v>0.15403149999999999</v>
      </c>
      <c r="X1353">
        <v>0.98560040000000004</v>
      </c>
      <c r="Y1353">
        <v>2.463868E-2</v>
      </c>
      <c r="Z1353">
        <v>5.0957859999999999E-4</v>
      </c>
      <c r="AA1353">
        <v>0.99969629999999998</v>
      </c>
      <c r="AB1353">
        <v>36</v>
      </c>
      <c r="AC1353">
        <v>-48.238</v>
      </c>
      <c r="AD1353">
        <v>-1.1096077973479901</v>
      </c>
      <c r="AE1353">
        <v>0.83390000000002795</v>
      </c>
      <c r="AF1353">
        <v>1.19733559440515</v>
      </c>
      <c r="AG1353">
        <v>-1.1096077973479901</v>
      </c>
      <c r="AH1353">
        <v>48.204832892853503</v>
      </c>
      <c r="AI1353">
        <v>91.318229369075695</v>
      </c>
      <c r="AJ1353">
        <v>88.577151516874395</v>
      </c>
      <c r="AK1353">
        <v>48.232465790352201</v>
      </c>
      <c r="AL1353">
        <v>81.139369742920707</v>
      </c>
      <c r="AM1353">
        <v>94.048515686962602</v>
      </c>
      <c r="AN1353">
        <v>1.00000005617559</v>
      </c>
    </row>
    <row r="1354" spans="1:40" x14ac:dyDescent="0.25">
      <c r="A1354" t="str">
        <f>"20190304155348538"</f>
        <v>20190304155348538</v>
      </c>
      <c r="B1354" t="str">
        <f>"1551686028527337"</f>
        <v>1551686028527337</v>
      </c>
      <c r="C1354" t="s">
        <v>40</v>
      </c>
      <c r="D1354">
        <v>4.609896</v>
      </c>
      <c r="E1354">
        <v>0.52934789999999998</v>
      </c>
      <c r="F1354" t="s">
        <v>63</v>
      </c>
      <c r="G1354">
        <v>-320.63229999999999</v>
      </c>
      <c r="H1354" s="1">
        <v>-1.2584829999999899E-6</v>
      </c>
      <c r="I1354">
        <v>285.94740000000002</v>
      </c>
      <c r="J1354">
        <v>-281.19659999999999</v>
      </c>
      <c r="K1354">
        <v>1.1096079999999999</v>
      </c>
      <c r="L1354">
        <v>285.66910000000001</v>
      </c>
      <c r="M1354">
        <v>-0.99990429999999997</v>
      </c>
      <c r="N1354">
        <v>-1.175679E-2</v>
      </c>
      <c r="O1354">
        <v>-7.3070690000000002E-3</v>
      </c>
      <c r="P1354">
        <v>-0.98668180000000005</v>
      </c>
      <c r="Q1354">
        <v>0.142739</v>
      </c>
      <c r="R1354">
        <v>-7.8007389999999996E-2</v>
      </c>
      <c r="S1354">
        <v>-3.0541079999999998</v>
      </c>
      <c r="T1354">
        <v>-8.5128430000000005E-2</v>
      </c>
      <c r="U1354">
        <v>2.114868E-2</v>
      </c>
      <c r="V1354">
        <v>-7.0703100000000005E-2</v>
      </c>
      <c r="W1354">
        <v>0.15437779999999901</v>
      </c>
      <c r="X1354">
        <v>0.98547890000000005</v>
      </c>
      <c r="Y1354">
        <v>1.422291E-2</v>
      </c>
      <c r="Z1354">
        <v>3.995456E-4</v>
      </c>
      <c r="AA1354">
        <v>0.99989879999999998</v>
      </c>
      <c r="AB1354">
        <v>36</v>
      </c>
      <c r="AC1354">
        <v>-39.435699999999997</v>
      </c>
      <c r="AD1354">
        <v>-1.109609258483</v>
      </c>
      <c r="AE1354">
        <v>0.27830000000000099</v>
      </c>
      <c r="AF1354">
        <v>0.56602373579600296</v>
      </c>
      <c r="AG1354">
        <v>-1.109609258483</v>
      </c>
      <c r="AH1354">
        <v>39.401420763365302</v>
      </c>
      <c r="AI1354">
        <v>91.612951345896505</v>
      </c>
      <c r="AJ1354">
        <v>89.176970274018899</v>
      </c>
      <c r="AK1354">
        <v>39.421105689056297</v>
      </c>
      <c r="AL1354">
        <v>81.119287942596799</v>
      </c>
      <c r="AM1354">
        <v>94.103649524582806</v>
      </c>
      <c r="AN1354">
        <v>1.00000004791382</v>
      </c>
    </row>
    <row r="1355" spans="1:40" x14ac:dyDescent="0.25">
      <c r="A1355" t="str">
        <f>"20190304155348558"</f>
        <v>20190304155348558</v>
      </c>
      <c r="B1355" t="str">
        <f>"1551686028547832"</f>
        <v>1551686028547832</v>
      </c>
      <c r="C1355" t="s">
        <v>40</v>
      </c>
      <c r="D1355">
        <v>4.7990219999999999</v>
      </c>
      <c r="E1355">
        <v>0.52961480000000005</v>
      </c>
      <c r="F1355" t="s">
        <v>65</v>
      </c>
      <c r="G1355">
        <v>-319.88240000000002</v>
      </c>
      <c r="H1355" s="1">
        <v>6.4931809999999996E-6</v>
      </c>
      <c r="I1355">
        <v>285.83150000000001</v>
      </c>
      <c r="J1355">
        <v>-281.5412</v>
      </c>
      <c r="K1355">
        <v>1.1096090000000001</v>
      </c>
      <c r="L1355">
        <v>285.66680000000002</v>
      </c>
      <c r="M1355">
        <v>-0.99990559999999995</v>
      </c>
      <c r="N1355">
        <v>-1.1766520000000001E-2</v>
      </c>
      <c r="O1355">
        <v>-7.0858750000000002E-3</v>
      </c>
      <c r="P1355">
        <v>-0.98671419999999999</v>
      </c>
      <c r="Q1355">
        <v>0.14243800000000001</v>
      </c>
      <c r="R1355">
        <v>-7.8142219999999998E-2</v>
      </c>
      <c r="S1355">
        <v>-3.0541689999999999</v>
      </c>
      <c r="T1355">
        <v>-8.7600830000000005E-2</v>
      </c>
      <c r="U1355">
        <v>1.281738E-2</v>
      </c>
      <c r="V1355">
        <v>-7.1056439999999998E-2</v>
      </c>
      <c r="W1355">
        <v>0.1540871</v>
      </c>
      <c r="X1355">
        <v>0.98549900000000001</v>
      </c>
      <c r="Y1355">
        <v>1.127529E-2</v>
      </c>
      <c r="Z1355">
        <v>3.478523E-4</v>
      </c>
      <c r="AA1355">
        <v>0.9999363</v>
      </c>
      <c r="AB1355">
        <v>36</v>
      </c>
      <c r="AC1355">
        <v>-38.341200000000001</v>
      </c>
      <c r="AD1355">
        <v>-1.1096025068189901</v>
      </c>
      <c r="AE1355">
        <v>0.164699999999982</v>
      </c>
      <c r="AF1355">
        <v>0.43603045764756398</v>
      </c>
      <c r="AG1355">
        <v>-1.1096025068189901</v>
      </c>
      <c r="AH1355">
        <v>38.306987294526998</v>
      </c>
      <c r="AI1355">
        <v>91.659061668005805</v>
      </c>
      <c r="AJ1355">
        <v>89.347857195928398</v>
      </c>
      <c r="AK1355">
        <v>38.325534775997397</v>
      </c>
      <c r="AL1355">
        <v>81.136145690298306</v>
      </c>
      <c r="AM1355">
        <v>94.124003176428005</v>
      </c>
      <c r="AN1355">
        <v>1.0000000655264301</v>
      </c>
    </row>
    <row r="1356" spans="1:40" x14ac:dyDescent="0.25">
      <c r="A1356" t="str">
        <f>"20190304155348580"</f>
        <v>20190304155348580</v>
      </c>
      <c r="B1356" t="str">
        <f>"1551686028578090"</f>
        <v>1551686028578090</v>
      </c>
      <c r="C1356" t="s">
        <v>40</v>
      </c>
      <c r="D1356">
        <v>4.6539250000000001</v>
      </c>
      <c r="E1356">
        <v>0.5301825</v>
      </c>
      <c r="F1356" t="s">
        <v>65</v>
      </c>
      <c r="G1356">
        <v>-318.66849999999999</v>
      </c>
      <c r="H1356" s="1">
        <v>5.953851E-6</v>
      </c>
      <c r="I1356">
        <v>285.84300000000002</v>
      </c>
      <c r="J1356">
        <v>-281.88319999999999</v>
      </c>
      <c r="K1356">
        <v>1.1096090000000001</v>
      </c>
      <c r="L1356">
        <v>285.66460000000001</v>
      </c>
      <c r="M1356">
        <v>-0.99990710000000005</v>
      </c>
      <c r="N1356">
        <v>-1.177506E-2</v>
      </c>
      <c r="O1356">
        <v>-6.8664629999999997E-3</v>
      </c>
      <c r="P1356">
        <v>-0.98670179999999996</v>
      </c>
      <c r="Q1356">
        <v>0.14277870000000001</v>
      </c>
      <c r="R1356">
        <v>-7.7679289999999998E-2</v>
      </c>
      <c r="S1356">
        <v>-3.0547179999999998</v>
      </c>
      <c r="T1356">
        <v>-9.1294879999999995E-2</v>
      </c>
      <c r="U1356">
        <v>1.4495849999999999E-2</v>
      </c>
      <c r="V1356">
        <v>-7.08096E-2</v>
      </c>
      <c r="W1356">
        <v>0.15443570000000001</v>
      </c>
      <c r="X1356">
        <v>0.98546210000000001</v>
      </c>
      <c r="Y1356">
        <v>1.1603749999999999E-2</v>
      </c>
      <c r="Z1356">
        <v>3.6602230000000002E-4</v>
      </c>
      <c r="AA1356">
        <v>0.99993259999999995</v>
      </c>
      <c r="AB1356">
        <v>36</v>
      </c>
      <c r="AC1356">
        <v>-36.785299999999999</v>
      </c>
      <c r="AD1356">
        <v>-1.1096030461489901</v>
      </c>
      <c r="AE1356">
        <v>0.17840000000001</v>
      </c>
      <c r="AF1356">
        <v>0.430606413268452</v>
      </c>
      <c r="AG1356">
        <v>-1.1096030461489901</v>
      </c>
      <c r="AH1356">
        <v>36.749770333697597</v>
      </c>
      <c r="AI1356">
        <v>91.729314282782298</v>
      </c>
      <c r="AJ1356">
        <v>89.328681488960797</v>
      </c>
      <c r="AK1356">
        <v>36.769039426978402</v>
      </c>
      <c r="AL1356">
        <v>81.1159295312533</v>
      </c>
      <c r="AM1356">
        <v>94.109879505627305</v>
      </c>
      <c r="AN1356">
        <v>0.99999996771152899</v>
      </c>
    </row>
    <row r="1357" spans="1:40" x14ac:dyDescent="0.25">
      <c r="A1357" t="str">
        <f>"20190304155348604"</f>
        <v>20190304155348604</v>
      </c>
      <c r="B1357" t="str">
        <f>"1551686028597609"</f>
        <v>1551686028597609</v>
      </c>
      <c r="C1357" t="s">
        <v>40</v>
      </c>
      <c r="D1357">
        <v>4.5622629999999997</v>
      </c>
      <c r="E1357">
        <v>0.5300222</v>
      </c>
      <c r="F1357" t="s">
        <v>65</v>
      </c>
      <c r="G1357">
        <v>-316.59190000000001</v>
      </c>
      <c r="H1357" s="1">
        <v>5.0279249999999998E-6</v>
      </c>
      <c r="I1357">
        <v>285.9006</v>
      </c>
      <c r="J1357">
        <v>-282.26839999999999</v>
      </c>
      <c r="K1357">
        <v>1.109613</v>
      </c>
      <c r="L1357">
        <v>285.66219999999998</v>
      </c>
      <c r="M1357">
        <v>-0.99990869999999998</v>
      </c>
      <c r="N1357">
        <v>-1.1783389999999999E-2</v>
      </c>
      <c r="O1357">
        <v>-6.6189229999999996E-3</v>
      </c>
      <c r="P1357">
        <v>-0.98670139999999995</v>
      </c>
      <c r="Q1357">
        <v>0.14312529999999901</v>
      </c>
      <c r="R1357">
        <v>-7.7043669999999995E-2</v>
      </c>
      <c r="S1357">
        <v>-3.0562130000000001</v>
      </c>
      <c r="T1357">
        <v>-9.7704410000000005E-2</v>
      </c>
      <c r="U1357">
        <v>2.0782470000000001E-2</v>
      </c>
      <c r="V1357">
        <v>-7.0418439999999999E-2</v>
      </c>
      <c r="W1357">
        <v>0.15479000000000001</v>
      </c>
      <c r="X1357">
        <v>0.98543460000000005</v>
      </c>
      <c r="Y1357">
        <v>1.340827E-2</v>
      </c>
      <c r="Z1357">
        <v>4.2685880000000001E-4</v>
      </c>
      <c r="AA1357">
        <v>0.99990999999999997</v>
      </c>
      <c r="AB1357">
        <v>36</v>
      </c>
      <c r="AC1357">
        <v>-34.323500000000003</v>
      </c>
      <c r="AD1357">
        <v>-1.1096079720750001</v>
      </c>
      <c r="AE1357">
        <v>0.23840000000001199</v>
      </c>
      <c r="AF1357">
        <v>0.46510908680018698</v>
      </c>
      <c r="AG1357">
        <v>-1.1096079720750001</v>
      </c>
      <c r="AH1357">
        <v>34.285340239594298</v>
      </c>
      <c r="AI1357">
        <v>91.853498527544403</v>
      </c>
      <c r="AJ1357">
        <v>89.222782887956797</v>
      </c>
      <c r="AK1357">
        <v>34.306444171016302</v>
      </c>
      <c r="AL1357">
        <v>81.095383083006297</v>
      </c>
      <c r="AM1357">
        <v>94.087366911254705</v>
      </c>
      <c r="AN1357">
        <v>1.00000002583459</v>
      </c>
    </row>
    <row r="1358" spans="1:40" x14ac:dyDescent="0.25">
      <c r="A1358" t="str">
        <f>"20190304155348624"</f>
        <v>20190304155348624</v>
      </c>
      <c r="B1358" t="str">
        <f>"1551686028617129"</f>
        <v>1551686028617129</v>
      </c>
      <c r="C1358" t="s">
        <v>40</v>
      </c>
      <c r="D1358">
        <v>4.571161</v>
      </c>
      <c r="E1358">
        <v>0.52994229999999998</v>
      </c>
      <c r="F1358" t="s">
        <v>65</v>
      </c>
      <c r="G1358">
        <v>-316.47989999999999</v>
      </c>
      <c r="H1358" s="1">
        <v>4.9782120000000004E-6</v>
      </c>
      <c r="I1358">
        <v>285.90159999999997</v>
      </c>
      <c r="J1358">
        <v>-282.6114</v>
      </c>
      <c r="K1358">
        <v>1.109618</v>
      </c>
      <c r="L1358">
        <v>285.66019999999997</v>
      </c>
      <c r="M1358">
        <v>-0.99990999999999997</v>
      </c>
      <c r="N1358">
        <v>-1.1789900000000001E-2</v>
      </c>
      <c r="O1358">
        <v>-6.3984280000000003E-3</v>
      </c>
      <c r="P1358">
        <v>-0.9865969</v>
      </c>
      <c r="Q1358">
        <v>0.14420620000000001</v>
      </c>
      <c r="R1358">
        <v>-7.6363449999999999E-2</v>
      </c>
      <c r="S1358">
        <v>-3.0564879999999999</v>
      </c>
      <c r="T1358">
        <v>-9.9133250000000006E-2</v>
      </c>
      <c r="U1358">
        <v>2.139282E-2</v>
      </c>
      <c r="V1358">
        <v>-6.9955710000000004E-2</v>
      </c>
      <c r="W1358">
        <v>0.15587529999999999</v>
      </c>
      <c r="X1358">
        <v>0.98529639999999996</v>
      </c>
      <c r="Y1358">
        <v>1.338659E-2</v>
      </c>
      <c r="Z1358">
        <v>4.2801599999999998E-4</v>
      </c>
      <c r="AA1358">
        <v>0.99991030000000003</v>
      </c>
      <c r="AB1358">
        <v>36</v>
      </c>
      <c r="AC1358">
        <v>-33.868499999999898</v>
      </c>
      <c r="AD1358">
        <v>-1.109613021788</v>
      </c>
      <c r="AE1358">
        <v>0.24139999999999801</v>
      </c>
      <c r="AF1358">
        <v>0.45762410778171397</v>
      </c>
      <c r="AG1358">
        <v>-1.109613021788</v>
      </c>
      <c r="AH1358">
        <v>33.829951568832598</v>
      </c>
      <c r="AI1358">
        <v>91.878440442457105</v>
      </c>
      <c r="AJ1358">
        <v>89.224996499962799</v>
      </c>
      <c r="AK1358">
        <v>33.851237555393801</v>
      </c>
      <c r="AL1358">
        <v>81.032435276313393</v>
      </c>
      <c r="AM1358">
        <v>94.061166001543796</v>
      </c>
      <c r="AN1358">
        <v>0.99999995318232504</v>
      </c>
    </row>
    <row r="1359" spans="1:40" x14ac:dyDescent="0.25">
      <c r="A1359" t="str">
        <f>"20190304155348647"</f>
        <v>20190304155348647</v>
      </c>
      <c r="B1359" t="str">
        <f>"1551686028637628"</f>
        <v>1551686028637628</v>
      </c>
      <c r="C1359" t="s">
        <v>40</v>
      </c>
      <c r="D1359">
        <v>4.586176</v>
      </c>
      <c r="E1359">
        <v>0.53008169999999899</v>
      </c>
      <c r="F1359" t="s">
        <v>65</v>
      </c>
      <c r="G1359">
        <v>-317.45609999999999</v>
      </c>
      <c r="H1359" s="1">
        <v>5.4094829999999998E-6</v>
      </c>
      <c r="I1359">
        <v>285.92</v>
      </c>
      <c r="J1359">
        <v>-282.983</v>
      </c>
      <c r="K1359">
        <v>1.1096280000000001</v>
      </c>
      <c r="L1359">
        <v>285.65800000000002</v>
      </c>
      <c r="M1359">
        <v>-0.99991149999999995</v>
      </c>
      <c r="N1359">
        <v>-1.179611E-2</v>
      </c>
      <c r="O1359">
        <v>-6.1598119999999998E-3</v>
      </c>
      <c r="P1359">
        <v>-0.98639239999999995</v>
      </c>
      <c r="Q1359">
        <v>0.1459279</v>
      </c>
      <c r="R1359">
        <v>-7.5732389999999997E-2</v>
      </c>
      <c r="S1359">
        <v>-3.0567630000000001</v>
      </c>
      <c r="T1359">
        <v>-9.7341059999999993E-2</v>
      </c>
      <c r="U1359">
        <v>2.2796629999999998E-2</v>
      </c>
      <c r="V1359">
        <v>-6.9560559999999994E-2</v>
      </c>
      <c r="W1359">
        <v>0.1576003</v>
      </c>
      <c r="X1359">
        <v>0.98504999999999998</v>
      </c>
      <c r="Y1359">
        <v>1.36068E-2</v>
      </c>
      <c r="Z1359">
        <v>4.203306E-4</v>
      </c>
      <c r="AA1359">
        <v>0.99990730000000005</v>
      </c>
      <c r="AB1359">
        <v>36</v>
      </c>
      <c r="AC1359">
        <v>-34.473099999999903</v>
      </c>
      <c r="AD1359">
        <v>-1.1096225905169901</v>
      </c>
      <c r="AE1359">
        <v>0.26200000000000001</v>
      </c>
      <c r="AF1359">
        <v>0.47386667705338897</v>
      </c>
      <c r="AG1359">
        <v>-1.1096225905169901</v>
      </c>
      <c r="AH1359">
        <v>34.435156670532002</v>
      </c>
      <c r="AI1359">
        <v>91.845459507774294</v>
      </c>
      <c r="AJ1359">
        <v>89.211595077689907</v>
      </c>
      <c r="AK1359">
        <v>34.4562886400305</v>
      </c>
      <c r="AL1359">
        <v>80.932363730857205</v>
      </c>
      <c r="AM1359">
        <v>94.039309111594605</v>
      </c>
      <c r="AN1359">
        <v>1.0000000142837999</v>
      </c>
    </row>
    <row r="1360" spans="1:40" x14ac:dyDescent="0.25">
      <c r="A1360" t="str">
        <f>"20190304155348669"</f>
        <v>20190304155348669</v>
      </c>
      <c r="B1360" t="str">
        <f>"1551686028657148"</f>
        <v>1551686028657148</v>
      </c>
      <c r="C1360" t="s">
        <v>40</v>
      </c>
      <c r="D1360">
        <v>4.5938230000000004</v>
      </c>
      <c r="E1360">
        <v>0.53010389999999996</v>
      </c>
      <c r="F1360" t="s">
        <v>65</v>
      </c>
      <c r="G1360">
        <v>-319.91980000000001</v>
      </c>
      <c r="H1360" s="1">
        <v>6.4973600000000004E-6</v>
      </c>
      <c r="I1360">
        <v>285.97370000000001</v>
      </c>
      <c r="J1360">
        <v>-283.33629999999999</v>
      </c>
      <c r="K1360">
        <v>1.109631</v>
      </c>
      <c r="L1360">
        <v>285.65609999999998</v>
      </c>
      <c r="M1360">
        <v>-0.99991289999999999</v>
      </c>
      <c r="N1360">
        <v>-1.1801280000000001E-2</v>
      </c>
      <c r="O1360">
        <v>-5.9333469999999899E-3</v>
      </c>
      <c r="P1360">
        <v>-0.9862147</v>
      </c>
      <c r="Q1360">
        <v>0.14729829999999999</v>
      </c>
      <c r="R1360">
        <v>-7.539245E-2</v>
      </c>
      <c r="S1360">
        <v>-3.0569760000000001</v>
      </c>
      <c r="T1360">
        <v>-9.1834780000000005E-2</v>
      </c>
      <c r="U1360">
        <v>2.6123049999999998E-2</v>
      </c>
      <c r="V1360">
        <v>-6.9444560000000002E-2</v>
      </c>
      <c r="W1360">
        <v>0.15897329999999901</v>
      </c>
      <c r="X1360">
        <v>0.98483750000000003</v>
      </c>
      <c r="Y1360">
        <v>1.4468389999999999E-2</v>
      </c>
      <c r="Z1360">
        <v>4.1086220000000003E-4</v>
      </c>
      <c r="AA1360">
        <v>0.99989519999999998</v>
      </c>
      <c r="AB1360">
        <v>36</v>
      </c>
      <c r="AC1360">
        <v>-36.583500000000001</v>
      </c>
      <c r="AD1360">
        <v>-1.10962450264</v>
      </c>
      <c r="AE1360">
        <v>0.31760000000002703</v>
      </c>
      <c r="AF1360">
        <v>0.53418069263537304</v>
      </c>
      <c r="AG1360">
        <v>-1.10962450264</v>
      </c>
      <c r="AH1360">
        <v>36.547350844506397</v>
      </c>
      <c r="AI1360">
        <v>91.738853605814995</v>
      </c>
      <c r="AJ1360">
        <v>89.162617282203001</v>
      </c>
      <c r="AK1360">
        <v>36.568093596750202</v>
      </c>
      <c r="AL1360">
        <v>80.852691891810906</v>
      </c>
      <c r="AM1360">
        <v>94.033462602350298</v>
      </c>
      <c r="AN1360">
        <v>0.99999997921636596</v>
      </c>
    </row>
    <row r="1361" spans="1:40" x14ac:dyDescent="0.25">
      <c r="A1361" t="str">
        <f>"20190304155348693"</f>
        <v>20190304155348693</v>
      </c>
      <c r="B1361" t="str">
        <f>"1551686028687401"</f>
        <v>1551686028687401</v>
      </c>
      <c r="C1361" t="s">
        <v>40</v>
      </c>
      <c r="D1361">
        <v>4.5665360000000002</v>
      </c>
      <c r="E1361">
        <v>0.53005340000000001</v>
      </c>
      <c r="F1361" t="s">
        <v>63</v>
      </c>
      <c r="G1361">
        <v>-321.6807</v>
      </c>
      <c r="H1361" s="1">
        <v>-7.0279290000000005E-7</v>
      </c>
      <c r="I1361">
        <v>285.99790000000002</v>
      </c>
      <c r="J1361">
        <v>-283.72019999999998</v>
      </c>
      <c r="K1361">
        <v>1.1096379999999999</v>
      </c>
      <c r="L1361">
        <v>285.65410000000003</v>
      </c>
      <c r="M1361">
        <v>-0.99991410000000003</v>
      </c>
      <c r="N1361">
        <v>-1.18064E-2</v>
      </c>
      <c r="O1361">
        <v>-5.6866199999999999E-3</v>
      </c>
      <c r="P1361">
        <v>-0.98606700000000003</v>
      </c>
      <c r="Q1361">
        <v>0.1486112</v>
      </c>
      <c r="R1361">
        <v>-7.4743710000000005E-2</v>
      </c>
      <c r="S1361">
        <v>-3.05722</v>
      </c>
      <c r="T1361">
        <v>-8.8471530000000007E-2</v>
      </c>
      <c r="U1361">
        <v>2.7252200000000001E-2</v>
      </c>
      <c r="V1361">
        <v>-6.9038959999999996E-2</v>
      </c>
      <c r="W1361">
        <v>0.16028899999999999</v>
      </c>
      <c r="X1361">
        <v>0.98465279999999999</v>
      </c>
      <c r="Y1361">
        <v>1.45909E-2</v>
      </c>
      <c r="Z1361">
        <v>3.9462870000000003E-4</v>
      </c>
      <c r="AA1361">
        <v>0.99989349999999999</v>
      </c>
      <c r="AB1361">
        <v>36</v>
      </c>
      <c r="AC1361">
        <v>-37.960500000000003</v>
      </c>
      <c r="AD1361">
        <v>-1.1096387027929</v>
      </c>
      <c r="AE1361">
        <v>0.343799999999987</v>
      </c>
      <c r="AF1361">
        <v>0.55919865022423298</v>
      </c>
      <c r="AG1361">
        <v>-1.1096387027929</v>
      </c>
      <c r="AH1361">
        <v>37.9255271808807</v>
      </c>
      <c r="AI1361">
        <v>91.675720354714599</v>
      </c>
      <c r="AJ1361">
        <v>89.155254959148095</v>
      </c>
      <c r="AK1361">
        <v>37.945877419409797</v>
      </c>
      <c r="AL1361">
        <v>80.776329156507799</v>
      </c>
      <c r="AM1361">
        <v>94.010731449109997</v>
      </c>
      <c r="AN1361">
        <v>1.0000000390333601</v>
      </c>
    </row>
    <row r="1362" spans="1:40" x14ac:dyDescent="0.25">
      <c r="A1362" t="str">
        <f>"20190304155348715"</f>
        <v>20190304155348715</v>
      </c>
      <c r="B1362" t="str">
        <f>"1551686028707897"</f>
        <v>1551686028707897</v>
      </c>
      <c r="C1362" t="s">
        <v>40</v>
      </c>
      <c r="D1362">
        <v>4.6038180000000004</v>
      </c>
      <c r="E1362">
        <v>0.52995619999999999</v>
      </c>
      <c r="F1362" t="s">
        <v>63</v>
      </c>
      <c r="G1362">
        <v>-323.22160000000002</v>
      </c>
      <c r="H1362" s="1">
        <v>1.162262E-7</v>
      </c>
      <c r="I1362">
        <v>286.01960000000003</v>
      </c>
      <c r="J1362">
        <v>-284.09010000000001</v>
      </c>
      <c r="K1362">
        <v>1.1096440000000001</v>
      </c>
      <c r="L1362">
        <v>285.65219999999999</v>
      </c>
      <c r="M1362">
        <v>-0.99991549999999996</v>
      </c>
      <c r="N1362">
        <v>-1.181084E-2</v>
      </c>
      <c r="O1362">
        <v>-5.4488319999999998E-3</v>
      </c>
      <c r="P1362">
        <v>-0.98595639999999996</v>
      </c>
      <c r="Q1362">
        <v>0.14951929999999999</v>
      </c>
      <c r="R1362">
        <v>-7.4391440000000003E-2</v>
      </c>
      <c r="S1362">
        <v>-3.0574650000000001</v>
      </c>
      <c r="T1362">
        <v>-8.5887669999999999E-2</v>
      </c>
      <c r="U1362">
        <v>2.8289789999999999E-2</v>
      </c>
      <c r="V1362">
        <v>-6.8921070000000001E-2</v>
      </c>
      <c r="W1362">
        <v>0.16120010000000001</v>
      </c>
      <c r="X1362">
        <v>0.98451230000000001</v>
      </c>
      <c r="Y1362">
        <v>1.4692190000000001E-2</v>
      </c>
      <c r="Z1362">
        <v>3.8179000000000002E-4</v>
      </c>
      <c r="AA1362">
        <v>0.999892</v>
      </c>
      <c r="AB1362">
        <v>36</v>
      </c>
      <c r="AC1362">
        <v>-39.131500000000003</v>
      </c>
      <c r="AD1362">
        <v>-1.1096438837738001</v>
      </c>
      <c r="AE1362">
        <v>0.36740000000003098</v>
      </c>
      <c r="AF1362">
        <v>0.58016389414620195</v>
      </c>
      <c r="AG1362">
        <v>-1.1096438837738001</v>
      </c>
      <c r="AH1362">
        <v>39.097481154703303</v>
      </c>
      <c r="AI1362">
        <v>91.625523023900598</v>
      </c>
      <c r="AJ1362">
        <v>89.149855640526994</v>
      </c>
      <c r="AK1362">
        <v>39.117527175618498</v>
      </c>
      <c r="AL1362">
        <v>80.723439085071803</v>
      </c>
      <c r="AM1362">
        <v>94.004474611205197</v>
      </c>
      <c r="AN1362">
        <v>1.00000002749062</v>
      </c>
    </row>
    <row r="1363" spans="1:40" x14ac:dyDescent="0.25">
      <c r="A1363" t="str">
        <f>"20190304155348737"</f>
        <v>20190304155348737</v>
      </c>
      <c r="B1363" t="str">
        <f>"1551686028727417"</f>
        <v>1551686028727417</v>
      </c>
      <c r="C1363" t="s">
        <v>40</v>
      </c>
      <c r="D1363">
        <v>4.6228319999999998</v>
      </c>
      <c r="E1363">
        <v>0.52964339999999999</v>
      </c>
      <c r="F1363" t="s">
        <v>63</v>
      </c>
      <c r="G1363">
        <v>-324.6216</v>
      </c>
      <c r="H1363" s="1">
        <v>8.6062780000000001E-7</v>
      </c>
      <c r="I1363">
        <v>286.0333</v>
      </c>
      <c r="J1363">
        <v>-284.43650000000002</v>
      </c>
      <c r="K1363">
        <v>1.109645</v>
      </c>
      <c r="L1363">
        <v>285.65050000000002</v>
      </c>
      <c r="M1363">
        <v>-0.99991660000000004</v>
      </c>
      <c r="N1363">
        <v>-1.181457E-2</v>
      </c>
      <c r="O1363">
        <v>-5.2264149999999999E-3</v>
      </c>
      <c r="P1363">
        <v>-0.98585239999999996</v>
      </c>
      <c r="Q1363">
        <v>0.15017320000000001</v>
      </c>
      <c r="R1363">
        <v>-7.4453820000000004E-2</v>
      </c>
      <c r="S1363">
        <v>-3.057617</v>
      </c>
      <c r="T1363">
        <v>-8.3709359999999997E-2</v>
      </c>
      <c r="U1363">
        <v>2.8747559999999998E-2</v>
      </c>
      <c r="V1363">
        <v>-6.9203210000000001E-2</v>
      </c>
      <c r="W1363">
        <v>0.1618561</v>
      </c>
      <c r="X1363">
        <v>0.98438479999999995</v>
      </c>
      <c r="Y1363">
        <v>1.4619480000000001E-2</v>
      </c>
      <c r="Z1363">
        <v>3.6778240000000001E-4</v>
      </c>
      <c r="AA1363">
        <v>0.99989309999999998</v>
      </c>
      <c r="AB1363">
        <v>36</v>
      </c>
      <c r="AC1363">
        <v>-40.185099999999899</v>
      </c>
      <c r="AD1363">
        <v>-1.1096441393721901</v>
      </c>
      <c r="AE1363">
        <v>0.38279999999997399</v>
      </c>
      <c r="AF1363">
        <v>0.59238178132261199</v>
      </c>
      <c r="AG1363">
        <v>-1.1096441393721901</v>
      </c>
      <c r="AH1363">
        <v>40.151937374588101</v>
      </c>
      <c r="AI1363">
        <v>91.582858475878993</v>
      </c>
      <c r="AJ1363">
        <v>89.154747793671902</v>
      </c>
      <c r="AK1363">
        <v>40.1716355308535</v>
      </c>
      <c r="AL1363">
        <v>80.685352256958296</v>
      </c>
      <c r="AM1363">
        <v>94.021333020779807</v>
      </c>
      <c r="AN1363">
        <v>0.99999995792627605</v>
      </c>
    </row>
    <row r="1364" spans="1:40" x14ac:dyDescent="0.25">
      <c r="A1364" t="str">
        <f>"20190304155348759"</f>
        <v>20190304155348759</v>
      </c>
      <c r="B1364" t="str">
        <f>"1551686028747912"</f>
        <v>1551686028747912</v>
      </c>
      <c r="C1364" t="s">
        <v>40</v>
      </c>
      <c r="D1364">
        <v>4.6168649999999998</v>
      </c>
      <c r="E1364">
        <v>0.52948289999999998</v>
      </c>
      <c r="F1364" t="s">
        <v>63</v>
      </c>
      <c r="G1364">
        <v>-326.08999999999997</v>
      </c>
      <c r="H1364" s="1">
        <v>1.6432030000000001E-6</v>
      </c>
      <c r="I1364">
        <v>286.0068</v>
      </c>
      <c r="J1364">
        <v>-284.80340000000001</v>
      </c>
      <c r="K1364">
        <v>1.109642</v>
      </c>
      <c r="L1364">
        <v>285.64890000000003</v>
      </c>
      <c r="M1364">
        <v>-0.99991779999999997</v>
      </c>
      <c r="N1364">
        <v>-1.1818270000000001E-2</v>
      </c>
      <c r="O1364">
        <v>-4.9908849999999996E-3</v>
      </c>
      <c r="P1364">
        <v>-0.98582040000000004</v>
      </c>
      <c r="Q1364">
        <v>0.15049109999999999</v>
      </c>
      <c r="R1364">
        <v>-7.4236209999999997E-2</v>
      </c>
      <c r="S1364">
        <v>-3.0574650000000001</v>
      </c>
      <c r="T1364">
        <v>-8.1450460000000002E-2</v>
      </c>
      <c r="U1364">
        <v>2.6153559999999999E-2</v>
      </c>
      <c r="V1364">
        <v>-6.9217829999999994E-2</v>
      </c>
      <c r="W1364">
        <v>0.16217699999999999</v>
      </c>
      <c r="X1364">
        <v>0.98433099999999996</v>
      </c>
      <c r="Y1364">
        <v>1.353715E-2</v>
      </c>
      <c r="Z1364">
        <v>3.342485E-4</v>
      </c>
      <c r="AA1364">
        <v>0.99990829999999997</v>
      </c>
      <c r="AB1364">
        <v>36</v>
      </c>
      <c r="AC1364">
        <v>-41.2865999999999</v>
      </c>
      <c r="AD1364">
        <v>-1.1096403567969999</v>
      </c>
      <c r="AE1364">
        <v>0.35789999999997202</v>
      </c>
      <c r="AF1364">
        <v>0.56355953157893202</v>
      </c>
      <c r="AG1364">
        <v>-1.1096403567969999</v>
      </c>
      <c r="AH1364">
        <v>41.254501508288897</v>
      </c>
      <c r="AI1364">
        <v>91.540594463372202</v>
      </c>
      <c r="AJ1364">
        <v>89.217356332537406</v>
      </c>
      <c r="AK1364">
        <v>41.273269748887998</v>
      </c>
      <c r="AL1364">
        <v>80.666720289268895</v>
      </c>
      <c r="AM1364">
        <v>94.022398903380903</v>
      </c>
      <c r="AN1364">
        <v>1.00000000243995</v>
      </c>
    </row>
    <row r="1365" spans="1:40" x14ac:dyDescent="0.25">
      <c r="A1365" t="str">
        <f>"20190304155348781"</f>
        <v>20190304155348781</v>
      </c>
      <c r="B1365" t="str">
        <f>"1551686028777193"</f>
        <v>1551686028777193</v>
      </c>
      <c r="C1365" t="s">
        <v>40</v>
      </c>
      <c r="D1365">
        <v>4.6473360000000001</v>
      </c>
      <c r="E1365">
        <v>0.52914629999999996</v>
      </c>
      <c r="F1365" t="s">
        <v>63</v>
      </c>
      <c r="G1365">
        <v>-326.65300000000002</v>
      </c>
      <c r="H1365" s="1">
        <v>1.9433219999999999E-6</v>
      </c>
      <c r="I1365">
        <v>285.99599999999998</v>
      </c>
      <c r="J1365">
        <v>-285.15120000000002</v>
      </c>
      <c r="K1365">
        <v>1.1096360000000001</v>
      </c>
      <c r="L1365">
        <v>285.64729999999997</v>
      </c>
      <c r="M1365">
        <v>-0.9999188</v>
      </c>
      <c r="N1365">
        <v>-1.1824980000000001E-2</v>
      </c>
      <c r="O1365">
        <v>-4.7671720000000001E-3</v>
      </c>
      <c r="P1365">
        <v>-0.98580460000000003</v>
      </c>
      <c r="Q1365">
        <v>0.15070249999999999</v>
      </c>
      <c r="R1365">
        <v>-7.4015590000000006E-2</v>
      </c>
      <c r="S1365">
        <v>-3.057404</v>
      </c>
      <c r="T1365">
        <v>-8.1066849999999996E-2</v>
      </c>
      <c r="U1365">
        <v>2.5360110000000002E-2</v>
      </c>
      <c r="V1365">
        <v>-6.9218109999999999E-2</v>
      </c>
      <c r="W1365">
        <v>0.16239489999999901</v>
      </c>
      <c r="X1365">
        <v>0.98429509999999998</v>
      </c>
      <c r="Y1365">
        <v>1.305447E-2</v>
      </c>
      <c r="Z1365">
        <v>3.2025389999999998E-4</v>
      </c>
      <c r="AA1365">
        <v>0.99991470000000005</v>
      </c>
      <c r="AB1365">
        <v>36</v>
      </c>
      <c r="AC1365">
        <v>-41.501800000000003</v>
      </c>
      <c r="AD1365">
        <v>-1.1096340566779901</v>
      </c>
      <c r="AE1365">
        <v>0.348700000000007</v>
      </c>
      <c r="AF1365">
        <v>0.54616566521163401</v>
      </c>
      <c r="AG1365">
        <v>-1.1096340566779901</v>
      </c>
      <c r="AH1365">
        <v>41.4700224311432</v>
      </c>
      <c r="AI1365">
        <v>91.532593156590494</v>
      </c>
      <c r="AJ1365">
        <v>89.245450650748595</v>
      </c>
      <c r="AK1365">
        <v>41.488460384944602</v>
      </c>
      <c r="AL1365">
        <v>80.65406823587</v>
      </c>
      <c r="AM1365">
        <v>94.022561348526096</v>
      </c>
      <c r="AN1365">
        <v>1.00000004709099</v>
      </c>
    </row>
    <row r="1366" spans="1:40" x14ac:dyDescent="0.25">
      <c r="A1366" t="str">
        <f>"20190304155348803"</f>
        <v>20190304155348803</v>
      </c>
      <c r="B1366" t="str">
        <f>"1551686028797689"</f>
        <v>1551686028797689</v>
      </c>
      <c r="C1366" t="s">
        <v>40</v>
      </c>
      <c r="D1366">
        <v>4.6080880000000004</v>
      </c>
      <c r="E1366">
        <v>0.52899319999999905</v>
      </c>
      <c r="F1366" t="s">
        <v>63</v>
      </c>
      <c r="G1366">
        <v>-326.90289999999999</v>
      </c>
      <c r="H1366" s="1">
        <v>2.0777130000000002E-6</v>
      </c>
      <c r="I1366">
        <v>285.96370000000002</v>
      </c>
      <c r="J1366">
        <v>-285.51049999999998</v>
      </c>
      <c r="K1366">
        <v>1.109645</v>
      </c>
      <c r="L1366">
        <v>285.64580000000001</v>
      </c>
      <c r="M1366">
        <v>-0.99991960000000002</v>
      </c>
      <c r="N1366">
        <v>-1.183562E-2</v>
      </c>
      <c r="O1366">
        <v>-4.5360870000000003E-3</v>
      </c>
      <c r="P1366">
        <v>-0.98572110000000002</v>
      </c>
      <c r="Q1366">
        <v>0.15154309999999999</v>
      </c>
      <c r="R1366">
        <v>-7.340787E-2</v>
      </c>
      <c r="S1366">
        <v>-3.0573429999999999</v>
      </c>
      <c r="T1366">
        <v>-8.1254960000000001E-2</v>
      </c>
      <c r="U1366">
        <v>2.3162840000000001E-2</v>
      </c>
      <c r="V1366">
        <v>-6.8837540000000003E-2</v>
      </c>
      <c r="W1366">
        <v>0.16324449999999999</v>
      </c>
      <c r="X1366">
        <v>0.98418119999999998</v>
      </c>
      <c r="Y1366">
        <v>1.210545E-2</v>
      </c>
      <c r="Z1366">
        <v>2.9934159999999999E-4</v>
      </c>
      <c r="AA1366">
        <v>0.99992669999999995</v>
      </c>
      <c r="AB1366">
        <v>36</v>
      </c>
      <c r="AC1366">
        <v>-41.392400000000002</v>
      </c>
      <c r="AD1366">
        <v>-1.1096429222869999</v>
      </c>
      <c r="AE1366">
        <v>0.31790000000000801</v>
      </c>
      <c r="AF1366">
        <v>0.50530629794536097</v>
      </c>
      <c r="AG1366">
        <v>-1.1096429222869999</v>
      </c>
      <c r="AH1366">
        <v>41.3608092386105</v>
      </c>
      <c r="AI1366">
        <v>91.536668880567603</v>
      </c>
      <c r="AJ1366">
        <v>89.300050495114604</v>
      </c>
      <c r="AK1366">
        <v>41.378776960447397</v>
      </c>
      <c r="AL1366">
        <v>80.604730975520198</v>
      </c>
      <c r="AM1366">
        <v>94.000978280433998</v>
      </c>
      <c r="AN1366">
        <v>1.00000000406347</v>
      </c>
    </row>
    <row r="1367" spans="1:40" x14ac:dyDescent="0.25">
      <c r="A1367" t="str">
        <f>"20190304155348825"</f>
        <v>20190304155348825</v>
      </c>
      <c r="B1367" t="str">
        <f>"1551686028818185"</f>
        <v>1551686028818185</v>
      </c>
      <c r="C1367" t="s">
        <v>40</v>
      </c>
      <c r="D1367">
        <v>4.604317</v>
      </c>
      <c r="E1367">
        <v>0.52873709999999996</v>
      </c>
      <c r="F1367" t="s">
        <v>63</v>
      </c>
      <c r="G1367">
        <v>-328.1035</v>
      </c>
      <c r="H1367" s="1">
        <v>2.7161480000000002E-6</v>
      </c>
      <c r="I1367">
        <v>285.97359999999998</v>
      </c>
      <c r="J1367">
        <v>-285.88869999999997</v>
      </c>
      <c r="K1367">
        <v>1.10965</v>
      </c>
      <c r="L1367">
        <v>285.64429999999999</v>
      </c>
      <c r="M1367">
        <v>-0.9999207</v>
      </c>
      <c r="N1367">
        <v>-1.184786E-2</v>
      </c>
      <c r="O1367">
        <v>-4.2942859999999996E-3</v>
      </c>
      <c r="P1367">
        <v>-0.98568900000000004</v>
      </c>
      <c r="Q1367">
        <v>0.1520676</v>
      </c>
      <c r="R1367">
        <v>-7.2752639999999993E-2</v>
      </c>
      <c r="S1367">
        <v>-3.0574650000000001</v>
      </c>
      <c r="T1367">
        <v>-7.9653860000000007E-2</v>
      </c>
      <c r="U1367">
        <v>2.3529049999999999E-2</v>
      </c>
      <c r="V1367">
        <v>-6.842028E-2</v>
      </c>
      <c r="W1367">
        <v>0.16377990000000001</v>
      </c>
      <c r="X1367">
        <v>0.98412129999999998</v>
      </c>
      <c r="Y1367">
        <v>1.198342E-2</v>
      </c>
      <c r="Z1367">
        <v>2.880599E-4</v>
      </c>
      <c r="AA1367">
        <v>0.99992820000000004</v>
      </c>
      <c r="AB1367">
        <v>36</v>
      </c>
      <c r="AC1367">
        <v>-42.214799999999997</v>
      </c>
      <c r="AD1367">
        <v>-1.109647283852</v>
      </c>
      <c r="AE1367">
        <v>0.32929999999998899</v>
      </c>
      <c r="AF1367">
        <v>0.51023956929786496</v>
      </c>
      <c r="AG1367">
        <v>-1.109647283852</v>
      </c>
      <c r="AH1367">
        <v>42.1838517529848</v>
      </c>
      <c r="AI1367">
        <v>91.506709274727598</v>
      </c>
      <c r="AJ1367">
        <v>89.307006186934899</v>
      </c>
      <c r="AK1367">
        <v>42.201528529550203</v>
      </c>
      <c r="AL1367">
        <v>80.5736359190184</v>
      </c>
      <c r="AM1367">
        <v>93.977045605869705</v>
      </c>
      <c r="AN1367">
        <v>0.99999996173648797</v>
      </c>
    </row>
    <row r="1368" spans="1:40" x14ac:dyDescent="0.25">
      <c r="A1368" t="str">
        <f>"20190304155348847"</f>
        <v>20190304155348847</v>
      </c>
      <c r="B1368" t="str">
        <f>"1551686028837707"</f>
        <v>1551686028837707</v>
      </c>
      <c r="C1368" t="s">
        <v>40</v>
      </c>
      <c r="D1368">
        <v>4.4750949999999996</v>
      </c>
      <c r="E1368">
        <v>0.52861020000000003</v>
      </c>
      <c r="F1368" t="s">
        <v>63</v>
      </c>
      <c r="G1368">
        <v>-328.70749999999998</v>
      </c>
      <c r="H1368" s="1">
        <v>3.037924E-6</v>
      </c>
      <c r="I1368">
        <v>285.96620000000001</v>
      </c>
      <c r="J1368">
        <v>-286.24959999999999</v>
      </c>
      <c r="K1368">
        <v>1.109653</v>
      </c>
      <c r="L1368">
        <v>285.6431</v>
      </c>
      <c r="M1368">
        <v>-0.99992139999999996</v>
      </c>
      <c r="N1368">
        <v>-1.185904E-2</v>
      </c>
      <c r="O1368">
        <v>-4.0651189999999999E-3</v>
      </c>
      <c r="P1368">
        <v>-0.98566350000000003</v>
      </c>
      <c r="Q1368">
        <v>0.15242259999999999</v>
      </c>
      <c r="R1368">
        <v>-7.2353559999999997E-2</v>
      </c>
      <c r="S1368">
        <v>-3.0574650000000001</v>
      </c>
      <c r="T1368">
        <v>-7.9233880000000007E-2</v>
      </c>
      <c r="U1368">
        <v>2.2979739999999999E-2</v>
      </c>
      <c r="V1368">
        <v>-6.8247619999999995E-2</v>
      </c>
      <c r="W1368">
        <v>0.16414489999999901</v>
      </c>
      <c r="X1368">
        <v>0.98407250000000002</v>
      </c>
      <c r="Y1368">
        <v>1.1574900000000001E-2</v>
      </c>
      <c r="Z1368">
        <v>2.7573080000000002E-4</v>
      </c>
      <c r="AA1368">
        <v>0.99993290000000001</v>
      </c>
      <c r="AB1368">
        <v>36</v>
      </c>
      <c r="AC1368">
        <v>-42.457900000000002</v>
      </c>
      <c r="AD1368">
        <v>-1.1096499620760001</v>
      </c>
      <c r="AE1368">
        <v>0.32310000000000999</v>
      </c>
      <c r="AF1368">
        <v>0.495367543543206</v>
      </c>
      <c r="AG1368">
        <v>-1.1096499620760001</v>
      </c>
      <c r="AH1368">
        <v>42.427257178356001</v>
      </c>
      <c r="AI1368">
        <v>91.498080311614402</v>
      </c>
      <c r="AJ1368">
        <v>89.331062580291302</v>
      </c>
      <c r="AK1368">
        <v>42.444656480173002</v>
      </c>
      <c r="AL1368">
        <v>80.552436279017002</v>
      </c>
      <c r="AM1368">
        <v>93.967237629768704</v>
      </c>
      <c r="AN1368">
        <v>0.99999998554396197</v>
      </c>
    </row>
    <row r="1369" spans="1:40" x14ac:dyDescent="0.25">
      <c r="A1369" t="str">
        <f>"20190304155348869"</f>
        <v>20190304155348869</v>
      </c>
      <c r="B1369" t="str">
        <f>"1551686028867961"</f>
        <v>1551686028867961</v>
      </c>
      <c r="C1369" t="s">
        <v>40</v>
      </c>
      <c r="D1369">
        <v>4.515676</v>
      </c>
      <c r="E1369">
        <v>0.5148741</v>
      </c>
      <c r="F1369" t="s">
        <v>63</v>
      </c>
      <c r="G1369">
        <v>-328.16719999999998</v>
      </c>
      <c r="H1369" s="1">
        <v>2.75054E-6</v>
      </c>
      <c r="I1369">
        <v>285.9631</v>
      </c>
      <c r="J1369">
        <v>-286.60829999999999</v>
      </c>
      <c r="K1369">
        <v>1.1096600000000001</v>
      </c>
      <c r="L1369">
        <v>285.64179999999999</v>
      </c>
      <c r="M1369">
        <v>-0.99992219999999998</v>
      </c>
      <c r="N1369">
        <v>-1.1871059999999999E-2</v>
      </c>
      <c r="O1369">
        <v>-3.8375140000000002E-3</v>
      </c>
      <c r="P1369">
        <v>-0.98562459999999996</v>
      </c>
      <c r="Q1369">
        <v>0.15289800000000001</v>
      </c>
      <c r="R1369">
        <v>-7.187839E-2</v>
      </c>
      <c r="S1369">
        <v>-3.0578310000000002</v>
      </c>
      <c r="T1369">
        <v>-8.0947399999999906E-2</v>
      </c>
      <c r="U1369">
        <v>2.3345950000000001E-2</v>
      </c>
      <c r="V1369">
        <v>-6.7997070000000007E-2</v>
      </c>
      <c r="W1369">
        <v>0.16463169999999999</v>
      </c>
      <c r="X1369">
        <v>0.98400860000000001</v>
      </c>
      <c r="Y1369">
        <v>1.1465970000000001E-2</v>
      </c>
      <c r="Z1369">
        <v>2.7582950000000001E-4</v>
      </c>
      <c r="AA1369">
        <v>0.9999342</v>
      </c>
      <c r="AB1369">
        <v>36</v>
      </c>
      <c r="AC1369">
        <v>-41.558900000000001</v>
      </c>
      <c r="AD1369">
        <v>-1.1096572494600001</v>
      </c>
      <c r="AE1369">
        <v>0.32130000000000702</v>
      </c>
      <c r="AF1369">
        <v>0.48044922023095499</v>
      </c>
      <c r="AG1369">
        <v>-1.1096572494600001</v>
      </c>
      <c r="AH1369">
        <v>41.527756066978398</v>
      </c>
      <c r="AI1369">
        <v>91.530525755470507</v>
      </c>
      <c r="AJ1369">
        <v>89.337154541893796</v>
      </c>
      <c r="AK1369">
        <v>41.5453570766091</v>
      </c>
      <c r="AL1369">
        <v>80.5241607407891</v>
      </c>
      <c r="AM1369">
        <v>93.952975267470194</v>
      </c>
      <c r="AN1369">
        <v>1.0000000615237099</v>
      </c>
    </row>
    <row r="1370" spans="1:40" x14ac:dyDescent="0.25">
      <c r="A1370" t="str">
        <f>"20190304155348894"</f>
        <v>20190304155348894</v>
      </c>
      <c r="B1370" t="str">
        <f>"1551686028887484"</f>
        <v>1551686028887484</v>
      </c>
      <c r="C1370" t="s">
        <v>40</v>
      </c>
      <c r="D1370">
        <v>4.6062669999999999</v>
      </c>
      <c r="E1370">
        <v>0.49523830000000002</v>
      </c>
      <c r="F1370" t="s">
        <v>63</v>
      </c>
      <c r="G1370">
        <v>-320.55590000000001</v>
      </c>
      <c r="H1370" s="1">
        <v>-1.2448769999999999E-6</v>
      </c>
      <c r="I1370">
        <v>284.70600000000002</v>
      </c>
      <c r="J1370">
        <v>-286.99919999999997</v>
      </c>
      <c r="K1370">
        <v>1.109667</v>
      </c>
      <c r="L1370">
        <v>285.64060000000001</v>
      </c>
      <c r="M1370">
        <v>-0.99992300000000001</v>
      </c>
      <c r="N1370">
        <v>-1.1890670000000001E-2</v>
      </c>
      <c r="O1370">
        <v>-3.5887330000000002E-3</v>
      </c>
      <c r="P1370">
        <v>-0.9855775</v>
      </c>
      <c r="Q1370">
        <v>0.1532916</v>
      </c>
      <c r="R1370">
        <v>-7.1688589999999996E-2</v>
      </c>
      <c r="S1370">
        <v>-3.05307</v>
      </c>
      <c r="T1370">
        <v>-9.9797010000000005E-2</v>
      </c>
      <c r="U1370">
        <v>-8.4167480000000003E-2</v>
      </c>
      <c r="V1370">
        <v>-6.8052390000000004E-2</v>
      </c>
      <c r="W1370">
        <v>0.1650432</v>
      </c>
      <c r="X1370">
        <v>0.98393580000000003</v>
      </c>
      <c r="Y1370">
        <v>-2.3953209999999999E-2</v>
      </c>
      <c r="Z1370">
        <v>-4.592075E-4</v>
      </c>
      <c r="AA1370">
        <v>0.99971299999999996</v>
      </c>
      <c r="AB1370">
        <v>36</v>
      </c>
      <c r="AC1370">
        <v>-33.556699999999999</v>
      </c>
      <c r="AD1370">
        <v>-1.1096682448770001</v>
      </c>
      <c r="AE1370">
        <v>-0.93460000000004495</v>
      </c>
      <c r="AF1370">
        <v>-0.81327080543168995</v>
      </c>
      <c r="AG1370">
        <v>-1.1096682448770001</v>
      </c>
      <c r="AH1370">
        <v>33.523208169689298</v>
      </c>
      <c r="AI1370">
        <v>91.895326355688098</v>
      </c>
      <c r="AJ1370">
        <v>91.3897192141891</v>
      </c>
      <c r="AK1370">
        <v>33.551427078516099</v>
      </c>
      <c r="AL1370">
        <v>80.500256159048803</v>
      </c>
      <c r="AM1370">
        <v>93.956472842232699</v>
      </c>
      <c r="AN1370">
        <v>1.0000000220862899</v>
      </c>
    </row>
    <row r="1371" spans="1:40" x14ac:dyDescent="0.25">
      <c r="A1371" t="str">
        <f>"20190304155348916"</f>
        <v>20190304155348916</v>
      </c>
      <c r="B1371" t="str">
        <f>"1551686028907977"</f>
        <v>1551686028907977</v>
      </c>
      <c r="C1371" t="s">
        <v>40</v>
      </c>
      <c r="D1371">
        <v>4.5242829999999996</v>
      </c>
      <c r="E1371">
        <v>0.49504219999999999</v>
      </c>
      <c r="F1371" t="s">
        <v>63</v>
      </c>
      <c r="G1371">
        <v>-363.03829999999999</v>
      </c>
      <c r="H1371">
        <v>7.7431799999999995E-2</v>
      </c>
      <c r="I1371">
        <v>279.58890000000002</v>
      </c>
      <c r="J1371">
        <v>-287.36279999999999</v>
      </c>
      <c r="K1371">
        <v>1.1096699999999999</v>
      </c>
      <c r="L1371">
        <v>285.6395</v>
      </c>
      <c r="M1371">
        <v>-0.99992349999999997</v>
      </c>
      <c r="N1371">
        <v>-1.1915230000000001E-2</v>
      </c>
      <c r="O1371">
        <v>-3.3570140000000002E-3</v>
      </c>
      <c r="P1371">
        <v>-0.98558730000000006</v>
      </c>
      <c r="Q1371">
        <v>0.1532577</v>
      </c>
      <c r="R1371">
        <v>-7.1625789999999995E-2</v>
      </c>
      <c r="S1371">
        <v>-3.032715</v>
      </c>
      <c r="T1371">
        <v>-4.1169289999999997E-2</v>
      </c>
      <c r="U1371">
        <v>-0.24136350000000001</v>
      </c>
      <c r="V1371">
        <v>-6.8217659999999999E-2</v>
      </c>
      <c r="W1371">
        <v>0.16503380000000001</v>
      </c>
      <c r="X1371">
        <v>0.98392590000000002</v>
      </c>
      <c r="Y1371">
        <v>-7.5975550000000003E-2</v>
      </c>
      <c r="Z1371">
        <v>-9.6269430000000004E-4</v>
      </c>
      <c r="AA1371">
        <v>0.99710920000000003</v>
      </c>
      <c r="AB1371">
        <v>36</v>
      </c>
      <c r="AC1371">
        <v>-75.6755</v>
      </c>
      <c r="AD1371">
        <v>-1.0322381999999899</v>
      </c>
      <c r="AE1371">
        <v>-6.05059999999997</v>
      </c>
      <c r="AF1371">
        <v>-5.7954327448729899</v>
      </c>
      <c r="AG1371">
        <v>-1.0322381999999899</v>
      </c>
      <c r="AH1371">
        <v>75.681395199397897</v>
      </c>
      <c r="AI1371">
        <v>90.7791427379357</v>
      </c>
      <c r="AJ1371">
        <v>94.3789765783105</v>
      </c>
      <c r="AK1371">
        <v>75.909987061844006</v>
      </c>
      <c r="AL1371">
        <v>80.500801924560605</v>
      </c>
      <c r="AM1371">
        <v>93.966090565286507</v>
      </c>
      <c r="AN1371">
        <v>0.99999999048456201</v>
      </c>
    </row>
    <row r="1372" spans="1:40" x14ac:dyDescent="0.25">
      <c r="A1372" t="str">
        <f>"20190304155348939"</f>
        <v>20190304155348939</v>
      </c>
      <c r="B1372" t="str">
        <f>"1551686028927497"</f>
        <v>1551686028927497</v>
      </c>
      <c r="C1372" t="s">
        <v>40</v>
      </c>
      <c r="D1372">
        <v>4.5187949999999999</v>
      </c>
      <c r="E1372">
        <v>0.4948901</v>
      </c>
      <c r="F1372" t="s">
        <v>63</v>
      </c>
      <c r="G1372">
        <v>-360.26299999999998</v>
      </c>
      <c r="H1372" s="1">
        <v>-1.3968450000000001E-6</v>
      </c>
      <c r="I1372">
        <v>279.80079999999998</v>
      </c>
      <c r="J1372">
        <v>-287.72710000000001</v>
      </c>
      <c r="K1372">
        <v>1.109674</v>
      </c>
      <c r="L1372">
        <v>285.63850000000002</v>
      </c>
      <c r="M1372">
        <v>-0.99992380000000003</v>
      </c>
      <c r="N1372">
        <v>-1.194484E-2</v>
      </c>
      <c r="O1372">
        <v>-3.1256650000000001E-3</v>
      </c>
      <c r="P1372">
        <v>-0.9855874</v>
      </c>
      <c r="Q1372">
        <v>0.15323709999999999</v>
      </c>
      <c r="R1372">
        <v>-7.1666010000000002E-2</v>
      </c>
      <c r="S1372">
        <v>-3.033417</v>
      </c>
      <c r="T1372">
        <v>-4.6174050000000001E-2</v>
      </c>
      <c r="U1372">
        <v>-0.24295040000000001</v>
      </c>
      <c r="V1372">
        <v>-6.8485920000000006E-2</v>
      </c>
      <c r="W1372">
        <v>0.165042299999999</v>
      </c>
      <c r="X1372">
        <v>0.9839059</v>
      </c>
      <c r="Y1372">
        <v>-7.6703629999999995E-2</v>
      </c>
      <c r="Z1372">
        <v>-1.031499E-3</v>
      </c>
      <c r="AA1372">
        <v>0.99705339999999998</v>
      </c>
      <c r="AB1372">
        <v>36</v>
      </c>
      <c r="AC1372">
        <v>-72.535899999999998</v>
      </c>
      <c r="AD1372">
        <v>-1.1096753968449999</v>
      </c>
      <c r="AE1372">
        <v>-5.8377000000000399</v>
      </c>
      <c r="AF1372">
        <v>-5.6096279697083196</v>
      </c>
      <c r="AG1372">
        <v>-1.1096753968449999</v>
      </c>
      <c r="AH1372">
        <v>72.536926485111806</v>
      </c>
      <c r="AI1372">
        <v>90.873838041474997</v>
      </c>
      <c r="AJ1372">
        <v>94.422155270061197</v>
      </c>
      <c r="AK1372">
        <v>72.761975023712793</v>
      </c>
      <c r="AL1372">
        <v>80.500308719850096</v>
      </c>
      <c r="AM1372">
        <v>93.981717479723898</v>
      </c>
      <c r="AN1372">
        <v>1.00000005104117</v>
      </c>
    </row>
    <row r="1373" spans="1:40" x14ac:dyDescent="0.25">
      <c r="A1373" t="str">
        <f>"20190304155348960"</f>
        <v>20190304155348960</v>
      </c>
      <c r="B1373" t="str">
        <f>"1551686028957752"</f>
        <v>1551686028957752</v>
      </c>
      <c r="C1373" t="s">
        <v>40</v>
      </c>
      <c r="D1373">
        <v>4.5301770000000001</v>
      </c>
      <c r="E1373">
        <v>0.49478470000000002</v>
      </c>
      <c r="F1373" t="s">
        <v>63</v>
      </c>
      <c r="G1373">
        <v>-355.44479999999999</v>
      </c>
      <c r="H1373" s="1">
        <v>1.3606510000000001E-6</v>
      </c>
      <c r="I1373">
        <v>280.1857</v>
      </c>
      <c r="J1373">
        <v>-288.07709999999997</v>
      </c>
      <c r="K1373">
        <v>1.109677</v>
      </c>
      <c r="L1373">
        <v>285.6377</v>
      </c>
      <c r="M1373">
        <v>-0.99992409999999998</v>
      </c>
      <c r="N1373">
        <v>-1.1976260000000001E-2</v>
      </c>
      <c r="O1373">
        <v>-2.9027929999999999E-3</v>
      </c>
      <c r="P1373">
        <v>-0.98557729999999999</v>
      </c>
      <c r="Q1373">
        <v>0.15326049999999999</v>
      </c>
      <c r="R1373">
        <v>-7.175484E-2</v>
      </c>
      <c r="S1373">
        <v>-3.0338440000000002</v>
      </c>
      <c r="T1373">
        <v>-4.9714800000000003E-2</v>
      </c>
      <c r="U1373">
        <v>-0.24429319999999999</v>
      </c>
      <c r="V1373">
        <v>-6.8793980000000005E-2</v>
      </c>
      <c r="W1373">
        <v>0.16509679999999999</v>
      </c>
      <c r="X1373">
        <v>0.98387519999999995</v>
      </c>
      <c r="Y1373">
        <v>-7.7351030000000001E-2</v>
      </c>
      <c r="Z1373">
        <v>-1.0839300000000001E-3</v>
      </c>
      <c r="AA1373">
        <v>0.99700330000000004</v>
      </c>
      <c r="AB1373">
        <v>36</v>
      </c>
      <c r="AC1373">
        <v>-67.367699999999999</v>
      </c>
      <c r="AD1373">
        <v>-1.1096756393489999</v>
      </c>
      <c r="AE1373">
        <v>-5.4519999999999902</v>
      </c>
      <c r="AF1373">
        <v>-5.2549919898219102</v>
      </c>
      <c r="AG1373">
        <v>-1.1096756393489999</v>
      </c>
      <c r="AH1373">
        <v>67.365084441853</v>
      </c>
      <c r="AI1373">
        <v>90.940865205650098</v>
      </c>
      <c r="AJ1373">
        <v>94.460476180915293</v>
      </c>
      <c r="AK1373">
        <v>67.578849669816407</v>
      </c>
      <c r="AL1373">
        <v>80.497142054789194</v>
      </c>
      <c r="AM1373">
        <v>93.999694243111804</v>
      </c>
      <c r="AN1373">
        <v>0.99999998711476001</v>
      </c>
    </row>
    <row r="1374" spans="1:40" x14ac:dyDescent="0.25">
      <c r="A1374" t="str">
        <f>"20190304155348982"</f>
        <v>20190304155348982</v>
      </c>
      <c r="B1374" t="str">
        <f>"1551686028978249"</f>
        <v>1551686028978249</v>
      </c>
      <c r="C1374" t="s">
        <v>40</v>
      </c>
      <c r="D1374">
        <v>4.5196909999999999</v>
      </c>
      <c r="E1374">
        <v>0.4947318</v>
      </c>
      <c r="F1374" t="s">
        <v>63</v>
      </c>
      <c r="G1374">
        <v>-352.45260000000002</v>
      </c>
      <c r="H1374" s="1">
        <v>-2.3162840000000001E-7</v>
      </c>
      <c r="I1374">
        <v>280.43</v>
      </c>
      <c r="J1374">
        <v>-288.42610000000002</v>
      </c>
      <c r="K1374">
        <v>1.1096729999999999</v>
      </c>
      <c r="L1374">
        <v>285.63690000000003</v>
      </c>
      <c r="M1374">
        <v>-0.99992429999999999</v>
      </c>
      <c r="N1374">
        <v>-1.201117E-2</v>
      </c>
      <c r="O1374">
        <v>-2.6795780000000002E-3</v>
      </c>
      <c r="P1374">
        <v>-0.98557289999999997</v>
      </c>
      <c r="Q1374">
        <v>0.15329899999999999</v>
      </c>
      <c r="R1374">
        <v>-7.1733290000000005E-2</v>
      </c>
      <c r="S1374">
        <v>-3.0341800000000001</v>
      </c>
      <c r="T1374">
        <v>-5.2301880000000002E-2</v>
      </c>
      <c r="U1374">
        <v>-0.2454529</v>
      </c>
      <c r="V1374">
        <v>-6.8991579999999997E-2</v>
      </c>
      <c r="W1374">
        <v>0.16517019999999999</v>
      </c>
      <c r="X1374">
        <v>0.98384899999999997</v>
      </c>
      <c r="Y1374">
        <v>-7.7941689999999994E-2</v>
      </c>
      <c r="Z1374">
        <v>-1.1255659999999999E-3</v>
      </c>
      <c r="AA1374">
        <v>0.99695730000000005</v>
      </c>
      <c r="AB1374">
        <v>36</v>
      </c>
      <c r="AC1374">
        <v>-64.026499999999999</v>
      </c>
      <c r="AD1374">
        <v>-1.1096732316283999</v>
      </c>
      <c r="AE1374">
        <v>-5.2069000000000099</v>
      </c>
      <c r="AF1374">
        <v>-5.0338028128543799</v>
      </c>
      <c r="AG1374">
        <v>-1.1096732316283999</v>
      </c>
      <c r="AH1374">
        <v>64.021119106514604</v>
      </c>
      <c r="AI1374">
        <v>90.989949266245304</v>
      </c>
      <c r="AJ1374">
        <v>94.495758640875593</v>
      </c>
      <c r="AK1374">
        <v>64.228297790695194</v>
      </c>
      <c r="AL1374">
        <v>80.492877590045097</v>
      </c>
      <c r="AM1374">
        <v>94.011251763668199</v>
      </c>
      <c r="AN1374">
        <v>0.99999994393996605</v>
      </c>
    </row>
    <row r="1375" spans="1:40" x14ac:dyDescent="0.25">
      <c r="A1375" t="str">
        <f>"20190304155349004"</f>
        <v>20190304155349004</v>
      </c>
      <c r="B1375" t="str">
        <f>"1551686028997769"</f>
        <v>1551686028997769</v>
      </c>
      <c r="C1375" t="s">
        <v>40</v>
      </c>
      <c r="D1375">
        <v>4.5244010000000001</v>
      </c>
      <c r="E1375">
        <v>0.49467430000000001</v>
      </c>
      <c r="F1375" t="s">
        <v>63</v>
      </c>
      <c r="G1375">
        <v>-351.00850000000003</v>
      </c>
      <c r="H1375" s="1">
        <v>-1.0001359999999999E-6</v>
      </c>
      <c r="I1375">
        <v>280.57530000000003</v>
      </c>
      <c r="J1375">
        <v>-288.79410000000001</v>
      </c>
      <c r="K1375">
        <v>1.1096809999999999</v>
      </c>
      <c r="L1375">
        <v>285.63619999999997</v>
      </c>
      <c r="M1375">
        <v>-0.99992449999999999</v>
      </c>
      <c r="N1375">
        <v>-1.205036E-2</v>
      </c>
      <c r="O1375">
        <v>-2.4430400000000001E-3</v>
      </c>
      <c r="P1375">
        <v>-0.98555219999999999</v>
      </c>
      <c r="Q1375">
        <v>0.15346209999999999</v>
      </c>
      <c r="R1375">
        <v>-7.1668399999999993E-2</v>
      </c>
      <c r="S1375">
        <v>-3.034424</v>
      </c>
      <c r="T1375">
        <v>-5.3804640000000001E-2</v>
      </c>
      <c r="U1375">
        <v>-0.24542240000000001</v>
      </c>
      <c r="V1375">
        <v>-6.9159020000000002E-2</v>
      </c>
      <c r="W1375">
        <v>0.16537189999999999</v>
      </c>
      <c r="X1375">
        <v>0.98380339999999999</v>
      </c>
      <c r="Y1375">
        <v>-7.8160129999999994E-2</v>
      </c>
      <c r="Z1375">
        <v>-1.149686E-3</v>
      </c>
      <c r="AA1375">
        <v>0.9969401</v>
      </c>
      <c r="AB1375">
        <v>36</v>
      </c>
      <c r="AC1375">
        <v>-62.214399999999998</v>
      </c>
      <c r="AD1375">
        <v>-1.1096820001359999</v>
      </c>
      <c r="AE1375">
        <v>-5.0608999999999398</v>
      </c>
      <c r="AF1375">
        <v>-4.9073306601614499</v>
      </c>
      <c r="AG1375">
        <v>-1.1096820001359999</v>
      </c>
      <c r="AH1375">
        <v>62.206918913577397</v>
      </c>
      <c r="AI1375">
        <v>91.018801429746006</v>
      </c>
      <c r="AJ1375">
        <v>94.510563319952098</v>
      </c>
      <c r="AK1375">
        <v>62.410047661173799</v>
      </c>
      <c r="AL1375">
        <v>80.481160262448697</v>
      </c>
      <c r="AM1375">
        <v>94.021140791027804</v>
      </c>
      <c r="AN1375">
        <v>0.99999998260426504</v>
      </c>
    </row>
    <row r="1376" spans="1:40" x14ac:dyDescent="0.25">
      <c r="A1376" t="str">
        <f>"20190304155349027"</f>
        <v>20190304155349027</v>
      </c>
      <c r="B1376" t="str">
        <f>"1551686029018265"</f>
        <v>1551686029018265</v>
      </c>
      <c r="C1376" t="s">
        <v>40</v>
      </c>
      <c r="D1376">
        <v>4.5844959999999997</v>
      </c>
      <c r="E1376">
        <v>0.49451489999999998</v>
      </c>
      <c r="F1376" t="s">
        <v>63</v>
      </c>
      <c r="G1376">
        <v>-351.27089999999998</v>
      </c>
      <c r="H1376" s="1">
        <v>-8.6049080000000004E-7</v>
      </c>
      <c r="I1376">
        <v>280.57819999999998</v>
      </c>
      <c r="J1376">
        <v>-289.16829999999999</v>
      </c>
      <c r="K1376">
        <v>1.109685</v>
      </c>
      <c r="L1376">
        <v>285.63549999999998</v>
      </c>
      <c r="M1376">
        <v>-0.99992449999999999</v>
      </c>
      <c r="N1376">
        <v>-1.2088440000000001E-2</v>
      </c>
      <c r="O1376">
        <v>-2.2013829999999999E-3</v>
      </c>
      <c r="P1376">
        <v>-0.98558040000000002</v>
      </c>
      <c r="Q1376">
        <v>0.1533678</v>
      </c>
      <c r="R1376">
        <v>-7.1482690000000002E-2</v>
      </c>
      <c r="S1376">
        <v>-3.0345460000000002</v>
      </c>
      <c r="T1376">
        <v>-5.3898099999999997E-2</v>
      </c>
      <c r="U1376">
        <v>-0.24566650000000001</v>
      </c>
      <c r="V1376">
        <v>-6.9211759999999997E-2</v>
      </c>
      <c r="W1376">
        <v>0.16531499999999999</v>
      </c>
      <c r="X1376">
        <v>0.9838093</v>
      </c>
      <c r="Y1376">
        <v>-7.8477370000000005E-2</v>
      </c>
      <c r="Z1376">
        <v>-1.1584709999999999E-3</v>
      </c>
      <c r="AA1376">
        <v>0.9969152</v>
      </c>
      <c r="AB1376">
        <v>36</v>
      </c>
      <c r="AC1376">
        <v>-62.102600000000002</v>
      </c>
      <c r="AD1376">
        <v>-1.1096858604908</v>
      </c>
      <c r="AE1376">
        <v>-5.0572999999999899</v>
      </c>
      <c r="AF1376">
        <v>-4.9190059197242704</v>
      </c>
      <c r="AG1376">
        <v>-1.1096858604908</v>
      </c>
      <c r="AH1376">
        <v>62.0938882390099</v>
      </c>
      <c r="AI1376">
        <v>91.020632545654294</v>
      </c>
      <c r="AJ1376">
        <v>94.529446072480098</v>
      </c>
      <c r="AK1376">
        <v>62.298306386176399</v>
      </c>
      <c r="AL1376">
        <v>80.484466325476802</v>
      </c>
      <c r="AM1376">
        <v>94.024173148977198</v>
      </c>
      <c r="AN1376">
        <v>1.0000000278568899</v>
      </c>
    </row>
    <row r="1377" spans="1:40" x14ac:dyDescent="0.25">
      <c r="A1377" t="str">
        <f>"20190304155349048"</f>
        <v>20190304155349048</v>
      </c>
      <c r="B1377" t="str">
        <f>"1551686029037963"</f>
        <v>1551686029037963</v>
      </c>
      <c r="C1377" t="s">
        <v>40</v>
      </c>
      <c r="D1377">
        <v>4.533207</v>
      </c>
      <c r="E1377">
        <v>0.49445230000000001</v>
      </c>
      <c r="F1377" t="s">
        <v>63</v>
      </c>
      <c r="G1377">
        <v>-350.94819999999999</v>
      </c>
      <c r="H1377" s="1">
        <v>-1.032184E-6</v>
      </c>
      <c r="I1377">
        <v>280.62270000000001</v>
      </c>
      <c r="J1377">
        <v>-289.52609999999999</v>
      </c>
      <c r="K1377">
        <v>1.1096889999999999</v>
      </c>
      <c r="L1377">
        <v>285.63490000000002</v>
      </c>
      <c r="M1377">
        <v>-0.99992460000000005</v>
      </c>
      <c r="N1377">
        <v>-1.2123480000000001E-2</v>
      </c>
      <c r="O1377">
        <v>-1.9691330000000001E-3</v>
      </c>
      <c r="P1377">
        <v>-0.98554660000000005</v>
      </c>
      <c r="Q1377">
        <v>0.15348110000000001</v>
      </c>
      <c r="R1377">
        <v>-7.1705179999999993E-2</v>
      </c>
      <c r="S1377">
        <v>-3.0344540000000002</v>
      </c>
      <c r="T1377">
        <v>-5.4504629999999998E-2</v>
      </c>
      <c r="U1377">
        <v>-0.24621580000000001</v>
      </c>
      <c r="V1377">
        <v>-6.9662719999999997E-2</v>
      </c>
      <c r="W1377">
        <v>0.16546269999999999</v>
      </c>
      <c r="X1377">
        <v>0.98375259999999998</v>
      </c>
      <c r="Y1377">
        <v>-7.8890100000000005E-2</v>
      </c>
      <c r="Z1377">
        <v>-1.1748939999999999E-3</v>
      </c>
      <c r="AA1377">
        <v>0.99688259999999995</v>
      </c>
      <c r="AB1377">
        <v>36</v>
      </c>
      <c r="AC1377">
        <v>-61.4221</v>
      </c>
      <c r="AD1377">
        <v>-1.109690032184</v>
      </c>
      <c r="AE1377">
        <v>-5.0122</v>
      </c>
      <c r="AF1377">
        <v>-4.8896476735769703</v>
      </c>
      <c r="AG1377">
        <v>-1.109690032184</v>
      </c>
      <c r="AH1377">
        <v>61.411938873957197</v>
      </c>
      <c r="AI1377">
        <v>91.031934905844295</v>
      </c>
      <c r="AJ1377">
        <v>94.552313647349294</v>
      </c>
      <c r="AK1377">
        <v>61.616282771666</v>
      </c>
      <c r="AL1377">
        <v>80.475885193457501</v>
      </c>
      <c r="AM1377">
        <v>94.050538960003806</v>
      </c>
      <c r="AN1377">
        <v>0.99999998882792396</v>
      </c>
    </row>
    <row r="1378" spans="1:40" x14ac:dyDescent="0.25">
      <c r="A1378" t="str">
        <f>"20190304155349072"</f>
        <v>20190304155349072</v>
      </c>
      <c r="B1378" t="str">
        <f>"1551686029068214"</f>
        <v>1551686029068214</v>
      </c>
      <c r="C1378" t="s">
        <v>40</v>
      </c>
      <c r="D1378">
        <v>4.5121129999999896</v>
      </c>
      <c r="E1378">
        <v>0.49434860000000003</v>
      </c>
      <c r="F1378" t="s">
        <v>63</v>
      </c>
      <c r="G1378">
        <v>-351.10129999999998</v>
      </c>
      <c r="H1378" s="1">
        <v>-9.5073090000000003E-7</v>
      </c>
      <c r="I1378">
        <v>280.61900000000003</v>
      </c>
      <c r="J1378">
        <v>-289.89499999999998</v>
      </c>
      <c r="K1378">
        <v>1.109696</v>
      </c>
      <c r="L1378">
        <v>285.6345</v>
      </c>
      <c r="M1378">
        <v>-0.9999247</v>
      </c>
      <c r="N1378">
        <v>-1.2161129999999999E-2</v>
      </c>
      <c r="O1378">
        <v>-1.7275979999999999E-3</v>
      </c>
      <c r="P1378">
        <v>-0.98555910000000002</v>
      </c>
      <c r="Q1378">
        <v>0.15362879999999901</v>
      </c>
      <c r="R1378">
        <v>-7.121326E-2</v>
      </c>
      <c r="S1378">
        <v>-3.0345149999999999</v>
      </c>
      <c r="T1378">
        <v>-5.4687140000000002E-2</v>
      </c>
      <c r="U1378">
        <v>-0.24719240000000001</v>
      </c>
      <c r="V1378">
        <v>-6.9409090000000007E-2</v>
      </c>
      <c r="W1378">
        <v>0.16564709999999999</v>
      </c>
      <c r="X1378">
        <v>0.98373949999999999</v>
      </c>
      <c r="Y1378">
        <v>-7.9447690000000001E-2</v>
      </c>
      <c r="Z1378">
        <v>-1.1885140000000001E-3</v>
      </c>
      <c r="AA1378">
        <v>0.99683829999999995</v>
      </c>
      <c r="AB1378">
        <v>36</v>
      </c>
      <c r="AC1378">
        <v>-61.206299999999999</v>
      </c>
      <c r="AD1378">
        <v>-1.10969695073089</v>
      </c>
      <c r="AE1378">
        <v>-5.0154999999999701</v>
      </c>
      <c r="AF1378">
        <v>-4.9081422202281999</v>
      </c>
      <c r="AG1378">
        <v>-1.10969695073089</v>
      </c>
      <c r="AH1378">
        <v>61.194892687003197</v>
      </c>
      <c r="AI1378">
        <v>91.035552571085006</v>
      </c>
      <c r="AJ1378">
        <v>94.585597454694906</v>
      </c>
      <c r="AK1378">
        <v>61.401434660358603</v>
      </c>
      <c r="AL1378">
        <v>80.465172062651604</v>
      </c>
      <c r="AM1378">
        <v>94.035894029558804</v>
      </c>
      <c r="AN1378">
        <v>0.99999999368664305</v>
      </c>
    </row>
    <row r="1379" spans="1:40" x14ac:dyDescent="0.25">
      <c r="A1379" t="str">
        <f>"20190304155349094"</f>
        <v>20190304155349094</v>
      </c>
      <c r="B1379" t="str">
        <f>"1551686029087734"</f>
        <v>1551686029087734</v>
      </c>
      <c r="C1379" t="s">
        <v>40</v>
      </c>
      <c r="D1379">
        <v>4.5150589999999999</v>
      </c>
      <c r="E1379">
        <v>0.49430809999999997</v>
      </c>
      <c r="F1379" t="s">
        <v>63</v>
      </c>
      <c r="G1379">
        <v>-350.86810000000003</v>
      </c>
      <c r="H1379" s="1">
        <v>-1.0748409999999999E-6</v>
      </c>
      <c r="I1379">
        <v>280.68099999999998</v>
      </c>
      <c r="J1379">
        <v>-290.26830000000001</v>
      </c>
      <c r="K1379">
        <v>1.109701</v>
      </c>
      <c r="L1379">
        <v>285.63420000000002</v>
      </c>
      <c r="M1379">
        <v>-0.99992460000000005</v>
      </c>
      <c r="N1379">
        <v>-1.220131E-2</v>
      </c>
      <c r="O1379">
        <v>-1.482019E-3</v>
      </c>
      <c r="P1379">
        <v>-0.98547890000000005</v>
      </c>
      <c r="Q1379">
        <v>0.15423110000000001</v>
      </c>
      <c r="R1379">
        <v>-7.1022879999999997E-2</v>
      </c>
      <c r="S1379">
        <v>-3.0347900000000001</v>
      </c>
      <c r="T1379">
        <v>-5.523252E-2</v>
      </c>
      <c r="U1379">
        <v>-0.24655150000000001</v>
      </c>
      <c r="V1379">
        <v>-6.9460129999999995E-2</v>
      </c>
      <c r="W1379">
        <v>0.16628799999999999</v>
      </c>
      <c r="X1379">
        <v>0.98362780000000005</v>
      </c>
      <c r="Y1379">
        <v>-7.9475699999999996E-2</v>
      </c>
      <c r="Z1379">
        <v>-1.1988350000000001E-3</v>
      </c>
      <c r="AA1379">
        <v>0.9968361</v>
      </c>
      <c r="AB1379">
        <v>36</v>
      </c>
      <c r="AC1379">
        <v>-60.599800000000002</v>
      </c>
      <c r="AD1379">
        <v>-1.109702074841</v>
      </c>
      <c r="AE1379">
        <v>-4.95320000000003</v>
      </c>
      <c r="AF1379">
        <v>-4.8617583645079403</v>
      </c>
      <c r="AG1379">
        <v>-1.109702074841</v>
      </c>
      <c r="AH1379">
        <v>60.586893042447699</v>
      </c>
      <c r="AI1379">
        <v>91.045943771001504</v>
      </c>
      <c r="AJ1379">
        <v>94.587834543557506</v>
      </c>
      <c r="AK1379">
        <v>60.791773634487498</v>
      </c>
      <c r="AL1379">
        <v>80.427935099430698</v>
      </c>
      <c r="AM1379">
        <v>94.039309138480505</v>
      </c>
      <c r="AN1379">
        <v>1.00000002876822</v>
      </c>
    </row>
    <row r="1380" spans="1:40" x14ac:dyDescent="0.25">
      <c r="A1380" t="str">
        <f>"20190304155349117"</f>
        <v>20190304155349117</v>
      </c>
      <c r="B1380" t="str">
        <f>"1551686029108230"</f>
        <v>1551686029108230</v>
      </c>
      <c r="C1380" t="s">
        <v>40</v>
      </c>
      <c r="D1380">
        <v>4.5127519999999999</v>
      </c>
      <c r="E1380">
        <v>0.49425010000000003</v>
      </c>
      <c r="F1380" t="s">
        <v>63</v>
      </c>
      <c r="G1380">
        <v>-353.28969999999998</v>
      </c>
      <c r="H1380" s="1">
        <v>2.138503E-7</v>
      </c>
      <c r="I1380">
        <v>280.52569999999997</v>
      </c>
      <c r="J1380">
        <v>-290.63589999999999</v>
      </c>
      <c r="K1380">
        <v>1.1097060000000001</v>
      </c>
      <c r="L1380">
        <v>285.63389999999998</v>
      </c>
      <c r="M1380">
        <v>-0.99992440000000005</v>
      </c>
      <c r="N1380">
        <v>-1.22427E-2</v>
      </c>
      <c r="O1380">
        <v>-1.2417999999999999E-3</v>
      </c>
      <c r="P1380">
        <v>-0.98541860000000003</v>
      </c>
      <c r="Q1380">
        <v>0.15486710000000001</v>
      </c>
      <c r="R1380">
        <v>-7.0475040000000003E-2</v>
      </c>
      <c r="S1380">
        <v>-3.0348510000000002</v>
      </c>
      <c r="T1380">
        <v>-5.343854E-2</v>
      </c>
      <c r="U1380">
        <v>-0.2460022</v>
      </c>
      <c r="V1380">
        <v>-6.9147739999999999E-2</v>
      </c>
      <c r="W1380">
        <v>0.16696359999999999</v>
      </c>
      <c r="X1380">
        <v>0.9835353</v>
      </c>
      <c r="Y1380">
        <v>-7.9535380000000003E-2</v>
      </c>
      <c r="Z1380">
        <v>-1.180134E-3</v>
      </c>
      <c r="AA1380">
        <v>0.99683140000000003</v>
      </c>
      <c r="AB1380">
        <v>36</v>
      </c>
      <c r="AC1380">
        <v>-62.653799999999897</v>
      </c>
      <c r="AD1380">
        <v>-1.1097057861496999</v>
      </c>
      <c r="AE1380">
        <v>-5.1082000000000098</v>
      </c>
      <c r="AF1380">
        <v>-5.0288196030052701</v>
      </c>
      <c r="AG1380">
        <v>-1.1097057861496999</v>
      </c>
      <c r="AH1380">
        <v>62.640574646290098</v>
      </c>
      <c r="AI1380">
        <v>91.011660045227799</v>
      </c>
      <c r="AJ1380">
        <v>94.589892847411093</v>
      </c>
      <c r="AK1380">
        <v>62.851905822726103</v>
      </c>
      <c r="AL1380">
        <v>80.388676684341505</v>
      </c>
      <c r="AM1380">
        <v>94.021579425816597</v>
      </c>
      <c r="AN1380">
        <v>0.99999997000907803</v>
      </c>
    </row>
    <row r="1381" spans="1:40" x14ac:dyDescent="0.25">
      <c r="A1381" t="str">
        <f>"20190304155349139"</f>
        <v>20190304155349139</v>
      </c>
      <c r="B1381" t="str">
        <f>"1551686029127753"</f>
        <v>1551686029127753</v>
      </c>
      <c r="C1381" t="s">
        <v>40</v>
      </c>
      <c r="D1381">
        <v>4.5126439999999999</v>
      </c>
      <c r="E1381">
        <v>0.49421549999999997</v>
      </c>
      <c r="F1381" t="s">
        <v>63</v>
      </c>
      <c r="G1381">
        <v>-355.52159999999998</v>
      </c>
      <c r="H1381" s="1">
        <v>1.401551E-6</v>
      </c>
      <c r="I1381">
        <v>280.40269999999998</v>
      </c>
      <c r="J1381">
        <v>-290.99489999999997</v>
      </c>
      <c r="K1381">
        <v>1.109718</v>
      </c>
      <c r="L1381">
        <v>285.63369999999998</v>
      </c>
      <c r="M1381">
        <v>-0.99992420000000004</v>
      </c>
      <c r="N1381">
        <v>-1.228544E-2</v>
      </c>
      <c r="O1381">
        <v>-1.0104280000000001E-3</v>
      </c>
      <c r="P1381">
        <v>-0.98533249999999994</v>
      </c>
      <c r="Q1381">
        <v>0.15553829999999999</v>
      </c>
      <c r="R1381">
        <v>-7.0198609999999995E-2</v>
      </c>
      <c r="S1381">
        <v>-3.0350649999999999</v>
      </c>
      <c r="T1381">
        <v>-5.1907059999999998E-2</v>
      </c>
      <c r="U1381">
        <v>-0.24468989999999999</v>
      </c>
      <c r="V1381">
        <v>-6.9098899999999894E-2</v>
      </c>
      <c r="W1381">
        <v>0.16767580000000001</v>
      </c>
      <c r="X1381">
        <v>0.9834176</v>
      </c>
      <c r="Y1381">
        <v>-7.9333130000000002E-2</v>
      </c>
      <c r="Z1381">
        <v>-1.16058E-3</v>
      </c>
      <c r="AA1381">
        <v>0.9968475</v>
      </c>
      <c r="AB1381">
        <v>36</v>
      </c>
      <c r="AC1381">
        <v>-64.526700000000005</v>
      </c>
      <c r="AD1381">
        <v>-1.1097165984490001</v>
      </c>
      <c r="AE1381">
        <v>-5.2309999999999901</v>
      </c>
      <c r="AF1381">
        <v>-5.1642754014919499</v>
      </c>
      <c r="AG1381">
        <v>-1.1097165984490001</v>
      </c>
      <c r="AH1381">
        <v>64.512996959719402</v>
      </c>
      <c r="AI1381">
        <v>90.982331101697397</v>
      </c>
      <c r="AJ1381">
        <v>94.576776639704207</v>
      </c>
      <c r="AK1381">
        <v>64.728880633578797</v>
      </c>
      <c r="AL1381">
        <v>80.347287477533001</v>
      </c>
      <c r="AM1381">
        <v>94.019227645530805</v>
      </c>
      <c r="AN1381">
        <v>1.0000000039382999</v>
      </c>
    </row>
    <row r="1382" spans="1:40" x14ac:dyDescent="0.25">
      <c r="A1382" t="str">
        <f>"20190304155349162"</f>
        <v>20190304155349162</v>
      </c>
      <c r="B1382" t="str">
        <f>"1551686029158006"</f>
        <v>1551686029158006</v>
      </c>
      <c r="C1382" t="s">
        <v>40</v>
      </c>
      <c r="D1382">
        <v>4.497897</v>
      </c>
      <c r="E1382">
        <v>0.49411739999999998</v>
      </c>
      <c r="F1382" t="s">
        <v>63</v>
      </c>
      <c r="G1382">
        <v>-357.59410000000003</v>
      </c>
      <c r="H1382" s="1">
        <v>2.5043860000000001E-6</v>
      </c>
      <c r="I1382">
        <v>280.27800000000002</v>
      </c>
      <c r="J1382">
        <v>-291.36320000000001</v>
      </c>
      <c r="K1382">
        <v>1.109728</v>
      </c>
      <c r="L1382">
        <v>285.6336</v>
      </c>
      <c r="M1382">
        <v>-0.99992380000000003</v>
      </c>
      <c r="N1382">
        <v>-1.233047E-2</v>
      </c>
      <c r="O1382">
        <v>-7.7693640000000002E-4</v>
      </c>
      <c r="P1382">
        <v>-0.98524670000000003</v>
      </c>
      <c r="Q1382">
        <v>0.1561293</v>
      </c>
      <c r="R1382">
        <v>-7.0093649999999993E-2</v>
      </c>
      <c r="S1382">
        <v>-3.0352169999999998</v>
      </c>
      <c r="T1382">
        <v>-5.057466E-2</v>
      </c>
      <c r="U1382">
        <v>-0.24407960000000001</v>
      </c>
      <c r="V1382">
        <v>-6.9224030000000006E-2</v>
      </c>
      <c r="W1382">
        <v>0.1683095</v>
      </c>
      <c r="X1382">
        <v>0.98330059999999997</v>
      </c>
      <c r="Y1382">
        <v>-7.936348E-2</v>
      </c>
      <c r="Z1382">
        <v>-1.1468920000000001E-3</v>
      </c>
      <c r="AA1382">
        <v>0.99684510000000004</v>
      </c>
      <c r="AB1382">
        <v>36</v>
      </c>
      <c r="AC1382">
        <v>-66.230900000000005</v>
      </c>
      <c r="AD1382">
        <v>-1.1097254956139999</v>
      </c>
      <c r="AE1382">
        <v>-5.3555999999999804</v>
      </c>
      <c r="AF1382">
        <v>-5.30265826425891</v>
      </c>
      <c r="AG1382">
        <v>-1.1097254956139999</v>
      </c>
      <c r="AH1382">
        <v>66.216572172149597</v>
      </c>
      <c r="AI1382">
        <v>90.957068473367798</v>
      </c>
      <c r="AJ1382">
        <v>94.578505977792503</v>
      </c>
      <c r="AK1382">
        <v>66.437821348781597</v>
      </c>
      <c r="AL1382">
        <v>80.310456265799701</v>
      </c>
      <c r="AM1382">
        <v>94.026959599952093</v>
      </c>
      <c r="AN1382">
        <v>1.00000006204002</v>
      </c>
    </row>
    <row r="1383" spans="1:40" x14ac:dyDescent="0.25">
      <c r="A1383" t="str">
        <f>"20190304155349183"</f>
        <v>20190304155349183</v>
      </c>
      <c r="B1383" t="str">
        <f>"1551686029177526"</f>
        <v>1551686029177526</v>
      </c>
      <c r="C1383" t="s">
        <v>40</v>
      </c>
      <c r="D1383">
        <v>4.4837150000000001</v>
      </c>
      <c r="E1383">
        <v>0.49398379999999997</v>
      </c>
      <c r="F1383" t="s">
        <v>63</v>
      </c>
      <c r="G1383">
        <v>-359.50779999999997</v>
      </c>
      <c r="H1383" s="1">
        <v>3.522795E-6</v>
      </c>
      <c r="I1383">
        <v>280.13130000000001</v>
      </c>
      <c r="J1383">
        <v>-291.70999999999998</v>
      </c>
      <c r="K1383">
        <v>1.1097379999999999</v>
      </c>
      <c r="L1383">
        <v>285.63350000000003</v>
      </c>
      <c r="M1383">
        <v>-0.99992329999999996</v>
      </c>
      <c r="N1383">
        <v>-1.237536E-2</v>
      </c>
      <c r="O1383">
        <v>-5.6194079999999998E-4</v>
      </c>
      <c r="P1383">
        <v>-0.98529909999999998</v>
      </c>
      <c r="Q1383">
        <v>0.15575159999999999</v>
      </c>
      <c r="R1383">
        <v>-7.0195740000000006E-2</v>
      </c>
      <c r="S1383">
        <v>-3.035339</v>
      </c>
      <c r="T1383">
        <v>-4.9430010000000003E-2</v>
      </c>
      <c r="U1383">
        <v>-0.24508669999999999</v>
      </c>
      <c r="V1383">
        <v>-6.9538440000000007E-2</v>
      </c>
      <c r="W1383">
        <v>0.16797670000000001</v>
      </c>
      <c r="X1383">
        <v>0.98333530000000002</v>
      </c>
      <c r="Y1383">
        <v>-7.9903719999999998E-2</v>
      </c>
      <c r="Z1383">
        <v>-1.1426159999999999E-3</v>
      </c>
      <c r="AA1383">
        <v>0.99680190000000002</v>
      </c>
      <c r="AB1383">
        <v>36</v>
      </c>
      <c r="AC1383">
        <v>-67.797799999999995</v>
      </c>
      <c r="AD1383">
        <v>-1.109734477205</v>
      </c>
      <c r="AE1383">
        <v>-5.50220000000001</v>
      </c>
      <c r="AF1383">
        <v>-5.4626438834848097</v>
      </c>
      <c r="AG1383">
        <v>-1.109734477205</v>
      </c>
      <c r="AH1383">
        <v>67.782839814217894</v>
      </c>
      <c r="AI1383">
        <v>90.934926853920103</v>
      </c>
      <c r="AJ1383">
        <v>94.607530064638098</v>
      </c>
      <c r="AK1383">
        <v>68.011656075172894</v>
      </c>
      <c r="AL1383">
        <v>80.329799478392999</v>
      </c>
      <c r="AM1383">
        <v>94.045046872393002</v>
      </c>
      <c r="AN1383">
        <v>1.0000000393032999</v>
      </c>
    </row>
    <row r="1384" spans="1:40" x14ac:dyDescent="0.25">
      <c r="A1384" t="str">
        <f>"20190304155349206"</f>
        <v>20190304155349206</v>
      </c>
      <c r="B1384" t="str">
        <f>"1551686029198022"</f>
        <v>1551686029198022</v>
      </c>
      <c r="C1384" t="s">
        <v>40</v>
      </c>
      <c r="D1384">
        <v>4.5049010000000003</v>
      </c>
      <c r="E1384">
        <v>0.4939018</v>
      </c>
      <c r="F1384" t="s">
        <v>63</v>
      </c>
      <c r="G1384">
        <v>-357.07470000000001</v>
      </c>
      <c r="H1384" s="1">
        <v>2.2280020000000002E-6</v>
      </c>
      <c r="I1384">
        <v>280.3254</v>
      </c>
      <c r="J1384">
        <v>-292.08</v>
      </c>
      <c r="K1384">
        <v>1.1097429999999999</v>
      </c>
      <c r="L1384">
        <v>285.6336</v>
      </c>
      <c r="M1384">
        <v>-0.99992289999999995</v>
      </c>
      <c r="N1384">
        <v>-1.242297E-2</v>
      </c>
      <c r="O1384">
        <v>-3.3576670000000001E-4</v>
      </c>
      <c r="P1384">
        <v>-0.98535099999999998</v>
      </c>
      <c r="Q1384">
        <v>0.1551669</v>
      </c>
      <c r="R1384">
        <v>-7.076122E-2</v>
      </c>
      <c r="S1384">
        <v>-3.0353089999999998</v>
      </c>
      <c r="T1384">
        <v>-5.1532269999999998E-2</v>
      </c>
      <c r="U1384">
        <v>-0.2464905</v>
      </c>
      <c r="V1384">
        <v>-7.0328440000000006E-2</v>
      </c>
      <c r="W1384">
        <v>0.1674389</v>
      </c>
      <c r="X1384">
        <v>0.98337079999999999</v>
      </c>
      <c r="Y1384">
        <v>-8.0586550000000007E-2</v>
      </c>
      <c r="Z1384">
        <v>-1.18285E-3</v>
      </c>
      <c r="AA1384">
        <v>0.99674689999999999</v>
      </c>
      <c r="AB1384">
        <v>36</v>
      </c>
      <c r="AC1384">
        <v>-64.994699999999995</v>
      </c>
      <c r="AD1384">
        <v>-1.1097407719979999</v>
      </c>
      <c r="AE1384">
        <v>-5.3081999999999896</v>
      </c>
      <c r="AF1384">
        <v>-5.28484446734599</v>
      </c>
      <c r="AG1384">
        <v>-1.1097407719979999</v>
      </c>
      <c r="AH1384">
        <v>64.977661197237396</v>
      </c>
      <c r="AI1384">
        <v>90.975228616440702</v>
      </c>
      <c r="AJ1384">
        <v>94.649817077357</v>
      </c>
      <c r="AK1384">
        <v>65.201668385770901</v>
      </c>
      <c r="AL1384">
        <v>80.361055481365199</v>
      </c>
      <c r="AM1384">
        <v>94.090698799700107</v>
      </c>
      <c r="AN1384">
        <v>1.0000000024993401</v>
      </c>
    </row>
    <row r="1385" spans="1:40" x14ac:dyDescent="0.25">
      <c r="A1385" t="str">
        <f>"20190304155349227"</f>
        <v>20190304155349227</v>
      </c>
      <c r="B1385" t="str">
        <f>"1551686029217545"</f>
        <v>1551686029217545</v>
      </c>
      <c r="C1385" t="s">
        <v>40</v>
      </c>
      <c r="D1385">
        <v>4.1262949999999998</v>
      </c>
      <c r="E1385">
        <v>0.49387189999999997</v>
      </c>
      <c r="F1385" t="s">
        <v>63</v>
      </c>
      <c r="G1385">
        <v>-354.14479999999998</v>
      </c>
      <c r="H1385" s="1">
        <v>6.6887200000000004E-7</v>
      </c>
      <c r="I1385">
        <v>280.54790000000003</v>
      </c>
      <c r="J1385">
        <v>-292.44099999999997</v>
      </c>
      <c r="K1385">
        <v>1.10975</v>
      </c>
      <c r="L1385">
        <v>285.63380000000001</v>
      </c>
      <c r="M1385">
        <v>-0.99992239999999999</v>
      </c>
      <c r="N1385">
        <v>-1.2468E-2</v>
      </c>
      <c r="O1385">
        <v>-1.1744840000000001E-4</v>
      </c>
      <c r="P1385">
        <v>-0.98532240000000004</v>
      </c>
      <c r="Q1385">
        <v>0.1551892</v>
      </c>
      <c r="R1385">
        <v>-7.1110229999999996E-2</v>
      </c>
      <c r="S1385">
        <v>-3.0353089999999998</v>
      </c>
      <c r="T1385">
        <v>-5.427241E-2</v>
      </c>
      <c r="U1385">
        <v>-0.2487183</v>
      </c>
      <c r="V1385">
        <v>-7.0893129999999999E-2</v>
      </c>
      <c r="W1385">
        <v>0.16750519999999999</v>
      </c>
      <c r="X1385">
        <v>0.98331900000000005</v>
      </c>
      <c r="Y1385">
        <v>-8.1528840000000005E-2</v>
      </c>
      <c r="Z1385">
        <v>-1.23616E-3</v>
      </c>
      <c r="AA1385">
        <v>0.99667019999999995</v>
      </c>
      <c r="AB1385">
        <v>36</v>
      </c>
      <c r="AC1385">
        <v>-61.703800000000001</v>
      </c>
      <c r="AD1385">
        <v>-1.109749331128</v>
      </c>
      <c r="AE1385">
        <v>-5.0858999999999801</v>
      </c>
      <c r="AF1385">
        <v>-5.0770212380324198</v>
      </c>
      <c r="AG1385">
        <v>-1.109749331128</v>
      </c>
      <c r="AH1385">
        <v>61.684578850391198</v>
      </c>
      <c r="AI1385">
        <v>91.027207839678994</v>
      </c>
      <c r="AJ1385">
        <v>94.705190315011507</v>
      </c>
      <c r="AK1385">
        <v>61.903109422544397</v>
      </c>
      <c r="AL1385">
        <v>80.357202735704305</v>
      </c>
      <c r="AM1385">
        <v>94.1236479779337</v>
      </c>
      <c r="AN1385">
        <v>1.00000004183461</v>
      </c>
    </row>
    <row r="1386" spans="1:40" x14ac:dyDescent="0.25">
      <c r="A1386" t="str">
        <f>"20190304155349271"</f>
        <v>20190304155349271</v>
      </c>
      <c r="B1386" t="str">
        <f>"1551686029267786"</f>
        <v>1551686029267786</v>
      </c>
      <c r="C1386" t="s">
        <v>40</v>
      </c>
      <c r="D1386">
        <v>3.169197</v>
      </c>
      <c r="E1386">
        <v>0.49041059999999997</v>
      </c>
      <c r="F1386" t="s">
        <v>63</v>
      </c>
      <c r="G1386">
        <v>-355.26440000000002</v>
      </c>
      <c r="H1386" s="1">
        <v>1.2646759999999999E-6</v>
      </c>
      <c r="I1386">
        <v>280.44439999999997</v>
      </c>
      <c r="J1386">
        <v>-293.15249999999997</v>
      </c>
      <c r="K1386">
        <v>1.1097729999999999</v>
      </c>
      <c r="L1386">
        <v>285.6343</v>
      </c>
      <c r="M1386">
        <v>-0.99992099999999995</v>
      </c>
      <c r="N1386">
        <v>-1.2566509999999999E-2</v>
      </c>
      <c r="O1386">
        <v>3.1002720000000001E-4</v>
      </c>
      <c r="P1386">
        <v>-0.9852976</v>
      </c>
      <c r="Q1386">
        <v>0.1549961</v>
      </c>
      <c r="R1386">
        <v>-7.1866869999999999E-2</v>
      </c>
      <c r="S1386">
        <v>-3.035034</v>
      </c>
      <c r="T1386">
        <v>-5.3612590000000002E-2</v>
      </c>
      <c r="U1386">
        <v>-0.25070189999999998</v>
      </c>
      <c r="V1386">
        <v>-7.2074949999999999E-2</v>
      </c>
      <c r="W1386">
        <v>0.16740739999999901</v>
      </c>
      <c r="X1386">
        <v>0.9832497</v>
      </c>
      <c r="Y1386">
        <v>-8.2609329999999995E-2</v>
      </c>
      <c r="Z1386">
        <v>-1.249937E-3</v>
      </c>
      <c r="AA1386">
        <v>0.99658119999999994</v>
      </c>
      <c r="AB1386">
        <v>36</v>
      </c>
      <c r="AC1386">
        <v>-62.111899999999999</v>
      </c>
      <c r="AD1386">
        <v>-1.109771735324</v>
      </c>
      <c r="AE1386">
        <v>-5.1899000000000202</v>
      </c>
      <c r="AF1386">
        <v>-5.2075067299152504</v>
      </c>
      <c r="AG1386">
        <v>-1.109771735324</v>
      </c>
      <c r="AH1386">
        <v>62.090603488115597</v>
      </c>
      <c r="AI1386">
        <v>91.020381104413005</v>
      </c>
      <c r="AJ1386">
        <v>94.794147514620505</v>
      </c>
      <c r="AK1386">
        <v>62.3184784888481</v>
      </c>
      <c r="AL1386">
        <v>80.362886155133097</v>
      </c>
      <c r="AM1386">
        <v>94.192442357020198</v>
      </c>
      <c r="AN1386">
        <v>1.0000000042711701</v>
      </c>
    </row>
    <row r="1387" spans="1:40" x14ac:dyDescent="0.25">
      <c r="A1387" t="str">
        <f>"20190304155349307"</f>
        <v>20190304155349307</v>
      </c>
      <c r="B1387" t="str">
        <f>"1551686029298042"</f>
        <v>1551686029298042</v>
      </c>
      <c r="C1387" t="s">
        <v>40</v>
      </c>
      <c r="D1387">
        <v>4.5041820000000001</v>
      </c>
      <c r="E1387">
        <v>0.49288789999999999</v>
      </c>
      <c r="F1387" t="s">
        <v>48</v>
      </c>
      <c r="G1387">
        <v>-293.99279999999999</v>
      </c>
      <c r="H1387">
        <v>0.93186080000000004</v>
      </c>
      <c r="I1387">
        <v>285.56229999999999</v>
      </c>
      <c r="J1387">
        <v>-293.72719999999998</v>
      </c>
      <c r="K1387">
        <v>1.109796</v>
      </c>
      <c r="L1387">
        <v>285.63490000000002</v>
      </c>
      <c r="M1387">
        <v>-0.99991960000000002</v>
      </c>
      <c r="N1387">
        <v>-1.266426E-2</v>
      </c>
      <c r="O1387">
        <v>6.62727E-4</v>
      </c>
      <c r="P1387">
        <v>-0.98541820000000002</v>
      </c>
      <c r="Q1387">
        <v>0.1547839</v>
      </c>
      <c r="R1387">
        <v>-7.0661810000000005E-2</v>
      </c>
      <c r="S1387">
        <v>-3.1294559999999998</v>
      </c>
      <c r="T1387">
        <v>-0.66249409999999997</v>
      </c>
      <c r="U1387">
        <v>-0.26876830000000002</v>
      </c>
      <c r="V1387">
        <v>-7.1221649999999997E-2</v>
      </c>
      <c r="W1387">
        <v>0.167290299999999</v>
      </c>
      <c r="X1387">
        <v>0.98333179999999998</v>
      </c>
      <c r="Y1387">
        <v>-8.4248199999999995E-2</v>
      </c>
      <c r="Z1387">
        <v>-9.4749570000000009E-3</v>
      </c>
      <c r="AA1387">
        <v>0.99639979999999995</v>
      </c>
      <c r="AB1387">
        <v>36</v>
      </c>
      <c r="AC1387">
        <v>-0.265600000000006</v>
      </c>
      <c r="AD1387">
        <v>-0.17793519999999899</v>
      </c>
      <c r="AE1387">
        <v>-7.2600000000022605E-2</v>
      </c>
      <c r="AF1387">
        <v>-5.1337026774814498E-2</v>
      </c>
      <c r="AG1387">
        <v>-0.17793519999999899</v>
      </c>
      <c r="AH1387">
        <v>0.18732326085329201</v>
      </c>
      <c r="AI1387">
        <v>132.49289905979799</v>
      </c>
      <c r="AJ1387">
        <v>105.325944198752</v>
      </c>
      <c r="AK1387">
        <v>0.263413040250152</v>
      </c>
      <c r="AL1387">
        <v>80.369691403943705</v>
      </c>
      <c r="AM1387">
        <v>94.142636920179498</v>
      </c>
      <c r="AN1387">
        <v>0.99999999839702602</v>
      </c>
    </row>
    <row r="1388" spans="1:40" x14ac:dyDescent="0.25">
      <c r="A1388" t="str">
        <f>"20190304155349328"</f>
        <v>20190304155349328</v>
      </c>
      <c r="B1388" t="str">
        <f>"1551686029317562"</f>
        <v>1551686029317562</v>
      </c>
      <c r="C1388" t="s">
        <v>40</v>
      </c>
      <c r="D1388">
        <v>4.5372750000000002</v>
      </c>
      <c r="E1388">
        <v>0.49852550000000001</v>
      </c>
      <c r="F1388" t="s">
        <v>65</v>
      </c>
      <c r="G1388">
        <v>-313.32549999999998</v>
      </c>
      <c r="H1388" s="1">
        <v>3.7460019999999998E-6</v>
      </c>
      <c r="I1388">
        <v>283.99509999999998</v>
      </c>
      <c r="J1388">
        <v>-294.06970000000001</v>
      </c>
      <c r="K1388">
        <v>1.1098170000000001</v>
      </c>
      <c r="L1388">
        <v>285.6354</v>
      </c>
      <c r="M1388">
        <v>-0.99991870000000005</v>
      </c>
      <c r="N1388">
        <v>-1.273325E-2</v>
      </c>
      <c r="O1388">
        <v>8.7656229999999999E-4</v>
      </c>
      <c r="P1388">
        <v>-0.98547819999999997</v>
      </c>
      <c r="Q1388">
        <v>0.15511939999999999</v>
      </c>
      <c r="R1388">
        <v>-6.9071949999999993E-2</v>
      </c>
      <c r="S1388">
        <v>-3.053223</v>
      </c>
      <c r="T1388">
        <v>-0.17289470000000001</v>
      </c>
      <c r="U1388">
        <v>-0.25546259999999998</v>
      </c>
      <c r="V1388">
        <v>-6.9844760000000006E-2</v>
      </c>
      <c r="W1388">
        <v>0.167692799999999</v>
      </c>
      <c r="X1388">
        <v>0.98336199999999996</v>
      </c>
      <c r="Y1388">
        <v>-8.4087129999999996E-2</v>
      </c>
      <c r="Z1388">
        <v>-2.9499589999999998E-3</v>
      </c>
      <c r="AA1388">
        <v>0.99645410000000001</v>
      </c>
      <c r="AB1388">
        <v>36</v>
      </c>
      <c r="AC1388">
        <v>-19.255799999999901</v>
      </c>
      <c r="AD1388">
        <v>-1.1098132539979999</v>
      </c>
      <c r="AE1388">
        <v>-1.6403000000000201</v>
      </c>
      <c r="AF1388">
        <v>-1.6517324063398999</v>
      </c>
      <c r="AG1388">
        <v>-1.1098132539979999</v>
      </c>
      <c r="AH1388">
        <v>19.1910645720634</v>
      </c>
      <c r="AI1388">
        <v>93.297546773486005</v>
      </c>
      <c r="AJ1388">
        <v>94.9191981065714</v>
      </c>
      <c r="AK1388">
        <v>19.293959282894999</v>
      </c>
      <c r="AL1388">
        <v>80.346299366315094</v>
      </c>
      <c r="AM1388">
        <v>94.062696006051596</v>
      </c>
      <c r="AN1388">
        <v>0.99999999435764797</v>
      </c>
    </row>
    <row r="1389" spans="1:40" x14ac:dyDescent="0.25">
      <c r="A1389" t="str">
        <f>"20190304155349350"</f>
        <v>20190304155349350</v>
      </c>
      <c r="B1389" t="str">
        <f>"1551686029347818"</f>
        <v>1551686029347818</v>
      </c>
      <c r="C1389" t="s">
        <v>40</v>
      </c>
      <c r="D1389">
        <v>4.6733669999999998</v>
      </c>
      <c r="E1389">
        <v>0.49308819999999998</v>
      </c>
      <c r="F1389" t="s">
        <v>63</v>
      </c>
      <c r="G1389">
        <v>-323.9588</v>
      </c>
      <c r="H1389" s="1">
        <v>6.1404940000000002E-7</v>
      </c>
      <c r="I1389">
        <v>283.60640000000001</v>
      </c>
      <c r="J1389">
        <v>-294.43439999999998</v>
      </c>
      <c r="K1389">
        <v>1.1098300000000001</v>
      </c>
      <c r="L1389">
        <v>285.63589999999999</v>
      </c>
      <c r="M1389">
        <v>-0.99991730000000001</v>
      </c>
      <c r="N1389">
        <v>-1.28107E-2</v>
      </c>
      <c r="O1389">
        <v>1.1042059999999999E-3</v>
      </c>
      <c r="P1389">
        <v>-0.98540539999999999</v>
      </c>
      <c r="Q1389">
        <v>0.15615219999999999</v>
      </c>
      <c r="R1389">
        <v>-6.776894E-2</v>
      </c>
      <c r="S1389">
        <v>-3.0475159999999999</v>
      </c>
      <c r="T1389">
        <v>-0.1131576</v>
      </c>
      <c r="U1389">
        <v>-0.2068787</v>
      </c>
      <c r="V1389">
        <v>-6.8766199999999902E-2</v>
      </c>
      <c r="W1389">
        <v>0.16879920000000001</v>
      </c>
      <c r="X1389">
        <v>0.98324869999999998</v>
      </c>
      <c r="Y1389">
        <v>-6.8766350000000004E-2</v>
      </c>
      <c r="Z1389">
        <v>-1.7427930000000001E-3</v>
      </c>
      <c r="AA1389">
        <v>0.9976313</v>
      </c>
      <c r="AB1389">
        <v>36</v>
      </c>
      <c r="AC1389">
        <v>-29.5244</v>
      </c>
      <c r="AD1389">
        <v>-1.1098293859506001</v>
      </c>
      <c r="AE1389">
        <v>-2.0294999999999801</v>
      </c>
      <c r="AF1389">
        <v>-2.0592064297318902</v>
      </c>
      <c r="AG1389">
        <v>-1.1098293859506001</v>
      </c>
      <c r="AH1389">
        <v>29.480679758757201</v>
      </c>
      <c r="AI1389">
        <v>92.150703023334401</v>
      </c>
      <c r="AJ1389">
        <v>93.995583544829501</v>
      </c>
      <c r="AK1389">
        <v>29.573341566765301</v>
      </c>
      <c r="AL1389">
        <v>80.281990482576504</v>
      </c>
      <c r="AM1389">
        <v>94.000623551927802</v>
      </c>
      <c r="AN1389">
        <v>0.99999998311738403</v>
      </c>
    </row>
    <row r="1390" spans="1:40" x14ac:dyDescent="0.25">
      <c r="A1390" t="str">
        <f>"20190304155349372"</f>
        <v>20190304155349372</v>
      </c>
      <c r="B1390" t="str">
        <f>"1551686029367338"</f>
        <v>1551686029367338</v>
      </c>
      <c r="C1390" t="s">
        <v>40</v>
      </c>
      <c r="D1390">
        <v>4.4956019999999999</v>
      </c>
      <c r="E1390">
        <v>0.49533579999999999</v>
      </c>
      <c r="F1390" t="s">
        <v>63</v>
      </c>
      <c r="G1390">
        <v>-329.31560000000002</v>
      </c>
      <c r="H1390" s="1">
        <v>3.4994209999999998E-6</v>
      </c>
      <c r="I1390">
        <v>282.81029999999998</v>
      </c>
      <c r="J1390">
        <v>-294.78289999999998</v>
      </c>
      <c r="K1390">
        <v>1.1098410000000001</v>
      </c>
      <c r="L1390">
        <v>285.63650000000001</v>
      </c>
      <c r="M1390">
        <v>-0.99991609999999997</v>
      </c>
      <c r="N1390">
        <v>-1.288745E-2</v>
      </c>
      <c r="O1390">
        <v>1.3196709999999999E-3</v>
      </c>
      <c r="P1390">
        <v>-0.98532379999999997</v>
      </c>
      <c r="Q1390">
        <v>0.15704099999999999</v>
      </c>
      <c r="R1390">
        <v>-6.6898929999999995E-2</v>
      </c>
      <c r="S1390">
        <v>-3.0428160000000002</v>
      </c>
      <c r="T1390">
        <v>-9.681439E-2</v>
      </c>
      <c r="U1390">
        <v>-0.2464905</v>
      </c>
      <c r="V1390">
        <v>-6.8107749999999995E-2</v>
      </c>
      <c r="W1390">
        <v>0.16976169999999999</v>
      </c>
      <c r="X1390">
        <v>0.98312880000000002</v>
      </c>
      <c r="Y1390">
        <v>-8.2000020000000007E-2</v>
      </c>
      <c r="Z1390">
        <v>-1.856442E-3</v>
      </c>
      <c r="AA1390">
        <v>0.99663060000000003</v>
      </c>
      <c r="AB1390">
        <v>36</v>
      </c>
      <c r="AC1390">
        <v>-34.532699999999998</v>
      </c>
      <c r="AD1390">
        <v>-1.109837500579</v>
      </c>
      <c r="AE1390">
        <v>-2.82620000000002</v>
      </c>
      <c r="AF1390">
        <v>-2.8688296306703802</v>
      </c>
      <c r="AG1390">
        <v>-1.109837500579</v>
      </c>
      <c r="AH1390">
        <v>34.493548671245399</v>
      </c>
      <c r="AI1390">
        <v>91.836531950816493</v>
      </c>
      <c r="AJ1390">
        <v>94.7543497538568</v>
      </c>
      <c r="AK1390">
        <v>34.6304320311352</v>
      </c>
      <c r="AL1390">
        <v>80.226035607982098</v>
      </c>
      <c r="AM1390">
        <v>93.962921109807397</v>
      </c>
      <c r="AN1390">
        <v>0.99999996889319498</v>
      </c>
    </row>
    <row r="1391" spans="1:40" x14ac:dyDescent="0.25">
      <c r="A1391" t="str">
        <f>"20190304155349395"</f>
        <v>20190304155349395</v>
      </c>
      <c r="B1391" t="str">
        <f>"1551686029387834"</f>
        <v>1551686029387834</v>
      </c>
      <c r="C1391" t="s">
        <v>40</v>
      </c>
      <c r="D1391">
        <v>4.4932759999999998</v>
      </c>
      <c r="E1391">
        <v>0.49696849999999998</v>
      </c>
      <c r="F1391" t="s">
        <v>63</v>
      </c>
      <c r="G1391">
        <v>-337.22329999999999</v>
      </c>
      <c r="H1391" s="1">
        <v>2.4001449999999999E-6</v>
      </c>
      <c r="I1391">
        <v>282.48759999999999</v>
      </c>
      <c r="J1391">
        <v>-295.15410000000003</v>
      </c>
      <c r="K1391">
        <v>1.109855</v>
      </c>
      <c r="L1391">
        <v>285.63720000000001</v>
      </c>
      <c r="M1391">
        <v>-0.99991470000000005</v>
      </c>
      <c r="N1391">
        <v>-1.297306E-2</v>
      </c>
      <c r="O1391">
        <v>1.5467899999999999E-3</v>
      </c>
      <c r="P1391">
        <v>-0.98515229999999998</v>
      </c>
      <c r="Q1391">
        <v>0.15823970000000001</v>
      </c>
      <c r="R1391">
        <v>-6.6599000000000005E-2</v>
      </c>
      <c r="S1391">
        <v>-3.0420530000000001</v>
      </c>
      <c r="T1391">
        <v>-7.9551220000000006E-2</v>
      </c>
      <c r="U1391">
        <v>-0.22570799999999999</v>
      </c>
      <c r="V1391">
        <v>-6.8030099999999996E-2</v>
      </c>
      <c r="W1391">
        <v>0.1710421</v>
      </c>
      <c r="X1391">
        <v>0.98291220000000001</v>
      </c>
      <c r="Y1391">
        <v>-7.5496549999999996E-2</v>
      </c>
      <c r="Z1391">
        <v>-1.4964920000000001E-3</v>
      </c>
      <c r="AA1391">
        <v>0.9971449</v>
      </c>
      <c r="AB1391">
        <v>36</v>
      </c>
      <c r="AC1391">
        <v>-42.069199999999903</v>
      </c>
      <c r="AD1391">
        <v>-1.109852599855</v>
      </c>
      <c r="AE1391">
        <v>-3.1496000000000199</v>
      </c>
      <c r="AF1391">
        <v>-3.2124505560270298</v>
      </c>
      <c r="AG1391">
        <v>-1.109852599855</v>
      </c>
      <c r="AH1391">
        <v>42.035184546331003</v>
      </c>
      <c r="AI1391">
        <v>91.508030501286399</v>
      </c>
      <c r="AJ1391">
        <v>94.370214615572905</v>
      </c>
      <c r="AK1391">
        <v>42.172364780889701</v>
      </c>
      <c r="AL1391">
        <v>80.151584969980505</v>
      </c>
      <c r="AM1391">
        <v>93.959286859136</v>
      </c>
      <c r="AN1391">
        <v>0.99999994369362799</v>
      </c>
    </row>
    <row r="1392" spans="1:40" x14ac:dyDescent="0.25">
      <c r="A1392" t="str">
        <f>"20190304155349417"</f>
        <v>20190304155349417</v>
      </c>
      <c r="B1392" t="str">
        <f>"1551686029407354"</f>
        <v>1551686029407354</v>
      </c>
      <c r="C1392" t="s">
        <v>40</v>
      </c>
      <c r="D1392">
        <v>4.4809380000000001</v>
      </c>
      <c r="E1392">
        <v>0.49570809999999998</v>
      </c>
      <c r="F1392" t="s">
        <v>63</v>
      </c>
      <c r="G1392">
        <v>-345.3578</v>
      </c>
      <c r="H1392" s="1">
        <v>1.3143770000000001E-6</v>
      </c>
      <c r="I1392">
        <v>282.13350000000003</v>
      </c>
      <c r="J1392">
        <v>-295.51179999999999</v>
      </c>
      <c r="K1392">
        <v>1.1098749999999999</v>
      </c>
      <c r="L1392">
        <v>285.63799999999998</v>
      </c>
      <c r="M1392">
        <v>-0.9999133</v>
      </c>
      <c r="N1392">
        <v>-1.305984E-2</v>
      </c>
      <c r="O1392">
        <v>1.7652550000000001E-3</v>
      </c>
      <c r="P1392">
        <v>-0.98502559999999995</v>
      </c>
      <c r="Q1392">
        <v>0.15882309999999999</v>
      </c>
      <c r="R1392">
        <v>-6.7084539999999998E-2</v>
      </c>
      <c r="S1392">
        <v>-3.0416560000000001</v>
      </c>
      <c r="T1392">
        <v>-6.7241910000000002E-2</v>
      </c>
      <c r="U1392">
        <v>-0.21228030000000001</v>
      </c>
      <c r="V1392">
        <v>-6.8729230000000002E-2</v>
      </c>
      <c r="W1392">
        <v>0.17170959999999999</v>
      </c>
      <c r="X1392">
        <v>0.98274720000000004</v>
      </c>
      <c r="Y1392">
        <v>-7.135495E-2</v>
      </c>
      <c r="Z1392">
        <v>-1.2702340000000001E-3</v>
      </c>
      <c r="AA1392">
        <v>0.99745019999999995</v>
      </c>
      <c r="AB1392">
        <v>36</v>
      </c>
      <c r="AC1392">
        <v>-49.845999999999997</v>
      </c>
      <c r="AD1392">
        <v>-1.109873685623</v>
      </c>
      <c r="AE1392">
        <v>-3.50449999999995</v>
      </c>
      <c r="AF1392">
        <v>-3.5907214905890399</v>
      </c>
      <c r="AG1392">
        <v>-1.109873685623</v>
      </c>
      <c r="AH1392">
        <v>49.815159722164204</v>
      </c>
      <c r="AI1392">
        <v>91.273027792376197</v>
      </c>
      <c r="AJ1392">
        <v>94.122800936839198</v>
      </c>
      <c r="AK1392">
        <v>49.956733665900799</v>
      </c>
      <c r="AL1392">
        <v>80.112766058706598</v>
      </c>
      <c r="AM1392">
        <v>94.000513537320899</v>
      </c>
      <c r="AN1392">
        <v>0.99999997644819605</v>
      </c>
    </row>
    <row r="1393" spans="1:40" x14ac:dyDescent="0.25">
      <c r="A1393" t="str">
        <f>"20190304155349439"</f>
        <v>20190304155349439</v>
      </c>
      <c r="B1393" t="str">
        <f>"1551686029437610"</f>
        <v>1551686029437610</v>
      </c>
      <c r="C1393" t="s">
        <v>40</v>
      </c>
      <c r="D1393">
        <v>4.5283419999999897</v>
      </c>
      <c r="E1393">
        <v>0.49481069999999999</v>
      </c>
      <c r="F1393" t="s">
        <v>63</v>
      </c>
      <c r="G1393">
        <v>-348.01350000000002</v>
      </c>
      <c r="H1393" s="1">
        <v>2.7275979999999999E-6</v>
      </c>
      <c r="I1393">
        <v>281.76620000000003</v>
      </c>
      <c r="J1393">
        <v>-295.88249999999999</v>
      </c>
      <c r="K1393">
        <v>1.1098870000000001</v>
      </c>
      <c r="L1393">
        <v>285.63889999999998</v>
      </c>
      <c r="M1393">
        <v>-0.99991149999999995</v>
      </c>
      <c r="N1393">
        <v>-1.3157169999999999E-2</v>
      </c>
      <c r="O1393">
        <v>1.9928770000000001E-3</v>
      </c>
      <c r="P1393">
        <v>-0.98499179999999997</v>
      </c>
      <c r="Q1393">
        <v>0.158967</v>
      </c>
      <c r="R1393">
        <v>-6.7236729999999995E-2</v>
      </c>
      <c r="S1393">
        <v>-3.0407099999999998</v>
      </c>
      <c r="T1393">
        <v>-6.4279790000000003E-2</v>
      </c>
      <c r="U1393">
        <v>-0.2242432</v>
      </c>
      <c r="V1393">
        <v>-6.9104929999999995E-2</v>
      </c>
      <c r="W1393">
        <v>0.17194970000000001</v>
      </c>
      <c r="X1393">
        <v>0.98267890000000002</v>
      </c>
      <c r="Y1393">
        <v>-7.5507400000000002E-2</v>
      </c>
      <c r="Z1393">
        <v>-1.310332E-3</v>
      </c>
      <c r="AA1393">
        <v>0.99714440000000004</v>
      </c>
      <c r="AB1393">
        <v>36</v>
      </c>
      <c r="AC1393">
        <v>-52.131</v>
      </c>
      <c r="AD1393">
        <v>-1.1098842724019999</v>
      </c>
      <c r="AE1393">
        <v>-3.8726999999999498</v>
      </c>
      <c r="AF1393">
        <v>-3.9748001725168498</v>
      </c>
      <c r="AG1393">
        <v>-1.1098842724019999</v>
      </c>
      <c r="AH1393">
        <v>52.099692020057702</v>
      </c>
      <c r="AI1393">
        <v>91.216857232651193</v>
      </c>
      <c r="AJ1393">
        <v>94.362769721487396</v>
      </c>
      <c r="AK1393">
        <v>52.262881551770903</v>
      </c>
      <c r="AL1393">
        <v>80.0988019359161</v>
      </c>
      <c r="AM1393">
        <v>94.022588922169803</v>
      </c>
      <c r="AN1393">
        <v>1.0000000055928</v>
      </c>
    </row>
    <row r="1394" spans="1:40" x14ac:dyDescent="0.25">
      <c r="A1394" t="str">
        <f>"20190304155349461"</f>
        <v>20190304155349461</v>
      </c>
      <c r="B1394" t="str">
        <f>"1551686029458106"</f>
        <v>1551686029458106</v>
      </c>
      <c r="C1394" t="s">
        <v>40</v>
      </c>
      <c r="D1394">
        <v>4.4912789999999996</v>
      </c>
      <c r="E1394">
        <v>0.49487759999999997</v>
      </c>
      <c r="F1394" t="s">
        <v>63</v>
      </c>
      <c r="G1394">
        <v>-349.9538</v>
      </c>
      <c r="H1394" s="1">
        <v>3.7601459999999998E-6</v>
      </c>
      <c r="I1394">
        <v>281.51350000000002</v>
      </c>
      <c r="J1394">
        <v>-296.22280000000001</v>
      </c>
      <c r="K1394">
        <v>1.1098980000000001</v>
      </c>
      <c r="L1394">
        <v>285.63979999999998</v>
      </c>
      <c r="M1394">
        <v>-0.99990970000000001</v>
      </c>
      <c r="N1394">
        <v>-1.325399E-2</v>
      </c>
      <c r="O1394">
        <v>2.2032620000000001E-3</v>
      </c>
      <c r="P1394">
        <v>-0.98495929999999998</v>
      </c>
      <c r="Q1394">
        <v>0.15899839999999901</v>
      </c>
      <c r="R1394">
        <v>-6.7636230000000006E-2</v>
      </c>
      <c r="S1394">
        <v>-3.0399479999999999</v>
      </c>
      <c r="T1394">
        <v>-6.2398790000000003E-2</v>
      </c>
      <c r="U1394">
        <v>-0.23193359999999999</v>
      </c>
      <c r="V1394">
        <v>-6.971157E-2</v>
      </c>
      <c r="W1394">
        <v>0.1720756</v>
      </c>
      <c r="X1394">
        <v>0.98261399999999999</v>
      </c>
      <c r="Y1394">
        <v>-7.8243980000000005E-2</v>
      </c>
      <c r="Z1394">
        <v>-1.3371629999999999E-3</v>
      </c>
      <c r="AA1394">
        <v>0.99693330000000002</v>
      </c>
      <c r="AB1394">
        <v>36</v>
      </c>
      <c r="AC1394">
        <v>-53.731000000000002</v>
      </c>
      <c r="AD1394">
        <v>-1.1098942398539999</v>
      </c>
      <c r="AE1394">
        <v>-4.1262999999999499</v>
      </c>
      <c r="AF1394">
        <v>-4.2428840714884304</v>
      </c>
      <c r="AG1394">
        <v>-1.1098942398539999</v>
      </c>
      <c r="AH1394">
        <v>53.698998908211998</v>
      </c>
      <c r="AI1394">
        <v>91.180389034722594</v>
      </c>
      <c r="AJ1394">
        <v>94.517688521333199</v>
      </c>
      <c r="AK1394">
        <v>53.877791474891701</v>
      </c>
      <c r="AL1394">
        <v>80.091479135281404</v>
      </c>
      <c r="AM1394">
        <v>94.058051022457903</v>
      </c>
      <c r="AN1394">
        <v>0.999999994051612</v>
      </c>
    </row>
    <row r="1395" spans="1:40" x14ac:dyDescent="0.25">
      <c r="A1395" t="str">
        <f>"20190304155349485"</f>
        <v>20190304155349485</v>
      </c>
      <c r="B1395" t="str">
        <f>"1551686029477626"</f>
        <v>1551686029477626</v>
      </c>
      <c r="C1395" t="s">
        <v>40</v>
      </c>
      <c r="D1395">
        <v>4.515498</v>
      </c>
      <c r="E1395">
        <v>0.49554199999999998</v>
      </c>
      <c r="F1395" t="s">
        <v>63</v>
      </c>
      <c r="G1395">
        <v>-352.46789999999999</v>
      </c>
      <c r="H1395" s="1">
        <v>-2.2352230000000001E-7</v>
      </c>
      <c r="I1395">
        <v>281.33499999999998</v>
      </c>
      <c r="J1395">
        <v>-296.60169999999999</v>
      </c>
      <c r="K1395">
        <v>1.109917</v>
      </c>
      <c r="L1395">
        <v>285.64089999999999</v>
      </c>
      <c r="M1395">
        <v>-0.99990769999999995</v>
      </c>
      <c r="N1395">
        <v>-1.336645E-2</v>
      </c>
      <c r="O1395">
        <v>2.438932E-3</v>
      </c>
      <c r="P1395">
        <v>-0.9849926</v>
      </c>
      <c r="Q1395">
        <v>0.1586872</v>
      </c>
      <c r="R1395">
        <v>-6.7882239999999996E-2</v>
      </c>
      <c r="S1395">
        <v>-3.03952</v>
      </c>
      <c r="T1395">
        <v>-5.997968E-2</v>
      </c>
      <c r="U1395">
        <v>-0.2326355</v>
      </c>
      <c r="V1395">
        <v>-7.0189639999999998E-2</v>
      </c>
      <c r="W1395">
        <v>0.17187539999999901</v>
      </c>
      <c r="X1395">
        <v>0.98261500000000002</v>
      </c>
      <c r="Y1395">
        <v>-7.8719880000000006E-2</v>
      </c>
      <c r="Z1395">
        <v>-1.3179729999999901E-3</v>
      </c>
      <c r="AA1395">
        <v>0.99689589999999995</v>
      </c>
      <c r="AB1395">
        <v>36</v>
      </c>
      <c r="AC1395">
        <v>-55.8661999999999</v>
      </c>
      <c r="AD1395">
        <v>-1.1099172235223</v>
      </c>
      <c r="AE1395">
        <v>-4.3059000000000003</v>
      </c>
      <c r="AF1395">
        <v>-4.4404108826867503</v>
      </c>
      <c r="AG1395">
        <v>-1.1099172235223</v>
      </c>
      <c r="AH1395">
        <v>55.833622892919699</v>
      </c>
      <c r="AI1395">
        <v>91.135249876527496</v>
      </c>
      <c r="AJ1395">
        <v>94.547124616278296</v>
      </c>
      <c r="AK1395">
        <v>56.02091225961</v>
      </c>
      <c r="AL1395">
        <v>80.103123177274696</v>
      </c>
      <c r="AM1395">
        <v>94.085782367052701</v>
      </c>
      <c r="AN1395">
        <v>0.99999998845674398</v>
      </c>
    </row>
    <row r="1396" spans="1:40" x14ac:dyDescent="0.25">
      <c r="A1396" t="str">
        <f>"20190304155349508"</f>
        <v>20190304155349508</v>
      </c>
      <c r="B1396" t="str">
        <f>"1551686029498123"</f>
        <v>1551686029498123</v>
      </c>
      <c r="C1396" t="s">
        <v>40</v>
      </c>
      <c r="D1396">
        <v>4.5013529999999999</v>
      </c>
      <c r="E1396">
        <v>0.49524629999999997</v>
      </c>
      <c r="F1396" t="s">
        <v>63</v>
      </c>
      <c r="G1396">
        <v>-357.29230000000001</v>
      </c>
      <c r="H1396" s="1">
        <v>2.3438229999999999E-6</v>
      </c>
      <c r="I1396">
        <v>281.07900000000001</v>
      </c>
      <c r="J1396">
        <v>-296.99020000000002</v>
      </c>
      <c r="K1396">
        <v>1.109934</v>
      </c>
      <c r="L1396">
        <v>285.64210000000003</v>
      </c>
      <c r="M1396">
        <v>-0.99990559999999995</v>
      </c>
      <c r="N1396">
        <v>-1.34831E-2</v>
      </c>
      <c r="O1396">
        <v>2.6811230000000001E-3</v>
      </c>
      <c r="P1396">
        <v>-0.98505200000000004</v>
      </c>
      <c r="Q1396">
        <v>0.158411</v>
      </c>
      <c r="R1396">
        <v>-6.7663050000000002E-2</v>
      </c>
      <c r="S1396">
        <v>-3.03891</v>
      </c>
      <c r="T1396">
        <v>-5.5575850000000003E-2</v>
      </c>
      <c r="U1396">
        <v>-0.22842409999999999</v>
      </c>
      <c r="V1396">
        <v>-7.0208969999999996E-2</v>
      </c>
      <c r="W1396">
        <v>0.17171429999999999</v>
      </c>
      <c r="X1396">
        <v>0.98264180000000001</v>
      </c>
      <c r="Y1396">
        <v>-7.7606049999999996E-2</v>
      </c>
      <c r="Z1396">
        <v>-1.2454580000000001E-3</v>
      </c>
      <c r="AA1396">
        <v>0.99698330000000002</v>
      </c>
      <c r="AB1396">
        <v>36</v>
      </c>
      <c r="AC1396">
        <v>-60.302100000000003</v>
      </c>
      <c r="AD1396">
        <v>-1.1099316561769901</v>
      </c>
      <c r="AE1396">
        <v>-4.5631000000000199</v>
      </c>
      <c r="AF1396">
        <v>-4.7231845797135197</v>
      </c>
      <c r="AG1396">
        <v>-1.1099316561769901</v>
      </c>
      <c r="AH1396">
        <v>60.269345618665199</v>
      </c>
      <c r="AI1396">
        <v>91.051826394032403</v>
      </c>
      <c r="AJ1396">
        <v>94.480993906604098</v>
      </c>
      <c r="AK1396">
        <v>60.464323713720198</v>
      </c>
      <c r="AL1396">
        <v>80.112492980681196</v>
      </c>
      <c r="AM1396">
        <v>94.086792679879593</v>
      </c>
      <c r="AN1396">
        <v>1.00000000370009</v>
      </c>
    </row>
    <row r="1397" spans="1:40" x14ac:dyDescent="0.25">
      <c r="A1397" t="str">
        <f>"20190304155349532"</f>
        <v>20190304155349532</v>
      </c>
      <c r="B1397" t="str">
        <f>"1551686029527402"</f>
        <v>1551686029527402</v>
      </c>
      <c r="C1397" t="s">
        <v>40</v>
      </c>
      <c r="D1397">
        <v>4.4976659999999997</v>
      </c>
      <c r="E1397">
        <v>0.49470829999999999</v>
      </c>
      <c r="F1397" t="s">
        <v>63</v>
      </c>
      <c r="G1397">
        <v>-358.34410000000003</v>
      </c>
      <c r="H1397" s="1">
        <v>2.9035510000000002E-6</v>
      </c>
      <c r="I1397">
        <v>280.98480000000001</v>
      </c>
      <c r="J1397">
        <v>-297.35469999999998</v>
      </c>
      <c r="K1397">
        <v>1.1099460000000001</v>
      </c>
      <c r="L1397">
        <v>285.64330000000001</v>
      </c>
      <c r="M1397">
        <v>-0.9999034</v>
      </c>
      <c r="N1397">
        <v>-1.359137E-2</v>
      </c>
      <c r="O1397">
        <v>2.9075149999999998E-3</v>
      </c>
      <c r="P1397">
        <v>-0.98518059999999996</v>
      </c>
      <c r="Q1397">
        <v>0.15780339999999901</v>
      </c>
      <c r="R1397">
        <v>-6.7212899999999895E-2</v>
      </c>
      <c r="S1397">
        <v>-3.038513</v>
      </c>
      <c r="T1397">
        <v>-5.4968599999999999E-2</v>
      </c>
      <c r="U1397">
        <v>-0.23065189999999999</v>
      </c>
      <c r="V1397">
        <v>-6.9982279999999994E-2</v>
      </c>
      <c r="W1397">
        <v>0.17121500000000001</v>
      </c>
      <c r="X1397">
        <v>0.98274510000000004</v>
      </c>
      <c r="Y1397">
        <v>-7.8568330000000006E-2</v>
      </c>
      <c r="Z1397">
        <v>-1.25745E-3</v>
      </c>
      <c r="AA1397">
        <v>0.99690789999999996</v>
      </c>
      <c r="AB1397">
        <v>36</v>
      </c>
      <c r="AC1397">
        <v>-60.989400000000003</v>
      </c>
      <c r="AD1397">
        <v>-1.10994309644899</v>
      </c>
      <c r="AE1397">
        <v>-4.6585000000000001</v>
      </c>
      <c r="AF1397">
        <v>-4.8342324632460798</v>
      </c>
      <c r="AG1397">
        <v>-1.10994309644899</v>
      </c>
      <c r="AH1397">
        <v>60.9555247718205</v>
      </c>
      <c r="AI1397">
        <v>91.039922725230397</v>
      </c>
      <c r="AJ1397">
        <v>94.534496127034899</v>
      </c>
      <c r="AK1397">
        <v>61.156992874029299</v>
      </c>
      <c r="AL1397">
        <v>80.141530905019295</v>
      </c>
      <c r="AM1397">
        <v>94.073215026410494</v>
      </c>
      <c r="AN1397">
        <v>1.0000000136564999</v>
      </c>
    </row>
    <row r="1398" spans="1:40" x14ac:dyDescent="0.25">
      <c r="A1398" t="str">
        <f>"20190304155349552"</f>
        <v>20190304155349552</v>
      </c>
      <c r="B1398" t="str">
        <f>"1551686029547898"</f>
        <v>1551686029547898</v>
      </c>
      <c r="C1398" t="s">
        <v>40</v>
      </c>
      <c r="D1398">
        <v>4.5139570000000004</v>
      </c>
      <c r="E1398">
        <v>0.49463570000000001</v>
      </c>
      <c r="F1398" t="s">
        <v>63</v>
      </c>
      <c r="G1398">
        <v>-355.4212</v>
      </c>
      <c r="H1398" s="1">
        <v>1.3480860000000001E-6</v>
      </c>
      <c r="I1398">
        <v>281.17610000000002</v>
      </c>
      <c r="J1398">
        <v>-297.69040000000001</v>
      </c>
      <c r="K1398">
        <v>1.1099570000000001</v>
      </c>
      <c r="L1398">
        <v>285.64449999999999</v>
      </c>
      <c r="M1398">
        <v>-0.99990140000000005</v>
      </c>
      <c r="N1398">
        <v>-1.369195E-2</v>
      </c>
      <c r="O1398">
        <v>3.1154170000000001E-3</v>
      </c>
      <c r="P1398">
        <v>-0.98523320000000003</v>
      </c>
      <c r="Q1398">
        <v>0.1576495</v>
      </c>
      <c r="R1398">
        <v>-6.6797499999999996E-2</v>
      </c>
      <c r="S1398">
        <v>-3.038513</v>
      </c>
      <c r="T1398">
        <v>-5.8081389999999997E-2</v>
      </c>
      <c r="U1398">
        <v>-0.23376459999999999</v>
      </c>
      <c r="V1398">
        <v>-6.9771600000000003E-2</v>
      </c>
      <c r="W1398">
        <v>0.1711609</v>
      </c>
      <c r="X1398">
        <v>0.98276949999999996</v>
      </c>
      <c r="Y1398">
        <v>-7.9788419999999999E-2</v>
      </c>
      <c r="Z1398">
        <v>-1.3254E-3</v>
      </c>
      <c r="AA1398">
        <v>0.99681090000000006</v>
      </c>
      <c r="AB1398">
        <v>36</v>
      </c>
      <c r="AC1398">
        <v>-57.730799999999903</v>
      </c>
      <c r="AD1398">
        <v>-1.1099556519139999</v>
      </c>
      <c r="AE1398">
        <v>-4.4683999999999697</v>
      </c>
      <c r="AF1398">
        <v>-4.64654330195917</v>
      </c>
      <c r="AG1398">
        <v>-1.1099556519139999</v>
      </c>
      <c r="AH1398">
        <v>57.695397189796203</v>
      </c>
      <c r="AI1398">
        <v>91.098575718115299</v>
      </c>
      <c r="AJ1398">
        <v>94.604422167045698</v>
      </c>
      <c r="AK1398">
        <v>57.892842589516498</v>
      </c>
      <c r="AL1398">
        <v>80.144677012326895</v>
      </c>
      <c r="AM1398">
        <v>94.060893308734606</v>
      </c>
      <c r="AN1398">
        <v>1.0000000099928099</v>
      </c>
    </row>
    <row r="1399" spans="1:40" x14ac:dyDescent="0.25">
      <c r="A1399" t="str">
        <f>"20190304155349573"</f>
        <v>20190304155349573</v>
      </c>
      <c r="B1399" t="str">
        <f>"1551686029567419"</f>
        <v>1551686029567419</v>
      </c>
      <c r="C1399" t="s">
        <v>40</v>
      </c>
      <c r="D1399">
        <v>4.5784390000000004</v>
      </c>
      <c r="E1399">
        <v>0.49453570000000002</v>
      </c>
      <c r="F1399" t="s">
        <v>63</v>
      </c>
      <c r="G1399">
        <v>-355.7294</v>
      </c>
      <c r="H1399" s="1">
        <v>1.5121000000000001E-6</v>
      </c>
      <c r="I1399">
        <v>281.18669999999997</v>
      </c>
      <c r="J1399">
        <v>-298.02589999999998</v>
      </c>
      <c r="K1399">
        <v>1.1099699999999999</v>
      </c>
      <c r="L1399">
        <v>285.64580000000001</v>
      </c>
      <c r="M1399">
        <v>-0.99989950000000005</v>
      </c>
      <c r="N1399">
        <v>-1.3789010000000001E-2</v>
      </c>
      <c r="O1399">
        <v>3.3230349999999998E-3</v>
      </c>
      <c r="P1399">
        <v>-0.98531040000000003</v>
      </c>
      <c r="Q1399">
        <v>0.15749199999999999</v>
      </c>
      <c r="R1399">
        <v>-6.6029790000000005E-2</v>
      </c>
      <c r="S1399">
        <v>-3.0383909999999998</v>
      </c>
      <c r="T1399">
        <v>-5.8107140000000002E-2</v>
      </c>
      <c r="U1399">
        <v>-0.23336789999999999</v>
      </c>
      <c r="V1399">
        <v>-6.9208580000000006E-2</v>
      </c>
      <c r="W1399">
        <v>0.17109939999999901</v>
      </c>
      <c r="X1399">
        <v>0.98282000000000003</v>
      </c>
      <c r="Y1399">
        <v>-7.9868949999999994E-2</v>
      </c>
      <c r="Z1399">
        <v>-1.331806E-3</v>
      </c>
      <c r="AA1399">
        <v>0.99680449999999998</v>
      </c>
      <c r="AB1399">
        <v>36</v>
      </c>
      <c r="AC1399">
        <v>-57.703499999999998</v>
      </c>
      <c r="AD1399">
        <v>-1.1099684879</v>
      </c>
      <c r="AE1399">
        <v>-4.4591000000000296</v>
      </c>
      <c r="AF1399">
        <v>-4.6491343107449801</v>
      </c>
      <c r="AG1399">
        <v>-1.1099684879</v>
      </c>
      <c r="AH1399">
        <v>57.667151255711502</v>
      </c>
      <c r="AI1399">
        <v>91.099118963873593</v>
      </c>
      <c r="AJ1399">
        <v>94.609225461580394</v>
      </c>
      <c r="AK1399">
        <v>57.864901398279301</v>
      </c>
      <c r="AL1399">
        <v>80.148253285044106</v>
      </c>
      <c r="AM1399">
        <v>94.028026055668406</v>
      </c>
      <c r="AN1399">
        <v>0.99999999231298797</v>
      </c>
    </row>
    <row r="1400" spans="1:40" x14ac:dyDescent="0.25">
      <c r="A1400" t="str">
        <f>"20190304155349596"</f>
        <v>20190304155349596</v>
      </c>
      <c r="B1400" t="str">
        <f>"1551686029587931"</f>
        <v>1551686029587931</v>
      </c>
      <c r="C1400" t="s">
        <v>40</v>
      </c>
      <c r="D1400">
        <v>4.5415190000000001</v>
      </c>
      <c r="E1400">
        <v>0.49426720000000002</v>
      </c>
      <c r="F1400" t="s">
        <v>63</v>
      </c>
      <c r="G1400">
        <v>-356.52280000000002</v>
      </c>
      <c r="H1400" s="1">
        <v>1.9343080000000001E-6</v>
      </c>
      <c r="I1400">
        <v>281.1739</v>
      </c>
      <c r="J1400">
        <v>-298.38990000000001</v>
      </c>
      <c r="K1400">
        <v>1.109979</v>
      </c>
      <c r="L1400">
        <v>285.6472</v>
      </c>
      <c r="M1400">
        <v>-0.99989740000000005</v>
      </c>
      <c r="N1400">
        <v>-1.3886290000000001E-2</v>
      </c>
      <c r="O1400">
        <v>3.5475020000000001E-3</v>
      </c>
      <c r="P1400">
        <v>-0.98538820000000005</v>
      </c>
      <c r="Q1400">
        <v>0.1574844</v>
      </c>
      <c r="R1400">
        <v>-6.4879370000000006E-2</v>
      </c>
      <c r="S1400">
        <v>-3.0383610000000001</v>
      </c>
      <c r="T1400">
        <v>-5.7652349999999998E-2</v>
      </c>
      <c r="U1400">
        <v>-0.23226930000000001</v>
      </c>
      <c r="V1400">
        <v>-6.8279090000000001E-2</v>
      </c>
      <c r="W1400">
        <v>0.1711877</v>
      </c>
      <c r="X1400">
        <v>0.98286960000000001</v>
      </c>
      <c r="Y1400">
        <v>-7.9735420000000001E-2</v>
      </c>
      <c r="Z1400">
        <v>-1.327869E-3</v>
      </c>
      <c r="AA1400">
        <v>0.99681520000000001</v>
      </c>
      <c r="AB1400">
        <v>36</v>
      </c>
      <c r="AC1400">
        <v>-58.132899999999999</v>
      </c>
      <c r="AD1400">
        <v>-1.1099770656919901</v>
      </c>
      <c r="AE1400">
        <v>-4.4732999999999903</v>
      </c>
      <c r="AF1400">
        <v>-4.6778229213179898</v>
      </c>
      <c r="AG1400">
        <v>-1.1099770656919901</v>
      </c>
      <c r="AH1400">
        <v>58.095608171178398</v>
      </c>
      <c r="AI1400">
        <v>91.091032121067201</v>
      </c>
      <c r="AJ1400">
        <v>94.603489635810902</v>
      </c>
      <c r="AK1400">
        <v>58.294200098711897</v>
      </c>
      <c r="AL1400">
        <v>80.143117952031403</v>
      </c>
      <c r="AM1400">
        <v>93.973903179368307</v>
      </c>
      <c r="AN1400">
        <v>0.99999995668333796</v>
      </c>
    </row>
    <row r="1401" spans="1:40" x14ac:dyDescent="0.25">
      <c r="A1401" t="str">
        <f>"20190304155349618"</f>
        <v>20190304155349618</v>
      </c>
      <c r="B1401" t="str">
        <f>"1551686029607434"</f>
        <v>1551686029607434</v>
      </c>
      <c r="C1401" t="s">
        <v>40</v>
      </c>
      <c r="D1401">
        <v>4.5566120000000003</v>
      </c>
      <c r="E1401">
        <v>0.49399490000000001</v>
      </c>
      <c r="F1401" t="s">
        <v>63</v>
      </c>
      <c r="G1401">
        <v>-356.1669</v>
      </c>
      <c r="H1401" s="1">
        <v>1.744914E-6</v>
      </c>
      <c r="I1401">
        <v>281.25740000000002</v>
      </c>
      <c r="J1401">
        <v>-298.74770000000001</v>
      </c>
      <c r="K1401">
        <v>1.1099870000000001</v>
      </c>
      <c r="L1401">
        <v>285.64870000000002</v>
      </c>
      <c r="M1401">
        <v>-0.99989530000000004</v>
      </c>
      <c r="N1401">
        <v>-1.3972099999999999E-2</v>
      </c>
      <c r="O1401">
        <v>3.766368E-3</v>
      </c>
      <c r="P1401">
        <v>-0.98539069999999995</v>
      </c>
      <c r="Q1401">
        <v>0.1578772</v>
      </c>
      <c r="R1401">
        <v>-6.3874410000000006E-2</v>
      </c>
      <c r="S1401">
        <v>-3.038605</v>
      </c>
      <c r="T1401">
        <v>-5.8375839999999998E-2</v>
      </c>
      <c r="U1401">
        <v>-0.2308655</v>
      </c>
      <c r="V1401">
        <v>-6.7489770000000004E-2</v>
      </c>
      <c r="W1401">
        <v>0.17166400000000001</v>
      </c>
      <c r="X1401">
        <v>0.98284110000000002</v>
      </c>
      <c r="Y1401">
        <v>-7.9489180000000006E-2</v>
      </c>
      <c r="Z1401">
        <v>-1.338311E-3</v>
      </c>
      <c r="AA1401">
        <v>0.99683480000000002</v>
      </c>
      <c r="AB1401">
        <v>36</v>
      </c>
      <c r="AC1401">
        <v>-57.419199999999897</v>
      </c>
      <c r="AD1401">
        <v>-1.1099852550859901</v>
      </c>
      <c r="AE1401">
        <v>-4.3913000000000002</v>
      </c>
      <c r="AF1401">
        <v>-4.60584061299501</v>
      </c>
      <c r="AG1401">
        <v>-1.1099852550859901</v>
      </c>
      <c r="AH1401">
        <v>57.380933371583502</v>
      </c>
      <c r="AI1401">
        <v>91.104647832560104</v>
      </c>
      <c r="AJ1401">
        <v>94.589166503440595</v>
      </c>
      <c r="AK1401">
        <v>57.576187348702803</v>
      </c>
      <c r="AL1401">
        <v>80.115418489232994</v>
      </c>
      <c r="AM1401">
        <v>93.928222261067802</v>
      </c>
      <c r="AN1401">
        <v>1.00000001289993</v>
      </c>
    </row>
    <row r="1402" spans="1:40" x14ac:dyDescent="0.25">
      <c r="A1402" t="str">
        <f>"20190304155349641"</f>
        <v>20190304155349641</v>
      </c>
      <c r="B1402" t="str">
        <f>"1551686029637690"</f>
        <v>1551686029637690</v>
      </c>
      <c r="C1402" t="s">
        <v>40</v>
      </c>
      <c r="D1402">
        <v>4.5541179999999999</v>
      </c>
      <c r="E1402">
        <v>0.49355979999999999</v>
      </c>
      <c r="F1402" t="s">
        <v>63</v>
      </c>
      <c r="G1402">
        <v>-356.98349999999999</v>
      </c>
      <c r="H1402" s="1">
        <v>2.1794989999999998E-6</v>
      </c>
      <c r="I1402">
        <v>281.23899999999998</v>
      </c>
      <c r="J1402">
        <v>-299.12029999999999</v>
      </c>
      <c r="K1402">
        <v>1.109999</v>
      </c>
      <c r="L1402">
        <v>285.65030000000002</v>
      </c>
      <c r="M1402">
        <v>-0.99989340000000004</v>
      </c>
      <c r="N1402">
        <v>-1.405173E-2</v>
      </c>
      <c r="O1402">
        <v>3.9924100000000001E-3</v>
      </c>
      <c r="P1402">
        <v>-0.98537759999999996</v>
      </c>
      <c r="Q1402">
        <v>0.158224</v>
      </c>
      <c r="R1402">
        <v>-6.3216499999999995E-2</v>
      </c>
      <c r="S1402">
        <v>-3.0388489999999999</v>
      </c>
      <c r="T1402">
        <v>-5.7920930000000002E-2</v>
      </c>
      <c r="U1402">
        <v>-0.23010249999999999</v>
      </c>
      <c r="V1402">
        <v>-6.7054970000000005E-2</v>
      </c>
      <c r="W1402">
        <v>0.1720882</v>
      </c>
      <c r="X1402">
        <v>0.98279669999999997</v>
      </c>
      <c r="Y1402">
        <v>-7.9459929999999998E-2</v>
      </c>
      <c r="Z1402">
        <v>-1.33526E-3</v>
      </c>
      <c r="AA1402">
        <v>0.99683710000000003</v>
      </c>
      <c r="AB1402">
        <v>36</v>
      </c>
      <c r="AC1402">
        <v>-57.863199999999999</v>
      </c>
      <c r="AD1402">
        <v>-1.109996820501</v>
      </c>
      <c r="AE1402">
        <v>-4.4112999999999802</v>
      </c>
      <c r="AF1402">
        <v>-4.6406034038368702</v>
      </c>
      <c r="AG1402">
        <v>-1.109996820501</v>
      </c>
      <c r="AH1402">
        <v>57.8239694917051</v>
      </c>
      <c r="AI1402">
        <v>91.096198932802494</v>
      </c>
      <c r="AJ1402">
        <v>94.588380126504106</v>
      </c>
      <c r="AK1402">
        <v>58.020502761272802</v>
      </c>
      <c r="AL1402">
        <v>80.090746691562799</v>
      </c>
      <c r="AM1402">
        <v>93.903169105711996</v>
      </c>
      <c r="AN1402">
        <v>1.00000003555591</v>
      </c>
    </row>
    <row r="1403" spans="1:40" x14ac:dyDescent="0.25">
      <c r="A1403" t="str">
        <f>"20190304155349663"</f>
        <v>20190304155349663</v>
      </c>
      <c r="B1403" t="str">
        <f>"1551686029657210"</f>
        <v>1551686029657210</v>
      </c>
      <c r="C1403" t="s">
        <v>40</v>
      </c>
      <c r="D1403">
        <v>4.5808679999999997</v>
      </c>
      <c r="E1403">
        <v>0.49338300000000002</v>
      </c>
      <c r="F1403" t="s">
        <v>63</v>
      </c>
      <c r="G1403">
        <v>-357.0521</v>
      </c>
      <c r="H1403" s="1">
        <v>2.215989E-6</v>
      </c>
      <c r="I1403">
        <v>281.23790000000002</v>
      </c>
      <c r="J1403">
        <v>-299.452</v>
      </c>
      <c r="K1403">
        <v>1.1100110000000001</v>
      </c>
      <c r="L1403">
        <v>285.65190000000001</v>
      </c>
      <c r="M1403">
        <v>-0.99989150000000004</v>
      </c>
      <c r="N1403">
        <v>-1.41183E-2</v>
      </c>
      <c r="O1403">
        <v>4.1919510000000002E-3</v>
      </c>
      <c r="P1403">
        <v>-0.98533669999999995</v>
      </c>
      <c r="Q1403">
        <v>0.15860759999999999</v>
      </c>
      <c r="R1403">
        <v>-6.2889840000000002E-2</v>
      </c>
      <c r="S1403">
        <v>-3.0390630000000001</v>
      </c>
      <c r="T1403">
        <v>-5.8229679999999999E-2</v>
      </c>
      <c r="U1403">
        <v>-0.23147580000000001</v>
      </c>
      <c r="V1403">
        <v>-6.6925470000000001E-2</v>
      </c>
      <c r="W1403">
        <v>0.17253589999999999</v>
      </c>
      <c r="X1403">
        <v>0.98272700000000002</v>
      </c>
      <c r="Y1403">
        <v>-8.0100969999999994E-2</v>
      </c>
      <c r="Z1403">
        <v>-1.353686E-3</v>
      </c>
      <c r="AA1403">
        <v>0.99678580000000006</v>
      </c>
      <c r="AB1403">
        <v>36</v>
      </c>
      <c r="AC1403">
        <v>-57.600099999999998</v>
      </c>
      <c r="AD1403">
        <v>-1.110008784011</v>
      </c>
      <c r="AE1403">
        <v>-4.4139999999999802</v>
      </c>
      <c r="AF1403">
        <v>-4.6537239234086796</v>
      </c>
      <c r="AG1403">
        <v>-1.110008784011</v>
      </c>
      <c r="AH1403">
        <v>57.559837514391198</v>
      </c>
      <c r="AI1403">
        <v>91.101187293637494</v>
      </c>
      <c r="AJ1403">
        <v>94.622320622708003</v>
      </c>
      <c r="AK1403">
        <v>57.758325465157</v>
      </c>
      <c r="AL1403">
        <v>80.064705566488598</v>
      </c>
      <c r="AM1403">
        <v>93.895929786520597</v>
      </c>
      <c r="AN1403">
        <v>1.0000000059262599</v>
      </c>
    </row>
    <row r="1404" spans="1:40" x14ac:dyDescent="0.25">
      <c r="A1404" t="str">
        <f>"20190304155349685"</f>
        <v>20190304155349685</v>
      </c>
      <c r="B1404" t="str">
        <f>"1551686029677707"</f>
        <v>1551686029677707</v>
      </c>
      <c r="C1404" t="s">
        <v>40</v>
      </c>
      <c r="D1404">
        <v>4.599647</v>
      </c>
      <c r="E1404">
        <v>0.49328749999999999</v>
      </c>
      <c r="F1404" t="s">
        <v>63</v>
      </c>
      <c r="G1404">
        <v>-357.70800000000003</v>
      </c>
      <c r="H1404" s="1">
        <v>2.5650130000000002E-6</v>
      </c>
      <c r="I1404">
        <v>281.20780000000002</v>
      </c>
      <c r="J1404">
        <v>-299.81720000000001</v>
      </c>
      <c r="K1404">
        <v>1.1100179999999999</v>
      </c>
      <c r="L1404">
        <v>285.65359999999998</v>
      </c>
      <c r="M1404">
        <v>-0.99988969999999999</v>
      </c>
      <c r="N1404">
        <v>-1.4187140000000001E-2</v>
      </c>
      <c r="O1404">
        <v>4.4089259999999996E-3</v>
      </c>
      <c r="P1404">
        <v>-0.98537649999999999</v>
      </c>
      <c r="Q1404">
        <v>0.15851379999999901</v>
      </c>
      <c r="R1404">
        <v>-6.2506430000000002E-2</v>
      </c>
      <c r="S1404">
        <v>-3.0391539999999999</v>
      </c>
      <c r="T1404">
        <v>-5.7907939999999998E-2</v>
      </c>
      <c r="U1404">
        <v>-0.23184199999999999</v>
      </c>
      <c r="V1404">
        <v>-6.6756609999999994E-2</v>
      </c>
      <c r="W1404">
        <v>0.1725101</v>
      </c>
      <c r="X1404">
        <v>0.98274300000000003</v>
      </c>
      <c r="Y1404">
        <v>-8.0434459999999999E-2</v>
      </c>
      <c r="Z1404">
        <v>-1.358054E-3</v>
      </c>
      <c r="AA1404">
        <v>0.99675899999999995</v>
      </c>
      <c r="AB1404">
        <v>36</v>
      </c>
      <c r="AC1404">
        <v>-57.890799999999999</v>
      </c>
      <c r="AD1404">
        <v>-1.1100154349869999</v>
      </c>
      <c r="AE1404">
        <v>-4.4457999999999602</v>
      </c>
      <c r="AF1404">
        <v>-4.6993011227536199</v>
      </c>
      <c r="AG1404">
        <v>-1.1100154349869999</v>
      </c>
      <c r="AH1404">
        <v>57.849490171271</v>
      </c>
      <c r="AI1404">
        <v>91.095647773109803</v>
      </c>
      <c r="AJ1404">
        <v>94.644124055249804</v>
      </c>
      <c r="AK1404">
        <v>58.050659586125398</v>
      </c>
      <c r="AL1404">
        <v>80.066206158759201</v>
      </c>
      <c r="AM1404">
        <v>93.886067027042401</v>
      </c>
      <c r="AN1404">
        <v>0.999999991814851</v>
      </c>
    </row>
    <row r="1405" spans="1:40" x14ac:dyDescent="0.25">
      <c r="A1405" t="str">
        <f>"20190304155349709"</f>
        <v>20190304155349709</v>
      </c>
      <c r="B1405" t="str">
        <f>"1551686029697226"</f>
        <v>1551686029697226</v>
      </c>
      <c r="C1405" t="s">
        <v>40</v>
      </c>
      <c r="D1405">
        <v>4.6662100000000004</v>
      </c>
      <c r="E1405">
        <v>0.49307390000000001</v>
      </c>
      <c r="F1405" t="s">
        <v>63</v>
      </c>
      <c r="G1405">
        <v>-356.98</v>
      </c>
      <c r="H1405" s="1">
        <v>2.1776320000000002E-6</v>
      </c>
      <c r="I1405">
        <v>281.30590000000001</v>
      </c>
      <c r="J1405">
        <v>-300.2056</v>
      </c>
      <c r="K1405">
        <v>1.1100270000000001</v>
      </c>
      <c r="L1405">
        <v>285.65559999999999</v>
      </c>
      <c r="M1405">
        <v>-0.99988759999999999</v>
      </c>
      <c r="N1405">
        <v>-1.425362E-2</v>
      </c>
      <c r="O1405">
        <v>4.6370530000000004E-3</v>
      </c>
      <c r="P1405">
        <v>-0.98542070000000004</v>
      </c>
      <c r="Q1405">
        <v>0.1582761</v>
      </c>
      <c r="R1405">
        <v>-6.240971E-2</v>
      </c>
      <c r="S1405">
        <v>-3.0393979999999998</v>
      </c>
      <c r="T1405">
        <v>-5.902052E-2</v>
      </c>
      <c r="U1405">
        <v>-0.23117070000000001</v>
      </c>
      <c r="V1405">
        <v>-6.6886600000000004E-2</v>
      </c>
      <c r="W1405">
        <v>0.17233770000000001</v>
      </c>
      <c r="X1405">
        <v>0.98276439999999998</v>
      </c>
      <c r="Y1405">
        <v>-8.0436099999999996E-2</v>
      </c>
      <c r="Z1405">
        <v>-1.3778880000000001E-3</v>
      </c>
      <c r="AA1405">
        <v>0.99675879999999994</v>
      </c>
      <c r="AB1405">
        <v>36</v>
      </c>
      <c r="AC1405">
        <v>-56.7744</v>
      </c>
      <c r="AD1405">
        <v>-1.110024822368</v>
      </c>
      <c r="AE1405">
        <v>-4.3496999999999799</v>
      </c>
      <c r="AF1405">
        <v>-4.6111934963783296</v>
      </c>
      <c r="AG1405">
        <v>-1.110024822368</v>
      </c>
      <c r="AH1405">
        <v>56.732057726076299</v>
      </c>
      <c r="AI1405">
        <v>91.117228175767593</v>
      </c>
      <c r="AJ1405">
        <v>94.646797905896804</v>
      </c>
      <c r="AK1405">
        <v>56.929971319175699</v>
      </c>
      <c r="AL1405">
        <v>80.076234053614897</v>
      </c>
      <c r="AM1405">
        <v>93.893526289265793</v>
      </c>
      <c r="AN1405">
        <v>0.99999998300410398</v>
      </c>
    </row>
    <row r="1406" spans="1:40" x14ac:dyDescent="0.25">
      <c r="A1406" t="str">
        <f>"20190304155349731"</f>
        <v>20190304155349731</v>
      </c>
      <c r="B1406" t="str">
        <f>"1551686029727483"</f>
        <v>1551686029727483</v>
      </c>
      <c r="C1406" t="s">
        <v>40</v>
      </c>
      <c r="D1406">
        <v>4.5514299999999999</v>
      </c>
      <c r="E1406">
        <v>0.49281059999999999</v>
      </c>
      <c r="F1406" t="s">
        <v>63</v>
      </c>
      <c r="G1406">
        <v>-356.01170000000002</v>
      </c>
      <c r="H1406" s="1">
        <v>1.6623249999999901E-6</v>
      </c>
      <c r="I1406">
        <v>281.38299999999998</v>
      </c>
      <c r="J1406">
        <v>-300.54770000000002</v>
      </c>
      <c r="K1406">
        <v>1.110039</v>
      </c>
      <c r="L1406">
        <v>285.6574</v>
      </c>
      <c r="M1406">
        <v>-0.9998861</v>
      </c>
      <c r="N1406">
        <v>-1.4306950000000001E-2</v>
      </c>
      <c r="O1406">
        <v>4.8342159999999997E-3</v>
      </c>
      <c r="P1406">
        <v>-0.98544120000000002</v>
      </c>
      <c r="Q1406">
        <v>0.15815839999999901</v>
      </c>
      <c r="R1406">
        <v>-6.2384580000000002E-2</v>
      </c>
      <c r="S1406">
        <v>-3.0393370000000002</v>
      </c>
      <c r="T1406">
        <v>-6.0454729999999998E-2</v>
      </c>
      <c r="U1406">
        <v>-0.2326965</v>
      </c>
      <c r="V1406">
        <v>-6.705701E-2</v>
      </c>
      <c r="W1406">
        <v>0.17227239999999999</v>
      </c>
      <c r="X1406">
        <v>0.98276419999999998</v>
      </c>
      <c r="Y1406">
        <v>-8.1130339999999995E-2</v>
      </c>
      <c r="Z1406">
        <v>-1.4139039999999999E-3</v>
      </c>
      <c r="AA1406">
        <v>0.99670250000000005</v>
      </c>
      <c r="AB1406">
        <v>36</v>
      </c>
      <c r="AC1406">
        <v>-55.463999999999999</v>
      </c>
      <c r="AD1406">
        <v>-1.1100373376749999</v>
      </c>
      <c r="AE1406">
        <v>-4.2744000000000097</v>
      </c>
      <c r="AF1406">
        <v>-4.5406943885613202</v>
      </c>
      <c r="AG1406">
        <v>-1.1100373376749999</v>
      </c>
      <c r="AH1406">
        <v>55.420618826965701</v>
      </c>
      <c r="AI1406">
        <v>91.143611150499197</v>
      </c>
      <c r="AJ1406">
        <v>94.683867234801099</v>
      </c>
      <c r="AK1406">
        <v>55.617399072459001</v>
      </c>
      <c r="AL1406">
        <v>80.080031920873594</v>
      </c>
      <c r="AM1406">
        <v>93.903416166630606</v>
      </c>
      <c r="AN1406">
        <v>0.99999994759676802</v>
      </c>
    </row>
    <row r="1407" spans="1:40" x14ac:dyDescent="0.25">
      <c r="A1407" t="str">
        <f>"20190304155349752"</f>
        <v>20190304155349752</v>
      </c>
      <c r="B1407" t="str">
        <f>"1551686029747978"</f>
        <v>1551686029747978</v>
      </c>
      <c r="C1407" t="s">
        <v>40</v>
      </c>
      <c r="D1407">
        <v>4.5357269999999996</v>
      </c>
      <c r="E1407">
        <v>0.49258020000000002</v>
      </c>
      <c r="F1407" t="s">
        <v>63</v>
      </c>
      <c r="G1407">
        <v>-354.76940000000002</v>
      </c>
      <c r="H1407" s="1">
        <v>1.001267E-6</v>
      </c>
      <c r="I1407">
        <v>281.47410000000002</v>
      </c>
      <c r="J1407">
        <v>-300.8809</v>
      </c>
      <c r="K1407">
        <v>1.1100460000000001</v>
      </c>
      <c r="L1407">
        <v>285.6592</v>
      </c>
      <c r="M1407">
        <v>-0.99988449999999995</v>
      </c>
      <c r="N1407">
        <v>-1.435383E-2</v>
      </c>
      <c r="O1407">
        <v>5.0218149999999998E-3</v>
      </c>
      <c r="P1407">
        <v>-0.98540589999999995</v>
      </c>
      <c r="Q1407">
        <v>0.1583483</v>
      </c>
      <c r="R1407">
        <v>-6.2460149999999999E-2</v>
      </c>
      <c r="S1407">
        <v>-3.0394589999999999</v>
      </c>
      <c r="T1407">
        <v>-6.2224389999999997E-2</v>
      </c>
      <c r="U1407">
        <v>-0.23449710000000001</v>
      </c>
      <c r="V1407">
        <v>-6.7318509999999998E-2</v>
      </c>
      <c r="W1407">
        <v>0.17250670000000001</v>
      </c>
      <c r="X1407">
        <v>0.9827053</v>
      </c>
      <c r="Y1407">
        <v>-8.1899630000000001E-2</v>
      </c>
      <c r="Z1407">
        <v>-1.4564700000000001E-3</v>
      </c>
      <c r="AA1407">
        <v>0.99663950000000001</v>
      </c>
      <c r="AB1407">
        <v>36</v>
      </c>
      <c r="AC1407">
        <v>-53.888500000000001</v>
      </c>
      <c r="AD1407">
        <v>-1.1100449987330001</v>
      </c>
      <c r="AE1407">
        <v>-4.1850999999999701</v>
      </c>
      <c r="AF1407">
        <v>-4.4538146488010799</v>
      </c>
      <c r="AG1407">
        <v>-1.1100449987330001</v>
      </c>
      <c r="AH1407">
        <v>53.8440914844006</v>
      </c>
      <c r="AI1407">
        <v>91.1770187633917</v>
      </c>
      <c r="AJ1407">
        <v>94.728562679018793</v>
      </c>
      <c r="AK1407">
        <v>54.0393824225036</v>
      </c>
      <c r="AL1407">
        <v>80.0664042622778</v>
      </c>
      <c r="AM1407">
        <v>93.918824993108501</v>
      </c>
      <c r="AN1407">
        <v>1.0000000249907901</v>
      </c>
    </row>
    <row r="1408" spans="1:40" x14ac:dyDescent="0.25">
      <c r="A1408" t="str">
        <f>"20190304155349775"</f>
        <v>20190304155349775</v>
      </c>
      <c r="B1408" t="str">
        <f>"1551686029767498"</f>
        <v>1551686029767498</v>
      </c>
      <c r="C1408" t="s">
        <v>40</v>
      </c>
      <c r="D1408">
        <v>4.7511929999999998</v>
      </c>
      <c r="E1408">
        <v>0.49217820000000001</v>
      </c>
      <c r="F1408" t="s">
        <v>63</v>
      </c>
      <c r="G1408">
        <v>-354.78899999999999</v>
      </c>
      <c r="H1408" s="1">
        <v>1.011693E-6</v>
      </c>
      <c r="I1408">
        <v>281.46660000000003</v>
      </c>
      <c r="J1408">
        <v>-301.25099999999998</v>
      </c>
      <c r="K1408">
        <v>1.1100570000000001</v>
      </c>
      <c r="L1408">
        <v>285.66120000000001</v>
      </c>
      <c r="M1408">
        <v>-0.99988270000000001</v>
      </c>
      <c r="N1408">
        <v>-1.439996E-2</v>
      </c>
      <c r="O1408">
        <v>5.2242290000000004E-3</v>
      </c>
      <c r="P1408">
        <v>-0.9854754</v>
      </c>
      <c r="Q1408">
        <v>0.157891</v>
      </c>
      <c r="R1408">
        <v>-6.2520149999999997E-2</v>
      </c>
      <c r="S1408">
        <v>-3.0394899999999998</v>
      </c>
      <c r="T1408">
        <v>-6.2587379999999998E-2</v>
      </c>
      <c r="U1408">
        <v>-0.23638919999999999</v>
      </c>
      <c r="V1408">
        <v>-6.7581180000000005E-2</v>
      </c>
      <c r="W1408">
        <v>0.17209479999999999</v>
      </c>
      <c r="X1408">
        <v>0.98275950000000001</v>
      </c>
      <c r="Y1408">
        <v>-8.2716699999999893E-2</v>
      </c>
      <c r="Z1408">
        <v>-1.4791400000000001E-3</v>
      </c>
      <c r="AA1408">
        <v>0.99657200000000001</v>
      </c>
      <c r="AB1408">
        <v>36</v>
      </c>
      <c r="AC1408">
        <v>-53.537999999999997</v>
      </c>
      <c r="AD1408">
        <v>-1.110055988307</v>
      </c>
      <c r="AE1408">
        <v>-4.1945999999999799</v>
      </c>
      <c r="AF1408">
        <v>-4.4723555863301696</v>
      </c>
      <c r="AG1408">
        <v>-1.110055988307</v>
      </c>
      <c r="AH1408">
        <v>53.492497405454699</v>
      </c>
      <c r="AI1408">
        <v>91.184677482170997</v>
      </c>
      <c r="AJ1408">
        <v>94.779222032832394</v>
      </c>
      <c r="AK1408">
        <v>53.6906087454811</v>
      </c>
      <c r="AL1408">
        <v>80.090362811353003</v>
      </c>
      <c r="AM1408">
        <v>93.933851643658798</v>
      </c>
      <c r="AN1408">
        <v>1.0000000354587399</v>
      </c>
    </row>
    <row r="1409" spans="1:40" x14ac:dyDescent="0.25">
      <c r="A1409" t="str">
        <f>"20190304155349796"</f>
        <v>20190304155349796</v>
      </c>
      <c r="B1409" t="str">
        <f>"1551686029787994"</f>
        <v>1551686029787994</v>
      </c>
      <c r="C1409" t="s">
        <v>40</v>
      </c>
      <c r="D1409">
        <v>4.5439259999999999</v>
      </c>
      <c r="E1409">
        <v>0.4920061</v>
      </c>
      <c r="F1409" t="s">
        <v>63</v>
      </c>
      <c r="G1409">
        <v>-353.39909999999998</v>
      </c>
      <c r="H1409" s="1">
        <v>2.7202719999999999E-7</v>
      </c>
      <c r="I1409">
        <v>281.54829999999998</v>
      </c>
      <c r="J1409">
        <v>-301.59699999999998</v>
      </c>
      <c r="K1409">
        <v>1.1100699999999999</v>
      </c>
      <c r="L1409">
        <v>285.66320000000002</v>
      </c>
      <c r="M1409">
        <v>-0.99988120000000003</v>
      </c>
      <c r="N1409">
        <v>-1.4437790000000001E-2</v>
      </c>
      <c r="O1409">
        <v>5.4068980000000003E-3</v>
      </c>
      <c r="P1409">
        <v>-0.98546979999999995</v>
      </c>
      <c r="Q1409">
        <v>0.1579989</v>
      </c>
      <c r="R1409">
        <v>-6.2339190000000003E-2</v>
      </c>
      <c r="S1409">
        <v>-3.0393680000000001</v>
      </c>
      <c r="T1409">
        <v>-6.4697859999999996E-2</v>
      </c>
      <c r="U1409">
        <v>-0.2397156</v>
      </c>
      <c r="V1409">
        <v>-6.7582260000000005E-2</v>
      </c>
      <c r="W1409">
        <v>0.17223849999999999</v>
      </c>
      <c r="X1409">
        <v>0.9827342</v>
      </c>
      <c r="Y1409">
        <v>-8.398369E-2</v>
      </c>
      <c r="Z1409">
        <v>-1.5367029999999999E-3</v>
      </c>
      <c r="AA1409">
        <v>0.99646590000000002</v>
      </c>
      <c r="AB1409">
        <v>36</v>
      </c>
      <c r="AC1409">
        <v>-51.802100000000003</v>
      </c>
      <c r="AD1409">
        <v>-1.1100697279728</v>
      </c>
      <c r="AE1409">
        <v>-4.1149000000000298</v>
      </c>
      <c r="AF1409">
        <v>-4.39295307902447</v>
      </c>
      <c r="AG1409">
        <v>-1.1100697279728</v>
      </c>
      <c r="AH1409">
        <v>51.755474164216601</v>
      </c>
      <c r="AI1409">
        <v>91.224310787594106</v>
      </c>
      <c r="AJ1409">
        <v>94.851579995584601</v>
      </c>
      <c r="AK1409">
        <v>51.953434896245</v>
      </c>
      <c r="AL1409">
        <v>80.082004099479803</v>
      </c>
      <c r="AM1409">
        <v>93.934015270944798</v>
      </c>
      <c r="AN1409">
        <v>0.99999998529929801</v>
      </c>
    </row>
    <row r="1410" spans="1:40" x14ac:dyDescent="0.25">
      <c r="A1410" t="str">
        <f>"20190304155349819"</f>
        <v>20190304155349819</v>
      </c>
      <c r="B1410" t="str">
        <f>"1551686029807518"</f>
        <v>1551686029807518</v>
      </c>
      <c r="C1410" t="s">
        <v>40</v>
      </c>
      <c r="D1410">
        <v>4.5482089999999999</v>
      </c>
      <c r="E1410">
        <v>0.49202570000000001</v>
      </c>
      <c r="F1410" t="s">
        <v>63</v>
      </c>
      <c r="G1410">
        <v>-353.60390000000001</v>
      </c>
      <c r="H1410" s="1">
        <v>3.8100840000000001E-7</v>
      </c>
      <c r="I1410">
        <v>281.55110000000002</v>
      </c>
      <c r="J1410">
        <v>-301.95569999999998</v>
      </c>
      <c r="K1410">
        <v>1.11008</v>
      </c>
      <c r="L1410">
        <v>285.6653</v>
      </c>
      <c r="M1410">
        <v>-0.99987969999999904</v>
      </c>
      <c r="N1410">
        <v>-1.4471970000000001E-2</v>
      </c>
      <c r="O1410">
        <v>5.5888029999999998E-3</v>
      </c>
      <c r="P1410">
        <v>-0.98548559999999996</v>
      </c>
      <c r="Q1410">
        <v>0.15796079999999901</v>
      </c>
      <c r="R1410">
        <v>-6.2183179999999998E-2</v>
      </c>
      <c r="S1410">
        <v>-3.0394589999999999</v>
      </c>
      <c r="T1410">
        <v>-6.4876320000000001E-2</v>
      </c>
      <c r="U1410">
        <v>-0.24032590000000001</v>
      </c>
      <c r="V1410">
        <v>-6.7608570000000007E-2</v>
      </c>
      <c r="W1410">
        <v>0.17223339999999901</v>
      </c>
      <c r="X1410">
        <v>0.98273330000000003</v>
      </c>
      <c r="Y1410">
        <v>-8.4361149999999996E-2</v>
      </c>
      <c r="Z1410">
        <v>-1.548708E-3</v>
      </c>
      <c r="AA1410">
        <v>0.99643400000000004</v>
      </c>
      <c r="AB1410">
        <v>36</v>
      </c>
      <c r="AC1410">
        <v>-51.648200000000003</v>
      </c>
      <c r="AD1410">
        <v>-1.1100796189916</v>
      </c>
      <c r="AE1410">
        <v>-4.1141999999999799</v>
      </c>
      <c r="AF1410">
        <v>-4.40079742436399</v>
      </c>
      <c r="AG1410">
        <v>-1.1100796189916</v>
      </c>
      <c r="AH1410">
        <v>51.6007105507733</v>
      </c>
      <c r="AI1410">
        <v>91.227950459504697</v>
      </c>
      <c r="AJ1410">
        <v>94.874708672947193</v>
      </c>
      <c r="AK1410">
        <v>51.799928803768402</v>
      </c>
      <c r="AL1410">
        <v>80.082300897049606</v>
      </c>
      <c r="AM1410">
        <v>93.935545577403104</v>
      </c>
      <c r="AN1410">
        <v>1.00000000087094</v>
      </c>
    </row>
    <row r="1411" spans="1:40" x14ac:dyDescent="0.25">
      <c r="A1411" t="str">
        <f>"20190304155349842"</f>
        <v>20190304155349842</v>
      </c>
      <c r="B1411" t="str">
        <f>"1551686029837771"</f>
        <v>1551686029837771</v>
      </c>
      <c r="C1411" t="s">
        <v>40</v>
      </c>
      <c r="D1411">
        <v>4.4917759999999998</v>
      </c>
      <c r="E1411">
        <v>0.50827479999999903</v>
      </c>
      <c r="F1411" t="s">
        <v>63</v>
      </c>
      <c r="G1411">
        <v>-353.62299999999999</v>
      </c>
      <c r="H1411" s="1">
        <v>3.911765E-7</v>
      </c>
      <c r="I1411">
        <v>281.59730000000002</v>
      </c>
      <c r="J1411">
        <v>-302.31349999999998</v>
      </c>
      <c r="K1411">
        <v>1.1100909999999999</v>
      </c>
      <c r="L1411">
        <v>285.66750000000002</v>
      </c>
      <c r="M1411">
        <v>-0.9998783</v>
      </c>
      <c r="N1411">
        <v>-1.4501150000000001E-2</v>
      </c>
      <c r="O1411">
        <v>5.760594E-3</v>
      </c>
      <c r="P1411">
        <v>-0.98547969999999896</v>
      </c>
      <c r="Q1411">
        <v>0.15792410000000001</v>
      </c>
      <c r="R1411">
        <v>-6.2368079999999999E-2</v>
      </c>
      <c r="S1411">
        <v>-3.0395509999999999</v>
      </c>
      <c r="T1411">
        <v>-6.5305230000000006E-2</v>
      </c>
      <c r="U1411">
        <v>-0.2393188</v>
      </c>
      <c r="V1411">
        <v>-6.7965750000000005E-2</v>
      </c>
      <c r="W1411">
        <v>0.17222399999999999</v>
      </c>
      <c r="X1411">
        <v>0.98271030000000004</v>
      </c>
      <c r="Y1411">
        <v>-8.4201590000000007E-2</v>
      </c>
      <c r="Z1411">
        <v>-1.5548090000000001E-3</v>
      </c>
      <c r="AA1411">
        <v>0.99644750000000004</v>
      </c>
      <c r="AB1411">
        <v>35</v>
      </c>
      <c r="AC1411">
        <v>-51.3095</v>
      </c>
      <c r="AD1411">
        <v>-1.1100906088235001</v>
      </c>
      <c r="AE1411">
        <v>-4.0701999999999998</v>
      </c>
      <c r="AF1411">
        <v>-4.3637069224319402</v>
      </c>
      <c r="AG1411">
        <v>-1.1100906088235001</v>
      </c>
      <c r="AH1411">
        <v>51.261354804861703</v>
      </c>
      <c r="AI1411">
        <v>91.236105960761094</v>
      </c>
      <c r="AJ1411">
        <v>94.865666760327201</v>
      </c>
      <c r="AK1411">
        <v>51.458728469469598</v>
      </c>
      <c r="AL1411">
        <v>80.082847553977203</v>
      </c>
      <c r="AM1411">
        <v>93.9563637413777</v>
      </c>
      <c r="AN1411">
        <v>0.99999999153757602</v>
      </c>
    </row>
    <row r="1412" spans="1:40" x14ac:dyDescent="0.25">
      <c r="A1412" t="str">
        <f>"20190304155349864"</f>
        <v>20190304155349864</v>
      </c>
      <c r="B1412" t="str">
        <f>"1551686029857291"</f>
        <v>1551686029857291</v>
      </c>
      <c r="C1412" t="s">
        <v>40</v>
      </c>
      <c r="D1412">
        <v>4.5138439999999997</v>
      </c>
      <c r="E1412">
        <v>0.50910310000000003</v>
      </c>
      <c r="F1412" t="s">
        <v>63</v>
      </c>
      <c r="G1412">
        <v>-355.28629999999998</v>
      </c>
      <c r="H1412" s="1">
        <v>1.2762979999999999E-6</v>
      </c>
      <c r="I1412">
        <v>283.74869999999999</v>
      </c>
      <c r="J1412">
        <v>-302.65449999999998</v>
      </c>
      <c r="K1412">
        <v>1.1101019999999999</v>
      </c>
      <c r="L1412">
        <v>285.6696</v>
      </c>
      <c r="M1412">
        <v>-0.99987709999999996</v>
      </c>
      <c r="N1412">
        <v>-1.452472E-2</v>
      </c>
      <c r="O1412">
        <v>5.9135819999999997E-3</v>
      </c>
      <c r="P1412">
        <v>-0.98538199999999998</v>
      </c>
      <c r="Q1412">
        <v>0.158617799999999</v>
      </c>
      <c r="R1412">
        <v>-6.2150940000000002E-2</v>
      </c>
      <c r="S1412">
        <v>-3.0474549999999998</v>
      </c>
      <c r="T1412">
        <v>-6.3862089999999996E-2</v>
      </c>
      <c r="U1412">
        <v>-0.1103821</v>
      </c>
      <c r="V1412">
        <v>-6.7902299999999999E-2</v>
      </c>
      <c r="W1412">
        <v>0.17293789999999901</v>
      </c>
      <c r="X1412">
        <v>0.9825893</v>
      </c>
      <c r="Y1412">
        <v>-4.2091280000000002E-2</v>
      </c>
      <c r="Z1412">
        <v>-7.8470020000000001E-4</v>
      </c>
      <c r="AA1412">
        <v>0.99911340000000004</v>
      </c>
      <c r="AB1412">
        <v>35</v>
      </c>
      <c r="AC1412">
        <v>-52.631799999999998</v>
      </c>
      <c r="AD1412">
        <v>-1.110100723702</v>
      </c>
      <c r="AE1412">
        <v>-1.92090000000001</v>
      </c>
      <c r="AF1412">
        <v>-2.23115044217238</v>
      </c>
      <c r="AG1412">
        <v>-1.110100723702</v>
      </c>
      <c r="AH1412">
        <v>52.596151855567499</v>
      </c>
      <c r="AI1412">
        <v>91.208026007438207</v>
      </c>
      <c r="AJ1412">
        <v>92.429054262404904</v>
      </c>
      <c r="AK1412">
        <v>52.655156878754902</v>
      </c>
      <c r="AL1412">
        <v>80.041320948469107</v>
      </c>
      <c r="AM1412">
        <v>93.953167163702105</v>
      </c>
      <c r="AN1412">
        <v>0.99999998603809404</v>
      </c>
    </row>
    <row r="1413" spans="1:40" x14ac:dyDescent="0.25">
      <c r="A1413" t="str">
        <f>"20190304155349886"</f>
        <v>20190304155349886</v>
      </c>
      <c r="B1413" t="str">
        <f>"1551686029877790"</f>
        <v>1551686029877790</v>
      </c>
      <c r="C1413" t="s">
        <v>40</v>
      </c>
      <c r="D1413">
        <v>4.498481</v>
      </c>
      <c r="E1413">
        <v>0.50972529999999905</v>
      </c>
      <c r="F1413" t="s">
        <v>63</v>
      </c>
      <c r="G1413">
        <v>-355.1096</v>
      </c>
      <c r="H1413" s="1">
        <v>1.182258E-6</v>
      </c>
      <c r="I1413">
        <v>283.892</v>
      </c>
      <c r="J1413">
        <v>-303.01900000000001</v>
      </c>
      <c r="K1413">
        <v>1.1101129999999999</v>
      </c>
      <c r="L1413">
        <v>285.67189999999999</v>
      </c>
      <c r="M1413">
        <v>-0.99987579999999998</v>
      </c>
      <c r="N1413">
        <v>-1.4546089999999999E-2</v>
      </c>
      <c r="O1413">
        <v>6.0672290000000004E-3</v>
      </c>
      <c r="P1413">
        <v>-0.98546250000000002</v>
      </c>
      <c r="Q1413">
        <v>0.15826399999999999</v>
      </c>
      <c r="R1413">
        <v>-6.1776270000000001E-2</v>
      </c>
      <c r="S1413">
        <v>-3.0483699999999998</v>
      </c>
      <c r="T1413">
        <v>-6.4512369999999999E-2</v>
      </c>
      <c r="U1413">
        <v>-0.103302</v>
      </c>
      <c r="V1413">
        <v>-6.7682829999999999E-2</v>
      </c>
      <c r="W1413">
        <v>0.17260439999999999</v>
      </c>
      <c r="X1413">
        <v>0.98266310000000001</v>
      </c>
      <c r="Y1413">
        <v>-3.9916739999999999E-2</v>
      </c>
      <c r="Z1413">
        <v>-7.5280110000000003E-4</v>
      </c>
      <c r="AA1413">
        <v>0.9992027</v>
      </c>
      <c r="AB1413">
        <v>35</v>
      </c>
      <c r="AC1413">
        <v>-52.090600000000002</v>
      </c>
      <c r="AD1413">
        <v>-1.110111817742</v>
      </c>
      <c r="AE1413">
        <v>-1.77989999999999</v>
      </c>
      <c r="AF1413">
        <v>-2.0949959036722099</v>
      </c>
      <c r="AG1413">
        <v>-1.110111817742</v>
      </c>
      <c r="AH1413">
        <v>52.0552266745458</v>
      </c>
      <c r="AI1413">
        <v>91.2206969734616</v>
      </c>
      <c r="AJ1413">
        <v>92.304661547049406</v>
      </c>
      <c r="AK1413">
        <v>52.1091928571403</v>
      </c>
      <c r="AL1413">
        <v>80.060721029617</v>
      </c>
      <c r="AM1413">
        <v>93.9401352725057</v>
      </c>
      <c r="AN1413">
        <v>1.0000000062388801</v>
      </c>
    </row>
    <row r="1414" spans="1:40" x14ac:dyDescent="0.25">
      <c r="A1414" t="str">
        <f>"20190304155349909"</f>
        <v>20190304155349909</v>
      </c>
      <c r="B1414" t="str">
        <f>"1551686029908043"</f>
        <v>1551686029908043</v>
      </c>
      <c r="C1414" t="s">
        <v>40</v>
      </c>
      <c r="D1414">
        <v>4.4762000000000004</v>
      </c>
      <c r="E1414">
        <v>0.5098241</v>
      </c>
      <c r="F1414" t="s">
        <v>63</v>
      </c>
      <c r="G1414">
        <v>-354.03289999999998</v>
      </c>
      <c r="H1414" s="1">
        <v>6.0932539999999995E-7</v>
      </c>
      <c r="I1414">
        <v>284.05020000000002</v>
      </c>
      <c r="J1414">
        <v>-303.38470000000001</v>
      </c>
      <c r="K1414">
        <v>1.1101219999999901</v>
      </c>
      <c r="L1414">
        <v>285.67430000000002</v>
      </c>
      <c r="M1414">
        <v>-0.99987470000000001</v>
      </c>
      <c r="N1414">
        <v>-1.456406E-2</v>
      </c>
      <c r="O1414">
        <v>6.211655E-3</v>
      </c>
      <c r="P1414">
        <v>-0.98552819999999997</v>
      </c>
      <c r="Q1414">
        <v>0.15780649999999999</v>
      </c>
      <c r="R1414">
        <v>-6.1897849999999997E-2</v>
      </c>
      <c r="S1414">
        <v>-3.0488279999999999</v>
      </c>
      <c r="T1414">
        <v>-6.634545E-2</v>
      </c>
      <c r="U1414">
        <v>-9.6923830000000002E-2</v>
      </c>
      <c r="V1414">
        <v>-6.795147E-2</v>
      </c>
      <c r="W1414">
        <v>0.1721644</v>
      </c>
      <c r="X1414">
        <v>0.98272170000000003</v>
      </c>
      <c r="Y1414">
        <v>-3.7967880000000002E-2</v>
      </c>
      <c r="Z1414">
        <v>-7.3425859999999999E-4</v>
      </c>
      <c r="AA1414">
        <v>0.99927869999999996</v>
      </c>
      <c r="AB1414">
        <v>35</v>
      </c>
      <c r="AC1414">
        <v>-50.648199999999903</v>
      </c>
      <c r="AD1414">
        <v>-1.1101213906745999</v>
      </c>
      <c r="AE1414">
        <v>-1.6240999999999901</v>
      </c>
      <c r="AF1414">
        <v>-1.9377811838855601</v>
      </c>
      <c r="AG1414">
        <v>-1.1101213906745999</v>
      </c>
      <c r="AH1414">
        <v>50.612843254471102</v>
      </c>
      <c r="AI1414">
        <v>91.255581100225498</v>
      </c>
      <c r="AJ1414">
        <v>92.192575533936093</v>
      </c>
      <c r="AK1414">
        <v>50.662089057995999</v>
      </c>
      <c r="AL1414">
        <v>80.086313860104099</v>
      </c>
      <c r="AM1414">
        <v>93.955489385036103</v>
      </c>
      <c r="AN1414">
        <v>0.99999996127670399</v>
      </c>
    </row>
    <row r="1415" spans="1:40" x14ac:dyDescent="0.25">
      <c r="A1415" t="str">
        <f>"20190304155349931"</f>
        <v>20190304155349931</v>
      </c>
      <c r="B1415" t="str">
        <f>"1551686029927564"</f>
        <v>1551686029927564</v>
      </c>
      <c r="C1415" t="s">
        <v>40</v>
      </c>
      <c r="D1415">
        <v>4.4988979999999996</v>
      </c>
      <c r="E1415">
        <v>0.50965859999999996</v>
      </c>
      <c r="F1415" t="s">
        <v>63</v>
      </c>
      <c r="G1415">
        <v>-352.39960000000002</v>
      </c>
      <c r="H1415" s="1">
        <v>-2.598329E-7</v>
      </c>
      <c r="I1415">
        <v>284.13200000000001</v>
      </c>
      <c r="J1415">
        <v>-303.7208</v>
      </c>
      <c r="K1415">
        <v>1.1101350000000001</v>
      </c>
      <c r="L1415">
        <v>285.67649999999998</v>
      </c>
      <c r="M1415">
        <v>-0.99987369999999998</v>
      </c>
      <c r="N1415">
        <v>-1.457788E-2</v>
      </c>
      <c r="O1415">
        <v>6.3326800000000003E-3</v>
      </c>
      <c r="P1415">
        <v>-0.98556759999999999</v>
      </c>
      <c r="Q1415">
        <v>0.15760579999999999</v>
      </c>
      <c r="R1415">
        <v>-6.1779800000000003E-2</v>
      </c>
      <c r="S1415">
        <v>-3.0491329999999999</v>
      </c>
      <c r="T1415">
        <v>-6.905878E-2</v>
      </c>
      <c r="U1415">
        <v>-9.5947270000000001E-2</v>
      </c>
      <c r="V1415">
        <v>-6.7956550000000004E-2</v>
      </c>
      <c r="W1415">
        <v>0.17197599999999999</v>
      </c>
      <c r="X1415">
        <v>0.98275440000000003</v>
      </c>
      <c r="Y1415">
        <v>-3.7764970000000002E-2</v>
      </c>
      <c r="Z1415">
        <v>-7.5399219999999995E-4</v>
      </c>
      <c r="AA1415">
        <v>0.99928640000000002</v>
      </c>
      <c r="AB1415">
        <v>35</v>
      </c>
      <c r="AC1415">
        <v>-48.678800000000003</v>
      </c>
      <c r="AD1415">
        <v>-1.1101352598329</v>
      </c>
      <c r="AE1415">
        <v>-1.54449999999997</v>
      </c>
      <c r="AF1415">
        <v>-1.8518069191730699</v>
      </c>
      <c r="AG1415">
        <v>-1.1101352598329</v>
      </c>
      <c r="AH1415">
        <v>48.642769039385001</v>
      </c>
      <c r="AI1415">
        <v>91.306443051411904</v>
      </c>
      <c r="AJ1415">
        <v>92.180170058415101</v>
      </c>
      <c r="AK1415">
        <v>48.690662030619102</v>
      </c>
      <c r="AL1415">
        <v>80.097272454193302</v>
      </c>
      <c r="AM1415">
        <v>93.955652949401795</v>
      </c>
      <c r="AN1415">
        <v>1.00000002399163</v>
      </c>
    </row>
    <row r="1416" spans="1:40" x14ac:dyDescent="0.25">
      <c r="A1416" t="str">
        <f>"20190304155349952"</f>
        <v>20190304155349952</v>
      </c>
      <c r="B1416" t="str">
        <f>"1551686029948058"</f>
        <v>1551686029948058</v>
      </c>
      <c r="C1416" t="s">
        <v>40</v>
      </c>
      <c r="D1416">
        <v>4.4592199999999904</v>
      </c>
      <c r="E1416">
        <v>0.50957710000000001</v>
      </c>
      <c r="F1416" t="s">
        <v>63</v>
      </c>
      <c r="G1416">
        <v>-352.37279999999998</v>
      </c>
      <c r="H1416" s="1">
        <v>-2.7411719999999998E-7</v>
      </c>
      <c r="I1416">
        <v>284.1377</v>
      </c>
      <c r="J1416">
        <v>-304.05610000000001</v>
      </c>
      <c r="K1416">
        <v>1.1101460000000001</v>
      </c>
      <c r="L1416">
        <v>285.67880000000002</v>
      </c>
      <c r="M1416">
        <v>-0.99987289999999995</v>
      </c>
      <c r="N1416">
        <v>-1.4589609999999999E-2</v>
      </c>
      <c r="O1416">
        <v>6.4406430000000002E-3</v>
      </c>
      <c r="P1416">
        <v>-0.98555289999999995</v>
      </c>
      <c r="Q1416">
        <v>0.15757750000000001</v>
      </c>
      <c r="R1416">
        <v>-6.2085990000000001E-2</v>
      </c>
      <c r="S1416">
        <v>-3.0489809999999999</v>
      </c>
      <c r="T1416">
        <v>-6.9571259999999996E-2</v>
      </c>
      <c r="U1416">
        <v>-9.6435549999999995E-2</v>
      </c>
      <c r="V1416">
        <v>-6.8374320000000002E-2</v>
      </c>
      <c r="W1416">
        <v>0.17195669999999999</v>
      </c>
      <c r="X1416">
        <v>0.98272879999999996</v>
      </c>
      <c r="Y1416">
        <v>-3.8033989999999997E-2</v>
      </c>
      <c r="Z1416">
        <v>-7.6432349999999997E-4</v>
      </c>
      <c r="AA1416">
        <v>0.99927619999999895</v>
      </c>
      <c r="AB1416">
        <v>35</v>
      </c>
      <c r="AC1416">
        <v>-48.316699999999898</v>
      </c>
      <c r="AD1416">
        <v>-1.1101462741171999</v>
      </c>
      <c r="AE1416">
        <v>-1.5411000000000199</v>
      </c>
      <c r="AF1416">
        <v>-1.85131539723119</v>
      </c>
      <c r="AG1416">
        <v>-1.1101462741171999</v>
      </c>
      <c r="AH1416">
        <v>48.280308805984198</v>
      </c>
      <c r="AI1416">
        <v>91.316246840282005</v>
      </c>
      <c r="AJ1416">
        <v>92.195939075691598</v>
      </c>
      <c r="AK1416">
        <v>48.328542413889899</v>
      </c>
      <c r="AL1416">
        <v>80.098394988636102</v>
      </c>
      <c r="AM1416">
        <v>93.979996173100801</v>
      </c>
      <c r="AN1416">
        <v>1.0000000243298901</v>
      </c>
    </row>
    <row r="1417" spans="1:40" x14ac:dyDescent="0.25">
      <c r="A1417" t="str">
        <f>"20190304155349975"</f>
        <v>20190304155349975</v>
      </c>
      <c r="B1417" t="str">
        <f>"1551686029967582"</f>
        <v>1551686029967582</v>
      </c>
      <c r="C1417" t="s">
        <v>40</v>
      </c>
      <c r="D1417">
        <v>4.4385949999999896</v>
      </c>
      <c r="E1417">
        <v>0.50949869999999997</v>
      </c>
      <c r="F1417" t="s">
        <v>63</v>
      </c>
      <c r="G1417">
        <v>-352.5822</v>
      </c>
      <c r="H1417" s="1">
        <v>-1.626434E-7</v>
      </c>
      <c r="I1417">
        <v>284.11770000000001</v>
      </c>
      <c r="J1417">
        <v>-304.41129999999998</v>
      </c>
      <c r="K1417">
        <v>1.110161</v>
      </c>
      <c r="L1417">
        <v>285.68119999999999</v>
      </c>
      <c r="M1417">
        <v>-0.99987210000000004</v>
      </c>
      <c r="N1417">
        <v>-1.4599890000000001E-2</v>
      </c>
      <c r="O1417">
        <v>6.5406479999999996E-3</v>
      </c>
      <c r="P1417">
        <v>-0.98551540000000004</v>
      </c>
      <c r="Q1417">
        <v>0.15756579999999901</v>
      </c>
      <c r="R1417">
        <v>-6.2708819999999998E-2</v>
      </c>
      <c r="S1417">
        <v>-3.04895</v>
      </c>
      <c r="T1417">
        <v>-6.975162E-2</v>
      </c>
      <c r="U1417">
        <v>-9.8083500000000004E-2</v>
      </c>
      <c r="V1417">
        <v>-6.9100690000000006E-2</v>
      </c>
      <c r="W1417">
        <v>0.17195250000000001</v>
      </c>
      <c r="X1417">
        <v>0.98267870000000002</v>
      </c>
      <c r="Y1417">
        <v>-3.8673440000000003E-2</v>
      </c>
      <c r="Z1417">
        <v>-7.7877179999999901E-4</v>
      </c>
      <c r="AA1417">
        <v>0.99925160000000002</v>
      </c>
      <c r="AB1417">
        <v>35</v>
      </c>
      <c r="AC1417">
        <v>-48.170900000000003</v>
      </c>
      <c r="AD1417">
        <v>-1.11016116264339</v>
      </c>
      <c r="AE1417">
        <v>-1.5634999999999699</v>
      </c>
      <c r="AF1417">
        <v>-1.8775728209913101</v>
      </c>
      <c r="AG1417">
        <v>-1.11016116264339</v>
      </c>
      <c r="AH1417">
        <v>48.134103337321498</v>
      </c>
      <c r="AI1417">
        <v>91.320227436520995</v>
      </c>
      <c r="AJ1417">
        <v>92.233810940978799</v>
      </c>
      <c r="AK1417">
        <v>48.183499681873599</v>
      </c>
      <c r="AL1417">
        <v>80.098639001411101</v>
      </c>
      <c r="AM1417">
        <v>94.022343738443993</v>
      </c>
      <c r="AN1417">
        <v>0.99999999752420798</v>
      </c>
    </row>
    <row r="1418" spans="1:40" x14ac:dyDescent="0.25">
      <c r="A1418" t="str">
        <f>"20190304155349997"</f>
        <v>20190304155349997</v>
      </c>
      <c r="B1418" t="str">
        <f>"1551686029988074"</f>
        <v>1551686029988074</v>
      </c>
      <c r="C1418" t="s">
        <v>40</v>
      </c>
      <c r="D1418">
        <v>4.4595929999999999</v>
      </c>
      <c r="E1418">
        <v>0.50938669999999997</v>
      </c>
      <c r="F1418" t="s">
        <v>63</v>
      </c>
      <c r="G1418">
        <v>-353.0745</v>
      </c>
      <c r="H1418" s="1">
        <v>9.9321850000000006E-8</v>
      </c>
      <c r="I1418">
        <v>284.07709999999997</v>
      </c>
      <c r="J1418">
        <v>-304.76549999999997</v>
      </c>
      <c r="K1418">
        <v>1.1101760000000001</v>
      </c>
      <c r="L1418">
        <v>285.68349999999998</v>
      </c>
      <c r="M1418">
        <v>-0.99987139999999997</v>
      </c>
      <c r="N1418">
        <v>-1.460814E-2</v>
      </c>
      <c r="O1418">
        <v>6.6238410000000001E-3</v>
      </c>
      <c r="P1418">
        <v>-0.98549249999999999</v>
      </c>
      <c r="Q1418">
        <v>0.15738640000000001</v>
      </c>
      <c r="R1418">
        <v>-6.3515890000000005E-2</v>
      </c>
      <c r="S1418">
        <v>-3.0488279999999999</v>
      </c>
      <c r="T1418">
        <v>-6.9553379999999998E-2</v>
      </c>
      <c r="U1418">
        <v>-0.1004944</v>
      </c>
      <c r="V1418">
        <v>-6.9994979999999998E-2</v>
      </c>
      <c r="W1418">
        <v>0.17177919999999999</v>
      </c>
      <c r="X1418">
        <v>0.98264580000000001</v>
      </c>
      <c r="Y1418">
        <v>-3.9546890000000001E-2</v>
      </c>
      <c r="Z1418">
        <v>-7.9424129999999999E-4</v>
      </c>
      <c r="AA1418">
        <v>0.99921740000000003</v>
      </c>
      <c r="AB1418">
        <v>35</v>
      </c>
      <c r="AC1418">
        <v>-48.308999999999997</v>
      </c>
      <c r="AD1418">
        <v>-1.11017590067815</v>
      </c>
      <c r="AE1418">
        <v>-1.6064000000000001</v>
      </c>
      <c r="AF1418">
        <v>-1.92537432655708</v>
      </c>
      <c r="AG1418">
        <v>-1.11017590067815</v>
      </c>
      <c r="AH1418">
        <v>48.271833441040997</v>
      </c>
      <c r="AI1418">
        <v>91.316433779663697</v>
      </c>
      <c r="AJ1418">
        <v>92.284093442230898</v>
      </c>
      <c r="AK1418">
        <v>48.322970320411997</v>
      </c>
      <c r="AL1418">
        <v>80.108719156068304</v>
      </c>
      <c r="AM1418">
        <v>94.074362023945199</v>
      </c>
      <c r="AN1418">
        <v>1.00000007951773</v>
      </c>
    </row>
    <row r="1419" spans="1:40" x14ac:dyDescent="0.25">
      <c r="A1419" t="str">
        <f>"20190304155350021"</f>
        <v>20190304155350021</v>
      </c>
      <c r="B1419" t="str">
        <f>"1551686030017355"</f>
        <v>1551686030017355</v>
      </c>
      <c r="C1419" t="s">
        <v>40</v>
      </c>
      <c r="D1419">
        <v>4.4445180000000004</v>
      </c>
      <c r="E1419">
        <v>0.50913439999999999</v>
      </c>
      <c r="F1419" t="s">
        <v>63</v>
      </c>
      <c r="G1419">
        <v>-353.04910000000001</v>
      </c>
      <c r="H1419" s="1">
        <v>8.5784559999999896E-8</v>
      </c>
      <c r="I1419">
        <v>284.04320000000001</v>
      </c>
      <c r="J1419">
        <v>-305.12849999999997</v>
      </c>
      <c r="K1419">
        <v>1.110195</v>
      </c>
      <c r="L1419">
        <v>285.68599999999998</v>
      </c>
      <c r="M1419">
        <v>-0.99987079999999995</v>
      </c>
      <c r="N1419">
        <v>-1.461489E-2</v>
      </c>
      <c r="O1419">
        <v>6.6920629999999998E-3</v>
      </c>
      <c r="P1419">
        <v>-0.98552499999999998</v>
      </c>
      <c r="Q1419">
        <v>0.15694379999999999</v>
      </c>
      <c r="R1419">
        <v>-6.410457E-2</v>
      </c>
      <c r="S1419">
        <v>-3.0487060000000001</v>
      </c>
      <c r="T1419">
        <v>-7.0098399999999894E-2</v>
      </c>
      <c r="U1419">
        <v>-0.10357669999999999</v>
      </c>
      <c r="V1419">
        <v>-7.0657830000000005E-2</v>
      </c>
      <c r="W1419">
        <v>0.17134089999999999</v>
      </c>
      <c r="X1419">
        <v>0.98267479999999996</v>
      </c>
      <c r="Y1419">
        <v>-4.0624760000000003E-2</v>
      </c>
      <c r="Z1419">
        <v>-8.1990600000000002E-4</v>
      </c>
      <c r="AA1419">
        <v>0.99917409999999995</v>
      </c>
      <c r="AB1419">
        <v>35</v>
      </c>
      <c r="AC1419">
        <v>-47.9206</v>
      </c>
      <c r="AD1419">
        <v>-1.1101949142154399</v>
      </c>
      <c r="AE1419">
        <v>-1.6427999999999601</v>
      </c>
      <c r="AF1419">
        <v>-1.96243307976537</v>
      </c>
      <c r="AG1419">
        <v>-1.1101949142154399</v>
      </c>
      <c r="AH1419">
        <v>47.882861944227599</v>
      </c>
      <c r="AI1419">
        <v>91.327087804359195</v>
      </c>
      <c r="AJ1419">
        <v>92.346899026179202</v>
      </c>
      <c r="AK1419">
        <v>47.935917059237198</v>
      </c>
      <c r="AL1419">
        <v>80.134209012914894</v>
      </c>
      <c r="AM1419">
        <v>94.112693344492698</v>
      </c>
      <c r="AN1419">
        <v>0.999999997754079</v>
      </c>
    </row>
    <row r="1420" spans="1:40" x14ac:dyDescent="0.25">
      <c r="A1420" t="str">
        <f>"20190304155350042"</f>
        <v>20190304155350042</v>
      </c>
      <c r="B1420" t="str">
        <f>"1551686030037850"</f>
        <v>1551686030037850</v>
      </c>
      <c r="C1420" t="s">
        <v>40</v>
      </c>
      <c r="D1420">
        <v>4.4316199999999997</v>
      </c>
      <c r="E1420">
        <v>0.50903559999999903</v>
      </c>
      <c r="F1420" t="s">
        <v>63</v>
      </c>
      <c r="G1420">
        <v>-352.32530000000003</v>
      </c>
      <c r="H1420" s="1">
        <v>-2.9941039999999997E-7</v>
      </c>
      <c r="I1420">
        <v>284.02859999999998</v>
      </c>
      <c r="J1420">
        <v>-305.45769999999999</v>
      </c>
      <c r="K1420">
        <v>1.110209</v>
      </c>
      <c r="L1420">
        <v>285.68830000000003</v>
      </c>
      <c r="M1420">
        <v>-0.9998705</v>
      </c>
      <c r="N1420">
        <v>-1.461967E-2</v>
      </c>
      <c r="O1420">
        <v>6.7379700000000002E-3</v>
      </c>
      <c r="P1420">
        <v>-0.98545970000000005</v>
      </c>
      <c r="Q1420">
        <v>0.157115899999999</v>
      </c>
      <c r="R1420">
        <v>-6.46814E-2</v>
      </c>
      <c r="S1420">
        <v>-3.0485530000000001</v>
      </c>
      <c r="T1420">
        <v>-7.171023E-2</v>
      </c>
      <c r="U1420">
        <v>-0.1070557</v>
      </c>
      <c r="V1420">
        <v>-7.1285399999999999E-2</v>
      </c>
      <c r="W1420">
        <v>0.17151420000000001</v>
      </c>
      <c r="X1420">
        <v>0.98259929999999995</v>
      </c>
      <c r="Y1420">
        <v>-4.1809970000000002E-2</v>
      </c>
      <c r="Z1420">
        <v>-8.5727950000000002E-4</v>
      </c>
      <c r="AA1420">
        <v>0.99912520000000005</v>
      </c>
      <c r="AB1420">
        <v>35</v>
      </c>
      <c r="AC1420">
        <v>-46.867600000000003</v>
      </c>
      <c r="AD1420">
        <v>-1.1102092994104</v>
      </c>
      <c r="AE1420">
        <v>-1.6597000000000399</v>
      </c>
      <c r="AF1420">
        <v>-1.97438202882474</v>
      </c>
      <c r="AG1420">
        <v>-1.1102092994104</v>
      </c>
      <c r="AH1420">
        <v>46.829107303278903</v>
      </c>
      <c r="AI1420">
        <v>91.356890361357401</v>
      </c>
      <c r="AJ1420">
        <v>92.414242043867802</v>
      </c>
      <c r="AK1420">
        <v>46.883856922252598</v>
      </c>
      <c r="AL1420">
        <v>80.124131046773698</v>
      </c>
      <c r="AM1420">
        <v>94.149412219721199</v>
      </c>
      <c r="AN1420">
        <v>1.0000000567076399</v>
      </c>
    </row>
    <row r="1421" spans="1:40" x14ac:dyDescent="0.25">
      <c r="A1421" t="str">
        <f>"20190304155350064"</f>
        <v>20190304155350064</v>
      </c>
      <c r="B1421" t="str">
        <f>"1551686030057371"</f>
        <v>1551686030057371</v>
      </c>
      <c r="C1421" t="s">
        <v>40</v>
      </c>
      <c r="D1421">
        <v>4.4657749999999998</v>
      </c>
      <c r="E1421">
        <v>0.50892090000000001</v>
      </c>
      <c r="F1421" t="s">
        <v>63</v>
      </c>
      <c r="G1421">
        <v>-353.50380000000001</v>
      </c>
      <c r="H1421" s="1">
        <v>3.2774489999999998E-7</v>
      </c>
      <c r="I1421">
        <v>283.96440000000001</v>
      </c>
      <c r="J1421">
        <v>-305.8032</v>
      </c>
      <c r="K1421">
        <v>1.110233</v>
      </c>
      <c r="L1421">
        <v>285.69060000000002</v>
      </c>
      <c r="M1421">
        <v>-0.99987020000000004</v>
      </c>
      <c r="N1421">
        <v>-1.4623499999999999E-2</v>
      </c>
      <c r="O1421">
        <v>6.7698059999999997E-3</v>
      </c>
      <c r="P1421">
        <v>-0.98543040000000004</v>
      </c>
      <c r="Q1421">
        <v>0.157278</v>
      </c>
      <c r="R1421">
        <v>-6.4735570000000006E-2</v>
      </c>
      <c r="S1421">
        <v>-3.0483090000000002</v>
      </c>
      <c r="T1421">
        <v>-7.043779E-2</v>
      </c>
      <c r="U1421">
        <v>-0.109375</v>
      </c>
      <c r="V1421">
        <v>-7.1377049999999997E-2</v>
      </c>
      <c r="W1421">
        <v>0.1716772</v>
      </c>
      <c r="X1421">
        <v>0.98256410000000005</v>
      </c>
      <c r="Y1421">
        <v>-4.2604030000000001E-2</v>
      </c>
      <c r="Z1421">
        <v>-8.610992E-4</v>
      </c>
      <c r="AA1421">
        <v>0.99909170000000003</v>
      </c>
      <c r="AB1421">
        <v>35</v>
      </c>
      <c r="AC1421">
        <v>-47.700600000000001</v>
      </c>
      <c r="AD1421">
        <v>-1.1102326722550999</v>
      </c>
      <c r="AE1421">
        <v>-1.7262</v>
      </c>
      <c r="AF1421">
        <v>-2.0480107502662399</v>
      </c>
      <c r="AG1421">
        <v>-1.1102326722550999</v>
      </c>
      <c r="AH1421">
        <v>47.662033367827398</v>
      </c>
      <c r="AI1421">
        <v>91.333168728154405</v>
      </c>
      <c r="AJ1421">
        <v>92.460453840459706</v>
      </c>
      <c r="AK1421">
        <v>47.718931142426499</v>
      </c>
      <c r="AL1421">
        <v>80.114650433895804</v>
      </c>
      <c r="AM1421">
        <v>94.154876674486303</v>
      </c>
      <c r="AN1421">
        <v>0.99999997743767599</v>
      </c>
    </row>
    <row r="1422" spans="1:40" x14ac:dyDescent="0.25">
      <c r="A1422" t="str">
        <f>"20190304155350087"</f>
        <v>20190304155350087</v>
      </c>
      <c r="B1422" t="str">
        <f>"1551686030077866"</f>
        <v>1551686030077866</v>
      </c>
      <c r="C1422" t="s">
        <v>40</v>
      </c>
      <c r="D1422">
        <v>4.4337439999999999</v>
      </c>
      <c r="E1422">
        <v>0.50880689999999995</v>
      </c>
      <c r="F1422" t="s">
        <v>63</v>
      </c>
      <c r="G1422">
        <v>-354.31259999999997</v>
      </c>
      <c r="H1422" s="1">
        <v>7.5814049999999899E-7</v>
      </c>
      <c r="I1422">
        <v>283.935</v>
      </c>
      <c r="J1422">
        <v>-306.16329999999999</v>
      </c>
      <c r="K1422">
        <v>1.11025</v>
      </c>
      <c r="L1422">
        <v>285.69310000000002</v>
      </c>
      <c r="M1422">
        <v>-0.99987000000000004</v>
      </c>
      <c r="N1422">
        <v>-1.4626419999999999E-2</v>
      </c>
      <c r="O1422">
        <v>6.7895019999999898E-3</v>
      </c>
      <c r="P1422">
        <v>-0.98544010000000004</v>
      </c>
      <c r="Q1422">
        <v>0.157224799999999</v>
      </c>
      <c r="R1422">
        <v>-6.4716579999999996E-2</v>
      </c>
      <c r="S1422">
        <v>-3.0482179999999999</v>
      </c>
      <c r="T1422">
        <v>-6.9764489999999998E-2</v>
      </c>
      <c r="U1422">
        <v>-0.110321</v>
      </c>
      <c r="V1422">
        <v>-7.1383340000000003E-2</v>
      </c>
      <c r="W1422">
        <v>0.1716241</v>
      </c>
      <c r="X1422">
        <v>0.98257289999999997</v>
      </c>
      <c r="Y1422">
        <v>-4.2934600000000003E-2</v>
      </c>
      <c r="Z1422">
        <v>-8.6132549999999998E-4</v>
      </c>
      <c r="AA1422">
        <v>0.99907749999999995</v>
      </c>
      <c r="AB1422">
        <v>35</v>
      </c>
      <c r="AC1422">
        <v>-48.149299999999897</v>
      </c>
      <c r="AD1422">
        <v>-1.1102492418595</v>
      </c>
      <c r="AE1422">
        <v>-1.75810000000001</v>
      </c>
      <c r="AF1422">
        <v>-2.0838976851839801</v>
      </c>
      <c r="AG1422">
        <v>-1.1102492418595</v>
      </c>
      <c r="AH1422">
        <v>48.110706001391101</v>
      </c>
      <c r="AI1422">
        <v>91.320740316012206</v>
      </c>
      <c r="AJ1422">
        <v>92.480195490705199</v>
      </c>
      <c r="AK1422">
        <v>48.168613379395303</v>
      </c>
      <c r="AL1422">
        <v>80.117738485609493</v>
      </c>
      <c r="AM1422">
        <v>94.155204450284401</v>
      </c>
      <c r="AN1422">
        <v>0.99999995837238598</v>
      </c>
    </row>
    <row r="1423" spans="1:40" x14ac:dyDescent="0.25">
      <c r="A1423" t="str">
        <f>"20190304155350110"</f>
        <v>20190304155350110</v>
      </c>
      <c r="B1423" t="str">
        <f>"1551686030108122"</f>
        <v>1551686030108122</v>
      </c>
      <c r="C1423" t="s">
        <v>40</v>
      </c>
      <c r="D1423">
        <v>4.4287479999999997</v>
      </c>
      <c r="E1423">
        <v>0.50873579999999996</v>
      </c>
      <c r="F1423" t="s">
        <v>63</v>
      </c>
      <c r="G1423">
        <v>-354.38799999999998</v>
      </c>
      <c r="H1423" s="1">
        <v>7.9830779999999997E-7</v>
      </c>
      <c r="I1423">
        <v>283.94349999999997</v>
      </c>
      <c r="J1423">
        <v>-306.52210000000002</v>
      </c>
      <c r="K1423">
        <v>1.1102590000000001</v>
      </c>
      <c r="L1423">
        <v>285.69560000000001</v>
      </c>
      <c r="M1423">
        <v>-0.99986989999999998</v>
      </c>
      <c r="N1423">
        <v>-1.46284E-2</v>
      </c>
      <c r="O1423">
        <v>6.8000119999999898E-3</v>
      </c>
      <c r="P1423">
        <v>-0.9853944</v>
      </c>
      <c r="Q1423">
        <v>0.15732699999999999</v>
      </c>
      <c r="R1423">
        <v>-6.5162869999999998E-2</v>
      </c>
      <c r="S1423">
        <v>-3.0482480000000001</v>
      </c>
      <c r="T1423">
        <v>-7.0178030000000002E-2</v>
      </c>
      <c r="U1423">
        <v>-0.11059570000000001</v>
      </c>
      <c r="V1423">
        <v>-7.1844469999999994E-2</v>
      </c>
      <c r="W1423">
        <v>0.17172609999999999</v>
      </c>
      <c r="X1423">
        <v>0.98252150000000005</v>
      </c>
      <c r="Y1423">
        <v>-4.3034419999999997E-2</v>
      </c>
      <c r="Z1423">
        <v>-8.6714629999999995E-4</v>
      </c>
      <c r="AA1423">
        <v>0.99907319999999999</v>
      </c>
      <c r="AB1423">
        <v>35</v>
      </c>
      <c r="AC1423">
        <v>-47.865900000000003</v>
      </c>
      <c r="AD1423">
        <v>-1.1102582016922</v>
      </c>
      <c r="AE1423">
        <v>-1.75210000000004</v>
      </c>
      <c r="AF1423">
        <v>-2.0764673215268599</v>
      </c>
      <c r="AG1423">
        <v>-1.1102582016922</v>
      </c>
      <c r="AH1423">
        <v>47.827180134777002</v>
      </c>
      <c r="AI1423">
        <v>91.328571929708005</v>
      </c>
      <c r="AJ1423">
        <v>92.485995310046505</v>
      </c>
      <c r="AK1423">
        <v>47.885107804579498</v>
      </c>
      <c r="AL1423">
        <v>80.111806555692993</v>
      </c>
      <c r="AM1423">
        <v>94.182169772871006</v>
      </c>
      <c r="AN1423">
        <v>0.99999998962652004</v>
      </c>
    </row>
    <row r="1424" spans="1:40" x14ac:dyDescent="0.25">
      <c r="A1424" t="str">
        <f>"20190304155350133"</f>
        <v>20190304155350133</v>
      </c>
      <c r="B1424" t="str">
        <f>"1551686030127642"</f>
        <v>1551686030127642</v>
      </c>
      <c r="C1424" t="s">
        <v>40</v>
      </c>
      <c r="D1424">
        <v>4.4528379999999999</v>
      </c>
      <c r="E1424">
        <v>0.50871899999999903</v>
      </c>
      <c r="F1424" t="s">
        <v>63</v>
      </c>
      <c r="G1424">
        <v>-355.22109999999998</v>
      </c>
      <c r="H1424" s="1">
        <v>1.241636E-6</v>
      </c>
      <c r="I1424">
        <v>283.90280000000001</v>
      </c>
      <c r="J1424">
        <v>-306.87119999999999</v>
      </c>
      <c r="K1424">
        <v>1.110269</v>
      </c>
      <c r="L1424">
        <v>285.6979</v>
      </c>
      <c r="M1424">
        <v>-0.99986989999999998</v>
      </c>
      <c r="N1424">
        <v>-1.462952E-2</v>
      </c>
      <c r="O1424">
        <v>6.803735E-3</v>
      </c>
      <c r="P1424">
        <v>-0.98539330000000003</v>
      </c>
      <c r="Q1424">
        <v>0.1573078</v>
      </c>
      <c r="R1424">
        <v>-6.5231029999999995E-2</v>
      </c>
      <c r="S1424">
        <v>-3.048187</v>
      </c>
      <c r="T1424">
        <v>-6.9493650000000004E-2</v>
      </c>
      <c r="U1424">
        <v>-0.1122131</v>
      </c>
      <c r="V1424">
        <v>-7.1919209999999997E-2</v>
      </c>
      <c r="W1424">
        <v>0.17170589999999999</v>
      </c>
      <c r="X1424">
        <v>0.98251960000000005</v>
      </c>
      <c r="Y1424">
        <v>-4.3568370000000002E-2</v>
      </c>
      <c r="Z1424">
        <v>-8.7084149999999997E-4</v>
      </c>
      <c r="AA1424">
        <v>0.99905010000000005</v>
      </c>
      <c r="AB1424">
        <v>35</v>
      </c>
      <c r="AC1424">
        <v>-48.349899999999899</v>
      </c>
      <c r="AD1424">
        <v>-1.1102677583639999</v>
      </c>
      <c r="AE1424">
        <v>-1.7950999999999899</v>
      </c>
      <c r="AF1424">
        <v>-2.1229356359969001</v>
      </c>
      <c r="AG1424">
        <v>-1.1102677583639999</v>
      </c>
      <c r="AH1424">
        <v>48.311126206009398</v>
      </c>
      <c r="AI1424">
        <v>91.315249064092598</v>
      </c>
      <c r="AJ1424">
        <v>92.516129517639399</v>
      </c>
      <c r="AK1424">
        <v>48.370491681425101</v>
      </c>
      <c r="AL1424">
        <v>80.112981750181007</v>
      </c>
      <c r="AM1424">
        <v>94.1865131016134</v>
      </c>
      <c r="AN1424">
        <v>1.00000002662299</v>
      </c>
    </row>
    <row r="1425" spans="1:40" x14ac:dyDescent="0.25">
      <c r="A1425" t="str">
        <f>"20190304155350154"</f>
        <v>20190304155350154</v>
      </c>
      <c r="B1425" t="str">
        <f>"1551686030148143"</f>
        <v>1551686030148143</v>
      </c>
      <c r="C1425" t="s">
        <v>40</v>
      </c>
      <c r="D1425">
        <v>4.4478920000000004</v>
      </c>
      <c r="E1425">
        <v>0.50866069999999997</v>
      </c>
      <c r="F1425" t="s">
        <v>63</v>
      </c>
      <c r="G1425">
        <v>-355.60169999999999</v>
      </c>
      <c r="H1425" s="1">
        <v>1.4441620000000001E-6</v>
      </c>
      <c r="I1425">
        <v>283.8922</v>
      </c>
      <c r="J1425">
        <v>-307.21379999999999</v>
      </c>
      <c r="K1425">
        <v>1.110274</v>
      </c>
      <c r="L1425">
        <v>285.70030000000003</v>
      </c>
      <c r="M1425">
        <v>-0.99986989999999998</v>
      </c>
      <c r="N1425">
        <v>-1.4629949999999999E-2</v>
      </c>
      <c r="O1425">
        <v>6.8033420000000004E-3</v>
      </c>
      <c r="P1425">
        <v>-0.98536570000000001</v>
      </c>
      <c r="Q1425">
        <v>0.15742239999999999</v>
      </c>
      <c r="R1425">
        <v>-6.5365519999999996E-2</v>
      </c>
      <c r="S1425">
        <v>-3.0480649999999998</v>
      </c>
      <c r="T1425">
        <v>-6.9446560000000004E-2</v>
      </c>
      <c r="U1425">
        <v>-0.11294559999999999</v>
      </c>
      <c r="V1425">
        <v>-7.2055969999999997E-2</v>
      </c>
      <c r="W1425">
        <v>0.17182</v>
      </c>
      <c r="X1425">
        <v>0.98248959999999996</v>
      </c>
      <c r="Y1425">
        <v>-4.3809090000000002E-2</v>
      </c>
      <c r="Z1425">
        <v>-8.7493140000000004E-4</v>
      </c>
      <c r="AA1425">
        <v>0.99903949999999997</v>
      </c>
      <c r="AB1425">
        <v>35</v>
      </c>
      <c r="AC1425">
        <v>-48.387900000000002</v>
      </c>
      <c r="AD1425">
        <v>-1.110272555838</v>
      </c>
      <c r="AE1425">
        <v>-1.80810000000002</v>
      </c>
      <c r="AF1425">
        <v>-2.1361696994150798</v>
      </c>
      <c r="AG1425">
        <v>-1.110272555838</v>
      </c>
      <c r="AH1425">
        <v>48.349057939765203</v>
      </c>
      <c r="AI1425">
        <v>91.314209415946806</v>
      </c>
      <c r="AJ1425">
        <v>92.529810635692698</v>
      </c>
      <c r="AK1425">
        <v>48.408959189345502</v>
      </c>
      <c r="AL1425">
        <v>80.106345359265802</v>
      </c>
      <c r="AM1425">
        <v>94.194573316487606</v>
      </c>
      <c r="AN1425">
        <v>0.99999999466040002</v>
      </c>
    </row>
    <row r="1426" spans="1:40" x14ac:dyDescent="0.25">
      <c r="A1426" t="str">
        <f>"20190304155350177"</f>
        <v>20190304155350177</v>
      </c>
      <c r="B1426" t="str">
        <f>"1551686030167662"</f>
        <v>1551686030167662</v>
      </c>
      <c r="C1426" t="s">
        <v>40</v>
      </c>
      <c r="D1426">
        <v>4.4534929999999999</v>
      </c>
      <c r="E1426">
        <v>0.50862659999999904</v>
      </c>
      <c r="F1426" t="s">
        <v>63</v>
      </c>
      <c r="G1426">
        <v>-356.10149999999999</v>
      </c>
      <c r="H1426" s="1">
        <v>1.7101050000000001E-6</v>
      </c>
      <c r="I1426">
        <v>283.88139999999999</v>
      </c>
      <c r="J1426">
        <v>-307.5575</v>
      </c>
      <c r="K1426">
        <v>1.110277</v>
      </c>
      <c r="L1426">
        <v>285.70260000000002</v>
      </c>
      <c r="M1426">
        <v>-0.99986980000000003</v>
      </c>
      <c r="N1426">
        <v>-1.462981E-2</v>
      </c>
      <c r="O1426">
        <v>6.8010730000000004E-3</v>
      </c>
      <c r="P1426">
        <v>-0.98539750000000004</v>
      </c>
      <c r="Q1426">
        <v>0.15714069999999999</v>
      </c>
      <c r="R1426">
        <v>-6.5562430000000005E-2</v>
      </c>
      <c r="S1426">
        <v>-3.0481259999999999</v>
      </c>
      <c r="T1426">
        <v>-6.922507E-2</v>
      </c>
      <c r="U1426">
        <v>-0.1134033</v>
      </c>
      <c r="V1426">
        <v>-7.2252120000000003E-2</v>
      </c>
      <c r="W1426">
        <v>0.1715382</v>
      </c>
      <c r="X1426">
        <v>0.98252450000000002</v>
      </c>
      <c r="Y1426">
        <v>-4.3955950000000001E-2</v>
      </c>
      <c r="Z1426">
        <v>-8.7555399999999996E-4</v>
      </c>
      <c r="AA1426">
        <v>0.99903310000000001</v>
      </c>
      <c r="AB1426">
        <v>35</v>
      </c>
      <c r="AC1426">
        <v>-48.543999999999897</v>
      </c>
      <c r="AD1426">
        <v>-1.1102752898949999</v>
      </c>
      <c r="AE1426">
        <v>-1.8212000000000299</v>
      </c>
      <c r="AF1426">
        <v>-2.1502212977167301</v>
      </c>
      <c r="AG1426">
        <v>-1.1102752898949999</v>
      </c>
      <c r="AH1426">
        <v>48.505151910150801</v>
      </c>
      <c r="AI1426">
        <v>91.309976339711497</v>
      </c>
      <c r="AJ1426">
        <v>92.538245840993497</v>
      </c>
      <c r="AK1426">
        <v>48.565480793206497</v>
      </c>
      <c r="AL1426">
        <v>80.122735274912003</v>
      </c>
      <c r="AM1426">
        <v>94.205801956511806</v>
      </c>
      <c r="AN1426">
        <v>1.0000000580019901</v>
      </c>
    </row>
    <row r="1427" spans="1:40" x14ac:dyDescent="0.25">
      <c r="A1427" t="str">
        <f>"20190304155350198"</f>
        <v>20190304155350198</v>
      </c>
      <c r="B1427" t="str">
        <f>"1551686030188155"</f>
        <v>1551686030188155</v>
      </c>
      <c r="C1427" t="s">
        <v>40</v>
      </c>
      <c r="D1427">
        <v>4.4768780000000001</v>
      </c>
      <c r="E1427">
        <v>0.50860430000000001</v>
      </c>
      <c r="F1427" t="s">
        <v>63</v>
      </c>
      <c r="G1427">
        <v>-355.81400000000002</v>
      </c>
      <c r="H1427" s="1">
        <v>1.557118E-6</v>
      </c>
      <c r="I1427">
        <v>283.90140000000002</v>
      </c>
      <c r="J1427">
        <v>-307.89420000000001</v>
      </c>
      <c r="K1427">
        <v>1.1102780000000001</v>
      </c>
      <c r="L1427">
        <v>285.70490000000001</v>
      </c>
      <c r="M1427">
        <v>-0.99986989999999998</v>
      </c>
      <c r="N1427">
        <v>-1.46292E-2</v>
      </c>
      <c r="O1427">
        <v>6.7983469999999997E-3</v>
      </c>
      <c r="P1427">
        <v>-0.98543579999999997</v>
      </c>
      <c r="Q1427">
        <v>0.15672410000000001</v>
      </c>
      <c r="R1427">
        <v>-6.5982940000000004E-2</v>
      </c>
      <c r="S1427">
        <v>-3.0480649999999998</v>
      </c>
      <c r="T1427">
        <v>-7.0129280000000002E-2</v>
      </c>
      <c r="U1427">
        <v>-0.1137695</v>
      </c>
      <c r="V1427">
        <v>-7.2671620000000006E-2</v>
      </c>
      <c r="W1427">
        <v>0.171121</v>
      </c>
      <c r="X1427">
        <v>0.98256619999999995</v>
      </c>
      <c r="Y1427">
        <v>-4.4073370000000001E-2</v>
      </c>
      <c r="Z1427">
        <v>-8.8627669999999999E-4</v>
      </c>
      <c r="AA1427">
        <v>0.99902789999999997</v>
      </c>
      <c r="AB1427">
        <v>35</v>
      </c>
      <c r="AC1427">
        <v>-47.919800000000002</v>
      </c>
      <c r="AD1427">
        <v>-1.110276442882</v>
      </c>
      <c r="AE1427">
        <v>-1.8034999999999799</v>
      </c>
      <c r="AF1427">
        <v>-2.1281277854370302</v>
      </c>
      <c r="AG1427">
        <v>-1.110276442882</v>
      </c>
      <c r="AH1427">
        <v>47.880763046218398</v>
      </c>
      <c r="AI1427">
        <v>91.327047532570006</v>
      </c>
      <c r="AJ1427">
        <v>92.544916489164606</v>
      </c>
      <c r="AK1427">
        <v>47.940891851725901</v>
      </c>
      <c r="AL1427">
        <v>80.1469967417502</v>
      </c>
      <c r="AM1427">
        <v>94.229953826593601</v>
      </c>
      <c r="AN1427">
        <v>0.99999994918843005</v>
      </c>
    </row>
    <row r="1428" spans="1:40" x14ac:dyDescent="0.25">
      <c r="A1428" t="str">
        <f>"20190304155350221"</f>
        <v>20190304155350221</v>
      </c>
      <c r="B1428" t="str">
        <f>"1551686030217435"</f>
        <v>1551686030217435</v>
      </c>
      <c r="C1428" t="s">
        <v>40</v>
      </c>
      <c r="D1428">
        <v>4.4516970000000002</v>
      </c>
      <c r="E1428">
        <v>0.50857629999999998</v>
      </c>
      <c r="F1428" t="s">
        <v>63</v>
      </c>
      <c r="G1428">
        <v>-355.43959999999998</v>
      </c>
      <c r="H1428" s="1">
        <v>1.3578740000000001E-6</v>
      </c>
      <c r="I1428">
        <v>283.90969999999999</v>
      </c>
      <c r="J1428">
        <v>-308.24540000000002</v>
      </c>
      <c r="K1428">
        <v>1.110284</v>
      </c>
      <c r="L1428">
        <v>285.7072</v>
      </c>
      <c r="M1428">
        <v>-0.99987000000000004</v>
      </c>
      <c r="N1428">
        <v>-1.462812E-2</v>
      </c>
      <c r="O1428">
        <v>6.7964660000000001E-3</v>
      </c>
      <c r="P1428">
        <v>-0.98546239999999996</v>
      </c>
      <c r="Q1428">
        <v>0.15643679999999999</v>
      </c>
      <c r="R1428">
        <v>-6.62692E-2</v>
      </c>
      <c r="S1428">
        <v>-3.0479430000000001</v>
      </c>
      <c r="T1428">
        <v>-7.1175459999999996E-2</v>
      </c>
      <c r="U1428">
        <v>-0.1150818</v>
      </c>
      <c r="V1428">
        <v>-7.295691E-2</v>
      </c>
      <c r="W1428">
        <v>0.1708325</v>
      </c>
      <c r="X1428">
        <v>0.98259529999999995</v>
      </c>
      <c r="Y1428">
        <v>-4.4501829999999999E-2</v>
      </c>
      <c r="Z1428">
        <v>-9.0429629999999996E-4</v>
      </c>
      <c r="AA1428">
        <v>0.99900889999999998</v>
      </c>
      <c r="AB1428">
        <v>35</v>
      </c>
      <c r="AC1428">
        <v>-47.194199999999903</v>
      </c>
      <c r="AD1428">
        <v>-1.1102826421259999</v>
      </c>
      <c r="AE1428">
        <v>-1.7975000000000101</v>
      </c>
      <c r="AF1428">
        <v>-2.1170765143859902</v>
      </c>
      <c r="AG1428">
        <v>-1.1102826421259999</v>
      </c>
      <c r="AH1428">
        <v>47.154831079907702</v>
      </c>
      <c r="AI1428">
        <v>91.347449991000403</v>
      </c>
      <c r="AJ1428">
        <v>92.570641112129806</v>
      </c>
      <c r="AK1428">
        <v>47.2153876896908</v>
      </c>
      <c r="AL1428">
        <v>80.163774005723099</v>
      </c>
      <c r="AM1428">
        <v>94.246373603998606</v>
      </c>
      <c r="AN1428">
        <v>0.99999998867754403</v>
      </c>
    </row>
    <row r="1429" spans="1:40" x14ac:dyDescent="0.25">
      <c r="A1429" t="str">
        <f>"20190304155350243"</f>
        <v>20190304155350243</v>
      </c>
      <c r="B1429" t="str">
        <f>"1551686030237931"</f>
        <v>1551686030237931</v>
      </c>
      <c r="C1429" t="s">
        <v>40</v>
      </c>
      <c r="D1429">
        <v>4.4465849999999998</v>
      </c>
      <c r="E1429">
        <v>0.50858340000000002</v>
      </c>
      <c r="F1429" t="s">
        <v>63</v>
      </c>
      <c r="G1429">
        <v>-355.38060000000002</v>
      </c>
      <c r="H1429" s="1">
        <v>1.3265290000000001E-6</v>
      </c>
      <c r="I1429">
        <v>283.9119</v>
      </c>
      <c r="J1429">
        <v>-308.58069999999998</v>
      </c>
      <c r="K1429">
        <v>1.1102860000000001</v>
      </c>
      <c r="L1429">
        <v>285.70949999999999</v>
      </c>
      <c r="M1429">
        <v>-0.99987009999999998</v>
      </c>
      <c r="N1429">
        <v>-1.4626699999999999E-2</v>
      </c>
      <c r="O1429">
        <v>6.7957900000000003E-3</v>
      </c>
      <c r="P1429">
        <v>-0.98556049999999995</v>
      </c>
      <c r="Q1429">
        <v>0.15571479999999999</v>
      </c>
      <c r="R1429">
        <v>-6.651108E-2</v>
      </c>
      <c r="S1429">
        <v>-3.047882</v>
      </c>
      <c r="T1429">
        <v>-7.1793560000000006E-2</v>
      </c>
      <c r="U1429">
        <v>-0.11608889999999999</v>
      </c>
      <c r="V1429">
        <v>-7.3199520000000004E-2</v>
      </c>
      <c r="W1429">
        <v>0.17011039999999999</v>
      </c>
      <c r="X1429">
        <v>0.98270259999999998</v>
      </c>
      <c r="Y1429">
        <v>-4.4831080000000002E-2</v>
      </c>
      <c r="Z1429">
        <v>-9.1645300000000002E-4</v>
      </c>
      <c r="AA1429">
        <v>0.99899420000000005</v>
      </c>
      <c r="AB1429">
        <v>35</v>
      </c>
      <c r="AC1429">
        <v>-46.799900000000001</v>
      </c>
      <c r="AD1429">
        <v>-1.1102846734709999</v>
      </c>
      <c r="AE1429">
        <v>-1.7975999999999801</v>
      </c>
      <c r="AF1429">
        <v>-2.1144464213574401</v>
      </c>
      <c r="AG1429">
        <v>-1.1102846734709999</v>
      </c>
      <c r="AH1429">
        <v>46.760322227607098</v>
      </c>
      <c r="AI1429">
        <v>91.358796737544196</v>
      </c>
      <c r="AJ1429">
        <v>92.589083621483496</v>
      </c>
      <c r="AK1429">
        <v>46.821270279164601</v>
      </c>
      <c r="AL1429">
        <v>80.205762577639902</v>
      </c>
      <c r="AM1429">
        <v>94.259979054072105</v>
      </c>
      <c r="AN1429">
        <v>1.0000000589815701</v>
      </c>
    </row>
    <row r="1430" spans="1:40" x14ac:dyDescent="0.25">
      <c r="A1430" t="str">
        <f>"20190304155350266"</f>
        <v>20190304155350266</v>
      </c>
      <c r="B1430" t="str">
        <f>"1551686030257451"</f>
        <v>1551686030257451</v>
      </c>
      <c r="C1430" t="s">
        <v>40</v>
      </c>
      <c r="D1430">
        <v>4.4576520000000004</v>
      </c>
      <c r="E1430">
        <v>0.50858689999999995</v>
      </c>
      <c r="F1430" t="s">
        <v>63</v>
      </c>
      <c r="G1430">
        <v>-354.46030000000002</v>
      </c>
      <c r="H1430" s="1">
        <v>8.3677069999999999E-7</v>
      </c>
      <c r="I1430">
        <v>283.95370000000003</v>
      </c>
      <c r="J1430">
        <v>-308.93</v>
      </c>
      <c r="K1430">
        <v>1.110287</v>
      </c>
      <c r="L1430">
        <v>285.71190000000001</v>
      </c>
      <c r="M1430">
        <v>-0.99987009999999998</v>
      </c>
      <c r="N1430">
        <v>-1.462489E-2</v>
      </c>
      <c r="O1430">
        <v>6.7955999999999997E-3</v>
      </c>
      <c r="P1430">
        <v>-0.98562399999999994</v>
      </c>
      <c r="Q1430">
        <v>0.1551922</v>
      </c>
      <c r="R1430">
        <v>-6.6790450000000001E-2</v>
      </c>
      <c r="S1430">
        <v>-3.0477289999999999</v>
      </c>
      <c r="T1430">
        <v>-7.3754910000000007E-2</v>
      </c>
      <c r="U1430">
        <v>-0.1166382</v>
      </c>
      <c r="V1430">
        <v>-7.3479900000000001E-2</v>
      </c>
      <c r="W1430">
        <v>0.16958689999999901</v>
      </c>
      <c r="X1430">
        <v>0.98277210000000004</v>
      </c>
      <c r="Y1430">
        <v>-4.5011559999999999E-2</v>
      </c>
      <c r="Z1430">
        <v>-9.3874750000000004E-4</v>
      </c>
      <c r="AA1430">
        <v>0.99898600000000004</v>
      </c>
      <c r="AB1430">
        <v>35</v>
      </c>
      <c r="AC1430">
        <v>-45.530299999999997</v>
      </c>
      <c r="AD1430">
        <v>-1.1102861632293</v>
      </c>
      <c r="AE1430">
        <v>-1.75819999999998</v>
      </c>
      <c r="AF1430">
        <v>-2.0663711918723999</v>
      </c>
      <c r="AG1430">
        <v>-1.1102861632293</v>
      </c>
      <c r="AH1430">
        <v>45.4902881817967</v>
      </c>
      <c r="AI1430">
        <v>91.396706770707596</v>
      </c>
      <c r="AJ1430">
        <v>92.600841250665596</v>
      </c>
      <c r="AK1430">
        <v>45.550729347945399</v>
      </c>
      <c r="AL1430">
        <v>80.236198637424096</v>
      </c>
      <c r="AM1430">
        <v>94.275934578731395</v>
      </c>
      <c r="AN1430">
        <v>1.00000000644701</v>
      </c>
    </row>
    <row r="1431" spans="1:40" x14ac:dyDescent="0.25">
      <c r="A1431" t="str">
        <f>"20190304155350287"</f>
        <v>20190304155350287</v>
      </c>
      <c r="B1431" t="str">
        <f>"1551686030277946"</f>
        <v>1551686030277946</v>
      </c>
      <c r="C1431" t="s">
        <v>40</v>
      </c>
      <c r="D1431">
        <v>4.4607049999999999</v>
      </c>
      <c r="E1431">
        <v>0.50856979999999996</v>
      </c>
      <c r="F1431" t="s">
        <v>63</v>
      </c>
      <c r="G1431">
        <v>-353.80110000000002</v>
      </c>
      <c r="H1431" s="1">
        <v>4.8595509999999995E-7</v>
      </c>
      <c r="I1431">
        <v>283.98250000000002</v>
      </c>
      <c r="J1431">
        <v>-309.27510000000001</v>
      </c>
      <c r="K1431">
        <v>1.1102890000000001</v>
      </c>
      <c r="L1431">
        <v>285.71429999999998</v>
      </c>
      <c r="M1431">
        <v>-0.99987009999999998</v>
      </c>
      <c r="N1431">
        <v>-1.462284E-2</v>
      </c>
      <c r="O1431">
        <v>6.7955999999999997E-3</v>
      </c>
      <c r="P1431">
        <v>-0.98572300000000002</v>
      </c>
      <c r="Q1431">
        <v>0.1544479</v>
      </c>
      <c r="R1431">
        <v>-6.7054849999999999E-2</v>
      </c>
      <c r="S1431">
        <v>-3.0476679999999998</v>
      </c>
      <c r="T1431">
        <v>-7.5411199999999998E-2</v>
      </c>
      <c r="U1431">
        <v>-0.1174622</v>
      </c>
      <c r="V1431">
        <v>-7.37458E-2</v>
      </c>
      <c r="W1431">
        <v>0.16884199999999999</v>
      </c>
      <c r="X1431">
        <v>0.98288039999999999</v>
      </c>
      <c r="Y1431">
        <v>-4.528107E-2</v>
      </c>
      <c r="Z1431">
        <v>-9.5994709999999998E-4</v>
      </c>
      <c r="AA1431">
        <v>0.99897380000000002</v>
      </c>
      <c r="AB1431">
        <v>35</v>
      </c>
      <c r="AC1431">
        <v>-44.526000000000003</v>
      </c>
      <c r="AD1431">
        <v>-1.1102885140448999</v>
      </c>
      <c r="AE1431">
        <v>-1.73179999999996</v>
      </c>
      <c r="AF1431">
        <v>-2.0331109501329601</v>
      </c>
      <c r="AG1431">
        <v>-1.1102885140448999</v>
      </c>
      <c r="AH1431">
        <v>44.485582834032002</v>
      </c>
      <c r="AI1431">
        <v>91.428223383951902</v>
      </c>
      <c r="AJ1431">
        <v>92.616750553694402</v>
      </c>
      <c r="AK1431">
        <v>44.545856830950001</v>
      </c>
      <c r="AL1431">
        <v>80.279502407081495</v>
      </c>
      <c r="AM1431">
        <v>94.290879022662395</v>
      </c>
      <c r="AN1431">
        <v>0.99999997234289895</v>
      </c>
    </row>
    <row r="1432" spans="1:40" x14ac:dyDescent="0.25">
      <c r="A1432" t="str">
        <f>"20190304155350310"</f>
        <v>20190304155350310</v>
      </c>
      <c r="B1432" t="str">
        <f>"1551686030308203"</f>
        <v>1551686030308203</v>
      </c>
      <c r="C1432" t="s">
        <v>40</v>
      </c>
      <c r="D1432">
        <v>4.4661770000000001</v>
      </c>
      <c r="E1432">
        <v>0.50852810000000004</v>
      </c>
      <c r="F1432" t="s">
        <v>63</v>
      </c>
      <c r="G1432">
        <v>-353.02969999999999</v>
      </c>
      <c r="H1432" s="1">
        <v>7.5474649999999994E-8</v>
      </c>
      <c r="I1432">
        <v>284.01510000000002</v>
      </c>
      <c r="J1432">
        <v>-309.61680000000001</v>
      </c>
      <c r="K1432">
        <v>1.1102939999999999</v>
      </c>
      <c r="L1432">
        <v>285.71660000000003</v>
      </c>
      <c r="M1432">
        <v>-0.99986989999999998</v>
      </c>
      <c r="N1432">
        <v>-1.462055E-2</v>
      </c>
      <c r="O1432">
        <v>6.7956070000000004E-3</v>
      </c>
      <c r="P1432">
        <v>-0.98573339999999998</v>
      </c>
      <c r="Q1432">
        <v>0.154424799999999</v>
      </c>
      <c r="R1432">
        <v>-6.6950540000000003E-2</v>
      </c>
      <c r="S1432">
        <v>-3.0475159999999999</v>
      </c>
      <c r="T1432">
        <v>-7.7331899999999995E-2</v>
      </c>
      <c r="U1432">
        <v>-0.1183472</v>
      </c>
      <c r="V1432">
        <v>-7.3641609999999996E-2</v>
      </c>
      <c r="W1432">
        <v>0.1688161</v>
      </c>
      <c r="X1432">
        <v>0.98289269999999995</v>
      </c>
      <c r="Y1432">
        <v>-4.5571559999999997E-2</v>
      </c>
      <c r="Z1432">
        <v>-9.8429500000000005E-4</v>
      </c>
      <c r="AA1432">
        <v>0.99896059999999998</v>
      </c>
      <c r="AB1432">
        <v>35</v>
      </c>
      <c r="AC1432">
        <v>-43.412899999999901</v>
      </c>
      <c r="AD1432">
        <v>-1.11029392452535</v>
      </c>
      <c r="AE1432">
        <v>-1.70150000000001</v>
      </c>
      <c r="AF1432">
        <v>-1.9952062374214601</v>
      </c>
      <c r="AG1432">
        <v>-1.11029392452535</v>
      </c>
      <c r="AH1432">
        <v>43.3720076629942</v>
      </c>
      <c r="AI1432">
        <v>91.464864275712301</v>
      </c>
      <c r="AJ1432">
        <v>92.633872996565003</v>
      </c>
      <c r="AK1432">
        <v>43.432069364094502</v>
      </c>
      <c r="AL1432">
        <v>80.281008359413306</v>
      </c>
      <c r="AM1432">
        <v>94.284785928814898</v>
      </c>
      <c r="AN1432">
        <v>1.0000000110279399</v>
      </c>
    </row>
    <row r="1433" spans="1:40" x14ac:dyDescent="0.25">
      <c r="A1433" t="str">
        <f>"20190304155350333"</f>
        <v>20190304155350333</v>
      </c>
      <c r="B1433" t="str">
        <f>"1551686030327725"</f>
        <v>1551686030327725</v>
      </c>
      <c r="C1433" t="s">
        <v>40</v>
      </c>
      <c r="D1433">
        <v>4.4734309999999997</v>
      </c>
      <c r="E1433">
        <v>0.50851849999999998</v>
      </c>
      <c r="F1433" t="s">
        <v>63</v>
      </c>
      <c r="G1433">
        <v>-353.47070000000002</v>
      </c>
      <c r="H1433" s="1">
        <v>3.1013380000000001E-7</v>
      </c>
      <c r="I1433">
        <v>284.01350000000002</v>
      </c>
      <c r="J1433">
        <v>-309.9769</v>
      </c>
      <c r="K1433">
        <v>1.1102879999999999</v>
      </c>
      <c r="L1433">
        <v>285.71910000000003</v>
      </c>
      <c r="M1433">
        <v>-0.99987009999999998</v>
      </c>
      <c r="N1433">
        <v>-1.46179E-2</v>
      </c>
      <c r="O1433">
        <v>6.7954410000000002E-3</v>
      </c>
      <c r="P1433">
        <v>-0.98582519999999996</v>
      </c>
      <c r="Q1433">
        <v>0.15392400000000001</v>
      </c>
      <c r="R1433">
        <v>-6.6755090000000003E-2</v>
      </c>
      <c r="S1433">
        <v>-3.0474549999999998</v>
      </c>
      <c r="T1433">
        <v>-7.7155589999999996E-2</v>
      </c>
      <c r="U1433">
        <v>-0.1183472</v>
      </c>
      <c r="V1433">
        <v>-7.3446479999999995E-2</v>
      </c>
      <c r="W1433">
        <v>0.1683142</v>
      </c>
      <c r="X1433">
        <v>0.98299340000000002</v>
      </c>
      <c r="Y1433">
        <v>-4.5572250000000002E-2</v>
      </c>
      <c r="Z1433">
        <v>-9.8256930000000008E-4</v>
      </c>
      <c r="AA1433">
        <v>0.99896059999999998</v>
      </c>
      <c r="AB1433">
        <v>34</v>
      </c>
      <c r="AC1433">
        <v>-43.4938</v>
      </c>
      <c r="AD1433">
        <v>-1.1102876898662</v>
      </c>
      <c r="AE1433">
        <v>-1.7056</v>
      </c>
      <c r="AF1433">
        <v>-1.99985052642438</v>
      </c>
      <c r="AG1433">
        <v>-1.1102876898662</v>
      </c>
      <c r="AH1433">
        <v>43.4529312513055</v>
      </c>
      <c r="AI1433">
        <v>91.462127773939798</v>
      </c>
      <c r="AJ1433">
        <v>92.635085662203807</v>
      </c>
      <c r="AK1433">
        <v>43.513094296004603</v>
      </c>
      <c r="AL1433">
        <v>80.310182861652606</v>
      </c>
      <c r="AM1433">
        <v>94.273038378605193</v>
      </c>
      <c r="AN1433">
        <v>1.0000000398947899</v>
      </c>
    </row>
    <row r="1434" spans="1:40" x14ac:dyDescent="0.25">
      <c r="A1434" t="str">
        <f>"20190304155350367"</f>
        <v>20190304155350367</v>
      </c>
      <c r="B1434" t="str">
        <f>"1551686030358154"</f>
        <v>1551686030358154</v>
      </c>
      <c r="C1434" t="s">
        <v>40</v>
      </c>
      <c r="D1434">
        <v>4.462186</v>
      </c>
      <c r="E1434">
        <v>0.50847169999999997</v>
      </c>
      <c r="F1434" t="s">
        <v>63</v>
      </c>
      <c r="G1434">
        <v>-353.13330000000002</v>
      </c>
      <c r="H1434" s="1">
        <v>1.30616699999999E-7</v>
      </c>
      <c r="I1434">
        <v>284.05560000000003</v>
      </c>
      <c r="J1434">
        <v>-310.48989999999998</v>
      </c>
      <c r="K1434">
        <v>1.1102909999999999</v>
      </c>
      <c r="L1434">
        <v>285.72250000000003</v>
      </c>
      <c r="M1434">
        <v>-0.99987020000000004</v>
      </c>
      <c r="N1434">
        <v>-1.4613360000000001E-2</v>
      </c>
      <c r="O1434">
        <v>6.79511E-3</v>
      </c>
      <c r="P1434">
        <v>-0.98580029999999996</v>
      </c>
      <c r="Q1434">
        <v>0.15393679999999901</v>
      </c>
      <c r="R1434">
        <v>-6.7092639999999995E-2</v>
      </c>
      <c r="S1434">
        <v>-3.0474549999999998</v>
      </c>
      <c r="T1434">
        <v>-7.8402040000000006E-2</v>
      </c>
      <c r="U1434">
        <v>-0.1174622</v>
      </c>
      <c r="V1434">
        <v>-7.3783870000000001E-2</v>
      </c>
      <c r="W1434">
        <v>0.16832220000000001</v>
      </c>
      <c r="X1434">
        <v>0.98296669999999997</v>
      </c>
      <c r="Y1434">
        <v>-4.5281759999999997E-2</v>
      </c>
      <c r="Z1434">
        <v>-9.887276E-4</v>
      </c>
      <c r="AA1434">
        <v>0.99897380000000002</v>
      </c>
      <c r="AB1434">
        <v>34</v>
      </c>
      <c r="AC1434">
        <v>-42.6434</v>
      </c>
      <c r="AD1434">
        <v>-1.1102908693833</v>
      </c>
      <c r="AE1434">
        <v>-1.6668999999999901</v>
      </c>
      <c r="AF1434">
        <v>-1.9553355135960999</v>
      </c>
      <c r="AG1434">
        <v>-1.1102908693833</v>
      </c>
      <c r="AH1434">
        <v>42.602251015029701</v>
      </c>
      <c r="AI1434">
        <v>91.491323310394804</v>
      </c>
      <c r="AJ1434">
        <v>92.627887041355194</v>
      </c>
      <c r="AK1434">
        <v>42.661550303909003</v>
      </c>
      <c r="AL1434">
        <v>80.309717254568895</v>
      </c>
      <c r="AM1434">
        <v>94.292710331348999</v>
      </c>
      <c r="AN1434">
        <v>0.99999997789695305</v>
      </c>
    </row>
    <row r="1435" spans="1:40" x14ac:dyDescent="0.25">
      <c r="A1435" t="str">
        <f>"20190304155350388"</f>
        <v>20190304155350388</v>
      </c>
      <c r="B1435" t="str">
        <f>"1551686030377678"</f>
        <v>1551686030377678</v>
      </c>
      <c r="C1435" t="s">
        <v>40</v>
      </c>
      <c r="D1435">
        <v>4.4797640000000003</v>
      </c>
      <c r="E1435">
        <v>0.50842770000000004</v>
      </c>
      <c r="F1435" t="s">
        <v>63</v>
      </c>
      <c r="G1435">
        <v>-353.82859999999999</v>
      </c>
      <c r="H1435" s="1">
        <v>5.0061130000000004E-7</v>
      </c>
      <c r="I1435">
        <v>284.03730000000002</v>
      </c>
      <c r="J1435">
        <v>-310.8184</v>
      </c>
      <c r="K1435">
        <v>1.11029</v>
      </c>
      <c r="L1435">
        <v>285.72469999999998</v>
      </c>
      <c r="M1435">
        <v>-0.99987020000000004</v>
      </c>
      <c r="N1435">
        <v>-1.460845E-2</v>
      </c>
      <c r="O1435">
        <v>6.795143E-3</v>
      </c>
      <c r="P1435">
        <v>-0.98591300000000004</v>
      </c>
      <c r="Q1435">
        <v>0.1532568</v>
      </c>
      <c r="R1435">
        <v>-6.6992499999999996E-2</v>
      </c>
      <c r="S1435">
        <v>-3.0473330000000001</v>
      </c>
      <c r="T1435">
        <v>-7.8069330000000006E-2</v>
      </c>
      <c r="U1435">
        <v>-0.1184998</v>
      </c>
      <c r="V1435">
        <v>-7.3684280000000005E-2</v>
      </c>
      <c r="W1435">
        <v>0.16763919999999999</v>
      </c>
      <c r="X1435">
        <v>0.98309089999999999</v>
      </c>
      <c r="Y1435">
        <v>-4.5622959999999997E-2</v>
      </c>
      <c r="Z1435">
        <v>-9.9232849999999996E-4</v>
      </c>
      <c r="AA1435">
        <v>0.99895820000000002</v>
      </c>
      <c r="AB1435">
        <v>34</v>
      </c>
      <c r="AC1435">
        <v>-43.010199999999998</v>
      </c>
      <c r="AD1435">
        <v>-1.1102894993887</v>
      </c>
      <c r="AE1435">
        <v>-1.68739999999996</v>
      </c>
      <c r="AF1435">
        <v>-1.9783363634975299</v>
      </c>
      <c r="AG1435">
        <v>-1.1102894993887</v>
      </c>
      <c r="AH1435">
        <v>42.969149176912197</v>
      </c>
      <c r="AI1435">
        <v>91.478583567768098</v>
      </c>
      <c r="AJ1435">
        <v>92.636085101215201</v>
      </c>
      <c r="AK1435">
        <v>43.0289941612318</v>
      </c>
      <c r="AL1435">
        <v>80.349414535427599</v>
      </c>
      <c r="AM1435">
        <v>94.286398270482294</v>
      </c>
      <c r="AN1435">
        <v>0.99999999607928403</v>
      </c>
    </row>
    <row r="1436" spans="1:40" x14ac:dyDescent="0.25">
      <c r="A1436" t="str">
        <f>"20190304155350410"</f>
        <v>20190304155350410</v>
      </c>
      <c r="B1436" t="str">
        <f>"1551686030407931"</f>
        <v>1551686030407931</v>
      </c>
      <c r="C1436" t="s">
        <v>40</v>
      </c>
      <c r="D1436">
        <v>4.6145969999999998</v>
      </c>
      <c r="E1436">
        <v>0.50836510000000001</v>
      </c>
      <c r="F1436" t="s">
        <v>63</v>
      </c>
      <c r="G1436">
        <v>-353.09899999999999</v>
      </c>
      <c r="H1436" s="1">
        <v>1.1233549999999999E-7</v>
      </c>
      <c r="I1436">
        <v>284.08179999999999</v>
      </c>
      <c r="J1436">
        <v>-311.16079999999999</v>
      </c>
      <c r="K1436">
        <v>1.11029</v>
      </c>
      <c r="L1436">
        <v>285.72710000000001</v>
      </c>
      <c r="M1436">
        <v>-0.99987029999999999</v>
      </c>
      <c r="N1436">
        <v>-1.460207E-2</v>
      </c>
      <c r="O1436">
        <v>6.7951869999999899E-3</v>
      </c>
      <c r="P1436">
        <v>-0.98593240000000004</v>
      </c>
      <c r="Q1436">
        <v>0.15292979999999901</v>
      </c>
      <c r="R1436">
        <v>-6.7453669999999993E-2</v>
      </c>
      <c r="S1436">
        <v>-3.047272</v>
      </c>
      <c r="T1436">
        <v>-8.0021499999999995E-2</v>
      </c>
      <c r="U1436">
        <v>-0.11840820000000001</v>
      </c>
      <c r="V1436">
        <v>-7.4146050000000005E-2</v>
      </c>
      <c r="W1436">
        <v>0.16730629999999999</v>
      </c>
      <c r="X1436">
        <v>0.98311289999999996</v>
      </c>
      <c r="Y1436">
        <v>-4.5592809999999998E-2</v>
      </c>
      <c r="Z1436">
        <v>-1.010581E-3</v>
      </c>
      <c r="AA1436">
        <v>0.99895959999999995</v>
      </c>
      <c r="AB1436">
        <v>34</v>
      </c>
      <c r="AC1436">
        <v>-41.938200000000002</v>
      </c>
      <c r="AD1436">
        <v>-1.1102898876645</v>
      </c>
      <c r="AE1436">
        <v>-1.64530000000002</v>
      </c>
      <c r="AF1436">
        <v>-1.9289204083702201</v>
      </c>
      <c r="AG1436">
        <v>-1.1102898876645</v>
      </c>
      <c r="AH1436">
        <v>41.896730132501197</v>
      </c>
      <c r="AI1436">
        <v>91.516413610556697</v>
      </c>
      <c r="AJ1436">
        <v>92.636029333923503</v>
      </c>
      <c r="AK1436">
        <v>41.955803810344499</v>
      </c>
      <c r="AL1436">
        <v>80.3687616254809</v>
      </c>
      <c r="AM1436">
        <v>94.313063372044098</v>
      </c>
      <c r="AN1436">
        <v>1.0000000044483499</v>
      </c>
    </row>
    <row r="1437" spans="1:40" x14ac:dyDescent="0.25">
      <c r="A1437" t="str">
        <f>"20190304155350432"</f>
        <v>20190304155350432</v>
      </c>
      <c r="B1437" t="str">
        <f>"1551686030427451"</f>
        <v>1551686030427451</v>
      </c>
      <c r="C1437" t="s">
        <v>40</v>
      </c>
      <c r="D1437">
        <v>5.2597069999999997</v>
      </c>
      <c r="E1437">
        <v>0.50837390000000005</v>
      </c>
      <c r="F1437" t="s">
        <v>63</v>
      </c>
      <c r="G1437">
        <v>-352.9085</v>
      </c>
      <c r="H1437" s="1">
        <v>1.097695E-8</v>
      </c>
      <c r="I1437">
        <v>284.08390000000003</v>
      </c>
      <c r="J1437">
        <v>-311.48919999999998</v>
      </c>
      <c r="K1437">
        <v>1.1102879999999999</v>
      </c>
      <c r="L1437">
        <v>285.72930000000002</v>
      </c>
      <c r="M1437">
        <v>-0.99987060000000005</v>
      </c>
      <c r="N1437">
        <v>-1.4593399999999999E-2</v>
      </c>
      <c r="O1437">
        <v>6.7949500000000001E-3</v>
      </c>
      <c r="P1437">
        <v>-0.98585489999999998</v>
      </c>
      <c r="Q1437">
        <v>0.1532684</v>
      </c>
      <c r="R1437">
        <v>-6.7819039999999997E-2</v>
      </c>
      <c r="S1437">
        <v>-3.0471499999999998</v>
      </c>
      <c r="T1437">
        <v>-8.1039550000000002E-2</v>
      </c>
      <c r="U1437">
        <v>-0.1199341</v>
      </c>
      <c r="V1437">
        <v>-7.4510759999999995E-2</v>
      </c>
      <c r="W1437">
        <v>0.1676349</v>
      </c>
      <c r="X1437">
        <v>0.98302940000000005</v>
      </c>
      <c r="Y1437">
        <v>-4.6092790000000002E-2</v>
      </c>
      <c r="Z1437">
        <v>-1.030642E-3</v>
      </c>
      <c r="AA1437">
        <v>0.99893670000000001</v>
      </c>
      <c r="AB1437">
        <v>34</v>
      </c>
      <c r="AC1437">
        <v>-41.4193</v>
      </c>
      <c r="AD1437">
        <v>-1.1102879890230499</v>
      </c>
      <c r="AE1437">
        <v>-1.64539999999999</v>
      </c>
      <c r="AF1437">
        <v>-1.9254526206154501</v>
      </c>
      <c r="AG1437">
        <v>-1.1102879890230499</v>
      </c>
      <c r="AH1437">
        <v>41.377476454035502</v>
      </c>
      <c r="AI1437">
        <v>91.535396677303694</v>
      </c>
      <c r="AJ1437">
        <v>92.664270333620607</v>
      </c>
      <c r="AK1437">
        <v>41.437129062195702</v>
      </c>
      <c r="AL1437">
        <v>80.349665038866704</v>
      </c>
      <c r="AM1437">
        <v>94.334564598309598</v>
      </c>
      <c r="AN1437">
        <v>1.0000000571590699</v>
      </c>
    </row>
    <row r="1438" spans="1:40" x14ac:dyDescent="0.25">
      <c r="A1438" t="str">
        <f>"20190304155350455"</f>
        <v>20190304155350455</v>
      </c>
      <c r="B1438" t="str">
        <f>"1551686030447947"</f>
        <v>1551686030447947</v>
      </c>
      <c r="C1438" t="s">
        <v>40</v>
      </c>
      <c r="D1438">
        <v>4.4803959999999998</v>
      </c>
      <c r="E1438">
        <v>0.50982559999999999</v>
      </c>
      <c r="F1438" t="s">
        <v>63</v>
      </c>
      <c r="G1438">
        <v>-353.91129999999998</v>
      </c>
      <c r="H1438" s="1">
        <v>5.4461249999999997E-7</v>
      </c>
      <c r="I1438">
        <v>284.04509999999999</v>
      </c>
      <c r="J1438">
        <v>-311.84449999999998</v>
      </c>
      <c r="K1438">
        <v>1.1102890000000001</v>
      </c>
      <c r="L1438">
        <v>285.73169999999999</v>
      </c>
      <c r="M1438">
        <v>-0.9998707</v>
      </c>
      <c r="N1438">
        <v>-1.457928E-2</v>
      </c>
      <c r="O1438">
        <v>6.7950519999999898E-3</v>
      </c>
      <c r="P1438">
        <v>-0.98590650000000002</v>
      </c>
      <c r="Q1438">
        <v>0.15288209999999999</v>
      </c>
      <c r="R1438">
        <v>-6.7937479999999995E-2</v>
      </c>
      <c r="S1438">
        <v>-3.0471189999999999</v>
      </c>
      <c r="T1438">
        <v>-7.9750420000000002E-2</v>
      </c>
      <c r="U1438">
        <v>-0.1209717</v>
      </c>
      <c r="V1438">
        <v>-7.4629329999999994E-2</v>
      </c>
      <c r="W1438">
        <v>0.16723540000000001</v>
      </c>
      <c r="X1438">
        <v>0.98308839999999997</v>
      </c>
      <c r="Y1438">
        <v>-4.6433420000000003E-2</v>
      </c>
      <c r="Z1438">
        <v>-1.0247430000000001E-3</v>
      </c>
      <c r="AA1438">
        <v>0.9989209</v>
      </c>
      <c r="AB1438">
        <v>34</v>
      </c>
      <c r="AC1438">
        <v>-42.066800000000001</v>
      </c>
      <c r="AD1438">
        <v>-1.1102884553875001</v>
      </c>
      <c r="AE1438">
        <v>-1.6865999999999901</v>
      </c>
      <c r="AF1438">
        <v>-1.97106663994622</v>
      </c>
      <c r="AG1438">
        <v>-1.1102884553875001</v>
      </c>
      <c r="AH1438">
        <v>42.025138511497701</v>
      </c>
      <c r="AI1438">
        <v>91.511719978927999</v>
      </c>
      <c r="AJ1438">
        <v>92.685323640365496</v>
      </c>
      <c r="AK1438">
        <v>42.085984734396298</v>
      </c>
      <c r="AL1438">
        <v>80.372881992364498</v>
      </c>
      <c r="AM1438">
        <v>94.341176345182802</v>
      </c>
      <c r="AN1438">
        <v>1.0000000090619801</v>
      </c>
    </row>
    <row r="1439" spans="1:40" x14ac:dyDescent="0.25">
      <c r="A1439" t="str">
        <f>"20190304155350479"</f>
        <v>20190304155350479</v>
      </c>
      <c r="B1439" t="str">
        <f>"1551686030467467"</f>
        <v>1551686030467467</v>
      </c>
      <c r="C1439" t="s">
        <v>40</v>
      </c>
      <c r="D1439">
        <v>4.4667839999999996</v>
      </c>
      <c r="E1439">
        <v>0.51180340000000002</v>
      </c>
      <c r="F1439" t="s">
        <v>63</v>
      </c>
      <c r="G1439">
        <v>-354.07499999999999</v>
      </c>
      <c r="H1439" s="1">
        <v>6.3173710000000003E-7</v>
      </c>
      <c r="I1439">
        <v>284.2124</v>
      </c>
      <c r="J1439">
        <v>-312.2029</v>
      </c>
      <c r="K1439">
        <v>1.110284</v>
      </c>
      <c r="L1439">
        <v>285.73410000000001</v>
      </c>
      <c r="M1439">
        <v>-0.99987099999999995</v>
      </c>
      <c r="N1439">
        <v>-1.456271E-2</v>
      </c>
      <c r="O1439">
        <v>6.7943329999999996E-3</v>
      </c>
      <c r="P1439">
        <v>-0.98596340000000005</v>
      </c>
      <c r="Q1439">
        <v>0.1525774</v>
      </c>
      <c r="R1439">
        <v>-6.7798899999999995E-2</v>
      </c>
      <c r="S1439">
        <v>-3.0477599999999998</v>
      </c>
      <c r="T1439">
        <v>-8.0129030000000004E-2</v>
      </c>
      <c r="U1439">
        <v>-0.1096497</v>
      </c>
      <c r="V1439">
        <v>-7.4490929999999997E-2</v>
      </c>
      <c r="W1439">
        <v>0.1669157</v>
      </c>
      <c r="X1439">
        <v>0.98315319999999995</v>
      </c>
      <c r="Y1439">
        <v>-4.2720319999999999E-2</v>
      </c>
      <c r="Z1439">
        <v>-9.522059E-4</v>
      </c>
      <c r="AA1439">
        <v>0.99908660000000005</v>
      </c>
      <c r="AB1439">
        <v>34</v>
      </c>
      <c r="AC1439">
        <v>-41.872099999999897</v>
      </c>
      <c r="AD1439">
        <v>-1.1102833682628901</v>
      </c>
      <c r="AE1439">
        <v>-1.5217000000000001</v>
      </c>
      <c r="AF1439">
        <v>-1.80492062633721</v>
      </c>
      <c r="AG1439">
        <v>-1.1102833682628901</v>
      </c>
      <c r="AH1439">
        <v>41.831420330421501</v>
      </c>
      <c r="AI1439">
        <v>91.518966534170005</v>
      </c>
      <c r="AJ1439">
        <v>92.470636410125394</v>
      </c>
      <c r="AK1439">
        <v>41.885059322933103</v>
      </c>
      <c r="AL1439">
        <v>80.391460330621797</v>
      </c>
      <c r="AM1439">
        <v>94.332871817646605</v>
      </c>
      <c r="AN1439">
        <v>0.99999998211449703</v>
      </c>
    </row>
    <row r="1440" spans="1:40" x14ac:dyDescent="0.25">
      <c r="A1440" t="str">
        <f>"20190304155350501"</f>
        <v>20190304155350501</v>
      </c>
      <c r="B1440" t="str">
        <f>"1551686030497724"</f>
        <v>1551686030497724</v>
      </c>
      <c r="C1440" t="s">
        <v>40</v>
      </c>
      <c r="D1440">
        <v>4.4077960000000003</v>
      </c>
      <c r="E1440">
        <v>0.51470499999999997</v>
      </c>
      <c r="F1440" t="s">
        <v>63</v>
      </c>
      <c r="G1440">
        <v>-355.33330000000001</v>
      </c>
      <c r="H1440" s="1">
        <v>1.3013360000000001E-6</v>
      </c>
      <c r="I1440">
        <v>284.41070000000002</v>
      </c>
      <c r="J1440">
        <v>-312.53609999999998</v>
      </c>
      <c r="K1440">
        <v>1.110279</v>
      </c>
      <c r="L1440">
        <v>285.7364</v>
      </c>
      <c r="M1440">
        <v>-0.99987130000000002</v>
      </c>
      <c r="N1440">
        <v>-1.4543459999999999E-2</v>
      </c>
      <c r="O1440">
        <v>6.7888890000000002E-3</v>
      </c>
      <c r="P1440">
        <v>-0.98605779999999998</v>
      </c>
      <c r="Q1440">
        <v>0.152174</v>
      </c>
      <c r="R1440">
        <v>-6.7332230000000007E-2</v>
      </c>
      <c r="S1440">
        <v>-3.0484309999999999</v>
      </c>
      <c r="T1440">
        <v>-7.8474160000000001E-2</v>
      </c>
      <c r="U1440">
        <v>-9.3536380000000002E-2</v>
      </c>
      <c r="V1440">
        <v>-7.4020420000000003E-2</v>
      </c>
      <c r="W1440">
        <v>0.16649439999999999</v>
      </c>
      <c r="X1440">
        <v>0.98326020000000003</v>
      </c>
      <c r="Y1440">
        <v>-3.7434889999999998E-2</v>
      </c>
      <c r="Z1440">
        <v>-8.2999509999999996E-4</v>
      </c>
      <c r="AA1440">
        <v>0.99929880000000004</v>
      </c>
      <c r="AB1440">
        <v>34</v>
      </c>
      <c r="AC1440">
        <v>-42.797199999999997</v>
      </c>
      <c r="AD1440">
        <v>-1.1102776986639999</v>
      </c>
      <c r="AE1440">
        <v>-1.3256999999999799</v>
      </c>
      <c r="AF1440">
        <v>-1.61515957954695</v>
      </c>
      <c r="AG1440">
        <v>-1.1102776986639999</v>
      </c>
      <c r="AH1440">
        <v>42.758462543311602</v>
      </c>
      <c r="AI1440">
        <v>91.486363755075303</v>
      </c>
      <c r="AJ1440">
        <v>92.163264158825498</v>
      </c>
      <c r="AK1440">
        <v>42.803359402076502</v>
      </c>
      <c r="AL1440">
        <v>80.415941926389394</v>
      </c>
      <c r="AM1440">
        <v>94.305140387965494</v>
      </c>
      <c r="AN1440">
        <v>1.00000001435618</v>
      </c>
    </row>
    <row r="1441" spans="1:40" x14ac:dyDescent="0.25">
      <c r="A1441" t="str">
        <f>"20190304155350525"</f>
        <v>20190304155350525</v>
      </c>
      <c r="B1441" t="str">
        <f>"1551686030518219"</f>
        <v>1551686030518219</v>
      </c>
      <c r="C1441" t="s">
        <v>40</v>
      </c>
      <c r="D1441">
        <v>4.4950130000000001</v>
      </c>
      <c r="E1441">
        <v>0.51651099999999905</v>
      </c>
      <c r="F1441" t="s">
        <v>63</v>
      </c>
      <c r="G1441">
        <v>-357.26310000000001</v>
      </c>
      <c r="H1441" s="1">
        <v>2.3282859999999998E-6</v>
      </c>
      <c r="I1441">
        <v>284.7253</v>
      </c>
      <c r="J1441">
        <v>-312.89389999999997</v>
      </c>
      <c r="K1441">
        <v>1.1102829999999999</v>
      </c>
      <c r="L1441">
        <v>285.73880000000003</v>
      </c>
      <c r="M1441">
        <v>-0.99987199999999998</v>
      </c>
      <c r="N1441">
        <v>-1.4512850000000001E-2</v>
      </c>
      <c r="O1441">
        <v>6.7667839999999996E-3</v>
      </c>
      <c r="P1441">
        <v>-0.98613459999999997</v>
      </c>
      <c r="Q1441">
        <v>0.15189049999999901</v>
      </c>
      <c r="R1441">
        <v>-6.6845829999999995E-2</v>
      </c>
      <c r="S1441">
        <v>-3.0494379999999999</v>
      </c>
      <c r="T1441">
        <v>-7.5697420000000001E-2</v>
      </c>
      <c r="U1441">
        <v>-6.8939210000000001E-2</v>
      </c>
      <c r="V1441">
        <v>-7.3516120000000004E-2</v>
      </c>
      <c r="W1441">
        <v>0.166180299999999</v>
      </c>
      <c r="X1441">
        <v>0.98335119999999998</v>
      </c>
      <c r="Y1441">
        <v>-2.935198E-2</v>
      </c>
      <c r="Z1441">
        <v>-6.4702539999999999E-4</v>
      </c>
      <c r="AA1441">
        <v>0.99956889999999998</v>
      </c>
      <c r="AB1441">
        <v>34</v>
      </c>
      <c r="AC1441">
        <v>-44.369199999999999</v>
      </c>
      <c r="AD1441">
        <v>-1.1102806717139999</v>
      </c>
      <c r="AE1441">
        <v>-1.0135000000000201</v>
      </c>
      <c r="AF1441">
        <v>-1.3129234390917299</v>
      </c>
      <c r="AG1441">
        <v>-1.1102806717139999</v>
      </c>
      <c r="AH1441">
        <v>44.333578574171398</v>
      </c>
      <c r="AI1441">
        <v>91.433974972475994</v>
      </c>
      <c r="AJ1441">
        <v>91.696298706540702</v>
      </c>
      <c r="AK1441">
        <v>44.366909744979203</v>
      </c>
      <c r="AL1441">
        <v>80.434193102841604</v>
      </c>
      <c r="AM1441">
        <v>94.275524457089205</v>
      </c>
      <c r="AN1441">
        <v>1.0000000472746899</v>
      </c>
    </row>
    <row r="1442" spans="1:40" x14ac:dyDescent="0.25">
      <c r="A1442" t="str">
        <f>"20190304155350546"</f>
        <v>20190304155350546</v>
      </c>
      <c r="B1442" t="str">
        <f>"1551686030537739"</f>
        <v>1551686030537739</v>
      </c>
      <c r="C1442" t="s">
        <v>40</v>
      </c>
      <c r="D1442">
        <v>4.4729210000000004</v>
      </c>
      <c r="E1442">
        <v>0.51823490000000005</v>
      </c>
      <c r="F1442" t="s">
        <v>63</v>
      </c>
      <c r="G1442">
        <v>-358.50130000000001</v>
      </c>
      <c r="H1442" s="1">
        <v>2.9871620000000002E-6</v>
      </c>
      <c r="I1442">
        <v>284.94479999999999</v>
      </c>
      <c r="J1442">
        <v>-313.22340000000003</v>
      </c>
      <c r="K1442">
        <v>1.11029</v>
      </c>
      <c r="L1442">
        <v>285.74099999999999</v>
      </c>
      <c r="M1442">
        <v>-0.99987269999999995</v>
      </c>
      <c r="N1442">
        <v>-1.4476030000000001E-2</v>
      </c>
      <c r="O1442">
        <v>6.7249419999999898E-3</v>
      </c>
      <c r="P1442">
        <v>-0.9862379</v>
      </c>
      <c r="Q1442">
        <v>0.1515251</v>
      </c>
      <c r="R1442">
        <v>-6.6147020000000001E-2</v>
      </c>
      <c r="S1442">
        <v>-3.0500180000000001</v>
      </c>
      <c r="T1442">
        <v>-7.4250579999999997E-2</v>
      </c>
      <c r="U1442">
        <v>-5.3100590000000003E-2</v>
      </c>
      <c r="V1442">
        <v>-7.2783070000000005E-2</v>
      </c>
      <c r="W1442">
        <v>0.16577729999999999</v>
      </c>
      <c r="X1442">
        <v>0.98347370000000001</v>
      </c>
      <c r="Y1442">
        <v>-2.41198E-2</v>
      </c>
      <c r="Z1442">
        <v>-5.3450459999999998E-4</v>
      </c>
      <c r="AA1442">
        <v>0.99970899999999996</v>
      </c>
      <c r="AB1442">
        <v>34</v>
      </c>
      <c r="AC1442">
        <v>-45.277899999999903</v>
      </c>
      <c r="AD1442">
        <v>-1.110287012838</v>
      </c>
      <c r="AE1442">
        <v>-0.79619999999999802</v>
      </c>
      <c r="AF1442">
        <v>-1.10004386018972</v>
      </c>
      <c r="AG1442">
        <v>-1.110287012838</v>
      </c>
      <c r="AH1442">
        <v>45.244323546223697</v>
      </c>
      <c r="AI1442">
        <v>91.405330145874103</v>
      </c>
      <c r="AJ1442">
        <v>91.392781468673604</v>
      </c>
      <c r="AK1442">
        <v>45.271311521763899</v>
      </c>
      <c r="AL1442">
        <v>80.457607661399393</v>
      </c>
      <c r="AM1442">
        <v>94.232522390796305</v>
      </c>
      <c r="AN1442">
        <v>1.0000000035328001</v>
      </c>
    </row>
    <row r="1443" spans="1:40" x14ac:dyDescent="0.25">
      <c r="A1443" t="str">
        <f>"20190304155350568"</f>
        <v>20190304155350568</v>
      </c>
      <c r="B1443" t="str">
        <f>"1551686030558237"</f>
        <v>1551686030558237</v>
      </c>
      <c r="C1443" t="s">
        <v>40</v>
      </c>
      <c r="D1443">
        <v>4.4924229999999996</v>
      </c>
      <c r="E1443">
        <v>0.51984129999999995</v>
      </c>
      <c r="F1443" t="s">
        <v>63</v>
      </c>
      <c r="G1443">
        <v>-359.4314</v>
      </c>
      <c r="H1443" s="1">
        <v>3.4821500000000002E-6</v>
      </c>
      <c r="I1443">
        <v>285.17200000000003</v>
      </c>
      <c r="J1443">
        <v>-313.56639999999999</v>
      </c>
      <c r="K1443">
        <v>1.110306</v>
      </c>
      <c r="L1443">
        <v>285.74329999999998</v>
      </c>
      <c r="M1443">
        <v>-0.99987360000000003</v>
      </c>
      <c r="N1443">
        <v>-1.4433400000000001E-2</v>
      </c>
      <c r="O1443">
        <v>6.6585129999999996E-3</v>
      </c>
      <c r="P1443">
        <v>-0.98623559999999999</v>
      </c>
      <c r="Q1443">
        <v>0.15162129999999999</v>
      </c>
      <c r="R1443">
        <v>-6.5957740000000001E-2</v>
      </c>
      <c r="S1443">
        <v>-3.0505979999999999</v>
      </c>
      <c r="T1443">
        <v>-7.329977E-2</v>
      </c>
      <c r="U1443">
        <v>-3.7567139999999999E-2</v>
      </c>
      <c r="V1443">
        <v>-7.2536240000000002E-2</v>
      </c>
      <c r="W1443">
        <v>0.16582810000000001</v>
      </c>
      <c r="X1443">
        <v>0.98348340000000001</v>
      </c>
      <c r="Y1443">
        <v>-1.8963109999999998E-2</v>
      </c>
      <c r="Z1443">
        <v>-4.2853820000000002E-4</v>
      </c>
      <c r="AA1443">
        <v>0.99982009999999999</v>
      </c>
      <c r="AB1443">
        <v>34</v>
      </c>
      <c r="AC1443">
        <v>-45.865000000000002</v>
      </c>
      <c r="AD1443">
        <v>-1.1103025178499999</v>
      </c>
      <c r="AE1443">
        <v>-0.57129999999995096</v>
      </c>
      <c r="AF1443">
        <v>-0.876198466767802</v>
      </c>
      <c r="AG1443">
        <v>-1.1103025178499999</v>
      </c>
      <c r="AH1443">
        <v>45.833323105249399</v>
      </c>
      <c r="AI1443">
        <v>91.387453269764805</v>
      </c>
      <c r="AJ1443">
        <v>91.095193549185893</v>
      </c>
      <c r="AK1443">
        <v>45.855141503483502</v>
      </c>
      <c r="AL1443">
        <v>80.454656453410394</v>
      </c>
      <c r="AM1443">
        <v>94.218179037010998</v>
      </c>
      <c r="AN1443">
        <v>1.0000000314692501</v>
      </c>
    </row>
    <row r="1444" spans="1:40" x14ac:dyDescent="0.25">
      <c r="A1444" t="str">
        <f>"20190304155350590"</f>
        <v>20190304155350590</v>
      </c>
      <c r="B1444" t="str">
        <f>"1551686030587515"</f>
        <v>1551686030587515</v>
      </c>
      <c r="C1444" t="s">
        <v>40</v>
      </c>
      <c r="D1444">
        <v>4.4072779999999998</v>
      </c>
      <c r="E1444">
        <v>0.52196779999999998</v>
      </c>
      <c r="F1444" t="s">
        <v>63</v>
      </c>
      <c r="G1444">
        <v>-361.41390000000001</v>
      </c>
      <c r="H1444" s="1">
        <v>-7.8436890000000001E-7</v>
      </c>
      <c r="I1444">
        <v>285.36619999999999</v>
      </c>
      <c r="J1444">
        <v>-313.89240000000001</v>
      </c>
      <c r="K1444">
        <v>1.110325</v>
      </c>
      <c r="L1444">
        <v>285.74540000000002</v>
      </c>
      <c r="M1444">
        <v>-0.99987490000000001</v>
      </c>
      <c r="N1444">
        <v>-1.438772E-2</v>
      </c>
      <c r="O1444">
        <v>6.5684100000000002E-3</v>
      </c>
      <c r="P1444">
        <v>-0.98624559999999994</v>
      </c>
      <c r="Q1444">
        <v>0.15150710000000001</v>
      </c>
      <c r="R1444">
        <v>-6.6072039999999999E-2</v>
      </c>
      <c r="S1444">
        <v>-3.0511469999999998</v>
      </c>
      <c r="T1444">
        <v>-7.0802210000000004E-2</v>
      </c>
      <c r="U1444">
        <v>-2.4047849999999999E-2</v>
      </c>
      <c r="V1444">
        <v>-7.2570140000000005E-2</v>
      </c>
      <c r="W1444">
        <v>0.16566539999999999</v>
      </c>
      <c r="X1444">
        <v>0.9835083</v>
      </c>
      <c r="Y1444">
        <v>-1.444349E-2</v>
      </c>
      <c r="Z1444">
        <v>-3.2938539999999999E-4</v>
      </c>
      <c r="AA1444">
        <v>0.9998956</v>
      </c>
      <c r="AB1444">
        <v>34</v>
      </c>
      <c r="AC1444">
        <v>-47.521500000000003</v>
      </c>
      <c r="AD1444">
        <v>-1.1103257843688901</v>
      </c>
      <c r="AE1444">
        <v>-0.37920000000002502</v>
      </c>
      <c r="AF1444">
        <v>-0.69098763917700001</v>
      </c>
      <c r="AG1444">
        <v>-1.1103257843688901</v>
      </c>
      <c r="AH1444">
        <v>47.492058933154397</v>
      </c>
      <c r="AI1444">
        <v>91.3391431549896</v>
      </c>
      <c r="AJ1444">
        <v>90.833568453885803</v>
      </c>
      <c r="AK1444">
        <v>47.510061555160497</v>
      </c>
      <c r="AL1444">
        <v>80.464109046793695</v>
      </c>
      <c r="AM1444">
        <v>94.220036835740899</v>
      </c>
      <c r="AN1444">
        <v>1.0000000130728299</v>
      </c>
    </row>
    <row r="1445" spans="1:40" x14ac:dyDescent="0.25">
      <c r="A1445" t="str">
        <f>"20190304155350611"</f>
        <v>20190304155350611</v>
      </c>
      <c r="B1445" t="str">
        <f>"1551686030608011"</f>
        <v>1551686030608011</v>
      </c>
      <c r="C1445" t="s">
        <v>40</v>
      </c>
      <c r="D1445">
        <v>4.4245229999999998</v>
      </c>
      <c r="E1445">
        <v>0.52328529999999995</v>
      </c>
      <c r="F1445" t="s">
        <v>63</v>
      </c>
      <c r="G1445">
        <v>-363.47030000000001</v>
      </c>
      <c r="H1445" s="1">
        <v>3.0993210000000002E-7</v>
      </c>
      <c r="I1445">
        <v>285.62439999999998</v>
      </c>
      <c r="J1445">
        <v>-314.21600000000001</v>
      </c>
      <c r="K1445">
        <v>1.110341</v>
      </c>
      <c r="L1445">
        <v>285.74740000000003</v>
      </c>
      <c r="M1445">
        <v>-0.9998766</v>
      </c>
      <c r="N1445">
        <v>-1.433535E-2</v>
      </c>
      <c r="O1445">
        <v>6.4468980000000004E-3</v>
      </c>
      <c r="P1445">
        <v>-0.98619659999999998</v>
      </c>
      <c r="Q1445">
        <v>0.15183720000000001</v>
      </c>
      <c r="R1445">
        <v>-6.6045839999999995E-2</v>
      </c>
      <c r="S1445">
        <v>-3.0518489999999998</v>
      </c>
      <c r="T1445">
        <v>-6.8347809999999995E-2</v>
      </c>
      <c r="U1445">
        <v>-7.446289E-3</v>
      </c>
      <c r="V1445">
        <v>-7.2433559999999994E-2</v>
      </c>
      <c r="W1445">
        <v>0.16593910000000001</v>
      </c>
      <c r="X1445">
        <v>0.98347220000000002</v>
      </c>
      <c r="Y1445">
        <v>-8.8835479999999998E-3</v>
      </c>
      <c r="Z1445">
        <v>-2.1509790000000001E-4</v>
      </c>
      <c r="AA1445">
        <v>0.99996050000000003</v>
      </c>
      <c r="AB1445">
        <v>34</v>
      </c>
      <c r="AC1445">
        <v>-49.254300000000001</v>
      </c>
      <c r="AD1445">
        <v>-1.1103406900679</v>
      </c>
      <c r="AE1445">
        <v>-0.123000000000047</v>
      </c>
      <c r="AF1445">
        <v>-0.44034370352325303</v>
      </c>
      <c r="AG1445">
        <v>-1.1103406900679</v>
      </c>
      <c r="AH1445">
        <v>49.227466523273002</v>
      </c>
      <c r="AI1445">
        <v>91.292053218773205</v>
      </c>
      <c r="AJ1445">
        <v>90.5125017524512</v>
      </c>
      <c r="AK1445">
        <v>49.241955884440799</v>
      </c>
      <c r="AL1445">
        <v>80.4482068406476</v>
      </c>
      <c r="AM1445">
        <v>94.212277220738798</v>
      </c>
      <c r="AN1445">
        <v>0.99999998684796099</v>
      </c>
    </row>
    <row r="1446" spans="1:40" x14ac:dyDescent="0.25">
      <c r="A1446" t="str">
        <f>"20190304155350634"</f>
        <v>20190304155350634</v>
      </c>
      <c r="B1446" t="str">
        <f>"1551686030627531"</f>
        <v>1551686030627531</v>
      </c>
      <c r="C1446" t="s">
        <v>40</v>
      </c>
      <c r="D1446">
        <v>4.4248760000000003</v>
      </c>
      <c r="E1446">
        <v>0.52459389999999995</v>
      </c>
      <c r="F1446" t="s">
        <v>63</v>
      </c>
      <c r="G1446">
        <v>-365.72559999999999</v>
      </c>
      <c r="H1446" s="1">
        <v>1.510111E-6</v>
      </c>
      <c r="I1446">
        <v>285.79070000000002</v>
      </c>
      <c r="J1446">
        <v>-314.55220000000003</v>
      </c>
      <c r="K1446">
        <v>1.110366</v>
      </c>
      <c r="L1446">
        <v>285.74939999999998</v>
      </c>
      <c r="M1446">
        <v>-0.99987839999999995</v>
      </c>
      <c r="N1446">
        <v>-1.427079E-2</v>
      </c>
      <c r="O1446">
        <v>6.2830150000000003E-3</v>
      </c>
      <c r="P1446">
        <v>-0.98627480000000001</v>
      </c>
      <c r="Q1446">
        <v>0.15131939999999999</v>
      </c>
      <c r="R1446">
        <v>-6.6064629999999999E-2</v>
      </c>
      <c r="S1446">
        <v>-3.0523069999999999</v>
      </c>
      <c r="T1446">
        <v>-6.5795419999999993E-2</v>
      </c>
      <c r="U1446">
        <v>2.5634770000000002E-3</v>
      </c>
      <c r="V1446">
        <v>-7.230288E-2</v>
      </c>
      <c r="W1446">
        <v>0.16535459999999999</v>
      </c>
      <c r="X1446">
        <v>0.98358029999999996</v>
      </c>
      <c r="Y1446">
        <v>-5.441553E-3</v>
      </c>
      <c r="Z1446">
        <v>-1.4323410000000001E-4</v>
      </c>
      <c r="AA1446">
        <v>0.99998520000000002</v>
      </c>
      <c r="AB1446">
        <v>34</v>
      </c>
      <c r="AC1446">
        <v>-51.173399999999901</v>
      </c>
      <c r="AD1446">
        <v>-1.1103644898889999</v>
      </c>
      <c r="AE1446">
        <v>4.1300000000035197E-2</v>
      </c>
      <c r="AF1446">
        <v>-0.28012492415342</v>
      </c>
      <c r="AG1446">
        <v>-1.1103644898889999</v>
      </c>
      <c r="AH1446">
        <v>51.148568161465597</v>
      </c>
      <c r="AI1446">
        <v>91.243597947345194</v>
      </c>
      <c r="AJ1446">
        <v>90.313788166546104</v>
      </c>
      <c r="AK1446">
        <v>51.161385871002601</v>
      </c>
      <c r="AL1446">
        <v>80.482165755969604</v>
      </c>
      <c r="AM1446">
        <v>94.204244519955196</v>
      </c>
      <c r="AN1446">
        <v>1.0000000283727699</v>
      </c>
    </row>
    <row r="1447" spans="1:40" x14ac:dyDescent="0.25">
      <c r="A1447" t="str">
        <f>"20190304155350656"</f>
        <v>20190304155350656</v>
      </c>
      <c r="B1447" t="str">
        <f>"1551686030648052"</f>
        <v>1551686030648052</v>
      </c>
      <c r="C1447" t="s">
        <v>40</v>
      </c>
      <c r="D1447">
        <v>4.4407310000000004</v>
      </c>
      <c r="E1447">
        <v>0.52578930000000001</v>
      </c>
      <c r="F1447" t="s">
        <v>63</v>
      </c>
      <c r="G1447">
        <v>-366.10480000000001</v>
      </c>
      <c r="H1447" s="1">
        <v>1.711867E-6</v>
      </c>
      <c r="I1447">
        <v>285.9633</v>
      </c>
      <c r="J1447">
        <v>-314.89830000000001</v>
      </c>
      <c r="K1447">
        <v>1.1103860000000001</v>
      </c>
      <c r="L1447">
        <v>285.75130000000001</v>
      </c>
      <c r="M1447">
        <v>-0.99988100000000002</v>
      </c>
      <c r="N1447">
        <v>-1.4188950000000001E-2</v>
      </c>
      <c r="O1447">
        <v>6.0741279999999998E-3</v>
      </c>
      <c r="P1447">
        <v>-0.98634060000000001</v>
      </c>
      <c r="Q1447">
        <v>0.15075189999999999</v>
      </c>
      <c r="R1447">
        <v>-6.638049E-2</v>
      </c>
      <c r="S1447">
        <v>-3.0527039999999999</v>
      </c>
      <c r="T1447">
        <v>-6.5750600000000006E-2</v>
      </c>
      <c r="U1447">
        <v>1.266479E-2</v>
      </c>
      <c r="V1447">
        <v>-7.2426299999999999E-2</v>
      </c>
      <c r="W1447">
        <v>0.16470129999999999</v>
      </c>
      <c r="X1447">
        <v>0.98368080000000002</v>
      </c>
      <c r="Y1447">
        <v>-1.9251800000000001E-3</v>
      </c>
      <c r="Z1447" s="1">
        <v>-7.9015760000000001E-5</v>
      </c>
      <c r="AA1447">
        <v>0.99999819999999995</v>
      </c>
      <c r="AB1447">
        <v>34</v>
      </c>
      <c r="AC1447">
        <v>-51.206499999999998</v>
      </c>
      <c r="AD1447">
        <v>-1.1103842881329999</v>
      </c>
      <c r="AE1447">
        <v>0.211999999999989</v>
      </c>
      <c r="AF1447">
        <v>-9.9023463453914995E-2</v>
      </c>
      <c r="AG1447">
        <v>-1.1103842881329999</v>
      </c>
      <c r="AH1447">
        <v>51.1827765191438</v>
      </c>
      <c r="AI1447">
        <v>91.242805500010405</v>
      </c>
      <c r="AJ1447">
        <v>90.110850169443793</v>
      </c>
      <c r="AK1447">
        <v>51.194915481151703</v>
      </c>
      <c r="AL1447">
        <v>80.520117193192704</v>
      </c>
      <c r="AM1447">
        <v>94.210966588639707</v>
      </c>
      <c r="AN1447">
        <v>1.00000000172101</v>
      </c>
    </row>
    <row r="1448" spans="1:40" x14ac:dyDescent="0.25">
      <c r="A1448" t="str">
        <f>"20190304155350678"</f>
        <v>20190304155350678</v>
      </c>
      <c r="B1448" t="str">
        <f>"1551686030667576"</f>
        <v>1551686030667576</v>
      </c>
      <c r="C1448" t="s">
        <v>40</v>
      </c>
      <c r="D1448">
        <v>4.4278959999999996</v>
      </c>
      <c r="E1448">
        <v>0.52692159999999999</v>
      </c>
      <c r="F1448" t="s">
        <v>63</v>
      </c>
      <c r="G1448">
        <v>-366.57679999999999</v>
      </c>
      <c r="H1448" s="1">
        <v>1.963072E-6</v>
      </c>
      <c r="I1448">
        <v>286.12119999999999</v>
      </c>
      <c r="J1448">
        <v>-315.23309999999998</v>
      </c>
      <c r="K1448">
        <v>1.1103989999999999</v>
      </c>
      <c r="L1448">
        <v>285.75319999999999</v>
      </c>
      <c r="M1448">
        <v>-0.99988370000000004</v>
      </c>
      <c r="N1448">
        <v>-1.4096630000000001E-2</v>
      </c>
      <c r="O1448">
        <v>5.8384329999999996E-3</v>
      </c>
      <c r="P1448">
        <v>-0.9863345</v>
      </c>
      <c r="Q1448">
        <v>0.1505592</v>
      </c>
      <c r="R1448">
        <v>-6.6906690000000005E-2</v>
      </c>
      <c r="S1448">
        <v>-3.0530089999999999</v>
      </c>
      <c r="T1448">
        <v>-6.5598009999999998E-2</v>
      </c>
      <c r="U1448">
        <v>2.185059E-2</v>
      </c>
      <c r="V1448">
        <v>-7.2733309999999995E-2</v>
      </c>
      <c r="W1448">
        <v>0.16441249999999999</v>
      </c>
      <c r="X1448">
        <v>0.98370650000000004</v>
      </c>
      <c r="Y1448">
        <v>1.317553E-3</v>
      </c>
      <c r="Z1448" s="1">
        <v>-1.9684800000000002E-5</v>
      </c>
      <c r="AA1448">
        <v>0.99999910000000003</v>
      </c>
      <c r="AB1448">
        <v>34</v>
      </c>
      <c r="AC1448">
        <v>-51.343699999999998</v>
      </c>
      <c r="AD1448">
        <v>-1.1103970369279901</v>
      </c>
      <c r="AE1448">
        <v>0.367999999999995</v>
      </c>
      <c r="AF1448">
        <v>6.8165337675490503E-2</v>
      </c>
      <c r="AG1448">
        <v>-1.1103970369279901</v>
      </c>
      <c r="AH1448">
        <v>51.320971083040298</v>
      </c>
      <c r="AI1448">
        <v>91.239475432768003</v>
      </c>
      <c r="AJ1448">
        <v>89.923898870602301</v>
      </c>
      <c r="AK1448">
        <v>51.333027389772496</v>
      </c>
      <c r="AL1448">
        <v>80.536893286110299</v>
      </c>
      <c r="AM1448">
        <v>94.228641885992005</v>
      </c>
      <c r="AN1448">
        <v>1.0000000413410199</v>
      </c>
    </row>
    <row r="1449" spans="1:40" x14ac:dyDescent="0.25">
      <c r="A1449" t="str">
        <f>"20190304155350700"</f>
        <v>20190304155350700</v>
      </c>
      <c r="B1449" t="str">
        <f>"1551686030697829"</f>
        <v>1551686030697829</v>
      </c>
      <c r="C1449" t="s">
        <v>40</v>
      </c>
      <c r="D1449">
        <v>4.443956</v>
      </c>
      <c r="E1449">
        <v>0.52859659999999997</v>
      </c>
      <c r="F1449" t="s">
        <v>63</v>
      </c>
      <c r="G1449">
        <v>-367.68259999999998</v>
      </c>
      <c r="H1449" s="1">
        <v>2.5515059999999998E-6</v>
      </c>
      <c r="I1449">
        <v>286.25540000000001</v>
      </c>
      <c r="J1449">
        <v>-315.56380000000001</v>
      </c>
      <c r="K1449">
        <v>1.110412</v>
      </c>
      <c r="L1449">
        <v>285.75490000000002</v>
      </c>
      <c r="M1449">
        <v>-0.99988659999999996</v>
      </c>
      <c r="N1449">
        <v>-1.3989990000000001E-2</v>
      </c>
      <c r="O1449">
        <v>5.5772909999999998E-3</v>
      </c>
      <c r="P1449">
        <v>-0.98638669999999995</v>
      </c>
      <c r="Q1449">
        <v>0.14991699999999999</v>
      </c>
      <c r="R1449">
        <v>-6.7575689999999994E-2</v>
      </c>
      <c r="S1449">
        <v>-3.0534059999999998</v>
      </c>
      <c r="T1449">
        <v>-6.4642909999999998E-2</v>
      </c>
      <c r="U1449">
        <v>2.9235839999999999E-2</v>
      </c>
      <c r="V1449">
        <v>-7.3157719999999996E-2</v>
      </c>
      <c r="W1449">
        <v>0.1636599</v>
      </c>
      <c r="X1449">
        <v>0.98380049999999997</v>
      </c>
      <c r="Y1449">
        <v>3.9953189999999998E-3</v>
      </c>
      <c r="Z1449" s="1">
        <v>3.0208550000000001E-5</v>
      </c>
      <c r="AA1449">
        <v>0.99999199999999999</v>
      </c>
      <c r="AB1449">
        <v>34</v>
      </c>
      <c r="AC1449">
        <v>-52.118799999999901</v>
      </c>
      <c r="AD1449">
        <v>-1.1104094484939999</v>
      </c>
      <c r="AE1449">
        <v>0.50049999999998795</v>
      </c>
      <c r="AF1449">
        <v>0.209686883420065</v>
      </c>
      <c r="AG1449">
        <v>-1.1104094484939999</v>
      </c>
      <c r="AH1449">
        <v>52.097135283040899</v>
      </c>
      <c r="AI1449">
        <v>91.221019692310904</v>
      </c>
      <c r="AJ1449">
        <v>89.769390226582104</v>
      </c>
      <c r="AK1449">
        <v>52.109389580303599</v>
      </c>
      <c r="AL1449">
        <v>80.580606001163702</v>
      </c>
      <c r="AM1449">
        <v>94.252821477299605</v>
      </c>
      <c r="AN1449">
        <v>1.0000000193319201</v>
      </c>
    </row>
    <row r="1450" spans="1:40" x14ac:dyDescent="0.25">
      <c r="A1450" t="str">
        <f>"20190304155350725"</f>
        <v>20190304155350725</v>
      </c>
      <c r="B1450" t="str">
        <f>"1551686030717350"</f>
        <v>1551686030717350</v>
      </c>
      <c r="C1450" t="s">
        <v>40</v>
      </c>
      <c r="D1450">
        <v>4.4189400000000001</v>
      </c>
      <c r="E1450">
        <v>0.52964330000000004</v>
      </c>
      <c r="F1450" t="s">
        <v>63</v>
      </c>
      <c r="G1450">
        <v>-368.35930000000002</v>
      </c>
      <c r="H1450" s="1">
        <v>2.911617E-6</v>
      </c>
      <c r="I1450">
        <v>286.45859999999999</v>
      </c>
      <c r="J1450">
        <v>-315.91500000000002</v>
      </c>
      <c r="K1450">
        <v>1.1104149999999999</v>
      </c>
      <c r="L1450">
        <v>285.75650000000002</v>
      </c>
      <c r="M1450">
        <v>-0.9998901</v>
      </c>
      <c r="N1450">
        <v>-1.385745E-2</v>
      </c>
      <c r="O1450">
        <v>5.2697209999999998E-3</v>
      </c>
      <c r="P1450">
        <v>-0.98641469999999998</v>
      </c>
      <c r="Q1450">
        <v>0.14931549999999999</v>
      </c>
      <c r="R1450">
        <v>-6.8491090000000004E-2</v>
      </c>
      <c r="S1450">
        <v>-3.0539550000000002</v>
      </c>
      <c r="T1450">
        <v>-6.4231510000000006E-2</v>
      </c>
      <c r="U1450">
        <v>4.0710450000000002E-2</v>
      </c>
      <c r="V1450">
        <v>-7.3780890000000002E-2</v>
      </c>
      <c r="W1450">
        <v>0.16292319999999999</v>
      </c>
      <c r="X1450">
        <v>0.98387619999999998</v>
      </c>
      <c r="Y1450">
        <v>8.0564539999999994E-3</v>
      </c>
      <c r="Z1450">
        <v>1.027536E-4</v>
      </c>
      <c r="AA1450">
        <v>0.99996750000000001</v>
      </c>
      <c r="AB1450">
        <v>34</v>
      </c>
      <c r="AC1450">
        <v>-52.444299999999998</v>
      </c>
      <c r="AD1450">
        <v>-1.110412088383</v>
      </c>
      <c r="AE1450">
        <v>0.70209999999997297</v>
      </c>
      <c r="AF1450">
        <v>0.42550616129208702</v>
      </c>
      <c r="AG1450">
        <v>-1.110412088383</v>
      </c>
      <c r="AH1450">
        <v>52.423774362407897</v>
      </c>
      <c r="AI1450">
        <v>91.213386866914504</v>
      </c>
      <c r="AJ1450">
        <v>89.534959622113305</v>
      </c>
      <c r="AK1450">
        <v>52.437259547958597</v>
      </c>
      <c r="AL1450">
        <v>80.623389710906096</v>
      </c>
      <c r="AM1450">
        <v>94.288584372404102</v>
      </c>
      <c r="AN1450">
        <v>0.99999998287693503</v>
      </c>
    </row>
    <row r="1451" spans="1:40" x14ac:dyDescent="0.25">
      <c r="A1451" t="str">
        <f>"20190304155350747"</f>
        <v>20190304155350747</v>
      </c>
      <c r="B1451" t="str">
        <f>"1551686030737375"</f>
        <v>1551686030737375</v>
      </c>
      <c r="C1451" t="s">
        <v>40</v>
      </c>
      <c r="D1451">
        <v>4.8341469999999997</v>
      </c>
      <c r="E1451">
        <v>0.53007599999999999</v>
      </c>
      <c r="F1451" t="s">
        <v>63</v>
      </c>
      <c r="G1451">
        <v>-368.44940000000003</v>
      </c>
      <c r="H1451" s="1">
        <v>2.9595589999999999E-6</v>
      </c>
      <c r="I1451">
        <v>286.55169999999998</v>
      </c>
      <c r="J1451">
        <v>-316.26119999999997</v>
      </c>
      <c r="K1451">
        <v>1.110414</v>
      </c>
      <c r="L1451">
        <v>285.75790000000001</v>
      </c>
      <c r="M1451">
        <v>-0.99989380000000005</v>
      </c>
      <c r="N1451">
        <v>-1.371845E-2</v>
      </c>
      <c r="O1451">
        <v>4.9408150000000003E-3</v>
      </c>
      <c r="P1451">
        <v>-0.98647039999999997</v>
      </c>
      <c r="Q1451">
        <v>0.14873800000000001</v>
      </c>
      <c r="R1451">
        <v>-6.8945930000000002E-2</v>
      </c>
      <c r="S1451">
        <v>-3.0542910000000001</v>
      </c>
      <c r="T1451">
        <v>-6.4558149999999995E-2</v>
      </c>
      <c r="U1451">
        <v>4.6234129999999998E-2</v>
      </c>
      <c r="V1451">
        <v>-7.3919680000000001E-2</v>
      </c>
      <c r="W1451">
        <v>0.16220660000000001</v>
      </c>
      <c r="X1451">
        <v>0.98398419999999998</v>
      </c>
      <c r="Y1451">
        <v>1.0191189999999999E-2</v>
      </c>
      <c r="Z1451">
        <v>1.409739E-4</v>
      </c>
      <c r="AA1451">
        <v>0.99994810000000001</v>
      </c>
      <c r="AB1451">
        <v>34</v>
      </c>
      <c r="AC1451">
        <v>-52.188200000000002</v>
      </c>
      <c r="AD1451">
        <v>-1.1104110404409999</v>
      </c>
      <c r="AE1451">
        <v>0.79379999999997597</v>
      </c>
      <c r="AF1451">
        <v>0.53567137990713898</v>
      </c>
      <c r="AG1451">
        <v>-1.1104110404409999</v>
      </c>
      <c r="AH1451">
        <v>52.167873655158097</v>
      </c>
      <c r="AI1451">
        <v>91.219311882055806</v>
      </c>
      <c r="AJ1451">
        <v>89.411694812957606</v>
      </c>
      <c r="AK1451">
        <v>52.182439557829497</v>
      </c>
      <c r="AL1451">
        <v>80.665001582554595</v>
      </c>
      <c r="AM1451">
        <v>94.2961516685574</v>
      </c>
      <c r="AN1451">
        <v>1.00000000301225</v>
      </c>
    </row>
    <row r="1452" spans="1:40" x14ac:dyDescent="0.25">
      <c r="A1452" t="str">
        <f>"20190304155350768"</f>
        <v>20190304155350768</v>
      </c>
      <c r="B1452" t="str">
        <f>"1551686030757872"</f>
        <v>1551686030757872</v>
      </c>
      <c r="C1452" t="s">
        <v>40</v>
      </c>
      <c r="D1452">
        <v>4.9456389999999999</v>
      </c>
      <c r="E1452">
        <v>0.59203569999999905</v>
      </c>
      <c r="F1452" t="s">
        <v>63</v>
      </c>
      <c r="G1452">
        <v>-364.70100000000002</v>
      </c>
      <c r="H1452" s="1">
        <v>9.648684E-7</v>
      </c>
      <c r="I1452">
        <v>286.52480000000003</v>
      </c>
      <c r="J1452">
        <v>-316.5829</v>
      </c>
      <c r="K1452">
        <v>1.110411</v>
      </c>
      <c r="L1452">
        <v>285.75909999999999</v>
      </c>
      <c r="M1452">
        <v>-0.99989709999999998</v>
      </c>
      <c r="N1452">
        <v>-1.358989E-2</v>
      </c>
      <c r="O1452">
        <v>4.6183020000000003E-3</v>
      </c>
      <c r="P1452">
        <v>-0.98647949999999995</v>
      </c>
      <c r="Q1452">
        <v>0.1483303</v>
      </c>
      <c r="R1452">
        <v>-6.9690180000000004E-2</v>
      </c>
      <c r="S1452">
        <v>-3.0550540000000002</v>
      </c>
      <c r="T1452">
        <v>-7.0032720000000007E-2</v>
      </c>
      <c r="U1452">
        <v>4.8370360000000001E-2</v>
      </c>
      <c r="V1452">
        <v>-7.4349999999999999E-2</v>
      </c>
      <c r="W1452">
        <v>0.16167029999999999</v>
      </c>
      <c r="X1452">
        <v>0.98404000000000003</v>
      </c>
      <c r="Y1452">
        <v>1.120811E-2</v>
      </c>
      <c r="Z1452">
        <v>1.6153519999999999E-4</v>
      </c>
      <c r="AA1452">
        <v>0.99993719999999997</v>
      </c>
      <c r="AB1452">
        <v>34</v>
      </c>
      <c r="AC1452">
        <v>-48.118099999999899</v>
      </c>
      <c r="AD1452">
        <v>-1.1104100351316</v>
      </c>
      <c r="AE1452">
        <v>0.76570000000003802</v>
      </c>
      <c r="AF1452">
        <v>0.54315823800949903</v>
      </c>
      <c r="AG1452">
        <v>-1.1104100351316</v>
      </c>
      <c r="AH1452">
        <v>48.095517154009897</v>
      </c>
      <c r="AI1452">
        <v>91.322502741803405</v>
      </c>
      <c r="AJ1452">
        <v>89.352967728522003</v>
      </c>
      <c r="AK1452">
        <v>48.111399913422702</v>
      </c>
      <c r="AL1452">
        <v>80.696139957085194</v>
      </c>
      <c r="AM1452">
        <v>94.320822966622401</v>
      </c>
      <c r="AN1452">
        <v>0.99999996500104404</v>
      </c>
    </row>
    <row r="1453" spans="1:40" x14ac:dyDescent="0.25">
      <c r="A1453" t="str">
        <f>"20190304155350790"</f>
        <v>20190304155350790</v>
      </c>
      <c r="B1453" t="str">
        <f>"1551686030788127"</f>
        <v>1551686030788127</v>
      </c>
      <c r="C1453" t="s">
        <v>40</v>
      </c>
      <c r="D1453">
        <v>4.9666100000000002</v>
      </c>
      <c r="E1453">
        <v>0.59868549999999998</v>
      </c>
      <c r="F1453" t="s">
        <v>48</v>
      </c>
      <c r="G1453">
        <v>-317.49459999999999</v>
      </c>
      <c r="H1453">
        <v>0.99497829999999998</v>
      </c>
      <c r="I1453">
        <v>285.91890000000001</v>
      </c>
      <c r="J1453">
        <v>-316.91629999999998</v>
      </c>
      <c r="K1453">
        <v>1.110406</v>
      </c>
      <c r="L1453">
        <v>285.76029999999997</v>
      </c>
      <c r="M1453">
        <v>-0.99990029999999996</v>
      </c>
      <c r="N1453">
        <v>-1.345612E-2</v>
      </c>
      <c r="O1453">
        <v>4.2737879999999997E-3</v>
      </c>
      <c r="P1453">
        <v>-0.98634820000000001</v>
      </c>
      <c r="Q1453">
        <v>0.14904249999999999</v>
      </c>
      <c r="R1453">
        <v>-7.0025840000000006E-2</v>
      </c>
      <c r="S1453">
        <v>-3.1397400000000002</v>
      </c>
      <c r="T1453">
        <v>-0.39759240000000001</v>
      </c>
      <c r="U1453">
        <v>0.54962159999999904</v>
      </c>
      <c r="V1453">
        <v>-7.4348949999999997E-2</v>
      </c>
      <c r="W1453">
        <v>0.16224810000000001</v>
      </c>
      <c r="X1453">
        <v>0.98394499999999996</v>
      </c>
      <c r="Y1453">
        <v>0.16681170000000001</v>
      </c>
      <c r="Z1453">
        <v>1.109897E-2</v>
      </c>
      <c r="AA1453">
        <v>0.98592630000000003</v>
      </c>
      <c r="AB1453">
        <v>34</v>
      </c>
      <c r="AC1453">
        <v>-0.57830000000001203</v>
      </c>
      <c r="AD1453">
        <v>-0.11542769999999899</v>
      </c>
      <c r="AE1453">
        <v>0.15860000000003499</v>
      </c>
      <c r="AF1453">
        <v>0.150548579411904</v>
      </c>
      <c r="AG1453">
        <v>-0.11542769999999899</v>
      </c>
      <c r="AH1453">
        <v>0.55828663010987101</v>
      </c>
      <c r="AI1453">
        <v>101.289150007552</v>
      </c>
      <c r="AJ1453">
        <v>74.9084870404551</v>
      </c>
      <c r="AK1453">
        <v>0.58963750732943399</v>
      </c>
      <c r="AL1453">
        <v>80.662591742946105</v>
      </c>
      <c r="AM1453">
        <v>94.321177767380803</v>
      </c>
      <c r="AN1453">
        <v>0.99999998767235598</v>
      </c>
    </row>
    <row r="1454" spans="1:40" x14ac:dyDescent="0.25">
      <c r="A1454" t="str">
        <f>"20190304155350813"</f>
        <v>20190304155350813</v>
      </c>
      <c r="B1454" t="str">
        <f>"1551686030807647"</f>
        <v>1551686030807647</v>
      </c>
      <c r="C1454" t="s">
        <v>40</v>
      </c>
      <c r="D1454">
        <v>4.8608370000000001</v>
      </c>
      <c r="E1454">
        <v>0.60297199999999995</v>
      </c>
      <c r="F1454" t="s">
        <v>48</v>
      </c>
      <c r="G1454">
        <v>-317.78890000000001</v>
      </c>
      <c r="H1454">
        <v>0.97780359999999999</v>
      </c>
      <c r="I1454">
        <v>285.92759999999998</v>
      </c>
      <c r="J1454">
        <v>-317.26690000000002</v>
      </c>
      <c r="K1454">
        <v>1.1103889999999901</v>
      </c>
      <c r="L1454">
        <v>285.76139999999998</v>
      </c>
      <c r="M1454">
        <v>-0.99990380000000001</v>
      </c>
      <c r="N1454">
        <v>-1.3317900000000001E-2</v>
      </c>
      <c r="O1454">
        <v>3.9077720000000003E-3</v>
      </c>
      <c r="P1454">
        <v>-0.98630050000000002</v>
      </c>
      <c r="Q1454">
        <v>0.14934790000000001</v>
      </c>
      <c r="R1454">
        <v>-7.0051279999999994E-2</v>
      </c>
      <c r="S1454">
        <v>-3.1569210000000001</v>
      </c>
      <c r="T1454">
        <v>-0.47980790000000001</v>
      </c>
      <c r="U1454">
        <v>0.60418700000000003</v>
      </c>
      <c r="V1454">
        <v>-7.4015170000000005E-2</v>
      </c>
      <c r="W1454">
        <v>0.162416</v>
      </c>
      <c r="X1454">
        <v>0.98394239999999999</v>
      </c>
      <c r="Y1454">
        <v>0.18196970000000001</v>
      </c>
      <c r="Z1454">
        <v>1.432392E-2</v>
      </c>
      <c r="AA1454">
        <v>0.98319979999999996</v>
      </c>
      <c r="AB1454">
        <v>34</v>
      </c>
      <c r="AC1454">
        <v>-0.52199999999999103</v>
      </c>
      <c r="AD1454">
        <v>-0.13258539999999899</v>
      </c>
      <c r="AE1454">
        <v>0.16620000000000301</v>
      </c>
      <c r="AF1454">
        <v>0.155075090346939</v>
      </c>
      <c r="AG1454">
        <v>-0.13258539999999899</v>
      </c>
      <c r="AH1454">
        <v>0.493725329063467</v>
      </c>
      <c r="AI1454">
        <v>104.37011459859799</v>
      </c>
      <c r="AJ1454">
        <v>72.562922444024807</v>
      </c>
      <c r="AK1454">
        <v>0.53422080874681399</v>
      </c>
      <c r="AL1454">
        <v>80.652841872950503</v>
      </c>
      <c r="AM1454">
        <v>94.3018627098905</v>
      </c>
      <c r="AN1454">
        <v>0.99999992448194097</v>
      </c>
    </row>
    <row r="1455" spans="1:40" x14ac:dyDescent="0.25">
      <c r="A1455" t="str">
        <f>"20190304155350835"</f>
        <v>20190304155350835</v>
      </c>
      <c r="B1455" t="str">
        <f>"1551686030828143"</f>
        <v>1551686030828143</v>
      </c>
      <c r="C1455" t="s">
        <v>40</v>
      </c>
      <c r="D1455">
        <v>4.4501010000000001</v>
      </c>
      <c r="E1455">
        <v>0.61175290000000004</v>
      </c>
      <c r="F1455" t="s">
        <v>48</v>
      </c>
      <c r="G1455">
        <v>-318.09309999999999</v>
      </c>
      <c r="H1455">
        <v>0.98162320000000003</v>
      </c>
      <c r="I1455">
        <v>285.92809999999997</v>
      </c>
      <c r="J1455">
        <v>-317.59100000000001</v>
      </c>
      <c r="K1455">
        <v>1.1103860000000001</v>
      </c>
      <c r="L1455">
        <v>285.76229999999998</v>
      </c>
      <c r="M1455">
        <v>-0.99990659999999998</v>
      </c>
      <c r="N1455">
        <v>-1.3192509999999999E-2</v>
      </c>
      <c r="O1455">
        <v>3.5719049999999998E-3</v>
      </c>
      <c r="P1455">
        <v>-0.9862398</v>
      </c>
      <c r="Q1455">
        <v>0.1497481</v>
      </c>
      <c r="R1455">
        <v>-7.0048260000000001E-2</v>
      </c>
      <c r="S1455">
        <v>-3.1616209999999998</v>
      </c>
      <c r="T1455">
        <v>-0.49277759999999998</v>
      </c>
      <c r="U1455">
        <v>0.63824459999999905</v>
      </c>
      <c r="V1455">
        <v>-7.368239E-2</v>
      </c>
      <c r="W1455">
        <v>0.16269220000000001</v>
      </c>
      <c r="X1455">
        <v>0.98392179999999996</v>
      </c>
      <c r="Y1455">
        <v>0.19198850000000001</v>
      </c>
      <c r="Z1455">
        <v>1.5511759999999999E-2</v>
      </c>
      <c r="AA1455">
        <v>0.9812746</v>
      </c>
      <c r="AB1455">
        <v>34</v>
      </c>
      <c r="AC1455">
        <v>-0.502099999999984</v>
      </c>
      <c r="AD1455">
        <v>-0.12876280000000001</v>
      </c>
      <c r="AE1455">
        <v>0.16579999999999001</v>
      </c>
      <c r="AF1455">
        <v>0.154824290082128</v>
      </c>
      <c r="AG1455">
        <v>-0.12876280000000001</v>
      </c>
      <c r="AH1455">
        <v>0.47454846225207697</v>
      </c>
      <c r="AI1455">
        <v>104.464454673023</v>
      </c>
      <c r="AJ1455">
        <v>71.930773158463495</v>
      </c>
      <c r="AK1455">
        <v>0.515506219641515</v>
      </c>
      <c r="AL1455">
        <v>80.636803961717206</v>
      </c>
      <c r="AM1455">
        <v>94.282682531982005</v>
      </c>
      <c r="AN1455">
        <v>0.99999997752609504</v>
      </c>
    </row>
    <row r="1456" spans="1:40" x14ac:dyDescent="0.25">
      <c r="A1456" t="str">
        <f>"20190304155350857"</f>
        <v>20190304155350857</v>
      </c>
      <c r="B1456" t="str">
        <f>"1551686030848168"</f>
        <v>1551686030848168</v>
      </c>
      <c r="C1456" t="s">
        <v>40</v>
      </c>
      <c r="D1456">
        <v>4.4873589999999997</v>
      </c>
      <c r="E1456">
        <v>0.62322849999999996</v>
      </c>
      <c r="F1456" t="s">
        <v>48</v>
      </c>
      <c r="G1456">
        <v>-318.39879999999999</v>
      </c>
      <c r="H1456">
        <v>0.98791649999999998</v>
      </c>
      <c r="I1456">
        <v>285.94310000000002</v>
      </c>
      <c r="J1456">
        <v>-317.93310000000002</v>
      </c>
      <c r="K1456">
        <v>1.1103769999999999</v>
      </c>
      <c r="L1456">
        <v>285.76319999999998</v>
      </c>
      <c r="M1456">
        <v>-0.99990959999999995</v>
      </c>
      <c r="N1456">
        <v>-1.3061410000000001E-2</v>
      </c>
      <c r="O1456">
        <v>3.2205290000000002E-3</v>
      </c>
      <c r="P1456">
        <v>-0.98612929999999999</v>
      </c>
      <c r="Q1456">
        <v>0.15029589999999901</v>
      </c>
      <c r="R1456">
        <v>-7.0429679999999995E-2</v>
      </c>
      <c r="S1456">
        <v>-3.1649479999999999</v>
      </c>
      <c r="T1456">
        <v>-0.47993780000000003</v>
      </c>
      <c r="U1456">
        <v>0.70739750000000001</v>
      </c>
      <c r="V1456">
        <v>-7.3718060000000002E-2</v>
      </c>
      <c r="W1456">
        <v>0.16310949999999999</v>
      </c>
      <c r="X1456">
        <v>0.98385009999999995</v>
      </c>
      <c r="Y1456">
        <v>0.2124897</v>
      </c>
      <c r="Z1456">
        <v>1.6802069999999999E-2</v>
      </c>
      <c r="AA1456">
        <v>0.97701879999999997</v>
      </c>
      <c r="AB1456">
        <v>34</v>
      </c>
      <c r="AC1456">
        <v>-0.46569999999996903</v>
      </c>
      <c r="AD1456">
        <v>-0.122460499999999</v>
      </c>
      <c r="AE1456">
        <v>0.17990000000003101</v>
      </c>
      <c r="AF1456">
        <v>0.16827423136401701</v>
      </c>
      <c r="AG1456">
        <v>-0.122460499999999</v>
      </c>
      <c r="AH1456">
        <v>0.439813810339103</v>
      </c>
      <c r="AI1456">
        <v>104.577060269396</v>
      </c>
      <c r="AJ1456">
        <v>69.062982562890895</v>
      </c>
      <c r="AK1456">
        <v>0.48656857560512601</v>
      </c>
      <c r="AL1456">
        <v>80.612571330274804</v>
      </c>
      <c r="AM1456">
        <v>94.285059176273293</v>
      </c>
      <c r="AN1456">
        <v>1.0000000403152101</v>
      </c>
    </row>
    <row r="1457" spans="1:40" x14ac:dyDescent="0.25">
      <c r="A1457" t="str">
        <f>"20190304155350880"</f>
        <v>20190304155350880</v>
      </c>
      <c r="B1457" t="str">
        <f>"1551686030867688"</f>
        <v>1551686030867688</v>
      </c>
      <c r="C1457" t="s">
        <v>40</v>
      </c>
      <c r="D1457">
        <v>4.509957</v>
      </c>
      <c r="E1457">
        <v>0.63074600000000003</v>
      </c>
      <c r="F1457" t="s">
        <v>48</v>
      </c>
      <c r="G1457">
        <v>-318.70710000000003</v>
      </c>
      <c r="H1457">
        <v>0.99793620000000005</v>
      </c>
      <c r="I1457">
        <v>285.95819999999998</v>
      </c>
      <c r="J1457">
        <v>-318.27229999999997</v>
      </c>
      <c r="K1457">
        <v>1.1103689999999999</v>
      </c>
      <c r="L1457">
        <v>285.76400000000001</v>
      </c>
      <c r="M1457">
        <v>-0.99991209999999997</v>
      </c>
      <c r="N1457">
        <v>-1.2936080000000001E-2</v>
      </c>
      <c r="O1457">
        <v>2.873455E-3</v>
      </c>
      <c r="P1457">
        <v>-0.98611629999999995</v>
      </c>
      <c r="Q1457">
        <v>0.15053929999999999</v>
      </c>
      <c r="R1457">
        <v>-7.008971E-2</v>
      </c>
      <c r="S1457">
        <v>-3.1693730000000002</v>
      </c>
      <c r="T1457">
        <v>-0.46049060000000003</v>
      </c>
      <c r="U1457">
        <v>0.79757690000000003</v>
      </c>
      <c r="V1457">
        <v>-7.3036329999999997E-2</v>
      </c>
      <c r="W1457">
        <v>0.16322990000000001</v>
      </c>
      <c r="X1457">
        <v>0.98388089999999995</v>
      </c>
      <c r="Y1457">
        <v>0.23869850000000001</v>
      </c>
      <c r="Z1457">
        <v>1.8192779999999999E-2</v>
      </c>
      <c r="AA1457">
        <v>0.97092330000000004</v>
      </c>
      <c r="AB1457">
        <v>34</v>
      </c>
      <c r="AC1457">
        <v>-0.43480000000005198</v>
      </c>
      <c r="AD1457">
        <v>-0.1124328</v>
      </c>
      <c r="AE1457">
        <v>0.19419999999996601</v>
      </c>
      <c r="AF1457">
        <v>0.18276156123680401</v>
      </c>
      <c r="AG1457">
        <v>-0.1124328</v>
      </c>
      <c r="AH1457">
        <v>0.41236854209836998</v>
      </c>
      <c r="AI1457">
        <v>103.99670362323501</v>
      </c>
      <c r="AJ1457">
        <v>66.097099383501103</v>
      </c>
      <c r="AK1457">
        <v>0.46485560908080797</v>
      </c>
      <c r="AL1457">
        <v>80.605578501882704</v>
      </c>
      <c r="AM1457">
        <v>94.245444946519598</v>
      </c>
      <c r="AN1457">
        <v>0.99999996556934301</v>
      </c>
    </row>
    <row r="1458" spans="1:40" x14ac:dyDescent="0.25">
      <c r="A1458" t="str">
        <f>"20190304155350901"</f>
        <v>20190304155350901</v>
      </c>
      <c r="B1458" t="str">
        <f>"1551686030897944"</f>
        <v>1551686030897944</v>
      </c>
      <c r="C1458" t="s">
        <v>40</v>
      </c>
      <c r="D1458">
        <v>4.4579740000000001</v>
      </c>
      <c r="E1458">
        <v>0.63766719999999999</v>
      </c>
      <c r="F1458" t="s">
        <v>63</v>
      </c>
      <c r="G1458">
        <v>-326.12720000000002</v>
      </c>
      <c r="H1458" s="1">
        <v>1.5808880000000001E-6</v>
      </c>
      <c r="I1458">
        <v>287.88619999999997</v>
      </c>
      <c r="J1458">
        <v>-318.59930000000003</v>
      </c>
      <c r="K1458">
        <v>1.1103540000000001</v>
      </c>
      <c r="L1458">
        <v>285.76459999999997</v>
      </c>
      <c r="M1458">
        <v>-0.99991459999999999</v>
      </c>
      <c r="N1458">
        <v>-1.282052E-2</v>
      </c>
      <c r="O1458">
        <v>2.5364789999999999E-3</v>
      </c>
      <c r="P1458">
        <v>-0.9861065</v>
      </c>
      <c r="Q1458">
        <v>0.1506287</v>
      </c>
      <c r="R1458">
        <v>-7.0036500000000002E-2</v>
      </c>
      <c r="S1458">
        <v>-3.1715390000000001</v>
      </c>
      <c r="T1458">
        <v>-0.44832689999999997</v>
      </c>
      <c r="U1458">
        <v>0.85687259999999998</v>
      </c>
      <c r="V1458">
        <v>-7.2652850000000005E-2</v>
      </c>
      <c r="W1458">
        <v>0.1632055</v>
      </c>
      <c r="X1458">
        <v>0.98391340000000005</v>
      </c>
      <c r="Y1458">
        <v>0.25579390000000002</v>
      </c>
      <c r="Z1458">
        <v>1.9035880000000002E-2</v>
      </c>
      <c r="AA1458">
        <v>0.96654390000000001</v>
      </c>
      <c r="AB1458">
        <v>34</v>
      </c>
      <c r="AC1458">
        <v>-7.5278999999999803</v>
      </c>
      <c r="AD1458">
        <v>-1.110352419112</v>
      </c>
      <c r="AE1458">
        <v>2.1215999999999999</v>
      </c>
      <c r="AF1458">
        <v>2.06095889499906</v>
      </c>
      <c r="AG1458">
        <v>-1.110352419112</v>
      </c>
      <c r="AH1458">
        <v>7.3844255128230802</v>
      </c>
      <c r="AI1458">
        <v>98.240801003677902</v>
      </c>
      <c r="AJ1458">
        <v>74.405828685521698</v>
      </c>
      <c r="AK1458">
        <v>7.7466234073908602</v>
      </c>
      <c r="AL1458">
        <v>80.606996086929499</v>
      </c>
      <c r="AM1458">
        <v>94.223095945985193</v>
      </c>
      <c r="AN1458">
        <v>1.00000002527146</v>
      </c>
    </row>
    <row r="1459" spans="1:40" x14ac:dyDescent="0.25">
      <c r="A1459" t="str">
        <f>"20190304155350925"</f>
        <v>20190304155350925</v>
      </c>
      <c r="B1459" t="str">
        <f>"1551686030917465"</f>
        <v>1551686030917465</v>
      </c>
      <c r="C1459" t="s">
        <v>40</v>
      </c>
      <c r="D1459">
        <v>4.4967230000000002</v>
      </c>
      <c r="E1459">
        <v>0.64106209999999997</v>
      </c>
      <c r="F1459" t="s">
        <v>63</v>
      </c>
      <c r="G1459">
        <v>-326.66079999999999</v>
      </c>
      <c r="H1459" s="1">
        <v>1.8563280000000001E-6</v>
      </c>
      <c r="I1459">
        <v>288.08030000000002</v>
      </c>
      <c r="J1459">
        <v>-318.94760000000002</v>
      </c>
      <c r="K1459">
        <v>1.110349</v>
      </c>
      <c r="L1459">
        <v>285.76510000000002</v>
      </c>
      <c r="M1459">
        <v>-0.99991699999999994</v>
      </c>
      <c r="N1459">
        <v>-1.270437E-2</v>
      </c>
      <c r="O1459">
        <v>2.171086E-3</v>
      </c>
      <c r="P1459">
        <v>-0.98611720000000003</v>
      </c>
      <c r="Q1459">
        <v>0.15053529999999901</v>
      </c>
      <c r="R1459">
        <v>-7.0087350000000007E-2</v>
      </c>
      <c r="S1459">
        <v>-3.1737980000000001</v>
      </c>
      <c r="T1459">
        <v>-0.4371468</v>
      </c>
      <c r="U1459">
        <v>0.91171259999999998</v>
      </c>
      <c r="V1459">
        <v>-7.2345240000000005E-2</v>
      </c>
      <c r="W1459">
        <v>0.16299749999999999</v>
      </c>
      <c r="X1459">
        <v>0.98397049999999997</v>
      </c>
      <c r="Y1459">
        <v>0.27142260000000001</v>
      </c>
      <c r="Z1459">
        <v>1.9742470000000002E-2</v>
      </c>
      <c r="AA1459">
        <v>0.96225769999999999</v>
      </c>
      <c r="AB1459">
        <v>34</v>
      </c>
      <c r="AC1459">
        <v>-7.7131999999999703</v>
      </c>
      <c r="AD1459">
        <v>-1.110347143672</v>
      </c>
      <c r="AE1459">
        <v>2.3151999999999999</v>
      </c>
      <c r="AF1459">
        <v>2.2555686807368001</v>
      </c>
      <c r="AG1459">
        <v>-1.110347143672</v>
      </c>
      <c r="AH1459">
        <v>7.5742223187792002</v>
      </c>
      <c r="AI1459">
        <v>97.997594114429901</v>
      </c>
      <c r="AJ1459">
        <v>73.416709818812606</v>
      </c>
      <c r="AK1459">
        <v>7.9805579120305996</v>
      </c>
      <c r="AL1459">
        <v>80.619074947392505</v>
      </c>
      <c r="AM1459">
        <v>94.205036606655895</v>
      </c>
      <c r="AN1459">
        <v>0.99999998181357797</v>
      </c>
    </row>
    <row r="1460" spans="1:40" x14ac:dyDescent="0.25">
      <c r="A1460" t="str">
        <f>"20190304155350948"</f>
        <v>20190304155350948</v>
      </c>
      <c r="B1460" t="str">
        <f>"1551686030937960"</f>
        <v>1551686030937960</v>
      </c>
      <c r="C1460" t="s">
        <v>40</v>
      </c>
      <c r="D1460">
        <v>4.4906169999999896</v>
      </c>
      <c r="E1460">
        <v>0.64420319999999998</v>
      </c>
      <c r="F1460" t="s">
        <v>63</v>
      </c>
      <c r="G1460">
        <v>-327.16309999999999</v>
      </c>
      <c r="H1460" s="1">
        <v>2.1186739999999999E-6</v>
      </c>
      <c r="I1460">
        <v>288.19409999999999</v>
      </c>
      <c r="J1460">
        <v>-319.31049999999999</v>
      </c>
      <c r="K1460">
        <v>1.110344</v>
      </c>
      <c r="L1460">
        <v>285.76549999999997</v>
      </c>
      <c r="M1460">
        <v>-0.99991920000000001</v>
      </c>
      <c r="N1460">
        <v>-1.2589690000000001E-2</v>
      </c>
      <c r="O1460">
        <v>1.780666E-3</v>
      </c>
      <c r="P1460">
        <v>-0.98613669999999998</v>
      </c>
      <c r="Q1460">
        <v>0.15032139999999999</v>
      </c>
      <c r="R1460">
        <v>-7.0272420000000002E-2</v>
      </c>
      <c r="S1460">
        <v>-3.1744379999999999</v>
      </c>
      <c r="T1460">
        <v>-0.42903150000000001</v>
      </c>
      <c r="U1460">
        <v>0.93856810000000002</v>
      </c>
      <c r="V1460">
        <v>-7.214885E-2</v>
      </c>
      <c r="W1460">
        <v>0.16267010000000001</v>
      </c>
      <c r="X1460">
        <v>0.98403910000000006</v>
      </c>
      <c r="Y1460">
        <v>0.27926570000000001</v>
      </c>
      <c r="Z1460">
        <v>1.9987930000000001E-2</v>
      </c>
      <c r="AA1460">
        <v>0.96000580000000002</v>
      </c>
      <c r="AB1460">
        <v>34</v>
      </c>
      <c r="AC1460">
        <v>-7.85259999999999</v>
      </c>
      <c r="AD1460">
        <v>-1.110341881326</v>
      </c>
      <c r="AE1460">
        <v>2.4286000000000101</v>
      </c>
      <c r="AF1460">
        <v>2.3713400332746999</v>
      </c>
      <c r="AG1460">
        <v>-1.110341881326</v>
      </c>
      <c r="AH1460">
        <v>7.7161090623352599</v>
      </c>
      <c r="AI1460">
        <v>97.831893136170706</v>
      </c>
      <c r="AJ1460">
        <v>72.916587523366601</v>
      </c>
      <c r="AK1460">
        <v>8.1482790642374407</v>
      </c>
      <c r="AL1460">
        <v>80.638087356799403</v>
      </c>
      <c r="AM1460">
        <v>94.1933709925014</v>
      </c>
      <c r="AN1460">
        <v>0.99999998415957103</v>
      </c>
    </row>
    <row r="1461" spans="1:40" x14ac:dyDescent="0.25">
      <c r="A1461" t="str">
        <f>"20190304155350970"</f>
        <v>20190304155350970</v>
      </c>
      <c r="B1461" t="str">
        <f>"1551686030957480"</f>
        <v>1551686030957480</v>
      </c>
      <c r="C1461" t="s">
        <v>40</v>
      </c>
      <c r="D1461">
        <v>4.5146699999999997</v>
      </c>
      <c r="E1461">
        <v>0.64720649999999902</v>
      </c>
      <c r="F1461" t="s">
        <v>63</v>
      </c>
      <c r="G1461">
        <v>-327.6472</v>
      </c>
      <c r="H1461" s="1">
        <v>2.3719729999999998E-6</v>
      </c>
      <c r="I1461">
        <v>288.29329999999999</v>
      </c>
      <c r="J1461">
        <v>-319.64370000000002</v>
      </c>
      <c r="K1461">
        <v>1.110349</v>
      </c>
      <c r="L1461">
        <v>285.76569999999998</v>
      </c>
      <c r="M1461">
        <v>-0.99992110000000001</v>
      </c>
      <c r="N1461">
        <v>-1.249227E-2</v>
      </c>
      <c r="O1461">
        <v>1.4136629999999999E-3</v>
      </c>
      <c r="P1461">
        <v>-0.98624970000000001</v>
      </c>
      <c r="Q1461">
        <v>0.14954029999999999</v>
      </c>
      <c r="R1461">
        <v>-7.0354570000000005E-2</v>
      </c>
      <c r="S1461">
        <v>-3.1752319999999998</v>
      </c>
      <c r="T1461">
        <v>-0.42289840000000001</v>
      </c>
      <c r="U1461">
        <v>0.96276859999999997</v>
      </c>
      <c r="V1461">
        <v>-7.1872169999999999E-2</v>
      </c>
      <c r="W1461">
        <v>0.16179350000000001</v>
      </c>
      <c r="X1461">
        <v>0.98420390000000002</v>
      </c>
      <c r="Y1461">
        <v>0.28627279999999999</v>
      </c>
      <c r="Z1461">
        <v>2.0237229999999998E-2</v>
      </c>
      <c r="AA1461">
        <v>0.95793439999999996</v>
      </c>
      <c r="AB1461">
        <v>34</v>
      </c>
      <c r="AC1461">
        <v>-8.0034999999999705</v>
      </c>
      <c r="AD1461">
        <v>-1.110346628027</v>
      </c>
      <c r="AE1461">
        <v>2.5276000000000001</v>
      </c>
      <c r="AF1461">
        <v>2.4730017872116701</v>
      </c>
      <c r="AG1461">
        <v>-1.110346628027</v>
      </c>
      <c r="AH1461">
        <v>7.8693423464201002</v>
      </c>
      <c r="AI1461">
        <v>97.666358262258001</v>
      </c>
      <c r="AJ1461">
        <v>72.554270005100193</v>
      </c>
      <c r="AK1461">
        <v>8.3231698552344699</v>
      </c>
      <c r="AL1461">
        <v>80.688987566593397</v>
      </c>
      <c r="AM1461">
        <v>94.176650079952296</v>
      </c>
      <c r="AN1461">
        <v>1.0000000311189801</v>
      </c>
    </row>
    <row r="1462" spans="1:40" x14ac:dyDescent="0.25">
      <c r="A1462" t="str">
        <f>"20190304155350992"</f>
        <v>20190304155350992</v>
      </c>
      <c r="B1462" t="str">
        <f>"1551686030987737"</f>
        <v>1551686030987737</v>
      </c>
      <c r="C1462" t="s">
        <v>40</v>
      </c>
      <c r="D1462">
        <v>4.4743930000000001</v>
      </c>
      <c r="E1462">
        <v>0.65017860000000005</v>
      </c>
      <c r="F1462" t="s">
        <v>63</v>
      </c>
      <c r="G1462">
        <v>-328.03559999999999</v>
      </c>
      <c r="H1462" s="1">
        <v>2.5752360000000001E-6</v>
      </c>
      <c r="I1462">
        <v>288.37060000000002</v>
      </c>
      <c r="J1462">
        <v>-319.96539999999999</v>
      </c>
      <c r="K1462">
        <v>1.110352</v>
      </c>
      <c r="L1462">
        <v>285.76580000000001</v>
      </c>
      <c r="M1462">
        <v>-0.99992250000000005</v>
      </c>
      <c r="N1462">
        <v>-1.240495E-2</v>
      </c>
      <c r="O1462">
        <v>1.04645E-3</v>
      </c>
      <c r="P1462">
        <v>-0.98630229999999997</v>
      </c>
      <c r="Q1462">
        <v>0.14906029999999901</v>
      </c>
      <c r="R1462">
        <v>-7.063208E-2</v>
      </c>
      <c r="S1462">
        <v>-3.1758730000000002</v>
      </c>
      <c r="T1462">
        <v>-0.42020679999999999</v>
      </c>
      <c r="U1462">
        <v>0.98583980000000004</v>
      </c>
      <c r="V1462">
        <v>-7.1791160000000007E-2</v>
      </c>
      <c r="W1462">
        <v>0.16122700000000001</v>
      </c>
      <c r="X1462">
        <v>0.98430280000000003</v>
      </c>
      <c r="Y1462">
        <v>0.29290250000000001</v>
      </c>
      <c r="Z1462">
        <v>2.0599449999999998E-2</v>
      </c>
      <c r="AA1462">
        <v>0.9559204</v>
      </c>
      <c r="AB1462">
        <v>34</v>
      </c>
      <c r="AC1462">
        <v>-8.0701999999999998</v>
      </c>
      <c r="AD1462">
        <v>-1.110349424764</v>
      </c>
      <c r="AE1462">
        <v>2.6048000000000102</v>
      </c>
      <c r="AF1462">
        <v>2.5525913270079901</v>
      </c>
      <c r="AG1462">
        <v>-1.110349424764</v>
      </c>
      <c r="AH1462">
        <v>7.9368524641101601</v>
      </c>
      <c r="AI1462">
        <v>97.585994883549603</v>
      </c>
      <c r="AJ1462">
        <v>72.171557712137798</v>
      </c>
      <c r="AK1462">
        <v>8.4108397538439501</v>
      </c>
      <c r="AL1462">
        <v>80.721877697310404</v>
      </c>
      <c r="AM1462">
        <v>94.171541335058805</v>
      </c>
      <c r="AN1462">
        <v>1.0000000591354901</v>
      </c>
    </row>
    <row r="1463" spans="1:40" x14ac:dyDescent="0.25">
      <c r="A1463" t="str">
        <f>"20190304155351015"</f>
        <v>20190304155351015</v>
      </c>
      <c r="B1463" t="str">
        <f>"1551686031007257"</f>
        <v>1551686031007257</v>
      </c>
      <c r="C1463" t="s">
        <v>40</v>
      </c>
      <c r="D1463">
        <v>4.5229540000000004</v>
      </c>
      <c r="E1463">
        <v>0.65154400000000001</v>
      </c>
      <c r="F1463" t="s">
        <v>63</v>
      </c>
      <c r="G1463">
        <v>-328.46339999999998</v>
      </c>
      <c r="H1463" s="1">
        <v>2.7988319999999998E-6</v>
      </c>
      <c r="I1463">
        <v>288.46370000000002</v>
      </c>
      <c r="J1463">
        <v>-320.31450000000001</v>
      </c>
      <c r="K1463">
        <v>1.110349</v>
      </c>
      <c r="L1463">
        <v>285.76569999999998</v>
      </c>
      <c r="M1463">
        <v>-0.99992409999999998</v>
      </c>
      <c r="N1463">
        <v>-1.2315339999999999E-2</v>
      </c>
      <c r="O1463">
        <v>6.287625E-4</v>
      </c>
      <c r="P1463">
        <v>-0.98633990000000005</v>
      </c>
      <c r="Q1463">
        <v>0.14878479999999999</v>
      </c>
      <c r="R1463">
        <v>-7.0688490000000007E-2</v>
      </c>
      <c r="S1463">
        <v>-3.1766049999999999</v>
      </c>
      <c r="T1463">
        <v>-0.41505530000000002</v>
      </c>
      <c r="U1463">
        <v>1.0085139999999999</v>
      </c>
      <c r="V1463">
        <v>-7.1440649999999994E-2</v>
      </c>
      <c r="W1463">
        <v>0.16086129999999901</v>
      </c>
      <c r="X1463">
        <v>0.98438809999999999</v>
      </c>
      <c r="Y1463">
        <v>0.29945270000000002</v>
      </c>
      <c r="Z1463">
        <v>2.0842200000000002E-2</v>
      </c>
      <c r="AA1463">
        <v>0.9538835</v>
      </c>
      <c r="AB1463">
        <v>34</v>
      </c>
      <c r="AC1463">
        <v>-8.1488999999999692</v>
      </c>
      <c r="AD1463">
        <v>-1.1103462011679901</v>
      </c>
      <c r="AE1463">
        <v>2.6980000000000302</v>
      </c>
      <c r="AF1463">
        <v>2.6485599471235002</v>
      </c>
      <c r="AG1463">
        <v>-1.1103462011679901</v>
      </c>
      <c r="AH1463">
        <v>8.01646433388993</v>
      </c>
      <c r="AI1463">
        <v>97.492317995506696</v>
      </c>
      <c r="AJ1463">
        <v>71.716959571746898</v>
      </c>
      <c r="AK1463">
        <v>8.5153648716002994</v>
      </c>
      <c r="AL1463">
        <v>80.7431075839404</v>
      </c>
      <c r="AM1463">
        <v>94.150887300886197</v>
      </c>
      <c r="AN1463">
        <v>1.0000000278658601</v>
      </c>
    </row>
    <row r="1464" spans="1:40" x14ac:dyDescent="0.25">
      <c r="A1464" t="str">
        <f>"20190304155351036"</f>
        <v>20190304155351036</v>
      </c>
      <c r="B1464" t="str">
        <f>"1551686031027756"</f>
        <v>1551686031027756</v>
      </c>
      <c r="C1464" t="s">
        <v>40</v>
      </c>
      <c r="D1464">
        <v>4.5252999999999997</v>
      </c>
      <c r="E1464">
        <v>0.65269569999999999</v>
      </c>
      <c r="F1464" t="s">
        <v>63</v>
      </c>
      <c r="G1464">
        <v>-328.84949999999998</v>
      </c>
      <c r="H1464" s="1">
        <v>3.00262E-6</v>
      </c>
      <c r="I1464">
        <v>288.50259999999997</v>
      </c>
      <c r="J1464">
        <v>-320.6431</v>
      </c>
      <c r="K1464">
        <v>1.1103590000000001</v>
      </c>
      <c r="L1464">
        <v>285.76549999999997</v>
      </c>
      <c r="M1464">
        <v>-0.99992510000000001</v>
      </c>
      <c r="N1464">
        <v>-1.223778E-2</v>
      </c>
      <c r="O1464">
        <v>2.1471439999999999E-4</v>
      </c>
      <c r="P1464">
        <v>-0.98631100000000005</v>
      </c>
      <c r="Q1464">
        <v>0.14883360000000001</v>
      </c>
      <c r="R1464">
        <v>-7.0986640000000004E-2</v>
      </c>
      <c r="S1464">
        <v>-3.1769099999999999</v>
      </c>
      <c r="T1464">
        <v>-0.41329369999999999</v>
      </c>
      <c r="U1464">
        <v>1.018707</v>
      </c>
      <c r="V1464">
        <v>-7.133726E-2</v>
      </c>
      <c r="W1464">
        <v>0.16083159999999999</v>
      </c>
      <c r="X1464">
        <v>0.98440039999999995</v>
      </c>
      <c r="Y1464">
        <v>0.302593</v>
      </c>
      <c r="Z1464">
        <v>2.100631E-2</v>
      </c>
      <c r="AA1464">
        <v>0.95288839999999997</v>
      </c>
      <c r="AB1464">
        <v>34</v>
      </c>
      <c r="AC1464">
        <v>-8.2063999999999702</v>
      </c>
      <c r="AD1464">
        <v>-1.1103559973799999</v>
      </c>
      <c r="AE1464">
        <v>2.7370999999999901</v>
      </c>
      <c r="AF1464">
        <v>2.6910050636231699</v>
      </c>
      <c r="AG1464">
        <v>-1.1103559973799999</v>
      </c>
      <c r="AH1464">
        <v>8.0739736326096594</v>
      </c>
      <c r="AI1464">
        <v>97.433233997913305</v>
      </c>
      <c r="AJ1464">
        <v>71.567091634019505</v>
      </c>
      <c r="AK1464">
        <v>8.5827413402385293</v>
      </c>
      <c r="AL1464">
        <v>80.744831250953794</v>
      </c>
      <c r="AM1464">
        <v>94.144849415622502</v>
      </c>
      <c r="AN1464">
        <v>0.99999997787151296</v>
      </c>
    </row>
    <row r="1465" spans="1:40" x14ac:dyDescent="0.25">
      <c r="A1465" t="str">
        <f>"20190304155351058"</f>
        <v>20190304155351058</v>
      </c>
      <c r="B1465" t="str">
        <f>"1551686031047273"</f>
        <v>1551686031047273</v>
      </c>
      <c r="C1465" t="s">
        <v>40</v>
      </c>
      <c r="D1465">
        <v>4.4784610000000002</v>
      </c>
      <c r="E1465">
        <v>0.6536052</v>
      </c>
      <c r="F1465" t="s">
        <v>63</v>
      </c>
      <c r="G1465">
        <v>-329.23329999999999</v>
      </c>
      <c r="H1465" s="1">
        <v>3.2051820000000002E-6</v>
      </c>
      <c r="I1465">
        <v>288.5401</v>
      </c>
      <c r="J1465">
        <v>-320.9785</v>
      </c>
      <c r="K1465">
        <v>1.1103700000000001</v>
      </c>
      <c r="L1465">
        <v>285.76510000000002</v>
      </c>
      <c r="M1465">
        <v>-0.99992610000000004</v>
      </c>
      <c r="N1465">
        <v>-1.216311E-2</v>
      </c>
      <c r="O1465">
        <v>-2.3129100000000001E-4</v>
      </c>
      <c r="P1465">
        <v>-0.98626879999999995</v>
      </c>
      <c r="Q1465">
        <v>0.14899560000000001</v>
      </c>
      <c r="R1465">
        <v>-7.1237170000000002E-2</v>
      </c>
      <c r="S1465">
        <v>-3.1774900000000001</v>
      </c>
      <c r="T1465">
        <v>-0.4107189</v>
      </c>
      <c r="U1465">
        <v>1.0263059999999999</v>
      </c>
      <c r="V1465">
        <v>-7.1154590000000004E-2</v>
      </c>
      <c r="W1465">
        <v>0.1609168</v>
      </c>
      <c r="X1465">
        <v>0.98439969999999999</v>
      </c>
      <c r="Y1465">
        <v>0.30504229999999999</v>
      </c>
      <c r="Z1465">
        <v>2.108699E-2</v>
      </c>
      <c r="AA1465">
        <v>0.95210530000000004</v>
      </c>
      <c r="AB1465">
        <v>34</v>
      </c>
      <c r="AC1465">
        <v>-8.2547999999999799</v>
      </c>
      <c r="AD1465">
        <v>-1.110366794818</v>
      </c>
      <c r="AE1465">
        <v>2.7749999999999702</v>
      </c>
      <c r="AF1465">
        <v>2.73248921888232</v>
      </c>
      <c r="AG1465">
        <v>-1.110366794818</v>
      </c>
      <c r="AH1465">
        <v>8.1221224060447295</v>
      </c>
      <c r="AI1465">
        <v>97.3828404925749</v>
      </c>
      <c r="AJ1465">
        <v>71.405747268745401</v>
      </c>
      <c r="AK1465">
        <v>8.6410811898232094</v>
      </c>
      <c r="AL1465">
        <v>80.739885255252602</v>
      </c>
      <c r="AM1465">
        <v>94.134275671155194</v>
      </c>
      <c r="AN1465">
        <v>0.99999998078019803</v>
      </c>
    </row>
    <row r="1466" spans="1:40" x14ac:dyDescent="0.25">
      <c r="A1466" t="str">
        <f>"20190304155351081"</f>
        <v>20190304155351081</v>
      </c>
      <c r="B1466" t="str">
        <f>"1551686031077529"</f>
        <v>1551686031077529</v>
      </c>
      <c r="C1466" t="s">
        <v>40</v>
      </c>
      <c r="D1466">
        <v>4.4969289999999997</v>
      </c>
      <c r="E1466">
        <v>0.66840119999999903</v>
      </c>
      <c r="F1466" t="s">
        <v>63</v>
      </c>
      <c r="G1466">
        <v>-329.62610000000001</v>
      </c>
      <c r="H1466" s="1">
        <v>3.412732E-6</v>
      </c>
      <c r="I1466">
        <v>288.57459999999998</v>
      </c>
      <c r="J1466">
        <v>-321.32040000000001</v>
      </c>
      <c r="K1466">
        <v>1.11039</v>
      </c>
      <c r="L1466">
        <v>285.76459999999997</v>
      </c>
      <c r="M1466">
        <v>-0.99992669999999995</v>
      </c>
      <c r="N1466">
        <v>-1.209083E-2</v>
      </c>
      <c r="O1466">
        <v>-7.1191620000000001E-4</v>
      </c>
      <c r="P1466">
        <v>-0.98620980000000003</v>
      </c>
      <c r="Q1466">
        <v>0.1493099</v>
      </c>
      <c r="R1466">
        <v>-7.1393529999999997E-2</v>
      </c>
      <c r="S1466">
        <v>-3.1779790000000001</v>
      </c>
      <c r="T1466">
        <v>-0.40805609999999998</v>
      </c>
      <c r="U1466">
        <v>1.0324709999999999</v>
      </c>
      <c r="V1466">
        <v>-7.0846220000000001E-2</v>
      </c>
      <c r="W1466">
        <v>0.16115589999999999</v>
      </c>
      <c r="X1466">
        <v>0.98438289999999995</v>
      </c>
      <c r="Y1466">
        <v>0.30714229999999998</v>
      </c>
      <c r="Z1466">
        <v>2.1142689999999999E-2</v>
      </c>
      <c r="AA1466">
        <v>0.95142870000000002</v>
      </c>
      <c r="AB1466">
        <v>34</v>
      </c>
      <c r="AC1466">
        <v>-8.3056999999999999</v>
      </c>
      <c r="AD1466">
        <v>-1.1103865872680001</v>
      </c>
      <c r="AE1466">
        <v>2.81</v>
      </c>
      <c r="AF1466">
        <v>2.7714658996094101</v>
      </c>
      <c r="AG1466">
        <v>-1.1103865872680001</v>
      </c>
      <c r="AH1466">
        <v>8.1726304776881307</v>
      </c>
      <c r="AI1466">
        <v>97.331924700912595</v>
      </c>
      <c r="AJ1466">
        <v>71.267404359079904</v>
      </c>
      <c r="AK1466">
        <v>8.7009120516598397</v>
      </c>
      <c r="AL1466">
        <v>80.726005341377004</v>
      </c>
      <c r="AM1466">
        <v>94.1164902700759</v>
      </c>
      <c r="AN1466">
        <v>1.0000000524027499</v>
      </c>
    </row>
    <row r="1467" spans="1:40" x14ac:dyDescent="0.25">
      <c r="A1467" t="str">
        <f>"20190304155351103"</f>
        <v>20190304155351103</v>
      </c>
      <c r="B1467" t="str">
        <f>"1551686031098025"</f>
        <v>1551686031098025</v>
      </c>
      <c r="C1467" t="s">
        <v>40</v>
      </c>
      <c r="D1467">
        <v>4.4741600000000004</v>
      </c>
      <c r="E1467">
        <v>0.66780589999999995</v>
      </c>
      <c r="F1467" t="s">
        <v>63</v>
      </c>
      <c r="G1467">
        <v>-330.34719999999999</v>
      </c>
      <c r="H1467" s="1">
        <v>-1.544591E-6</v>
      </c>
      <c r="I1467">
        <v>289.02159999999998</v>
      </c>
      <c r="J1467">
        <v>-321.65550000000002</v>
      </c>
      <c r="K1467">
        <v>1.110401</v>
      </c>
      <c r="L1467">
        <v>285.76389999999998</v>
      </c>
      <c r="M1467">
        <v>-0.99992700000000001</v>
      </c>
      <c r="N1467">
        <v>-1.20262999999999E-2</v>
      </c>
      <c r="O1467">
        <v>-1.2110840000000001E-3</v>
      </c>
      <c r="P1467">
        <v>-0.98614440000000003</v>
      </c>
      <c r="Q1467">
        <v>0.14960019999999999</v>
      </c>
      <c r="R1467">
        <v>-7.1687100000000004E-2</v>
      </c>
      <c r="S1467">
        <v>-3.184418</v>
      </c>
      <c r="T1467">
        <v>-0.39171859999999997</v>
      </c>
      <c r="U1467">
        <v>1.148987</v>
      </c>
      <c r="V1467">
        <v>-7.0656339999999998E-2</v>
      </c>
      <c r="W1467">
        <v>0.16137850000000001</v>
      </c>
      <c r="X1467">
        <v>0.98436000000000001</v>
      </c>
      <c r="Y1467">
        <v>0.33803119999999998</v>
      </c>
      <c r="Z1467">
        <v>2.2318060000000001E-2</v>
      </c>
      <c r="AA1467">
        <v>0.94087019999999999</v>
      </c>
      <c r="AB1467">
        <v>34</v>
      </c>
      <c r="AC1467">
        <v>-8.69169999999996</v>
      </c>
      <c r="AD1467">
        <v>-1.110402544591</v>
      </c>
      <c r="AE1467">
        <v>3.2576999999999998</v>
      </c>
      <c r="AF1467">
        <v>3.2221137173085102</v>
      </c>
      <c r="AG1467">
        <v>-1.110402544591</v>
      </c>
      <c r="AH1467">
        <v>8.5651734858425304</v>
      </c>
      <c r="AI1467">
        <v>96.918432896756499</v>
      </c>
      <c r="AJ1467">
        <v>69.384312932923194</v>
      </c>
      <c r="AK1467">
        <v>9.2183082754311094</v>
      </c>
      <c r="AL1467">
        <v>80.713081413577598</v>
      </c>
      <c r="AM1467">
        <v>94.105590330526596</v>
      </c>
      <c r="AN1467">
        <v>0.99999997412222197</v>
      </c>
    </row>
    <row r="1468" spans="1:40" x14ac:dyDescent="0.25">
      <c r="A1468" t="str">
        <f>"20190304155351126"</f>
        <v>20190304155351126</v>
      </c>
      <c r="B1468" t="str">
        <f>"1551686031117545"</f>
        <v>1551686031117545</v>
      </c>
      <c r="C1468" t="s">
        <v>40</v>
      </c>
      <c r="D1468">
        <v>4.4612040000000004</v>
      </c>
      <c r="E1468">
        <v>0.66735089999999997</v>
      </c>
      <c r="F1468" t="s">
        <v>63</v>
      </c>
      <c r="G1468">
        <v>-330.95839999999998</v>
      </c>
      <c r="H1468" s="1">
        <v>-1.2229720000000001E-6</v>
      </c>
      <c r="I1468">
        <v>289.1046</v>
      </c>
      <c r="J1468">
        <v>-321.99680000000001</v>
      </c>
      <c r="K1468">
        <v>1.1104179999999999</v>
      </c>
      <c r="L1468">
        <v>285.7629</v>
      </c>
      <c r="M1468">
        <v>-0.99992689999999995</v>
      </c>
      <c r="N1468">
        <v>-1.196787E-2</v>
      </c>
      <c r="O1468">
        <v>-1.744979E-3</v>
      </c>
      <c r="P1468">
        <v>-0.98606110000000002</v>
      </c>
      <c r="Q1468">
        <v>0.14993919999999999</v>
      </c>
      <c r="R1468">
        <v>-7.2123969999999996E-2</v>
      </c>
      <c r="S1468">
        <v>-3.1828919999999998</v>
      </c>
      <c r="T1468">
        <v>-0.3799129</v>
      </c>
      <c r="U1468">
        <v>1.1430049999999901</v>
      </c>
      <c r="V1468">
        <v>-7.0576109999999997E-2</v>
      </c>
      <c r="W1468">
        <v>0.16165560000000001</v>
      </c>
      <c r="X1468">
        <v>0.98432030000000004</v>
      </c>
      <c r="Y1468">
        <v>0.33725329999999998</v>
      </c>
      <c r="Z1468">
        <v>2.1721770000000001E-2</v>
      </c>
      <c r="AA1468">
        <v>0.94116330000000004</v>
      </c>
      <c r="AB1468">
        <v>34</v>
      </c>
      <c r="AC1468">
        <v>-8.9615999999999705</v>
      </c>
      <c r="AD1468">
        <v>-1.110419222972</v>
      </c>
      <c r="AE1468">
        <v>3.3416999999999999</v>
      </c>
      <c r="AF1468">
        <v>3.31268186206702</v>
      </c>
      <c r="AG1468">
        <v>-1.110419222972</v>
      </c>
      <c r="AH1468">
        <v>8.8366447156087293</v>
      </c>
      <c r="AI1468">
        <v>96.710819473215295</v>
      </c>
      <c r="AJ1468">
        <v>69.449980056405394</v>
      </c>
      <c r="AK1468">
        <v>9.5022724545189305</v>
      </c>
      <c r="AL1468">
        <v>80.696993634869699</v>
      </c>
      <c r="AM1468">
        <v>94.101109199705306</v>
      </c>
      <c r="AN1468">
        <v>0.99999998665309098</v>
      </c>
    </row>
    <row r="1469" spans="1:40" x14ac:dyDescent="0.25">
      <c r="A1469" t="str">
        <f>"20190304155351148"</f>
        <v>20190304155351148</v>
      </c>
      <c r="B1469" t="str">
        <f>"1551686031138041"</f>
        <v>1551686031138041</v>
      </c>
      <c r="C1469" t="s">
        <v>40</v>
      </c>
      <c r="D1469">
        <v>4.3952460000000002</v>
      </c>
      <c r="E1469">
        <v>0.66722840000000005</v>
      </c>
      <c r="F1469" t="s">
        <v>63</v>
      </c>
      <c r="G1469">
        <v>-331.35079999999999</v>
      </c>
      <c r="H1469" s="1">
        <v>-1.014277E-6</v>
      </c>
      <c r="I1469">
        <v>289.10730000000001</v>
      </c>
      <c r="J1469">
        <v>-322.34140000000002</v>
      </c>
      <c r="K1469">
        <v>1.110439</v>
      </c>
      <c r="L1469">
        <v>285.76170000000002</v>
      </c>
      <c r="M1469">
        <v>-0.99992630000000005</v>
      </c>
      <c r="N1469">
        <v>-1.191589E-2</v>
      </c>
      <c r="O1469">
        <v>-2.3047499999999999E-3</v>
      </c>
      <c r="P1469">
        <v>-0.98600180000000004</v>
      </c>
      <c r="Q1469">
        <v>0.15005499999999999</v>
      </c>
      <c r="R1469">
        <v>-7.2688559999999999E-2</v>
      </c>
      <c r="S1469">
        <v>-3.1830750000000001</v>
      </c>
      <c r="T1469">
        <v>-0.37786419999999998</v>
      </c>
      <c r="U1469">
        <v>1.1380619999999999</v>
      </c>
      <c r="V1469">
        <v>-7.0596989999999998E-2</v>
      </c>
      <c r="W1469">
        <v>0.16171679999999999</v>
      </c>
      <c r="X1469">
        <v>0.98430879999999998</v>
      </c>
      <c r="Y1469">
        <v>0.3364935</v>
      </c>
      <c r="Z1469">
        <v>2.1620299999999999E-2</v>
      </c>
      <c r="AA1469">
        <v>0.94143759999999999</v>
      </c>
      <c r="AB1469">
        <v>34</v>
      </c>
      <c r="AC1469">
        <v>-9.0093999999999692</v>
      </c>
      <c r="AD1469">
        <v>-1.1104400142769999</v>
      </c>
      <c r="AE1469">
        <v>3.3455999999999899</v>
      </c>
      <c r="AF1469">
        <v>3.3220067756146299</v>
      </c>
      <c r="AG1469">
        <v>-1.1104400142769999</v>
      </c>
      <c r="AH1469">
        <v>8.8830718966444309</v>
      </c>
      <c r="AI1469">
        <v>96.678163202233705</v>
      </c>
      <c r="AJ1469">
        <v>69.495686390549693</v>
      </c>
      <c r="AK1469">
        <v>9.54870527157955</v>
      </c>
      <c r="AL1469">
        <v>80.693440844249096</v>
      </c>
      <c r="AM1469">
        <v>94.102366139526694</v>
      </c>
      <c r="AN1469">
        <v>1.0000000360783601</v>
      </c>
    </row>
    <row r="1470" spans="1:40" x14ac:dyDescent="0.25">
      <c r="A1470" t="str">
        <f>"20190304155351173"</f>
        <v>20190304155351173</v>
      </c>
      <c r="B1470" t="str">
        <f>"1551686031168298"</f>
        <v>1551686031168298</v>
      </c>
      <c r="C1470" t="s">
        <v>40</v>
      </c>
      <c r="D1470">
        <v>4.4132910000000001</v>
      </c>
      <c r="E1470">
        <v>0.66427599999999998</v>
      </c>
      <c r="F1470" t="s">
        <v>63</v>
      </c>
      <c r="G1470">
        <v>-331.62990000000002</v>
      </c>
      <c r="H1470" s="1">
        <v>-8.6422680000000004E-7</v>
      </c>
      <c r="I1470">
        <v>289.07279999999997</v>
      </c>
      <c r="J1470">
        <v>-322.70780000000002</v>
      </c>
      <c r="K1470">
        <v>1.110449</v>
      </c>
      <c r="L1470">
        <v>285.76029999999997</v>
      </c>
      <c r="M1470">
        <v>-0.99992539999999996</v>
      </c>
      <c r="N1470">
        <v>-1.186751E-2</v>
      </c>
      <c r="O1470">
        <v>-2.922226E-3</v>
      </c>
      <c r="P1470">
        <v>-0.98586949999999995</v>
      </c>
      <c r="Q1470">
        <v>0.15034929999999999</v>
      </c>
      <c r="R1470">
        <v>-7.3868859999999995E-2</v>
      </c>
      <c r="S1470">
        <v>-3.1842039999999998</v>
      </c>
      <c r="T1470">
        <v>-0.38067210000000001</v>
      </c>
      <c r="U1470">
        <v>1.1350709999999999</v>
      </c>
      <c r="V1470">
        <v>-7.1176580000000003E-2</v>
      </c>
      <c r="W1470">
        <v>0.16195870000000001</v>
      </c>
      <c r="X1470">
        <v>0.98422719999999997</v>
      </c>
      <c r="Y1470">
        <v>0.3361519</v>
      </c>
      <c r="Z1470">
        <v>2.1795189999999999E-2</v>
      </c>
      <c r="AA1470">
        <v>0.94155560000000005</v>
      </c>
      <c r="AB1470">
        <v>34</v>
      </c>
      <c r="AC1470">
        <v>-8.9221000000000004</v>
      </c>
      <c r="AD1470">
        <v>-1.1104498642267999</v>
      </c>
      <c r="AE1470">
        <v>3.3125</v>
      </c>
      <c r="AF1470">
        <v>3.29371974064893</v>
      </c>
      <c r="AG1470">
        <v>-1.1104498642267999</v>
      </c>
      <c r="AH1470">
        <v>8.7926787781021094</v>
      </c>
      <c r="AI1470">
        <v>96.744870947366607</v>
      </c>
      <c r="AJ1470">
        <v>69.464151503530204</v>
      </c>
      <c r="AK1470">
        <v>9.4547812627151302</v>
      </c>
      <c r="AL1470">
        <v>80.679395070500306</v>
      </c>
      <c r="AM1470">
        <v>94.136271216856102</v>
      </c>
      <c r="AN1470">
        <v>0.99999995363301197</v>
      </c>
    </row>
    <row r="1471" spans="1:40" x14ac:dyDescent="0.25">
      <c r="A1471" t="str">
        <f>"20190304155351192"</f>
        <v>20190304155351192</v>
      </c>
      <c r="B1471" t="str">
        <f>"1551686031187817"</f>
        <v>1551686031187817</v>
      </c>
      <c r="C1471" t="s">
        <v>40</v>
      </c>
      <c r="D1471">
        <v>4.3732810000000004</v>
      </c>
      <c r="E1471">
        <v>0.6639043</v>
      </c>
      <c r="F1471" t="s">
        <v>63</v>
      </c>
      <c r="G1471">
        <v>-332.15519999999998</v>
      </c>
      <c r="H1471" s="1">
        <v>-5.8357359999999996E-7</v>
      </c>
      <c r="I1471">
        <v>289.0471</v>
      </c>
      <c r="J1471">
        <v>-323.0102</v>
      </c>
      <c r="K1471">
        <v>1.11046</v>
      </c>
      <c r="L1471">
        <v>285.75889999999998</v>
      </c>
      <c r="M1471">
        <v>-0.99992409999999998</v>
      </c>
      <c r="N1471">
        <v>-1.183231E-2</v>
      </c>
      <c r="O1471">
        <v>-3.4488869999999999E-3</v>
      </c>
      <c r="P1471">
        <v>-0.98585769999999995</v>
      </c>
      <c r="Q1471">
        <v>0.1500734</v>
      </c>
      <c r="R1471">
        <v>-7.4585760000000001E-2</v>
      </c>
      <c r="S1471">
        <v>-3.1830440000000002</v>
      </c>
      <c r="T1471">
        <v>-0.37413410000000002</v>
      </c>
      <c r="U1471">
        <v>1.1074219999999999</v>
      </c>
      <c r="V1471">
        <v>-7.1379280000000003E-2</v>
      </c>
      <c r="W1471">
        <v>0.16164529999999999</v>
      </c>
      <c r="X1471">
        <v>0.98426409999999998</v>
      </c>
      <c r="Y1471">
        <v>0.32958290000000001</v>
      </c>
      <c r="Z1471">
        <v>2.1122490000000001E-2</v>
      </c>
      <c r="AA1471">
        <v>0.94389029999999996</v>
      </c>
      <c r="AB1471">
        <v>34</v>
      </c>
      <c r="AC1471">
        <v>-9.14499999999998</v>
      </c>
      <c r="AD1471">
        <v>-1.1104605835735999</v>
      </c>
      <c r="AE1471">
        <v>3.28820000000001</v>
      </c>
      <c r="AF1471">
        <v>3.2769365651397302</v>
      </c>
      <c r="AG1471">
        <v>-1.1104605835735999</v>
      </c>
      <c r="AH1471">
        <v>9.0158859763433608</v>
      </c>
      <c r="AI1471">
        <v>96.603061593149405</v>
      </c>
      <c r="AJ1471">
        <v>70.025691608392904</v>
      </c>
      <c r="AK1471">
        <v>9.6569993216343004</v>
      </c>
      <c r="AL1471">
        <v>80.697591880413199</v>
      </c>
      <c r="AM1471">
        <v>94.147854659828198</v>
      </c>
      <c r="AN1471">
        <v>1.0000000115870999</v>
      </c>
    </row>
    <row r="1472" spans="1:40" x14ac:dyDescent="0.25">
      <c r="A1472" t="str">
        <f>"20190304155351215"</f>
        <v>20190304155351215</v>
      </c>
      <c r="B1472" t="str">
        <f>"1551686031208313"</f>
        <v>1551686031208313</v>
      </c>
      <c r="C1472" t="s">
        <v>40</v>
      </c>
      <c r="D1472">
        <v>4.2988239999999998</v>
      </c>
      <c r="E1472">
        <v>0.66207590000000005</v>
      </c>
      <c r="F1472" t="s">
        <v>63</v>
      </c>
      <c r="G1472">
        <v>-332.47590000000002</v>
      </c>
      <c r="H1472" s="1">
        <v>-4.1243910000000002E-7</v>
      </c>
      <c r="I1472">
        <v>289.03620000000001</v>
      </c>
      <c r="J1472">
        <v>-323.34550000000002</v>
      </c>
      <c r="K1472">
        <v>1.110474</v>
      </c>
      <c r="L1472">
        <v>285.75709999999998</v>
      </c>
      <c r="M1472">
        <v>-0.99992230000000004</v>
      </c>
      <c r="N1472">
        <v>-1.179789E-2</v>
      </c>
      <c r="O1472">
        <v>-4.0482920000000002E-3</v>
      </c>
      <c r="P1472">
        <v>-0.98579559999999999</v>
      </c>
      <c r="Q1472">
        <v>0.15022669999999999</v>
      </c>
      <c r="R1472">
        <v>-7.5094610000000006E-2</v>
      </c>
      <c r="S1472">
        <v>-3.1832280000000002</v>
      </c>
      <c r="T1472">
        <v>-0.3734365</v>
      </c>
      <c r="U1472">
        <v>1.102112</v>
      </c>
      <c r="V1472">
        <v>-7.1304220000000001E-2</v>
      </c>
      <c r="W1472">
        <v>0.1617615</v>
      </c>
      <c r="X1472">
        <v>0.98425039999999997</v>
      </c>
      <c r="Y1472">
        <v>0.32873639999999998</v>
      </c>
      <c r="Z1472">
        <v>2.109277E-2</v>
      </c>
      <c r="AA1472">
        <v>0.94418619999999998</v>
      </c>
      <c r="AB1472">
        <v>34</v>
      </c>
      <c r="AC1472">
        <v>-9.1303999999999998</v>
      </c>
      <c r="AD1472">
        <v>-1.1104744124390999</v>
      </c>
      <c r="AE1472">
        <v>3.2791000000000201</v>
      </c>
      <c r="AF1472">
        <v>3.2731521155699701</v>
      </c>
      <c r="AG1472">
        <v>-1.1104744124390999</v>
      </c>
      <c r="AH1472">
        <v>8.9991392908422601</v>
      </c>
      <c r="AI1472">
        <v>96.614783533979704</v>
      </c>
      <c r="AJ1472">
        <v>70.0127446049936</v>
      </c>
      <c r="AK1472">
        <v>9.6400822697901898</v>
      </c>
      <c r="AL1472">
        <v>80.690844859153202</v>
      </c>
      <c r="AM1472">
        <v>94.143565591437905</v>
      </c>
      <c r="AN1472">
        <v>0.99999996228610799</v>
      </c>
    </row>
    <row r="1473" spans="1:40" x14ac:dyDescent="0.25">
      <c r="A1473" t="str">
        <f>"20190304155351237"</f>
        <v>20190304155351237</v>
      </c>
      <c r="B1473" t="str">
        <f>"1551686031227836"</f>
        <v>1551686031227836</v>
      </c>
      <c r="C1473" t="s">
        <v>40</v>
      </c>
      <c r="D1473">
        <v>4.4859039999999997</v>
      </c>
      <c r="E1473">
        <v>0.57804759999999999</v>
      </c>
      <c r="F1473" t="s">
        <v>63</v>
      </c>
      <c r="G1473">
        <v>-332.92950000000002</v>
      </c>
      <c r="H1473" s="1">
        <v>-1.7062349999999999E-7</v>
      </c>
      <c r="I1473">
        <v>289.0265</v>
      </c>
      <c r="J1473">
        <v>-323.68700000000001</v>
      </c>
      <c r="K1473">
        <v>1.110492</v>
      </c>
      <c r="L1473">
        <v>285.75510000000003</v>
      </c>
      <c r="M1473">
        <v>-0.99992000000000003</v>
      </c>
      <c r="N1473">
        <v>-1.1767349999999999E-2</v>
      </c>
      <c r="O1473">
        <v>-4.6732199999999996E-3</v>
      </c>
      <c r="P1473">
        <v>-0.98569479999999998</v>
      </c>
      <c r="Q1473">
        <v>0.15066170000000001</v>
      </c>
      <c r="R1473">
        <v>-7.5545269999999998E-2</v>
      </c>
      <c r="S1473">
        <v>-3.1820680000000001</v>
      </c>
      <c r="T1473">
        <v>-0.36869849999999998</v>
      </c>
      <c r="U1473">
        <v>1.08551</v>
      </c>
      <c r="V1473">
        <v>-7.1145529999999998E-2</v>
      </c>
      <c r="W1473">
        <v>0.16216340000000001</v>
      </c>
      <c r="X1473">
        <v>0.98419579999999995</v>
      </c>
      <c r="Y1473">
        <v>0.32509480000000002</v>
      </c>
      <c r="Z1473">
        <v>2.070309E-2</v>
      </c>
      <c r="AA1473">
        <v>0.94545480000000004</v>
      </c>
      <c r="AB1473">
        <v>34</v>
      </c>
      <c r="AC1473">
        <v>-9.2424999999999997</v>
      </c>
      <c r="AD1473">
        <v>-1.1104921706235</v>
      </c>
      <c r="AE1473">
        <v>3.2713999999999701</v>
      </c>
      <c r="AF1473">
        <v>3.2725758166450598</v>
      </c>
      <c r="AG1473">
        <v>-1.1104921706235</v>
      </c>
      <c r="AH1473">
        <v>9.1102353788654096</v>
      </c>
      <c r="AI1473">
        <v>96.544247987095204</v>
      </c>
      <c r="AJ1473">
        <v>70.240713135707907</v>
      </c>
      <c r="AK1473">
        <v>9.7436817474216202</v>
      </c>
      <c r="AL1473">
        <v>80.667510071344495</v>
      </c>
      <c r="AM1473">
        <v>94.134604522365706</v>
      </c>
      <c r="AN1473">
        <v>1.00000001373809</v>
      </c>
    </row>
    <row r="1474" spans="1:40" x14ac:dyDescent="0.25">
      <c r="A1474" t="str">
        <f>"20190304155351259"</f>
        <v>20190304155351259</v>
      </c>
      <c r="B1474" t="str">
        <f>"1551686031247353"</f>
        <v>1551686031247353</v>
      </c>
      <c r="C1474" t="s">
        <v>40</v>
      </c>
      <c r="D1474">
        <v>4.6410470000000004</v>
      </c>
      <c r="E1474">
        <v>0.55238229999999999</v>
      </c>
      <c r="F1474" t="s">
        <v>63</v>
      </c>
      <c r="G1474">
        <v>-338.81119999999999</v>
      </c>
      <c r="H1474" s="1">
        <v>3.0147799999999998E-6</v>
      </c>
      <c r="I1474">
        <v>287.75740000000002</v>
      </c>
      <c r="J1474">
        <v>-324.02539999999999</v>
      </c>
      <c r="K1474">
        <v>1.110503</v>
      </c>
      <c r="L1474">
        <v>285.75290000000001</v>
      </c>
      <c r="M1474">
        <v>-0.9999171</v>
      </c>
      <c r="N1474">
        <v>-1.1741079999999999E-2</v>
      </c>
      <c r="O1474">
        <v>-5.3050750000000002E-3</v>
      </c>
      <c r="P1474">
        <v>-0.9856277</v>
      </c>
      <c r="Q1474">
        <v>0.15070029999999901</v>
      </c>
      <c r="R1474">
        <v>-7.6340619999999998E-2</v>
      </c>
      <c r="S1474">
        <v>-3.1100159999999999</v>
      </c>
      <c r="T1474">
        <v>-0.22835220000000001</v>
      </c>
      <c r="U1474">
        <v>0.41174319999999998</v>
      </c>
      <c r="V1474">
        <v>-7.1324209999999999E-2</v>
      </c>
      <c r="W1474">
        <v>0.16217279999999901</v>
      </c>
      <c r="X1474">
        <v>0.98418130000000004</v>
      </c>
      <c r="Y1474">
        <v>0.13607659999999999</v>
      </c>
      <c r="Z1474">
        <v>6.0963700000000003E-3</v>
      </c>
      <c r="AA1474">
        <v>0.99067959999999999</v>
      </c>
      <c r="AB1474">
        <v>34</v>
      </c>
      <c r="AC1474">
        <v>-14.785799999999901</v>
      </c>
      <c r="AD1474">
        <v>-1.1104999852199999</v>
      </c>
      <c r="AE1474">
        <v>2.0045000000000002</v>
      </c>
      <c r="AF1474">
        <v>2.0714430670601498</v>
      </c>
      <c r="AG1474">
        <v>-1.1104999852199999</v>
      </c>
      <c r="AH1474">
        <v>14.693568230273099</v>
      </c>
      <c r="AI1474">
        <v>94.279881886482301</v>
      </c>
      <c r="AJ1474">
        <v>81.975541355401802</v>
      </c>
      <c r="AK1474">
        <v>14.880357318792299</v>
      </c>
      <c r="AL1474">
        <v>80.666964095776606</v>
      </c>
      <c r="AM1474">
        <v>94.145013173724394</v>
      </c>
      <c r="AN1474">
        <v>0.99999999563082698</v>
      </c>
    </row>
    <row r="1475" spans="1:40" x14ac:dyDescent="0.25">
      <c r="A1475" t="str">
        <f>"20190304155351281"</f>
        <v>20190304155351281</v>
      </c>
      <c r="B1475" t="str">
        <f>"1551686031277609"</f>
        <v>1551686031277609</v>
      </c>
      <c r="C1475" t="s">
        <v>40</v>
      </c>
      <c r="D1475">
        <v>4.4728149999999998</v>
      </c>
      <c r="E1475">
        <v>0.53307799999999905</v>
      </c>
      <c r="F1475" t="s">
        <v>63</v>
      </c>
      <c r="G1475">
        <v>-344.70420000000001</v>
      </c>
      <c r="H1475" s="1">
        <v>9.6654499999999995E-7</v>
      </c>
      <c r="I1475">
        <v>287.11759999999998</v>
      </c>
      <c r="J1475">
        <v>-324.35359999999997</v>
      </c>
      <c r="K1475">
        <v>1.1105160000000001</v>
      </c>
      <c r="L1475">
        <v>285.75049999999999</v>
      </c>
      <c r="M1475">
        <v>-0.99991379999999996</v>
      </c>
      <c r="N1475">
        <v>-1.1719230000000001E-2</v>
      </c>
      <c r="O1475">
        <v>-5.9278619999999999E-3</v>
      </c>
      <c r="P1475">
        <v>-0.98559160000000001</v>
      </c>
      <c r="Q1475">
        <v>0.15060970000000001</v>
      </c>
      <c r="R1475">
        <v>-7.6982540000000002E-2</v>
      </c>
      <c r="S1475">
        <v>-3.0848390000000001</v>
      </c>
      <c r="T1475">
        <v>-0.16566359999999999</v>
      </c>
      <c r="U1475">
        <v>0.20358280000000001</v>
      </c>
      <c r="V1475">
        <v>-7.1357000000000004E-2</v>
      </c>
      <c r="W1475">
        <v>0.16205890000000001</v>
      </c>
      <c r="X1475">
        <v>0.98419769999999895</v>
      </c>
      <c r="Y1475">
        <v>7.1635089999999998E-2</v>
      </c>
      <c r="Z1475">
        <v>2.5890409999999998E-3</v>
      </c>
      <c r="AA1475">
        <v>0.99742750000000002</v>
      </c>
      <c r="AB1475">
        <v>34</v>
      </c>
      <c r="AC1475">
        <v>-20.3506</v>
      </c>
      <c r="AD1475">
        <v>-1.110515033455</v>
      </c>
      <c r="AE1475">
        <v>1.36709999999999</v>
      </c>
      <c r="AF1475">
        <v>1.48332262138939</v>
      </c>
      <c r="AG1475">
        <v>-1.110515033455</v>
      </c>
      <c r="AH1475">
        <v>20.2820135548519</v>
      </c>
      <c r="AI1475">
        <v>93.125694359270398</v>
      </c>
      <c r="AJ1475">
        <v>85.817127109610496</v>
      </c>
      <c r="AK1475">
        <v>20.366481372044799</v>
      </c>
      <c r="AL1475">
        <v>80.673577710775703</v>
      </c>
      <c r="AM1475">
        <v>94.146843260962797</v>
      </c>
      <c r="AN1475">
        <v>1.0000000106017399</v>
      </c>
    </row>
    <row r="1476" spans="1:40" x14ac:dyDescent="0.25">
      <c r="A1476" t="str">
        <f>"20190304155351304"</f>
        <v>20190304155351304</v>
      </c>
      <c r="B1476" t="str">
        <f>"1551686031298106"</f>
        <v>1551686031298106</v>
      </c>
      <c r="C1476" t="s">
        <v>40</v>
      </c>
      <c r="D1476">
        <v>4.4551569999999998</v>
      </c>
      <c r="E1476">
        <v>0.52736850000000002</v>
      </c>
      <c r="F1476" t="s">
        <v>63</v>
      </c>
      <c r="G1476">
        <v>-351.851</v>
      </c>
      <c r="H1476" s="1">
        <v>-5.517513E-7</v>
      </c>
      <c r="I1476">
        <v>286.1739</v>
      </c>
      <c r="J1476">
        <v>-324.69940000000003</v>
      </c>
      <c r="K1476">
        <v>1.110522</v>
      </c>
      <c r="L1476">
        <v>285.74779999999998</v>
      </c>
      <c r="M1476">
        <v>-0.99990990000000002</v>
      </c>
      <c r="N1476">
        <v>-1.169947E-2</v>
      </c>
      <c r="O1476">
        <v>-6.5947489999999996E-3</v>
      </c>
      <c r="P1476">
        <v>-0.98556200000000005</v>
      </c>
      <c r="Q1476">
        <v>0.1503825</v>
      </c>
      <c r="R1476">
        <v>-7.7798580000000006E-2</v>
      </c>
      <c r="S1476">
        <v>-3.0664370000000001</v>
      </c>
      <c r="T1476">
        <v>-0.12384149999999999</v>
      </c>
      <c r="U1476">
        <v>4.721069E-2</v>
      </c>
      <c r="V1476">
        <v>-7.1520009999999995E-2</v>
      </c>
      <c r="W1476">
        <v>0.1618105</v>
      </c>
      <c r="X1476">
        <v>0.98422670000000001</v>
      </c>
      <c r="Y1476">
        <v>2.1962410000000002E-2</v>
      </c>
      <c r="Z1476">
        <v>7.6091910000000002E-4</v>
      </c>
      <c r="AA1476">
        <v>0.99975849999999999</v>
      </c>
      <c r="AB1476">
        <v>34</v>
      </c>
      <c r="AC1476">
        <v>-27.151599999999899</v>
      </c>
      <c r="AD1476">
        <v>-1.1105225517513</v>
      </c>
      <c r="AE1476">
        <v>0.42610000000001902</v>
      </c>
      <c r="AF1476">
        <v>0.60415053939459995</v>
      </c>
      <c r="AG1476">
        <v>-1.1105225517513</v>
      </c>
      <c r="AH1476">
        <v>27.102870681967499</v>
      </c>
      <c r="AI1476">
        <v>92.345762840680806</v>
      </c>
      <c r="AJ1476">
        <v>88.723030305859893</v>
      </c>
      <c r="AK1476">
        <v>27.132339696672901</v>
      </c>
      <c r="AL1476">
        <v>80.687999989889605</v>
      </c>
      <c r="AM1476">
        <v>94.156161234848199</v>
      </c>
      <c r="AN1476">
        <v>0.99999997336676905</v>
      </c>
    </row>
    <row r="1477" spans="1:40" x14ac:dyDescent="0.25">
      <c r="A1477" t="str">
        <f>"20190304155351326"</f>
        <v>20190304155351326</v>
      </c>
      <c r="B1477" t="str">
        <f>"1551686031317628"</f>
        <v>1551686031317628</v>
      </c>
      <c r="C1477" t="s">
        <v>40</v>
      </c>
      <c r="D1477">
        <v>4.5102739999999999</v>
      </c>
      <c r="E1477">
        <v>0.52296229999999999</v>
      </c>
      <c r="F1477" t="s">
        <v>63</v>
      </c>
      <c r="G1477">
        <v>-355.00940000000003</v>
      </c>
      <c r="H1477" s="1">
        <v>1.128951E-6</v>
      </c>
      <c r="I1477">
        <v>285.73509999999999</v>
      </c>
      <c r="J1477">
        <v>-325.03840000000002</v>
      </c>
      <c r="K1477">
        <v>1.1105309999999999</v>
      </c>
      <c r="L1477">
        <v>285.74489999999997</v>
      </c>
      <c r="M1477">
        <v>-0.9999055</v>
      </c>
      <c r="N1477">
        <v>-1.168289E-2</v>
      </c>
      <c r="O1477">
        <v>-7.25530599999999E-3</v>
      </c>
      <c r="P1477">
        <v>-0.98543860000000005</v>
      </c>
      <c r="Q1477">
        <v>0.15083759999999999</v>
      </c>
      <c r="R1477">
        <v>-7.847722E-2</v>
      </c>
      <c r="S1477">
        <v>-3.0609739999999999</v>
      </c>
      <c r="T1477">
        <v>-0.11215029999999999</v>
      </c>
      <c r="U1477">
        <v>-1.2817379999999999E-3</v>
      </c>
      <c r="V1477">
        <v>-7.1551870000000004E-2</v>
      </c>
      <c r="W1477">
        <v>0.16224659999999999</v>
      </c>
      <c r="X1477">
        <v>0.98415260000000004</v>
      </c>
      <c r="Y1477">
        <v>6.8287729999999998E-3</v>
      </c>
      <c r="Z1477">
        <v>3.4595319999999999E-4</v>
      </c>
      <c r="AA1477">
        <v>0.99997659999999999</v>
      </c>
      <c r="AB1477">
        <v>34</v>
      </c>
      <c r="AC1477">
        <v>-29.971</v>
      </c>
      <c r="AD1477">
        <v>-1.1105298710489999</v>
      </c>
      <c r="AE1477">
        <v>-9.7999999999842605E-3</v>
      </c>
      <c r="AF1477">
        <v>0.207379137039302</v>
      </c>
      <c r="AG1477">
        <v>-1.1105298710489999</v>
      </c>
      <c r="AH1477">
        <v>29.929190570090999</v>
      </c>
      <c r="AI1477">
        <v>92.124947950204202</v>
      </c>
      <c r="AJ1477">
        <v>89.603004326676896</v>
      </c>
      <c r="AK1477">
        <v>29.950504684926401</v>
      </c>
      <c r="AL1477">
        <v>80.662678812642994</v>
      </c>
      <c r="AM1477">
        <v>94.158318158151999</v>
      </c>
      <c r="AN1477">
        <v>0.99999998469940798</v>
      </c>
    </row>
    <row r="1478" spans="1:40" x14ac:dyDescent="0.25">
      <c r="A1478" t="str">
        <f>"20190304155351349"</f>
        <v>20190304155351349</v>
      </c>
      <c r="B1478" t="str">
        <f>"1551686031338121"</f>
        <v>1551686031338121</v>
      </c>
      <c r="C1478" t="s">
        <v>40</v>
      </c>
      <c r="D1478">
        <v>4.4851020000000004</v>
      </c>
      <c r="E1478">
        <v>0.52025319999999997</v>
      </c>
      <c r="F1478" t="s">
        <v>63</v>
      </c>
      <c r="G1478">
        <v>-356.28550000000001</v>
      </c>
      <c r="H1478" s="1">
        <v>1.808027E-6</v>
      </c>
      <c r="I1478">
        <v>285.35289999999998</v>
      </c>
      <c r="J1478">
        <v>-325.39839999999998</v>
      </c>
      <c r="K1478">
        <v>1.110535</v>
      </c>
      <c r="L1478">
        <v>285.74160000000001</v>
      </c>
      <c r="M1478">
        <v>-0.99990029999999996</v>
      </c>
      <c r="N1478">
        <v>-1.16679E-2</v>
      </c>
      <c r="O1478">
        <v>-7.9619770000000003E-3</v>
      </c>
      <c r="P1478">
        <v>-0.98527920000000002</v>
      </c>
      <c r="Q1478">
        <v>0.15133279999999999</v>
      </c>
      <c r="R1478">
        <v>-7.9520939999999998E-2</v>
      </c>
      <c r="S1478">
        <v>-3.0578919999999998</v>
      </c>
      <c r="T1478">
        <v>-0.10867830000000001</v>
      </c>
      <c r="U1478">
        <v>-3.8360600000000002E-2</v>
      </c>
      <c r="V1478">
        <v>-7.1903750000000002E-2</v>
      </c>
      <c r="W1478">
        <v>0.1627237</v>
      </c>
      <c r="X1478">
        <v>0.98404820000000004</v>
      </c>
      <c r="Y1478">
        <v>-4.5799339999999999E-3</v>
      </c>
      <c r="Z1478" s="1">
        <v>8.1894019999999905E-5</v>
      </c>
      <c r="AA1478">
        <v>0.99998949999999998</v>
      </c>
      <c r="AB1478">
        <v>34</v>
      </c>
      <c r="AC1478">
        <v>-30.8871</v>
      </c>
      <c r="AD1478">
        <v>-1.1105331919729999</v>
      </c>
      <c r="AE1478">
        <v>-0.38870000000002802</v>
      </c>
      <c r="AF1478">
        <v>-0.142564305438585</v>
      </c>
      <c r="AG1478">
        <v>-1.1105331919729999</v>
      </c>
      <c r="AH1478">
        <v>30.849342221720701</v>
      </c>
      <c r="AI1478">
        <v>92.061655698018697</v>
      </c>
      <c r="AJ1478">
        <v>90.264779547126807</v>
      </c>
      <c r="AK1478">
        <v>30.869653772993601</v>
      </c>
      <c r="AL1478">
        <v>80.634975037082597</v>
      </c>
      <c r="AM1478">
        <v>94.179137557865403</v>
      </c>
      <c r="AN1478">
        <v>1.00000000586449</v>
      </c>
    </row>
    <row r="1479" spans="1:40" x14ac:dyDescent="0.25">
      <c r="A1479" t="str">
        <f>"20190304155351372"</f>
        <v>20190304155351372</v>
      </c>
      <c r="B1479" t="str">
        <f>"1551686031367401"</f>
        <v>1551686031367401</v>
      </c>
      <c r="C1479" t="s">
        <v>40</v>
      </c>
      <c r="D1479">
        <v>4.486764</v>
      </c>
      <c r="E1479">
        <v>0.51738509999999904</v>
      </c>
      <c r="F1479" t="s">
        <v>63</v>
      </c>
      <c r="G1479">
        <v>-357.33440000000002</v>
      </c>
      <c r="H1479" s="1">
        <v>2.3662439999999998E-6</v>
      </c>
      <c r="I1479">
        <v>285.07760000000002</v>
      </c>
      <c r="J1479">
        <v>-325.73439999999999</v>
      </c>
      <c r="K1479">
        <v>1.110535</v>
      </c>
      <c r="L1479">
        <v>285.73820000000001</v>
      </c>
      <c r="M1479">
        <v>-0.99989490000000003</v>
      </c>
      <c r="N1479">
        <v>-1.165594E-2</v>
      </c>
      <c r="O1479">
        <v>-8.6253700000000003E-3</v>
      </c>
      <c r="P1479">
        <v>-0.98504650000000005</v>
      </c>
      <c r="Q1479">
        <v>0.15217999999999901</v>
      </c>
      <c r="R1479">
        <v>-8.0776509999999996E-2</v>
      </c>
      <c r="S1479">
        <v>-3.0560299999999998</v>
      </c>
      <c r="T1479">
        <v>-0.10626919999999999</v>
      </c>
      <c r="U1479">
        <v>-6.35376E-2</v>
      </c>
      <c r="V1479">
        <v>-7.2510660000000005E-2</v>
      </c>
      <c r="W1479">
        <v>0.16355549999999999</v>
      </c>
      <c r="X1479">
        <v>0.98386569999999995</v>
      </c>
      <c r="Y1479">
        <v>-1.215403E-2</v>
      </c>
      <c r="Z1479" s="1">
        <v>-8.281462E-5</v>
      </c>
      <c r="AA1479">
        <v>0.99992610000000004</v>
      </c>
      <c r="AB1479">
        <v>34</v>
      </c>
      <c r="AC1479">
        <v>-31.6</v>
      </c>
      <c r="AD1479">
        <v>-1.110532633756</v>
      </c>
      <c r="AE1479">
        <v>-0.66059999999998797</v>
      </c>
      <c r="AF1479">
        <v>-0.38751682521542502</v>
      </c>
      <c r="AG1479">
        <v>-1.110532633756</v>
      </c>
      <c r="AH1479">
        <v>31.565554290160598</v>
      </c>
      <c r="AI1479">
        <v>92.014785200138803</v>
      </c>
      <c r="AJ1479">
        <v>90.703360474265295</v>
      </c>
      <c r="AK1479">
        <v>31.587460639714902</v>
      </c>
      <c r="AL1479">
        <v>80.586668784883202</v>
      </c>
      <c r="AM1479">
        <v>94.215064284599904</v>
      </c>
      <c r="AN1479">
        <v>0.99999995651518603</v>
      </c>
    </row>
    <row r="1480" spans="1:40" x14ac:dyDescent="0.25">
      <c r="A1480" t="str">
        <f>"20190304155351405"</f>
        <v>20190304155351405</v>
      </c>
      <c r="B1480" t="str">
        <f>"1551686031397657"</f>
        <v>1551686031397657</v>
      </c>
      <c r="C1480" t="s">
        <v>40</v>
      </c>
      <c r="D1480">
        <v>4.4789329999999996</v>
      </c>
      <c r="E1480">
        <v>0.51593520000000004</v>
      </c>
      <c r="F1480" t="s">
        <v>63</v>
      </c>
      <c r="G1480">
        <v>-358.51060000000001</v>
      </c>
      <c r="H1480" s="1">
        <v>2.9921129999999998E-6</v>
      </c>
      <c r="I1480">
        <v>284.77140000000003</v>
      </c>
      <c r="J1480">
        <v>-326.23680000000002</v>
      </c>
      <c r="K1480">
        <v>1.110549</v>
      </c>
      <c r="L1480">
        <v>285.7328</v>
      </c>
      <c r="M1480">
        <v>-0.9998861</v>
      </c>
      <c r="N1480">
        <v>-1.164103E-2</v>
      </c>
      <c r="O1480">
        <v>-9.6245710000000002E-3</v>
      </c>
      <c r="P1480">
        <v>-0.98486229999999997</v>
      </c>
      <c r="Q1480">
        <v>0.15290500000000001</v>
      </c>
      <c r="R1480">
        <v>-8.1651280000000007E-2</v>
      </c>
      <c r="S1480">
        <v>-3.0540769999999999</v>
      </c>
      <c r="T1480">
        <v>-0.1034793</v>
      </c>
      <c r="U1480">
        <v>-9.0087890000000004E-2</v>
      </c>
      <c r="V1480">
        <v>-7.2405849999999994E-2</v>
      </c>
      <c r="W1480">
        <v>0.1642634</v>
      </c>
      <c r="X1480">
        <v>0.9837555</v>
      </c>
      <c r="Y1480">
        <v>-1.9849439999999999E-2</v>
      </c>
      <c r="Z1480">
        <v>-2.3779110000000001E-4</v>
      </c>
      <c r="AA1480">
        <v>0.99980290000000005</v>
      </c>
      <c r="AB1480">
        <v>34</v>
      </c>
      <c r="AC1480">
        <v>-32.273799999999902</v>
      </c>
      <c r="AD1480">
        <v>-1.110546007887</v>
      </c>
      <c r="AE1480">
        <v>-0.96139999999996895</v>
      </c>
      <c r="AF1480">
        <v>-0.64994410284099202</v>
      </c>
      <c r="AG1480">
        <v>-1.110546007887</v>
      </c>
      <c r="AH1480">
        <v>32.243414433858</v>
      </c>
      <c r="AI1480">
        <v>91.972233690489901</v>
      </c>
      <c r="AJ1480">
        <v>91.154778804207396</v>
      </c>
      <c r="AK1480">
        <v>32.269079846285898</v>
      </c>
      <c r="AL1480">
        <v>80.545553227617603</v>
      </c>
      <c r="AM1480">
        <v>94.209463357770005</v>
      </c>
      <c r="AN1480">
        <v>0.99999997773701599</v>
      </c>
    </row>
    <row r="1481" spans="1:40" x14ac:dyDescent="0.25">
      <c r="A1481" t="str">
        <f>"20190304155351426"</f>
        <v>20190304155351426</v>
      </c>
      <c r="B1481" t="str">
        <f>"1551686031418153"</f>
        <v>1551686031418153</v>
      </c>
      <c r="C1481" t="s">
        <v>40</v>
      </c>
      <c r="D1481">
        <v>4.4930539999999999</v>
      </c>
      <c r="E1481">
        <v>0.51495150000000001</v>
      </c>
      <c r="F1481" t="s">
        <v>63</v>
      </c>
      <c r="G1481">
        <v>-361.08749999999998</v>
      </c>
      <c r="H1481" s="1">
        <v>-9.5807349999999999E-7</v>
      </c>
      <c r="I1481">
        <v>284.529</v>
      </c>
      <c r="J1481">
        <v>-326.56779999999998</v>
      </c>
      <c r="K1481">
        <v>1.110557</v>
      </c>
      <c r="L1481">
        <v>285.72890000000001</v>
      </c>
      <c r="M1481">
        <v>-0.99987950000000003</v>
      </c>
      <c r="N1481">
        <v>-1.16332E-2</v>
      </c>
      <c r="O1481">
        <v>-1.028654E-2</v>
      </c>
      <c r="P1481">
        <v>-0.98493589999999998</v>
      </c>
      <c r="Q1481">
        <v>0.152227</v>
      </c>
      <c r="R1481">
        <v>-8.202624E-2</v>
      </c>
      <c r="S1481">
        <v>-3.052521</v>
      </c>
      <c r="T1481">
        <v>-9.7271560000000007E-2</v>
      </c>
      <c r="U1481">
        <v>-0.1054382</v>
      </c>
      <c r="V1481">
        <v>-7.2128960000000006E-2</v>
      </c>
      <c r="W1481">
        <v>0.16357859999999999</v>
      </c>
      <c r="X1481">
        <v>0.98389000000000004</v>
      </c>
      <c r="Y1481">
        <v>-2.4223189999999999E-2</v>
      </c>
      <c r="Z1481">
        <v>-3.1875749999999998E-4</v>
      </c>
      <c r="AA1481">
        <v>0.99970650000000005</v>
      </c>
      <c r="AB1481">
        <v>34</v>
      </c>
      <c r="AC1481">
        <v>-34.5197</v>
      </c>
      <c r="AD1481">
        <v>-1.1105579580734899</v>
      </c>
      <c r="AE1481">
        <v>-1.19990000000001</v>
      </c>
      <c r="AF1481">
        <v>-0.843851881978948</v>
      </c>
      <c r="AG1481">
        <v>-1.1105579580734899</v>
      </c>
      <c r="AH1481">
        <v>34.494557597492097</v>
      </c>
      <c r="AI1481">
        <v>91.843458952487893</v>
      </c>
      <c r="AJ1481">
        <v>91.401366281360097</v>
      </c>
      <c r="AK1481">
        <v>34.522745093976198</v>
      </c>
      <c r="AL1481">
        <v>80.585327964469101</v>
      </c>
      <c r="AM1481">
        <v>94.192852114738301</v>
      </c>
      <c r="AN1481">
        <v>1.00000003867432</v>
      </c>
    </row>
    <row r="1482" spans="1:40" x14ac:dyDescent="0.25">
      <c r="A1482" t="str">
        <f>"20190304155351449"</f>
        <v>20190304155351449</v>
      </c>
      <c r="B1482" t="str">
        <f>"1551686031437676"</f>
        <v>1551686031437676</v>
      </c>
      <c r="C1482" t="s">
        <v>40</v>
      </c>
      <c r="D1482">
        <v>4.59124</v>
      </c>
      <c r="E1482">
        <v>0.51477680000000003</v>
      </c>
      <c r="F1482" t="s">
        <v>63</v>
      </c>
      <c r="G1482">
        <v>-360.6207</v>
      </c>
      <c r="H1482" s="1">
        <v>-1.206463E-6</v>
      </c>
      <c r="I1482">
        <v>284.45600000000002</v>
      </c>
      <c r="J1482">
        <v>-326.91609999999997</v>
      </c>
      <c r="K1482">
        <v>1.110563</v>
      </c>
      <c r="L1482">
        <v>285.72469999999998</v>
      </c>
      <c r="M1482">
        <v>-0.99987210000000004</v>
      </c>
      <c r="N1482">
        <v>-1.1626249999999999E-2</v>
      </c>
      <c r="O1482">
        <v>-1.098522E-2</v>
      </c>
      <c r="P1482">
        <v>-0.9848285</v>
      </c>
      <c r="Q1482">
        <v>0.15261250000000001</v>
      </c>
      <c r="R1482">
        <v>-8.2596899999999904E-2</v>
      </c>
      <c r="S1482">
        <v>-3.0517270000000001</v>
      </c>
      <c r="T1482">
        <v>-9.9525089999999997E-2</v>
      </c>
      <c r="U1482">
        <v>-0.1140747</v>
      </c>
      <c r="V1482">
        <v>-7.2014140000000004E-2</v>
      </c>
      <c r="W1482">
        <v>0.16395580000000001</v>
      </c>
      <c r="X1482">
        <v>0.98383560000000003</v>
      </c>
      <c r="Y1482">
        <v>-2.6357169999999999E-2</v>
      </c>
      <c r="Z1482">
        <v>-3.5250589999999898E-4</v>
      </c>
      <c r="AA1482">
        <v>0.99965250000000005</v>
      </c>
      <c r="AB1482">
        <v>34</v>
      </c>
      <c r="AC1482">
        <v>-33.704599999999999</v>
      </c>
      <c r="AD1482">
        <v>-1.1105642064629999</v>
      </c>
      <c r="AE1482">
        <v>-1.2687000000000199</v>
      </c>
      <c r="AF1482">
        <v>-0.89737307888538498</v>
      </c>
      <c r="AG1482">
        <v>-1.1105642064629999</v>
      </c>
      <c r="AH1482">
        <v>33.679989346270801</v>
      </c>
      <c r="AI1482">
        <v>91.887917638810293</v>
      </c>
      <c r="AJ1482">
        <v>91.526233512537402</v>
      </c>
      <c r="AK1482">
        <v>33.710240486598501</v>
      </c>
      <c r="AL1482">
        <v>80.563419988616701</v>
      </c>
      <c r="AM1482">
        <v>94.186432029634005</v>
      </c>
      <c r="AN1482">
        <v>1.0000000142704599</v>
      </c>
    </row>
    <row r="1483" spans="1:40" x14ac:dyDescent="0.25">
      <c r="A1483" t="str">
        <f>"20190304155351471"</f>
        <v>20190304155351471</v>
      </c>
      <c r="B1483" t="str">
        <f>"1551686031467929"</f>
        <v>1551686031467929</v>
      </c>
      <c r="C1483" t="s">
        <v>40</v>
      </c>
      <c r="D1483">
        <v>4.5061010000000001</v>
      </c>
      <c r="E1483">
        <v>0.51391699999999996</v>
      </c>
      <c r="F1483" t="s">
        <v>63</v>
      </c>
      <c r="G1483">
        <v>-360.94130000000001</v>
      </c>
      <c r="H1483" s="1">
        <v>-1.03585E-6</v>
      </c>
      <c r="I1483">
        <v>284.41879999999998</v>
      </c>
      <c r="J1483">
        <v>-327.24849999999998</v>
      </c>
      <c r="K1483">
        <v>1.1105590000000001</v>
      </c>
      <c r="L1483">
        <v>285.72039999999998</v>
      </c>
      <c r="M1483">
        <v>-0.99986450000000004</v>
      </c>
      <c r="N1483">
        <v>-1.1620699999999999E-2</v>
      </c>
      <c r="O1483">
        <v>-1.165447E-2</v>
      </c>
      <c r="P1483">
        <v>-0.98479839999999996</v>
      </c>
      <c r="Q1483">
        <v>0.15250939999999999</v>
      </c>
      <c r="R1483">
        <v>-8.3143919999999996E-2</v>
      </c>
      <c r="S1483">
        <v>-3.0518190000000001</v>
      </c>
      <c r="T1483">
        <v>-9.9609610000000001E-2</v>
      </c>
      <c r="U1483">
        <v>-0.11712649999999999</v>
      </c>
      <c r="V1483">
        <v>-7.1902850000000004E-2</v>
      </c>
      <c r="W1483">
        <v>0.16384760000000001</v>
      </c>
      <c r="X1483">
        <v>0.98386169999999995</v>
      </c>
      <c r="Y1483">
        <v>-2.6685029999999998E-2</v>
      </c>
      <c r="Z1483">
        <v>-3.456318E-4</v>
      </c>
      <c r="AA1483">
        <v>0.99964379999999997</v>
      </c>
      <c r="AB1483">
        <v>34</v>
      </c>
      <c r="AC1483">
        <v>-33.692799999999998</v>
      </c>
      <c r="AD1483">
        <v>-1.1105600358499901</v>
      </c>
      <c r="AE1483">
        <v>-1.3016000000000001</v>
      </c>
      <c r="AF1483">
        <v>-0.90782848298877505</v>
      </c>
      <c r="AG1483">
        <v>-1.1105600358499901</v>
      </c>
      <c r="AH1483">
        <v>33.669156549731703</v>
      </c>
      <c r="AI1483">
        <v>91.888501405690405</v>
      </c>
      <c r="AJ1483">
        <v>91.544503820793594</v>
      </c>
      <c r="AK1483">
        <v>33.699697311965501</v>
      </c>
      <c r="AL1483">
        <v>80.569703768889298</v>
      </c>
      <c r="AM1483">
        <v>94.179874810528204</v>
      </c>
      <c r="AN1483">
        <v>0.99999995029538402</v>
      </c>
    </row>
    <row r="1484" spans="1:40" x14ac:dyDescent="0.25">
      <c r="A1484" t="str">
        <f>"20190304155351494"</f>
        <v>20190304155351494</v>
      </c>
      <c r="B1484" t="str">
        <f>"1551686031487450"</f>
        <v>1551686031487450</v>
      </c>
      <c r="C1484" t="s">
        <v>40</v>
      </c>
      <c r="D1484">
        <v>4.4947160000000004</v>
      </c>
      <c r="E1484">
        <v>0.51337639999999995</v>
      </c>
      <c r="F1484" t="s">
        <v>63</v>
      </c>
      <c r="G1484">
        <v>-359.8809</v>
      </c>
      <c r="H1484" s="1">
        <v>3.721322E-6</v>
      </c>
      <c r="I1484">
        <v>284.37720000000002</v>
      </c>
      <c r="J1484">
        <v>-327.59859999999998</v>
      </c>
      <c r="K1484">
        <v>1.110557</v>
      </c>
      <c r="L1484">
        <v>285.71550000000002</v>
      </c>
      <c r="M1484">
        <v>-0.99985619999999997</v>
      </c>
      <c r="N1484">
        <v>-1.1615810000000001E-2</v>
      </c>
      <c r="O1484">
        <v>-1.2360899999999999E-2</v>
      </c>
      <c r="P1484">
        <v>-0.98482860000000005</v>
      </c>
      <c r="Q1484">
        <v>0.15190310000000001</v>
      </c>
      <c r="R1484">
        <v>-8.3893430000000005E-2</v>
      </c>
      <c r="S1484">
        <v>-3.051758</v>
      </c>
      <c r="T1484">
        <v>-0.10385850000000001</v>
      </c>
      <c r="U1484">
        <v>-0.12561040000000001</v>
      </c>
      <c r="V1484">
        <v>-7.1956210000000007E-2</v>
      </c>
      <c r="W1484">
        <v>0.16323650000000001</v>
      </c>
      <c r="X1484">
        <v>0.98395940000000004</v>
      </c>
      <c r="Y1484">
        <v>-2.8751559999999999E-2</v>
      </c>
      <c r="Z1484">
        <v>-3.7919469999999998E-4</v>
      </c>
      <c r="AA1484">
        <v>0.99958650000000004</v>
      </c>
      <c r="AB1484">
        <v>34</v>
      </c>
      <c r="AC1484">
        <v>-32.282299999999999</v>
      </c>
      <c r="AD1484">
        <v>-1.1105532786779999</v>
      </c>
      <c r="AE1484">
        <v>-1.3383</v>
      </c>
      <c r="AF1484">
        <v>-0.93802436394928701</v>
      </c>
      <c r="AG1484">
        <v>-1.1105532786779999</v>
      </c>
      <c r="AH1484">
        <v>32.258266501203501</v>
      </c>
      <c r="AI1484">
        <v>91.970906977048301</v>
      </c>
      <c r="AJ1484">
        <v>91.665610165090698</v>
      </c>
      <c r="AK1484">
        <v>32.291004567136298</v>
      </c>
      <c r="AL1484">
        <v>80.605195307400194</v>
      </c>
      <c r="AM1484">
        <v>94.182551877344693</v>
      </c>
      <c r="AN1484">
        <v>0.99999997596908596</v>
      </c>
    </row>
    <row r="1485" spans="1:40" x14ac:dyDescent="0.25">
      <c r="A1485" t="str">
        <f>"20190304155351516"</f>
        <v>20190304155351516</v>
      </c>
      <c r="B1485" t="str">
        <f>"1551686031507945"</f>
        <v>1551686031507945</v>
      </c>
      <c r="C1485" t="s">
        <v>40</v>
      </c>
      <c r="D1485">
        <v>4.505369</v>
      </c>
      <c r="E1485">
        <v>0.51274169999999997</v>
      </c>
      <c r="F1485" t="s">
        <v>63</v>
      </c>
      <c r="G1485">
        <v>-359.57209999999998</v>
      </c>
      <c r="H1485" s="1">
        <v>3.5569979999999999E-6</v>
      </c>
      <c r="I1485">
        <v>284.32769999999999</v>
      </c>
      <c r="J1485">
        <v>-327.93669999999997</v>
      </c>
      <c r="K1485">
        <v>1.1105510000000001</v>
      </c>
      <c r="L1485">
        <v>285.71069999999997</v>
      </c>
      <c r="M1485">
        <v>-0.99984759999999995</v>
      </c>
      <c r="N1485">
        <v>-1.161189E-2</v>
      </c>
      <c r="O1485">
        <v>-1.3044679999999999E-2</v>
      </c>
      <c r="P1485">
        <v>-0.98481669999999999</v>
      </c>
      <c r="Q1485">
        <v>0.15139639999999999</v>
      </c>
      <c r="R1485">
        <v>-8.4945259999999995E-2</v>
      </c>
      <c r="S1485">
        <v>-3.0512999999999999</v>
      </c>
      <c r="T1485">
        <v>-0.1059827</v>
      </c>
      <c r="U1485">
        <v>-0.13244629999999999</v>
      </c>
      <c r="V1485">
        <v>-7.2333990000000001E-2</v>
      </c>
      <c r="W1485">
        <v>0.1627256</v>
      </c>
      <c r="X1485">
        <v>0.98401640000000001</v>
      </c>
      <c r="Y1485">
        <v>-3.0307830000000001E-2</v>
      </c>
      <c r="Z1485">
        <v>-4.007622E-4</v>
      </c>
      <c r="AA1485">
        <v>0.99954050000000005</v>
      </c>
      <c r="AB1485">
        <v>34</v>
      </c>
      <c r="AC1485">
        <v>-31.635400000000001</v>
      </c>
      <c r="AD1485">
        <v>-1.1105474430019999</v>
      </c>
      <c r="AE1485">
        <v>-1.38299999999998</v>
      </c>
      <c r="AF1485">
        <v>-0.96898902488586802</v>
      </c>
      <c r="AG1485">
        <v>-1.1105474430019999</v>
      </c>
      <c r="AH1485">
        <v>31.611867939040899</v>
      </c>
      <c r="AI1485">
        <v>92.011070316590803</v>
      </c>
      <c r="AJ1485">
        <v>91.755720449776007</v>
      </c>
      <c r="AK1485">
        <v>31.6462075128896</v>
      </c>
      <c r="AL1485">
        <v>80.634865133280002</v>
      </c>
      <c r="AM1485">
        <v>94.204189637459393</v>
      </c>
      <c r="AN1485">
        <v>1.0000000512368099</v>
      </c>
    </row>
    <row r="1486" spans="1:40" x14ac:dyDescent="0.25">
      <c r="A1486" t="str">
        <f>"20190304155351540"</f>
        <v>20190304155351540</v>
      </c>
      <c r="B1486" t="str">
        <f>"1551686031527465"</f>
        <v>1551686031527465</v>
      </c>
      <c r="C1486" t="s">
        <v>40</v>
      </c>
      <c r="D1486">
        <v>4.4994430000000003</v>
      </c>
      <c r="E1486">
        <v>0.51214129999999902</v>
      </c>
      <c r="F1486" t="s">
        <v>63</v>
      </c>
      <c r="G1486">
        <v>-358.90109999999999</v>
      </c>
      <c r="H1486" s="1">
        <v>3.199928E-6</v>
      </c>
      <c r="I1486">
        <v>284.28030000000001</v>
      </c>
      <c r="J1486">
        <v>-328.29289999999997</v>
      </c>
      <c r="K1486">
        <v>1.110554</v>
      </c>
      <c r="L1486">
        <v>285.70530000000002</v>
      </c>
      <c r="M1486">
        <v>-0.999838</v>
      </c>
      <c r="N1486">
        <v>-1.1604690000000001E-2</v>
      </c>
      <c r="O1486">
        <v>-1.376574E-2</v>
      </c>
      <c r="P1486">
        <v>-0.98463420000000001</v>
      </c>
      <c r="Q1486">
        <v>0.1519904</v>
      </c>
      <c r="R1486">
        <v>-8.5992769999999996E-2</v>
      </c>
      <c r="S1486">
        <v>-3.0509339999999998</v>
      </c>
      <c r="T1486">
        <v>-0.1094228</v>
      </c>
      <c r="U1486">
        <v>-0.14093020000000001</v>
      </c>
      <c r="V1486">
        <v>-7.2674569999999994E-2</v>
      </c>
      <c r="W1486">
        <v>0.16330989999999901</v>
      </c>
      <c r="X1486">
        <v>0.98389450000000001</v>
      </c>
      <c r="Y1486">
        <v>-3.236344E-2</v>
      </c>
      <c r="Z1486">
        <v>-4.342463E-4</v>
      </c>
      <c r="AA1486">
        <v>0.99947609999999998</v>
      </c>
      <c r="AB1486">
        <v>34</v>
      </c>
      <c r="AC1486">
        <v>-30.6082</v>
      </c>
      <c r="AD1486">
        <v>-1.1105508000719999</v>
      </c>
      <c r="AE1486">
        <v>-1.42500000000001</v>
      </c>
      <c r="AF1486">
        <v>-1.0021756517148199</v>
      </c>
      <c r="AG1486">
        <v>-1.1105508000719999</v>
      </c>
      <c r="AH1486">
        <v>30.584740996137299</v>
      </c>
      <c r="AI1486">
        <v>92.078416962078506</v>
      </c>
      <c r="AJ1486">
        <v>91.876749515939807</v>
      </c>
      <c r="AK1486">
        <v>30.62130077115</v>
      </c>
      <c r="AL1486">
        <v>80.600933314940903</v>
      </c>
      <c r="AM1486">
        <v>94.224434749306198</v>
      </c>
      <c r="AN1486">
        <v>1.00000005184647</v>
      </c>
    </row>
    <row r="1487" spans="1:40" x14ac:dyDescent="0.25">
      <c r="A1487" t="str">
        <f>"20190304155351561"</f>
        <v>20190304155351561</v>
      </c>
      <c r="B1487" t="str">
        <f>"1551686031557721"</f>
        <v>1551686031557721</v>
      </c>
      <c r="C1487" t="s">
        <v>40</v>
      </c>
      <c r="D1487">
        <v>4.4408629999999896</v>
      </c>
      <c r="E1487">
        <v>0.51158959999999998</v>
      </c>
      <c r="F1487" t="s">
        <v>63</v>
      </c>
      <c r="G1487">
        <v>-359.24209999999999</v>
      </c>
      <c r="H1487" s="1">
        <v>3.3813999999999999E-6</v>
      </c>
      <c r="I1487">
        <v>284.19380000000001</v>
      </c>
      <c r="J1487">
        <v>-328.62119999999999</v>
      </c>
      <c r="K1487">
        <v>1.110552</v>
      </c>
      <c r="L1487">
        <v>285.70010000000002</v>
      </c>
      <c r="M1487">
        <v>-0.99982870000000001</v>
      </c>
      <c r="N1487">
        <v>-1.1594500000000001E-2</v>
      </c>
      <c r="O1487">
        <v>-1.4431090000000001E-2</v>
      </c>
      <c r="P1487">
        <v>-0.98453869999999999</v>
      </c>
      <c r="Q1487">
        <v>0.1522734</v>
      </c>
      <c r="R1487">
        <v>-8.6581930000000001E-2</v>
      </c>
      <c r="S1487">
        <v>-3.0506899999999999</v>
      </c>
      <c r="T1487">
        <v>-0.109468</v>
      </c>
      <c r="U1487">
        <v>-0.1489868</v>
      </c>
      <c r="V1487">
        <v>-7.2609770000000004E-2</v>
      </c>
      <c r="W1487">
        <v>0.1635828</v>
      </c>
      <c r="X1487">
        <v>0.98385389999999995</v>
      </c>
      <c r="Y1487">
        <v>-3.433406E-2</v>
      </c>
      <c r="Z1487">
        <v>-4.6460579999999999E-4</v>
      </c>
      <c r="AA1487">
        <v>0.99941029999999997</v>
      </c>
      <c r="AB1487">
        <v>34</v>
      </c>
      <c r="AC1487">
        <v>-30.620899999999999</v>
      </c>
      <c r="AD1487">
        <v>-1.1105486186</v>
      </c>
      <c r="AE1487">
        <v>-1.50630000000001</v>
      </c>
      <c r="AF1487">
        <v>-1.0628258728506801</v>
      </c>
      <c r="AG1487">
        <v>-1.1105486186</v>
      </c>
      <c r="AH1487">
        <v>30.599298483448798</v>
      </c>
      <c r="AI1487">
        <v>92.077287357214203</v>
      </c>
      <c r="AJ1487">
        <v>91.989292858087197</v>
      </c>
      <c r="AK1487">
        <v>30.6378847956165</v>
      </c>
      <c r="AL1487">
        <v>80.585083705635199</v>
      </c>
      <c r="AM1487">
        <v>94.220855208708301</v>
      </c>
      <c r="AN1487">
        <v>1.0000000038502499</v>
      </c>
    </row>
    <row r="1488" spans="1:40" x14ac:dyDescent="0.25">
      <c r="A1488" t="str">
        <f>"20190304155351583"</f>
        <v>20190304155351583</v>
      </c>
      <c r="B1488" t="str">
        <f>"1551686031578219"</f>
        <v>1551686031578219</v>
      </c>
      <c r="C1488" t="s">
        <v>40</v>
      </c>
      <c r="D1488">
        <v>4.4951220000000003</v>
      </c>
      <c r="E1488">
        <v>0.51109269999999996</v>
      </c>
      <c r="F1488" t="s">
        <v>63</v>
      </c>
      <c r="G1488">
        <v>-359.6003</v>
      </c>
      <c r="H1488" s="1">
        <v>3.5719879999999999E-6</v>
      </c>
      <c r="I1488">
        <v>284.12630000000001</v>
      </c>
      <c r="J1488">
        <v>-328.94810000000001</v>
      </c>
      <c r="K1488">
        <v>1.1105579999999999</v>
      </c>
      <c r="L1488">
        <v>285.69470000000001</v>
      </c>
      <c r="M1488">
        <v>-0.99981900000000001</v>
      </c>
      <c r="N1488">
        <v>-1.157822E-2</v>
      </c>
      <c r="O1488">
        <v>-1.509448E-2</v>
      </c>
      <c r="P1488">
        <v>-0.98447030000000002</v>
      </c>
      <c r="Q1488">
        <v>0.15247749999999999</v>
      </c>
      <c r="R1488">
        <v>-8.6998919999999993E-2</v>
      </c>
      <c r="S1488">
        <v>-3.050446</v>
      </c>
      <c r="T1488">
        <v>-0.1093537</v>
      </c>
      <c r="U1488">
        <v>-0.1549683</v>
      </c>
      <c r="V1488">
        <v>-7.2374330000000001E-2</v>
      </c>
      <c r="W1488">
        <v>0.1637709</v>
      </c>
      <c r="X1488">
        <v>0.98383989999999999</v>
      </c>
      <c r="Y1488">
        <v>-3.5628800000000002E-2</v>
      </c>
      <c r="Z1488">
        <v>-4.7860829999999999E-4</v>
      </c>
      <c r="AA1488">
        <v>0.99936499999999995</v>
      </c>
      <c r="AB1488">
        <v>34</v>
      </c>
      <c r="AC1488">
        <v>-30.652200000000001</v>
      </c>
      <c r="AD1488">
        <v>-1.1105544280120001</v>
      </c>
      <c r="AE1488">
        <v>-1.56839999999999</v>
      </c>
      <c r="AF1488">
        <v>-1.10406574768419</v>
      </c>
      <c r="AG1488">
        <v>-1.1105544280120001</v>
      </c>
      <c r="AH1488">
        <v>30.632278003833001</v>
      </c>
      <c r="AI1488">
        <v>92.074967787220004</v>
      </c>
      <c r="AJ1488">
        <v>92.064193094846402</v>
      </c>
      <c r="AK1488">
        <v>30.672279798164599</v>
      </c>
      <c r="AL1488">
        <v>80.5741585281353</v>
      </c>
      <c r="AM1488">
        <v>94.207277798790301</v>
      </c>
      <c r="AN1488">
        <v>0.99999995008088305</v>
      </c>
    </row>
    <row r="1489" spans="1:40" x14ac:dyDescent="0.25">
      <c r="A1489" t="str">
        <f>"20190304155351606"</f>
        <v>20190304155351606</v>
      </c>
      <c r="B1489" t="str">
        <f>"1551686031597740"</f>
        <v>1551686031597740</v>
      </c>
      <c r="C1489" t="s">
        <v>40</v>
      </c>
      <c r="D1489">
        <v>4.410101</v>
      </c>
      <c r="E1489">
        <v>0.51067989999999996</v>
      </c>
      <c r="F1489" t="s">
        <v>63</v>
      </c>
      <c r="G1489">
        <v>-359.78989999999999</v>
      </c>
      <c r="H1489" s="1">
        <v>3.6729200000000001E-6</v>
      </c>
      <c r="I1489">
        <v>284.0772</v>
      </c>
      <c r="J1489">
        <v>-329.30470000000003</v>
      </c>
      <c r="K1489">
        <v>1.110555</v>
      </c>
      <c r="L1489">
        <v>285.68860000000001</v>
      </c>
      <c r="M1489">
        <v>-0.99980829999999998</v>
      </c>
      <c r="N1489">
        <v>-1.155229E-2</v>
      </c>
      <c r="O1489">
        <v>-1.5817769999999998E-2</v>
      </c>
      <c r="P1489">
        <v>-0.98432299999999995</v>
      </c>
      <c r="Q1489">
        <v>0.15329429999999999</v>
      </c>
      <c r="R1489">
        <v>-8.7230859999999993E-2</v>
      </c>
      <c r="S1489">
        <v>-3.0502319999999998</v>
      </c>
      <c r="T1489">
        <v>-0.10983279999999999</v>
      </c>
      <c r="U1489">
        <v>-0.15997310000000001</v>
      </c>
      <c r="V1489">
        <v>-7.1897000000000003E-2</v>
      </c>
      <c r="W1489">
        <v>0.16456209999999999</v>
      </c>
      <c r="X1489">
        <v>0.98374289999999998</v>
      </c>
      <c r="Y1489">
        <v>-3.6544069999999998E-2</v>
      </c>
      <c r="Z1489">
        <v>-4.8228330000000001E-4</v>
      </c>
      <c r="AA1489">
        <v>0.999332</v>
      </c>
      <c r="AB1489">
        <v>34</v>
      </c>
      <c r="AC1489">
        <v>-30.485199999999899</v>
      </c>
      <c r="AD1489">
        <v>-1.11055132707999</v>
      </c>
      <c r="AE1489">
        <v>-1.6113999999999999</v>
      </c>
      <c r="AF1489">
        <v>-1.1274663057268901</v>
      </c>
      <c r="AG1489">
        <v>-1.11055132707999</v>
      </c>
      <c r="AH1489">
        <v>30.466556879731701</v>
      </c>
      <c r="AI1489">
        <v>92.086165389825197</v>
      </c>
      <c r="AJ1489">
        <v>92.119359793897701</v>
      </c>
      <c r="AK1489">
        <v>30.507631711205601</v>
      </c>
      <c r="AL1489">
        <v>80.528202873392402</v>
      </c>
      <c r="AM1489">
        <v>94.180038887441299</v>
      </c>
      <c r="AN1489">
        <v>0.99999997833290899</v>
      </c>
    </row>
    <row r="1490" spans="1:40" x14ac:dyDescent="0.25">
      <c r="A1490" t="str">
        <f>"20190304155351627"</f>
        <v>20190304155351627</v>
      </c>
      <c r="B1490" t="str">
        <f>"1551686031618233"</f>
        <v>1551686031618233</v>
      </c>
      <c r="C1490" t="s">
        <v>40</v>
      </c>
      <c r="D1490">
        <v>4.389926</v>
      </c>
      <c r="E1490">
        <v>0.51034489999999999</v>
      </c>
      <c r="F1490" t="s">
        <v>63</v>
      </c>
      <c r="G1490">
        <v>-360.47140000000002</v>
      </c>
      <c r="H1490" s="1">
        <v>-1.28592099999999E-6</v>
      </c>
      <c r="I1490">
        <v>284.01159999999999</v>
      </c>
      <c r="J1490">
        <v>-329.62560000000002</v>
      </c>
      <c r="K1490">
        <v>1.110555</v>
      </c>
      <c r="L1490">
        <v>285.68290000000002</v>
      </c>
      <c r="M1490">
        <v>-0.99979790000000002</v>
      </c>
      <c r="N1490">
        <v>-1.152516E-2</v>
      </c>
      <c r="O1490">
        <v>-1.6468460000000001E-2</v>
      </c>
      <c r="P1490">
        <v>-0.9840814</v>
      </c>
      <c r="Q1490">
        <v>0.1545887</v>
      </c>
      <c r="R1490">
        <v>-8.7670869999999998E-2</v>
      </c>
      <c r="S1490">
        <v>-3.0501399999999999</v>
      </c>
      <c r="T1490">
        <v>-0.108685</v>
      </c>
      <c r="U1490">
        <v>-0.16412349999999901</v>
      </c>
      <c r="V1490">
        <v>-7.1700979999999997E-2</v>
      </c>
      <c r="W1490">
        <v>0.16582759999999999</v>
      </c>
      <c r="X1490">
        <v>0.98354470000000005</v>
      </c>
      <c r="Y1490">
        <v>-3.7251289999999999E-2</v>
      </c>
      <c r="Z1490">
        <v>-4.8144479999999998E-4</v>
      </c>
      <c r="AA1490">
        <v>0.99930580000000002</v>
      </c>
      <c r="AB1490">
        <v>34</v>
      </c>
      <c r="AC1490">
        <v>-30.845800000000001</v>
      </c>
      <c r="AD1490">
        <v>-1.1105562859210001</v>
      </c>
      <c r="AE1490">
        <v>-1.67130000000003</v>
      </c>
      <c r="AF1490">
        <v>-1.16155546295553</v>
      </c>
      <c r="AG1490">
        <v>-1.1105562859210001</v>
      </c>
      <c r="AH1490">
        <v>30.829296352291099</v>
      </c>
      <c r="AI1490">
        <v>92.061598451718993</v>
      </c>
      <c r="AJ1490">
        <v>92.157712592105199</v>
      </c>
      <c r="AK1490">
        <v>30.871152552749201</v>
      </c>
      <c r="AL1490">
        <v>80.454685202011504</v>
      </c>
      <c r="AM1490">
        <v>94.169519753237395</v>
      </c>
      <c r="AN1490">
        <v>1.0000000001764</v>
      </c>
    </row>
    <row r="1491" spans="1:40" x14ac:dyDescent="0.25">
      <c r="A1491" t="str">
        <f>"20190304155351649"</f>
        <v>20190304155351649</v>
      </c>
      <c r="B1491" t="str">
        <f>"1551686031637753"</f>
        <v>1551686031637753</v>
      </c>
      <c r="C1491" t="s">
        <v>40</v>
      </c>
      <c r="D1491">
        <v>4.4048800000000004</v>
      </c>
      <c r="E1491">
        <v>0.50998199999999905</v>
      </c>
      <c r="F1491" t="s">
        <v>63</v>
      </c>
      <c r="G1491">
        <v>-361.69389999999999</v>
      </c>
      <c r="H1491" s="1">
        <v>-6.3538340000000001E-7</v>
      </c>
      <c r="I1491">
        <v>283.92079999999999</v>
      </c>
      <c r="J1491">
        <v>-329.97</v>
      </c>
      <c r="K1491">
        <v>1.1105449999999999</v>
      </c>
      <c r="L1491">
        <v>285.67649999999998</v>
      </c>
      <c r="M1491">
        <v>-0.99978659999999997</v>
      </c>
      <c r="N1491">
        <v>-1.1490169999999999E-2</v>
      </c>
      <c r="O1491">
        <v>-1.7166310000000001E-2</v>
      </c>
      <c r="P1491">
        <v>-0.98387860000000005</v>
      </c>
      <c r="Q1491">
        <v>0.15578310000000001</v>
      </c>
      <c r="R1491">
        <v>-8.7833579999999994E-2</v>
      </c>
      <c r="S1491">
        <v>-3.0501710000000002</v>
      </c>
      <c r="T1491">
        <v>-0.1056303</v>
      </c>
      <c r="U1491">
        <v>-0.16760249999999999</v>
      </c>
      <c r="V1491">
        <v>-7.118083E-2</v>
      </c>
      <c r="W1491">
        <v>0.16698669999999999</v>
      </c>
      <c r="X1491">
        <v>0.98338639999999999</v>
      </c>
      <c r="Y1491">
        <v>-3.7690700000000001E-2</v>
      </c>
      <c r="Z1491">
        <v>-4.72063E-4</v>
      </c>
      <c r="AA1491">
        <v>0.99928930000000005</v>
      </c>
      <c r="AB1491">
        <v>34</v>
      </c>
      <c r="AC1491">
        <v>-31.723899999999901</v>
      </c>
      <c r="AD1491">
        <v>-1.11054563538339</v>
      </c>
      <c r="AE1491">
        <v>-1.75569999999999</v>
      </c>
      <c r="AF1491">
        <v>-1.2093455114626499</v>
      </c>
      <c r="AG1491">
        <v>-1.11054563538339</v>
      </c>
      <c r="AH1491">
        <v>31.710624195180099</v>
      </c>
      <c r="AI1491">
        <v>92.004294136474599</v>
      </c>
      <c r="AJ1491">
        <v>92.184026088125705</v>
      </c>
      <c r="AK1491">
        <v>31.753102447198799</v>
      </c>
      <c r="AL1491">
        <v>80.387334986643197</v>
      </c>
      <c r="AM1491">
        <v>94.140041788363803</v>
      </c>
      <c r="AN1491">
        <v>1.0000000401206599</v>
      </c>
    </row>
    <row r="1492" spans="1:40" x14ac:dyDescent="0.25">
      <c r="A1492" t="str">
        <f>"20190304155351672"</f>
        <v>20190304155351672</v>
      </c>
      <c r="B1492" t="str">
        <f>"1551686031668009"</f>
        <v>1551686031668009</v>
      </c>
      <c r="C1492" t="s">
        <v>40</v>
      </c>
      <c r="D1492">
        <v>4.3587959999999999</v>
      </c>
      <c r="E1492">
        <v>0.50957759999999996</v>
      </c>
      <c r="F1492" t="s">
        <v>63</v>
      </c>
      <c r="G1492">
        <v>-362.81220000000002</v>
      </c>
      <c r="H1492" s="1">
        <v>-4.0280009999999997E-8</v>
      </c>
      <c r="I1492">
        <v>283.82819999999998</v>
      </c>
      <c r="J1492">
        <v>-330.31319999999999</v>
      </c>
      <c r="K1492">
        <v>1.110536</v>
      </c>
      <c r="L1492">
        <v>285.66989999999998</v>
      </c>
      <c r="M1492">
        <v>-0.99977510000000003</v>
      </c>
      <c r="N1492">
        <v>-1.1449590000000001E-2</v>
      </c>
      <c r="O1492">
        <v>-1.7861620000000002E-2</v>
      </c>
      <c r="P1492">
        <v>-0.98378960000000004</v>
      </c>
      <c r="Q1492">
        <v>0.15617349999999999</v>
      </c>
      <c r="R1492">
        <v>-8.8138019999999997E-2</v>
      </c>
      <c r="S1492">
        <v>-3.0501710000000002</v>
      </c>
      <c r="T1492">
        <v>-0.1031402</v>
      </c>
      <c r="U1492">
        <v>-0.17166139999999999</v>
      </c>
      <c r="V1492">
        <v>-7.0802820000000002E-2</v>
      </c>
      <c r="W1492">
        <v>0.16733689999999901</v>
      </c>
      <c r="X1492">
        <v>0.98335419999999996</v>
      </c>
      <c r="Y1492">
        <v>-3.8322019999999998E-2</v>
      </c>
      <c r="Z1492">
        <v>-4.679897E-4</v>
      </c>
      <c r="AA1492">
        <v>0.99926530000000002</v>
      </c>
      <c r="AB1492">
        <v>34</v>
      </c>
      <c r="AC1492">
        <v>-32.499000000000002</v>
      </c>
      <c r="AD1492">
        <v>-1.11053604028001</v>
      </c>
      <c r="AE1492">
        <v>-1.8416999999999999</v>
      </c>
      <c r="AF1492">
        <v>-1.2594175281965601</v>
      </c>
      <c r="AG1492">
        <v>-1.11053604028001</v>
      </c>
      <c r="AH1492">
        <v>32.488897281419902</v>
      </c>
      <c r="AI1492">
        <v>91.956254945944394</v>
      </c>
      <c r="AJ1492">
        <v>92.219933676758203</v>
      </c>
      <c r="AK1492">
        <v>32.5322589035828</v>
      </c>
      <c r="AL1492">
        <v>80.366984039635199</v>
      </c>
      <c r="AM1492">
        <v>94.118266078884901</v>
      </c>
      <c r="AN1492">
        <v>1.0000000800395901</v>
      </c>
    </row>
    <row r="1493" spans="1:40" x14ac:dyDescent="0.25">
      <c r="A1493" t="str">
        <f>"20190304155351695"</f>
        <v>20190304155351695</v>
      </c>
      <c r="B1493" t="str">
        <f>"1551686031687529"</f>
        <v>1551686031687529</v>
      </c>
      <c r="C1493" t="s">
        <v>40</v>
      </c>
      <c r="D1493">
        <v>4.3937030000000004</v>
      </c>
      <c r="E1493">
        <v>0.50958340000000002</v>
      </c>
      <c r="F1493" t="s">
        <v>63</v>
      </c>
      <c r="G1493">
        <v>-363.09890000000001</v>
      </c>
      <c r="H1493" s="1">
        <v>1.122739E-7</v>
      </c>
      <c r="I1493">
        <v>283.77550000000002</v>
      </c>
      <c r="J1493">
        <v>-330.66399999999999</v>
      </c>
      <c r="K1493">
        <v>1.1105240000000001</v>
      </c>
      <c r="L1493">
        <v>285.66300000000001</v>
      </c>
      <c r="M1493">
        <v>-0.9997625</v>
      </c>
      <c r="N1493">
        <v>-1.140703E-2</v>
      </c>
      <c r="O1493">
        <v>-1.85723E-2</v>
      </c>
      <c r="P1493">
        <v>-0.9837882</v>
      </c>
      <c r="Q1493">
        <v>0.15619229999999901</v>
      </c>
      <c r="R1493">
        <v>-8.8118929999999998E-2</v>
      </c>
      <c r="S1493">
        <v>-3.050049</v>
      </c>
      <c r="T1493">
        <v>-0.103313</v>
      </c>
      <c r="U1493">
        <v>-0.17623900000000001</v>
      </c>
      <c r="V1493">
        <v>-7.0083770000000004E-2</v>
      </c>
      <c r="W1493">
        <v>0.16731570000000001</v>
      </c>
      <c r="X1493">
        <v>0.98340919999999998</v>
      </c>
      <c r="Y1493">
        <v>-3.9108370000000003E-2</v>
      </c>
      <c r="Z1493">
        <v>-4.6834930000000001E-4</v>
      </c>
      <c r="AA1493">
        <v>0.99923490000000004</v>
      </c>
      <c r="AB1493">
        <v>34</v>
      </c>
      <c r="AC1493">
        <v>-32.434899999999999</v>
      </c>
      <c r="AD1493">
        <v>-1.1105238877260999</v>
      </c>
      <c r="AE1493">
        <v>-1.88749999999998</v>
      </c>
      <c r="AF1493">
        <v>-1.2832453018004499</v>
      </c>
      <c r="AG1493">
        <v>-1.1105238877260999</v>
      </c>
      <c r="AH1493">
        <v>32.426477837811703</v>
      </c>
      <c r="AI1493">
        <v>91.9599342808296</v>
      </c>
      <c r="AJ1493">
        <v>92.266240384720305</v>
      </c>
      <c r="AK1493">
        <v>32.470855344075801</v>
      </c>
      <c r="AL1493">
        <v>80.368214975536304</v>
      </c>
      <c r="AM1493">
        <v>94.076356831883004</v>
      </c>
      <c r="AN1493">
        <v>0.99999996646427003</v>
      </c>
    </row>
    <row r="1494" spans="1:40" x14ac:dyDescent="0.25">
      <c r="A1494" t="str">
        <f>"20190304155351716"</f>
        <v>20190304155351716</v>
      </c>
      <c r="B1494" t="str">
        <f>"1551686031708025"</f>
        <v>1551686031708025</v>
      </c>
      <c r="C1494" t="s">
        <v>40</v>
      </c>
      <c r="D1494">
        <v>4.4222609999999998</v>
      </c>
      <c r="E1494">
        <v>0.50989370000000001</v>
      </c>
      <c r="F1494" t="s">
        <v>63</v>
      </c>
      <c r="G1494">
        <v>-363.50760000000002</v>
      </c>
      <c r="H1494" s="1">
        <v>3.2979679999999999E-7</v>
      </c>
      <c r="I1494">
        <v>283.76650000000001</v>
      </c>
      <c r="J1494">
        <v>-330.99270000000001</v>
      </c>
      <c r="K1494">
        <v>1.1105160000000001</v>
      </c>
      <c r="L1494">
        <v>285.65620000000001</v>
      </c>
      <c r="M1494">
        <v>-0.99975029999999998</v>
      </c>
      <c r="N1494">
        <v>-1.1366589999999999E-2</v>
      </c>
      <c r="O1494">
        <v>-1.9237939999999999E-2</v>
      </c>
      <c r="P1494">
        <v>-0.98379890000000003</v>
      </c>
      <c r="Q1494">
        <v>0.1563012</v>
      </c>
      <c r="R1494">
        <v>-8.7804679999999996E-2</v>
      </c>
      <c r="S1494">
        <v>-3.0500790000000002</v>
      </c>
      <c r="T1494">
        <v>-0.10313070000000001</v>
      </c>
      <c r="U1494">
        <v>-0.17611689999999999</v>
      </c>
      <c r="V1494">
        <v>-6.9114090000000003E-2</v>
      </c>
      <c r="W1494">
        <v>0.16738620000000001</v>
      </c>
      <c r="X1494">
        <v>0.9834659</v>
      </c>
      <c r="Y1494">
        <v>-3.8403470000000002E-2</v>
      </c>
      <c r="Z1494">
        <v>-4.3592130000000002E-4</v>
      </c>
      <c r="AA1494">
        <v>0.99926219999999999</v>
      </c>
      <c r="AB1494">
        <v>34</v>
      </c>
      <c r="AC1494">
        <v>-32.514899999999997</v>
      </c>
      <c r="AD1494">
        <v>-1.1105156702032</v>
      </c>
      <c r="AE1494">
        <v>-1.8896999999999999</v>
      </c>
      <c r="AF1494">
        <v>-1.2623225732574399</v>
      </c>
      <c r="AG1494">
        <v>-1.1105156702032</v>
      </c>
      <c r="AH1494">
        <v>32.507445828097801</v>
      </c>
      <c r="AI1494">
        <v>91.955098661799099</v>
      </c>
      <c r="AJ1494">
        <v>92.223780838630006</v>
      </c>
      <c r="AK1494">
        <v>32.550894574488098</v>
      </c>
      <c r="AL1494">
        <v>80.364118528089406</v>
      </c>
      <c r="AM1494">
        <v>94.0199115067104</v>
      </c>
      <c r="AN1494">
        <v>1.00000003692488</v>
      </c>
    </row>
    <row r="1495" spans="1:40" x14ac:dyDescent="0.25">
      <c r="A1495" t="str">
        <f>"20190304155351739"</f>
        <v>20190304155351739</v>
      </c>
      <c r="B1495" t="str">
        <f>"1551686031727545"</f>
        <v>1551686031727545</v>
      </c>
      <c r="C1495" t="s">
        <v>40</v>
      </c>
      <c r="D1495">
        <v>4.3544269999999896</v>
      </c>
      <c r="E1495">
        <v>0.54801339999999998</v>
      </c>
      <c r="F1495" t="s">
        <v>63</v>
      </c>
      <c r="G1495">
        <v>-364.0061</v>
      </c>
      <c r="H1495" s="1">
        <v>5.9504860000000003E-7</v>
      </c>
      <c r="I1495">
        <v>283.78769999999997</v>
      </c>
      <c r="J1495">
        <v>-331.339</v>
      </c>
      <c r="K1495">
        <v>1.1105100000000001</v>
      </c>
      <c r="L1495">
        <v>285.64890000000003</v>
      </c>
      <c r="M1495">
        <v>-0.99973710000000005</v>
      </c>
      <c r="N1495">
        <v>-1.132289E-2</v>
      </c>
      <c r="O1495">
        <v>-1.9939080000000001E-2</v>
      </c>
      <c r="P1495">
        <v>-0.98392869999999999</v>
      </c>
      <c r="Q1495">
        <v>0.1555346</v>
      </c>
      <c r="R1495">
        <v>-8.7712029999999996E-2</v>
      </c>
      <c r="S1495">
        <v>-3.050262</v>
      </c>
      <c r="T1495">
        <v>-0.10260569999999999</v>
      </c>
      <c r="U1495">
        <v>-0.17263789999999901</v>
      </c>
      <c r="V1495">
        <v>-6.832676E-2</v>
      </c>
      <c r="W1495">
        <v>0.16658039999999999</v>
      </c>
      <c r="X1495">
        <v>0.98365769999999997</v>
      </c>
      <c r="Y1495">
        <v>-3.6564930000000002E-2</v>
      </c>
      <c r="Z1495">
        <v>-3.773184E-4</v>
      </c>
      <c r="AA1495">
        <v>0.99933119999999998</v>
      </c>
      <c r="AB1495">
        <v>34</v>
      </c>
      <c r="AC1495">
        <v>-32.667099999999998</v>
      </c>
      <c r="AD1495">
        <v>-1.1105094049513999</v>
      </c>
      <c r="AE1495">
        <v>-1.8612000000000499</v>
      </c>
      <c r="AF1495">
        <v>-1.20804472573111</v>
      </c>
      <c r="AG1495">
        <v>-1.1105094049513999</v>
      </c>
      <c r="AH1495">
        <v>32.660096580763799</v>
      </c>
      <c r="AI1495">
        <v>91.946092449609495</v>
      </c>
      <c r="AJ1495">
        <v>92.118313528503805</v>
      </c>
      <c r="AK1495">
        <v>32.701292204783996</v>
      </c>
      <c r="AL1495">
        <v>80.410944790308207</v>
      </c>
      <c r="AM1495">
        <v>93.973492846418594</v>
      </c>
      <c r="AN1495">
        <v>1.0000000232827699</v>
      </c>
    </row>
    <row r="1496" spans="1:40" x14ac:dyDescent="0.25">
      <c r="A1496" t="str">
        <f>"20190304155351763"</f>
        <v>20190304155351763</v>
      </c>
      <c r="B1496" t="str">
        <f>"1551686031757802"</f>
        <v>1551686031757802</v>
      </c>
      <c r="C1496" t="s">
        <v>40</v>
      </c>
      <c r="D1496">
        <v>4.3640100000000004</v>
      </c>
      <c r="E1496">
        <v>0.5502051</v>
      </c>
      <c r="F1496" t="s">
        <v>65</v>
      </c>
      <c r="G1496">
        <v>-430.87150000000003</v>
      </c>
      <c r="H1496" s="1">
        <v>2.1379680000000001E-6</v>
      </c>
      <c r="I1496">
        <v>289.83069999999998</v>
      </c>
      <c r="J1496">
        <v>-331.70049999999998</v>
      </c>
      <c r="K1496">
        <v>1.1105</v>
      </c>
      <c r="L1496">
        <v>285.64089999999999</v>
      </c>
      <c r="M1496">
        <v>-0.99972280000000002</v>
      </c>
      <c r="N1496">
        <v>-1.1278989999999999E-2</v>
      </c>
      <c r="O1496">
        <v>-2.0671229999999999E-2</v>
      </c>
      <c r="P1496">
        <v>-0.98393149999999996</v>
      </c>
      <c r="Q1496">
        <v>0.15517779999999901</v>
      </c>
      <c r="R1496">
        <v>-8.8312180000000004E-2</v>
      </c>
      <c r="S1496">
        <v>-3.065887</v>
      </c>
      <c r="T1496">
        <v>-3.420687E-2</v>
      </c>
      <c r="U1496">
        <v>0.1288147</v>
      </c>
      <c r="V1496">
        <v>-6.8204319999999999E-2</v>
      </c>
      <c r="W1496">
        <v>0.16618079999999999</v>
      </c>
      <c r="X1496">
        <v>0.98373379999999999</v>
      </c>
      <c r="Y1496">
        <v>6.2615959999999998E-2</v>
      </c>
      <c r="Z1496">
        <v>6.9995279999999897E-4</v>
      </c>
      <c r="AA1496">
        <v>0.99803750000000002</v>
      </c>
      <c r="AB1496">
        <v>34</v>
      </c>
      <c r="AC1496">
        <v>-99.171000000000006</v>
      </c>
      <c r="AD1496">
        <v>-1.1104978620320001</v>
      </c>
      <c r="AE1496">
        <v>4.1897999999999902</v>
      </c>
      <c r="AF1496">
        <v>6.2382405762588604</v>
      </c>
      <c r="AG1496">
        <v>-1.1104978620320001</v>
      </c>
      <c r="AH1496">
        <v>99.050795410960902</v>
      </c>
      <c r="AI1496">
        <v>90.641068822157806</v>
      </c>
      <c r="AJ1496">
        <v>86.396259106403903</v>
      </c>
      <c r="AK1496">
        <v>99.253256483265503</v>
      </c>
      <c r="AL1496">
        <v>80.434163965391505</v>
      </c>
      <c r="AM1496">
        <v>93.966089330559399</v>
      </c>
      <c r="AN1496">
        <v>1.0000000384088701</v>
      </c>
    </row>
    <row r="1497" spans="1:40" x14ac:dyDescent="0.25">
      <c r="A1497" t="str">
        <f>"20190304155351784"</f>
        <v>20190304155351784</v>
      </c>
      <c r="B1497" t="str">
        <f>"1551686031778297"</f>
        <v>1551686031778297</v>
      </c>
      <c r="C1497" t="s">
        <v>40</v>
      </c>
      <c r="D1497">
        <v>4.3074960000000004</v>
      </c>
      <c r="E1497">
        <v>0.55013389999999995</v>
      </c>
      <c r="F1497" t="s">
        <v>63</v>
      </c>
      <c r="G1497">
        <v>-440.11040000000003</v>
      </c>
      <c r="H1497">
        <v>7.9999790000000001E-2</v>
      </c>
      <c r="I1497">
        <v>290.7355</v>
      </c>
      <c r="J1497">
        <v>-332.03140000000002</v>
      </c>
      <c r="K1497">
        <v>1.110495</v>
      </c>
      <c r="L1497">
        <v>285.63339999999999</v>
      </c>
      <c r="M1497">
        <v>-0.99970910000000002</v>
      </c>
      <c r="N1497">
        <v>-1.124237E-2</v>
      </c>
      <c r="O1497">
        <v>-2.1341189999999999E-2</v>
      </c>
      <c r="P1497">
        <v>-0.98386030000000002</v>
      </c>
      <c r="Q1497">
        <v>0.1552087</v>
      </c>
      <c r="R1497">
        <v>-8.9048150000000006E-2</v>
      </c>
      <c r="S1497">
        <v>-3.0664669999999998</v>
      </c>
      <c r="T1497">
        <v>-2.914858E-2</v>
      </c>
      <c r="U1497">
        <v>0.14410400000000001</v>
      </c>
      <c r="V1497">
        <v>-6.8282250000000003E-2</v>
      </c>
      <c r="W1497">
        <v>0.16617560000000001</v>
      </c>
      <c r="X1497">
        <v>0.98372919999999997</v>
      </c>
      <c r="Y1497">
        <v>6.8243239999999997E-2</v>
      </c>
      <c r="Z1497">
        <v>6.7098310000000003E-4</v>
      </c>
      <c r="AA1497">
        <v>0.99766849999999996</v>
      </c>
      <c r="AB1497">
        <v>34</v>
      </c>
      <c r="AC1497">
        <v>-108.07899999999999</v>
      </c>
      <c r="AD1497">
        <v>-1.03049521</v>
      </c>
      <c r="AE1497">
        <v>5.1021000000000001</v>
      </c>
      <c r="AF1497">
        <v>7.4069460995059302</v>
      </c>
      <c r="AG1497">
        <v>-1.03049521</v>
      </c>
      <c r="AH1497">
        <v>107.93569966915599</v>
      </c>
      <c r="AI1497">
        <v>90.545720381079803</v>
      </c>
      <c r="AJ1497">
        <v>86.074306718812693</v>
      </c>
      <c r="AK1497">
        <v>108.194454728369</v>
      </c>
      <c r="AL1497">
        <v>80.434465418028097</v>
      </c>
      <c r="AM1497">
        <v>93.970624990166101</v>
      </c>
      <c r="AN1497">
        <v>0.99999996731652996</v>
      </c>
    </row>
    <row r="1498" spans="1:40" x14ac:dyDescent="0.25">
      <c r="A1498" t="str">
        <f>"20190304155351806"</f>
        <v>20190304155351806</v>
      </c>
      <c r="B1498" t="str">
        <f>"1551686031797821"</f>
        <v>1551686031797821</v>
      </c>
      <c r="C1498" t="s">
        <v>40</v>
      </c>
      <c r="D1498">
        <v>4.3287659999999999</v>
      </c>
      <c r="E1498">
        <v>0.55003259999999998</v>
      </c>
      <c r="F1498" t="s">
        <v>65</v>
      </c>
      <c r="G1498">
        <v>-433.10199999999998</v>
      </c>
      <c r="H1498">
        <v>8.0000329999999995E-2</v>
      </c>
      <c r="I1498">
        <v>290.28890000000001</v>
      </c>
      <c r="J1498">
        <v>-332.375</v>
      </c>
      <c r="K1498">
        <v>1.1104969999999901</v>
      </c>
      <c r="L1498">
        <v>285.62540000000001</v>
      </c>
      <c r="M1498">
        <v>-0.99969450000000004</v>
      </c>
      <c r="N1498">
        <v>-1.1208289999999999E-2</v>
      </c>
      <c r="O1498">
        <v>-2.203631E-2</v>
      </c>
      <c r="P1498">
        <v>-0.98371430000000004</v>
      </c>
      <c r="Q1498">
        <v>0.15535070000000001</v>
      </c>
      <c r="R1498">
        <v>-9.0404200000000004E-2</v>
      </c>
      <c r="S1498">
        <v>-3.0668950000000001</v>
      </c>
      <c r="T1498">
        <v>-3.1269430000000001E-2</v>
      </c>
      <c r="U1498">
        <v>0.1412659</v>
      </c>
      <c r="V1498">
        <v>-6.895598E-2</v>
      </c>
      <c r="W1498">
        <v>0.16628180000000001</v>
      </c>
      <c r="X1498">
        <v>0.98366430000000005</v>
      </c>
      <c r="Y1498">
        <v>6.80085E-2</v>
      </c>
      <c r="Z1498">
        <v>7.0558909999999999E-4</v>
      </c>
      <c r="AA1498">
        <v>0.99768449999999997</v>
      </c>
      <c r="AB1498">
        <v>34</v>
      </c>
      <c r="AC1498">
        <v>-100.72699999999899</v>
      </c>
      <c r="AD1498">
        <v>-1.03049666999999</v>
      </c>
      <c r="AE1498">
        <v>4.6634999999999902</v>
      </c>
      <c r="AF1498">
        <v>6.8814392002491598</v>
      </c>
      <c r="AG1498">
        <v>-1.03049666999999</v>
      </c>
      <c r="AH1498">
        <v>100.589259077142</v>
      </c>
      <c r="AI1498">
        <v>90.585583179614702</v>
      </c>
      <c r="AJ1498">
        <v>86.086420538350794</v>
      </c>
      <c r="AK1498">
        <v>100.829634386633</v>
      </c>
      <c r="AL1498">
        <v>80.428295163938103</v>
      </c>
      <c r="AM1498">
        <v>94.009939028180497</v>
      </c>
      <c r="AN1498">
        <v>1.0000000096417401</v>
      </c>
    </row>
    <row r="1499" spans="1:40" x14ac:dyDescent="0.25">
      <c r="A1499" t="str">
        <f>"20190304155351829"</f>
        <v>20190304155351829</v>
      </c>
      <c r="B1499" t="str">
        <f>"1551686031818313"</f>
        <v>1551686031818313</v>
      </c>
      <c r="C1499" t="s">
        <v>40</v>
      </c>
      <c r="D1499">
        <v>4.3160170000000004</v>
      </c>
      <c r="E1499">
        <v>0.55006489999999997</v>
      </c>
      <c r="F1499" t="s">
        <v>65</v>
      </c>
      <c r="G1499">
        <v>-431.71679999999998</v>
      </c>
      <c r="H1499">
        <v>7.1800000000000003E-2</v>
      </c>
      <c r="I1499">
        <v>290.04349999999999</v>
      </c>
      <c r="J1499">
        <v>-332.71870000000001</v>
      </c>
      <c r="K1499">
        <v>1.110495</v>
      </c>
      <c r="L1499">
        <v>285.61709999999999</v>
      </c>
      <c r="M1499">
        <v>-0.99967930000000005</v>
      </c>
      <c r="N1499">
        <v>-1.117633E-2</v>
      </c>
      <c r="O1499">
        <v>-2.272594E-2</v>
      </c>
      <c r="P1499">
        <v>-0.98350979999999999</v>
      </c>
      <c r="Q1499">
        <v>0.15576789999999999</v>
      </c>
      <c r="R1499">
        <v>-9.1896350000000002E-2</v>
      </c>
      <c r="S1499">
        <v>-3.0672609999999998</v>
      </c>
      <c r="T1499">
        <v>-3.2070639999999997E-2</v>
      </c>
      <c r="U1499">
        <v>0.1364136</v>
      </c>
      <c r="V1499">
        <v>-6.9772680000000004E-2</v>
      </c>
      <c r="W1499">
        <v>0.16666549999999999</v>
      </c>
      <c r="X1499">
        <v>0.98354169999999996</v>
      </c>
      <c r="Y1499">
        <v>6.7116010000000004E-2</v>
      </c>
      <c r="Z1499">
        <v>7.096146E-4</v>
      </c>
      <c r="AA1499">
        <v>0.99774490000000005</v>
      </c>
      <c r="AB1499">
        <v>34</v>
      </c>
      <c r="AC1499">
        <v>-98.998099999999894</v>
      </c>
      <c r="AD1499">
        <v>-1.0386949999999999</v>
      </c>
      <c r="AE1499">
        <v>4.4264000000000001</v>
      </c>
      <c r="AF1499">
        <v>6.6744886918724999</v>
      </c>
      <c r="AG1499">
        <v>-1.0386949999999999</v>
      </c>
      <c r="AH1499">
        <v>98.8610671710872</v>
      </c>
      <c r="AI1499">
        <v>90.600595312917406</v>
      </c>
      <c r="AJ1499">
        <v>86.137604125239505</v>
      </c>
      <c r="AK1499">
        <v>99.091565174878397</v>
      </c>
      <c r="AL1499">
        <v>80.405999040551904</v>
      </c>
      <c r="AM1499">
        <v>94.057778267040703</v>
      </c>
      <c r="AN1499">
        <v>0.99999994570175899</v>
      </c>
    </row>
    <row r="1500" spans="1:40" x14ac:dyDescent="0.25">
      <c r="A1500" t="str">
        <f>"20190304155351850"</f>
        <v>20190304155351850</v>
      </c>
      <c r="B1500" t="str">
        <f>"1551686031847594"</f>
        <v>1551686031847594</v>
      </c>
      <c r="C1500" t="s">
        <v>40</v>
      </c>
      <c r="D1500">
        <v>4.4773319999999996</v>
      </c>
      <c r="E1500">
        <v>0.5506839</v>
      </c>
      <c r="F1500" t="s">
        <v>65</v>
      </c>
      <c r="G1500">
        <v>-435.49</v>
      </c>
      <c r="H1500">
        <v>8.0000160000000001E-2</v>
      </c>
      <c r="I1500">
        <v>290.04629999999997</v>
      </c>
      <c r="J1500">
        <v>-333.05290000000002</v>
      </c>
      <c r="K1500">
        <v>1.11049</v>
      </c>
      <c r="L1500">
        <v>285.60890000000001</v>
      </c>
      <c r="M1500">
        <v>-0.99966449999999996</v>
      </c>
      <c r="N1500">
        <v>-1.1144029999999999E-2</v>
      </c>
      <c r="O1500">
        <v>-2.338498E-2</v>
      </c>
      <c r="P1500">
        <v>-0.98337300000000005</v>
      </c>
      <c r="Q1500">
        <v>0.15592</v>
      </c>
      <c r="R1500">
        <v>-9.309423E-2</v>
      </c>
      <c r="S1500">
        <v>-3.0675349999999999</v>
      </c>
      <c r="T1500">
        <v>-3.0758379999999998E-2</v>
      </c>
      <c r="U1500">
        <v>0.13220209999999999</v>
      </c>
      <c r="V1500">
        <v>-7.0321839999999997E-2</v>
      </c>
      <c r="W1500">
        <v>0.1667854</v>
      </c>
      <c r="X1500">
        <v>0.98348230000000003</v>
      </c>
      <c r="Y1500">
        <v>6.6403139999999999E-2</v>
      </c>
      <c r="Z1500">
        <v>6.7685919999999999E-4</v>
      </c>
      <c r="AA1500">
        <v>0.99779269999999998</v>
      </c>
      <c r="AB1500">
        <v>34</v>
      </c>
      <c r="AC1500">
        <v>-102.4371</v>
      </c>
      <c r="AD1500">
        <v>-1.03048984</v>
      </c>
      <c r="AE1500">
        <v>4.4373999999999603</v>
      </c>
      <c r="AF1500">
        <v>6.8311344724215397</v>
      </c>
      <c r="AG1500">
        <v>-1.03048984</v>
      </c>
      <c r="AH1500">
        <v>102.294975830252</v>
      </c>
      <c r="AI1500">
        <v>90.575878974620593</v>
      </c>
      <c r="AJ1500">
        <v>86.179529577116497</v>
      </c>
      <c r="AK1500">
        <v>102.527988313447</v>
      </c>
      <c r="AL1500">
        <v>80.399032115485895</v>
      </c>
      <c r="AM1500">
        <v>94.089854053236294</v>
      </c>
      <c r="AN1500">
        <v>0.99999998262371703</v>
      </c>
    </row>
    <row r="1501" spans="1:40" x14ac:dyDescent="0.25">
      <c r="A1501" t="str">
        <f>"20190304155351872"</f>
        <v>20190304155351872</v>
      </c>
      <c r="B1501" t="str">
        <f>"1551686031868089"</f>
        <v>1551686031868089</v>
      </c>
      <c r="C1501" t="s">
        <v>40</v>
      </c>
      <c r="D1501">
        <v>4.3631279999999997</v>
      </c>
      <c r="E1501">
        <v>0.5507358</v>
      </c>
      <c r="F1501" t="s">
        <v>63</v>
      </c>
      <c r="G1501">
        <v>-442.44439999999997</v>
      </c>
      <c r="H1501">
        <v>8.0000479999999999E-2</v>
      </c>
      <c r="I1501">
        <v>290.37060000000002</v>
      </c>
      <c r="J1501">
        <v>-333.39640000000003</v>
      </c>
      <c r="K1501">
        <v>1.1104769999999999</v>
      </c>
      <c r="L1501">
        <v>285.60019999999997</v>
      </c>
      <c r="M1501">
        <v>-0.99964920000000002</v>
      </c>
      <c r="N1501">
        <v>-1.110922E-2</v>
      </c>
      <c r="O1501">
        <v>-2.404307E-2</v>
      </c>
      <c r="P1501">
        <v>-0.98318749999999999</v>
      </c>
      <c r="Q1501">
        <v>0.15663289999999999</v>
      </c>
      <c r="R1501">
        <v>-9.3854170000000001E-2</v>
      </c>
      <c r="S1501">
        <v>-3.0679319999999999</v>
      </c>
      <c r="T1501">
        <v>-2.8900499999999999E-2</v>
      </c>
      <c r="U1501">
        <v>0.13354489999999999</v>
      </c>
      <c r="V1501">
        <v>-7.043365E-2</v>
      </c>
      <c r="W1501">
        <v>0.16746429999999901</v>
      </c>
      <c r="X1501">
        <v>0.98335890000000004</v>
      </c>
      <c r="Y1501">
        <v>6.7490789999999995E-2</v>
      </c>
      <c r="Z1501">
        <v>6.5224689999999997E-4</v>
      </c>
      <c r="AA1501">
        <v>0.99771969999999999</v>
      </c>
      <c r="AB1501">
        <v>34</v>
      </c>
      <c r="AC1501">
        <v>-109.04799999999901</v>
      </c>
      <c r="AD1501">
        <v>-1.0304765199999999</v>
      </c>
      <c r="AE1501">
        <v>4.7704000000000502</v>
      </c>
      <c r="AF1501">
        <v>7.3903726267464203</v>
      </c>
      <c r="AG1501">
        <v>-1.0304765199999999</v>
      </c>
      <c r="AH1501">
        <v>108.89206551799499</v>
      </c>
      <c r="AI1501">
        <v>90.540945698585304</v>
      </c>
      <c r="AJ1501">
        <v>86.117358892044706</v>
      </c>
      <c r="AK1501">
        <v>109.147429755335</v>
      </c>
      <c r="AL1501">
        <v>80.359578897645093</v>
      </c>
      <c r="AM1501">
        <v>94.096846993529795</v>
      </c>
      <c r="AN1501">
        <v>0.99999995851801005</v>
      </c>
    </row>
    <row r="1502" spans="1:40" x14ac:dyDescent="0.25">
      <c r="A1502" t="str">
        <f>"20190304155351895"</f>
        <v>20190304155351895</v>
      </c>
      <c r="B1502" t="str">
        <f>"1551686031887609"</f>
        <v>1551686031887609</v>
      </c>
      <c r="C1502" t="s">
        <v>40</v>
      </c>
      <c r="D1502">
        <v>4.3286490000000004</v>
      </c>
      <c r="E1502">
        <v>0.55091630000000003</v>
      </c>
      <c r="F1502" t="s">
        <v>63</v>
      </c>
      <c r="G1502">
        <v>-448.65269999999998</v>
      </c>
      <c r="H1502">
        <v>8.0000829999999995E-2</v>
      </c>
      <c r="I1502">
        <v>290.54219999999998</v>
      </c>
      <c r="J1502">
        <v>-333.74299999999999</v>
      </c>
      <c r="K1502">
        <v>1.1104480000000001</v>
      </c>
      <c r="L1502">
        <v>285.59120000000001</v>
      </c>
      <c r="M1502">
        <v>-0.99963429999999998</v>
      </c>
      <c r="N1502">
        <v>-1.1069509999999999E-2</v>
      </c>
      <c r="O1502">
        <v>-2.4678720000000001E-2</v>
      </c>
      <c r="P1502">
        <v>-0.98299499999999995</v>
      </c>
      <c r="Q1502">
        <v>0.1573608</v>
      </c>
      <c r="R1502">
        <v>-9.4650330000000005E-2</v>
      </c>
      <c r="S1502">
        <v>-3.0682369999999999</v>
      </c>
      <c r="T1502">
        <v>-2.743232E-2</v>
      </c>
      <c r="U1502">
        <v>0.13156129999999999</v>
      </c>
      <c r="V1502">
        <v>-7.0600609999999994E-2</v>
      </c>
      <c r="W1502">
        <v>0.16815479999999899</v>
      </c>
      <c r="X1502">
        <v>0.98322909999999997</v>
      </c>
      <c r="Y1502">
        <v>6.7477540000000003E-2</v>
      </c>
      <c r="Z1502">
        <v>6.2267900000000001E-4</v>
      </c>
      <c r="AA1502">
        <v>0.99772059999999996</v>
      </c>
      <c r="AB1502">
        <v>34</v>
      </c>
      <c r="AC1502">
        <v>-114.90969999999901</v>
      </c>
      <c r="AD1502">
        <v>-1.03044717</v>
      </c>
      <c r="AE1502">
        <v>4.9509999999999597</v>
      </c>
      <c r="AF1502">
        <v>7.7848646827453702</v>
      </c>
      <c r="AG1502">
        <v>-1.03044717</v>
      </c>
      <c r="AH1502">
        <v>114.74329631781799</v>
      </c>
      <c r="AI1502">
        <v>90.513348349149993</v>
      </c>
      <c r="AJ1502">
        <v>86.118663098239196</v>
      </c>
      <c r="AK1502">
        <v>115.011695011322</v>
      </c>
      <c r="AL1502">
        <v>80.319447208678895</v>
      </c>
      <c r="AM1502">
        <v>94.107065475863394</v>
      </c>
      <c r="AN1502">
        <v>0.99999997299110999</v>
      </c>
    </row>
    <row r="1503" spans="1:40" x14ac:dyDescent="0.25">
      <c r="A1503" t="str">
        <f>"20190304155351917"</f>
        <v>20190304155351917</v>
      </c>
      <c r="B1503" t="str">
        <f>"1551686031908105"</f>
        <v>1551686031908105</v>
      </c>
      <c r="C1503" t="s">
        <v>40</v>
      </c>
      <c r="D1503">
        <v>4.3210829999999998</v>
      </c>
      <c r="E1503">
        <v>0.5510931</v>
      </c>
      <c r="F1503" t="s">
        <v>63</v>
      </c>
      <c r="G1503">
        <v>-460.80650000000003</v>
      </c>
      <c r="H1503">
        <v>7.9999970000000004E-2</v>
      </c>
      <c r="I1503">
        <v>290.99369999999999</v>
      </c>
      <c r="J1503">
        <v>-334.08789999999999</v>
      </c>
      <c r="K1503">
        <v>1.1104179999999999</v>
      </c>
      <c r="L1503">
        <v>285.5822</v>
      </c>
      <c r="M1503">
        <v>-0.99961979999999995</v>
      </c>
      <c r="N1503">
        <v>-1.1023420000000001E-2</v>
      </c>
      <c r="O1503">
        <v>-2.5274540000000002E-2</v>
      </c>
      <c r="P1503">
        <v>-0.98288699999999996</v>
      </c>
      <c r="Q1503">
        <v>0.15756289999999901</v>
      </c>
      <c r="R1503">
        <v>-9.5432020000000006E-2</v>
      </c>
      <c r="S1503">
        <v>-3.068451</v>
      </c>
      <c r="T1503">
        <v>-2.4884219999999999E-2</v>
      </c>
      <c r="U1503">
        <v>0.13046259999999901</v>
      </c>
      <c r="V1503">
        <v>-7.0787100000000006E-2</v>
      </c>
      <c r="W1503">
        <v>0.1683151</v>
      </c>
      <c r="X1503">
        <v>0.98318830000000002</v>
      </c>
      <c r="Y1503">
        <v>6.7713399999999896E-2</v>
      </c>
      <c r="Z1503">
        <v>5.7425330000000004E-4</v>
      </c>
      <c r="AA1503">
        <v>0.99770460000000005</v>
      </c>
      <c r="AB1503">
        <v>34</v>
      </c>
      <c r="AC1503">
        <v>-126.7186</v>
      </c>
      <c r="AD1503">
        <v>-1.0304180300000001</v>
      </c>
      <c r="AE1503">
        <v>5.4114999999999798</v>
      </c>
      <c r="AF1503">
        <v>8.6121514923874294</v>
      </c>
      <c r="AG1503">
        <v>-1.0304180300000001</v>
      </c>
      <c r="AH1503">
        <v>126.532981678551</v>
      </c>
      <c r="AI1503">
        <v>90.465499448924902</v>
      </c>
      <c r="AJ1503">
        <v>86.106310914658295</v>
      </c>
      <c r="AK1503">
        <v>126.829911168891</v>
      </c>
      <c r="AL1503">
        <v>80.310130255048904</v>
      </c>
      <c r="AM1503">
        <v>94.118047224732393</v>
      </c>
      <c r="AN1503">
        <v>1.0000000098356501</v>
      </c>
    </row>
    <row r="1504" spans="1:40" x14ac:dyDescent="0.25">
      <c r="A1504" t="str">
        <f>"20190304155351941"</f>
        <v>20190304155351941</v>
      </c>
      <c r="B1504" t="str">
        <f>"1551686031937386"</f>
        <v>1551686031937386</v>
      </c>
      <c r="C1504" t="s">
        <v>40</v>
      </c>
      <c r="D1504">
        <v>4.3202129999999999</v>
      </c>
      <c r="E1504">
        <v>0.55117859999999996</v>
      </c>
      <c r="F1504" t="s">
        <v>63</v>
      </c>
      <c r="G1504">
        <v>-466.92250000000001</v>
      </c>
      <c r="H1504">
        <v>8.0000290000000002E-2</v>
      </c>
      <c r="I1504">
        <v>291.19920000000002</v>
      </c>
      <c r="J1504">
        <v>-334.44260000000003</v>
      </c>
      <c r="K1504">
        <v>1.1103730000000001</v>
      </c>
      <c r="L1504">
        <v>285.57260000000002</v>
      </c>
      <c r="M1504">
        <v>-0.99960590000000005</v>
      </c>
      <c r="N1504">
        <v>-1.0972590000000001E-2</v>
      </c>
      <c r="O1504">
        <v>-2.584113E-2</v>
      </c>
      <c r="P1504">
        <v>-0.98287840000000004</v>
      </c>
      <c r="Q1504">
        <v>0.15715179999999901</v>
      </c>
      <c r="R1504">
        <v>-9.6195020000000006E-2</v>
      </c>
      <c r="S1504">
        <v>-3.0686650000000002</v>
      </c>
      <c r="T1504">
        <v>-2.380407E-2</v>
      </c>
      <c r="U1504">
        <v>0.12976070000000001</v>
      </c>
      <c r="V1504">
        <v>-7.097647E-2</v>
      </c>
      <c r="W1504">
        <v>0.1678606</v>
      </c>
      <c r="X1504">
        <v>0.98325229999999997</v>
      </c>
      <c r="Y1504">
        <v>6.8048410000000004E-2</v>
      </c>
      <c r="Z1504">
        <v>5.5429269999999998E-4</v>
      </c>
      <c r="AA1504">
        <v>0.99768190000000001</v>
      </c>
      <c r="AB1504">
        <v>35</v>
      </c>
      <c r="AC1504">
        <v>-132.47989999999999</v>
      </c>
      <c r="AD1504">
        <v>-1.03037271</v>
      </c>
      <c r="AE1504">
        <v>5.6265999999999901</v>
      </c>
      <c r="AF1504">
        <v>9.0478107398189902</v>
      </c>
      <c r="AG1504">
        <v>-1.03037271</v>
      </c>
      <c r="AH1504">
        <v>132.28226074891501</v>
      </c>
      <c r="AI1504">
        <v>90.445238927993799</v>
      </c>
      <c r="AJ1504">
        <v>86.087190954668301</v>
      </c>
      <c r="AK1504">
        <v>132.59532818296799</v>
      </c>
      <c r="AL1504">
        <v>80.336546586383193</v>
      </c>
      <c r="AM1504">
        <v>94.128757963579403</v>
      </c>
      <c r="AN1504">
        <v>0.99999996289065396</v>
      </c>
    </row>
    <row r="1505" spans="1:40" x14ac:dyDescent="0.25">
      <c r="A1505" t="str">
        <f>"20190304155351962"</f>
        <v>20190304155351962</v>
      </c>
      <c r="B1505" t="str">
        <f>"1551686031957881"</f>
        <v>1551686031957881</v>
      </c>
      <c r="C1505" t="s">
        <v>40</v>
      </c>
      <c r="D1505">
        <v>4.3198489999999996</v>
      </c>
      <c r="E1505">
        <v>0.55136109999999905</v>
      </c>
      <c r="F1505" t="s">
        <v>63</v>
      </c>
      <c r="G1505">
        <v>-460.54140000000001</v>
      </c>
      <c r="H1505">
        <v>7.9999909999999994E-2</v>
      </c>
      <c r="I1505">
        <v>290.85809999999998</v>
      </c>
      <c r="J1505">
        <v>-334.77809999999999</v>
      </c>
      <c r="K1505">
        <v>1.1103289999999999</v>
      </c>
      <c r="L1505">
        <v>285.5634</v>
      </c>
      <c r="M1505">
        <v>-0.99959390000000004</v>
      </c>
      <c r="N1505">
        <v>-1.092183E-2</v>
      </c>
      <c r="O1505">
        <v>-2.6323869999999999E-2</v>
      </c>
      <c r="P1505">
        <v>-0.98283520000000002</v>
      </c>
      <c r="Q1505">
        <v>0.15689149999999999</v>
      </c>
      <c r="R1505">
        <v>-9.7060309999999997E-2</v>
      </c>
      <c r="S1505">
        <v>-3.0688170000000001</v>
      </c>
      <c r="T1505">
        <v>-2.5075790000000001E-2</v>
      </c>
      <c r="U1505">
        <v>0.12863160000000001</v>
      </c>
      <c r="V1505">
        <v>-7.1351070000000003E-2</v>
      </c>
      <c r="W1505">
        <v>0.16755639999999999</v>
      </c>
      <c r="X1505">
        <v>0.98327710000000002</v>
      </c>
      <c r="Y1505">
        <v>6.8161340000000001E-2</v>
      </c>
      <c r="Z1505">
        <v>5.7839950000000001E-4</v>
      </c>
      <c r="AA1505">
        <v>0.99767419999999996</v>
      </c>
      <c r="AB1505">
        <v>35</v>
      </c>
      <c r="AC1505">
        <v>-125.7633</v>
      </c>
      <c r="AD1505">
        <v>-1.0303290899999999</v>
      </c>
      <c r="AE1505">
        <v>5.2946999999999704</v>
      </c>
      <c r="AF1505">
        <v>8.6030624912858293</v>
      </c>
      <c r="AG1505">
        <v>-1.0303290899999999</v>
      </c>
      <c r="AH1505">
        <v>125.571915044893</v>
      </c>
      <c r="AI1505">
        <v>90.469007214510199</v>
      </c>
      <c r="AJ1505">
        <v>86.080730942450998</v>
      </c>
      <c r="AK1505">
        <v>125.8704894338</v>
      </c>
      <c r="AL1505">
        <v>80.354226621627404</v>
      </c>
      <c r="AM1505">
        <v>94.150368476134403</v>
      </c>
      <c r="AN1505">
        <v>0.99999998887775698</v>
      </c>
    </row>
    <row r="1506" spans="1:40" x14ac:dyDescent="0.25">
      <c r="A1506" t="str">
        <f>"20190304155351987"</f>
        <v>20190304155351987</v>
      </c>
      <c r="B1506" t="str">
        <f>"1551686031977401"</f>
        <v>1551686031977401</v>
      </c>
      <c r="C1506" t="s">
        <v>40</v>
      </c>
      <c r="D1506">
        <v>4.3328860000000002</v>
      </c>
      <c r="E1506">
        <v>0.55151899999999998</v>
      </c>
      <c r="F1506" t="s">
        <v>63</v>
      </c>
      <c r="G1506">
        <v>-456.44400000000002</v>
      </c>
      <c r="H1506">
        <v>8.0000180000000004E-2</v>
      </c>
      <c r="I1506">
        <v>290.62619999999998</v>
      </c>
      <c r="J1506">
        <v>-335.14080000000001</v>
      </c>
      <c r="K1506">
        <v>1.110271</v>
      </c>
      <c r="L1506">
        <v>285.55340000000001</v>
      </c>
      <c r="M1506">
        <v>-0.99958239999999998</v>
      </c>
      <c r="N1506">
        <v>-1.086204E-2</v>
      </c>
      <c r="O1506">
        <v>-2.678144E-2</v>
      </c>
      <c r="P1506">
        <v>-0.98279059999999996</v>
      </c>
      <c r="Q1506">
        <v>0.15678599999999901</v>
      </c>
      <c r="R1506">
        <v>-9.7677739999999999E-2</v>
      </c>
      <c r="S1506">
        <v>-3.0692140000000001</v>
      </c>
      <c r="T1506">
        <v>-2.599168E-2</v>
      </c>
      <c r="U1506">
        <v>0.1277161</v>
      </c>
      <c r="V1506">
        <v>-7.1499740000000006E-2</v>
      </c>
      <c r="W1506">
        <v>0.1674003</v>
      </c>
      <c r="X1506">
        <v>0.98329290000000003</v>
      </c>
      <c r="Y1506">
        <v>6.8315290000000001E-2</v>
      </c>
      <c r="Z1506">
        <v>5.9627970000000004E-4</v>
      </c>
      <c r="AA1506">
        <v>0.99766359999999998</v>
      </c>
      <c r="AB1506">
        <v>35</v>
      </c>
      <c r="AC1506">
        <v>-121.3032</v>
      </c>
      <c r="AD1506">
        <v>-1.0302708199999999</v>
      </c>
      <c r="AE1506">
        <v>5.0727999999999698</v>
      </c>
      <c r="AF1506">
        <v>8.3192468637206698</v>
      </c>
      <c r="AG1506">
        <v>-1.0302708199999999</v>
      </c>
      <c r="AH1506">
        <v>121.115098460363</v>
      </c>
      <c r="AI1506">
        <v>90.486231618332397</v>
      </c>
      <c r="AJ1506">
        <v>86.070595590029001</v>
      </c>
      <c r="AK1506">
        <v>121.40485328604299</v>
      </c>
      <c r="AL1506">
        <v>80.363298738569895</v>
      </c>
      <c r="AM1506">
        <v>94.158919445353007</v>
      </c>
      <c r="AN1506">
        <v>1.00000000022528</v>
      </c>
    </row>
    <row r="1507" spans="1:40" x14ac:dyDescent="0.25">
      <c r="A1507" t="str">
        <f>"20190304155352007"</f>
        <v>20190304155352007</v>
      </c>
      <c r="B1507" t="str">
        <f>"1551686031997901"</f>
        <v>1551686031997901</v>
      </c>
      <c r="C1507" t="s">
        <v>40</v>
      </c>
      <c r="D1507">
        <v>4.3124580000000003</v>
      </c>
      <c r="E1507">
        <v>0.55162219999999995</v>
      </c>
      <c r="F1507" t="s">
        <v>63</v>
      </c>
      <c r="G1507">
        <v>-454.91329999999999</v>
      </c>
      <c r="H1507">
        <v>8.0001199999999995E-2</v>
      </c>
      <c r="I1507">
        <v>290.51799999999997</v>
      </c>
      <c r="J1507">
        <v>-335.47059999999999</v>
      </c>
      <c r="K1507">
        <v>1.1102209999999999</v>
      </c>
      <c r="L1507">
        <v>285.54419999999999</v>
      </c>
      <c r="M1507">
        <v>-0.99957300000000004</v>
      </c>
      <c r="N1507">
        <v>-1.0807570000000001E-2</v>
      </c>
      <c r="O1507">
        <v>-2.7152340000000001E-2</v>
      </c>
      <c r="P1507">
        <v>-0.98275009999999996</v>
      </c>
      <c r="Q1507">
        <v>0.1566845</v>
      </c>
      <c r="R1507">
        <v>-9.82489E-2</v>
      </c>
      <c r="S1507">
        <v>-3.0693969999999999</v>
      </c>
      <c r="T1507">
        <v>-2.640259E-2</v>
      </c>
      <c r="U1507">
        <v>0.1272278</v>
      </c>
      <c r="V1507">
        <v>-7.1689600000000006E-2</v>
      </c>
      <c r="W1507">
        <v>0.16725229999999999</v>
      </c>
      <c r="X1507">
        <v>0.98330430000000002</v>
      </c>
      <c r="Y1507">
        <v>6.8524429999999997E-2</v>
      </c>
      <c r="Z1507">
        <v>6.0521149999999998E-4</v>
      </c>
      <c r="AA1507">
        <v>0.99764929999999996</v>
      </c>
      <c r="AB1507">
        <v>35</v>
      </c>
      <c r="AC1507">
        <v>-119.4427</v>
      </c>
      <c r="AD1507">
        <v>-1.03021979999999</v>
      </c>
      <c r="AE1507">
        <v>4.9737999999999802</v>
      </c>
      <c r="AF1507">
        <v>8.2146937536905398</v>
      </c>
      <c r="AG1507">
        <v>-1.03021979999999</v>
      </c>
      <c r="AH1507">
        <v>119.25474249283801</v>
      </c>
      <c r="AI1507">
        <v>90.493785346817205</v>
      </c>
      <c r="AJ1507">
        <v>86.059486156174998</v>
      </c>
      <c r="AK1507">
        <v>119.5417757662</v>
      </c>
      <c r="AL1507">
        <v>80.371900147069994</v>
      </c>
      <c r="AM1507">
        <v>94.169875938230504</v>
      </c>
      <c r="AN1507">
        <v>1.00000003850096</v>
      </c>
    </row>
    <row r="1508" spans="1:40" x14ac:dyDescent="0.25">
      <c r="A1508" t="str">
        <f>"20190304155352030"</f>
        <v>20190304155352030</v>
      </c>
      <c r="B1508" t="str">
        <f>"1551686032017418"</f>
        <v>1551686032017418</v>
      </c>
      <c r="C1508" t="s">
        <v>40</v>
      </c>
      <c r="D1508">
        <v>4.3455519999999996</v>
      </c>
      <c r="E1508">
        <v>0.55176190000000003</v>
      </c>
      <c r="F1508" t="s">
        <v>63</v>
      </c>
      <c r="G1508">
        <v>-453.10860000000002</v>
      </c>
      <c r="H1508">
        <v>8.0000680000000005E-2</v>
      </c>
      <c r="I1508">
        <v>290.3954</v>
      </c>
      <c r="J1508">
        <v>-335.81920000000002</v>
      </c>
      <c r="K1508">
        <v>1.110174</v>
      </c>
      <c r="L1508">
        <v>285.53440000000001</v>
      </c>
      <c r="M1508">
        <v>-0.99956420000000001</v>
      </c>
      <c r="N1508">
        <v>-1.075221E-2</v>
      </c>
      <c r="O1508">
        <v>-2.749439E-2</v>
      </c>
      <c r="P1508">
        <v>-0.98272689999999996</v>
      </c>
      <c r="Q1508">
        <v>0.1566168</v>
      </c>
      <c r="R1508">
        <v>-9.8586900000000005E-2</v>
      </c>
      <c r="S1508">
        <v>-3.0696409999999998</v>
      </c>
      <c r="T1508">
        <v>-2.6882530000000002E-2</v>
      </c>
      <c r="U1508">
        <v>0.1265869</v>
      </c>
      <c r="V1508">
        <v>-7.1674119999999994E-2</v>
      </c>
      <c r="W1508">
        <v>0.16713710000000001</v>
      </c>
      <c r="X1508">
        <v>0.983325</v>
      </c>
      <c r="Y1508">
        <v>6.8654480000000004E-2</v>
      </c>
      <c r="Z1508">
        <v>6.1495799999999998E-4</v>
      </c>
      <c r="AA1508">
        <v>0.99764030000000004</v>
      </c>
      <c r="AB1508">
        <v>35</v>
      </c>
      <c r="AC1508">
        <v>-117.2894</v>
      </c>
      <c r="AD1508">
        <v>-1.0301733200000001</v>
      </c>
      <c r="AE1508">
        <v>4.86099999999999</v>
      </c>
      <c r="AF1508">
        <v>8.0835263012191199</v>
      </c>
      <c r="AG1508">
        <v>-1.0301733200000001</v>
      </c>
      <c r="AH1508">
        <v>117.102378314541</v>
      </c>
      <c r="AI1508">
        <v>90.502833030554299</v>
      </c>
      <c r="AJ1508">
        <v>86.051161459974793</v>
      </c>
      <c r="AK1508">
        <v>117.385568369599</v>
      </c>
      <c r="AL1508">
        <v>80.378594702057299</v>
      </c>
      <c r="AM1508">
        <v>94.168891256329303</v>
      </c>
      <c r="AN1508">
        <v>1.00000002264959</v>
      </c>
    </row>
    <row r="1509" spans="1:40" x14ac:dyDescent="0.25">
      <c r="A1509" t="str">
        <f>"20190304155352051"</f>
        <v>20190304155352051</v>
      </c>
      <c r="B1509" t="str">
        <f>"1551686032047674"</f>
        <v>1551686032047674</v>
      </c>
      <c r="C1509" t="s">
        <v>40</v>
      </c>
      <c r="D1509">
        <v>4.358644</v>
      </c>
      <c r="E1509">
        <v>0.5519963</v>
      </c>
      <c r="F1509" t="s">
        <v>63</v>
      </c>
      <c r="G1509">
        <v>-451.67090000000002</v>
      </c>
      <c r="H1509">
        <v>8.0000260000000004E-2</v>
      </c>
      <c r="I1509">
        <v>290.30709999999999</v>
      </c>
      <c r="J1509">
        <v>-336.1558</v>
      </c>
      <c r="K1509">
        <v>1.1101219999999901</v>
      </c>
      <c r="L1509">
        <v>285.5249</v>
      </c>
      <c r="M1509">
        <v>-0.99955700000000003</v>
      </c>
      <c r="N1509">
        <v>-1.069704E-2</v>
      </c>
      <c r="O1509">
        <v>-2.777497E-2</v>
      </c>
      <c r="P1509">
        <v>-0.98269410000000001</v>
      </c>
      <c r="Q1509">
        <v>0.15657879999999999</v>
      </c>
      <c r="R1509">
        <v>-9.8971190000000001E-2</v>
      </c>
      <c r="S1509">
        <v>-3.0697939999999999</v>
      </c>
      <c r="T1509">
        <v>-2.7297140000000001E-2</v>
      </c>
      <c r="U1509">
        <v>0.12646479999999999</v>
      </c>
      <c r="V1509">
        <v>-7.1766129999999997E-2</v>
      </c>
      <c r="W1509">
        <v>0.16705200000000001</v>
      </c>
      <c r="X1509">
        <v>0.98333280000000001</v>
      </c>
      <c r="Y1509">
        <v>6.8892709999999996E-2</v>
      </c>
      <c r="Z1509">
        <v>6.247259E-4</v>
      </c>
      <c r="AA1509">
        <v>0.99762390000000001</v>
      </c>
      <c r="AB1509">
        <v>35</v>
      </c>
      <c r="AC1509">
        <v>-115.5151</v>
      </c>
      <c r="AD1509">
        <v>-1.03012173999999</v>
      </c>
      <c r="AE1509">
        <v>4.78219999999998</v>
      </c>
      <c r="AF1509">
        <v>7.9883325445594897</v>
      </c>
      <c r="AG1509">
        <v>-1.03012173999999</v>
      </c>
      <c r="AH1509">
        <v>115.328540522764</v>
      </c>
      <c r="AI1509">
        <v>90.510532701568593</v>
      </c>
      <c r="AJ1509">
        <v>86.037686221612802</v>
      </c>
      <c r="AK1509">
        <v>115.60945837928899</v>
      </c>
      <c r="AL1509">
        <v>80.383540578260295</v>
      </c>
      <c r="AM1509">
        <v>94.174191075920604</v>
      </c>
      <c r="AN1509">
        <v>1.0000000718374999</v>
      </c>
    </row>
    <row r="1510" spans="1:40" x14ac:dyDescent="0.25">
      <c r="A1510" t="str">
        <f>"20190304155352075"</f>
        <v>20190304155352075</v>
      </c>
      <c r="B1510" t="str">
        <f>"1551686032068170"</f>
        <v>1551686032068170</v>
      </c>
      <c r="C1510" t="s">
        <v>40</v>
      </c>
      <c r="D1510">
        <v>4.396922</v>
      </c>
      <c r="E1510">
        <v>0.55221750000000003</v>
      </c>
      <c r="F1510" t="s">
        <v>63</v>
      </c>
      <c r="G1510">
        <v>-451.04090000000002</v>
      </c>
      <c r="H1510">
        <v>8.0000080000000001E-2</v>
      </c>
      <c r="I1510">
        <v>290.28030000000001</v>
      </c>
      <c r="J1510">
        <v>-336.52769999999998</v>
      </c>
      <c r="K1510">
        <v>1.1100589999999999</v>
      </c>
      <c r="L1510">
        <v>285.51420000000002</v>
      </c>
      <c r="M1510">
        <v>-0.99955059999999996</v>
      </c>
      <c r="N1510">
        <v>-1.0634029999999999E-2</v>
      </c>
      <c r="O1510">
        <v>-2.803052E-2</v>
      </c>
      <c r="P1510">
        <v>-0.98277159999999997</v>
      </c>
      <c r="Q1510">
        <v>0.15616849999999999</v>
      </c>
      <c r="R1510">
        <v>-9.8850709999999994E-2</v>
      </c>
      <c r="S1510">
        <v>-3.0700069999999999</v>
      </c>
      <c r="T1510">
        <v>-2.7527329999999999E-2</v>
      </c>
      <c r="U1510">
        <v>0.1270752</v>
      </c>
      <c r="V1510">
        <v>-7.1373249999999999E-2</v>
      </c>
      <c r="W1510">
        <v>0.16658889999999901</v>
      </c>
      <c r="X1510">
        <v>0.98343990000000003</v>
      </c>
      <c r="Y1510">
        <v>6.9342810000000005E-2</v>
      </c>
      <c r="Z1510">
        <v>6.3291469999999996E-4</v>
      </c>
      <c r="AA1510">
        <v>0.9975927</v>
      </c>
      <c r="AB1510">
        <v>35</v>
      </c>
      <c r="AC1510">
        <v>-114.5132</v>
      </c>
      <c r="AD1510">
        <v>-1.0300589200000001</v>
      </c>
      <c r="AE1510">
        <v>4.76609999999999</v>
      </c>
      <c r="AF1510">
        <v>7.9736287233036904</v>
      </c>
      <c r="AG1510">
        <v>-1.0300589200000001</v>
      </c>
      <c r="AH1510">
        <v>114.32536089053301</v>
      </c>
      <c r="AI1510">
        <v>90.514963798907104</v>
      </c>
      <c r="AJ1510">
        <v>86.010363293141396</v>
      </c>
      <c r="AK1510">
        <v>114.60771317475201</v>
      </c>
      <c r="AL1510">
        <v>80.410450839773404</v>
      </c>
      <c r="AM1510">
        <v>94.150969269831705</v>
      </c>
      <c r="AN1510">
        <v>1.00000001966539</v>
      </c>
    </row>
    <row r="1511" spans="1:40" x14ac:dyDescent="0.25">
      <c r="A1511" t="str">
        <f>"20190304155352096"</f>
        <v>20190304155352096</v>
      </c>
      <c r="B1511" t="str">
        <f>"1551686032087693"</f>
        <v>1551686032087693</v>
      </c>
      <c r="C1511" t="s">
        <v>40</v>
      </c>
      <c r="D1511">
        <v>4.3793800000000003</v>
      </c>
      <c r="E1511">
        <v>0.55245759999999999</v>
      </c>
      <c r="F1511" t="s">
        <v>63</v>
      </c>
      <c r="G1511">
        <v>-445.6112</v>
      </c>
      <c r="H1511">
        <v>7.9999959999999995E-2</v>
      </c>
      <c r="I1511">
        <v>290.10930000000002</v>
      </c>
      <c r="J1511">
        <v>-336.85939999999999</v>
      </c>
      <c r="K1511">
        <v>1.110012</v>
      </c>
      <c r="L1511">
        <v>285.50479999999999</v>
      </c>
      <c r="M1511">
        <v>-0.99954589999999999</v>
      </c>
      <c r="N1511">
        <v>-1.057991E-2</v>
      </c>
      <c r="O1511">
        <v>-2.8212890000000001E-2</v>
      </c>
      <c r="P1511">
        <v>-0.98273149999999998</v>
      </c>
      <c r="Q1511">
        <v>0.15654860000000001</v>
      </c>
      <c r="R1511">
        <v>-9.8646949999999997E-2</v>
      </c>
      <c r="S1511">
        <v>-3.0702509999999998</v>
      </c>
      <c r="T1511">
        <v>-2.8991940000000001E-2</v>
      </c>
      <c r="U1511">
        <v>0.12933349999999999</v>
      </c>
      <c r="V1511">
        <v>-7.0974800000000005E-2</v>
      </c>
      <c r="W1511">
        <v>0.16692219999999999</v>
      </c>
      <c r="X1511">
        <v>0.98341219999999996</v>
      </c>
      <c r="Y1511">
        <v>7.0253469999999998E-2</v>
      </c>
      <c r="Z1511">
        <v>6.7131979999999905E-4</v>
      </c>
      <c r="AA1511">
        <v>0.997529</v>
      </c>
      <c r="AB1511">
        <v>35</v>
      </c>
      <c r="AC1511">
        <v>-108.7518</v>
      </c>
      <c r="AD1511">
        <v>-1.0300120399999999</v>
      </c>
      <c r="AE1511">
        <v>4.60450000000003</v>
      </c>
      <c r="AF1511">
        <v>7.6703545296812203</v>
      </c>
      <c r="AG1511">
        <v>-1.0300120399999999</v>
      </c>
      <c r="AH1511">
        <v>108.568869940865</v>
      </c>
      <c r="AI1511">
        <v>90.542207454706698</v>
      </c>
      <c r="AJ1511">
        <v>85.958787056258402</v>
      </c>
      <c r="AK1511">
        <v>108.84436036676399</v>
      </c>
      <c r="AL1511">
        <v>80.391082773589901</v>
      </c>
      <c r="AM1511">
        <v>94.127992166685701</v>
      </c>
      <c r="AN1511">
        <v>0.99999999909836002</v>
      </c>
    </row>
    <row r="1512" spans="1:40" x14ac:dyDescent="0.25">
      <c r="A1512" t="str">
        <f>"20190304155352118"</f>
        <v>20190304155352118</v>
      </c>
      <c r="B1512" t="str">
        <f>"1551686032108185"</f>
        <v>1551686032108185</v>
      </c>
      <c r="C1512" t="s">
        <v>40</v>
      </c>
      <c r="D1512">
        <v>4.3701470000000002</v>
      </c>
      <c r="E1512">
        <v>0.55264169999999901</v>
      </c>
      <c r="F1512" t="s">
        <v>63</v>
      </c>
      <c r="G1512">
        <v>-447.78649999999999</v>
      </c>
      <c r="H1512">
        <v>8.0000589999999996E-2</v>
      </c>
      <c r="I1512">
        <v>290.24889999999999</v>
      </c>
      <c r="J1512">
        <v>-337.20589999999999</v>
      </c>
      <c r="K1512">
        <v>1.1099669999999999</v>
      </c>
      <c r="L1512">
        <v>285.4948</v>
      </c>
      <c r="M1512">
        <v>-0.99954240000000005</v>
      </c>
      <c r="N1512">
        <v>-1.052465E-2</v>
      </c>
      <c r="O1512">
        <v>-2.8361999999999998E-2</v>
      </c>
      <c r="P1512">
        <v>-0.98278529999999997</v>
      </c>
      <c r="Q1512">
        <v>0.1565241</v>
      </c>
      <c r="R1512">
        <v>-9.8149780000000006E-2</v>
      </c>
      <c r="S1512">
        <v>-3.0704349999999998</v>
      </c>
      <c r="T1512">
        <v>-2.851045E-2</v>
      </c>
      <c r="U1512">
        <v>0.13131709999999999</v>
      </c>
      <c r="V1512">
        <v>-7.0312570000000005E-2</v>
      </c>
      <c r="W1512">
        <v>0.16685120000000001</v>
      </c>
      <c r="X1512">
        <v>0.98347180000000001</v>
      </c>
      <c r="Y1512">
        <v>7.1043120000000001E-2</v>
      </c>
      <c r="Z1512">
        <v>6.6861179999999903E-4</v>
      </c>
      <c r="AA1512">
        <v>0.99747300000000005</v>
      </c>
      <c r="AB1512">
        <v>35</v>
      </c>
      <c r="AC1512">
        <v>-110.5806</v>
      </c>
      <c r="AD1512">
        <v>-1.0299664100000001</v>
      </c>
      <c r="AE1512">
        <v>4.7540999999999896</v>
      </c>
      <c r="AF1512">
        <v>7.8879646582538898</v>
      </c>
      <c r="AG1512">
        <v>-1.0299664100000001</v>
      </c>
      <c r="AH1512">
        <v>110.391707979633</v>
      </c>
      <c r="AI1512">
        <v>90.533200847830699</v>
      </c>
      <c r="AJ1512">
        <v>85.9129153077442</v>
      </c>
      <c r="AK1512">
        <v>110.677956287222</v>
      </c>
      <c r="AL1512">
        <v>80.395208458418495</v>
      </c>
      <c r="AM1512">
        <v>94.0893602589598</v>
      </c>
      <c r="AN1512">
        <v>0.99999998091834197</v>
      </c>
    </row>
    <row r="1513" spans="1:40" x14ac:dyDescent="0.25">
      <c r="A1513" t="str">
        <f>"20190304155352141"</f>
        <v>20190304155352141</v>
      </c>
      <c r="B1513" t="str">
        <f>"1551686032137466"</f>
        <v>1551686032137466</v>
      </c>
      <c r="C1513" t="s">
        <v>40</v>
      </c>
      <c r="D1513">
        <v>4.4065580000000004</v>
      </c>
      <c r="E1513">
        <v>0.55295079999999996</v>
      </c>
      <c r="F1513" t="s">
        <v>63</v>
      </c>
      <c r="G1513">
        <v>-446.93950000000001</v>
      </c>
      <c r="H1513">
        <v>8.0000340000000003E-2</v>
      </c>
      <c r="I1513">
        <v>290.2903</v>
      </c>
      <c r="J1513">
        <v>-337.54660000000001</v>
      </c>
      <c r="K1513">
        <v>1.10992</v>
      </c>
      <c r="L1513">
        <v>285.48500000000001</v>
      </c>
      <c r="M1513">
        <v>-0.99953990000000004</v>
      </c>
      <c r="N1513">
        <v>-1.0471869999999999E-2</v>
      </c>
      <c r="O1513">
        <v>-2.8468830000000001E-2</v>
      </c>
      <c r="P1513">
        <v>-0.98275639999999997</v>
      </c>
      <c r="Q1513">
        <v>0.15683459999999999</v>
      </c>
      <c r="R1513">
        <v>-9.7944539999999997E-2</v>
      </c>
      <c r="S1513">
        <v>-3.0705260000000001</v>
      </c>
      <c r="T1513">
        <v>-2.8820160000000001E-2</v>
      </c>
      <c r="U1513">
        <v>0.13418579999999999</v>
      </c>
      <c r="V1513">
        <v>-6.998675E-2</v>
      </c>
      <c r="W1513">
        <v>0.1671164</v>
      </c>
      <c r="X1513">
        <v>0.98345009999999999</v>
      </c>
      <c r="Y1513">
        <v>7.2078390000000006E-2</v>
      </c>
      <c r="Z1513">
        <v>6.848221E-4</v>
      </c>
      <c r="AA1513">
        <v>0.99739869999999997</v>
      </c>
      <c r="AB1513">
        <v>35</v>
      </c>
      <c r="AC1513">
        <v>-109.3929</v>
      </c>
      <c r="AD1513">
        <v>-1.02991966</v>
      </c>
      <c r="AE1513">
        <v>4.8052999999999804</v>
      </c>
      <c r="AF1513">
        <v>7.9171101033137203</v>
      </c>
      <c r="AG1513">
        <v>-1.02991966</v>
      </c>
      <c r="AH1513">
        <v>109.202086328939</v>
      </c>
      <c r="AI1513">
        <v>90.538944267565199</v>
      </c>
      <c r="AJ1513">
        <v>85.853332654473903</v>
      </c>
      <c r="AK1513">
        <v>109.493547871494</v>
      </c>
      <c r="AL1513">
        <v>80.379798081603397</v>
      </c>
      <c r="AM1513">
        <v>94.070564012685495</v>
      </c>
      <c r="AN1513">
        <v>1.00000006775726</v>
      </c>
    </row>
    <row r="1514" spans="1:40" x14ac:dyDescent="0.25">
      <c r="A1514" t="str">
        <f>"20190304155352164"</f>
        <v>20190304155352164</v>
      </c>
      <c r="B1514" t="str">
        <f>"1551686032157961"</f>
        <v>1551686032157961</v>
      </c>
      <c r="C1514" t="s">
        <v>40</v>
      </c>
      <c r="D1514">
        <v>4.3520159999999999</v>
      </c>
      <c r="E1514">
        <v>0.55303000000000002</v>
      </c>
      <c r="F1514" t="s">
        <v>63</v>
      </c>
      <c r="G1514">
        <v>-449.93419999999998</v>
      </c>
      <c r="H1514">
        <v>8.0001210000000003E-2</v>
      </c>
      <c r="I1514">
        <v>290.5111</v>
      </c>
      <c r="J1514">
        <v>-337.90730000000002</v>
      </c>
      <c r="K1514">
        <v>1.1098760000000001</v>
      </c>
      <c r="L1514">
        <v>285.47469999999998</v>
      </c>
      <c r="M1514">
        <v>-0.99953829999999999</v>
      </c>
      <c r="N1514">
        <v>-1.0419960000000001E-2</v>
      </c>
      <c r="O1514">
        <v>-2.8540059999999999E-2</v>
      </c>
      <c r="P1514">
        <v>-0.98275040000000002</v>
      </c>
      <c r="Q1514">
        <v>0.15713840000000001</v>
      </c>
      <c r="R1514">
        <v>-9.7514610000000002E-2</v>
      </c>
      <c r="S1514">
        <v>-3.0708009999999999</v>
      </c>
      <c r="T1514">
        <v>-2.8140780000000001E-2</v>
      </c>
      <c r="U1514">
        <v>0.13732910000000001</v>
      </c>
      <c r="V1514">
        <v>-6.9472010000000001E-2</v>
      </c>
      <c r="W1514">
        <v>0.16737589999999999</v>
      </c>
      <c r="X1514">
        <v>0.98344240000000005</v>
      </c>
      <c r="Y1514">
        <v>7.3164599999999996E-2</v>
      </c>
      <c r="Z1514">
        <v>6.8065970000000004E-4</v>
      </c>
      <c r="AA1514">
        <v>0.99731959999999997</v>
      </c>
      <c r="AB1514">
        <v>35</v>
      </c>
      <c r="AC1514">
        <v>-112.026899999999</v>
      </c>
      <c r="AD1514">
        <v>-1.02987479</v>
      </c>
      <c r="AE1514">
        <v>5.0364000000000102</v>
      </c>
      <c r="AF1514">
        <v>8.2310821211482299</v>
      </c>
      <c r="AG1514">
        <v>-1.02987479</v>
      </c>
      <c r="AH1514">
        <v>111.82808198239201</v>
      </c>
      <c r="AI1514">
        <v>90.526224078719196</v>
      </c>
      <c r="AJ1514">
        <v>85.790347580051503</v>
      </c>
      <c r="AK1514">
        <v>112.13532572222201</v>
      </c>
      <c r="AL1514">
        <v>80.364716790296399</v>
      </c>
      <c r="AM1514">
        <v>94.040756811335797</v>
      </c>
      <c r="AN1514">
        <v>1.0000000030959999</v>
      </c>
    </row>
    <row r="1515" spans="1:40" x14ac:dyDescent="0.25">
      <c r="A1515" t="str">
        <f>"20190304155352187"</f>
        <v>20190304155352187</v>
      </c>
      <c r="B1515" t="str">
        <f>"1551686032177482"</f>
        <v>1551686032177482</v>
      </c>
      <c r="C1515" t="s">
        <v>40</v>
      </c>
      <c r="D1515">
        <v>4.3474399999999997</v>
      </c>
      <c r="E1515">
        <v>0.55362739999999999</v>
      </c>
      <c r="F1515" t="s">
        <v>63</v>
      </c>
      <c r="G1515">
        <v>-453.6977</v>
      </c>
      <c r="H1515">
        <v>8.0000829999999995E-2</v>
      </c>
      <c r="I1515">
        <v>290.71039999999999</v>
      </c>
      <c r="J1515">
        <v>-338.26580000000001</v>
      </c>
      <c r="K1515">
        <v>1.109837</v>
      </c>
      <c r="L1515">
        <v>285.46440000000001</v>
      </c>
      <c r="M1515">
        <v>-0.99953760000000003</v>
      </c>
      <c r="N1515">
        <v>-1.0374120000000001E-2</v>
      </c>
      <c r="O1515">
        <v>-2.8580290000000001E-2</v>
      </c>
      <c r="P1515">
        <v>-0.98286070000000003</v>
      </c>
      <c r="Q1515">
        <v>0.15662119999999999</v>
      </c>
      <c r="R1515">
        <v>-9.7234050000000002E-2</v>
      </c>
      <c r="S1515">
        <v>-3.0708009999999999</v>
      </c>
      <c r="T1515">
        <v>-2.7312639999999999E-2</v>
      </c>
      <c r="U1515">
        <v>0.13885500000000001</v>
      </c>
      <c r="V1515">
        <v>-6.9135349999999998E-2</v>
      </c>
      <c r="W1515">
        <v>0.1668202</v>
      </c>
      <c r="X1515">
        <v>0.98356049999999995</v>
      </c>
      <c r="Y1515">
        <v>7.3699559999999997E-2</v>
      </c>
      <c r="Z1515">
        <v>6.6783190000000001E-4</v>
      </c>
      <c r="AA1515">
        <v>0.99728019999999995</v>
      </c>
      <c r="AB1515">
        <v>35</v>
      </c>
      <c r="AC1515">
        <v>-115.431899999999</v>
      </c>
      <c r="AD1515">
        <v>-1.0298361700000001</v>
      </c>
      <c r="AE1515">
        <v>5.24599999999998</v>
      </c>
      <c r="AF1515">
        <v>8.5424331814454906</v>
      </c>
      <c r="AG1515">
        <v>-1.0298361700000001</v>
      </c>
      <c r="AH1515">
        <v>115.225648258421</v>
      </c>
      <c r="AI1515">
        <v>90.510669464477502</v>
      </c>
      <c r="AJ1515">
        <v>85.760044576715003</v>
      </c>
      <c r="AK1515">
        <v>115.54645708012799</v>
      </c>
      <c r="AL1515">
        <v>80.397009734776503</v>
      </c>
      <c r="AM1515">
        <v>94.020758515295</v>
      </c>
      <c r="AN1515">
        <v>0.99999996645395495</v>
      </c>
    </row>
    <row r="1516" spans="1:40" x14ac:dyDescent="0.25">
      <c r="A1516" t="str">
        <f>"20190304155352208"</f>
        <v>20190304155352208</v>
      </c>
      <c r="B1516" t="str">
        <f>"1551686032197977"</f>
        <v>1551686032197977</v>
      </c>
      <c r="C1516" t="s">
        <v>40</v>
      </c>
      <c r="D1516">
        <v>4.4212059999999997</v>
      </c>
      <c r="E1516">
        <v>0.66354579999999996</v>
      </c>
      <c r="F1516" t="s">
        <v>65</v>
      </c>
      <c r="G1516">
        <v>-431.0829</v>
      </c>
      <c r="H1516" s="1">
        <v>2.231059E-6</v>
      </c>
      <c r="I1516">
        <v>289.83609999999999</v>
      </c>
      <c r="J1516">
        <v>-338.60199999999998</v>
      </c>
      <c r="K1516">
        <v>1.1098049999999999</v>
      </c>
      <c r="L1516">
        <v>285.45479999999998</v>
      </c>
      <c r="M1516">
        <v>-0.99953760000000003</v>
      </c>
      <c r="N1516">
        <v>-1.033597E-2</v>
      </c>
      <c r="O1516">
        <v>-2.8599940000000001E-2</v>
      </c>
      <c r="P1516">
        <v>-0.98292420000000003</v>
      </c>
      <c r="Q1516">
        <v>0.15618199999999999</v>
      </c>
      <c r="R1516">
        <v>-9.7301159999999998E-2</v>
      </c>
      <c r="S1516">
        <v>-3.072479</v>
      </c>
      <c r="T1516">
        <v>-3.6738279999999998E-2</v>
      </c>
      <c r="U1516">
        <v>0.14471439999999999</v>
      </c>
      <c r="V1516">
        <v>-6.9171440000000001E-2</v>
      </c>
      <c r="W1516">
        <v>0.1663481</v>
      </c>
      <c r="X1516">
        <v>0.98363789999999995</v>
      </c>
      <c r="Y1516">
        <v>7.5588489999999994E-2</v>
      </c>
      <c r="Z1516">
        <v>8.8890529999999897E-4</v>
      </c>
      <c r="AA1516">
        <v>0.99713870000000004</v>
      </c>
      <c r="AB1516">
        <v>35</v>
      </c>
      <c r="AC1516">
        <v>-92.480900000000005</v>
      </c>
      <c r="AD1516">
        <v>-1.1098027689409999</v>
      </c>
      <c r="AE1516">
        <v>4.3813000000000004</v>
      </c>
      <c r="AF1516">
        <v>7.0235876131946897</v>
      </c>
      <c r="AG1516">
        <v>-1.1098027689409999</v>
      </c>
      <c r="AH1516">
        <v>92.304491104080697</v>
      </c>
      <c r="AI1516">
        <v>90.686864641138499</v>
      </c>
      <c r="AJ1516">
        <v>85.648662960418804</v>
      </c>
      <c r="AK1516">
        <v>92.577975367413799</v>
      </c>
      <c r="AL1516">
        <v>80.424442208774707</v>
      </c>
      <c r="AM1516">
        <v>94.022535031297707</v>
      </c>
      <c r="AN1516">
        <v>0.99999994840084505</v>
      </c>
    </row>
    <row r="1517" spans="1:40" x14ac:dyDescent="0.25">
      <c r="A1517" t="str">
        <f>"20190304155352231"</f>
        <v>20190304155352231</v>
      </c>
      <c r="B1517" t="str">
        <f>"1551686032228234"</f>
        <v>1551686032228234</v>
      </c>
      <c r="C1517" t="s">
        <v>40</v>
      </c>
      <c r="D1517">
        <v>4.715992</v>
      </c>
      <c r="E1517">
        <v>0.62227650000000001</v>
      </c>
      <c r="F1517" t="s">
        <v>63</v>
      </c>
      <c r="G1517">
        <v>-348.77929999999998</v>
      </c>
      <c r="H1517" s="1">
        <v>3.1351089999999999E-6</v>
      </c>
      <c r="I1517">
        <v>288.7063</v>
      </c>
      <c r="J1517">
        <v>-338.95280000000002</v>
      </c>
      <c r="K1517">
        <v>1.109782</v>
      </c>
      <c r="L1517">
        <v>285.44470000000001</v>
      </c>
      <c r="M1517">
        <v>-0.99953760000000003</v>
      </c>
      <c r="N1517">
        <v>-1.0300810000000001E-2</v>
      </c>
      <c r="O1517">
        <v>-2.8607750000000001E-2</v>
      </c>
      <c r="P1517">
        <v>-0.98297049999999997</v>
      </c>
      <c r="Q1517">
        <v>0.15599640000000001</v>
      </c>
      <c r="R1517">
        <v>-9.7129220000000002E-2</v>
      </c>
      <c r="S1517">
        <v>-3.2091980000000002</v>
      </c>
      <c r="T1517">
        <v>-0.34995310000000002</v>
      </c>
      <c r="U1517">
        <v>1.025299</v>
      </c>
      <c r="V1517">
        <v>-6.8983089999999997E-2</v>
      </c>
      <c r="W1517">
        <v>0.16613139999999901</v>
      </c>
      <c r="X1517">
        <v>0.9836878</v>
      </c>
      <c r="Y1517">
        <v>0.32937640000000001</v>
      </c>
      <c r="Z1517">
        <v>2.1969010000000001E-2</v>
      </c>
      <c r="AA1517">
        <v>0.94394310000000003</v>
      </c>
      <c r="AB1517">
        <v>35</v>
      </c>
      <c r="AC1517">
        <v>-9.8264999999999496</v>
      </c>
      <c r="AD1517">
        <v>-1.1097788648909901</v>
      </c>
      <c r="AE1517">
        <v>3.2615999999999801</v>
      </c>
      <c r="AF1517">
        <v>3.5011686693345299</v>
      </c>
      <c r="AG1517">
        <v>-1.1097788648909901</v>
      </c>
      <c r="AH1517">
        <v>9.6186561241456001</v>
      </c>
      <c r="AI1517">
        <v>96.187762254611599</v>
      </c>
      <c r="AJ1517">
        <v>69.998610620459303</v>
      </c>
      <c r="AK1517">
        <v>10.296035004537</v>
      </c>
      <c r="AL1517">
        <v>80.437033888677604</v>
      </c>
      <c r="AM1517">
        <v>94.011414866357697</v>
      </c>
      <c r="AN1517">
        <v>0.99999999832037401</v>
      </c>
    </row>
    <row r="1518" spans="1:40" x14ac:dyDescent="0.25">
      <c r="A1518" t="str">
        <f>"20190304155352252"</f>
        <v>20190304155352252</v>
      </c>
      <c r="B1518" t="str">
        <f>"1551686032247754"</f>
        <v>1551686032247754</v>
      </c>
      <c r="C1518" t="s">
        <v>40</v>
      </c>
      <c r="D1518">
        <v>4.7495200000000004</v>
      </c>
      <c r="E1518">
        <v>0.61778679999999997</v>
      </c>
      <c r="F1518" t="s">
        <v>63</v>
      </c>
      <c r="G1518">
        <v>-346.80290000000002</v>
      </c>
      <c r="H1518" s="1">
        <v>2.0833640000000001E-6</v>
      </c>
      <c r="I1518">
        <v>287.16699999999997</v>
      </c>
      <c r="J1518">
        <v>-339.2953</v>
      </c>
      <c r="K1518">
        <v>1.1097629999999901</v>
      </c>
      <c r="L1518">
        <v>285.4348</v>
      </c>
      <c r="M1518">
        <v>-0.99953809999999998</v>
      </c>
      <c r="N1518">
        <v>-1.027079E-2</v>
      </c>
      <c r="O1518">
        <v>-2.8603960000000001E-2</v>
      </c>
      <c r="P1518">
        <v>-0.98305209999999998</v>
      </c>
      <c r="Q1518">
        <v>0.1554915</v>
      </c>
      <c r="R1518">
        <v>-9.7115229999999997E-2</v>
      </c>
      <c r="S1518">
        <v>-3.1928100000000001</v>
      </c>
      <c r="T1518">
        <v>-0.45137290000000002</v>
      </c>
      <c r="U1518">
        <v>0.70050049999999997</v>
      </c>
      <c r="V1518">
        <v>-6.8963999999999998E-2</v>
      </c>
      <c r="W1518">
        <v>0.16560050000000001</v>
      </c>
      <c r="X1518">
        <v>0.98377870000000001</v>
      </c>
      <c r="Y1518">
        <v>0.23947280000000001</v>
      </c>
      <c r="Z1518">
        <v>2.1589980000000002E-2</v>
      </c>
      <c r="AA1518">
        <v>0.97066300000000005</v>
      </c>
      <c r="AB1518">
        <v>35</v>
      </c>
      <c r="AC1518">
        <v>-7.5076000000000196</v>
      </c>
      <c r="AD1518">
        <v>-1.1097609166360001</v>
      </c>
      <c r="AE1518">
        <v>1.7322000000000299</v>
      </c>
      <c r="AF1518">
        <v>1.90669355508348</v>
      </c>
      <c r="AG1518">
        <v>-1.1097609166360001</v>
      </c>
      <c r="AH1518">
        <v>7.3034607567451504</v>
      </c>
      <c r="AI1518">
        <v>98.363840832684104</v>
      </c>
      <c r="AJ1518">
        <v>75.368528025945693</v>
      </c>
      <c r="AK1518">
        <v>7.6293897941058297</v>
      </c>
      <c r="AL1518">
        <v>80.467879928669305</v>
      </c>
      <c r="AM1518">
        <v>94.009939053136705</v>
      </c>
      <c r="AN1518">
        <v>1.00000004473496</v>
      </c>
    </row>
    <row r="1519" spans="1:40" x14ac:dyDescent="0.25">
      <c r="A1519" t="str">
        <f>"20190304155352276"</f>
        <v>20190304155352276</v>
      </c>
      <c r="B1519" t="str">
        <f>"1551686032268250"</f>
        <v>1551686032268250</v>
      </c>
      <c r="C1519" t="s">
        <v>40</v>
      </c>
      <c r="D1519">
        <v>4.4762829999999996</v>
      </c>
      <c r="E1519">
        <v>0.62191129999999994</v>
      </c>
      <c r="F1519" t="s">
        <v>48</v>
      </c>
      <c r="G1519">
        <v>-340.14580000000001</v>
      </c>
      <c r="H1519">
        <v>0.9855216</v>
      </c>
      <c r="I1519">
        <v>285.61200000000002</v>
      </c>
      <c r="J1519">
        <v>-339.65660000000003</v>
      </c>
      <c r="K1519">
        <v>1.1097349999999999</v>
      </c>
      <c r="L1519">
        <v>285.42450000000002</v>
      </c>
      <c r="M1519">
        <v>-0.99953899999999996</v>
      </c>
      <c r="N1519">
        <v>-1.0243749999999999E-2</v>
      </c>
      <c r="O1519">
        <v>-2.8580350000000001E-2</v>
      </c>
      <c r="P1519">
        <v>-0.98312089999999996</v>
      </c>
      <c r="Q1519">
        <v>0.1546421</v>
      </c>
      <c r="R1519">
        <v>-9.7771090000000005E-2</v>
      </c>
      <c r="S1519">
        <v>-3.1911930000000002</v>
      </c>
      <c r="T1519">
        <v>-0.4661324</v>
      </c>
      <c r="U1519">
        <v>0.66510009999999997</v>
      </c>
      <c r="V1519">
        <v>-6.963387E-2</v>
      </c>
      <c r="W1519">
        <v>0.16472809999999999</v>
      </c>
      <c r="X1519">
        <v>0.98387789999999997</v>
      </c>
      <c r="Y1519">
        <v>0.2291733</v>
      </c>
      <c r="Z1519">
        <v>2.149125E-2</v>
      </c>
      <c r="AA1519">
        <v>0.97314829999999997</v>
      </c>
      <c r="AB1519">
        <v>35</v>
      </c>
      <c r="AC1519">
        <v>-0.48919999999998198</v>
      </c>
      <c r="AD1519">
        <v>-0.1242134</v>
      </c>
      <c r="AE1519">
        <v>0.1875</v>
      </c>
      <c r="AF1519">
        <v>0.19068655855559899</v>
      </c>
      <c r="AG1519">
        <v>-0.1242134</v>
      </c>
      <c r="AH1519">
        <v>0.457901013180878</v>
      </c>
      <c r="AI1519">
        <v>104.058928945254</v>
      </c>
      <c r="AJ1519">
        <v>67.391387302523995</v>
      </c>
      <c r="AK1519">
        <v>0.51133518383288701</v>
      </c>
      <c r="AL1519">
        <v>80.518560122349996</v>
      </c>
      <c r="AM1519">
        <v>94.048353135240305</v>
      </c>
      <c r="AN1519">
        <v>0.99999997244459804</v>
      </c>
    </row>
    <row r="1520" spans="1:40" x14ac:dyDescent="0.25">
      <c r="A1520" t="str">
        <f>"20190304155352297"</f>
        <v>20190304155352297</v>
      </c>
      <c r="B1520" t="str">
        <f>"1551686032287773"</f>
        <v>1551686032287773</v>
      </c>
      <c r="C1520" t="s">
        <v>40</v>
      </c>
      <c r="D1520">
        <v>4.494383</v>
      </c>
      <c r="E1520">
        <v>0.63040039999999997</v>
      </c>
      <c r="F1520" t="s">
        <v>48</v>
      </c>
      <c r="G1520">
        <v>-340.46409999999997</v>
      </c>
      <c r="H1520">
        <v>0.99295900000000004</v>
      </c>
      <c r="I1520">
        <v>285.60050000000001</v>
      </c>
      <c r="J1520">
        <v>-339.99400000000003</v>
      </c>
      <c r="K1520">
        <v>1.109704</v>
      </c>
      <c r="L1520">
        <v>285.41489999999999</v>
      </c>
      <c r="M1520">
        <v>-0.99954069999999995</v>
      </c>
      <c r="N1520">
        <v>-1.022224E-2</v>
      </c>
      <c r="O1520">
        <v>-2.8531790000000001E-2</v>
      </c>
      <c r="P1520">
        <v>-0.98313689999999998</v>
      </c>
      <c r="Q1520">
        <v>0.15410869999999999</v>
      </c>
      <c r="R1520">
        <v>-9.8451280000000002E-2</v>
      </c>
      <c r="S1520">
        <v>-3.193298</v>
      </c>
      <c r="T1520">
        <v>-0.46187889999999998</v>
      </c>
      <c r="U1520">
        <v>0.69534300000000004</v>
      </c>
      <c r="V1520">
        <v>-7.0352090000000006E-2</v>
      </c>
      <c r="W1520">
        <v>0.1641783</v>
      </c>
      <c r="X1520">
        <v>0.98391870000000003</v>
      </c>
      <c r="Y1520">
        <v>0.23777180000000001</v>
      </c>
      <c r="Z1520">
        <v>2.1921949999999999E-2</v>
      </c>
      <c r="AA1520">
        <v>0.97107359999999998</v>
      </c>
      <c r="AB1520">
        <v>35</v>
      </c>
      <c r="AC1520">
        <v>-0.47009999999994501</v>
      </c>
      <c r="AD1520">
        <v>-0.116745</v>
      </c>
      <c r="AE1520">
        <v>0.185600000000022</v>
      </c>
      <c r="AF1520">
        <v>0.18886100957201599</v>
      </c>
      <c r="AG1520">
        <v>-0.116745</v>
      </c>
      <c r="AH1520">
        <v>0.44107852078847298</v>
      </c>
      <c r="AI1520">
        <v>103.675160498778</v>
      </c>
      <c r="AJ1520">
        <v>66.820358355320806</v>
      </c>
      <c r="AK1520">
        <v>0.49380981912322203</v>
      </c>
      <c r="AL1520">
        <v>80.550496127738597</v>
      </c>
      <c r="AM1520">
        <v>94.089798789967702</v>
      </c>
      <c r="AN1520">
        <v>0.99999996948397296</v>
      </c>
    </row>
    <row r="1521" spans="1:40" x14ac:dyDescent="0.25">
      <c r="A1521" t="str">
        <f>"20190304155352319"</f>
        <v>20190304155352319</v>
      </c>
      <c r="B1521" t="str">
        <f>"1551686032308266"</f>
        <v>1551686032308266</v>
      </c>
      <c r="C1521" t="s">
        <v>40</v>
      </c>
      <c r="D1521">
        <v>4.5076359999999998</v>
      </c>
      <c r="E1521">
        <v>0.63555379999999995</v>
      </c>
      <c r="F1521" t="s">
        <v>63</v>
      </c>
      <c r="G1521">
        <v>-347.88229999999999</v>
      </c>
      <c r="H1521" s="1">
        <v>2.6577910000000002E-6</v>
      </c>
      <c r="I1521">
        <v>287.2901</v>
      </c>
      <c r="J1521">
        <v>-340.35219999999998</v>
      </c>
      <c r="K1521">
        <v>1.1096710000000001</v>
      </c>
      <c r="L1521">
        <v>285.40469999999999</v>
      </c>
      <c r="M1521">
        <v>-0.99954339999999997</v>
      </c>
      <c r="N1521">
        <v>-1.020305E-2</v>
      </c>
      <c r="O1521">
        <v>-2.844785E-2</v>
      </c>
      <c r="P1521">
        <v>-0.98318050000000001</v>
      </c>
      <c r="Q1521">
        <v>0.15370200000000001</v>
      </c>
      <c r="R1521">
        <v>-9.8652119999999996E-2</v>
      </c>
      <c r="S1521">
        <v>-3.1980900000000001</v>
      </c>
      <c r="T1521">
        <v>-0.4498953</v>
      </c>
      <c r="U1521">
        <v>0.76025390000000004</v>
      </c>
      <c r="V1521">
        <v>-7.0621229999999993E-2</v>
      </c>
      <c r="W1521">
        <v>0.16375870000000001</v>
      </c>
      <c r="X1521">
        <v>0.98396939999999999</v>
      </c>
      <c r="Y1521">
        <v>0.25605869999999997</v>
      </c>
      <c r="Z1521">
        <v>2.2656880000000001E-2</v>
      </c>
      <c r="AA1521">
        <v>0.96639569999999997</v>
      </c>
      <c r="AB1521">
        <v>35</v>
      </c>
      <c r="AC1521">
        <v>-7.5301</v>
      </c>
      <c r="AD1521">
        <v>-1.1096683422089999</v>
      </c>
      <c r="AE1521">
        <v>1.8854</v>
      </c>
      <c r="AF1521">
        <v>2.0568314578665401</v>
      </c>
      <c r="AG1521">
        <v>-1.1096683422089999</v>
      </c>
      <c r="AH1521">
        <v>7.3237517449321397</v>
      </c>
      <c r="AI1521">
        <v>98.299359773652895</v>
      </c>
      <c r="AJ1521">
        <v>74.312923363141195</v>
      </c>
      <c r="AK1521">
        <v>7.6876042495153696</v>
      </c>
      <c r="AL1521">
        <v>80.574867815840093</v>
      </c>
      <c r="AM1521">
        <v>94.105180578131893</v>
      </c>
      <c r="AN1521">
        <v>1.0000000250443799</v>
      </c>
    </row>
    <row r="1522" spans="1:40" x14ac:dyDescent="0.25">
      <c r="A1522" t="str">
        <f>"20190304155352342"</f>
        <v>20190304155352342</v>
      </c>
      <c r="B1522" t="str">
        <f>"1551686032337545"</f>
        <v>1551686032337545</v>
      </c>
      <c r="C1522" t="s">
        <v>40</v>
      </c>
      <c r="D1522">
        <v>4.5428389999999998</v>
      </c>
      <c r="E1522">
        <v>0.64188279999999998</v>
      </c>
      <c r="F1522" t="s">
        <v>63</v>
      </c>
      <c r="G1522">
        <v>-348.3766</v>
      </c>
      <c r="H1522" s="1">
        <v>2.920851E-6</v>
      </c>
      <c r="I1522">
        <v>287.41129999999998</v>
      </c>
      <c r="J1522">
        <v>-340.69709999999998</v>
      </c>
      <c r="K1522">
        <v>1.10964</v>
      </c>
      <c r="L1522">
        <v>285.39499999999998</v>
      </c>
      <c r="M1522">
        <v>-0.99954679999999996</v>
      </c>
      <c r="N1522">
        <v>-1.0187740000000001E-2</v>
      </c>
      <c r="O1522">
        <v>-2.8330870000000001E-2</v>
      </c>
      <c r="P1522">
        <v>-0.98317200000000005</v>
      </c>
      <c r="Q1522">
        <v>0.1540155</v>
      </c>
      <c r="R1522">
        <v>-9.8246319999999998E-2</v>
      </c>
      <c r="S1522">
        <v>-3.200806</v>
      </c>
      <c r="T1522">
        <v>-0.44262600000000002</v>
      </c>
      <c r="U1522">
        <v>0.80038450000000005</v>
      </c>
      <c r="V1522">
        <v>-7.0316390000000006E-2</v>
      </c>
      <c r="W1522">
        <v>0.16406309999999999</v>
      </c>
      <c r="X1522">
        <v>0.9839405</v>
      </c>
      <c r="Y1522">
        <v>0.26717410000000003</v>
      </c>
      <c r="Z1522">
        <v>2.3059920000000001E-2</v>
      </c>
      <c r="AA1522">
        <v>0.96337229999999996</v>
      </c>
      <c r="AB1522">
        <v>35</v>
      </c>
      <c r="AC1522">
        <v>-7.6795000000000098</v>
      </c>
      <c r="AD1522">
        <v>-1.109637079149</v>
      </c>
      <c r="AE1522">
        <v>2.0163000000000002</v>
      </c>
      <c r="AF1522">
        <v>2.19028827039805</v>
      </c>
      <c r="AG1522">
        <v>-1.109637079149</v>
      </c>
      <c r="AH1522">
        <v>7.4733224726486398</v>
      </c>
      <c r="AI1522">
        <v>98.109277143595605</v>
      </c>
      <c r="AJ1522">
        <v>73.665145460175196</v>
      </c>
      <c r="AK1522">
        <v>7.8663337035153003</v>
      </c>
      <c r="AL1522">
        <v>80.557187637923107</v>
      </c>
      <c r="AM1522">
        <v>94.087640208377394</v>
      </c>
      <c r="AN1522">
        <v>1.0000000015122401</v>
      </c>
    </row>
    <row r="1523" spans="1:40" x14ac:dyDescent="0.25">
      <c r="A1523" t="str">
        <f>"20190304155352365"</f>
        <v>20190304155352365</v>
      </c>
      <c r="B1523" t="str">
        <f>"1551686032358041"</f>
        <v>1551686032358041</v>
      </c>
      <c r="C1523" t="s">
        <v>40</v>
      </c>
      <c r="D1523">
        <v>4.5102919999999997</v>
      </c>
      <c r="E1523">
        <v>0.64508030000000005</v>
      </c>
      <c r="F1523" t="s">
        <v>63</v>
      </c>
      <c r="G1523">
        <v>-348.8931</v>
      </c>
      <c r="H1523" s="1">
        <v>3.1956919999999999E-6</v>
      </c>
      <c r="I1523">
        <v>287.57319999999999</v>
      </c>
      <c r="J1523">
        <v>-341.07139999999998</v>
      </c>
      <c r="K1523">
        <v>1.1096010000000001</v>
      </c>
      <c r="L1523">
        <v>285.38459999999998</v>
      </c>
      <c r="M1523">
        <v>-0.99955170000000004</v>
      </c>
      <c r="N1523">
        <v>-1.017437E-2</v>
      </c>
      <c r="O1523">
        <v>-2.815904E-2</v>
      </c>
      <c r="P1523">
        <v>-0.98320019999999997</v>
      </c>
      <c r="Q1523">
        <v>0.15416270000000001</v>
      </c>
      <c r="R1523">
        <v>-9.7732739999999999E-2</v>
      </c>
      <c r="S1523">
        <v>-3.204437</v>
      </c>
      <c r="T1523">
        <v>-0.43384</v>
      </c>
      <c r="U1523">
        <v>0.85162349999999998</v>
      </c>
      <c r="V1523">
        <v>-6.9956240000000003E-2</v>
      </c>
      <c r="W1523">
        <v>0.16420419999999999</v>
      </c>
      <c r="X1523">
        <v>0.9839426</v>
      </c>
      <c r="Y1523">
        <v>0.28116360000000001</v>
      </c>
      <c r="Z1523">
        <v>2.3542819999999999E-2</v>
      </c>
      <c r="AA1523">
        <v>0.95937099999999997</v>
      </c>
      <c r="AB1523">
        <v>35</v>
      </c>
      <c r="AC1523">
        <v>-7.8217000000000203</v>
      </c>
      <c r="AD1523">
        <v>-1.1095978043079999</v>
      </c>
      <c r="AE1523">
        <v>2.1886000000000001</v>
      </c>
      <c r="AF1523">
        <v>2.3638769326309599</v>
      </c>
      <c r="AG1523">
        <v>-1.1095978043079999</v>
      </c>
      <c r="AH1523">
        <v>7.6148467807992102</v>
      </c>
      <c r="AI1523">
        <v>97.922618963156793</v>
      </c>
      <c r="AJ1523">
        <v>72.754089091565305</v>
      </c>
      <c r="AK1523">
        <v>8.0501560814059996</v>
      </c>
      <c r="AL1523">
        <v>80.548991731017395</v>
      </c>
      <c r="AM1523">
        <v>94.066765704509095</v>
      </c>
      <c r="AN1523">
        <v>0.99999996745366804</v>
      </c>
    </row>
    <row r="1524" spans="1:40" x14ac:dyDescent="0.25">
      <c r="A1524" t="str">
        <f>"20190304155352388"</f>
        <v>20190304155352388</v>
      </c>
      <c r="B1524" t="str">
        <f>"1551686032377562"</f>
        <v>1551686032377562</v>
      </c>
      <c r="C1524" t="s">
        <v>40</v>
      </c>
      <c r="D1524">
        <v>4.5586039999999999</v>
      </c>
      <c r="E1524">
        <v>0.64863769999999998</v>
      </c>
      <c r="F1524" t="s">
        <v>63</v>
      </c>
      <c r="G1524">
        <v>-349.42160000000001</v>
      </c>
      <c r="H1524" s="1">
        <v>3.4769000000000001E-6</v>
      </c>
      <c r="I1524">
        <v>287.67189999999999</v>
      </c>
      <c r="J1524">
        <v>-341.42320000000001</v>
      </c>
      <c r="K1524">
        <v>1.1095680000000001</v>
      </c>
      <c r="L1524">
        <v>285.37479999999999</v>
      </c>
      <c r="M1524">
        <v>-0.99955729999999998</v>
      </c>
      <c r="N1524">
        <v>-1.0164100000000001E-2</v>
      </c>
      <c r="O1524">
        <v>-2.796502E-2</v>
      </c>
      <c r="P1524">
        <v>-0.98318369999999999</v>
      </c>
      <c r="Q1524">
        <v>0.15475739999999999</v>
      </c>
      <c r="R1524">
        <v>-9.695397E-2</v>
      </c>
      <c r="S1524">
        <v>-3.2053219999999998</v>
      </c>
      <c r="T1524">
        <v>-0.42593239999999999</v>
      </c>
      <c r="U1524">
        <v>0.87802119999999995</v>
      </c>
      <c r="V1524">
        <v>-6.9356760000000003E-2</v>
      </c>
      <c r="W1524">
        <v>0.164793</v>
      </c>
      <c r="X1524">
        <v>0.9838867</v>
      </c>
      <c r="Y1524">
        <v>0.28831240000000002</v>
      </c>
      <c r="Z1524">
        <v>2.3588640000000001E-2</v>
      </c>
      <c r="AA1524">
        <v>0.95724580000000004</v>
      </c>
      <c r="AB1524">
        <v>35</v>
      </c>
      <c r="AC1524">
        <v>-7.9984000000000002</v>
      </c>
      <c r="AD1524">
        <v>-1.1095645231</v>
      </c>
      <c r="AE1524">
        <v>2.2970999999999999</v>
      </c>
      <c r="AF1524">
        <v>2.4758728367290401</v>
      </c>
      <c r="AG1524">
        <v>-1.1095645231</v>
      </c>
      <c r="AH1524">
        <v>7.7924961269776496</v>
      </c>
      <c r="AI1524">
        <v>97.728052182328597</v>
      </c>
      <c r="AJ1524">
        <v>72.373633063520899</v>
      </c>
      <c r="AK1524">
        <v>8.2513075099366198</v>
      </c>
      <c r="AL1524">
        <v>80.514790996476606</v>
      </c>
      <c r="AM1524">
        <v>94.032259899311597</v>
      </c>
      <c r="AN1524">
        <v>1.00000006572179</v>
      </c>
    </row>
    <row r="1525" spans="1:40" x14ac:dyDescent="0.25">
      <c r="A1525" t="str">
        <f>"20190304155352408"</f>
        <v>20190304155352408</v>
      </c>
      <c r="B1525" t="str">
        <f>"1551686032398058"</f>
        <v>1551686032398058</v>
      </c>
      <c r="C1525" t="s">
        <v>40</v>
      </c>
      <c r="D1525">
        <v>4.538646</v>
      </c>
      <c r="E1525">
        <v>0.65140220000000004</v>
      </c>
      <c r="F1525" t="s">
        <v>63</v>
      </c>
      <c r="G1525">
        <v>-349.9502</v>
      </c>
      <c r="H1525" s="1">
        <v>3.7582159999999999E-6</v>
      </c>
      <c r="I1525">
        <v>287.79129999999998</v>
      </c>
      <c r="J1525">
        <v>-341.76170000000002</v>
      </c>
      <c r="K1525">
        <v>1.1095379999999999</v>
      </c>
      <c r="L1525">
        <v>285.36559999999997</v>
      </c>
      <c r="M1525">
        <v>-0.99956319999999999</v>
      </c>
      <c r="N1525">
        <v>-1.015599E-2</v>
      </c>
      <c r="O1525">
        <v>-2.7751649999999999E-2</v>
      </c>
      <c r="P1525">
        <v>-0.98318830000000002</v>
      </c>
      <c r="Q1525">
        <v>0.15547139999999901</v>
      </c>
      <c r="R1525">
        <v>-9.5758620000000003E-2</v>
      </c>
      <c r="S1525">
        <v>-3.206604</v>
      </c>
      <c r="T1525">
        <v>-0.41725250000000003</v>
      </c>
      <c r="U1525">
        <v>0.90872189999999997</v>
      </c>
      <c r="V1525">
        <v>-6.8361409999999997E-2</v>
      </c>
      <c r="W1525">
        <v>0.16550219999999999</v>
      </c>
      <c r="X1525">
        <v>0.98383719999999997</v>
      </c>
      <c r="Y1525">
        <v>0.29655300000000001</v>
      </c>
      <c r="Z1525">
        <v>2.3643250000000001E-2</v>
      </c>
      <c r="AA1525">
        <v>0.95472369999999995</v>
      </c>
      <c r="AB1525">
        <v>35</v>
      </c>
      <c r="AC1525">
        <v>-8.1884999999999692</v>
      </c>
      <c r="AD1525">
        <v>-1.109534241784</v>
      </c>
      <c r="AE1525">
        <v>2.4257</v>
      </c>
      <c r="AF1525">
        <v>2.6080017629212202</v>
      </c>
      <c r="AG1525">
        <v>-1.109534241784</v>
      </c>
      <c r="AH1525">
        <v>7.9832768983806002</v>
      </c>
      <c r="AI1525">
        <v>97.525843304045196</v>
      </c>
      <c r="AJ1525">
        <v>71.908659099169199</v>
      </c>
      <c r="AK1525">
        <v>8.4714490770651896</v>
      </c>
      <c r="AL1525">
        <v>80.473589981542403</v>
      </c>
      <c r="AM1525">
        <v>93.974778431598907</v>
      </c>
      <c r="AN1525">
        <v>0.99999994834293204</v>
      </c>
    </row>
    <row r="1526" spans="1:40" x14ac:dyDescent="0.25">
      <c r="A1526" t="str">
        <f>"20190304155352442"</f>
        <v>20190304155352442</v>
      </c>
      <c r="B1526" t="str">
        <f>"1551686032438074"</f>
        <v>1551686032438074</v>
      </c>
      <c r="C1526" t="s">
        <v>40</v>
      </c>
      <c r="D1526">
        <v>4.5315159999999999</v>
      </c>
      <c r="E1526">
        <v>0.65508239999999995</v>
      </c>
      <c r="F1526" t="s">
        <v>63</v>
      </c>
      <c r="G1526">
        <v>-350.43900000000002</v>
      </c>
      <c r="H1526" s="1">
        <v>-1.3031899999999901E-6</v>
      </c>
      <c r="I1526">
        <v>287.89389999999997</v>
      </c>
      <c r="J1526">
        <v>-342.28030000000001</v>
      </c>
      <c r="K1526">
        <v>1.1095079999999999</v>
      </c>
      <c r="L1526">
        <v>285.35160000000002</v>
      </c>
      <c r="M1526">
        <v>-0.9995735</v>
      </c>
      <c r="N1526">
        <v>-1.014662E-2</v>
      </c>
      <c r="O1526">
        <v>-2.7387439999999999E-2</v>
      </c>
      <c r="P1526">
        <v>-0.98341279999999998</v>
      </c>
      <c r="Q1526">
        <v>0.15489610000000001</v>
      </c>
      <c r="R1526">
        <v>-9.4375849999999997E-2</v>
      </c>
      <c r="S1526">
        <v>-3.2071230000000002</v>
      </c>
      <c r="T1526">
        <v>-0.41008850000000002</v>
      </c>
      <c r="U1526">
        <v>0.93447880000000005</v>
      </c>
      <c r="V1526">
        <v>-6.732088E-2</v>
      </c>
      <c r="W1526">
        <v>0.16492379999999901</v>
      </c>
      <c r="X1526">
        <v>0.98400609999999999</v>
      </c>
      <c r="Y1526">
        <v>0.30328349999999998</v>
      </c>
      <c r="Z1526">
        <v>2.3648510000000001E-2</v>
      </c>
      <c r="AA1526">
        <v>0.95260690000000003</v>
      </c>
      <c r="AB1526">
        <v>35</v>
      </c>
      <c r="AC1526">
        <v>-8.1587000000000103</v>
      </c>
      <c r="AD1526">
        <v>-1.1095093031900001</v>
      </c>
      <c r="AE1526">
        <v>2.5422999999999498</v>
      </c>
      <c r="AF1526">
        <v>2.7189705877213899</v>
      </c>
      <c r="AG1526">
        <v>-1.1095093031900001</v>
      </c>
      <c r="AH1526">
        <v>7.9519641896119602</v>
      </c>
      <c r="AI1526">
        <v>97.520821036144199</v>
      </c>
      <c r="AJ1526">
        <v>71.123190079896901</v>
      </c>
      <c r="AK1526">
        <v>8.47688306063203</v>
      </c>
      <c r="AL1526">
        <v>80.507191949200305</v>
      </c>
      <c r="AM1526">
        <v>93.913797994372601</v>
      </c>
      <c r="AN1526">
        <v>0.99999998276381197</v>
      </c>
    </row>
    <row r="1527" spans="1:40" x14ac:dyDescent="0.25">
      <c r="A1527" t="str">
        <f>"20190304155352464"</f>
        <v>20190304155352464</v>
      </c>
      <c r="B1527" t="str">
        <f>"1551686032458101"</f>
        <v>1551686032458101</v>
      </c>
      <c r="C1527" t="s">
        <v>40</v>
      </c>
      <c r="D1527">
        <v>4.499644</v>
      </c>
      <c r="E1527">
        <v>0.65688679999999999</v>
      </c>
      <c r="F1527" t="s">
        <v>63</v>
      </c>
      <c r="G1527">
        <v>-351.12240000000003</v>
      </c>
      <c r="H1527" s="1">
        <v>-9.3951929999999999E-7</v>
      </c>
      <c r="I1527">
        <v>288.017</v>
      </c>
      <c r="J1527">
        <v>-342.64449999999999</v>
      </c>
      <c r="K1527">
        <v>1.109494</v>
      </c>
      <c r="L1527">
        <v>285.34179999999998</v>
      </c>
      <c r="M1527">
        <v>-0.99958100000000005</v>
      </c>
      <c r="N1527">
        <v>-1.0142190000000001E-2</v>
      </c>
      <c r="O1527">
        <v>-2.7113080000000001E-2</v>
      </c>
      <c r="P1527">
        <v>-0.98351189999999999</v>
      </c>
      <c r="Q1527">
        <v>0.154477</v>
      </c>
      <c r="R1527">
        <v>-9.4030279999999994E-2</v>
      </c>
      <c r="S1527">
        <v>-3.2067869999999998</v>
      </c>
      <c r="T1527">
        <v>-0.40238980000000002</v>
      </c>
      <c r="U1527">
        <v>0.96667479999999995</v>
      </c>
      <c r="V1527">
        <v>-6.7236989999999996E-2</v>
      </c>
      <c r="W1527">
        <v>0.16450329999999999</v>
      </c>
      <c r="X1527">
        <v>0.98408220000000002</v>
      </c>
      <c r="Y1527">
        <v>0.31186520000000001</v>
      </c>
      <c r="Z1527">
        <v>2.3744330000000001E-2</v>
      </c>
      <c r="AA1527">
        <v>0.94982960000000005</v>
      </c>
      <c r="AB1527">
        <v>35</v>
      </c>
      <c r="AC1527">
        <v>-8.4779000000000302</v>
      </c>
      <c r="AD1527">
        <v>-1.1094949395192999</v>
      </c>
      <c r="AE1527">
        <v>2.67520000000001</v>
      </c>
      <c r="AF1527">
        <v>2.8595504075451799</v>
      </c>
      <c r="AG1527">
        <v>-1.1094949395192999</v>
      </c>
      <c r="AH1527">
        <v>8.27338175147292</v>
      </c>
      <c r="AI1527">
        <v>97.223549476024701</v>
      </c>
      <c r="AJ1527">
        <v>70.933182118898301</v>
      </c>
      <c r="AK1527">
        <v>8.8236530507333395</v>
      </c>
      <c r="AL1527">
        <v>80.531618261743802</v>
      </c>
      <c r="AM1527">
        <v>93.908634710419193</v>
      </c>
      <c r="AN1527">
        <v>0.99999996244599398</v>
      </c>
    </row>
    <row r="1528" spans="1:40" x14ac:dyDescent="0.25">
      <c r="A1528" t="str">
        <f>"20190304155352488"</f>
        <v>20190304155352488</v>
      </c>
      <c r="B1528" t="str">
        <f>"1551686032477621"</f>
        <v>1551686032477621</v>
      </c>
      <c r="C1528" t="s">
        <v>40</v>
      </c>
      <c r="D1528">
        <v>4.4967969999999999</v>
      </c>
      <c r="E1528">
        <v>0.65827380000000002</v>
      </c>
      <c r="F1528" t="s">
        <v>63</v>
      </c>
      <c r="G1528">
        <v>-351.54640000000001</v>
      </c>
      <c r="H1528" s="1">
        <v>-7.1389759999999898E-7</v>
      </c>
      <c r="I1528">
        <v>288.06920000000002</v>
      </c>
      <c r="J1528">
        <v>-343.01029999999997</v>
      </c>
      <c r="K1528">
        <v>1.1094790000000001</v>
      </c>
      <c r="L1528">
        <v>285.33210000000003</v>
      </c>
      <c r="M1528">
        <v>-0.99958849999999999</v>
      </c>
      <c r="N1528">
        <v>-1.013915E-2</v>
      </c>
      <c r="O1528">
        <v>-2.6832080000000001E-2</v>
      </c>
      <c r="P1528">
        <v>-0.98351310000000003</v>
      </c>
      <c r="Q1528">
        <v>0.15473329999999999</v>
      </c>
      <c r="R1528">
        <v>-9.3593570000000001E-2</v>
      </c>
      <c r="S1528">
        <v>-3.2070620000000001</v>
      </c>
      <c r="T1528">
        <v>-0.3997154</v>
      </c>
      <c r="U1528">
        <v>0.98257450000000002</v>
      </c>
      <c r="V1528">
        <v>-6.7073140000000003E-2</v>
      </c>
      <c r="W1528">
        <v>0.16475819999999999</v>
      </c>
      <c r="X1528">
        <v>0.9840508</v>
      </c>
      <c r="Y1528">
        <v>0.31589240000000002</v>
      </c>
      <c r="Z1528">
        <v>2.3814100000000001E-2</v>
      </c>
      <c r="AA1528">
        <v>0.94849609999999995</v>
      </c>
      <c r="AB1528">
        <v>35</v>
      </c>
      <c r="AC1528">
        <v>-8.5361000000000296</v>
      </c>
      <c r="AD1528">
        <v>-1.1094797138976</v>
      </c>
      <c r="AE1528">
        <v>2.7370999999999901</v>
      </c>
      <c r="AF1528">
        <v>2.9204308686916098</v>
      </c>
      <c r="AG1528">
        <v>-1.1094797138976</v>
      </c>
      <c r="AH1528">
        <v>8.3319474168736196</v>
      </c>
      <c r="AI1528">
        <v>97.162467329867894</v>
      </c>
      <c r="AJ1528">
        <v>70.683926110999394</v>
      </c>
      <c r="AK1528">
        <v>8.8983824064772605</v>
      </c>
      <c r="AL1528">
        <v>80.516812120104206</v>
      </c>
      <c r="AM1528">
        <v>93.899263198010402</v>
      </c>
      <c r="AN1528">
        <v>1.0000000237786599</v>
      </c>
    </row>
    <row r="1529" spans="1:40" x14ac:dyDescent="0.25">
      <c r="A1529" t="str">
        <f>"20190304155352509"</f>
        <v>20190304155352509</v>
      </c>
      <c r="B1529" t="str">
        <f>"1551686032498118"</f>
        <v>1551686032498118</v>
      </c>
      <c r="C1529" t="s">
        <v>40</v>
      </c>
      <c r="D1529">
        <v>4.4634280000000004</v>
      </c>
      <c r="E1529">
        <v>0.65966179999999996</v>
      </c>
      <c r="F1529" t="s">
        <v>63</v>
      </c>
      <c r="G1529">
        <v>-351.98919999999998</v>
      </c>
      <c r="H1529" s="1">
        <v>-4.7822939999999996E-7</v>
      </c>
      <c r="I1529">
        <v>288.1173</v>
      </c>
      <c r="J1529">
        <v>-343.3571</v>
      </c>
      <c r="K1529">
        <v>1.1094599999999999</v>
      </c>
      <c r="L1529">
        <v>285.32310000000001</v>
      </c>
      <c r="M1529">
        <v>-0.99959560000000003</v>
      </c>
      <c r="N1529">
        <v>-1.0137180000000001E-2</v>
      </c>
      <c r="O1529">
        <v>-2.6564230000000001E-2</v>
      </c>
      <c r="P1529">
        <v>-0.98353279999999998</v>
      </c>
      <c r="Q1529">
        <v>0.15471969999999999</v>
      </c>
      <c r="R1529">
        <v>-9.3406619999999996E-2</v>
      </c>
      <c r="S1529">
        <v>-3.207306</v>
      </c>
      <c r="T1529">
        <v>-0.39630890000000002</v>
      </c>
      <c r="U1529">
        <v>0.99487300000000001</v>
      </c>
      <c r="V1529">
        <v>-6.7146040000000004E-2</v>
      </c>
      <c r="W1529">
        <v>0.1647441</v>
      </c>
      <c r="X1529">
        <v>0.98404820000000004</v>
      </c>
      <c r="Y1529">
        <v>0.31896229999999998</v>
      </c>
      <c r="Z1529">
        <v>2.378214E-2</v>
      </c>
      <c r="AA1529">
        <v>0.94746900000000001</v>
      </c>
      <c r="AB1529">
        <v>35</v>
      </c>
      <c r="AC1529">
        <v>-8.6320999999999799</v>
      </c>
      <c r="AD1529">
        <v>-1.1094604782294</v>
      </c>
      <c r="AE1529">
        <v>2.79419999999998</v>
      </c>
      <c r="AF1529">
        <v>2.9780020898592401</v>
      </c>
      <c r="AG1529">
        <v>-1.1094604782294</v>
      </c>
      <c r="AH1529">
        <v>8.4287921560076899</v>
      </c>
      <c r="AI1529">
        <v>97.074741687659497</v>
      </c>
      <c r="AJ1529">
        <v>70.541021790963995</v>
      </c>
      <c r="AK1529">
        <v>9.0079929068098092</v>
      </c>
      <c r="AL1529">
        <v>80.517631285993801</v>
      </c>
      <c r="AM1529">
        <v>93.903498389866101</v>
      </c>
      <c r="AN1529">
        <v>1.0000000345478599</v>
      </c>
    </row>
    <row r="1530" spans="1:40" x14ac:dyDescent="0.25">
      <c r="A1530" t="str">
        <f>"20190304155352532"</f>
        <v>20190304155352532</v>
      </c>
      <c r="B1530" t="str">
        <f>"1551686032528373"</f>
        <v>1551686032528373</v>
      </c>
      <c r="C1530" t="s">
        <v>40</v>
      </c>
      <c r="D1530">
        <v>4.4280850000000003</v>
      </c>
      <c r="E1530">
        <v>0.6611283</v>
      </c>
      <c r="F1530" t="s">
        <v>63</v>
      </c>
      <c r="G1530">
        <v>-352.38850000000002</v>
      </c>
      <c r="H1530" s="1">
        <v>-2.657332E-7</v>
      </c>
      <c r="I1530">
        <v>288.1567</v>
      </c>
      <c r="J1530">
        <v>-343.71050000000002</v>
      </c>
      <c r="K1530">
        <v>1.1094489999999999</v>
      </c>
      <c r="L1530">
        <v>285.31389999999999</v>
      </c>
      <c r="M1530">
        <v>-0.99960300000000002</v>
      </c>
      <c r="N1530">
        <v>-1.0136050000000001E-2</v>
      </c>
      <c r="O1530">
        <v>-2.629128E-2</v>
      </c>
      <c r="P1530">
        <v>-0.98353500000000005</v>
      </c>
      <c r="Q1530">
        <v>0.15469869999999999</v>
      </c>
      <c r="R1530">
        <v>-9.3421879999999999E-2</v>
      </c>
      <c r="S1530">
        <v>-3.2077939999999998</v>
      </c>
      <c r="T1530">
        <v>-0.39406029999999997</v>
      </c>
      <c r="U1530">
        <v>1.00647</v>
      </c>
      <c r="V1530">
        <v>-6.7427329999999994E-2</v>
      </c>
      <c r="W1530">
        <v>0.16472290000000001</v>
      </c>
      <c r="X1530">
        <v>0.98403249999999998</v>
      </c>
      <c r="Y1530">
        <v>0.3217952</v>
      </c>
      <c r="Z1530">
        <v>2.3796060000000001E-2</v>
      </c>
      <c r="AA1530">
        <v>0.94651019999999997</v>
      </c>
      <c r="AB1530">
        <v>36</v>
      </c>
      <c r="AC1530">
        <v>-8.6779999999999902</v>
      </c>
      <c r="AD1530">
        <v>-1.10944926573319</v>
      </c>
      <c r="AE1530">
        <v>2.8428000000000102</v>
      </c>
      <c r="AF1530">
        <v>3.02532886531099</v>
      </c>
      <c r="AG1530">
        <v>-1.10944926573319</v>
      </c>
      <c r="AH1530">
        <v>8.4751565235021609</v>
      </c>
      <c r="AI1530">
        <v>97.028340442256606</v>
      </c>
      <c r="AJ1530">
        <v>70.355246426311496</v>
      </c>
      <c r="AK1530">
        <v>9.0670706688754201</v>
      </c>
      <c r="AL1530">
        <v>80.518862640247306</v>
      </c>
      <c r="AM1530">
        <v>93.919862503990103</v>
      </c>
      <c r="AN1530">
        <v>1.0000000198357899</v>
      </c>
    </row>
    <row r="1531" spans="1:40" x14ac:dyDescent="0.25">
      <c r="A1531" t="str">
        <f>"20190304155352555"</f>
        <v>20190304155352555</v>
      </c>
      <c r="B1531" t="str">
        <f>"1551686032547424"</f>
        <v>1551686032547424</v>
      </c>
      <c r="C1531" t="s">
        <v>40</v>
      </c>
      <c r="D1531">
        <v>4.4291780000000003</v>
      </c>
      <c r="E1531">
        <v>0.66109779999999996</v>
      </c>
      <c r="F1531" t="s">
        <v>63</v>
      </c>
      <c r="G1531">
        <v>-352.82060000000001</v>
      </c>
      <c r="H1531" s="1">
        <v>-3.5808450000000003E-8</v>
      </c>
      <c r="I1531">
        <v>288.20409999999998</v>
      </c>
      <c r="J1531">
        <v>-344.0779</v>
      </c>
      <c r="K1531">
        <v>1.10944</v>
      </c>
      <c r="L1531">
        <v>285.30459999999999</v>
      </c>
      <c r="M1531">
        <v>-0.99961049999999996</v>
      </c>
      <c r="N1531">
        <v>-1.013581E-2</v>
      </c>
      <c r="O1531">
        <v>-2.6008219999999999E-2</v>
      </c>
      <c r="P1531">
        <v>-0.98344759999999998</v>
      </c>
      <c r="Q1531">
        <v>0.15530189999999999</v>
      </c>
      <c r="R1531">
        <v>-9.334228E-2</v>
      </c>
      <c r="S1531">
        <v>-3.2083740000000001</v>
      </c>
      <c r="T1531">
        <v>-0.39072390000000001</v>
      </c>
      <c r="U1531">
        <v>1.0178529999999999</v>
      </c>
      <c r="V1531">
        <v>-6.7626399999999906E-2</v>
      </c>
      <c r="W1531">
        <v>0.1653259</v>
      </c>
      <c r="X1531">
        <v>0.98391770000000001</v>
      </c>
      <c r="Y1531">
        <v>0.32455790000000001</v>
      </c>
      <c r="Z1531">
        <v>2.3740669999999998E-2</v>
      </c>
      <c r="AA1531">
        <v>0.94556779999999996</v>
      </c>
      <c r="AB1531">
        <v>36</v>
      </c>
      <c r="AC1531">
        <v>-8.7427000000000099</v>
      </c>
      <c r="AD1531">
        <v>-1.10944003580845</v>
      </c>
      <c r="AE1531">
        <v>2.8994999999999802</v>
      </c>
      <c r="AF1531">
        <v>3.0812116330942199</v>
      </c>
      <c r="AG1531">
        <v>-1.10944003580845</v>
      </c>
      <c r="AH1531">
        <v>8.5404260322187096</v>
      </c>
      <c r="AI1531">
        <v>96.966728318519699</v>
      </c>
      <c r="AJ1531">
        <v>70.161589596164205</v>
      </c>
      <c r="AK1531">
        <v>9.1467808070801002</v>
      </c>
      <c r="AL1531">
        <v>80.483832933683104</v>
      </c>
      <c r="AM1531">
        <v>93.931856389553502</v>
      </c>
      <c r="AN1531">
        <v>1.0000000117805199</v>
      </c>
    </row>
    <row r="1532" spans="1:40" x14ac:dyDescent="0.25">
      <c r="A1532" t="str">
        <f>"20190304155352577"</f>
        <v>20190304155352577</v>
      </c>
      <c r="B1532" t="str">
        <f>"1551686032567922"</f>
        <v>1551686032567922</v>
      </c>
      <c r="C1532" t="s">
        <v>40</v>
      </c>
      <c r="D1532">
        <v>4.5390030000000001</v>
      </c>
      <c r="E1532">
        <v>0.55840269999999903</v>
      </c>
      <c r="F1532" t="s">
        <v>63</v>
      </c>
      <c r="G1532">
        <v>-353.2405</v>
      </c>
      <c r="H1532" s="1">
        <v>1.876373E-7</v>
      </c>
      <c r="I1532">
        <v>288.21120000000002</v>
      </c>
      <c r="J1532">
        <v>-344.43549999999999</v>
      </c>
      <c r="K1532">
        <v>1.1094329999999999</v>
      </c>
      <c r="L1532">
        <v>285.2955</v>
      </c>
      <c r="M1532">
        <v>-0.99961750000000005</v>
      </c>
      <c r="N1532">
        <v>-1.013622E-2</v>
      </c>
      <c r="O1532">
        <v>-2.5733039999999999E-2</v>
      </c>
      <c r="P1532">
        <v>-0.98336449999999997</v>
      </c>
      <c r="Q1532">
        <v>0.155918</v>
      </c>
      <c r="R1532">
        <v>-9.3187720000000002E-2</v>
      </c>
      <c r="S1532">
        <v>-3.2084350000000001</v>
      </c>
      <c r="T1532">
        <v>-0.38848969999999999</v>
      </c>
      <c r="U1532">
        <v>1.017792</v>
      </c>
      <c r="V1532">
        <v>-6.7743629999999999E-2</v>
      </c>
      <c r="W1532">
        <v>0.1659428</v>
      </c>
      <c r="X1532">
        <v>0.98380579999999995</v>
      </c>
      <c r="Y1532">
        <v>0.32430759999999997</v>
      </c>
      <c r="Z1532">
        <v>2.356782E-2</v>
      </c>
      <c r="AA1532">
        <v>0.945658</v>
      </c>
      <c r="AB1532">
        <v>36</v>
      </c>
      <c r="AC1532">
        <v>-8.8049999999999997</v>
      </c>
      <c r="AD1532">
        <v>-1.1094328123627</v>
      </c>
      <c r="AE1532">
        <v>2.91570000000001</v>
      </c>
      <c r="AF1532">
        <v>3.09701571068253</v>
      </c>
      <c r="AG1532">
        <v>-1.1094328123627</v>
      </c>
      <c r="AH1532">
        <v>8.6039515654937304</v>
      </c>
      <c r="AI1532">
        <v>96.917552787145794</v>
      </c>
      <c r="AJ1532">
        <v>70.203522168805804</v>
      </c>
      <c r="AK1532">
        <v>9.2114238866053402</v>
      </c>
      <c r="AL1532">
        <v>80.447992303001101</v>
      </c>
      <c r="AM1532">
        <v>93.939097387502997</v>
      </c>
      <c r="AN1532">
        <v>1.00000003219552</v>
      </c>
    </row>
    <row r="1533" spans="1:40" x14ac:dyDescent="0.25">
      <c r="A1533" t="str">
        <f>"20190304155352600"</f>
        <v>20190304155352600</v>
      </c>
      <c r="B1533" t="str">
        <f>"1551686032587441"</f>
        <v>1551686032587441</v>
      </c>
      <c r="C1533" t="s">
        <v>40</v>
      </c>
      <c r="D1533">
        <v>4.5670890000000002</v>
      </c>
      <c r="E1533">
        <v>0.54714209999999996</v>
      </c>
      <c r="F1533" t="s">
        <v>63</v>
      </c>
      <c r="G1533">
        <v>-364.75330000000002</v>
      </c>
      <c r="H1533" s="1">
        <v>9.9269820000000008E-7</v>
      </c>
      <c r="I1533">
        <v>286.59059999999999</v>
      </c>
      <c r="J1533">
        <v>-344.79180000000002</v>
      </c>
      <c r="K1533">
        <v>1.109434</v>
      </c>
      <c r="L1533">
        <v>285.28660000000002</v>
      </c>
      <c r="M1533">
        <v>-0.99962459999999997</v>
      </c>
      <c r="N1533">
        <v>-1.0137210000000001E-2</v>
      </c>
      <c r="O1533">
        <v>-2.5459539999999999E-2</v>
      </c>
      <c r="P1533">
        <v>-0.98341599999999996</v>
      </c>
      <c r="Q1533">
        <v>0.15609729999999999</v>
      </c>
      <c r="R1533">
        <v>-9.2341679999999995E-2</v>
      </c>
      <c r="S1533">
        <v>-3.096222</v>
      </c>
      <c r="T1533">
        <v>-0.16906579999999999</v>
      </c>
      <c r="U1533">
        <v>0.19735720000000001</v>
      </c>
      <c r="V1533">
        <v>-6.7164539999999995E-2</v>
      </c>
      <c r="W1533">
        <v>0.16612289999999999</v>
      </c>
      <c r="X1533">
        <v>0.98381510000000005</v>
      </c>
      <c r="Y1533">
        <v>8.8819380000000003E-2</v>
      </c>
      <c r="Z1533">
        <v>4.0020139999999999E-3</v>
      </c>
      <c r="AA1533">
        <v>0.99603969999999997</v>
      </c>
      <c r="AB1533">
        <v>36</v>
      </c>
      <c r="AC1533">
        <v>-19.961500000000001</v>
      </c>
      <c r="AD1533">
        <v>-1.1094330073017999</v>
      </c>
      <c r="AE1533">
        <v>1.3039999999999701</v>
      </c>
      <c r="AF1533">
        <v>1.8062581221890699</v>
      </c>
      <c r="AG1533">
        <v>-1.1094330073017999</v>
      </c>
      <c r="AH1533">
        <v>19.860739108486602</v>
      </c>
      <c r="AI1533">
        <v>93.1841403793632</v>
      </c>
      <c r="AJ1533">
        <v>84.803464132323498</v>
      </c>
      <c r="AK1533">
        <v>19.9735416973814</v>
      </c>
      <c r="AL1533">
        <v>80.437527995683595</v>
      </c>
      <c r="AM1533">
        <v>93.905492816934299</v>
      </c>
      <c r="AN1533">
        <v>1.00000002216291</v>
      </c>
    </row>
    <row r="1534" spans="1:40" x14ac:dyDescent="0.25">
      <c r="A1534" t="str">
        <f>"20190304155352622"</f>
        <v>20190304155352622</v>
      </c>
      <c r="B1534" t="str">
        <f>"1551686032617698"</f>
        <v>1551686032617698</v>
      </c>
      <c r="C1534" t="s">
        <v>40</v>
      </c>
      <c r="D1534">
        <v>4.5519239999999996</v>
      </c>
      <c r="E1534">
        <v>0.54192689999999999</v>
      </c>
      <c r="F1534" t="s">
        <v>63</v>
      </c>
      <c r="G1534">
        <v>-377.80599999999998</v>
      </c>
      <c r="H1534" s="1">
        <v>2.617171E-6</v>
      </c>
      <c r="I1534">
        <v>286.45350000000002</v>
      </c>
      <c r="J1534">
        <v>-345.14179999999999</v>
      </c>
      <c r="K1534">
        <v>1.1094299999999999</v>
      </c>
      <c r="L1534">
        <v>285.27789999999999</v>
      </c>
      <c r="M1534">
        <v>-0.9996313</v>
      </c>
      <c r="N1534">
        <v>-1.013856E-2</v>
      </c>
      <c r="O1534">
        <v>-2.5191180000000001E-2</v>
      </c>
      <c r="P1534">
        <v>-0.98343610000000004</v>
      </c>
      <c r="Q1534">
        <v>0.15629470000000001</v>
      </c>
      <c r="R1534">
        <v>-9.1792360000000003E-2</v>
      </c>
      <c r="S1534">
        <v>-3.0772400000000002</v>
      </c>
      <c r="T1534">
        <v>-0.1034098</v>
      </c>
      <c r="U1534">
        <v>0.1087646</v>
      </c>
      <c r="V1534">
        <v>-6.6877969999999995E-2</v>
      </c>
      <c r="W1534">
        <v>0.16632179999999999</v>
      </c>
      <c r="X1534">
        <v>0.98380100000000004</v>
      </c>
      <c r="Y1534">
        <v>6.0437060000000001E-2</v>
      </c>
      <c r="Z1534">
        <v>1.9122659999999999E-3</v>
      </c>
      <c r="AA1534">
        <v>0.99817020000000001</v>
      </c>
      <c r="AB1534">
        <v>36</v>
      </c>
      <c r="AC1534">
        <v>-32.664199999999902</v>
      </c>
      <c r="AD1534">
        <v>-1.109427382829</v>
      </c>
      <c r="AE1534">
        <v>1.17560000000003</v>
      </c>
      <c r="AF1534">
        <v>1.9958194818441899</v>
      </c>
      <c r="AG1534">
        <v>-1.109427382829</v>
      </c>
      <c r="AH1534">
        <v>32.586673517907798</v>
      </c>
      <c r="AI1534">
        <v>91.946262319440805</v>
      </c>
      <c r="AJ1534">
        <v>86.495212356039303</v>
      </c>
      <c r="AK1534">
        <v>32.666579488593399</v>
      </c>
      <c r="AL1534">
        <v>80.425970931130493</v>
      </c>
      <c r="AM1534">
        <v>93.888936110005304</v>
      </c>
      <c r="AN1534">
        <v>1.0000000058137799</v>
      </c>
    </row>
    <row r="1535" spans="1:40" x14ac:dyDescent="0.25">
      <c r="A1535" t="str">
        <f>"20190304155352643"</f>
        <v>20190304155352643</v>
      </c>
      <c r="B1535" t="str">
        <f>"1551686032638193"</f>
        <v>1551686032638193</v>
      </c>
      <c r="C1535" t="s">
        <v>40</v>
      </c>
      <c r="D1535">
        <v>4.5055800000000001</v>
      </c>
      <c r="E1535">
        <v>0.5398326</v>
      </c>
      <c r="F1535" t="s">
        <v>63</v>
      </c>
      <c r="G1535">
        <v>-391.62479999999999</v>
      </c>
      <c r="H1535" s="1">
        <v>-6.7212310000000003E-7</v>
      </c>
      <c r="I1535">
        <v>286.31020000000001</v>
      </c>
      <c r="J1535">
        <v>-345.49149999999997</v>
      </c>
      <c r="K1535">
        <v>1.1094280000000001</v>
      </c>
      <c r="L1535">
        <v>285.26929999999999</v>
      </c>
      <c r="M1535">
        <v>-0.99963800000000003</v>
      </c>
      <c r="N1535">
        <v>-1.014051E-2</v>
      </c>
      <c r="O1535">
        <v>-2.4922949999999999E-2</v>
      </c>
      <c r="P1535">
        <v>-0.98344279999999995</v>
      </c>
      <c r="Q1535">
        <v>0.1566806</v>
      </c>
      <c r="R1535">
        <v>-9.1060299999999997E-2</v>
      </c>
      <c r="S1535">
        <v>-3.0685120000000001</v>
      </c>
      <c r="T1535">
        <v>-7.3237419999999998E-2</v>
      </c>
      <c r="U1535">
        <v>6.8145750000000005E-2</v>
      </c>
      <c r="V1535">
        <v>-6.6409120000000002E-2</v>
      </c>
      <c r="W1535">
        <v>0.16670969999999999</v>
      </c>
      <c r="X1535">
        <v>0.98376710000000001</v>
      </c>
      <c r="Y1535">
        <v>4.7092349999999998E-2</v>
      </c>
      <c r="Z1535">
        <v>1.142686E-3</v>
      </c>
      <c r="AA1535">
        <v>0.9988899</v>
      </c>
      <c r="AB1535">
        <v>36</v>
      </c>
      <c r="AC1535">
        <v>-46.133299999999998</v>
      </c>
      <c r="AD1535">
        <v>-1.1094286721230999</v>
      </c>
      <c r="AE1535">
        <v>1.0409000000000199</v>
      </c>
      <c r="AF1535">
        <v>2.1891482326224301</v>
      </c>
      <c r="AG1535">
        <v>-1.1094286721230999</v>
      </c>
      <c r="AH1535">
        <v>46.066397085944402</v>
      </c>
      <c r="AI1535">
        <v>91.378047496250204</v>
      </c>
      <c r="AJ1535">
        <v>87.279260560106295</v>
      </c>
      <c r="AK1535">
        <v>46.131725985950602</v>
      </c>
      <c r="AL1535">
        <v>80.403431171650695</v>
      </c>
      <c r="AM1535">
        <v>93.861888061963896</v>
      </c>
      <c r="AN1535">
        <v>1.0000000011678301</v>
      </c>
    </row>
    <row r="1536" spans="1:40" x14ac:dyDescent="0.25">
      <c r="A1536" t="str">
        <f>"20190304155352666"</f>
        <v>20190304155352666</v>
      </c>
      <c r="B1536" t="str">
        <f>"1551686032658220"</f>
        <v>1551686032658220</v>
      </c>
      <c r="C1536" t="s">
        <v>40</v>
      </c>
      <c r="D1536">
        <v>4.5547420000000001</v>
      </c>
      <c r="E1536">
        <v>0.53865779999999996</v>
      </c>
      <c r="F1536" t="s">
        <v>63</v>
      </c>
      <c r="G1536">
        <v>-398.70190000000002</v>
      </c>
      <c r="H1536" s="1">
        <v>3.0939269999999998E-6</v>
      </c>
      <c r="I1536">
        <v>286.20159999999998</v>
      </c>
      <c r="J1536">
        <v>-345.8458</v>
      </c>
      <c r="K1536">
        <v>1.1094329999999999</v>
      </c>
      <c r="L1536">
        <v>285.26069999999999</v>
      </c>
      <c r="M1536">
        <v>-0.99964459999999999</v>
      </c>
      <c r="N1536">
        <v>-1.014288E-2</v>
      </c>
      <c r="O1536">
        <v>-2.465115E-2</v>
      </c>
      <c r="P1536">
        <v>-0.98337859999999999</v>
      </c>
      <c r="Q1536">
        <v>0.15734119999999999</v>
      </c>
      <c r="R1536">
        <v>-9.0610170000000004E-2</v>
      </c>
      <c r="S1536">
        <v>-3.065674</v>
      </c>
      <c r="T1536">
        <v>-6.3918589999999997E-2</v>
      </c>
      <c r="U1536">
        <v>5.3710939999999999E-2</v>
      </c>
      <c r="V1536">
        <v>-6.6227560000000005E-2</v>
      </c>
      <c r="W1536">
        <v>0.16737170000000001</v>
      </c>
      <c r="X1536">
        <v>0.98366699999999996</v>
      </c>
      <c r="Y1536">
        <v>4.2145710000000003E-2</v>
      </c>
      <c r="Z1536">
        <v>9.1693030000000004E-4</v>
      </c>
      <c r="AA1536">
        <v>0.99911110000000003</v>
      </c>
      <c r="AB1536">
        <v>36</v>
      </c>
      <c r="AC1536">
        <v>-52.856099999999998</v>
      </c>
      <c r="AD1536">
        <v>-1.109429906073</v>
      </c>
      <c r="AE1536">
        <v>0.94089999999999896</v>
      </c>
      <c r="AF1536">
        <v>2.2426570760426801</v>
      </c>
      <c r="AG1536">
        <v>-1.109429906073</v>
      </c>
      <c r="AH1536">
        <v>52.793589053432903</v>
      </c>
      <c r="AI1536">
        <v>91.202779497613193</v>
      </c>
      <c r="AJ1536">
        <v>87.567553552155303</v>
      </c>
      <c r="AK1536">
        <v>52.852846570643401</v>
      </c>
      <c r="AL1536">
        <v>80.364961538946005</v>
      </c>
      <c r="AM1536">
        <v>93.851752369049393</v>
      </c>
      <c r="AN1536">
        <v>1.0000000712767101</v>
      </c>
    </row>
    <row r="1537" spans="1:40" x14ac:dyDescent="0.25">
      <c r="A1537" t="str">
        <f>"20190304155352688"</f>
        <v>20190304155352688</v>
      </c>
      <c r="B1537" t="str">
        <f>"1551686032677740"</f>
        <v>1551686032677740</v>
      </c>
      <c r="C1537" t="s">
        <v>40</v>
      </c>
      <c r="D1537">
        <v>4.4828929999999998</v>
      </c>
      <c r="E1537">
        <v>0.53762270000000001</v>
      </c>
      <c r="F1537" t="s">
        <v>65</v>
      </c>
      <c r="G1537">
        <v>-402.83030000000002</v>
      </c>
      <c r="H1537" s="1">
        <v>6.8377459999999998E-6</v>
      </c>
      <c r="I1537">
        <v>286.11360000000002</v>
      </c>
      <c r="J1537">
        <v>-346.21409999999997</v>
      </c>
      <c r="K1537">
        <v>1.109432</v>
      </c>
      <c r="L1537">
        <v>285.25200000000001</v>
      </c>
      <c r="M1537">
        <v>-0.99965159999999997</v>
      </c>
      <c r="N1537">
        <v>-1.014437E-2</v>
      </c>
      <c r="O1537">
        <v>-2.436874E-2</v>
      </c>
      <c r="P1537">
        <v>-0.98330249999999997</v>
      </c>
      <c r="Q1537">
        <v>0.15789249999999999</v>
      </c>
      <c r="R1537">
        <v>-9.0479240000000002E-2</v>
      </c>
      <c r="S1537">
        <v>-3.0644840000000002</v>
      </c>
      <c r="T1537">
        <v>-5.9662220000000002E-2</v>
      </c>
      <c r="U1537">
        <v>4.586792E-2</v>
      </c>
      <c r="V1537">
        <v>-6.6375569999999995E-2</v>
      </c>
      <c r="W1537">
        <v>0.16792360000000001</v>
      </c>
      <c r="X1537">
        <v>0.98356290000000002</v>
      </c>
      <c r="Y1537">
        <v>3.9316339999999998E-2</v>
      </c>
      <c r="Z1537">
        <v>8.0928499999999997E-4</v>
      </c>
      <c r="AA1537">
        <v>0.99922650000000002</v>
      </c>
      <c r="AB1537">
        <v>36</v>
      </c>
      <c r="AC1537">
        <v>-56.616199999999999</v>
      </c>
      <c r="AD1537">
        <v>-1.1094251622539999</v>
      </c>
      <c r="AE1537">
        <v>0.86160000000000903</v>
      </c>
      <c r="AF1537">
        <v>2.2402205064261702</v>
      </c>
      <c r="AG1537">
        <v>-1.1094251622539999</v>
      </c>
      <c r="AH1537">
        <v>56.556676330058004</v>
      </c>
      <c r="AI1537">
        <v>91.122899081969805</v>
      </c>
      <c r="AJ1537">
        <v>87.731689284068906</v>
      </c>
      <c r="AK1537">
        <v>56.611898480893501</v>
      </c>
      <c r="AL1537">
        <v>80.332885485487694</v>
      </c>
      <c r="AM1537">
        <v>93.860741878252</v>
      </c>
      <c r="AN1537">
        <v>1.0000000149930901</v>
      </c>
    </row>
    <row r="1538" spans="1:40" x14ac:dyDescent="0.25">
      <c r="A1538" t="str">
        <f>"20190304155352710"</f>
        <v>20190304155352710</v>
      </c>
      <c r="B1538" t="str">
        <f>"1551686032707996"</f>
        <v>1551686032707996</v>
      </c>
      <c r="C1538" t="s">
        <v>40</v>
      </c>
      <c r="D1538">
        <v>4.4939010000000001</v>
      </c>
      <c r="E1538">
        <v>0.53632709999999995</v>
      </c>
      <c r="F1538" t="s">
        <v>65</v>
      </c>
      <c r="G1538">
        <v>-405.82049999999998</v>
      </c>
      <c r="H1538" s="1">
        <v>5.5365399999999997E-6</v>
      </c>
      <c r="I1538">
        <v>285.99360000000001</v>
      </c>
      <c r="J1538">
        <v>-346.56400000000002</v>
      </c>
      <c r="K1538">
        <v>1.1094310000000001</v>
      </c>
      <c r="L1538">
        <v>285.24369999999999</v>
      </c>
      <c r="M1538">
        <v>-0.99965820000000005</v>
      </c>
      <c r="N1538">
        <v>-1.014176E-2</v>
      </c>
      <c r="O1538">
        <v>-2.410002E-2</v>
      </c>
      <c r="P1538">
        <v>-0.98323859999999996</v>
      </c>
      <c r="Q1538">
        <v>0.15838469999999999</v>
      </c>
      <c r="R1538">
        <v>-9.0312100000000006E-2</v>
      </c>
      <c r="S1538">
        <v>-3.0636290000000002</v>
      </c>
      <c r="T1538">
        <v>-5.702198E-2</v>
      </c>
      <c r="U1538">
        <v>3.8116459999999998E-2</v>
      </c>
      <c r="V1538">
        <v>-6.6474519999999995E-2</v>
      </c>
      <c r="W1538">
        <v>0.16841239999999999</v>
      </c>
      <c r="X1538">
        <v>0.98347260000000003</v>
      </c>
      <c r="Y1538">
        <v>3.6525790000000002E-2</v>
      </c>
      <c r="Z1538">
        <v>7.2920989999999996E-4</v>
      </c>
      <c r="AA1538">
        <v>0.99933240000000001</v>
      </c>
      <c r="AB1538">
        <v>36</v>
      </c>
      <c r="AC1538">
        <v>-59.256499999999903</v>
      </c>
      <c r="AD1538">
        <v>-1.10942546346</v>
      </c>
      <c r="AE1538">
        <v>0.74990000000002499</v>
      </c>
      <c r="AF1538">
        <v>2.1770753175293698</v>
      </c>
      <c r="AG1538">
        <v>-1.10942546346</v>
      </c>
      <c r="AH1538">
        <v>59.200465615672897</v>
      </c>
      <c r="AI1538">
        <v>91.072880642660195</v>
      </c>
      <c r="AJ1538">
        <v>87.893917873433793</v>
      </c>
      <c r="AK1538">
        <v>59.250870127869398</v>
      </c>
      <c r="AL1538">
        <v>80.304474316322597</v>
      </c>
      <c r="AM1538">
        <v>93.866833804388094</v>
      </c>
      <c r="AN1538">
        <v>0.99999997661687401</v>
      </c>
    </row>
    <row r="1539" spans="1:40" x14ac:dyDescent="0.25">
      <c r="A1539" t="str">
        <f>"20190304155352733"</f>
        <v>20190304155352733</v>
      </c>
      <c r="B1539" t="str">
        <f>"1551686032727516"</f>
        <v>1551686032727516</v>
      </c>
      <c r="C1539" t="s">
        <v>40</v>
      </c>
      <c r="D1539">
        <v>4.4912769999999904</v>
      </c>
      <c r="E1539">
        <v>0.53569089999999997</v>
      </c>
      <c r="F1539" t="s">
        <v>65</v>
      </c>
      <c r="G1539">
        <v>-406.47899999999998</v>
      </c>
      <c r="H1539" s="1">
        <v>5.2837419999999998E-6</v>
      </c>
      <c r="I1539">
        <v>285.80360000000002</v>
      </c>
      <c r="J1539">
        <v>-346.92020000000002</v>
      </c>
      <c r="K1539">
        <v>1.109426</v>
      </c>
      <c r="L1539">
        <v>285.2353</v>
      </c>
      <c r="M1539">
        <v>-0.99966480000000002</v>
      </c>
      <c r="N1539">
        <v>-1.01344E-2</v>
      </c>
      <c r="O1539">
        <v>-2.382544E-2</v>
      </c>
      <c r="P1539">
        <v>-0.98320839999999998</v>
      </c>
      <c r="Q1539">
        <v>0.1584438</v>
      </c>
      <c r="R1539">
        <v>-9.0535729999999995E-2</v>
      </c>
      <c r="S1539">
        <v>-3.0628660000000001</v>
      </c>
      <c r="T1539">
        <v>-5.6714059999999997E-2</v>
      </c>
      <c r="U1539">
        <v>2.862549E-2</v>
      </c>
      <c r="V1539">
        <v>-6.6968659999999999E-2</v>
      </c>
      <c r="W1539">
        <v>0.16846459999999999</v>
      </c>
      <c r="X1539">
        <v>0.98343009999999997</v>
      </c>
      <c r="Y1539">
        <v>3.3158920000000001E-2</v>
      </c>
      <c r="Z1539">
        <v>6.7465899999999998E-4</v>
      </c>
      <c r="AA1539">
        <v>0.99944980000000005</v>
      </c>
      <c r="AB1539">
        <v>36</v>
      </c>
      <c r="AC1539">
        <v>-59.558799999999998</v>
      </c>
      <c r="AD1539">
        <v>-1.1094207162580001</v>
      </c>
      <c r="AE1539">
        <v>0.56830000000002201</v>
      </c>
      <c r="AF1539">
        <v>1.98653688502669</v>
      </c>
      <c r="AG1539">
        <v>-1.1094207162580001</v>
      </c>
      <c r="AH1539">
        <v>59.507704924377798</v>
      </c>
      <c r="AI1539">
        <v>91.067464873015297</v>
      </c>
      <c r="AJ1539">
        <v>88.088013530536998</v>
      </c>
      <c r="AK1539">
        <v>59.551188808352599</v>
      </c>
      <c r="AL1539">
        <v>80.301439787808405</v>
      </c>
      <c r="AM1539">
        <v>93.895657665556897</v>
      </c>
      <c r="AN1539">
        <v>0.999999942230681</v>
      </c>
    </row>
    <row r="1540" spans="1:40" x14ac:dyDescent="0.25">
      <c r="A1540" t="str">
        <f>"20190304155352756"</f>
        <v>20190304155352756</v>
      </c>
      <c r="B1540" t="str">
        <f>"1551686032747542"</f>
        <v>1551686032747542</v>
      </c>
      <c r="C1540" t="s">
        <v>40</v>
      </c>
      <c r="D1540">
        <v>4.5809860000000002</v>
      </c>
      <c r="E1540">
        <v>0.53532590000000002</v>
      </c>
      <c r="F1540" t="s">
        <v>65</v>
      </c>
      <c r="G1540">
        <v>-406.21499999999997</v>
      </c>
      <c r="H1540" s="1">
        <v>5.4264299999999998E-6</v>
      </c>
      <c r="I1540">
        <v>285.67959999999999</v>
      </c>
      <c r="J1540">
        <v>-347.2867</v>
      </c>
      <c r="K1540">
        <v>1.1094189999999999</v>
      </c>
      <c r="L1540">
        <v>285.2269</v>
      </c>
      <c r="M1540">
        <v>-0.9996718</v>
      </c>
      <c r="N1540">
        <v>-1.012213E-2</v>
      </c>
      <c r="O1540">
        <v>-2.354034E-2</v>
      </c>
      <c r="P1540">
        <v>-0.98330459999999997</v>
      </c>
      <c r="Q1540">
        <v>0.1581892</v>
      </c>
      <c r="R1540">
        <v>-8.9936199999999994E-2</v>
      </c>
      <c r="S1540">
        <v>-3.062592</v>
      </c>
      <c r="T1540">
        <v>-5.730176E-2</v>
      </c>
      <c r="U1540">
        <v>2.2949219999999999E-2</v>
      </c>
      <c r="V1540">
        <v>-6.6647219999999993E-2</v>
      </c>
      <c r="W1540">
        <v>0.1681986</v>
      </c>
      <c r="X1540">
        <v>0.98349759999999997</v>
      </c>
      <c r="Y1540">
        <v>3.102276E-2</v>
      </c>
      <c r="Z1540">
        <v>6.4932420000000002E-4</v>
      </c>
      <c r="AA1540">
        <v>0.99951849999999998</v>
      </c>
      <c r="AB1540">
        <v>36</v>
      </c>
      <c r="AC1540">
        <v>-58.928299999999901</v>
      </c>
      <c r="AD1540">
        <v>-1.1094135735699999</v>
      </c>
      <c r="AE1540">
        <v>0.452699999999993</v>
      </c>
      <c r="AF1540">
        <v>1.8391857715629101</v>
      </c>
      <c r="AG1540">
        <v>-1.1094135735699999</v>
      </c>
      <c r="AH1540">
        <v>58.880443144983602</v>
      </c>
      <c r="AI1540">
        <v>91.078901851529096</v>
      </c>
      <c r="AJ1540">
        <v>88.210894396458698</v>
      </c>
      <c r="AK1540">
        <v>58.919606140309398</v>
      </c>
      <c r="AL1540">
        <v>80.316902391233398</v>
      </c>
      <c r="AM1540">
        <v>93.876750949523299</v>
      </c>
      <c r="AN1540">
        <v>1.0000000750907201</v>
      </c>
    </row>
    <row r="1541" spans="1:40" x14ac:dyDescent="0.25">
      <c r="A1541" t="str">
        <f>"20190304155352778"</f>
        <v>20190304155352778</v>
      </c>
      <c r="B1541" t="str">
        <f>"1551686032768039"</f>
        <v>1551686032768039</v>
      </c>
      <c r="C1541" t="s">
        <v>40</v>
      </c>
      <c r="D1541">
        <v>4.5542350000000003</v>
      </c>
      <c r="E1541">
        <v>0.535026</v>
      </c>
      <c r="F1541" t="s">
        <v>65</v>
      </c>
      <c r="G1541">
        <v>-402.86439999999999</v>
      </c>
      <c r="H1541" s="1">
        <v>6.92344799999999E-6</v>
      </c>
      <c r="I1541">
        <v>285.62560000000002</v>
      </c>
      <c r="J1541">
        <v>-347.66230000000002</v>
      </c>
      <c r="K1541">
        <v>1.1094120000000001</v>
      </c>
      <c r="L1541">
        <v>285.2183</v>
      </c>
      <c r="M1541">
        <v>-0.99967870000000003</v>
      </c>
      <c r="N1541">
        <v>-1.010782E-2</v>
      </c>
      <c r="O1541">
        <v>-2.324509E-2</v>
      </c>
      <c r="P1541">
        <v>-0.98329880000000003</v>
      </c>
      <c r="Q1541">
        <v>0.15801279999999901</v>
      </c>
      <c r="R1541">
        <v>-9.0309379999999995E-2</v>
      </c>
      <c r="S1541">
        <v>-3.0627749999999998</v>
      </c>
      <c r="T1541">
        <v>-6.1137440000000001E-2</v>
      </c>
      <c r="U1541">
        <v>2.1972660000000001E-2</v>
      </c>
      <c r="V1541">
        <v>-6.7310179999999997E-2</v>
      </c>
      <c r="W1541">
        <v>0.16800909999999999</v>
      </c>
      <c r="X1541">
        <v>0.98348469999999999</v>
      </c>
      <c r="Y1541">
        <v>3.0407400000000001E-2</v>
      </c>
      <c r="Z1541">
        <v>6.8613159999999997E-4</v>
      </c>
      <c r="AA1541">
        <v>0.99953729999999996</v>
      </c>
      <c r="AB1541">
        <v>36</v>
      </c>
      <c r="AC1541">
        <v>-55.202099999999902</v>
      </c>
      <c r="AD1541">
        <v>-1.109405076552</v>
      </c>
      <c r="AE1541">
        <v>0.40730000000001998</v>
      </c>
      <c r="AF1541">
        <v>1.68975082316369</v>
      </c>
      <c r="AG1541">
        <v>-1.109405076552</v>
      </c>
      <c r="AH1541">
        <v>55.1554386352188</v>
      </c>
      <c r="AI1541">
        <v>91.151760609817899</v>
      </c>
      <c r="AJ1541">
        <v>88.245226209855602</v>
      </c>
      <c r="AK1541">
        <v>55.1924673167603</v>
      </c>
      <c r="AL1541">
        <v>80.327915329175397</v>
      </c>
      <c r="AM1541">
        <v>93.915246009940404</v>
      </c>
      <c r="AN1541">
        <v>0.999999936574264</v>
      </c>
    </row>
    <row r="1542" spans="1:40" x14ac:dyDescent="0.25">
      <c r="A1542" t="str">
        <f>"20190304155352801"</f>
        <v>20190304155352801</v>
      </c>
      <c r="B1542" t="str">
        <f>"1551686032798294"</f>
        <v>1551686032798294</v>
      </c>
      <c r="C1542" t="s">
        <v>40</v>
      </c>
      <c r="D1542">
        <v>4.4687669999999997</v>
      </c>
      <c r="E1542">
        <v>0.53442270000000003</v>
      </c>
      <c r="F1542" t="s">
        <v>65</v>
      </c>
      <c r="G1542">
        <v>-402.06389999999999</v>
      </c>
      <c r="H1542" s="1">
        <v>7.2947519999999902E-6</v>
      </c>
      <c r="I1542">
        <v>285.54680000000002</v>
      </c>
      <c r="J1542">
        <v>-348.01459999999997</v>
      </c>
      <c r="K1542">
        <v>1.1093999999999999</v>
      </c>
      <c r="L1542">
        <v>285.21039999999999</v>
      </c>
      <c r="M1542">
        <v>-0.9996853</v>
      </c>
      <c r="N1542">
        <v>-1.0091279999999999E-2</v>
      </c>
      <c r="O1542">
        <v>-2.2963890000000001E-2</v>
      </c>
      <c r="P1542">
        <v>-0.98323110000000002</v>
      </c>
      <c r="Q1542">
        <v>0.15824659999999999</v>
      </c>
      <c r="R1542">
        <v>-9.0634670000000001E-2</v>
      </c>
      <c r="S1542">
        <v>-3.0627140000000002</v>
      </c>
      <c r="T1542">
        <v>-6.2457560000000002E-2</v>
      </c>
      <c r="U1542">
        <v>1.849365E-2</v>
      </c>
      <c r="V1542">
        <v>-6.7913039999999994E-2</v>
      </c>
      <c r="W1542">
        <v>0.16822670000000001</v>
      </c>
      <c r="X1542">
        <v>0.98340609999999995</v>
      </c>
      <c r="Y1542">
        <v>2.8991030000000001E-2</v>
      </c>
      <c r="Z1542">
        <v>6.7836440000000001E-4</v>
      </c>
      <c r="AA1542">
        <v>0.99957940000000001</v>
      </c>
      <c r="AB1542">
        <v>36</v>
      </c>
      <c r="AC1542">
        <v>-54.049300000000002</v>
      </c>
      <c r="AD1542">
        <v>-1.1093927052479999</v>
      </c>
      <c r="AE1542">
        <v>0.33640000000002601</v>
      </c>
      <c r="AF1542">
        <v>1.57689242363544</v>
      </c>
      <c r="AG1542">
        <v>-1.1093927052479999</v>
      </c>
      <c r="AH1542">
        <v>54.004568843718602</v>
      </c>
      <c r="AI1542">
        <v>91.176335891357496</v>
      </c>
      <c r="AJ1542">
        <v>88.327481941874296</v>
      </c>
      <c r="AK1542">
        <v>54.038974804173698</v>
      </c>
      <c r="AL1542">
        <v>80.315268182482498</v>
      </c>
      <c r="AM1542">
        <v>93.9505168998556</v>
      </c>
      <c r="AN1542">
        <v>0.99999998055606998</v>
      </c>
    </row>
    <row r="1543" spans="1:40" x14ac:dyDescent="0.25">
      <c r="A1543" t="str">
        <f>"20190304155352823"</f>
        <v>20190304155352823</v>
      </c>
      <c r="B1543" t="str">
        <f>"1551686032817814"</f>
        <v>1551686032817814</v>
      </c>
      <c r="C1543" t="s">
        <v>40</v>
      </c>
      <c r="D1543">
        <v>4.4483430000000004</v>
      </c>
      <c r="E1543">
        <v>0.53408869999999997</v>
      </c>
      <c r="F1543" t="s">
        <v>65</v>
      </c>
      <c r="G1543">
        <v>-401.11540000000002</v>
      </c>
      <c r="H1543" s="1">
        <v>7.7371079999999994E-6</v>
      </c>
      <c r="I1543">
        <v>285.44159999999999</v>
      </c>
      <c r="J1543">
        <v>-348.37889999999999</v>
      </c>
      <c r="K1543">
        <v>1.1093949999999999</v>
      </c>
      <c r="L1543">
        <v>285.20229999999998</v>
      </c>
      <c r="M1543">
        <v>-0.99969240000000004</v>
      </c>
      <c r="N1543">
        <v>-1.00713E-2</v>
      </c>
      <c r="O1543">
        <v>-2.2667630000000001E-2</v>
      </c>
      <c r="P1543">
        <v>-0.98322279999999995</v>
      </c>
      <c r="Q1543">
        <v>0.15829289999999999</v>
      </c>
      <c r="R1543">
        <v>-9.0643189999999998E-2</v>
      </c>
      <c r="S1543">
        <v>-3.0626220000000002</v>
      </c>
      <c r="T1543">
        <v>-6.3984869999999999E-2</v>
      </c>
      <c r="U1543">
        <v>1.333618E-2</v>
      </c>
      <c r="V1543">
        <v>-6.821141E-2</v>
      </c>
      <c r="W1543">
        <v>0.1682545</v>
      </c>
      <c r="X1543">
        <v>0.9833807</v>
      </c>
      <c r="Y1543">
        <v>2.701185E-2</v>
      </c>
      <c r="Z1543">
        <v>6.6338619999999895E-4</v>
      </c>
      <c r="AA1543">
        <v>0.99963489999999999</v>
      </c>
      <c r="AB1543">
        <v>36</v>
      </c>
      <c r="AC1543">
        <v>-52.736499999999999</v>
      </c>
      <c r="AD1543">
        <v>-1.1093872628919901</v>
      </c>
      <c r="AE1543">
        <v>0.239300000000014</v>
      </c>
      <c r="AF1543">
        <v>1.4340759091713799</v>
      </c>
      <c r="AG1543">
        <v>-1.1093872628919901</v>
      </c>
      <c r="AH1543">
        <v>52.694205333732498</v>
      </c>
      <c r="AI1543">
        <v>91.205641169791406</v>
      </c>
      <c r="AJ1543">
        <v>88.441076778943795</v>
      </c>
      <c r="AK1543">
        <v>52.7253884724038</v>
      </c>
      <c r="AL1543">
        <v>80.313652392083398</v>
      </c>
      <c r="AM1543">
        <v>93.967919991499002</v>
      </c>
      <c r="AN1543">
        <v>0.99999998717846394</v>
      </c>
    </row>
    <row r="1544" spans="1:40" x14ac:dyDescent="0.25">
      <c r="A1544" t="str">
        <f>"20190304155352845"</f>
        <v>20190304155352845</v>
      </c>
      <c r="B1544" t="str">
        <f>"1551686032838309"</f>
        <v>1551686032838309</v>
      </c>
      <c r="C1544" t="s">
        <v>40</v>
      </c>
      <c r="D1544">
        <v>4.4328159999999999</v>
      </c>
      <c r="E1544">
        <v>0.53386089999999997</v>
      </c>
      <c r="F1544" t="s">
        <v>65</v>
      </c>
      <c r="G1544">
        <v>-400.8279</v>
      </c>
      <c r="H1544" s="1">
        <v>7.8754859999999994E-6</v>
      </c>
      <c r="I1544">
        <v>285.38889999999998</v>
      </c>
      <c r="J1544">
        <v>-348.72930000000002</v>
      </c>
      <c r="K1544">
        <v>1.1093869999999999</v>
      </c>
      <c r="L1544">
        <v>285.19459999999998</v>
      </c>
      <c r="M1544">
        <v>-0.99969920000000001</v>
      </c>
      <c r="N1544">
        <v>-1.0052210000000001E-2</v>
      </c>
      <c r="O1544">
        <v>-2.2374939999999999E-2</v>
      </c>
      <c r="P1544">
        <v>-0.98310739999999996</v>
      </c>
      <c r="Q1544">
        <v>0.1587517</v>
      </c>
      <c r="R1544">
        <v>-9.1094649999999999E-2</v>
      </c>
      <c r="S1544">
        <v>-3.062592</v>
      </c>
      <c r="T1544">
        <v>-6.4779039999999996E-2</v>
      </c>
      <c r="U1544">
        <v>1.089478E-2</v>
      </c>
      <c r="V1544">
        <v>-6.8950769999999995E-2</v>
      </c>
      <c r="W1544">
        <v>0.16869439999999999</v>
      </c>
      <c r="X1544">
        <v>0.98325379999999996</v>
      </c>
      <c r="Y1544">
        <v>2.592245E-2</v>
      </c>
      <c r="Z1544">
        <v>6.5270239999999896E-4</v>
      </c>
      <c r="AA1544">
        <v>0.99966379999999999</v>
      </c>
      <c r="AB1544">
        <v>36</v>
      </c>
      <c r="AC1544">
        <v>-52.098599999999898</v>
      </c>
      <c r="AD1544">
        <v>-1.1093791245139999</v>
      </c>
      <c r="AE1544">
        <v>0.194299999999998</v>
      </c>
      <c r="AF1544">
        <v>1.3593968193619601</v>
      </c>
      <c r="AG1544">
        <v>-1.1093791245139999</v>
      </c>
      <c r="AH1544">
        <v>52.057604091511898</v>
      </c>
      <c r="AI1544">
        <v>91.220407129609796</v>
      </c>
      <c r="AJ1544">
        <v>88.504156981162197</v>
      </c>
      <c r="AK1544">
        <v>52.087165650503501</v>
      </c>
      <c r="AL1544">
        <v>80.288082826221</v>
      </c>
      <c r="AM1544">
        <v>94.011305569142905</v>
      </c>
      <c r="AN1544">
        <v>1.0000000222446901</v>
      </c>
    </row>
    <row r="1545" spans="1:40" x14ac:dyDescent="0.25">
      <c r="A1545" t="str">
        <f>"20190304155352866"</f>
        <v>20190304155352866</v>
      </c>
      <c r="B1545" t="str">
        <f>"1551686032858123"</f>
        <v>1551686032858123</v>
      </c>
      <c r="C1545" t="s">
        <v>40</v>
      </c>
      <c r="D1545">
        <v>4.547104</v>
      </c>
      <c r="E1545">
        <v>0.53393659999999998</v>
      </c>
      <c r="F1545" t="s">
        <v>65</v>
      </c>
      <c r="G1545">
        <v>-401.96300000000002</v>
      </c>
      <c r="H1545" s="1">
        <v>7.382659E-6</v>
      </c>
      <c r="I1545">
        <v>285.33780000000002</v>
      </c>
      <c r="J1545">
        <v>-349.08370000000002</v>
      </c>
      <c r="K1545">
        <v>1.109378</v>
      </c>
      <c r="L1545">
        <v>285.18700000000001</v>
      </c>
      <c r="M1545">
        <v>-0.99970599999999998</v>
      </c>
      <c r="N1545">
        <v>-1.003427E-2</v>
      </c>
      <c r="O1545">
        <v>-2.2071520000000001E-2</v>
      </c>
      <c r="P1545">
        <v>-0.98304990000000003</v>
      </c>
      <c r="Q1545">
        <v>0.15909139999999999</v>
      </c>
      <c r="R1545">
        <v>-9.1121460000000001E-2</v>
      </c>
      <c r="S1545">
        <v>-3.062592</v>
      </c>
      <c r="T1545">
        <v>-6.3823820000000003E-2</v>
      </c>
      <c r="U1545">
        <v>8.2397459999999992E-3</v>
      </c>
      <c r="V1545">
        <v>-6.9275069999999994E-2</v>
      </c>
      <c r="W1545">
        <v>0.16901729999999901</v>
      </c>
      <c r="X1545">
        <v>0.98317549999999998</v>
      </c>
      <c r="Y1545">
        <v>2.4753089999999998E-2</v>
      </c>
      <c r="Z1545">
        <v>6.2052389999999998E-4</v>
      </c>
      <c r="AA1545">
        <v>0.99969339999999995</v>
      </c>
      <c r="AB1545">
        <v>36</v>
      </c>
      <c r="AC1545">
        <v>-52.879300000000001</v>
      </c>
      <c r="AD1545">
        <v>-1.1093706173410001</v>
      </c>
      <c r="AE1545">
        <v>0.15080000000000299</v>
      </c>
      <c r="AF1545">
        <v>1.3173687832154499</v>
      </c>
      <c r="AG1545">
        <v>-1.1093706173410001</v>
      </c>
      <c r="AH1545">
        <v>52.839832194388897</v>
      </c>
      <c r="AI1545">
        <v>91.202372879855901</v>
      </c>
      <c r="AJ1545">
        <v>88.571834251978302</v>
      </c>
      <c r="AK1545">
        <v>52.867892241026503</v>
      </c>
      <c r="AL1545">
        <v>80.269312011751495</v>
      </c>
      <c r="AM1545">
        <v>94.0304300436636</v>
      </c>
      <c r="AN1545">
        <v>0.99999997341152203</v>
      </c>
    </row>
    <row r="1546" spans="1:40" x14ac:dyDescent="0.25">
      <c r="A1546" t="str">
        <f>"20190304155352889"</f>
        <v>20190304155352889</v>
      </c>
      <c r="B1546" t="str">
        <f>"1551686032877644"</f>
        <v>1551686032877644</v>
      </c>
      <c r="C1546" t="s">
        <v>40</v>
      </c>
      <c r="D1546">
        <v>4.3466509999999996</v>
      </c>
      <c r="E1546">
        <v>0.51281569999999999</v>
      </c>
      <c r="F1546" t="s">
        <v>65</v>
      </c>
      <c r="G1546">
        <v>-401.923</v>
      </c>
      <c r="H1546" s="1">
        <v>7.3990669999999997E-6</v>
      </c>
      <c r="I1546">
        <v>285.34440000000001</v>
      </c>
      <c r="J1546">
        <v>-349.44580000000002</v>
      </c>
      <c r="K1546">
        <v>1.1093710000000001</v>
      </c>
      <c r="L1546">
        <v>285.17919999999998</v>
      </c>
      <c r="M1546">
        <v>-0.99971319999999997</v>
      </c>
      <c r="N1546">
        <v>-1.001817E-2</v>
      </c>
      <c r="O1546">
        <v>-2.175475E-2</v>
      </c>
      <c r="P1546">
        <v>-0.98305279999999995</v>
      </c>
      <c r="Q1546">
        <v>0.1593397</v>
      </c>
      <c r="R1546">
        <v>-9.065571E-2</v>
      </c>
      <c r="S1546">
        <v>-3.0629879999999998</v>
      </c>
      <c r="T1546">
        <v>-6.4308050000000005E-2</v>
      </c>
      <c r="U1546">
        <v>9.1247559999999995E-3</v>
      </c>
      <c r="V1546">
        <v>-6.9117570000000003E-2</v>
      </c>
      <c r="W1546">
        <v>0.1692504</v>
      </c>
      <c r="X1546">
        <v>0.98314650000000003</v>
      </c>
      <c r="Y1546">
        <v>2.472471E-2</v>
      </c>
      <c r="Z1546">
        <v>6.2211690000000001E-4</v>
      </c>
      <c r="AA1546">
        <v>0.99969410000000003</v>
      </c>
      <c r="AB1546">
        <v>36</v>
      </c>
      <c r="AC1546">
        <v>-52.477199999999897</v>
      </c>
      <c r="AD1546">
        <v>-1.1093636009329999</v>
      </c>
      <c r="AE1546">
        <v>0.16520000000002699</v>
      </c>
      <c r="AF1546">
        <v>1.30626273587541</v>
      </c>
      <c r="AG1546">
        <v>-1.1093636009329999</v>
      </c>
      <c r="AH1546">
        <v>52.437751308728402</v>
      </c>
      <c r="AI1546">
        <v>91.211582628610898</v>
      </c>
      <c r="AJ1546">
        <v>88.573015348943898</v>
      </c>
      <c r="AK1546">
        <v>52.465748562755302</v>
      </c>
      <c r="AL1546">
        <v>80.255761286652501</v>
      </c>
      <c r="AM1546">
        <v>94.021415002915504</v>
      </c>
      <c r="AN1546">
        <v>0.999999988422557</v>
      </c>
    </row>
    <row r="1547" spans="1:40" x14ac:dyDescent="0.25">
      <c r="A1547" t="str">
        <f>"20190304155352911"</f>
        <v>20190304155352911</v>
      </c>
      <c r="B1547" t="str">
        <f>"1551686032907899"</f>
        <v>1551686032907899</v>
      </c>
      <c r="C1547" t="s">
        <v>40</v>
      </c>
      <c r="D1547">
        <v>4.3247980000000004</v>
      </c>
      <c r="E1547">
        <v>0.50501569999999996</v>
      </c>
      <c r="F1547" t="s">
        <v>63</v>
      </c>
      <c r="G1547">
        <v>-397.803</v>
      </c>
      <c r="H1547" s="1">
        <v>2.6155639999999998E-6</v>
      </c>
      <c r="I1547">
        <v>282.68180000000001</v>
      </c>
      <c r="J1547">
        <v>-349.80650000000003</v>
      </c>
      <c r="K1547">
        <v>1.1093599999999999</v>
      </c>
      <c r="L1547">
        <v>285.17169999999999</v>
      </c>
      <c r="M1547">
        <v>-0.99972030000000001</v>
      </c>
      <c r="N1547">
        <v>-1.000245E-2</v>
      </c>
      <c r="O1547">
        <v>-2.143142E-2</v>
      </c>
      <c r="P1547">
        <v>-0.98314800000000002</v>
      </c>
      <c r="Q1547">
        <v>0.1588021</v>
      </c>
      <c r="R1547">
        <v>-9.0565119999999999E-2</v>
      </c>
      <c r="S1547">
        <v>-3.0485530000000001</v>
      </c>
      <c r="T1547">
        <v>-6.9937230000000003E-2</v>
      </c>
      <c r="U1547">
        <v>-0.1574402</v>
      </c>
      <c r="V1547">
        <v>-6.9341260000000002E-2</v>
      </c>
      <c r="W1547">
        <v>0.16869960000000001</v>
      </c>
      <c r="X1547">
        <v>0.98322540000000003</v>
      </c>
      <c r="Y1547">
        <v>-3.0150099999999999E-2</v>
      </c>
      <c r="Z1547">
        <v>-2.195655E-4</v>
      </c>
      <c r="AA1547">
        <v>0.99954529999999997</v>
      </c>
      <c r="AB1547">
        <v>36</v>
      </c>
      <c r="AC1547">
        <v>-47.996499999999997</v>
      </c>
      <c r="AD1547">
        <v>-1.1093573844360001</v>
      </c>
      <c r="AE1547">
        <v>-2.4898999999999698</v>
      </c>
      <c r="AF1547">
        <v>-1.45986566780629</v>
      </c>
      <c r="AG1547">
        <v>-1.1093573844360001</v>
      </c>
      <c r="AH1547">
        <v>48.013258841254498</v>
      </c>
      <c r="AI1547">
        <v>91.322985471116894</v>
      </c>
      <c r="AJ1547">
        <v>91.741568508344201</v>
      </c>
      <c r="AK1547">
        <v>48.048256015507398</v>
      </c>
      <c r="AL1547">
        <v>80.287780105396493</v>
      </c>
      <c r="AM1547">
        <v>94.034064206206097</v>
      </c>
      <c r="AN1547">
        <v>0.999999976291853</v>
      </c>
    </row>
    <row r="1548" spans="1:40" x14ac:dyDescent="0.25">
      <c r="A1548" t="str">
        <f>"20190304155352934"</f>
        <v>20190304155352934</v>
      </c>
      <c r="B1548" t="str">
        <f>"1551686032927419"</f>
        <v>1551686032927419</v>
      </c>
      <c r="C1548" t="s">
        <v>40</v>
      </c>
      <c r="D1548">
        <v>4.286079</v>
      </c>
      <c r="E1548">
        <v>0.50239650000000002</v>
      </c>
      <c r="F1548" t="s">
        <v>65</v>
      </c>
      <c r="G1548">
        <v>-414.1275</v>
      </c>
      <c r="H1548" s="1">
        <v>3.2954280000000002E-6</v>
      </c>
      <c r="I1548">
        <v>280.52659999999997</v>
      </c>
      <c r="J1548">
        <v>-350.1696</v>
      </c>
      <c r="K1548">
        <v>1.109345</v>
      </c>
      <c r="L1548">
        <v>285.16419999999999</v>
      </c>
      <c r="M1548">
        <v>-0.99972749999999999</v>
      </c>
      <c r="N1548">
        <v>-9.9842160000000006E-3</v>
      </c>
      <c r="O1548">
        <v>-2.1098789999999999E-2</v>
      </c>
      <c r="P1548">
        <v>-0.98322299999999996</v>
      </c>
      <c r="Q1548">
        <v>0.15837200000000001</v>
      </c>
      <c r="R1548">
        <v>-9.0503890000000004E-2</v>
      </c>
      <c r="S1548">
        <v>-3.0396420000000002</v>
      </c>
      <c r="T1548">
        <v>-5.2425270000000003E-2</v>
      </c>
      <c r="U1548">
        <v>-0.21951290000000001</v>
      </c>
      <c r="V1548">
        <v>-6.9603090000000006E-2</v>
      </c>
      <c r="W1548">
        <v>0.1682536</v>
      </c>
      <c r="X1548">
        <v>0.98328329999999997</v>
      </c>
      <c r="Y1548">
        <v>-5.0956679999999997E-2</v>
      </c>
      <c r="Z1548">
        <v>-5.4069999999999997E-4</v>
      </c>
      <c r="AA1548">
        <v>0.9987007</v>
      </c>
      <c r="AB1548">
        <v>36</v>
      </c>
      <c r="AC1548">
        <v>-63.957900000000002</v>
      </c>
      <c r="AD1548">
        <v>-1.109341704572</v>
      </c>
      <c r="AE1548">
        <v>-4.6376000000000097</v>
      </c>
      <c r="AF1548">
        <v>-3.2860824974568299</v>
      </c>
      <c r="AG1548">
        <v>-1.109341704572</v>
      </c>
      <c r="AH1548">
        <v>64.022353864868805</v>
      </c>
      <c r="AI1548">
        <v>90.991383472936903</v>
      </c>
      <c r="AJ1548">
        <v>92.938248430879</v>
      </c>
      <c r="AK1548">
        <v>64.116228613324395</v>
      </c>
      <c r="AL1548">
        <v>80.313704399683303</v>
      </c>
      <c r="AM1548">
        <v>94.049008462442899</v>
      </c>
      <c r="AN1548">
        <v>0.99999995605469805</v>
      </c>
    </row>
    <row r="1549" spans="1:40" x14ac:dyDescent="0.25">
      <c r="A1549" t="str">
        <f>"20190304155352956"</f>
        <v>20190304155352956</v>
      </c>
      <c r="B1549" t="str">
        <f>"1551686032947446"</f>
        <v>1551686032947446</v>
      </c>
      <c r="C1549" t="s">
        <v>40</v>
      </c>
      <c r="D1549">
        <v>4.3123680000000002</v>
      </c>
      <c r="E1549">
        <v>0.50100319999999998</v>
      </c>
      <c r="F1549" t="s">
        <v>65</v>
      </c>
      <c r="G1549">
        <v>-410.8854</v>
      </c>
      <c r="H1549" s="1">
        <v>2.7335639999999998E-6</v>
      </c>
      <c r="I1549">
        <v>280.37529999999998</v>
      </c>
      <c r="J1549">
        <v>-350.53570000000002</v>
      </c>
      <c r="K1549">
        <v>1.109332</v>
      </c>
      <c r="L1549">
        <v>285.15679999999998</v>
      </c>
      <c r="M1549">
        <v>-0.99973489999999998</v>
      </c>
      <c r="N1549">
        <v>-9.9653209999999992E-3</v>
      </c>
      <c r="O1549">
        <v>-2.0758539999999999E-2</v>
      </c>
      <c r="P1549">
        <v>-0.98320430000000003</v>
      </c>
      <c r="Q1549">
        <v>0.15851570000000001</v>
      </c>
      <c r="R1549">
        <v>-9.0455670000000002E-2</v>
      </c>
      <c r="S1549">
        <v>-3.0380859999999998</v>
      </c>
      <c r="T1549">
        <v>-5.5509089999999997E-2</v>
      </c>
      <c r="U1549">
        <v>-0.239624</v>
      </c>
      <c r="V1549">
        <v>-6.9888039999999998E-2</v>
      </c>
      <c r="W1549">
        <v>0.16837949999999999</v>
      </c>
      <c r="X1549">
        <v>0.98324160000000005</v>
      </c>
      <c r="Y1549">
        <v>-5.7902759999999998E-2</v>
      </c>
      <c r="Z1549">
        <v>-6.4514209999999995E-4</v>
      </c>
      <c r="AA1549">
        <v>0.99832200000000004</v>
      </c>
      <c r="AB1549">
        <v>36</v>
      </c>
      <c r="AC1549">
        <v>-60.349699999999899</v>
      </c>
      <c r="AD1549">
        <v>-1.1093292664359999</v>
      </c>
      <c r="AE1549">
        <v>-4.7814999999999896</v>
      </c>
      <c r="AF1549">
        <v>-3.52645165348902</v>
      </c>
      <c r="AG1549">
        <v>-1.1093292664359999</v>
      </c>
      <c r="AH1549">
        <v>60.415670047736803</v>
      </c>
      <c r="AI1549">
        <v>91.050137824091706</v>
      </c>
      <c r="AJ1549">
        <v>93.340553856746197</v>
      </c>
      <c r="AK1549">
        <v>60.5286680838325</v>
      </c>
      <c r="AL1549">
        <v>80.306387072244107</v>
      </c>
      <c r="AM1549">
        <v>94.065701181967</v>
      </c>
      <c r="AN1549">
        <v>1.0000000190629199</v>
      </c>
    </row>
    <row r="1550" spans="1:40" x14ac:dyDescent="0.25">
      <c r="A1550" t="str">
        <f>"20190304155352979"</f>
        <v>20190304155352979</v>
      </c>
      <c r="B1550" t="str">
        <f>"1551686032967942"</f>
        <v>1551686032967942</v>
      </c>
      <c r="C1550" t="s">
        <v>40</v>
      </c>
      <c r="D1550">
        <v>4.4453050000000003</v>
      </c>
      <c r="E1550">
        <v>0.49974609999999903</v>
      </c>
      <c r="F1550" t="s">
        <v>65</v>
      </c>
      <c r="G1550">
        <v>-408.04050000000001</v>
      </c>
      <c r="H1550" s="1">
        <v>5.7045540000000004E-6</v>
      </c>
      <c r="I1550">
        <v>280.416</v>
      </c>
      <c r="J1550">
        <v>-350.916</v>
      </c>
      <c r="K1550">
        <v>1.109324</v>
      </c>
      <c r="L1550">
        <v>285.14920000000001</v>
      </c>
      <c r="M1550">
        <v>-0.99974240000000003</v>
      </c>
      <c r="N1550">
        <v>-9.9473329999999992E-3</v>
      </c>
      <c r="O1550">
        <v>-2.0400189999999999E-2</v>
      </c>
      <c r="P1550">
        <v>-0.98316919999999997</v>
      </c>
      <c r="Q1550">
        <v>0.15885009999999999</v>
      </c>
      <c r="R1550">
        <v>-9.0251159999999997E-2</v>
      </c>
      <c r="S1550">
        <v>-3.0376590000000001</v>
      </c>
      <c r="T1550">
        <v>-5.859959E-2</v>
      </c>
      <c r="U1550">
        <v>-0.25042720000000002</v>
      </c>
      <c r="V1550">
        <v>-7.0034689999999997E-2</v>
      </c>
      <c r="W1550">
        <v>0.16869629999999999</v>
      </c>
      <c r="X1550">
        <v>0.98317679999999996</v>
      </c>
      <c r="Y1550">
        <v>-6.1796370000000003E-2</v>
      </c>
      <c r="Z1550">
        <v>-7.1281719999999999E-4</v>
      </c>
      <c r="AA1550">
        <v>0.99808850000000005</v>
      </c>
      <c r="AB1550">
        <v>36</v>
      </c>
      <c r="AC1550">
        <v>-57.124499999999998</v>
      </c>
      <c r="AD1550">
        <v>-1.1093182954459999</v>
      </c>
      <c r="AE1550">
        <v>-4.7332000000000098</v>
      </c>
      <c r="AF1550">
        <v>-3.5654711693372501</v>
      </c>
      <c r="AG1550">
        <v>-1.1093182954459999</v>
      </c>
      <c r="AH1550">
        <v>57.187754857878701</v>
      </c>
      <c r="AI1550">
        <v>91.109121358626993</v>
      </c>
      <c r="AJ1550">
        <v>93.567588392208194</v>
      </c>
      <c r="AK1550">
        <v>57.309532168957801</v>
      </c>
      <c r="AL1550">
        <v>80.287971768519498</v>
      </c>
      <c r="AM1550">
        <v>94.074471393303398</v>
      </c>
      <c r="AN1550">
        <v>0.99999995974766198</v>
      </c>
    </row>
    <row r="1551" spans="1:40" x14ac:dyDescent="0.25">
      <c r="A1551" t="str">
        <f>"20190304155353002"</f>
        <v>20190304155353002</v>
      </c>
      <c r="B1551" t="str">
        <f>"1551686032998198"</f>
        <v>1551686032998198</v>
      </c>
      <c r="C1551" t="s">
        <v>40</v>
      </c>
      <c r="D1551">
        <v>4.290019</v>
      </c>
      <c r="E1551">
        <v>0.4984266</v>
      </c>
      <c r="F1551" t="s">
        <v>65</v>
      </c>
      <c r="G1551">
        <v>-408.6712</v>
      </c>
      <c r="H1551" s="1">
        <v>5.4684479999999997E-6</v>
      </c>
      <c r="I1551">
        <v>280.20499999999998</v>
      </c>
      <c r="J1551">
        <v>-351.2715</v>
      </c>
      <c r="K1551">
        <v>1.1093189999999999</v>
      </c>
      <c r="L1551">
        <v>285.14229999999998</v>
      </c>
      <c r="M1551">
        <v>-0.99974949999999996</v>
      </c>
      <c r="N1551">
        <v>-9.9326940000000006E-3</v>
      </c>
      <c r="O1551">
        <v>-2.006285E-2</v>
      </c>
      <c r="P1551">
        <v>-0.98311649999999995</v>
      </c>
      <c r="Q1551">
        <v>0.15929839999999901</v>
      </c>
      <c r="R1551">
        <v>-9.0036640000000001E-2</v>
      </c>
      <c r="S1551">
        <v>-3.0369259999999998</v>
      </c>
      <c r="T1551">
        <v>-5.8331010000000003E-2</v>
      </c>
      <c r="U1551">
        <v>-0.25997920000000002</v>
      </c>
      <c r="V1551">
        <v>-7.0151759999999994E-2</v>
      </c>
      <c r="W1551">
        <v>0.16913010000000001</v>
      </c>
      <c r="X1551">
        <v>0.98309400000000002</v>
      </c>
      <c r="Y1551">
        <v>-6.5268880000000001E-2</v>
      </c>
      <c r="Z1551">
        <v>-7.6486070000000004E-4</v>
      </c>
      <c r="AA1551">
        <v>0.99786739999999996</v>
      </c>
      <c r="AB1551">
        <v>36</v>
      </c>
      <c r="AC1551">
        <v>-57.399700000000003</v>
      </c>
      <c r="AD1551">
        <v>-1.109313531552</v>
      </c>
      <c r="AE1551">
        <v>-4.9372999999999898</v>
      </c>
      <c r="AF1551">
        <v>-3.7832452208626202</v>
      </c>
      <c r="AG1551">
        <v>-1.109313531552</v>
      </c>
      <c r="AH1551">
        <v>57.465900863121298</v>
      </c>
      <c r="AI1551">
        <v>91.103503957841497</v>
      </c>
      <c r="AJ1551">
        <v>93.766609881421701</v>
      </c>
      <c r="AK1551">
        <v>57.600983350308802</v>
      </c>
      <c r="AL1551">
        <v>80.262755264169996</v>
      </c>
      <c r="AM1551">
        <v>94.081601862117594</v>
      </c>
      <c r="AN1551">
        <v>1.00000003649655</v>
      </c>
    </row>
    <row r="1552" spans="1:40" x14ac:dyDescent="0.25">
      <c r="A1552" t="str">
        <f>"20190304155353024"</f>
        <v>20190304155353024</v>
      </c>
      <c r="B1552" t="str">
        <f>"1551686033017719"</f>
        <v>1551686033017719</v>
      </c>
      <c r="C1552" t="s">
        <v>40</v>
      </c>
      <c r="D1552">
        <v>4.3006589999999996</v>
      </c>
      <c r="E1552">
        <v>0.49812990000000001</v>
      </c>
      <c r="F1552" t="s">
        <v>65</v>
      </c>
      <c r="G1552">
        <v>-409.08789999999999</v>
      </c>
      <c r="H1552" s="1">
        <v>5.3241359999999997E-6</v>
      </c>
      <c r="I1552">
        <v>280.00920000000002</v>
      </c>
      <c r="J1552">
        <v>-351.63900000000001</v>
      </c>
      <c r="K1552">
        <v>1.1093139999999999</v>
      </c>
      <c r="L1552">
        <v>285.13529999999997</v>
      </c>
      <c r="M1552">
        <v>-0.9997566</v>
      </c>
      <c r="N1552">
        <v>-9.9196509999999998E-3</v>
      </c>
      <c r="O1552">
        <v>-1.971229E-2</v>
      </c>
      <c r="P1552">
        <v>-0.98320850000000004</v>
      </c>
      <c r="Q1552">
        <v>0.15893360000000001</v>
      </c>
      <c r="R1552">
        <v>-8.9673970000000006E-2</v>
      </c>
      <c r="S1552">
        <v>-3.0362239999999998</v>
      </c>
      <c r="T1552">
        <v>-5.8255550000000003E-2</v>
      </c>
      <c r="U1552">
        <v>-0.26956180000000002</v>
      </c>
      <c r="V1552">
        <v>-7.0131970000000002E-2</v>
      </c>
      <c r="W1552">
        <v>0.16875370000000001</v>
      </c>
      <c r="X1552">
        <v>0.98316009999999998</v>
      </c>
      <c r="Y1552">
        <v>-6.8762610000000002E-2</v>
      </c>
      <c r="Z1552">
        <v>-8.179541E-4</v>
      </c>
      <c r="AA1552">
        <v>0.99763270000000004</v>
      </c>
      <c r="AB1552">
        <v>36</v>
      </c>
      <c r="AC1552">
        <v>-57.448899999999902</v>
      </c>
      <c r="AD1552">
        <v>-1.1093086758639901</v>
      </c>
      <c r="AE1552">
        <v>-5.1260999999999504</v>
      </c>
      <c r="AF1552">
        <v>-3.9911225442115601</v>
      </c>
      <c r="AG1552">
        <v>-1.1093086758639901</v>
      </c>
      <c r="AH1552">
        <v>57.517512000318497</v>
      </c>
      <c r="AI1552">
        <v>91.102245487388998</v>
      </c>
      <c r="AJ1552">
        <v>93.969374002055005</v>
      </c>
      <c r="AK1552">
        <v>57.666487768963798</v>
      </c>
      <c r="AL1552">
        <v>80.284635974308202</v>
      </c>
      <c r="AM1552">
        <v>94.080180909893201</v>
      </c>
      <c r="AN1552">
        <v>1.00000004335588</v>
      </c>
    </row>
    <row r="1553" spans="1:40" x14ac:dyDescent="0.25">
      <c r="A1553" t="str">
        <f>"20190304155353046"</f>
        <v>20190304155353046</v>
      </c>
      <c r="B1553" t="str">
        <f>"1551686033038214"</f>
        <v>1551686033038214</v>
      </c>
      <c r="C1553" t="s">
        <v>40</v>
      </c>
      <c r="D1553">
        <v>4.2916449999999999</v>
      </c>
      <c r="E1553">
        <v>0.49788070000000001</v>
      </c>
      <c r="F1553" t="s">
        <v>65</v>
      </c>
      <c r="G1553">
        <v>-407.28230000000002</v>
      </c>
      <c r="H1553" s="1">
        <v>6.0900850000000002E-6</v>
      </c>
      <c r="I1553">
        <v>280.17739999999998</v>
      </c>
      <c r="J1553">
        <v>-351.99369999999999</v>
      </c>
      <c r="K1553">
        <v>1.1093109999999999</v>
      </c>
      <c r="L1553">
        <v>285.12860000000001</v>
      </c>
      <c r="M1553">
        <v>-0.99976330000000002</v>
      </c>
      <c r="N1553">
        <v>-9.909101E-3</v>
      </c>
      <c r="O1553">
        <v>-1.937403E-2</v>
      </c>
      <c r="P1553">
        <v>-0.98326740000000001</v>
      </c>
      <c r="Q1553">
        <v>0.15898699999999999</v>
      </c>
      <c r="R1553">
        <v>-8.8930880000000004E-2</v>
      </c>
      <c r="S1553">
        <v>-3.036346</v>
      </c>
      <c r="T1553">
        <v>-6.0532809999999999E-2</v>
      </c>
      <c r="U1553">
        <v>-0.27053829999999901</v>
      </c>
      <c r="V1553">
        <v>-6.9719809999999993E-2</v>
      </c>
      <c r="W1553">
        <v>0.16879729999999901</v>
      </c>
      <c r="X1553">
        <v>0.98318190000000005</v>
      </c>
      <c r="Y1553">
        <v>-6.9413639999999999E-2</v>
      </c>
      <c r="Z1553">
        <v>-8.4144020000000001E-4</v>
      </c>
      <c r="AA1553">
        <v>0.99758760000000002</v>
      </c>
      <c r="AB1553">
        <v>36</v>
      </c>
      <c r="AC1553">
        <v>-55.288600000000002</v>
      </c>
      <c r="AD1553">
        <v>-1.1093049099150001</v>
      </c>
      <c r="AE1553">
        <v>-4.9512000000000196</v>
      </c>
      <c r="AF1553">
        <v>-3.8775066057374601</v>
      </c>
      <c r="AG1553">
        <v>-1.1093049099150001</v>
      </c>
      <c r="AH1553">
        <v>55.3520457857528</v>
      </c>
      <c r="AI1553">
        <v>91.145299452412402</v>
      </c>
      <c r="AJ1553">
        <v>94.007122428997803</v>
      </c>
      <c r="AK1553">
        <v>55.498780054419001</v>
      </c>
      <c r="AL1553">
        <v>80.282101236751998</v>
      </c>
      <c r="AM1553">
        <v>94.0561926489477</v>
      </c>
      <c r="AN1553">
        <v>1.00000001444066</v>
      </c>
    </row>
    <row r="1554" spans="1:40" x14ac:dyDescent="0.25">
      <c r="A1554" t="str">
        <f>"20190304155353068"</f>
        <v>20190304155353068</v>
      </c>
      <c r="B1554" t="str">
        <f>"1551686033057738"</f>
        <v>1551686033057738</v>
      </c>
      <c r="C1554" t="s">
        <v>40</v>
      </c>
      <c r="D1554">
        <v>4.3243790000000004</v>
      </c>
      <c r="E1554">
        <v>0.49762919999999999</v>
      </c>
      <c r="F1554" t="s">
        <v>65</v>
      </c>
      <c r="G1554">
        <v>-407.00630000000001</v>
      </c>
      <c r="H1554" s="1">
        <v>6.2005769999999898E-6</v>
      </c>
      <c r="I1554">
        <v>280.23500000000001</v>
      </c>
      <c r="J1554">
        <v>-352.35840000000002</v>
      </c>
      <c r="K1554">
        <v>1.109307</v>
      </c>
      <c r="L1554">
        <v>285.12180000000001</v>
      </c>
      <c r="M1554">
        <v>-0.99977000000000005</v>
      </c>
      <c r="N1554">
        <v>-9.9002770000000007E-3</v>
      </c>
      <c r="O1554">
        <v>-1.9026479999999998E-2</v>
      </c>
      <c r="P1554">
        <v>-0.98326840000000004</v>
      </c>
      <c r="Q1554">
        <v>0.159416</v>
      </c>
      <c r="R1554">
        <v>-8.8148019999999994E-2</v>
      </c>
      <c r="S1554">
        <v>-3.03653</v>
      </c>
      <c r="T1554">
        <v>-6.1230300000000001E-2</v>
      </c>
      <c r="U1554">
        <v>-0.27011109999999999</v>
      </c>
      <c r="V1554">
        <v>-6.9277820000000004E-2</v>
      </c>
      <c r="W1554">
        <v>0.16921749999999999</v>
      </c>
      <c r="X1554">
        <v>0.98314089999999998</v>
      </c>
      <c r="Y1554">
        <v>-6.9615430000000006E-2</v>
      </c>
      <c r="Z1554">
        <v>-8.5104579999999998E-4</v>
      </c>
      <c r="AA1554">
        <v>0.99757359999999995</v>
      </c>
      <c r="AB1554">
        <v>37</v>
      </c>
      <c r="AC1554">
        <v>-54.6478999999999</v>
      </c>
      <c r="AD1554">
        <v>-1.109300799423</v>
      </c>
      <c r="AE1554">
        <v>-4.8867999999999903</v>
      </c>
      <c r="AF1554">
        <v>-3.8445356282089</v>
      </c>
      <c r="AG1554">
        <v>-1.109300799423</v>
      </c>
      <c r="AH1554">
        <v>54.708625884636902</v>
      </c>
      <c r="AI1554">
        <v>91.158743311742001</v>
      </c>
      <c r="AJ1554">
        <v>94.019734329372199</v>
      </c>
      <c r="AK1554">
        <v>54.8547604920971</v>
      </c>
      <c r="AL1554">
        <v>80.257674058376296</v>
      </c>
      <c r="AM1554">
        <v>94.030730893920506</v>
      </c>
      <c r="AN1554">
        <v>1.0000000039515</v>
      </c>
    </row>
    <row r="1555" spans="1:40" x14ac:dyDescent="0.25">
      <c r="A1555" t="str">
        <f>"20190304155353089"</f>
        <v>20190304155353089</v>
      </c>
      <c r="B1555" t="str">
        <f>"1551686033087991"</f>
        <v>1551686033087991</v>
      </c>
      <c r="C1555" t="s">
        <v>40</v>
      </c>
      <c r="D1555">
        <v>4.3469559999999996</v>
      </c>
      <c r="E1555">
        <v>0.49718000000000001</v>
      </c>
      <c r="F1555" t="s">
        <v>65</v>
      </c>
      <c r="G1555">
        <v>-407.73419999999999</v>
      </c>
      <c r="H1555" s="1">
        <v>5.8854600000000004E-6</v>
      </c>
      <c r="I1555">
        <v>280.19779999999997</v>
      </c>
      <c r="J1555">
        <v>-352.71890000000002</v>
      </c>
      <c r="K1555">
        <v>1.1093059999999999</v>
      </c>
      <c r="L1555">
        <v>285.11529999999999</v>
      </c>
      <c r="M1555">
        <v>-0.99977660000000002</v>
      </c>
      <c r="N1555">
        <v>-9.8931599999999998E-3</v>
      </c>
      <c r="O1555">
        <v>-1.8683470000000001E-2</v>
      </c>
      <c r="P1555">
        <v>-0.98324809999999996</v>
      </c>
      <c r="Q1555">
        <v>0.1599961</v>
      </c>
      <c r="R1555">
        <v>-8.732152E-2</v>
      </c>
      <c r="S1555">
        <v>-3.0366520000000001</v>
      </c>
      <c r="T1555">
        <v>-6.0830950000000002E-2</v>
      </c>
      <c r="U1555">
        <v>-0.27001950000000002</v>
      </c>
      <c r="V1555">
        <v>-6.8788070000000007E-2</v>
      </c>
      <c r="W1555">
        <v>0.16978940000000001</v>
      </c>
      <c r="X1555">
        <v>0.98307670000000003</v>
      </c>
      <c r="Y1555">
        <v>-6.9924390000000003E-2</v>
      </c>
      <c r="Z1555">
        <v>-8.5666259999999999E-4</v>
      </c>
      <c r="AA1555">
        <v>0.99755190000000005</v>
      </c>
      <c r="AB1555">
        <v>37</v>
      </c>
      <c r="AC1555">
        <v>-55.015299999999897</v>
      </c>
      <c r="AD1555">
        <v>-1.1093001145400001</v>
      </c>
      <c r="AE1555">
        <v>-4.9175000000000102</v>
      </c>
      <c r="AF1555">
        <v>-3.8871467934644</v>
      </c>
      <c r="AG1555">
        <v>-1.1093001145400001</v>
      </c>
      <c r="AH1555">
        <v>55.0753622308264</v>
      </c>
      <c r="AI1555">
        <v>91.151004177175494</v>
      </c>
      <c r="AJ1555">
        <v>94.037166298672801</v>
      </c>
      <c r="AK1555">
        <v>55.223509321617698</v>
      </c>
      <c r="AL1555">
        <v>80.224425624955998</v>
      </c>
      <c r="AM1555">
        <v>94.002589652558001</v>
      </c>
      <c r="AN1555">
        <v>1.0000000185047799</v>
      </c>
    </row>
    <row r="1556" spans="1:40" x14ac:dyDescent="0.25">
      <c r="A1556" t="str">
        <f>"20190304155353112"</f>
        <v>20190304155353112</v>
      </c>
      <c r="B1556" t="str">
        <f>"1551686033107511"</f>
        <v>1551686033107511</v>
      </c>
      <c r="C1556" t="s">
        <v>40</v>
      </c>
      <c r="D1556">
        <v>4.3292659999999996</v>
      </c>
      <c r="E1556">
        <v>0.4970039</v>
      </c>
      <c r="F1556" t="s">
        <v>65</v>
      </c>
      <c r="G1556">
        <v>-407.76710000000003</v>
      </c>
      <c r="H1556" s="1">
        <v>5.8710059999999999E-6</v>
      </c>
      <c r="I1556">
        <v>280.19720000000001</v>
      </c>
      <c r="J1556">
        <v>-353.08629999999999</v>
      </c>
      <c r="K1556">
        <v>1.1093040000000001</v>
      </c>
      <c r="L1556">
        <v>285.1087</v>
      </c>
      <c r="M1556">
        <v>-0.99978310000000004</v>
      </c>
      <c r="N1556">
        <v>-9.8875000000000005E-3</v>
      </c>
      <c r="O1556">
        <v>-1.8334380000000001E-2</v>
      </c>
      <c r="P1556">
        <v>-0.98319860000000003</v>
      </c>
      <c r="Q1556">
        <v>0.16046009999999999</v>
      </c>
      <c r="R1556">
        <v>-8.7026220000000001E-2</v>
      </c>
      <c r="S1556">
        <v>-3.0370180000000002</v>
      </c>
      <c r="T1556">
        <v>-6.1200259999999999E-2</v>
      </c>
      <c r="U1556">
        <v>-0.27133180000000001</v>
      </c>
      <c r="V1556">
        <v>-6.8836930000000005E-2</v>
      </c>
      <c r="W1556">
        <v>0.1702476</v>
      </c>
      <c r="X1556">
        <v>0.98299400000000003</v>
      </c>
      <c r="Y1556">
        <v>-7.0689279999999993E-2</v>
      </c>
      <c r="Z1556">
        <v>-8.7334269999999996E-4</v>
      </c>
      <c r="AA1556">
        <v>0.997498</v>
      </c>
      <c r="AB1556">
        <v>37</v>
      </c>
      <c r="AC1556">
        <v>-54.680799999999998</v>
      </c>
      <c r="AD1556">
        <v>-1.109298128994</v>
      </c>
      <c r="AE1556">
        <v>-4.9114999999999798</v>
      </c>
      <c r="AF1556">
        <v>-3.9064919905073401</v>
      </c>
      <c r="AG1556">
        <v>-1.109298128994</v>
      </c>
      <c r="AH1556">
        <v>54.739313686459496</v>
      </c>
      <c r="AI1556">
        <v>91.158001967836199</v>
      </c>
      <c r="AJ1556">
        <v>94.082014611498295</v>
      </c>
      <c r="AK1556">
        <v>54.889741162402103</v>
      </c>
      <c r="AL1556">
        <v>80.197784511870495</v>
      </c>
      <c r="AM1556">
        <v>94.005759314068996</v>
      </c>
      <c r="AN1556">
        <v>0.99999998613679197</v>
      </c>
    </row>
    <row r="1557" spans="1:40" x14ac:dyDescent="0.25">
      <c r="A1557" t="str">
        <f>"20190304155353134"</f>
        <v>20190304155353134</v>
      </c>
      <c r="B1557" t="str">
        <f>"1551686033128010"</f>
        <v>1551686033128010</v>
      </c>
      <c r="C1557" t="s">
        <v>40</v>
      </c>
      <c r="D1557">
        <v>4.3493930000000001</v>
      </c>
      <c r="E1557">
        <v>0.4968147</v>
      </c>
      <c r="F1557" t="s">
        <v>65</v>
      </c>
      <c r="G1557">
        <v>-410.3125</v>
      </c>
      <c r="H1557" s="1">
        <v>2.665885E-6</v>
      </c>
      <c r="I1557">
        <v>279.9871</v>
      </c>
      <c r="J1557">
        <v>-353.45769999999999</v>
      </c>
      <c r="K1557">
        <v>1.1093059999999999</v>
      </c>
      <c r="L1557">
        <v>285.10230000000001</v>
      </c>
      <c r="M1557">
        <v>-0.99978959999999995</v>
      </c>
      <c r="N1557">
        <v>-9.8833849999999997E-3</v>
      </c>
      <c r="O1557">
        <v>-1.7981500000000001E-2</v>
      </c>
      <c r="P1557">
        <v>-0.98311400000000004</v>
      </c>
      <c r="Q1557">
        <v>0.161214</v>
      </c>
      <c r="R1557">
        <v>-8.6585369999999995E-2</v>
      </c>
      <c r="S1557">
        <v>-3.0368040000000001</v>
      </c>
      <c r="T1557">
        <v>-5.8866979999999999E-2</v>
      </c>
      <c r="U1557">
        <v>-0.27178960000000002</v>
      </c>
      <c r="V1557">
        <v>-6.8744449999999999E-2</v>
      </c>
      <c r="W1557">
        <v>0.1709965</v>
      </c>
      <c r="X1557">
        <v>0.98287049999999998</v>
      </c>
      <c r="Y1557">
        <v>-7.1197769999999994E-2</v>
      </c>
      <c r="Z1557">
        <v>-8.7087570000000003E-4</v>
      </c>
      <c r="AA1557">
        <v>0.99746190000000001</v>
      </c>
      <c r="AB1557">
        <v>37</v>
      </c>
      <c r="AC1557">
        <v>-56.854799999999997</v>
      </c>
      <c r="AD1557">
        <v>-1.10930333411499</v>
      </c>
      <c r="AE1557">
        <v>-5.1152000000000104</v>
      </c>
      <c r="AF1557">
        <v>-4.09044383477063</v>
      </c>
      <c r="AG1557">
        <v>-1.10930333411499</v>
      </c>
      <c r="AH1557">
        <v>56.916097098418497</v>
      </c>
      <c r="AI1557">
        <v>91.113690357764298</v>
      </c>
      <c r="AJ1557">
        <v>94.110663359768694</v>
      </c>
      <c r="AK1557">
        <v>57.0736751363455</v>
      </c>
      <c r="AL1557">
        <v>80.154237394391998</v>
      </c>
      <c r="AM1557">
        <v>94.000896228064406</v>
      </c>
      <c r="AN1557">
        <v>1.00000001109415</v>
      </c>
    </row>
    <row r="1558" spans="1:40" x14ac:dyDescent="0.25">
      <c r="A1558" t="str">
        <f>"20190304155353157"</f>
        <v>20190304155353157</v>
      </c>
      <c r="B1558" t="str">
        <f>"1551686033147526"</f>
        <v>1551686033147526</v>
      </c>
      <c r="C1558" t="s">
        <v>40</v>
      </c>
      <c r="D1558">
        <v>4.3765020000000003</v>
      </c>
      <c r="E1558">
        <v>0.49658469999999999</v>
      </c>
      <c r="F1558" t="s">
        <v>65</v>
      </c>
      <c r="G1558">
        <v>-412.05959999999999</v>
      </c>
      <c r="H1558" s="1">
        <v>2.9881810000000001E-6</v>
      </c>
      <c r="I1558">
        <v>279.84539999999998</v>
      </c>
      <c r="J1558">
        <v>-353.82420000000002</v>
      </c>
      <c r="K1558">
        <v>1.109307</v>
      </c>
      <c r="L1558">
        <v>285.09589999999997</v>
      </c>
      <c r="M1558">
        <v>-0.99979569999999995</v>
      </c>
      <c r="N1558">
        <v>-9.8805939999999995E-3</v>
      </c>
      <c r="O1558">
        <v>-1.763315E-2</v>
      </c>
      <c r="P1558">
        <v>-0.98321499999999995</v>
      </c>
      <c r="Q1558">
        <v>0.1609825</v>
      </c>
      <c r="R1558">
        <v>-8.5866369999999997E-2</v>
      </c>
      <c r="S1558">
        <v>-3.0369570000000001</v>
      </c>
      <c r="T1558">
        <v>-5.7487959999999998E-2</v>
      </c>
      <c r="U1558">
        <v>-0.27243040000000002</v>
      </c>
      <c r="V1558">
        <v>-6.8366239999999995E-2</v>
      </c>
      <c r="W1558">
        <v>0.17076250000000001</v>
      </c>
      <c r="X1558">
        <v>0.98293759999999997</v>
      </c>
      <c r="Y1558">
        <v>-7.1750209999999995E-2</v>
      </c>
      <c r="Z1558">
        <v>-8.7381589999999999E-4</v>
      </c>
      <c r="AA1558">
        <v>0.99742229999999998</v>
      </c>
      <c r="AB1558">
        <v>37</v>
      </c>
      <c r="AC1558">
        <v>-58.235399999999899</v>
      </c>
      <c r="AD1558">
        <v>-1.1093040118189901</v>
      </c>
      <c r="AE1558">
        <v>-5.2504999999999802</v>
      </c>
      <c r="AF1558">
        <v>-4.2212405924704903</v>
      </c>
      <c r="AG1558">
        <v>-1.1093040118189901</v>
      </c>
      <c r="AH1558">
        <v>58.297949437108997</v>
      </c>
      <c r="AI1558">
        <v>91.087257195362696</v>
      </c>
      <c r="AJ1558">
        <v>94.141447751458898</v>
      </c>
      <c r="AK1558">
        <v>58.461101051056801</v>
      </c>
      <c r="AL1558">
        <v>80.167845129171695</v>
      </c>
      <c r="AM1558">
        <v>93.978684722397603</v>
      </c>
      <c r="AN1558">
        <v>1.0000000498358701</v>
      </c>
    </row>
    <row r="1559" spans="1:40" x14ac:dyDescent="0.25">
      <c r="A1559" t="str">
        <f>"20190304155353181"</f>
        <v>20190304155353181</v>
      </c>
      <c r="B1559" t="str">
        <f>"1551686033177784"</f>
        <v>1551686033177784</v>
      </c>
      <c r="C1559" t="s">
        <v>40</v>
      </c>
      <c r="D1559">
        <v>4.3456239999999999</v>
      </c>
      <c r="E1559">
        <v>0.49624410000000002</v>
      </c>
      <c r="F1559" t="s">
        <v>65</v>
      </c>
      <c r="G1559">
        <v>-410.36250000000001</v>
      </c>
      <c r="H1559" s="1">
        <v>2.670981E-6</v>
      </c>
      <c r="I1559">
        <v>280.03030000000001</v>
      </c>
      <c r="J1559">
        <v>-354.21940000000001</v>
      </c>
      <c r="K1559">
        <v>1.109297</v>
      </c>
      <c r="L1559">
        <v>285.08940000000001</v>
      </c>
      <c r="M1559">
        <v>-0.99980230000000003</v>
      </c>
      <c r="N1559">
        <v>-9.8787830000000004E-3</v>
      </c>
      <c r="O1559">
        <v>-1.725703E-2</v>
      </c>
      <c r="P1559">
        <v>-0.98315920000000001</v>
      </c>
      <c r="Q1559">
        <v>0.1615885</v>
      </c>
      <c r="R1559">
        <v>-8.5365620000000003E-2</v>
      </c>
      <c r="S1559">
        <v>-3.037201</v>
      </c>
      <c r="T1559">
        <v>-5.959105E-2</v>
      </c>
      <c r="U1559">
        <v>-0.27212520000000001</v>
      </c>
      <c r="V1559">
        <v>-6.8235710000000005E-2</v>
      </c>
      <c r="W1559">
        <v>0.1713662</v>
      </c>
      <c r="X1559">
        <v>0.98284159999999998</v>
      </c>
      <c r="Y1559">
        <v>-7.2017689999999995E-2</v>
      </c>
      <c r="Z1559">
        <v>-8.9389259999999996E-4</v>
      </c>
      <c r="AA1559">
        <v>0.99740300000000004</v>
      </c>
      <c r="AB1559">
        <v>37</v>
      </c>
      <c r="AC1559">
        <v>-56.143099999999997</v>
      </c>
      <c r="AD1559">
        <v>-1.1092943290189901</v>
      </c>
      <c r="AE1559">
        <v>-5.0590999999999999</v>
      </c>
      <c r="AF1559">
        <v>-4.0878531231689603</v>
      </c>
      <c r="AG1559">
        <v>-1.1092943290189901</v>
      </c>
      <c r="AH1559">
        <v>56.200284592449201</v>
      </c>
      <c r="AI1559">
        <v>91.127791931120399</v>
      </c>
      <c r="AJ1559">
        <v>94.160209899379893</v>
      </c>
      <c r="AK1559">
        <v>56.359675880342699</v>
      </c>
      <c r="AL1559">
        <v>80.132738175201098</v>
      </c>
      <c r="AM1559">
        <v>93.971499284642107</v>
      </c>
      <c r="AN1559">
        <v>1.0000000486561</v>
      </c>
    </row>
    <row r="1560" spans="1:40" x14ac:dyDescent="0.25">
      <c r="A1560" t="str">
        <f>"20190304155353203"</f>
        <v>20190304155353203</v>
      </c>
      <c r="B1560" t="str">
        <f>"1551686033198278"</f>
        <v>1551686033198278</v>
      </c>
      <c r="C1560" t="s">
        <v>40</v>
      </c>
      <c r="D1560">
        <v>4.3723549999999998</v>
      </c>
      <c r="E1560">
        <v>0.4959903</v>
      </c>
      <c r="F1560" t="s">
        <v>65</v>
      </c>
      <c r="G1560">
        <v>-410.56950000000001</v>
      </c>
      <c r="H1560" s="1">
        <v>2.7089320000000001E-6</v>
      </c>
      <c r="I1560">
        <v>280.01609999999999</v>
      </c>
      <c r="J1560">
        <v>-354.57060000000001</v>
      </c>
      <c r="K1560">
        <v>1.109297</v>
      </c>
      <c r="L1560">
        <v>285.08359999999999</v>
      </c>
      <c r="M1560">
        <v>-0.99980809999999998</v>
      </c>
      <c r="N1560">
        <v>-9.8783340000000008E-3</v>
      </c>
      <c r="O1560">
        <v>-1.692312E-2</v>
      </c>
      <c r="P1560">
        <v>-0.98313119999999998</v>
      </c>
      <c r="Q1560">
        <v>0.16190079999999901</v>
      </c>
      <c r="R1560">
        <v>-8.5097099999999995E-2</v>
      </c>
      <c r="S1560">
        <v>-3.037506</v>
      </c>
      <c r="T1560">
        <v>-5.9795620000000001E-2</v>
      </c>
      <c r="U1560">
        <v>-0.27346799999999999</v>
      </c>
      <c r="V1560">
        <v>-6.8295679999999998E-2</v>
      </c>
      <c r="W1560">
        <v>0.17167769999999999</v>
      </c>
      <c r="X1560">
        <v>0.98278299999999996</v>
      </c>
      <c r="Y1560">
        <v>-7.2778930000000006E-2</v>
      </c>
      <c r="Z1560">
        <v>-9.0959669999999995E-4</v>
      </c>
      <c r="AA1560">
        <v>0.99734769999999995</v>
      </c>
      <c r="AB1560">
        <v>37</v>
      </c>
      <c r="AC1560">
        <v>-55.9988999999999</v>
      </c>
      <c r="AD1560">
        <v>-1.1092942910679999</v>
      </c>
      <c r="AE1560">
        <v>-5.0674999999999901</v>
      </c>
      <c r="AF1560">
        <v>-4.11744940119247</v>
      </c>
      <c r="AG1560">
        <v>-1.1092942910679999</v>
      </c>
      <c r="AH1560">
        <v>56.054824380526902</v>
      </c>
      <c r="AI1560">
        <v>91.1306588051782</v>
      </c>
      <c r="AJ1560">
        <v>94.201057740499905</v>
      </c>
      <c r="AK1560">
        <v>56.2167880595049</v>
      </c>
      <c r="AL1560">
        <v>80.114621368232804</v>
      </c>
      <c r="AM1560">
        <v>93.9752147681248</v>
      </c>
      <c r="AN1560">
        <v>0.99999997883647496</v>
      </c>
    </row>
    <row r="1561" spans="1:40" x14ac:dyDescent="0.25">
      <c r="A1561" t="str">
        <f>"20190304155353225"</f>
        <v>20190304155353225</v>
      </c>
      <c r="B1561" t="str">
        <f>"1551686033217800"</f>
        <v>1551686033217800</v>
      </c>
      <c r="C1561" t="s">
        <v>40</v>
      </c>
      <c r="D1561">
        <v>4.370641</v>
      </c>
      <c r="E1561">
        <v>0.49578250000000001</v>
      </c>
      <c r="F1561" t="s">
        <v>65</v>
      </c>
      <c r="G1561">
        <v>-410.57830000000001</v>
      </c>
      <c r="H1561" s="1">
        <v>2.70956E-6</v>
      </c>
      <c r="I1561">
        <v>280.02679999999998</v>
      </c>
      <c r="J1561">
        <v>-354.94499999999999</v>
      </c>
      <c r="K1561">
        <v>1.1092959999999901</v>
      </c>
      <c r="L1561">
        <v>285.07749999999999</v>
      </c>
      <c r="M1561">
        <v>-0.99981399999999998</v>
      </c>
      <c r="N1561">
        <v>-9.8785939999999992E-3</v>
      </c>
      <c r="O1561">
        <v>-1.656728E-2</v>
      </c>
      <c r="P1561">
        <v>-0.98316210000000004</v>
      </c>
      <c r="Q1561">
        <v>0.16199949999999999</v>
      </c>
      <c r="R1561">
        <v>-8.4549269999999996E-2</v>
      </c>
      <c r="S1561">
        <v>-3.0376590000000001</v>
      </c>
      <c r="T1561">
        <v>-6.0164210000000003E-2</v>
      </c>
      <c r="U1561">
        <v>-0.27426149999999999</v>
      </c>
      <c r="V1561">
        <v>-6.8097199999999997E-2</v>
      </c>
      <c r="W1561">
        <v>0.17177629999999999</v>
      </c>
      <c r="X1561">
        <v>0.98277959999999998</v>
      </c>
      <c r="Y1561">
        <v>-7.338741E-2</v>
      </c>
      <c r="Z1561">
        <v>-9.2449209999999999E-4</v>
      </c>
      <c r="AA1561">
        <v>0.9973031</v>
      </c>
      <c r="AB1561">
        <v>37</v>
      </c>
      <c r="AC1561">
        <v>-55.633299999999998</v>
      </c>
      <c r="AD1561">
        <v>-1.1092932904399999</v>
      </c>
      <c r="AE1561">
        <v>-5.0507</v>
      </c>
      <c r="AF1561">
        <v>-4.1266420968606896</v>
      </c>
      <c r="AG1561">
        <v>-1.1092932904399999</v>
      </c>
      <c r="AH1561">
        <v>55.6873850715996</v>
      </c>
      <c r="AI1561">
        <v>91.138061945446793</v>
      </c>
      <c r="AJ1561">
        <v>94.238083811716805</v>
      </c>
      <c r="AK1561">
        <v>55.8510927620258</v>
      </c>
      <c r="AL1561">
        <v>80.108887366475699</v>
      </c>
      <c r="AM1561">
        <v>93.963712598241301</v>
      </c>
      <c r="AN1561">
        <v>1.0000000340328401</v>
      </c>
    </row>
    <row r="1562" spans="1:40" x14ac:dyDescent="0.25">
      <c r="A1562" t="str">
        <f>"20190304155353247"</f>
        <v>20190304155353247</v>
      </c>
      <c r="B1562" t="str">
        <f>"1551686033238294"</f>
        <v>1551686033238294</v>
      </c>
      <c r="C1562" t="s">
        <v>40</v>
      </c>
      <c r="D1562">
        <v>4.5522669999999996</v>
      </c>
      <c r="E1562">
        <v>0.49566120000000002</v>
      </c>
      <c r="F1562" t="s">
        <v>65</v>
      </c>
      <c r="G1562">
        <v>-409.82889999999998</v>
      </c>
      <c r="H1562" s="1">
        <v>4.9719529999999998E-6</v>
      </c>
      <c r="I1562">
        <v>280.1232</v>
      </c>
      <c r="J1562">
        <v>-355.29640000000001</v>
      </c>
      <c r="K1562">
        <v>1.109294</v>
      </c>
      <c r="L1562">
        <v>285.07209999999998</v>
      </c>
      <c r="M1562">
        <v>-0.99981949999999997</v>
      </c>
      <c r="N1562">
        <v>-9.8795080000000004E-3</v>
      </c>
      <c r="O1562">
        <v>-1.6233620000000001E-2</v>
      </c>
      <c r="P1562">
        <v>-0.98315189999999997</v>
      </c>
      <c r="Q1562">
        <v>0.16211600000000001</v>
      </c>
      <c r="R1562">
        <v>-8.4443619999999997E-2</v>
      </c>
      <c r="S1562">
        <v>-3.037903</v>
      </c>
      <c r="T1562">
        <v>-6.140077E-2</v>
      </c>
      <c r="U1562">
        <v>-0.274231</v>
      </c>
      <c r="V1562">
        <v>-6.8319779999999997E-2</v>
      </c>
      <c r="W1562">
        <v>0.17189380000000001</v>
      </c>
      <c r="X1562">
        <v>0.98274360000000005</v>
      </c>
      <c r="Y1562">
        <v>-7.3702340000000005E-2</v>
      </c>
      <c r="Z1562">
        <v>-9.4085499999999999E-4</v>
      </c>
      <c r="AA1562">
        <v>0.99727980000000005</v>
      </c>
      <c r="AB1562">
        <v>37</v>
      </c>
      <c r="AC1562">
        <v>-54.532499999999899</v>
      </c>
      <c r="AD1562">
        <v>-1.109289028047</v>
      </c>
      <c r="AE1562">
        <v>-4.9488999999999796</v>
      </c>
      <c r="AF1562">
        <v>-4.0612780027053299</v>
      </c>
      <c r="AG1562">
        <v>-1.109289028047</v>
      </c>
      <c r="AH1562">
        <v>54.583254376881797</v>
      </c>
      <c r="AI1562">
        <v>91.161046550172401</v>
      </c>
      <c r="AJ1562">
        <v>94.255262970891806</v>
      </c>
      <c r="AK1562">
        <v>54.745375690868997</v>
      </c>
      <c r="AL1562">
        <v>80.102053393816107</v>
      </c>
      <c r="AM1562">
        <v>93.976771950010104</v>
      </c>
      <c r="AN1562">
        <v>1.0000000270793199</v>
      </c>
    </row>
    <row r="1563" spans="1:40" x14ac:dyDescent="0.25">
      <c r="A1563" t="str">
        <f>"20190304155353269"</f>
        <v>20190304155353269</v>
      </c>
      <c r="B1563" t="str">
        <f>"1551686033257814"</f>
        <v>1551686033257814</v>
      </c>
      <c r="C1563" t="s">
        <v>40</v>
      </c>
      <c r="D1563">
        <v>4.4016070000000003</v>
      </c>
      <c r="E1563">
        <v>0.4900062</v>
      </c>
      <c r="F1563" t="s">
        <v>65</v>
      </c>
      <c r="G1563">
        <v>-409.9391</v>
      </c>
      <c r="H1563" s="1">
        <v>4.9230089999999997E-6</v>
      </c>
      <c r="I1563">
        <v>280.12369999999999</v>
      </c>
      <c r="J1563">
        <v>-355.67110000000002</v>
      </c>
      <c r="K1563">
        <v>1.109291</v>
      </c>
      <c r="L1563">
        <v>285.06630000000001</v>
      </c>
      <c r="M1563">
        <v>-0.99982519999999997</v>
      </c>
      <c r="N1563">
        <v>-9.8810749999999996E-3</v>
      </c>
      <c r="O1563">
        <v>-1.5878380000000001E-2</v>
      </c>
      <c r="P1563">
        <v>-0.98314820000000003</v>
      </c>
      <c r="Q1563">
        <v>0.1623193</v>
      </c>
      <c r="R1563">
        <v>-8.4098590000000001E-2</v>
      </c>
      <c r="S1563">
        <v>-3.0379640000000001</v>
      </c>
      <c r="T1563">
        <v>-6.167305E-2</v>
      </c>
      <c r="U1563">
        <v>-0.27511600000000003</v>
      </c>
      <c r="V1563">
        <v>-6.8324330000000003E-2</v>
      </c>
      <c r="W1563">
        <v>0.17209859999999999</v>
      </c>
      <c r="X1563">
        <v>0.98270740000000001</v>
      </c>
      <c r="Y1563">
        <v>-7.434267E-2</v>
      </c>
      <c r="Z1563">
        <v>-9.5611610000000005E-4</v>
      </c>
      <c r="AA1563">
        <v>0.99723229999999996</v>
      </c>
      <c r="AB1563">
        <v>37</v>
      </c>
      <c r="AC1563">
        <v>-54.267999999999901</v>
      </c>
      <c r="AD1563">
        <v>-1.109286076991</v>
      </c>
      <c r="AE1563">
        <v>-4.9426000000000201</v>
      </c>
      <c r="AF1563">
        <v>-4.0785567923103496</v>
      </c>
      <c r="AG1563">
        <v>-1.109286076991</v>
      </c>
      <c r="AH1563">
        <v>54.317133493539302</v>
      </c>
      <c r="AI1563">
        <v>91.166671115213106</v>
      </c>
      <c r="AJ1563">
        <v>94.294158596646994</v>
      </c>
      <c r="AK1563">
        <v>54.481337465811897</v>
      </c>
      <c r="AL1563">
        <v>80.090141315748596</v>
      </c>
      <c r="AM1563">
        <v>93.977181979458294</v>
      </c>
      <c r="AN1563">
        <v>0.99999998810333401</v>
      </c>
    </row>
    <row r="1564" spans="1:40" x14ac:dyDescent="0.25">
      <c r="A1564" t="str">
        <f>"20190304155353290"</f>
        <v>20190304155353290</v>
      </c>
      <c r="B1564" t="str">
        <f>"1551686033288071"</f>
        <v>1551686033288071</v>
      </c>
      <c r="C1564" t="s">
        <v>40</v>
      </c>
      <c r="D1564">
        <v>4.3867459999999996</v>
      </c>
      <c r="E1564">
        <v>0.48971979999999998</v>
      </c>
      <c r="F1564" t="s">
        <v>63</v>
      </c>
      <c r="G1564">
        <v>-395.67619999999999</v>
      </c>
      <c r="H1564" s="1">
        <v>1.4837869999999999E-6</v>
      </c>
      <c r="I1564">
        <v>280.86649999999997</v>
      </c>
      <c r="J1564">
        <v>-356.03309999999999</v>
      </c>
      <c r="K1564">
        <v>1.109289</v>
      </c>
      <c r="L1564">
        <v>285.0609</v>
      </c>
      <c r="M1564">
        <v>-0.99983069999999996</v>
      </c>
      <c r="N1564">
        <v>-9.8832399999999997E-3</v>
      </c>
      <c r="O1564">
        <v>-1.5534589999999999E-2</v>
      </c>
      <c r="P1564">
        <v>-0.98317200000000005</v>
      </c>
      <c r="Q1564">
        <v>0.1624024</v>
      </c>
      <c r="R1564">
        <v>-8.3658099999999999E-2</v>
      </c>
      <c r="S1564">
        <v>-3.0380549999999999</v>
      </c>
      <c r="T1564">
        <v>-8.4241510000000006E-2</v>
      </c>
      <c r="U1564">
        <v>-0.31893919999999998</v>
      </c>
      <c r="V1564">
        <v>-6.8221610000000002E-2</v>
      </c>
      <c r="W1564">
        <v>0.17218359999999999</v>
      </c>
      <c r="X1564">
        <v>0.98269960000000001</v>
      </c>
      <c r="Y1564">
        <v>-8.8901040000000001E-2</v>
      </c>
      <c r="Z1564">
        <v>-1.393329E-3</v>
      </c>
      <c r="AA1564">
        <v>0.99603949999999997</v>
      </c>
      <c r="AB1564">
        <v>37</v>
      </c>
      <c r="AC1564">
        <v>-39.643099999999997</v>
      </c>
      <c r="AD1564">
        <v>-1.109287516213</v>
      </c>
      <c r="AE1564">
        <v>-4.1944000000000301</v>
      </c>
      <c r="AF1564">
        <v>-3.5752561863394301</v>
      </c>
      <c r="AG1564">
        <v>-1.109287516213</v>
      </c>
      <c r="AH1564">
        <v>39.672758034555599</v>
      </c>
      <c r="AI1564">
        <v>91.595165408292999</v>
      </c>
      <c r="AJ1564">
        <v>95.149509140569407</v>
      </c>
      <c r="AK1564">
        <v>39.848973708992602</v>
      </c>
      <c r="AL1564">
        <v>80.085196911121599</v>
      </c>
      <c r="AM1564">
        <v>93.971253179936696</v>
      </c>
      <c r="AN1564">
        <v>0.99999994201005404</v>
      </c>
    </row>
    <row r="1565" spans="1:40" x14ac:dyDescent="0.25">
      <c r="A1565" t="str">
        <f>"20190304155353313"</f>
        <v>20190304155353313</v>
      </c>
      <c r="B1565" t="str">
        <f>"1551686033307590"</f>
        <v>1551686033307590</v>
      </c>
      <c r="C1565" t="s">
        <v>40</v>
      </c>
      <c r="D1565">
        <v>4.358562</v>
      </c>
      <c r="E1565">
        <v>0.48975459999999899</v>
      </c>
      <c r="F1565" t="s">
        <v>63</v>
      </c>
      <c r="G1565">
        <v>-396.54629999999997</v>
      </c>
      <c r="H1565" s="1">
        <v>1.9468230000000001E-6</v>
      </c>
      <c r="I1565">
        <v>280.79730000000001</v>
      </c>
      <c r="J1565">
        <v>-356.40809999999999</v>
      </c>
      <c r="K1565">
        <v>1.109281</v>
      </c>
      <c r="L1565">
        <v>285.05540000000002</v>
      </c>
      <c r="M1565">
        <v>-0.9998359</v>
      </c>
      <c r="N1565">
        <v>-9.8860149999999997E-3</v>
      </c>
      <c r="O1565">
        <v>-1.5178759999999999E-2</v>
      </c>
      <c r="P1565">
        <v>-0.98315350000000001</v>
      </c>
      <c r="Q1565">
        <v>0.16267590000000001</v>
      </c>
      <c r="R1565">
        <v>-8.3341879999999993E-2</v>
      </c>
      <c r="S1565">
        <v>-3.0378720000000001</v>
      </c>
      <c r="T1565">
        <v>-8.3179589999999998E-2</v>
      </c>
      <c r="U1565">
        <v>-0.31970209999999999</v>
      </c>
      <c r="V1565">
        <v>-6.8255289999999996E-2</v>
      </c>
      <c r="W1565">
        <v>0.17245929999999901</v>
      </c>
      <c r="X1565">
        <v>0.98264899999999999</v>
      </c>
      <c r="Y1565">
        <v>-8.9509720000000001E-2</v>
      </c>
      <c r="Z1565">
        <v>-1.400987E-3</v>
      </c>
      <c r="AA1565">
        <v>0.99598500000000001</v>
      </c>
      <c r="AB1565">
        <v>37</v>
      </c>
      <c r="AC1565">
        <v>-40.138199999999898</v>
      </c>
      <c r="AD1565">
        <v>-1.109279053177</v>
      </c>
      <c r="AE1565">
        <v>-4.2581000000000104</v>
      </c>
      <c r="AF1565">
        <v>-3.6455780929914998</v>
      </c>
      <c r="AG1565">
        <v>-1.109279053177</v>
      </c>
      <c r="AH1565">
        <v>40.167873487120502</v>
      </c>
      <c r="AI1565">
        <v>91.575410722728506</v>
      </c>
      <c r="AJ1565">
        <v>95.185874328858603</v>
      </c>
      <c r="AK1565">
        <v>40.348219293139003</v>
      </c>
      <c r="AL1565">
        <v>80.069161414821593</v>
      </c>
      <c r="AM1565">
        <v>93.973411390111394</v>
      </c>
      <c r="AN1565">
        <v>1.00000002598523</v>
      </c>
    </row>
    <row r="1566" spans="1:40" x14ac:dyDescent="0.25">
      <c r="A1566" t="str">
        <f>"20190304155353336"</f>
        <v>20190304155353336</v>
      </c>
      <c r="B1566" t="str">
        <f>"1551686033328090"</f>
        <v>1551686033328090</v>
      </c>
      <c r="C1566" t="s">
        <v>40</v>
      </c>
      <c r="D1566">
        <v>4.3929260000000001</v>
      </c>
      <c r="E1566">
        <v>0.4892629</v>
      </c>
      <c r="F1566" t="s">
        <v>63</v>
      </c>
      <c r="G1566">
        <v>-396.9819</v>
      </c>
      <c r="H1566" s="1">
        <v>2.1786359999999999E-6</v>
      </c>
      <c r="I1566">
        <v>280.79969999999997</v>
      </c>
      <c r="J1566">
        <v>-356.78559999999999</v>
      </c>
      <c r="K1566">
        <v>1.109286</v>
      </c>
      <c r="L1566">
        <v>285.05</v>
      </c>
      <c r="M1566">
        <v>-0.99984130000000004</v>
      </c>
      <c r="N1566">
        <v>-9.8894039999999992E-3</v>
      </c>
      <c r="O1566">
        <v>-1.4820669999999999E-2</v>
      </c>
      <c r="P1566">
        <v>-0.9831588</v>
      </c>
      <c r="Q1566">
        <v>0.1628127</v>
      </c>
      <c r="R1566">
        <v>-8.3011790000000002E-2</v>
      </c>
      <c r="S1566">
        <v>-3.0381469999999999</v>
      </c>
      <c r="T1566">
        <v>-8.3062289999999997E-2</v>
      </c>
      <c r="U1566">
        <v>-0.31866460000000002</v>
      </c>
      <c r="V1566">
        <v>-6.8277470000000007E-2</v>
      </c>
      <c r="W1566">
        <v>0.17259969999999999</v>
      </c>
      <c r="X1566">
        <v>0.98262280000000002</v>
      </c>
      <c r="Y1566">
        <v>-8.9520639999999999E-2</v>
      </c>
      <c r="Z1566">
        <v>-1.4064150000000001E-3</v>
      </c>
      <c r="AA1566">
        <v>0.99598399999999998</v>
      </c>
      <c r="AB1566">
        <v>37</v>
      </c>
      <c r="AC1566">
        <v>-40.196300000000001</v>
      </c>
      <c r="AD1566">
        <v>-1.1092838213639999</v>
      </c>
      <c r="AE1566">
        <v>-4.2503000000000304</v>
      </c>
      <c r="AF1566">
        <v>-3.6513179177630501</v>
      </c>
      <c r="AG1566">
        <v>-1.1092838213639999</v>
      </c>
      <c r="AH1566">
        <v>40.224584740647799</v>
      </c>
      <c r="AI1566">
        <v>91.5731953952818</v>
      </c>
      <c r="AJ1566">
        <v>95.186711802588903</v>
      </c>
      <c r="AK1566">
        <v>40.405195837793798</v>
      </c>
      <c r="AL1566">
        <v>80.060994543201303</v>
      </c>
      <c r="AM1566">
        <v>93.974804077150495</v>
      </c>
      <c r="AN1566">
        <v>1.0000000182147599</v>
      </c>
    </row>
    <row r="1567" spans="1:40" x14ac:dyDescent="0.25">
      <c r="A1567" t="str">
        <f>"20190304155353358"</f>
        <v>20190304155353358</v>
      </c>
      <c r="B1567" t="str">
        <f>"1551686033348582"</f>
        <v>1551686033348582</v>
      </c>
      <c r="C1567" t="s">
        <v>40</v>
      </c>
      <c r="D1567">
        <v>4.4081900000000003</v>
      </c>
      <c r="E1567">
        <v>0.48903639999999998</v>
      </c>
      <c r="F1567" t="s">
        <v>63</v>
      </c>
      <c r="G1567">
        <v>-395.92360000000002</v>
      </c>
      <c r="H1567" s="1">
        <v>1.6154630000000001E-6</v>
      </c>
      <c r="I1567">
        <v>280.9092</v>
      </c>
      <c r="J1567">
        <v>-357.14620000000002</v>
      </c>
      <c r="K1567">
        <v>1.1092820000000001</v>
      </c>
      <c r="L1567">
        <v>285.04489999999998</v>
      </c>
      <c r="M1567">
        <v>-0.99984629999999997</v>
      </c>
      <c r="N1567">
        <v>-9.8929570000000008E-3</v>
      </c>
      <c r="O1567">
        <v>-1.4478680000000001E-2</v>
      </c>
      <c r="P1567">
        <v>-0.98312619999999895</v>
      </c>
      <c r="Q1567">
        <v>0.1631754</v>
      </c>
      <c r="R1567">
        <v>-8.2684869999999994E-2</v>
      </c>
      <c r="S1567">
        <v>-3.038513</v>
      </c>
      <c r="T1567">
        <v>-8.6120370000000002E-2</v>
      </c>
      <c r="U1567">
        <v>-0.32147219999999999</v>
      </c>
      <c r="V1567">
        <v>-6.8287100000000003E-2</v>
      </c>
      <c r="W1567">
        <v>0.17296520000000001</v>
      </c>
      <c r="X1567">
        <v>0.98255780000000004</v>
      </c>
      <c r="Y1567">
        <v>-9.0755630000000004E-2</v>
      </c>
      <c r="Z1567">
        <v>-1.466406E-3</v>
      </c>
      <c r="AA1567">
        <v>0.99587210000000004</v>
      </c>
      <c r="AB1567">
        <v>37</v>
      </c>
      <c r="AC1567">
        <v>-38.7774</v>
      </c>
      <c r="AD1567">
        <v>-1.1092803845369901</v>
      </c>
      <c r="AE1567">
        <v>-4.1356999999999804</v>
      </c>
      <c r="AF1567">
        <v>-3.5709041484198698</v>
      </c>
      <c r="AG1567">
        <v>-1.1092803845369901</v>
      </c>
      <c r="AH1567">
        <v>38.801821948540002</v>
      </c>
      <c r="AI1567">
        <v>91.630659204781296</v>
      </c>
      <c r="AJ1567">
        <v>95.258079080199707</v>
      </c>
      <c r="AK1567">
        <v>38.981575724115103</v>
      </c>
      <c r="AL1567">
        <v>80.039732573284695</v>
      </c>
      <c r="AM1567">
        <v>93.975625036996206</v>
      </c>
      <c r="AN1567">
        <v>0.99999995938914399</v>
      </c>
    </row>
    <row r="1568" spans="1:40" x14ac:dyDescent="0.25">
      <c r="A1568" t="str">
        <f>"20190304155353380"</f>
        <v>20190304155353380</v>
      </c>
      <c r="B1568" t="str">
        <f>"1551686033377863"</f>
        <v>1551686033377863</v>
      </c>
      <c r="C1568" t="s">
        <v>40</v>
      </c>
      <c r="D1568">
        <v>4.4143970000000001</v>
      </c>
      <c r="E1568">
        <v>0.48882959999999898</v>
      </c>
      <c r="F1568" t="s">
        <v>63</v>
      </c>
      <c r="G1568">
        <v>-396.77960000000002</v>
      </c>
      <c r="H1568" s="1">
        <v>2.0709860000000002E-6</v>
      </c>
      <c r="I1568">
        <v>280.84739999999999</v>
      </c>
      <c r="J1568">
        <v>-357.52120000000002</v>
      </c>
      <c r="K1568">
        <v>1.1092879999999901</v>
      </c>
      <c r="L1568">
        <v>285.03980000000001</v>
      </c>
      <c r="M1568">
        <v>-0.9998513</v>
      </c>
      <c r="N1568">
        <v>-9.9038979999999995E-3</v>
      </c>
      <c r="O1568">
        <v>-1.4123719999999999E-2</v>
      </c>
      <c r="P1568">
        <v>-0.98318649999999996</v>
      </c>
      <c r="Q1568">
        <v>0.16283429999999999</v>
      </c>
      <c r="R1568">
        <v>-8.2642229999999997E-2</v>
      </c>
      <c r="S1568">
        <v>-3.0385439999999999</v>
      </c>
      <c r="T1568">
        <v>-8.5044259999999997E-2</v>
      </c>
      <c r="U1568">
        <v>-0.32180789999999998</v>
      </c>
      <c r="V1568">
        <v>-6.859237E-2</v>
      </c>
      <c r="W1568">
        <v>0.17263589999999901</v>
      </c>
      <c r="X1568">
        <v>0.98259450000000004</v>
      </c>
      <c r="Y1568">
        <v>-9.1217560000000003E-2</v>
      </c>
      <c r="Z1568">
        <v>-1.4712739999999901E-3</v>
      </c>
      <c r="AA1568">
        <v>0.99582990000000005</v>
      </c>
      <c r="AB1568">
        <v>37</v>
      </c>
      <c r="AC1568">
        <v>-39.258400000000002</v>
      </c>
      <c r="AD1568">
        <v>-1.10928592901399</v>
      </c>
      <c r="AE1568">
        <v>-4.1924000000000197</v>
      </c>
      <c r="AF1568">
        <v>-3.6346108352528401</v>
      </c>
      <c r="AG1568">
        <v>-1.10928592901399</v>
      </c>
      <c r="AH1568">
        <v>39.282689226855297</v>
      </c>
      <c r="AI1568">
        <v>91.610643664057307</v>
      </c>
      <c r="AJ1568">
        <v>95.286212429415897</v>
      </c>
      <c r="AK1568">
        <v>39.466068769130601</v>
      </c>
      <c r="AL1568">
        <v>80.058888737446594</v>
      </c>
      <c r="AM1568">
        <v>93.993191591751398</v>
      </c>
      <c r="AN1568">
        <v>1.00000000931063</v>
      </c>
    </row>
    <row r="1569" spans="1:40" x14ac:dyDescent="0.25">
      <c r="A1569" t="str">
        <f>"20190304155353404"</f>
        <v>20190304155353404</v>
      </c>
      <c r="B1569" t="str">
        <f>"1551686033398359"</f>
        <v>1551686033398359</v>
      </c>
      <c r="C1569" t="s">
        <v>40</v>
      </c>
      <c r="D1569">
        <v>4.4159119999999996</v>
      </c>
      <c r="E1569">
        <v>0.48889149999999998</v>
      </c>
      <c r="F1569" t="s">
        <v>63</v>
      </c>
      <c r="G1569">
        <v>-396.3965</v>
      </c>
      <c r="H1569" s="1">
        <v>1.8670779999999999E-6</v>
      </c>
      <c r="I1569">
        <v>280.90570000000002</v>
      </c>
      <c r="J1569">
        <v>-357.90429999999998</v>
      </c>
      <c r="K1569">
        <v>1.109291</v>
      </c>
      <c r="L1569">
        <v>285.03469999999999</v>
      </c>
      <c r="M1569">
        <v>-0.99985610000000003</v>
      </c>
      <c r="N1569">
        <v>-9.9240030000000007E-3</v>
      </c>
      <c r="O1569">
        <v>-1.3760929999999999E-2</v>
      </c>
      <c r="P1569">
        <v>-0.98312600000000006</v>
      </c>
      <c r="Q1569">
        <v>0.16310350000000001</v>
      </c>
      <c r="R1569">
        <v>-8.2829910000000007E-2</v>
      </c>
      <c r="S1569">
        <v>-3.038513</v>
      </c>
      <c r="T1569">
        <v>-8.6702589999999996E-2</v>
      </c>
      <c r="U1569">
        <v>-0.32312010000000002</v>
      </c>
      <c r="V1569">
        <v>-6.9137480000000001E-2</v>
      </c>
      <c r="W1569">
        <v>0.1729243</v>
      </c>
      <c r="X1569">
        <v>0.98250559999999998</v>
      </c>
      <c r="Y1569">
        <v>-9.200316E-2</v>
      </c>
      <c r="Z1569">
        <v>-1.5114130000000001E-3</v>
      </c>
      <c r="AA1569">
        <v>0.99575760000000002</v>
      </c>
      <c r="AB1569">
        <v>37</v>
      </c>
      <c r="AC1569">
        <v>-38.492199999999997</v>
      </c>
      <c r="AD1569">
        <v>-1.109289132922</v>
      </c>
      <c r="AE1569">
        <v>-4.1289999999999596</v>
      </c>
      <c r="AF1569">
        <v>-3.5959419788063198</v>
      </c>
      <c r="AG1569">
        <v>-1.109289132922</v>
      </c>
      <c r="AH1569">
        <v>38.513754504732503</v>
      </c>
      <c r="AI1569">
        <v>91.6426601992803</v>
      </c>
      <c r="AJ1569">
        <v>95.334112856494301</v>
      </c>
      <c r="AK1569">
        <v>38.697165363191097</v>
      </c>
      <c r="AL1569">
        <v>80.042112526191303</v>
      </c>
      <c r="AM1569">
        <v>94.025184956351296</v>
      </c>
      <c r="AN1569">
        <v>1.0000000293512901</v>
      </c>
    </row>
    <row r="1570" spans="1:40" x14ac:dyDescent="0.25">
      <c r="A1570" t="str">
        <f>"20190304155353427"</f>
        <v>20190304155353427</v>
      </c>
      <c r="B1570" t="str">
        <f>"1551686033417879"</f>
        <v>1551686033417879</v>
      </c>
      <c r="C1570" t="s">
        <v>40</v>
      </c>
      <c r="D1570">
        <v>4.5636239999999999</v>
      </c>
      <c r="E1570">
        <v>0.52582309999999999</v>
      </c>
      <c r="F1570" t="s">
        <v>63</v>
      </c>
      <c r="G1570">
        <v>-397.08139999999997</v>
      </c>
      <c r="H1570" s="1">
        <v>2.231586E-6</v>
      </c>
      <c r="I1570">
        <v>280.86970000000002</v>
      </c>
      <c r="J1570">
        <v>-358.29570000000001</v>
      </c>
      <c r="K1570">
        <v>1.1092959999999901</v>
      </c>
      <c r="L1570">
        <v>285.02969999999999</v>
      </c>
      <c r="M1570">
        <v>-0.99986090000000005</v>
      </c>
      <c r="N1570">
        <v>-9.9474660000000003E-3</v>
      </c>
      <c r="O1570">
        <v>-1.339018E-2</v>
      </c>
      <c r="P1570">
        <v>-0.983124</v>
      </c>
      <c r="Q1570">
        <v>0.16306979999999999</v>
      </c>
      <c r="R1570">
        <v>-8.2919510000000002E-2</v>
      </c>
      <c r="S1570">
        <v>-3.0384829999999998</v>
      </c>
      <c r="T1570">
        <v>-8.6033819999999997E-2</v>
      </c>
      <c r="U1570">
        <v>-0.323028599999999</v>
      </c>
      <c r="V1570">
        <v>-6.9591550000000002E-2</v>
      </c>
      <c r="W1570">
        <v>0.1729144</v>
      </c>
      <c r="X1570">
        <v>0.98247530000000005</v>
      </c>
      <c r="Y1570">
        <v>-9.2344109999999993E-2</v>
      </c>
      <c r="Z1570">
        <v>-1.519051E-3</v>
      </c>
      <c r="AA1570">
        <v>0.995726</v>
      </c>
      <c r="AB1570">
        <v>37</v>
      </c>
      <c r="AC1570">
        <v>-38.785699999999899</v>
      </c>
      <c r="AD1570">
        <v>-1.1092937684139901</v>
      </c>
      <c r="AE1570">
        <v>-4.1599999999999602</v>
      </c>
      <c r="AF1570">
        <v>-3.6373123650406201</v>
      </c>
      <c r="AG1570">
        <v>-1.1092937684139901</v>
      </c>
      <c r="AH1570">
        <v>38.8065458404159</v>
      </c>
      <c r="AI1570">
        <v>91.630225380699201</v>
      </c>
      <c r="AJ1570">
        <v>95.35465226078</v>
      </c>
      <c r="AK1570">
        <v>38.992416877770196</v>
      </c>
      <c r="AL1570">
        <v>80.042688580522906</v>
      </c>
      <c r="AM1570">
        <v>94.051657701661597</v>
      </c>
      <c r="AN1570">
        <v>1.0000000443344199</v>
      </c>
    </row>
    <row r="1571" spans="1:40" x14ac:dyDescent="0.25">
      <c r="A1571" t="str">
        <f>"20190304155353448"</f>
        <v>20190304155353448</v>
      </c>
      <c r="B1571" t="str">
        <f>"1551686033438374"</f>
        <v>1551686033438374</v>
      </c>
      <c r="C1571" t="s">
        <v>40</v>
      </c>
      <c r="D1571">
        <v>4.4553240000000001</v>
      </c>
      <c r="E1571">
        <v>0.53816129999999995</v>
      </c>
      <c r="F1571" t="s">
        <v>63</v>
      </c>
      <c r="G1571">
        <v>-445.9341</v>
      </c>
      <c r="H1571" s="1">
        <v>1.6414549999999999E-6</v>
      </c>
      <c r="I1571">
        <v>284.14999999999998</v>
      </c>
      <c r="J1571">
        <v>-358.64870000000002</v>
      </c>
      <c r="K1571">
        <v>1.1092959999999901</v>
      </c>
      <c r="L1571">
        <v>285.02530000000002</v>
      </c>
      <c r="M1571">
        <v>-0.99986520000000001</v>
      </c>
      <c r="N1571">
        <v>-9.9694469999999993E-3</v>
      </c>
      <c r="O1571">
        <v>-1.3056130000000001E-2</v>
      </c>
      <c r="P1571">
        <v>-0.98317869999999996</v>
      </c>
      <c r="Q1571">
        <v>0.16256279999999901</v>
      </c>
      <c r="R1571">
        <v>-8.3266930000000003E-2</v>
      </c>
      <c r="S1571">
        <v>-3.0553279999999998</v>
      </c>
      <c r="T1571">
        <v>-3.8673159999999998E-2</v>
      </c>
      <c r="U1571">
        <v>-3.067017E-2</v>
      </c>
      <c r="V1571">
        <v>-7.0267060000000006E-2</v>
      </c>
      <c r="W1571">
        <v>0.17242969999999999</v>
      </c>
      <c r="X1571">
        <v>0.98251239999999995</v>
      </c>
      <c r="Y1571">
        <v>3.0187510000000001E-3</v>
      </c>
      <c r="Z1571" s="1">
        <v>6.922962E-5</v>
      </c>
      <c r="AA1571">
        <v>0.99999550000000004</v>
      </c>
      <c r="AB1571">
        <v>37</v>
      </c>
      <c r="AC1571">
        <v>-87.285399999999896</v>
      </c>
      <c r="AD1571">
        <v>-1.1092943585449999</v>
      </c>
      <c r="AE1571">
        <v>-0.87530000000003805</v>
      </c>
      <c r="AF1571">
        <v>0.264397926156756</v>
      </c>
      <c r="AG1571">
        <v>-1.1092943585449999</v>
      </c>
      <c r="AH1571">
        <v>87.275293325752997</v>
      </c>
      <c r="AI1571">
        <v>90.728203465840707</v>
      </c>
      <c r="AJ1571">
        <v>89.826424657427694</v>
      </c>
      <c r="AK1571">
        <v>87.282743227590402</v>
      </c>
      <c r="AL1571">
        <v>80.070883290061701</v>
      </c>
      <c r="AM1571">
        <v>94.0906994270578</v>
      </c>
      <c r="AN1571">
        <v>1.00000003865844</v>
      </c>
    </row>
    <row r="1572" spans="1:40" x14ac:dyDescent="0.25">
      <c r="A1572" t="str">
        <f>"20190304155353471"</f>
        <v>20190304155353471</v>
      </c>
      <c r="B1572" t="str">
        <f>"1551686033467655"</f>
        <v>1551686033467655</v>
      </c>
      <c r="C1572" t="s">
        <v>40</v>
      </c>
      <c r="D1572">
        <v>4.4251760000000004</v>
      </c>
      <c r="E1572">
        <v>0.54581709999999894</v>
      </c>
      <c r="F1572" t="s">
        <v>51</v>
      </c>
      <c r="G1572">
        <v>-490.42770000000002</v>
      </c>
      <c r="H1572" s="1">
        <v>4.1738230000000002E-6</v>
      </c>
      <c r="I1572">
        <v>287.87740000000002</v>
      </c>
      <c r="J1572">
        <v>-359.02440000000001</v>
      </c>
      <c r="K1572">
        <v>1.1092900000000001</v>
      </c>
      <c r="L1572">
        <v>285.02069999999998</v>
      </c>
      <c r="M1572">
        <v>-0.99986949999999997</v>
      </c>
      <c r="N1572">
        <v>-9.9962530000000001E-3</v>
      </c>
      <c r="O1572">
        <v>-1.270101E-2</v>
      </c>
      <c r="P1572">
        <v>-0.98320540000000001</v>
      </c>
      <c r="Q1572">
        <v>0.16238540000000001</v>
      </c>
      <c r="R1572">
        <v>-8.3297670000000004E-2</v>
      </c>
      <c r="S1572">
        <v>-3.061188</v>
      </c>
      <c r="T1572">
        <v>-2.576852E-2</v>
      </c>
      <c r="U1572">
        <v>6.6253660000000006E-2</v>
      </c>
      <c r="V1572">
        <v>-7.0647520000000005E-2</v>
      </c>
      <c r="W1572">
        <v>0.17227899999999999</v>
      </c>
      <c r="X1572">
        <v>0.98251149999999998</v>
      </c>
      <c r="Y1572">
        <v>3.4332309999999998E-2</v>
      </c>
      <c r="Z1572">
        <v>2.9606279999999999E-4</v>
      </c>
      <c r="AA1572">
        <v>0.99941049999999998</v>
      </c>
      <c r="AB1572">
        <v>37</v>
      </c>
      <c r="AC1572">
        <v>-131.4033</v>
      </c>
      <c r="AD1572">
        <v>-1.10928582617699</v>
      </c>
      <c r="AE1572">
        <v>2.85670000000004</v>
      </c>
      <c r="AF1572">
        <v>4.5251850226330603</v>
      </c>
      <c r="AG1572">
        <v>-1.10928582617699</v>
      </c>
      <c r="AH1572">
        <v>131.347059042561</v>
      </c>
      <c r="AI1572">
        <v>90.483590588884098</v>
      </c>
      <c r="AJ1572">
        <v>88.026819202941297</v>
      </c>
      <c r="AK1572">
        <v>131.42966839212201</v>
      </c>
      <c r="AL1572">
        <v>80.079648421674094</v>
      </c>
      <c r="AM1572">
        <v>94.112776414450394</v>
      </c>
      <c r="AN1572">
        <v>0.99999998677769997</v>
      </c>
    </row>
    <row r="1573" spans="1:40" x14ac:dyDescent="0.25">
      <c r="A1573" t="str">
        <f>"20190304155353493"</f>
        <v>20190304155353493</v>
      </c>
      <c r="B1573" t="str">
        <f>"1551686033488153"</f>
        <v>1551686033488153</v>
      </c>
      <c r="C1573" t="s">
        <v>40</v>
      </c>
      <c r="D1573">
        <v>4.4296179999999996</v>
      </c>
      <c r="E1573">
        <v>0.5482515</v>
      </c>
      <c r="F1573" t="s">
        <v>47</v>
      </c>
      <c r="G1573">
        <v>-547.59720000000004</v>
      </c>
      <c r="H1573">
        <v>-0.05</v>
      </c>
      <c r="I1573">
        <v>292.84050000000002</v>
      </c>
      <c r="J1573">
        <v>-359.39949999999999</v>
      </c>
      <c r="K1573">
        <v>1.109294</v>
      </c>
      <c r="L1573">
        <v>285.01620000000003</v>
      </c>
      <c r="M1573">
        <v>-0.99987360000000003</v>
      </c>
      <c r="N1573">
        <v>-1.0027029999999999E-2</v>
      </c>
      <c r="O1573">
        <v>-1.2346029999999999E-2</v>
      </c>
      <c r="P1573">
        <v>-0.98327699999999996</v>
      </c>
      <c r="Q1573">
        <v>0.16199620000000001</v>
      </c>
      <c r="R1573">
        <v>-8.3208710000000005E-2</v>
      </c>
      <c r="S1573">
        <v>-3.0650940000000002</v>
      </c>
      <c r="T1573">
        <v>-1.8843289999999999E-2</v>
      </c>
      <c r="U1573">
        <v>0.12710569999999999</v>
      </c>
      <c r="V1573">
        <v>-7.0906869999999997E-2</v>
      </c>
      <c r="W1573">
        <v>0.17192099999999999</v>
      </c>
      <c r="X1573">
        <v>0.98255550000000003</v>
      </c>
      <c r="Y1573">
        <v>5.37633E-2</v>
      </c>
      <c r="Z1573">
        <v>3.86991E-4</v>
      </c>
      <c r="AA1573">
        <v>0.99855360000000004</v>
      </c>
      <c r="AB1573">
        <v>37</v>
      </c>
      <c r="AC1573">
        <v>-188.1977</v>
      </c>
      <c r="AD1573">
        <v>-1.159294</v>
      </c>
      <c r="AE1573">
        <v>7.8242999999999903</v>
      </c>
      <c r="AF1573">
        <v>10.1469302969866</v>
      </c>
      <c r="AG1573">
        <v>-1.159294</v>
      </c>
      <c r="AH1573">
        <v>188.079626724669</v>
      </c>
      <c r="AI1573">
        <v>90.352645110637994</v>
      </c>
      <c r="AJ1573">
        <v>86.911876003940606</v>
      </c>
      <c r="AK1573">
        <v>188.356709851072</v>
      </c>
      <c r="AL1573">
        <v>80.100470752087901</v>
      </c>
      <c r="AM1573">
        <v>94.127638284674006</v>
      </c>
      <c r="AN1573">
        <v>0.99999996251722201</v>
      </c>
    </row>
    <row r="1574" spans="1:40" x14ac:dyDescent="0.25">
      <c r="A1574" t="str">
        <f>"20190304155353516"</f>
        <v>20190304155353516</v>
      </c>
      <c r="B1574" t="str">
        <f>"1551686033507671"</f>
        <v>1551686033507671</v>
      </c>
      <c r="C1574" t="s">
        <v>40</v>
      </c>
      <c r="D1574">
        <v>4.4357139999999999</v>
      </c>
      <c r="E1574">
        <v>0.54964069999999898</v>
      </c>
      <c r="F1574" t="s">
        <v>47</v>
      </c>
      <c r="G1574">
        <v>-544.54020000000003</v>
      </c>
      <c r="H1574">
        <v>-0.05</v>
      </c>
      <c r="I1574">
        <v>293.88389999999998</v>
      </c>
      <c r="J1574">
        <v>-359.77510000000001</v>
      </c>
      <c r="K1574">
        <v>1.1092979999999999</v>
      </c>
      <c r="L1574">
        <v>285.01190000000003</v>
      </c>
      <c r="M1574">
        <v>-0.99987749999999997</v>
      </c>
      <c r="N1574">
        <v>-1.006431E-2</v>
      </c>
      <c r="O1574">
        <v>-1.199071E-2</v>
      </c>
      <c r="P1574">
        <v>-0.98328070000000001</v>
      </c>
      <c r="Q1574">
        <v>0.16197020000000001</v>
      </c>
      <c r="R1574">
        <v>-8.3214789999999997E-2</v>
      </c>
      <c r="S1574">
        <v>-3.0666199999999999</v>
      </c>
      <c r="T1574">
        <v>-1.9202230000000001E-2</v>
      </c>
      <c r="U1574">
        <v>0.14688109999999999</v>
      </c>
      <c r="V1574">
        <v>-7.1262309999999995E-2</v>
      </c>
      <c r="W1574">
        <v>0.17193229999999901</v>
      </c>
      <c r="X1574">
        <v>0.98252790000000001</v>
      </c>
      <c r="Y1574">
        <v>5.9812909999999997E-2</v>
      </c>
      <c r="Z1574">
        <v>4.4276770000000002E-4</v>
      </c>
      <c r="AA1574">
        <v>0.99820949999999997</v>
      </c>
      <c r="AB1574">
        <v>37</v>
      </c>
      <c r="AC1574">
        <v>-184.76509999999999</v>
      </c>
      <c r="AD1574">
        <v>-1.1592979999999999</v>
      </c>
      <c r="AE1574">
        <v>8.8719999999999501</v>
      </c>
      <c r="AF1574">
        <v>11.086503512731399</v>
      </c>
      <c r="AG1574">
        <v>-1.1592979999999999</v>
      </c>
      <c r="AH1574">
        <v>184.63817648721499</v>
      </c>
      <c r="AI1574">
        <v>90.3590947440902</v>
      </c>
      <c r="AJ1574">
        <v>86.5638302025569</v>
      </c>
      <c r="AK1574">
        <v>184.974351596416</v>
      </c>
      <c r="AL1574">
        <v>80.099814432718702</v>
      </c>
      <c r="AM1574">
        <v>94.148373265853195</v>
      </c>
      <c r="AN1574">
        <v>1.00000005344411</v>
      </c>
    </row>
    <row r="1575" spans="1:40" x14ac:dyDescent="0.25">
      <c r="A1575" t="str">
        <f>"20190304155353537"</f>
        <v>20190304155353537</v>
      </c>
      <c r="B1575" t="str">
        <f>"1551686033528166"</f>
        <v>1551686033528166</v>
      </c>
      <c r="C1575" t="s">
        <v>40</v>
      </c>
      <c r="D1575">
        <v>4.461875</v>
      </c>
      <c r="E1575">
        <v>0.55095740000000004</v>
      </c>
      <c r="F1575" t="s">
        <v>47</v>
      </c>
      <c r="G1575">
        <v>-540.65539999999999</v>
      </c>
      <c r="H1575">
        <v>-0.05</v>
      </c>
      <c r="I1575">
        <v>294.3349</v>
      </c>
      <c r="J1575">
        <v>-360.1404</v>
      </c>
      <c r="K1575">
        <v>1.1093029999999999</v>
      </c>
      <c r="L1575">
        <v>285.00779999999997</v>
      </c>
      <c r="M1575">
        <v>-0.99988129999999997</v>
      </c>
      <c r="N1575">
        <v>-1.0105289999999999E-2</v>
      </c>
      <c r="O1575">
        <v>-1.164567E-2</v>
      </c>
      <c r="P1575">
        <v>-0.98330530000000005</v>
      </c>
      <c r="Q1575">
        <v>0.1619573</v>
      </c>
      <c r="R1575">
        <v>-8.2951479999999994E-2</v>
      </c>
      <c r="S1575">
        <v>-3.067596</v>
      </c>
      <c r="T1575">
        <v>-1.9660830000000001E-2</v>
      </c>
      <c r="U1575">
        <v>0.15811159999999999</v>
      </c>
      <c r="V1575">
        <v>-7.1337880000000006E-2</v>
      </c>
      <c r="W1575">
        <v>0.17195949999999999</v>
      </c>
      <c r="X1575">
        <v>0.98251759999999999</v>
      </c>
      <c r="Y1575">
        <v>6.3098100000000004E-2</v>
      </c>
      <c r="Z1575">
        <v>4.7809989999999999E-4</v>
      </c>
      <c r="AA1575">
        <v>0.99800719999999998</v>
      </c>
      <c r="AB1575">
        <v>37</v>
      </c>
      <c r="AC1575">
        <v>-180.51499999999999</v>
      </c>
      <c r="AD1575">
        <v>-1.159303</v>
      </c>
      <c r="AE1575">
        <v>9.3271000000000299</v>
      </c>
      <c r="AF1575">
        <v>11.428322427704</v>
      </c>
      <c r="AG1575">
        <v>-1.159303</v>
      </c>
      <c r="AH1575">
        <v>180.38671144197701</v>
      </c>
      <c r="AI1575">
        <v>90.367484693294401</v>
      </c>
      <c r="AJ1575">
        <v>86.374895530304897</v>
      </c>
      <c r="AK1575">
        <v>180.752084916906</v>
      </c>
      <c r="AL1575">
        <v>80.098231876653202</v>
      </c>
      <c r="AM1575">
        <v>94.152800401459501</v>
      </c>
      <c r="AN1575">
        <v>0.99999999853645205</v>
      </c>
    </row>
    <row r="1576" spans="1:40" x14ac:dyDescent="0.25">
      <c r="A1576" t="str">
        <f>"20190304155353560"</f>
        <v>20190304155353560</v>
      </c>
      <c r="B1576" t="str">
        <f>"1551686033547687"</f>
        <v>1551686033547687</v>
      </c>
      <c r="C1576" t="s">
        <v>40</v>
      </c>
      <c r="D1576">
        <v>4.4361259999999998</v>
      </c>
      <c r="E1576">
        <v>0.55175509999999905</v>
      </c>
      <c r="F1576" t="s">
        <v>66</v>
      </c>
      <c r="G1576">
        <v>-532.78420000000006</v>
      </c>
      <c r="H1576">
        <v>7.7336669999999996E-2</v>
      </c>
      <c r="I1576">
        <v>294.55</v>
      </c>
      <c r="J1576">
        <v>-360.51260000000002</v>
      </c>
      <c r="K1576">
        <v>1.1093090000000001</v>
      </c>
      <c r="L1576">
        <v>285.00380000000001</v>
      </c>
      <c r="M1576">
        <v>-0.99988469999999996</v>
      </c>
      <c r="N1576">
        <v>-1.0147440000000001E-2</v>
      </c>
      <c r="O1576">
        <v>-1.1294190000000001E-2</v>
      </c>
      <c r="P1576">
        <v>-0.98333110000000001</v>
      </c>
      <c r="Q1576">
        <v>0.16198479999999901</v>
      </c>
      <c r="R1576">
        <v>-8.2589190000000007E-2</v>
      </c>
      <c r="S1576">
        <v>-3.0682680000000002</v>
      </c>
      <c r="T1576">
        <v>-1.8338799999999999E-2</v>
      </c>
      <c r="U1576">
        <v>0.16958619999999999</v>
      </c>
      <c r="V1576">
        <v>-7.1321079999999995E-2</v>
      </c>
      <c r="W1576">
        <v>0.1720286</v>
      </c>
      <c r="X1576">
        <v>0.98250680000000001</v>
      </c>
      <c r="Y1576">
        <v>6.6457500000000003E-2</v>
      </c>
      <c r="Z1576">
        <v>4.8885339999999995E-4</v>
      </c>
      <c r="AA1576">
        <v>0.99778909999999998</v>
      </c>
      <c r="AB1576">
        <v>37</v>
      </c>
      <c r="AC1576">
        <v>-172.27160000000001</v>
      </c>
      <c r="AD1576">
        <v>-1.0319723300000001</v>
      </c>
      <c r="AE1576">
        <v>9.5462000000000007</v>
      </c>
      <c r="AF1576">
        <v>11.490948399794201</v>
      </c>
      <c r="AG1576">
        <v>-1.0319723300000001</v>
      </c>
      <c r="AH1576">
        <v>172.14663048222801</v>
      </c>
      <c r="AI1576">
        <v>90.342705905720806</v>
      </c>
      <c r="AJ1576">
        <v>86.181118383614105</v>
      </c>
      <c r="AK1576">
        <v>172.53280629608199</v>
      </c>
      <c r="AL1576">
        <v>80.0942136002962</v>
      </c>
      <c r="AM1576">
        <v>94.151871319881806</v>
      </c>
      <c r="AN1576">
        <v>1.0000000738582799</v>
      </c>
    </row>
    <row r="1577" spans="1:40" x14ac:dyDescent="0.25">
      <c r="A1577" t="str">
        <f>"20190304155353581"</f>
        <v>20190304155353581</v>
      </c>
      <c r="B1577" t="str">
        <f>"1551686033577943"</f>
        <v>1551686033577943</v>
      </c>
      <c r="C1577" t="s">
        <v>40</v>
      </c>
      <c r="D1577">
        <v>4.416245</v>
      </c>
      <c r="E1577">
        <v>0.55258699999999905</v>
      </c>
      <c r="F1577" t="s">
        <v>66</v>
      </c>
      <c r="G1577">
        <v>-510.95370000000003</v>
      </c>
      <c r="H1577">
        <v>0.28176250000000003</v>
      </c>
      <c r="I1577">
        <v>293.69959999999998</v>
      </c>
      <c r="J1577">
        <v>-360.87990000000002</v>
      </c>
      <c r="K1577">
        <v>1.10931</v>
      </c>
      <c r="L1577">
        <v>285</v>
      </c>
      <c r="M1577">
        <v>-0.9998882</v>
      </c>
      <c r="N1577">
        <v>-1.019086E-2</v>
      </c>
      <c r="O1577">
        <v>-1.0947729999999999E-2</v>
      </c>
      <c r="P1577">
        <v>-0.98339750000000004</v>
      </c>
      <c r="Q1577">
        <v>0.1618097</v>
      </c>
      <c r="R1577">
        <v>-8.2141530000000004E-2</v>
      </c>
      <c r="S1577">
        <v>-3.0685419999999999</v>
      </c>
      <c r="T1577">
        <v>-1.6877650000000001E-2</v>
      </c>
      <c r="U1577">
        <v>0.1773682</v>
      </c>
      <c r="V1577">
        <v>-7.1213570000000004E-2</v>
      </c>
      <c r="W1577">
        <v>0.17189660000000001</v>
      </c>
      <c r="X1577">
        <v>0.98253760000000001</v>
      </c>
      <c r="Y1577">
        <v>6.8629289999999996E-2</v>
      </c>
      <c r="Z1577">
        <v>4.8728120000000001E-4</v>
      </c>
      <c r="AA1577">
        <v>0.99764209999999998</v>
      </c>
      <c r="AB1577">
        <v>37</v>
      </c>
      <c r="AC1577">
        <v>-150.07380000000001</v>
      </c>
      <c r="AD1577">
        <v>-0.82754749999999999</v>
      </c>
      <c r="AE1577">
        <v>8.69959999999997</v>
      </c>
      <c r="AF1577">
        <v>10.3418178477911</v>
      </c>
      <c r="AG1577">
        <v>-0.82754749999999999</v>
      </c>
      <c r="AH1577">
        <v>149.96501486257901</v>
      </c>
      <c r="AI1577">
        <v>90.315421275254593</v>
      </c>
      <c r="AJ1577">
        <v>86.055040770420703</v>
      </c>
      <c r="AK1577">
        <v>150.32346361761</v>
      </c>
      <c r="AL1577">
        <v>80.101890016233995</v>
      </c>
      <c r="AM1577">
        <v>94.145505089015998</v>
      </c>
      <c r="AN1577">
        <v>0.99999997452873202</v>
      </c>
    </row>
    <row r="1578" spans="1:40" x14ac:dyDescent="0.25">
      <c r="A1578" t="str">
        <f>"20190304155353605"</f>
        <v>20190304155353605</v>
      </c>
      <c r="B1578" t="str">
        <f>"1551686033598440"</f>
        <v>1551686033598440</v>
      </c>
      <c r="C1578" t="s">
        <v>40</v>
      </c>
      <c r="D1578">
        <v>4.3961169999999896</v>
      </c>
      <c r="E1578">
        <v>0.55343129999999996</v>
      </c>
      <c r="F1578" t="s">
        <v>66</v>
      </c>
      <c r="G1578">
        <v>-510.95370000000003</v>
      </c>
      <c r="H1578">
        <v>0.33768169999999997</v>
      </c>
      <c r="I1578">
        <v>294.07380000000001</v>
      </c>
      <c r="J1578">
        <v>-361.2629</v>
      </c>
      <c r="K1578">
        <v>1.109313</v>
      </c>
      <c r="L1578">
        <v>284.99610000000001</v>
      </c>
      <c r="M1578">
        <v>-0.99989170000000005</v>
      </c>
      <c r="N1578">
        <v>-1.023714E-2</v>
      </c>
      <c r="O1578">
        <v>-1.0586750000000001E-2</v>
      </c>
      <c r="P1578">
        <v>-0.98339869999999996</v>
      </c>
      <c r="Q1578">
        <v>0.16172700000000001</v>
      </c>
      <c r="R1578">
        <v>-8.2289589999999996E-2</v>
      </c>
      <c r="S1578">
        <v>-3.0687869999999999</v>
      </c>
      <c r="T1578">
        <v>-1.5776869999999998E-2</v>
      </c>
      <c r="U1578">
        <v>0.18554689999999999</v>
      </c>
      <c r="V1578">
        <v>-7.1716740000000001E-2</v>
      </c>
      <c r="W1578">
        <v>0.17185999999999901</v>
      </c>
      <c r="X1578">
        <v>0.98250740000000003</v>
      </c>
      <c r="Y1578">
        <v>7.0914089999999999E-2</v>
      </c>
      <c r="Z1578">
        <v>4.9155189999999999E-4</v>
      </c>
      <c r="AA1578">
        <v>0.99748230000000004</v>
      </c>
      <c r="AB1578">
        <v>37</v>
      </c>
      <c r="AC1578">
        <v>-149.6908</v>
      </c>
      <c r="AD1578">
        <v>-0.77163130000000002</v>
      </c>
      <c r="AE1578">
        <v>9.0776999999999894</v>
      </c>
      <c r="AF1578">
        <v>10.6617308458423</v>
      </c>
      <c r="AG1578">
        <v>-0.77163130000000002</v>
      </c>
      <c r="AH1578">
        <v>149.582341721419</v>
      </c>
      <c r="AI1578">
        <v>90.294813871188794</v>
      </c>
      <c r="AJ1578">
        <v>85.923042583240104</v>
      </c>
      <c r="AK1578">
        <v>149.96381188258701</v>
      </c>
      <c r="AL1578">
        <v>80.104018682778701</v>
      </c>
      <c r="AM1578">
        <v>94.174820438289302</v>
      </c>
      <c r="AN1578">
        <v>0.99999997072549296</v>
      </c>
    </row>
    <row r="1579" spans="1:40" x14ac:dyDescent="0.25">
      <c r="A1579" t="str">
        <f>"20190304155353627"</f>
        <v>20190304155353627</v>
      </c>
      <c r="B1579" t="str">
        <f>"1551686033617958"</f>
        <v>1551686033617958</v>
      </c>
      <c r="C1579" t="s">
        <v>40</v>
      </c>
      <c r="D1579">
        <v>4.7428990000000004</v>
      </c>
      <c r="E1579">
        <v>0.55295139999999998</v>
      </c>
      <c r="F1579" t="s">
        <v>66</v>
      </c>
      <c r="G1579">
        <v>-510.95370000000003</v>
      </c>
      <c r="H1579">
        <v>0.16645950000000001</v>
      </c>
      <c r="I1579">
        <v>294.36500000000001</v>
      </c>
      <c r="J1579">
        <v>-361.64839999999998</v>
      </c>
      <c r="K1579">
        <v>1.1093189999999999</v>
      </c>
      <c r="L1579">
        <v>284.99239999999998</v>
      </c>
      <c r="M1579">
        <v>-0.99989499999999998</v>
      </c>
      <c r="N1579">
        <v>-1.02814E-2</v>
      </c>
      <c r="O1579">
        <v>-1.022313E-2</v>
      </c>
      <c r="P1579">
        <v>-0.98342510000000005</v>
      </c>
      <c r="Q1579">
        <v>0.16178149999999999</v>
      </c>
      <c r="R1579">
        <v>-8.1867229999999999E-2</v>
      </c>
      <c r="S1579">
        <v>-3.0698850000000002</v>
      </c>
      <c r="T1579">
        <v>-1.9334440000000001E-2</v>
      </c>
      <c r="U1579">
        <v>0.1921387</v>
      </c>
      <c r="V1579">
        <v>-7.1651790000000007E-2</v>
      </c>
      <c r="W1579">
        <v>0.1719572</v>
      </c>
      <c r="X1579">
        <v>0.98249520000000001</v>
      </c>
      <c r="Y1579">
        <v>7.2662580000000004E-2</v>
      </c>
      <c r="Z1579">
        <v>5.6183839999999997E-4</v>
      </c>
      <c r="AA1579">
        <v>0.99735640000000003</v>
      </c>
      <c r="AB1579">
        <v>38</v>
      </c>
      <c r="AC1579">
        <v>-149.30529999999999</v>
      </c>
      <c r="AD1579">
        <v>-0.94285949999999996</v>
      </c>
      <c r="AE1579">
        <v>9.3726000000000305</v>
      </c>
      <c r="AF1579">
        <v>10.8981252554329</v>
      </c>
      <c r="AG1579">
        <v>-0.94285949999999996</v>
      </c>
      <c r="AH1579">
        <v>149.195748071537</v>
      </c>
      <c r="AI1579">
        <v>90.361120269626994</v>
      </c>
      <c r="AJ1579">
        <v>85.822202931592997</v>
      </c>
      <c r="AK1579">
        <v>149.59622107775701</v>
      </c>
      <c r="AL1579">
        <v>80.098366042614302</v>
      </c>
      <c r="AM1579">
        <v>94.171104488463499</v>
      </c>
      <c r="AN1579">
        <v>1.00000003783254</v>
      </c>
    </row>
    <row r="1580" spans="1:40" x14ac:dyDescent="0.25">
      <c r="A1580" t="str">
        <f>"20190304155353649"</f>
        <v>20190304155353649</v>
      </c>
      <c r="B1580" t="str">
        <f>"1551686033638455"</f>
        <v>1551686033638455</v>
      </c>
      <c r="C1580" t="s">
        <v>40</v>
      </c>
      <c r="D1580">
        <v>4.7928699999999997</v>
      </c>
      <c r="E1580">
        <v>0.60155009999999998</v>
      </c>
      <c r="F1580" t="s">
        <v>65</v>
      </c>
      <c r="G1580">
        <v>-436.52229999999997</v>
      </c>
      <c r="H1580">
        <v>2.6608059999999999E-2</v>
      </c>
      <c r="I1580">
        <v>289.61630000000002</v>
      </c>
      <c r="J1580">
        <v>-362.01459999999997</v>
      </c>
      <c r="K1580">
        <v>1.1093219999999999</v>
      </c>
      <c r="L1580">
        <v>284.9889</v>
      </c>
      <c r="M1580">
        <v>-0.99989799999999995</v>
      </c>
      <c r="N1580">
        <v>-1.0320279999999999E-2</v>
      </c>
      <c r="O1580">
        <v>-9.8774870000000008E-3</v>
      </c>
      <c r="P1580">
        <v>-0.98357709999999998</v>
      </c>
      <c r="Q1580">
        <v>0.16104399999999999</v>
      </c>
      <c r="R1580">
        <v>-8.1493850000000007E-2</v>
      </c>
      <c r="S1580">
        <v>-3.0736690000000002</v>
      </c>
      <c r="T1580">
        <v>-4.444671E-2</v>
      </c>
      <c r="U1580">
        <v>0.1898193</v>
      </c>
      <c r="V1580">
        <v>-7.1617520000000004E-2</v>
      </c>
      <c r="W1580">
        <v>0.17125960000000001</v>
      </c>
      <c r="X1580">
        <v>0.98261949999999998</v>
      </c>
      <c r="Y1580">
        <v>7.1482519999999994E-2</v>
      </c>
      <c r="Z1580">
        <v>9.2643300000000005E-4</v>
      </c>
      <c r="AA1580">
        <v>0.99744140000000003</v>
      </c>
      <c r="AB1580">
        <v>38</v>
      </c>
      <c r="AC1580">
        <v>-74.5077</v>
      </c>
      <c r="AD1580">
        <v>-1.0827139400000001</v>
      </c>
      <c r="AE1580">
        <v>4.6274000000000202</v>
      </c>
      <c r="AF1580">
        <v>5.3620343061250901</v>
      </c>
      <c r="AG1580">
        <v>-1.0827139400000001</v>
      </c>
      <c r="AH1580">
        <v>74.442695939693195</v>
      </c>
      <c r="AI1580">
        <v>90.831113084459602</v>
      </c>
      <c r="AJ1580">
        <v>85.880156249478006</v>
      </c>
      <c r="AK1580">
        <v>74.643410024901399</v>
      </c>
      <c r="AL1580">
        <v>80.138937075513198</v>
      </c>
      <c r="AM1580">
        <v>94.168591018308305</v>
      </c>
      <c r="AN1580">
        <v>1.0000000007716801</v>
      </c>
    </row>
    <row r="1581" spans="1:40" x14ac:dyDescent="0.25">
      <c r="A1581" t="str">
        <f>"20190304155353670"</f>
        <v>20190304155353670</v>
      </c>
      <c r="B1581" t="str">
        <f>"1551686033667735"</f>
        <v>1551686033667735</v>
      </c>
      <c r="C1581" t="s">
        <v>40</v>
      </c>
      <c r="D1581">
        <v>4.7724320000000002</v>
      </c>
      <c r="E1581">
        <v>0.60619449999999997</v>
      </c>
      <c r="F1581" t="s">
        <v>48</v>
      </c>
      <c r="G1581">
        <v>-362.93079999999998</v>
      </c>
      <c r="H1581">
        <v>0.98664940000000001</v>
      </c>
      <c r="I1581">
        <v>285.15890000000002</v>
      </c>
      <c r="J1581">
        <v>-362.38060000000002</v>
      </c>
      <c r="K1581">
        <v>1.109318</v>
      </c>
      <c r="L1581">
        <v>284.98570000000001</v>
      </c>
      <c r="M1581">
        <v>-0.99990100000000004</v>
      </c>
      <c r="N1581">
        <v>-1.0356010000000001E-2</v>
      </c>
      <c r="O1581">
        <v>-9.5327889999999998E-3</v>
      </c>
      <c r="P1581">
        <v>-0.98362830000000001</v>
      </c>
      <c r="Q1581">
        <v>0.160890899999999</v>
      </c>
      <c r="R1581">
        <v>-8.117597E-2</v>
      </c>
      <c r="S1581">
        <v>-3.1682429999999999</v>
      </c>
      <c r="T1581">
        <v>-0.42420029999999997</v>
      </c>
      <c r="U1581">
        <v>0.58770749999999905</v>
      </c>
      <c r="V1581">
        <v>-7.1638690000000005E-2</v>
      </c>
      <c r="W1581">
        <v>0.17114209999999999</v>
      </c>
      <c r="X1581">
        <v>0.98263840000000002</v>
      </c>
      <c r="Y1581">
        <v>0.18991259999999999</v>
      </c>
      <c r="Z1581">
        <v>1.4710829999999999E-2</v>
      </c>
      <c r="AA1581">
        <v>0.98169079999999997</v>
      </c>
      <c r="AB1581">
        <v>38</v>
      </c>
      <c r="AC1581">
        <v>-0.55019999999996105</v>
      </c>
      <c r="AD1581">
        <v>-0.1226686</v>
      </c>
      <c r="AE1581">
        <v>0.17320000000000799</v>
      </c>
      <c r="AF1581">
        <v>0.17071649153280299</v>
      </c>
      <c r="AG1581">
        <v>-0.1226686</v>
      </c>
      <c r="AH1581">
        <v>0.52478958787133601</v>
      </c>
      <c r="AI1581">
        <v>102.532101453351</v>
      </c>
      <c r="AJ1581">
        <v>71.9800523788292</v>
      </c>
      <c r="AK1581">
        <v>0.56532806178837103</v>
      </c>
      <c r="AL1581">
        <v>80.145769933903495</v>
      </c>
      <c r="AM1581">
        <v>94.169738980849502</v>
      </c>
      <c r="AN1581">
        <v>0.99999997272594199</v>
      </c>
    </row>
    <row r="1582" spans="1:40" x14ac:dyDescent="0.25">
      <c r="A1582" t="str">
        <f>"20190304155353693"</f>
        <v>20190304155353693</v>
      </c>
      <c r="B1582" t="str">
        <f>"1551686033688232"</f>
        <v>1551686033688232</v>
      </c>
      <c r="C1582" t="s">
        <v>40</v>
      </c>
      <c r="D1582">
        <v>4.72987</v>
      </c>
      <c r="E1582">
        <v>0.60440689999999997</v>
      </c>
      <c r="F1582" t="s">
        <v>48</v>
      </c>
      <c r="G1582">
        <v>-363.2629</v>
      </c>
      <c r="H1582">
        <v>0.97633300000000001</v>
      </c>
      <c r="I1582">
        <v>285.16019999999997</v>
      </c>
      <c r="J1582">
        <v>-362.755</v>
      </c>
      <c r="K1582">
        <v>1.109318</v>
      </c>
      <c r="L1582">
        <v>284.98239999999998</v>
      </c>
      <c r="M1582">
        <v>-0.99990400000000002</v>
      </c>
      <c r="N1582">
        <v>-1.038933E-2</v>
      </c>
      <c r="O1582">
        <v>-9.1824890000000003E-3</v>
      </c>
      <c r="P1582">
        <v>-0.98373429999999995</v>
      </c>
      <c r="Q1582">
        <v>0.16047069999999999</v>
      </c>
      <c r="R1582">
        <v>-8.0723119999999995E-2</v>
      </c>
      <c r="S1582">
        <v>-3.1801759999999999</v>
      </c>
      <c r="T1582">
        <v>-0.47947230000000002</v>
      </c>
      <c r="U1582">
        <v>0.62783809999999995</v>
      </c>
      <c r="V1582">
        <v>-7.1530629999999998E-2</v>
      </c>
      <c r="W1582">
        <v>0.17075499999999999</v>
      </c>
      <c r="X1582">
        <v>0.98271359999999996</v>
      </c>
      <c r="Y1582">
        <v>0.2002622</v>
      </c>
      <c r="Z1582">
        <v>1.7197009999999999E-2</v>
      </c>
      <c r="AA1582">
        <v>0.9795914</v>
      </c>
      <c r="AB1582">
        <v>38</v>
      </c>
      <c r="AC1582">
        <v>-0.50790000000000601</v>
      </c>
      <c r="AD1582">
        <v>-0.13298499999999999</v>
      </c>
      <c r="AE1582">
        <v>0.17779999999998999</v>
      </c>
      <c r="AF1582">
        <v>0.17195487066085399</v>
      </c>
      <c r="AG1582">
        <v>-0.13298499999999999</v>
      </c>
      <c r="AH1582">
        <v>0.477107806032527</v>
      </c>
      <c r="AI1582">
        <v>104.693329153056</v>
      </c>
      <c r="AJ1582">
        <v>70.180282834430301</v>
      </c>
      <c r="AK1582">
        <v>0.52429509471876801</v>
      </c>
      <c r="AL1582">
        <v>80.168280364255907</v>
      </c>
      <c r="AM1582">
        <v>94.163153989090006</v>
      </c>
      <c r="AN1582">
        <v>0.99999996033907701</v>
      </c>
    </row>
    <row r="1583" spans="1:40" x14ac:dyDescent="0.25">
      <c r="A1583" t="str">
        <f>"20190304155353715"</f>
        <v>20190304155353715</v>
      </c>
      <c r="B1583" t="str">
        <f>"1551686033707755"</f>
        <v>1551686033707755</v>
      </c>
      <c r="C1583" t="s">
        <v>40</v>
      </c>
      <c r="D1583">
        <v>4.6324690000000004</v>
      </c>
      <c r="E1583">
        <v>0.60809740000000001</v>
      </c>
      <c r="F1583" t="s">
        <v>48</v>
      </c>
      <c r="G1583">
        <v>-363.60430000000002</v>
      </c>
      <c r="H1583">
        <v>0.9864136</v>
      </c>
      <c r="I1583">
        <v>285.14710000000002</v>
      </c>
      <c r="J1583">
        <v>-363.1343</v>
      </c>
      <c r="K1583">
        <v>1.109308</v>
      </c>
      <c r="L1583">
        <v>284.97919999999999</v>
      </c>
      <c r="M1583">
        <v>-0.99990670000000004</v>
      </c>
      <c r="N1583">
        <v>-1.0419869999999999E-2</v>
      </c>
      <c r="O1583">
        <v>-8.832197E-3</v>
      </c>
      <c r="P1583">
        <v>-0.98390169999999999</v>
      </c>
      <c r="Q1583">
        <v>0.1596619</v>
      </c>
      <c r="R1583">
        <v>-8.0284229999999998E-2</v>
      </c>
      <c r="S1583">
        <v>-3.1750180000000001</v>
      </c>
      <c r="T1583">
        <v>-0.45954279999999997</v>
      </c>
      <c r="U1583">
        <v>0.61459350000000001</v>
      </c>
      <c r="V1583">
        <v>-7.1436819999999998E-2</v>
      </c>
      <c r="W1583">
        <v>0.1699774</v>
      </c>
      <c r="X1583">
        <v>0.98285529999999999</v>
      </c>
      <c r="Y1583">
        <v>0.19650909999999999</v>
      </c>
      <c r="Z1583">
        <v>1.6227689999999999E-2</v>
      </c>
      <c r="AA1583">
        <v>0.98036769999999995</v>
      </c>
      <c r="AB1583">
        <v>38</v>
      </c>
      <c r="AC1583">
        <v>-0.47000000000002701</v>
      </c>
      <c r="AD1583">
        <v>-0.122894399999999</v>
      </c>
      <c r="AE1583">
        <v>0.167900000000031</v>
      </c>
      <c r="AF1583">
        <v>0.16220959644366201</v>
      </c>
      <c r="AG1583">
        <v>-0.122894399999999</v>
      </c>
      <c r="AH1583">
        <v>0.44171619703194798</v>
      </c>
      <c r="AI1583">
        <v>104.63683898353599</v>
      </c>
      <c r="AJ1583">
        <v>69.835460878858996</v>
      </c>
      <c r="AK1583">
        <v>0.48634163450206702</v>
      </c>
      <c r="AL1583">
        <v>80.213495329990096</v>
      </c>
      <c r="AM1583">
        <v>94.157115989481895</v>
      </c>
      <c r="AN1583">
        <v>1.0000000382502801</v>
      </c>
    </row>
    <row r="1584" spans="1:40" x14ac:dyDescent="0.25">
      <c r="A1584" t="str">
        <f>"20190304155353749"</f>
        <v>20190304155353749</v>
      </c>
      <c r="B1584" t="str">
        <f>"1551686033738007"</f>
        <v>1551686033738007</v>
      </c>
      <c r="C1584" t="s">
        <v>40</v>
      </c>
      <c r="D1584">
        <v>4.5994510000000002</v>
      </c>
      <c r="E1584">
        <v>0.61540620000000001</v>
      </c>
      <c r="F1584" t="s">
        <v>48</v>
      </c>
      <c r="G1584">
        <v>-363.94540000000001</v>
      </c>
      <c r="H1584">
        <v>0.99426199999999998</v>
      </c>
      <c r="I1584">
        <v>285.14440000000002</v>
      </c>
      <c r="J1584">
        <v>-363.70519999999999</v>
      </c>
      <c r="K1584">
        <v>1.1093150000000001</v>
      </c>
      <c r="L1584">
        <v>284.97469999999998</v>
      </c>
      <c r="M1584">
        <v>-0.99991079999999999</v>
      </c>
      <c r="N1584">
        <v>-1.0460179999999999E-2</v>
      </c>
      <c r="O1584">
        <v>-8.3188140000000008E-3</v>
      </c>
      <c r="P1584">
        <v>-0.98409420000000003</v>
      </c>
      <c r="Q1584">
        <v>0.15871479999999999</v>
      </c>
      <c r="R1584">
        <v>-7.9803109999999997E-2</v>
      </c>
      <c r="S1584">
        <v>-3.1748050000000001</v>
      </c>
      <c r="T1584">
        <v>-0.45043440000000001</v>
      </c>
      <c r="U1584">
        <v>0.64501949999999997</v>
      </c>
      <c r="V1584">
        <v>-7.1463139999999994E-2</v>
      </c>
      <c r="W1584">
        <v>0.16907039999999901</v>
      </c>
      <c r="X1584">
        <v>0.98300980000000004</v>
      </c>
      <c r="Y1584">
        <v>0.20505300000000001</v>
      </c>
      <c r="Z1584">
        <v>1.6495550000000001E-2</v>
      </c>
      <c r="AA1584">
        <v>0.97861189999999998</v>
      </c>
      <c r="AB1584">
        <v>38</v>
      </c>
      <c r="AC1584">
        <v>-0.24020000000001501</v>
      </c>
      <c r="AD1584">
        <v>-0.115052999999999</v>
      </c>
      <c r="AE1584">
        <v>0.16970000000003399</v>
      </c>
      <c r="AF1584">
        <v>0.14890393207946401</v>
      </c>
      <c r="AG1584">
        <v>-0.115052999999999</v>
      </c>
      <c r="AH1584">
        <v>0.20708699948152701</v>
      </c>
      <c r="AI1584">
        <v>114.278985864237</v>
      </c>
      <c r="AJ1584">
        <v>54.282336674554699</v>
      </c>
      <c r="AK1584">
        <v>0.27981172089815698</v>
      </c>
      <c r="AL1584">
        <v>80.266225676170706</v>
      </c>
      <c r="AM1584">
        <v>94.157990931419803</v>
      </c>
      <c r="AN1584">
        <v>1.0000000237154201</v>
      </c>
    </row>
    <row r="1585" spans="1:40" x14ac:dyDescent="0.25">
      <c r="A1585" t="str">
        <f>"20190304155353771"</f>
        <v>20190304155353771</v>
      </c>
      <c r="B1585" t="str">
        <f>"1551686033768262"</f>
        <v>1551686033768262</v>
      </c>
      <c r="C1585" t="s">
        <v>40</v>
      </c>
      <c r="D1585">
        <v>4.5949030000000004</v>
      </c>
      <c r="E1585">
        <v>0.6189538</v>
      </c>
      <c r="F1585" t="s">
        <v>48</v>
      </c>
      <c r="G1585">
        <v>-364.61709999999999</v>
      </c>
      <c r="H1585">
        <v>0.98048789999999997</v>
      </c>
      <c r="I1585">
        <v>285.17689999999999</v>
      </c>
      <c r="J1585">
        <v>-364.07040000000001</v>
      </c>
      <c r="K1585">
        <v>1.1093249999999999</v>
      </c>
      <c r="L1585">
        <v>284.97199999999998</v>
      </c>
      <c r="M1585">
        <v>-0.99991300000000005</v>
      </c>
      <c r="N1585">
        <v>-1.04826E-2</v>
      </c>
      <c r="O1585">
        <v>-7.9998799999999991E-3</v>
      </c>
      <c r="P1585">
        <v>-0.98422290000000001</v>
      </c>
      <c r="Q1585">
        <v>0.15792639999999999</v>
      </c>
      <c r="R1585">
        <v>-7.9777989999999993E-2</v>
      </c>
      <c r="S1585">
        <v>-3.1779790000000001</v>
      </c>
      <c r="T1585">
        <v>-0.44907459999999999</v>
      </c>
      <c r="U1585">
        <v>0.70376590000000006</v>
      </c>
      <c r="V1585">
        <v>-7.1754390000000001E-2</v>
      </c>
      <c r="W1585">
        <v>0.16830429999999999</v>
      </c>
      <c r="X1585">
        <v>0.98311999999999999</v>
      </c>
      <c r="Y1585">
        <v>0.22168779999999999</v>
      </c>
      <c r="Z1585">
        <v>1.7613009999999998E-2</v>
      </c>
      <c r="AA1585">
        <v>0.97495860000000001</v>
      </c>
      <c r="AB1585">
        <v>38</v>
      </c>
      <c r="AC1585">
        <v>-0.54669999999998697</v>
      </c>
      <c r="AD1585">
        <v>-0.12883709999999901</v>
      </c>
      <c r="AE1585">
        <v>0.20490000000000899</v>
      </c>
      <c r="AF1585">
        <v>0.19954979930744199</v>
      </c>
      <c r="AG1585">
        <v>-0.12883709999999901</v>
      </c>
      <c r="AH1585">
        <v>0.51973390823744303</v>
      </c>
      <c r="AI1585">
        <v>103.029978454333</v>
      </c>
      <c r="AJ1585">
        <v>68.995902749072798</v>
      </c>
      <c r="AK1585">
        <v>0.57143893471815299</v>
      </c>
      <c r="AL1585">
        <v>80.310757733911899</v>
      </c>
      <c r="AM1585">
        <v>94.174410824777496</v>
      </c>
      <c r="AN1585">
        <v>0.99999998214137997</v>
      </c>
    </row>
    <row r="1586" spans="1:40" x14ac:dyDescent="0.25">
      <c r="A1586" t="str">
        <f>"20190304155353794"</f>
        <v>20190304155353794</v>
      </c>
      <c r="B1586" t="str">
        <f>"1551686033787786"</f>
        <v>1551686033787786</v>
      </c>
      <c r="C1586" t="s">
        <v>40</v>
      </c>
      <c r="D1586">
        <v>4.5326639999999996</v>
      </c>
      <c r="E1586">
        <v>0.62128939999999999</v>
      </c>
      <c r="F1586" t="s">
        <v>48</v>
      </c>
      <c r="G1586">
        <v>-364.95960000000002</v>
      </c>
      <c r="H1586">
        <v>0.98581909999999895</v>
      </c>
      <c r="I1586">
        <v>285.1771</v>
      </c>
      <c r="J1586">
        <v>-364.46050000000002</v>
      </c>
      <c r="K1586">
        <v>1.1093329999999999</v>
      </c>
      <c r="L1586">
        <v>284.9692</v>
      </c>
      <c r="M1586">
        <v>-0.99991549999999996</v>
      </c>
      <c r="N1586">
        <v>-1.0504090000000001E-2</v>
      </c>
      <c r="O1586">
        <v>-7.66819599999999E-3</v>
      </c>
      <c r="P1586">
        <v>-0.98424500000000004</v>
      </c>
      <c r="Q1586">
        <v>0.1580532</v>
      </c>
      <c r="R1586">
        <v>-7.9253169999999998E-2</v>
      </c>
      <c r="S1586">
        <v>-3.178223</v>
      </c>
      <c r="T1586">
        <v>-0.44144820000000001</v>
      </c>
      <c r="U1586">
        <v>0.73187259999999998</v>
      </c>
      <c r="V1586">
        <v>-7.1558949999999996E-2</v>
      </c>
      <c r="W1586">
        <v>0.16845099999999999</v>
      </c>
      <c r="X1586">
        <v>0.98310920000000002</v>
      </c>
      <c r="Y1586">
        <v>0.22955059999999999</v>
      </c>
      <c r="Z1586">
        <v>1.7858479999999999E-2</v>
      </c>
      <c r="AA1586">
        <v>0.97313289999999997</v>
      </c>
      <c r="AB1586">
        <v>38</v>
      </c>
      <c r="AC1586">
        <v>-0.49909999999999799</v>
      </c>
      <c r="AD1586">
        <v>-0.1235139</v>
      </c>
      <c r="AE1586">
        <v>0.20789999999999501</v>
      </c>
      <c r="AF1586">
        <v>0.20122007655499499</v>
      </c>
      <c r="AG1586">
        <v>-0.1235139</v>
      </c>
      <c r="AH1586">
        <v>0.47281583621655099</v>
      </c>
      <c r="AI1586">
        <v>103.515690861571</v>
      </c>
      <c r="AJ1586">
        <v>66.946457452030003</v>
      </c>
      <c r="AK1586">
        <v>0.52848842719511302</v>
      </c>
      <c r="AL1586">
        <v>80.302231470077203</v>
      </c>
      <c r="AM1586">
        <v>94.163126435436595</v>
      </c>
      <c r="AN1586">
        <v>1.0000000609253601</v>
      </c>
    </row>
    <row r="1587" spans="1:40" x14ac:dyDescent="0.25">
      <c r="A1587" t="str">
        <f>"20190304155353819"</f>
        <v>20190304155353819</v>
      </c>
      <c r="B1587" t="str">
        <f>"1551686033808278"</f>
        <v>1551686033808278</v>
      </c>
      <c r="C1587" t="s">
        <v>40</v>
      </c>
      <c r="D1587">
        <v>4.6111769999999996</v>
      </c>
      <c r="E1587">
        <v>0.62309440000000005</v>
      </c>
      <c r="F1587" t="s">
        <v>48</v>
      </c>
      <c r="G1587">
        <v>-365.30169999999998</v>
      </c>
      <c r="H1587">
        <v>0.99429460000000003</v>
      </c>
      <c r="I1587">
        <v>285.16849999999999</v>
      </c>
      <c r="J1587">
        <v>-364.87180000000001</v>
      </c>
      <c r="K1587">
        <v>1.109345</v>
      </c>
      <c r="L1587">
        <v>284.96629999999999</v>
      </c>
      <c r="M1587">
        <v>-0.99991790000000003</v>
      </c>
      <c r="N1587">
        <v>-1.052136E-2</v>
      </c>
      <c r="O1587">
        <v>-7.3299480000000002E-3</v>
      </c>
      <c r="P1587">
        <v>-0.98423369999999999</v>
      </c>
      <c r="Q1587">
        <v>0.15837589999999999</v>
      </c>
      <c r="R1587">
        <v>-7.8749879999999994E-2</v>
      </c>
      <c r="S1587">
        <v>-3.178375</v>
      </c>
      <c r="T1587">
        <v>-0.43474089999999999</v>
      </c>
      <c r="U1587">
        <v>0.75186160000000002</v>
      </c>
      <c r="V1587">
        <v>-7.1391629999999998E-2</v>
      </c>
      <c r="W1587">
        <v>0.16878840000000001</v>
      </c>
      <c r="X1587">
        <v>0.98306349999999998</v>
      </c>
      <c r="Y1587">
        <v>0.23503260000000001</v>
      </c>
      <c r="Z1587">
        <v>1.795281E-2</v>
      </c>
      <c r="AA1587">
        <v>0.97182170000000001</v>
      </c>
      <c r="AB1587">
        <v>38</v>
      </c>
      <c r="AC1587">
        <v>-0.42989999999997502</v>
      </c>
      <c r="AD1587">
        <v>-0.1150504</v>
      </c>
      <c r="AE1587">
        <v>0.20220000000000399</v>
      </c>
      <c r="AF1587">
        <v>0.19397009279293301</v>
      </c>
      <c r="AG1587">
        <v>-0.1150504</v>
      </c>
      <c r="AH1587">
        <v>0.40467331531665901</v>
      </c>
      <c r="AI1587">
        <v>104.37946803179</v>
      </c>
      <c r="AJ1587">
        <v>64.390428596426204</v>
      </c>
      <c r="AK1587">
        <v>0.46327258020266499</v>
      </c>
      <c r="AL1587">
        <v>80.282619107347699</v>
      </c>
      <c r="AM1587">
        <v>94.153618674826404</v>
      </c>
      <c r="AN1587">
        <v>1.0000000669204301</v>
      </c>
    </row>
    <row r="1588" spans="1:40" x14ac:dyDescent="0.25">
      <c r="A1588" t="str">
        <f>"20190304155353840"</f>
        <v>20190304155353840</v>
      </c>
      <c r="B1588" t="str">
        <f>"1551686033827799"</f>
        <v>1551686033827799</v>
      </c>
      <c r="C1588" t="s">
        <v>40</v>
      </c>
      <c r="D1588">
        <v>4.3396980000000003</v>
      </c>
      <c r="E1588">
        <v>0.62724399999999902</v>
      </c>
      <c r="F1588" t="s">
        <v>48</v>
      </c>
      <c r="G1588">
        <v>-365.64400000000001</v>
      </c>
      <c r="H1588">
        <v>1.0047600000000001</v>
      </c>
      <c r="I1588">
        <v>285.15300000000002</v>
      </c>
      <c r="J1588">
        <v>-365.23500000000001</v>
      </c>
      <c r="K1588">
        <v>1.1093440000000001</v>
      </c>
      <c r="L1588">
        <v>284.96390000000002</v>
      </c>
      <c r="M1588">
        <v>-0.99991989999999997</v>
      </c>
      <c r="N1588">
        <v>-1.052733E-2</v>
      </c>
      <c r="O1588">
        <v>-7.0420719999999999E-3</v>
      </c>
      <c r="P1588">
        <v>-0.98432819999999999</v>
      </c>
      <c r="Q1588">
        <v>0.1581832</v>
      </c>
      <c r="R1588">
        <v>-7.7952060000000004E-2</v>
      </c>
      <c r="S1588">
        <v>-3.1788020000000001</v>
      </c>
      <c r="T1588">
        <v>-0.43057879999999898</v>
      </c>
      <c r="U1588">
        <v>0.76757810000000004</v>
      </c>
      <c r="V1588">
        <v>-7.0880670000000007E-2</v>
      </c>
      <c r="W1588">
        <v>0.1685999</v>
      </c>
      <c r="X1588">
        <v>0.98313269999999997</v>
      </c>
      <c r="Y1588">
        <v>0.23927470000000001</v>
      </c>
      <c r="Z1588">
        <v>1.805294E-2</v>
      </c>
      <c r="AA1588">
        <v>0.97078410000000004</v>
      </c>
      <c r="AB1588">
        <v>38</v>
      </c>
      <c r="AC1588">
        <v>-0.40899999999999098</v>
      </c>
      <c r="AD1588">
        <v>-0.104584</v>
      </c>
      <c r="AE1588">
        <v>0.18909999999999599</v>
      </c>
      <c r="AF1588">
        <v>0.18216252941904101</v>
      </c>
      <c r="AG1588">
        <v>-0.104584</v>
      </c>
      <c r="AH1588">
        <v>0.386820021957413</v>
      </c>
      <c r="AI1588">
        <v>103.74484125491399</v>
      </c>
      <c r="AJ1588">
        <v>64.7831650684072</v>
      </c>
      <c r="AK1588">
        <v>0.44017125027366</v>
      </c>
      <c r="AL1588">
        <v>80.2935752573798</v>
      </c>
      <c r="AM1588">
        <v>94.1237042995227</v>
      </c>
      <c r="AN1588">
        <v>0.99999995073447301</v>
      </c>
    </row>
    <row r="1589" spans="1:40" x14ac:dyDescent="0.25">
      <c r="A1589" t="str">
        <f>"20190304155353862"</f>
        <v>20190304155353862</v>
      </c>
      <c r="B1589" t="str">
        <f>"1551686033858055"</f>
        <v>1551686033858055</v>
      </c>
      <c r="C1589" t="s">
        <v>40</v>
      </c>
      <c r="D1589">
        <v>4.3291269999999997</v>
      </c>
      <c r="E1589">
        <v>0.63440430000000003</v>
      </c>
      <c r="F1589" t="s">
        <v>63</v>
      </c>
      <c r="G1589">
        <v>-373.67489999999998</v>
      </c>
      <c r="H1589" s="1">
        <v>4.1881659999999999E-7</v>
      </c>
      <c r="I1589">
        <v>287.09460000000001</v>
      </c>
      <c r="J1589">
        <v>-365.60590000000002</v>
      </c>
      <c r="K1589">
        <v>1.109351</v>
      </c>
      <c r="L1589">
        <v>284.96159999999998</v>
      </c>
      <c r="M1589">
        <v>-0.99992190000000003</v>
      </c>
      <c r="N1589">
        <v>-1.052634E-2</v>
      </c>
      <c r="O1589">
        <v>-6.7615699999999997E-3</v>
      </c>
      <c r="P1589">
        <v>-0.9842824</v>
      </c>
      <c r="Q1589">
        <v>0.15855269999999999</v>
      </c>
      <c r="R1589">
        <v>-7.7780169999999996E-2</v>
      </c>
      <c r="S1589">
        <v>-3.178436</v>
      </c>
      <c r="T1589">
        <v>-0.41777189999999997</v>
      </c>
      <c r="U1589">
        <v>0.80239869999999902</v>
      </c>
      <c r="V1589">
        <v>-7.0989120000000003E-2</v>
      </c>
      <c r="W1589">
        <v>0.16896649999999999</v>
      </c>
      <c r="X1589">
        <v>0.98306199999999999</v>
      </c>
      <c r="Y1589">
        <v>0.2490897</v>
      </c>
      <c r="Z1589">
        <v>1.8190189999999998E-2</v>
      </c>
      <c r="AA1589">
        <v>0.96830959999999999</v>
      </c>
      <c r="AB1589">
        <v>38</v>
      </c>
      <c r="AC1589">
        <v>-8.06899999999996</v>
      </c>
      <c r="AD1589">
        <v>-1.1093505811833999</v>
      </c>
      <c r="AE1589">
        <v>2.1330000000000302</v>
      </c>
      <c r="AF1589">
        <v>2.1495373913784799</v>
      </c>
      <c r="AG1589">
        <v>-1.1093505811833999</v>
      </c>
      <c r="AH1589">
        <v>7.9145653466323402</v>
      </c>
      <c r="AI1589">
        <v>97.703397146553002</v>
      </c>
      <c r="AJ1589">
        <v>74.805409764844796</v>
      </c>
      <c r="AK1589">
        <v>8.2759600249771399</v>
      </c>
      <c r="AL1589">
        <v>80.272265514747005</v>
      </c>
      <c r="AM1589">
        <v>94.130287894661294</v>
      </c>
      <c r="AN1589">
        <v>1.00000001456231</v>
      </c>
    </row>
    <row r="1590" spans="1:40" x14ac:dyDescent="0.25">
      <c r="A1590" t="str">
        <f>"20190304155353894"</f>
        <v>20190304155353894</v>
      </c>
      <c r="B1590" t="str">
        <f>"1551686033888311"</f>
        <v>1551686033888311</v>
      </c>
      <c r="C1590" t="s">
        <v>40</v>
      </c>
      <c r="D1590">
        <v>4.3765839999999896</v>
      </c>
      <c r="E1590">
        <v>0.6391481</v>
      </c>
      <c r="F1590" t="s">
        <v>63</v>
      </c>
      <c r="G1590">
        <v>-374.28379999999999</v>
      </c>
      <c r="H1590" s="1">
        <v>7.4283789999999995E-7</v>
      </c>
      <c r="I1590">
        <v>287.30669999999998</v>
      </c>
      <c r="J1590">
        <v>-366.16390000000001</v>
      </c>
      <c r="K1590">
        <v>1.1093630000000001</v>
      </c>
      <c r="L1590">
        <v>284.95819999999998</v>
      </c>
      <c r="M1590">
        <v>-0.99992449999999999</v>
      </c>
      <c r="N1590">
        <v>-1.051991E-2</v>
      </c>
      <c r="O1590">
        <v>-6.3651530000000001E-3</v>
      </c>
      <c r="P1590">
        <v>-0.98424920000000005</v>
      </c>
      <c r="Q1590">
        <v>0.15899460000000001</v>
      </c>
      <c r="R1590">
        <v>-7.7293189999999998E-2</v>
      </c>
      <c r="S1590">
        <v>-3.181305</v>
      </c>
      <c r="T1590">
        <v>-0.40668710000000002</v>
      </c>
      <c r="U1590">
        <v>0.85971070000000005</v>
      </c>
      <c r="V1590">
        <v>-7.0899870000000004E-2</v>
      </c>
      <c r="W1590">
        <v>0.1693984</v>
      </c>
      <c r="X1590">
        <v>0.98299409999999998</v>
      </c>
      <c r="Y1590">
        <v>0.26479390000000003</v>
      </c>
      <c r="Z1590">
        <v>1.8717060000000001E-2</v>
      </c>
      <c r="AA1590">
        <v>0.96412339999999996</v>
      </c>
      <c r="AB1590">
        <v>38</v>
      </c>
      <c r="AC1590">
        <v>-8.1198999999999693</v>
      </c>
      <c r="AD1590">
        <v>-1.10936225716209</v>
      </c>
      <c r="AE1590">
        <v>2.3485</v>
      </c>
      <c r="AF1590">
        <v>2.3594976995825898</v>
      </c>
      <c r="AG1590">
        <v>-1.10936225716209</v>
      </c>
      <c r="AH1590">
        <v>7.9675463563496898</v>
      </c>
      <c r="AI1590">
        <v>97.604256626019307</v>
      </c>
      <c r="AJ1590">
        <v>73.503947240962006</v>
      </c>
      <c r="AK1590">
        <v>8.3832994073057296</v>
      </c>
      <c r="AL1590">
        <v>80.247157436277504</v>
      </c>
      <c r="AM1590">
        <v>94.125397046781401</v>
      </c>
      <c r="AN1590">
        <v>1.00000000506169</v>
      </c>
    </row>
    <row r="1591" spans="1:40" x14ac:dyDescent="0.25">
      <c r="A1591" t="str">
        <f>"20190304155353916"</f>
        <v>20190304155353916</v>
      </c>
      <c r="B1591" t="str">
        <f>"1551686033907834"</f>
        <v>1551686033907834</v>
      </c>
      <c r="C1591" t="s">
        <v>40</v>
      </c>
      <c r="D1591">
        <v>4.3241059999999996</v>
      </c>
      <c r="E1591">
        <v>0.64196430000000004</v>
      </c>
      <c r="F1591" t="s">
        <v>63</v>
      </c>
      <c r="G1591">
        <v>-375.05470000000003</v>
      </c>
      <c r="H1591" s="1">
        <v>1.153052E-6</v>
      </c>
      <c r="I1591">
        <v>287.4674</v>
      </c>
      <c r="J1591">
        <v>-366.53519999999997</v>
      </c>
      <c r="K1591">
        <v>1.10937</v>
      </c>
      <c r="L1591">
        <v>284.95600000000002</v>
      </c>
      <c r="M1591">
        <v>-0.99992610000000004</v>
      </c>
      <c r="N1591">
        <v>-1.051524E-2</v>
      </c>
      <c r="O1591">
        <v>-6.1160110000000002E-3</v>
      </c>
      <c r="P1591">
        <v>-0.98431400000000002</v>
      </c>
      <c r="Q1591">
        <v>0.1586996</v>
      </c>
      <c r="R1591">
        <v>-7.7076179999999994E-2</v>
      </c>
      <c r="S1591">
        <v>-3.1826780000000001</v>
      </c>
      <c r="T1591">
        <v>-0.39712639999999999</v>
      </c>
      <c r="U1591">
        <v>0.89825440000000001</v>
      </c>
      <c r="V1591">
        <v>-7.0932659999999995E-2</v>
      </c>
      <c r="W1591">
        <v>0.1690972</v>
      </c>
      <c r="X1591">
        <v>0.98304360000000002</v>
      </c>
      <c r="Y1591">
        <v>0.27530890000000002</v>
      </c>
      <c r="Z1591">
        <v>1.894964E-2</v>
      </c>
      <c r="AA1591">
        <v>0.96116900000000005</v>
      </c>
      <c r="AB1591">
        <v>38</v>
      </c>
      <c r="AC1591">
        <v>-8.5195000000000505</v>
      </c>
      <c r="AD1591">
        <v>-1.1093688469480001</v>
      </c>
      <c r="AE1591">
        <v>2.5114000000000298</v>
      </c>
      <c r="AF1591">
        <v>2.52408455539502</v>
      </c>
      <c r="AG1591">
        <v>-1.1093688469480001</v>
      </c>
      <c r="AH1591">
        <v>8.3733524894207108</v>
      </c>
      <c r="AI1591">
        <v>97.229360577242502</v>
      </c>
      <c r="AJ1591">
        <v>73.224959429812301</v>
      </c>
      <c r="AK1591">
        <v>8.8155960656923504</v>
      </c>
      <c r="AL1591">
        <v>80.264667606109796</v>
      </c>
      <c r="AM1591">
        <v>94.127091274749205</v>
      </c>
      <c r="AN1591">
        <v>1.0000000124017301</v>
      </c>
    </row>
    <row r="1592" spans="1:40" x14ac:dyDescent="0.25">
      <c r="A1592" t="str">
        <f>"20190304155353939"</f>
        <v>20190304155353939</v>
      </c>
      <c r="B1592" t="str">
        <f>"1551686033928327"</f>
        <v>1551686033928327</v>
      </c>
      <c r="C1592" t="s">
        <v>40</v>
      </c>
      <c r="D1592">
        <v>4.3405500000000004</v>
      </c>
      <c r="E1592">
        <v>0.6452021</v>
      </c>
      <c r="F1592" t="s">
        <v>63</v>
      </c>
      <c r="G1592">
        <v>-375.53149999999999</v>
      </c>
      <c r="H1592" s="1">
        <v>1.406816E-6</v>
      </c>
      <c r="I1592">
        <v>287.55880000000002</v>
      </c>
      <c r="J1592">
        <v>-366.92630000000003</v>
      </c>
      <c r="K1592">
        <v>1.1093839999999999</v>
      </c>
      <c r="L1592">
        <v>284.95389999999998</v>
      </c>
      <c r="M1592">
        <v>-0.99992760000000003</v>
      </c>
      <c r="N1592">
        <v>-1.0507270000000001E-2</v>
      </c>
      <c r="O1592">
        <v>-5.8704480000000003E-3</v>
      </c>
      <c r="P1592">
        <v>-0.98437059999999998</v>
      </c>
      <c r="Q1592">
        <v>0.15843889999999999</v>
      </c>
      <c r="R1592">
        <v>-7.6889280000000004E-2</v>
      </c>
      <c r="S1592">
        <v>-3.1831969999999998</v>
      </c>
      <c r="T1592">
        <v>-0.3925304</v>
      </c>
      <c r="U1592">
        <v>0.92095950000000004</v>
      </c>
      <c r="V1592">
        <v>-7.0992719999999995E-2</v>
      </c>
      <c r="W1592">
        <v>0.16882649999999999</v>
      </c>
      <c r="X1592">
        <v>0.98308580000000001</v>
      </c>
      <c r="Y1592">
        <v>0.2813737</v>
      </c>
      <c r="Z1592">
        <v>1.9099910000000001E-2</v>
      </c>
      <c r="AA1592">
        <v>0.95940820000000004</v>
      </c>
      <c r="AB1592">
        <v>38</v>
      </c>
      <c r="AC1592">
        <v>-8.6051999999999609</v>
      </c>
      <c r="AD1592">
        <v>-1.109382593184</v>
      </c>
      <c r="AE1592">
        <v>2.6049000000000402</v>
      </c>
      <c r="AF1592">
        <v>2.6155519374404301</v>
      </c>
      <c r="AG1592">
        <v>-1.109382593184</v>
      </c>
      <c r="AH1592">
        <v>8.4609393194897802</v>
      </c>
      <c r="AI1592">
        <v>97.140199243080005</v>
      </c>
      <c r="AJ1592">
        <v>72.8219174455744</v>
      </c>
      <c r="AK1592">
        <v>8.9252078879764003</v>
      </c>
      <c r="AL1592">
        <v>80.280403911465697</v>
      </c>
      <c r="AM1592">
        <v>94.130396973772804</v>
      </c>
      <c r="AN1592">
        <v>1.0000000217784399</v>
      </c>
    </row>
    <row r="1593" spans="1:40" x14ac:dyDescent="0.25">
      <c r="A1593" t="str">
        <f>"20190304155353961"</f>
        <v>20190304155353961</v>
      </c>
      <c r="B1593" t="str">
        <f>"1551686033957607"</f>
        <v>1551686033957607</v>
      </c>
      <c r="C1593" t="s">
        <v>40</v>
      </c>
      <c r="D1593">
        <v>4.3633459999999999</v>
      </c>
      <c r="E1593">
        <v>0.64933200000000002</v>
      </c>
      <c r="F1593" t="s">
        <v>63</v>
      </c>
      <c r="G1593">
        <v>-376.00020000000001</v>
      </c>
      <c r="H1593" s="1">
        <v>1.656232E-6</v>
      </c>
      <c r="I1593">
        <v>287.65499999999997</v>
      </c>
      <c r="J1593">
        <v>-367.29430000000002</v>
      </c>
      <c r="K1593">
        <v>1.109389</v>
      </c>
      <c r="L1593">
        <v>284.95190000000002</v>
      </c>
      <c r="M1593">
        <v>-0.99992899999999996</v>
      </c>
      <c r="N1593">
        <v>-1.0496149999999999E-2</v>
      </c>
      <c r="O1593">
        <v>-5.6588580000000001E-3</v>
      </c>
      <c r="P1593">
        <v>-0.9843556</v>
      </c>
      <c r="Q1593">
        <v>0.1585454</v>
      </c>
      <c r="R1593">
        <v>-7.6860869999999998E-2</v>
      </c>
      <c r="S1593">
        <v>-3.1842959999999998</v>
      </c>
      <c r="T1593">
        <v>-0.3893123</v>
      </c>
      <c r="U1593">
        <v>0.94790649999999999</v>
      </c>
      <c r="V1593">
        <v>-7.117859E-2</v>
      </c>
      <c r="W1593">
        <v>0.1689195</v>
      </c>
      <c r="X1593">
        <v>0.98305640000000005</v>
      </c>
      <c r="Y1593">
        <v>0.28853859999999998</v>
      </c>
      <c r="Z1593">
        <v>1.9373040000000001E-2</v>
      </c>
      <c r="AA1593">
        <v>0.95727229999999996</v>
      </c>
      <c r="AB1593">
        <v>38</v>
      </c>
      <c r="AC1593">
        <v>-8.7058999999999802</v>
      </c>
      <c r="AD1593">
        <v>-1.109387343768</v>
      </c>
      <c r="AE1593">
        <v>2.7030999999999401</v>
      </c>
      <c r="AF1593">
        <v>2.7121566121032301</v>
      </c>
      <c r="AG1593">
        <v>-1.109387343768</v>
      </c>
      <c r="AH1593">
        <v>8.5636320346328798</v>
      </c>
      <c r="AI1593">
        <v>97.040413358339507</v>
      </c>
      <c r="AJ1593">
        <v>72.426674975041493</v>
      </c>
      <c r="AK1593">
        <v>9.0510953697151102</v>
      </c>
      <c r="AL1593">
        <v>80.274997913040195</v>
      </c>
      <c r="AM1593">
        <v>94.141296841205502</v>
      </c>
      <c r="AN1593">
        <v>1.00000003736779</v>
      </c>
    </row>
    <row r="1594" spans="1:40" x14ac:dyDescent="0.25">
      <c r="A1594" t="str">
        <f>"20190304155353984"</f>
        <v>20190304155353984</v>
      </c>
      <c r="B1594" t="str">
        <f>"1551686033978103"</f>
        <v>1551686033978103</v>
      </c>
      <c r="C1594" t="s">
        <v>40</v>
      </c>
      <c r="D1594">
        <v>4.3462310000000004</v>
      </c>
      <c r="E1594">
        <v>0.65173429999999999</v>
      </c>
      <c r="F1594" t="s">
        <v>63</v>
      </c>
      <c r="G1594">
        <v>-376.5095</v>
      </c>
      <c r="H1594" s="1">
        <v>1.9272349999999999E-6</v>
      </c>
      <c r="I1594">
        <v>287.78949999999998</v>
      </c>
      <c r="J1594">
        <v>-367.69470000000001</v>
      </c>
      <c r="K1594">
        <v>1.1094040000000001</v>
      </c>
      <c r="L1594">
        <v>284.94979999999998</v>
      </c>
      <c r="M1594">
        <v>-0.99993030000000005</v>
      </c>
      <c r="N1594">
        <v>-1.0482780000000001E-2</v>
      </c>
      <c r="O1594">
        <v>-5.4543480000000004E-3</v>
      </c>
      <c r="P1594">
        <v>-0.98448829999999998</v>
      </c>
      <c r="Q1594">
        <v>0.15789990000000001</v>
      </c>
      <c r="R1594">
        <v>-7.6488589999999995E-2</v>
      </c>
      <c r="S1594">
        <v>-3.1860659999999998</v>
      </c>
      <c r="T1594">
        <v>-0.38355840000000002</v>
      </c>
      <c r="U1594">
        <v>0.98107909999999998</v>
      </c>
      <c r="V1594">
        <v>-7.101565E-2</v>
      </c>
      <c r="W1594">
        <v>0.16825870000000001</v>
      </c>
      <c r="X1594">
        <v>0.98318150000000004</v>
      </c>
      <c r="Y1594">
        <v>0.29732380000000003</v>
      </c>
      <c r="Z1594">
        <v>1.9616149999999999E-2</v>
      </c>
      <c r="AA1594">
        <v>0.95457519999999996</v>
      </c>
      <c r="AB1594">
        <v>38</v>
      </c>
      <c r="AC1594">
        <v>-8.8147999999999893</v>
      </c>
      <c r="AD1594">
        <v>-1.109402072765</v>
      </c>
      <c r="AE1594">
        <v>2.8396999999999899</v>
      </c>
      <c r="AF1594">
        <v>2.8468848857815101</v>
      </c>
      <c r="AG1594">
        <v>-1.109402072765</v>
      </c>
      <c r="AH1594">
        <v>8.6746923087067405</v>
      </c>
      <c r="AI1594">
        <v>96.928220671004198</v>
      </c>
      <c r="AJ1594">
        <v>71.831053279553601</v>
      </c>
      <c r="AK1594">
        <v>9.1970545916984996</v>
      </c>
      <c r="AL1594">
        <v>80.313408759654294</v>
      </c>
      <c r="AM1594">
        <v>94.131325657310896</v>
      </c>
      <c r="AN1594">
        <v>1.0000000373064299</v>
      </c>
    </row>
    <row r="1595" spans="1:40" x14ac:dyDescent="0.25">
      <c r="A1595" t="str">
        <f>"20190304155354007"</f>
        <v>20190304155354007</v>
      </c>
      <c r="B1595" t="str">
        <f>"1551686033997623"</f>
        <v>1551686033997623</v>
      </c>
      <c r="C1595" t="s">
        <v>40</v>
      </c>
      <c r="D1595">
        <v>4.342257</v>
      </c>
      <c r="E1595">
        <v>0.65333109999999905</v>
      </c>
      <c r="F1595" t="s">
        <v>63</v>
      </c>
      <c r="G1595">
        <v>-376.92849999999999</v>
      </c>
      <c r="H1595" s="1">
        <v>2.1502219999999999E-6</v>
      </c>
      <c r="I1595">
        <v>287.85079999999999</v>
      </c>
      <c r="J1595">
        <v>-368.0813</v>
      </c>
      <c r="K1595">
        <v>1.1094269999999999</v>
      </c>
      <c r="L1595">
        <v>284.9479</v>
      </c>
      <c r="M1595">
        <v>-0.99993129999999997</v>
      </c>
      <c r="N1595">
        <v>-1.047091E-2</v>
      </c>
      <c r="O1595">
        <v>-5.2818159999999999E-3</v>
      </c>
      <c r="P1595">
        <v>-0.98461370000000004</v>
      </c>
      <c r="Q1595">
        <v>0.15711700000000001</v>
      </c>
      <c r="R1595">
        <v>-7.6488299999999995E-2</v>
      </c>
      <c r="S1595">
        <v>-3.186493</v>
      </c>
      <c r="T1595">
        <v>-0.38284180000000001</v>
      </c>
      <c r="U1595">
        <v>1.001099</v>
      </c>
      <c r="V1595">
        <v>-7.119375E-2</v>
      </c>
      <c r="W1595">
        <v>0.16746150000000001</v>
      </c>
      <c r="X1595">
        <v>0.98330470000000003</v>
      </c>
      <c r="Y1595">
        <v>0.30256309999999997</v>
      </c>
      <c r="Z1595">
        <v>1.9879750000000002E-2</v>
      </c>
      <c r="AA1595">
        <v>0.95292200000000005</v>
      </c>
      <c r="AB1595">
        <v>38</v>
      </c>
      <c r="AC1595">
        <v>-8.8471999999999795</v>
      </c>
      <c r="AD1595">
        <v>-1.1094248497779999</v>
      </c>
      <c r="AE1595">
        <v>2.9028999999999798</v>
      </c>
      <c r="AF1595">
        <v>2.9083039388655898</v>
      </c>
      <c r="AG1595">
        <v>-1.1094248497779999</v>
      </c>
      <c r="AH1595">
        <v>8.7081193306028002</v>
      </c>
      <c r="AI1595">
        <v>96.890217750219406</v>
      </c>
      <c r="AJ1595">
        <v>71.531911313086397</v>
      </c>
      <c r="AK1595">
        <v>9.2477239131660998</v>
      </c>
      <c r="AL1595">
        <v>80.359742207861203</v>
      </c>
      <c r="AM1595">
        <v>94.141133481531597</v>
      </c>
      <c r="AN1595">
        <v>1.0000000185317</v>
      </c>
    </row>
    <row r="1596" spans="1:40" x14ac:dyDescent="0.25">
      <c r="A1596" t="str">
        <f>"20190304155354029"</f>
        <v>20190304155354029</v>
      </c>
      <c r="B1596" t="str">
        <f>"1551686034018120"</f>
        <v>1551686034018120</v>
      </c>
      <c r="C1596" t="s">
        <v>40</v>
      </c>
      <c r="D1596">
        <v>4.3425719999999997</v>
      </c>
      <c r="E1596">
        <v>0.65512469999999901</v>
      </c>
      <c r="F1596" t="s">
        <v>63</v>
      </c>
      <c r="G1596">
        <v>-377.34460000000001</v>
      </c>
      <c r="H1596" s="1">
        <v>2.3716439999999998E-6</v>
      </c>
      <c r="I1596">
        <v>287.89319999999998</v>
      </c>
      <c r="J1596">
        <v>-368.46390000000002</v>
      </c>
      <c r="K1596">
        <v>1.109445</v>
      </c>
      <c r="L1596">
        <v>284.94600000000003</v>
      </c>
      <c r="M1596">
        <v>-0.99993209999999999</v>
      </c>
      <c r="N1596">
        <v>-1.046041E-2</v>
      </c>
      <c r="O1596">
        <v>-5.1325340000000002E-3</v>
      </c>
      <c r="P1596">
        <v>-0.98470449999999998</v>
      </c>
      <c r="Q1596">
        <v>0.1566015</v>
      </c>
      <c r="R1596">
        <v>-7.6373549999999998E-2</v>
      </c>
      <c r="S1596">
        <v>-3.186493</v>
      </c>
      <c r="T1596">
        <v>-0.3816309</v>
      </c>
      <c r="U1596">
        <v>1.013153</v>
      </c>
      <c r="V1596">
        <v>-7.1234450000000005E-2</v>
      </c>
      <c r="W1596">
        <v>0.16693350000000001</v>
      </c>
      <c r="X1596">
        <v>0.98339149999999997</v>
      </c>
      <c r="Y1596">
        <v>0.3056915</v>
      </c>
      <c r="Z1596">
        <v>1.9994600000000001E-2</v>
      </c>
      <c r="AA1596">
        <v>0.95192060000000001</v>
      </c>
      <c r="AB1596">
        <v>38</v>
      </c>
      <c r="AC1596">
        <v>-8.8806999999999903</v>
      </c>
      <c r="AD1596">
        <v>-1.1094426283559999</v>
      </c>
      <c r="AE1596">
        <v>2.9472</v>
      </c>
      <c r="AF1596">
        <v>2.95125390822753</v>
      </c>
      <c r="AG1596">
        <v>-1.1094426283559999</v>
      </c>
      <c r="AH1596">
        <v>8.7425483053948199</v>
      </c>
      <c r="AI1596">
        <v>96.856075944798704</v>
      </c>
      <c r="AJ1596">
        <v>71.346673206979105</v>
      </c>
      <c r="AK1596">
        <v>9.2937028922062908</v>
      </c>
      <c r="AL1596">
        <v>80.390426041980902</v>
      </c>
      <c r="AM1596">
        <v>94.143128183373506</v>
      </c>
      <c r="AN1596">
        <v>0.99999999128065098</v>
      </c>
    </row>
    <row r="1597" spans="1:40" x14ac:dyDescent="0.25">
      <c r="A1597" t="str">
        <f>"20190304155354051"</f>
        <v>20190304155354051</v>
      </c>
      <c r="B1597" t="str">
        <f>"1551686034048375"</f>
        <v>1551686034048375</v>
      </c>
      <c r="C1597" t="s">
        <v>40</v>
      </c>
      <c r="D1597">
        <v>4.3260690000000004</v>
      </c>
      <c r="E1597">
        <v>0.65749849999999999</v>
      </c>
      <c r="F1597" t="s">
        <v>63</v>
      </c>
      <c r="G1597">
        <v>-377.73559999999998</v>
      </c>
      <c r="H1597" s="1">
        <v>2.5797200000000002E-6</v>
      </c>
      <c r="I1597">
        <v>287.9359</v>
      </c>
      <c r="J1597">
        <v>-368.83819999999997</v>
      </c>
      <c r="K1597">
        <v>1.1094649999999999</v>
      </c>
      <c r="L1597">
        <v>284.94420000000002</v>
      </c>
      <c r="M1597">
        <v>-0.99993290000000001</v>
      </c>
      <c r="N1597">
        <v>-1.045126E-2</v>
      </c>
      <c r="O1597">
        <v>-5.010446E-3</v>
      </c>
      <c r="P1597">
        <v>-0.98475749999999995</v>
      </c>
      <c r="Q1597">
        <v>0.15651770000000001</v>
      </c>
      <c r="R1597">
        <v>-7.5861960000000006E-2</v>
      </c>
      <c r="S1597">
        <v>-3.1869510000000001</v>
      </c>
      <c r="T1597">
        <v>-0.38134810000000002</v>
      </c>
      <c r="U1597">
        <v>1.0277400000000001</v>
      </c>
      <c r="V1597">
        <v>-7.0851579999999997E-2</v>
      </c>
      <c r="W1597">
        <v>0.1668367</v>
      </c>
      <c r="X1597">
        <v>0.98343559999999997</v>
      </c>
      <c r="Y1597">
        <v>0.30946659999999998</v>
      </c>
      <c r="Z1597">
        <v>2.0192709999999999E-2</v>
      </c>
      <c r="AA1597">
        <v>0.95069590000000004</v>
      </c>
      <c r="AB1597">
        <v>38</v>
      </c>
      <c r="AC1597">
        <v>-8.8973999999999993</v>
      </c>
      <c r="AD1597">
        <v>-1.1094624202800001</v>
      </c>
      <c r="AE1597">
        <v>2.9916999999999798</v>
      </c>
      <c r="AF1597">
        <v>2.9944143994975598</v>
      </c>
      <c r="AG1597">
        <v>-1.1094624202800001</v>
      </c>
      <c r="AH1597">
        <v>8.7599261067679404</v>
      </c>
      <c r="AI1597">
        <v>96.833942299757297</v>
      </c>
      <c r="AJ1597">
        <v>71.127980929485105</v>
      </c>
      <c r="AK1597">
        <v>9.3238259236198999</v>
      </c>
      <c r="AL1597">
        <v>80.396051292139205</v>
      </c>
      <c r="AM1597">
        <v>94.120752517765993</v>
      </c>
      <c r="AN1597">
        <v>1.00000000510137</v>
      </c>
    </row>
    <row r="1598" spans="1:40" x14ac:dyDescent="0.25">
      <c r="A1598" t="str">
        <f>"20190304155354073"</f>
        <v>20190304155354073</v>
      </c>
      <c r="B1598" t="str">
        <f>"1551686034067895"</f>
        <v>1551686034067895</v>
      </c>
      <c r="C1598" t="s">
        <v>40</v>
      </c>
      <c r="D1598">
        <v>4.3168220000000002</v>
      </c>
      <c r="E1598">
        <v>0.65968640000000001</v>
      </c>
      <c r="F1598" t="s">
        <v>63</v>
      </c>
      <c r="G1598">
        <v>-378.19200000000001</v>
      </c>
      <c r="H1598" s="1">
        <v>2.8225620000000001E-6</v>
      </c>
      <c r="I1598">
        <v>288.02019999999999</v>
      </c>
      <c r="J1598">
        <v>-369.21929999999998</v>
      </c>
      <c r="K1598">
        <v>1.1094889999999999</v>
      </c>
      <c r="L1598">
        <v>284.94240000000002</v>
      </c>
      <c r="M1598">
        <v>-0.99993350000000003</v>
      </c>
      <c r="N1598">
        <v>-1.04432E-2</v>
      </c>
      <c r="O1598">
        <v>-4.9131870000000003E-3</v>
      </c>
      <c r="P1598">
        <v>-0.98471549999999997</v>
      </c>
      <c r="Q1598">
        <v>0.1568059</v>
      </c>
      <c r="R1598">
        <v>-7.5813619999999998E-2</v>
      </c>
      <c r="S1598">
        <v>-3.1872859999999998</v>
      </c>
      <c r="T1598">
        <v>-0.37804840000000001</v>
      </c>
      <c r="U1598">
        <v>1.048157</v>
      </c>
      <c r="V1598">
        <v>-7.0909199999999895E-2</v>
      </c>
      <c r="W1598">
        <v>0.16711219999999999</v>
      </c>
      <c r="X1598">
        <v>0.9833847</v>
      </c>
      <c r="Y1598">
        <v>0.31485059999999998</v>
      </c>
      <c r="Z1598">
        <v>2.0342530000000001E-2</v>
      </c>
      <c r="AA1598">
        <v>0.94892319999999997</v>
      </c>
      <c r="AB1598">
        <v>38</v>
      </c>
      <c r="AC1598">
        <v>-8.9726999999999695</v>
      </c>
      <c r="AD1598">
        <v>-1.109486177438</v>
      </c>
      <c r="AE1598">
        <v>3.0777999999999599</v>
      </c>
      <c r="AF1598">
        <v>3.0797191360886198</v>
      </c>
      <c r="AG1598">
        <v>-1.109486177438</v>
      </c>
      <c r="AH1598">
        <v>8.83658428152299</v>
      </c>
      <c r="AI1598">
        <v>96.761522066472395</v>
      </c>
      <c r="AJ1598">
        <v>70.7855740003276</v>
      </c>
      <c r="AK1598">
        <v>9.4234203609716793</v>
      </c>
      <c r="AL1598">
        <v>80.380041839138499</v>
      </c>
      <c r="AM1598">
        <v>94.1243048851194</v>
      </c>
      <c r="AN1598">
        <v>1.0000000351137801</v>
      </c>
    </row>
    <row r="1599" spans="1:40" x14ac:dyDescent="0.25">
      <c r="A1599" t="str">
        <f>"20190304155354096"</f>
        <v>20190304155354096</v>
      </c>
      <c r="B1599" t="str">
        <f>"1551686034088392"</f>
        <v>1551686034088392</v>
      </c>
      <c r="C1599" t="s">
        <v>40</v>
      </c>
      <c r="D1599">
        <v>4.2923589999999896</v>
      </c>
      <c r="E1599">
        <v>0.66199240000000004</v>
      </c>
      <c r="F1599" t="s">
        <v>63</v>
      </c>
      <c r="G1599">
        <v>-378.67259999999999</v>
      </c>
      <c r="H1599" s="1">
        <v>3.078338E-6</v>
      </c>
      <c r="I1599">
        <v>288.1019</v>
      </c>
      <c r="J1599">
        <v>-369.60199999999998</v>
      </c>
      <c r="K1599">
        <v>1.109518</v>
      </c>
      <c r="L1599">
        <v>284.94060000000002</v>
      </c>
      <c r="M1599">
        <v>-0.99993399999999999</v>
      </c>
      <c r="N1599">
        <v>-1.043669E-2</v>
      </c>
      <c r="O1599">
        <v>-4.8427749999999997E-3</v>
      </c>
      <c r="P1599">
        <v>-0.98468529999999999</v>
      </c>
      <c r="Q1599">
        <v>0.15720390000000001</v>
      </c>
      <c r="R1599">
        <v>-7.5381699999999996E-2</v>
      </c>
      <c r="S1599">
        <v>-3.1881710000000001</v>
      </c>
      <c r="T1599">
        <v>-0.37418079999999998</v>
      </c>
      <c r="U1599">
        <v>1.0655520000000001</v>
      </c>
      <c r="V1599">
        <v>-7.0556549999999996E-2</v>
      </c>
      <c r="W1599">
        <v>0.1674995</v>
      </c>
      <c r="X1599">
        <v>0.98334410000000005</v>
      </c>
      <c r="Y1599">
        <v>0.31938460000000002</v>
      </c>
      <c r="Z1599">
        <v>2.0407720000000001E-2</v>
      </c>
      <c r="AA1599">
        <v>0.94740539999999995</v>
      </c>
      <c r="AB1599">
        <v>38</v>
      </c>
      <c r="AC1599">
        <v>-9.0706000000000095</v>
      </c>
      <c r="AD1599">
        <v>-1.1095149216619999</v>
      </c>
      <c r="AE1599">
        <v>3.1612999999999798</v>
      </c>
      <c r="AF1599">
        <v>3.16299282571689</v>
      </c>
      <c r="AG1599">
        <v>-1.1095149216619999</v>
      </c>
      <c r="AH1599">
        <v>8.9359633533557901</v>
      </c>
      <c r="AI1599">
        <v>96.675913910829493</v>
      </c>
      <c r="AJ1599">
        <v>70.507963953184898</v>
      </c>
      <c r="AK1599">
        <v>9.5439503367025598</v>
      </c>
      <c r="AL1599">
        <v>80.357533245415794</v>
      </c>
      <c r="AM1599">
        <v>94.104032752623098</v>
      </c>
      <c r="AN1599">
        <v>0.99999996412647996</v>
      </c>
    </row>
    <row r="1600" spans="1:40" x14ac:dyDescent="0.25">
      <c r="A1600" t="str">
        <f>"20190304155354117"</f>
        <v>20190304155354117</v>
      </c>
      <c r="B1600" t="str">
        <f>"1551686034107912"</f>
        <v>1551686034107912</v>
      </c>
      <c r="C1600" t="s">
        <v>40</v>
      </c>
      <c r="D1600">
        <v>4.3517270000000003</v>
      </c>
      <c r="E1600">
        <v>0.66322429999999999</v>
      </c>
      <c r="F1600" t="s">
        <v>63</v>
      </c>
      <c r="G1600">
        <v>-379.14609999999999</v>
      </c>
      <c r="H1600" s="1">
        <v>3.3303300000000001E-6</v>
      </c>
      <c r="I1600">
        <v>288.18889999999999</v>
      </c>
      <c r="J1600">
        <v>-369.9744</v>
      </c>
      <c r="K1600">
        <v>1.109545</v>
      </c>
      <c r="L1600">
        <v>284.93880000000001</v>
      </c>
      <c r="M1600">
        <v>-0.99993410000000005</v>
      </c>
      <c r="N1600">
        <v>-1.043175E-2</v>
      </c>
      <c r="O1600">
        <v>-4.7969070000000004E-3</v>
      </c>
      <c r="P1600">
        <v>-0.98470100000000005</v>
      </c>
      <c r="Q1600">
        <v>0.157219</v>
      </c>
      <c r="R1600">
        <v>-7.5144429999999998E-2</v>
      </c>
      <c r="S1600">
        <v>-3.188965</v>
      </c>
      <c r="T1600">
        <v>-0.37072100000000002</v>
      </c>
      <c r="U1600">
        <v>1.085358</v>
      </c>
      <c r="V1600">
        <v>-7.0373610000000003E-2</v>
      </c>
      <c r="W1600">
        <v>0.16750519999999999</v>
      </c>
      <c r="X1600">
        <v>0.98335629999999996</v>
      </c>
      <c r="Y1600">
        <v>0.32455879999999998</v>
      </c>
      <c r="Z1600">
        <v>2.0528810000000002E-2</v>
      </c>
      <c r="AA1600">
        <v>0.94564269999999995</v>
      </c>
      <c r="AB1600">
        <v>38</v>
      </c>
      <c r="AC1600">
        <v>-9.17169999999998</v>
      </c>
      <c r="AD1600">
        <v>-1.10954166967</v>
      </c>
      <c r="AE1600">
        <v>3.25009999999997</v>
      </c>
      <c r="AF1600">
        <v>3.2517807449779199</v>
      </c>
      <c r="AG1600">
        <v>-1.10954166967</v>
      </c>
      <c r="AH1600">
        <v>9.0384837415907509</v>
      </c>
      <c r="AI1600">
        <v>96.589001886441395</v>
      </c>
      <c r="AJ1600">
        <v>70.2127600182409</v>
      </c>
      <c r="AK1600">
        <v>9.6695061444286594</v>
      </c>
      <c r="AL1600">
        <v>80.3572025706587</v>
      </c>
      <c r="AM1600">
        <v>94.093377366321604</v>
      </c>
      <c r="AN1600">
        <v>1.00000002488058</v>
      </c>
    </row>
    <row r="1601" spans="1:40" x14ac:dyDescent="0.25">
      <c r="A1601" t="str">
        <f>"20190304155354141"</f>
        <v>20190304155354141</v>
      </c>
      <c r="B1601" t="str">
        <f>"1551686034138167"</f>
        <v>1551686034138167</v>
      </c>
      <c r="C1601" t="s">
        <v>40</v>
      </c>
      <c r="D1601">
        <v>4.3297059999999998</v>
      </c>
      <c r="E1601">
        <v>0.66522569999999903</v>
      </c>
      <c r="F1601" t="s">
        <v>63</v>
      </c>
      <c r="G1601">
        <v>-379.60599999999999</v>
      </c>
      <c r="H1601" s="1">
        <v>3.5750390000000001E-6</v>
      </c>
      <c r="I1601">
        <v>288.24849999999998</v>
      </c>
      <c r="J1601">
        <v>-370.3673</v>
      </c>
      <c r="K1601">
        <v>1.1095660000000001</v>
      </c>
      <c r="L1601">
        <v>284.93700000000001</v>
      </c>
      <c r="M1601">
        <v>-0.99993430000000005</v>
      </c>
      <c r="N1601">
        <v>-1.042774E-2</v>
      </c>
      <c r="O1601">
        <v>-4.7667569999999999E-3</v>
      </c>
      <c r="P1601">
        <v>-0.98468639999999996</v>
      </c>
      <c r="Q1601">
        <v>0.15734010000000001</v>
      </c>
      <c r="R1601">
        <v>-7.5076970000000007E-2</v>
      </c>
      <c r="S1601">
        <v>-3.1888429999999999</v>
      </c>
      <c r="T1601">
        <v>-0.3673476</v>
      </c>
      <c r="U1601">
        <v>1.095764</v>
      </c>
      <c r="V1601">
        <v>-7.0345030000000003E-2</v>
      </c>
      <c r="W1601">
        <v>0.1676185</v>
      </c>
      <c r="X1601">
        <v>0.98333899999999996</v>
      </c>
      <c r="Y1601">
        <v>0.32732499999999998</v>
      </c>
      <c r="Z1601">
        <v>2.0516E-2</v>
      </c>
      <c r="AA1601">
        <v>0.94468909999999995</v>
      </c>
      <c r="AB1601">
        <v>38</v>
      </c>
      <c r="AC1601">
        <v>-9.2386999999999908</v>
      </c>
      <c r="AD1601">
        <v>-1.1095624249609899</v>
      </c>
      <c r="AE1601">
        <v>3.3114999999999601</v>
      </c>
      <c r="AF1601">
        <v>3.3131556291712099</v>
      </c>
      <c r="AG1601">
        <v>-1.1095624249609899</v>
      </c>
      <c r="AH1601">
        <v>9.1064135679834202</v>
      </c>
      <c r="AI1601">
        <v>96.531991568013197</v>
      </c>
      <c r="AJ1601">
        <v>70.007266496020407</v>
      </c>
      <c r="AK1601">
        <v>9.7537119636139895</v>
      </c>
      <c r="AL1601">
        <v>80.350617491086396</v>
      </c>
      <c r="AM1601">
        <v>94.0917923605911</v>
      </c>
      <c r="AN1601">
        <v>0.999999986854475</v>
      </c>
    </row>
    <row r="1602" spans="1:40" x14ac:dyDescent="0.25">
      <c r="A1602" t="str">
        <f>"20190304155354163"</f>
        <v>20190304155354163</v>
      </c>
      <c r="B1602" t="str">
        <f>"1551686034157688"</f>
        <v>1551686034157688</v>
      </c>
      <c r="C1602" t="s">
        <v>40</v>
      </c>
      <c r="D1602">
        <v>4.3370199999999999</v>
      </c>
      <c r="E1602">
        <v>0.66628569999999998</v>
      </c>
      <c r="F1602" t="s">
        <v>63</v>
      </c>
      <c r="G1602">
        <v>-380.12729999999999</v>
      </c>
      <c r="H1602" s="1">
        <v>-1.46902899999999E-6</v>
      </c>
      <c r="I1602">
        <v>288.34039999999999</v>
      </c>
      <c r="J1602">
        <v>-370.74439999999998</v>
      </c>
      <c r="K1602">
        <v>1.1095790000000001</v>
      </c>
      <c r="L1602">
        <v>284.93520000000001</v>
      </c>
      <c r="M1602">
        <v>-0.9999344</v>
      </c>
      <c r="N1602">
        <v>-1.0425E-2</v>
      </c>
      <c r="O1602">
        <v>-4.7512099999999996E-3</v>
      </c>
      <c r="P1602">
        <v>-0.98472389999999999</v>
      </c>
      <c r="Q1602">
        <v>0.1569266</v>
      </c>
      <c r="R1602">
        <v>-7.5449080000000002E-2</v>
      </c>
      <c r="S1602">
        <v>-3.1893919999999998</v>
      </c>
      <c r="T1602">
        <v>-0.36258459999999998</v>
      </c>
      <c r="U1602">
        <v>1.112152</v>
      </c>
      <c r="V1602">
        <v>-7.0739300000000005E-2</v>
      </c>
      <c r="W1602">
        <v>0.16720009999999999</v>
      </c>
      <c r="X1602">
        <v>0.98338199999999998</v>
      </c>
      <c r="Y1602">
        <v>0.33162199999999997</v>
      </c>
      <c r="Z1602">
        <v>2.0514480000000002E-2</v>
      </c>
      <c r="AA1602">
        <v>0.94318930000000001</v>
      </c>
      <c r="AB1602">
        <v>38</v>
      </c>
      <c r="AC1602">
        <v>-9.3828999999999994</v>
      </c>
      <c r="AD1602">
        <v>-1.1095804690289901</v>
      </c>
      <c r="AE1602">
        <v>3.4051999999999798</v>
      </c>
      <c r="AF1602">
        <v>3.4076363244661199</v>
      </c>
      <c r="AG1602">
        <v>-1.1095804690289901</v>
      </c>
      <c r="AH1602">
        <v>9.2522849194507408</v>
      </c>
      <c r="AI1602">
        <v>96.420776004718704</v>
      </c>
      <c r="AJ1602">
        <v>69.781139794005796</v>
      </c>
      <c r="AK1602">
        <v>9.9220930436963393</v>
      </c>
      <c r="AL1602">
        <v>80.374933717717198</v>
      </c>
      <c r="AM1602">
        <v>94.114468196243806</v>
      </c>
      <c r="AN1602">
        <v>1.0000000399642399</v>
      </c>
    </row>
    <row r="1603" spans="1:40" x14ac:dyDescent="0.25">
      <c r="A1603" t="str">
        <f>"20190304155354184"</f>
        <v>20190304155354184</v>
      </c>
      <c r="B1603" t="str">
        <f>"1551686034178196"</f>
        <v>1551686034178196</v>
      </c>
      <c r="C1603" t="s">
        <v>40</v>
      </c>
      <c r="D1603">
        <v>4.3858249999999996</v>
      </c>
      <c r="E1603">
        <v>0.66721619999999904</v>
      </c>
      <c r="F1603" t="s">
        <v>63</v>
      </c>
      <c r="G1603">
        <v>-380.53289999999998</v>
      </c>
      <c r="H1603" s="1">
        <v>-1.2532280000000001E-6</v>
      </c>
      <c r="I1603">
        <v>288.37079999999997</v>
      </c>
      <c r="J1603">
        <v>-371.12049999999999</v>
      </c>
      <c r="K1603">
        <v>1.1095870000000001</v>
      </c>
      <c r="L1603">
        <v>284.93340000000001</v>
      </c>
      <c r="M1603">
        <v>-0.9999344</v>
      </c>
      <c r="N1603">
        <v>-1.042325E-2</v>
      </c>
      <c r="O1603">
        <v>-4.744084E-3</v>
      </c>
      <c r="P1603">
        <v>-0.98464739999999995</v>
      </c>
      <c r="Q1603">
        <v>0.15724449999999901</v>
      </c>
      <c r="R1603">
        <v>-7.5787399999999894E-2</v>
      </c>
      <c r="S1603">
        <v>-3.1899410000000001</v>
      </c>
      <c r="T1603">
        <v>-0.36159809999999998</v>
      </c>
      <c r="U1603">
        <v>1.1195980000000001</v>
      </c>
      <c r="V1603">
        <v>-7.1089949999999999E-2</v>
      </c>
      <c r="W1603">
        <v>0.16751359999999901</v>
      </c>
      <c r="X1603">
        <v>0.98330329999999999</v>
      </c>
      <c r="Y1603">
        <v>0.33352710000000002</v>
      </c>
      <c r="Z1603">
        <v>2.0568090000000001E-2</v>
      </c>
      <c r="AA1603">
        <v>0.94251609999999997</v>
      </c>
      <c r="AB1603">
        <v>38</v>
      </c>
      <c r="AC1603">
        <v>-9.4123999999999892</v>
      </c>
      <c r="AD1603">
        <v>-1.1095882532279999</v>
      </c>
      <c r="AE1603">
        <v>3.4373999999999598</v>
      </c>
      <c r="AF1603">
        <v>3.4398386481625201</v>
      </c>
      <c r="AG1603">
        <v>-1.1095882532279999</v>
      </c>
      <c r="AH1603">
        <v>9.2821705709304592</v>
      </c>
      <c r="AI1603">
        <v>96.395609710892799</v>
      </c>
      <c r="AJ1603">
        <v>69.666020280838097</v>
      </c>
      <c r="AK1603">
        <v>9.9610424416795595</v>
      </c>
      <c r="AL1603">
        <v>80.356713985323495</v>
      </c>
      <c r="AM1603">
        <v>94.135122563599694</v>
      </c>
      <c r="AN1603">
        <v>0.999999983483426</v>
      </c>
    </row>
    <row r="1604" spans="1:40" x14ac:dyDescent="0.25">
      <c r="A1604" t="str">
        <f>"20190304155354208"</f>
        <v>20190304155354208</v>
      </c>
      <c r="B1604" t="str">
        <f>"1551686034197707"</f>
        <v>1551686034197707</v>
      </c>
      <c r="C1604" t="s">
        <v>40</v>
      </c>
      <c r="D1604">
        <v>4.4037750000000004</v>
      </c>
      <c r="E1604">
        <v>0.66809019999999997</v>
      </c>
      <c r="F1604" t="s">
        <v>63</v>
      </c>
      <c r="G1604">
        <v>-380.99650000000003</v>
      </c>
      <c r="H1604" s="1">
        <v>-1.0064959999999999E-6</v>
      </c>
      <c r="I1604">
        <v>288.41809999999998</v>
      </c>
      <c r="J1604">
        <v>-371.51769999999999</v>
      </c>
      <c r="K1604">
        <v>1.109591</v>
      </c>
      <c r="L1604">
        <v>284.93150000000003</v>
      </c>
      <c r="M1604">
        <v>-0.99993469999999995</v>
      </c>
      <c r="N1604">
        <v>-1.0422249999999999E-2</v>
      </c>
      <c r="O1604">
        <v>-4.7421729999999997E-3</v>
      </c>
      <c r="P1604">
        <v>-0.98467530000000003</v>
      </c>
      <c r="Q1604">
        <v>0.15687690000000001</v>
      </c>
      <c r="R1604">
        <v>-7.6187409999999997E-2</v>
      </c>
      <c r="S1604">
        <v>-3.1907040000000002</v>
      </c>
      <c r="T1604">
        <v>-0.35847970000000001</v>
      </c>
      <c r="U1604">
        <v>1.125793</v>
      </c>
      <c r="V1604">
        <v>-7.1495400000000001E-2</v>
      </c>
      <c r="W1604">
        <v>0.16714370000000001</v>
      </c>
      <c r="X1604">
        <v>0.98333689999999996</v>
      </c>
      <c r="Y1604">
        <v>0.33511010000000002</v>
      </c>
      <c r="Z1604">
        <v>2.049138E-2</v>
      </c>
      <c r="AA1604">
        <v>0.94195609999999996</v>
      </c>
      <c r="AB1604">
        <v>38</v>
      </c>
      <c r="AC1604">
        <v>-9.4788000000000299</v>
      </c>
      <c r="AD1604">
        <v>-1.1095920064960001</v>
      </c>
      <c r="AE1604">
        <v>3.48659999999995</v>
      </c>
      <c r="AF1604">
        <v>3.4893961219182099</v>
      </c>
      <c r="AG1604">
        <v>-1.1095920064960001</v>
      </c>
      <c r="AH1604">
        <v>9.3493117297511894</v>
      </c>
      <c r="AI1604">
        <v>96.344649371371901</v>
      </c>
      <c r="AJ1604">
        <v>69.533172447208898</v>
      </c>
      <c r="AK1604">
        <v>10.040752438766701</v>
      </c>
      <c r="AL1604">
        <v>80.378211262772496</v>
      </c>
      <c r="AM1604">
        <v>94.158482457369601</v>
      </c>
      <c r="AN1604">
        <v>1.00000003378622</v>
      </c>
    </row>
    <row r="1605" spans="1:40" x14ac:dyDescent="0.25">
      <c r="A1605" t="str">
        <f>"20190304155354230"</f>
        <v>20190304155354230</v>
      </c>
      <c r="B1605" t="str">
        <f>"1551686034218200"</f>
        <v>1551686034218200</v>
      </c>
      <c r="C1605" t="s">
        <v>40</v>
      </c>
      <c r="D1605">
        <v>4.3911769999999999</v>
      </c>
      <c r="E1605">
        <v>0.66881979999999996</v>
      </c>
      <c r="F1605" t="s">
        <v>63</v>
      </c>
      <c r="G1605">
        <v>-381.41860000000003</v>
      </c>
      <c r="H1605" s="1">
        <v>-7.8189330000000003E-7</v>
      </c>
      <c r="I1605">
        <v>288.44319999999999</v>
      </c>
      <c r="J1605">
        <v>-371.91090000000003</v>
      </c>
      <c r="K1605">
        <v>1.109604</v>
      </c>
      <c r="L1605">
        <v>284.92970000000003</v>
      </c>
      <c r="M1605">
        <v>-0.99993449999999995</v>
      </c>
      <c r="N1605">
        <v>-1.042187E-2</v>
      </c>
      <c r="O1605">
        <v>-4.7425039999999998E-3</v>
      </c>
      <c r="P1605">
        <v>-0.98463889999999998</v>
      </c>
      <c r="Q1605">
        <v>0.15688949999999999</v>
      </c>
      <c r="R1605">
        <v>-7.6629589999999997E-2</v>
      </c>
      <c r="S1605">
        <v>-3.191284</v>
      </c>
      <c r="T1605">
        <v>-0.35764859999999998</v>
      </c>
      <c r="U1605">
        <v>1.1318969999999999</v>
      </c>
      <c r="V1605">
        <v>-7.1941179999999993E-2</v>
      </c>
      <c r="W1605">
        <v>0.16715450000000001</v>
      </c>
      <c r="X1605">
        <v>0.98330249999999997</v>
      </c>
      <c r="Y1605">
        <v>0.33665929999999999</v>
      </c>
      <c r="Z1605">
        <v>2.0532069999999999E-2</v>
      </c>
      <c r="AA1605">
        <v>0.94140270000000004</v>
      </c>
      <c r="AB1605">
        <v>38</v>
      </c>
      <c r="AC1605">
        <v>-9.5076999999999998</v>
      </c>
      <c r="AD1605">
        <v>-1.1096047818932999</v>
      </c>
      <c r="AE1605">
        <v>3.5134999999999601</v>
      </c>
      <c r="AF1605">
        <v>3.5164134225130699</v>
      </c>
      <c r="AG1605">
        <v>-1.1096047818932999</v>
      </c>
      <c r="AH1605">
        <v>9.3785393216996198</v>
      </c>
      <c r="AI1605">
        <v>96.321574091287502</v>
      </c>
      <c r="AJ1605">
        <v>69.446840797990305</v>
      </c>
      <c r="AK1605">
        <v>10.0773699911582</v>
      </c>
      <c r="AL1605">
        <v>80.377583149068002</v>
      </c>
      <c r="AM1605">
        <v>94.184465010485397</v>
      </c>
      <c r="AN1605">
        <v>0.999999983378146</v>
      </c>
    </row>
    <row r="1606" spans="1:40" x14ac:dyDescent="0.25">
      <c r="A1606" t="str">
        <f>"20190304155354252"</f>
        <v>20190304155354252</v>
      </c>
      <c r="B1606" t="str">
        <f>"1551686034247480"</f>
        <v>1551686034247480</v>
      </c>
      <c r="C1606" t="s">
        <v>40</v>
      </c>
      <c r="D1606">
        <v>4.3661379999999896</v>
      </c>
      <c r="E1606">
        <v>0.67014039999999997</v>
      </c>
      <c r="F1606" t="s">
        <v>63</v>
      </c>
      <c r="G1606">
        <v>-381.86509999999998</v>
      </c>
      <c r="H1606" s="1">
        <v>-5.4430420000000001E-7</v>
      </c>
      <c r="I1606">
        <v>288.47370000000001</v>
      </c>
      <c r="J1606">
        <v>-372.2817</v>
      </c>
      <c r="K1606">
        <v>1.109607</v>
      </c>
      <c r="L1606">
        <v>284.928</v>
      </c>
      <c r="M1606">
        <v>-0.99993460000000001</v>
      </c>
      <c r="N1606">
        <v>-1.04222E-2</v>
      </c>
      <c r="O1606">
        <v>-4.7438879999999999E-3</v>
      </c>
      <c r="P1606">
        <v>-0.98464229999999997</v>
      </c>
      <c r="Q1606">
        <v>0.15679360000000001</v>
      </c>
      <c r="R1606">
        <v>-7.6782729999999993E-2</v>
      </c>
      <c r="S1606">
        <v>-3.1919249999999999</v>
      </c>
      <c r="T1606">
        <v>-0.35581059999999998</v>
      </c>
      <c r="U1606">
        <v>1.136414</v>
      </c>
      <c r="V1606">
        <v>-7.2095220000000002E-2</v>
      </c>
      <c r="W1606">
        <v>0.1670576</v>
      </c>
      <c r="X1606">
        <v>0.98330770000000001</v>
      </c>
      <c r="Y1606">
        <v>0.33779880000000001</v>
      </c>
      <c r="Z1606">
        <v>2.0496480000000001E-2</v>
      </c>
      <c r="AA1606">
        <v>0.94099520000000003</v>
      </c>
      <c r="AB1606">
        <v>38</v>
      </c>
      <c r="AC1606">
        <v>-9.5833999999999797</v>
      </c>
      <c r="AD1606">
        <v>-1.1096075443041999</v>
      </c>
      <c r="AE1606">
        <v>3.5457000000000098</v>
      </c>
      <c r="AF1606">
        <v>3.5492726440295601</v>
      </c>
      <c r="AG1606">
        <v>-1.1096075443041999</v>
      </c>
      <c r="AH1606">
        <v>9.45497913797767</v>
      </c>
      <c r="AI1606">
        <v>96.269982449374993</v>
      </c>
      <c r="AJ1606">
        <v>69.424536674839302</v>
      </c>
      <c r="AK1606">
        <v>10.159980103505401</v>
      </c>
      <c r="AL1606">
        <v>80.383214428850295</v>
      </c>
      <c r="AM1606">
        <v>94.193370736415204</v>
      </c>
      <c r="AN1606">
        <v>0.99999999767194903</v>
      </c>
    </row>
    <row r="1607" spans="1:40" x14ac:dyDescent="0.25">
      <c r="A1607" t="str">
        <f>"20190304155354273"</f>
        <v>20190304155354273</v>
      </c>
      <c r="B1607" t="str">
        <f>"1551686034267975"</f>
        <v>1551686034267975</v>
      </c>
      <c r="C1607" t="s">
        <v>40</v>
      </c>
      <c r="D1607">
        <v>4.3900920000000001</v>
      </c>
      <c r="E1607">
        <v>0.67084519999999903</v>
      </c>
      <c r="F1607" t="s">
        <v>63</v>
      </c>
      <c r="G1607">
        <v>-382.28739999999999</v>
      </c>
      <c r="H1607" s="1">
        <v>-3.1953229999999998E-7</v>
      </c>
      <c r="I1607">
        <v>288.5206</v>
      </c>
      <c r="J1607">
        <v>-372.66370000000001</v>
      </c>
      <c r="K1607">
        <v>1.109615</v>
      </c>
      <c r="L1607">
        <v>284.92610000000002</v>
      </c>
      <c r="M1607">
        <v>-0.9999344</v>
      </c>
      <c r="N1607">
        <v>-1.042322E-2</v>
      </c>
      <c r="O1607">
        <v>-4.7444319999999998E-3</v>
      </c>
      <c r="P1607">
        <v>-0.98467959999999999</v>
      </c>
      <c r="Q1607">
        <v>0.15648219999999999</v>
      </c>
      <c r="R1607">
        <v>-7.69368E-2</v>
      </c>
      <c r="S1607">
        <v>-3.1925659999999998</v>
      </c>
      <c r="T1607">
        <v>-0.35404679999999999</v>
      </c>
      <c r="U1607">
        <v>1.146301</v>
      </c>
      <c r="V1607">
        <v>-7.2250049999999996E-2</v>
      </c>
      <c r="W1607">
        <v>0.1667469</v>
      </c>
      <c r="X1607">
        <v>0.98334909999999998</v>
      </c>
      <c r="Y1607">
        <v>0.34032990000000002</v>
      </c>
      <c r="Z1607">
        <v>2.05417E-2</v>
      </c>
      <c r="AA1607">
        <v>0.94008170000000002</v>
      </c>
      <c r="AB1607">
        <v>39</v>
      </c>
      <c r="AC1607">
        <v>-9.6236999999999799</v>
      </c>
      <c r="AD1607">
        <v>-1.1096153195323</v>
      </c>
      <c r="AE1607">
        <v>3.59449999999998</v>
      </c>
      <c r="AF1607">
        <v>3.5981429347458902</v>
      </c>
      <c r="AG1607">
        <v>-1.1096153195323</v>
      </c>
      <c r="AH1607">
        <v>9.49575377216145</v>
      </c>
      <c r="AI1607">
        <v>96.236090865007597</v>
      </c>
      <c r="AJ1607">
        <v>69.247237015414299</v>
      </c>
      <c r="AK1607">
        <v>10.2150486263023</v>
      </c>
      <c r="AL1607">
        <v>80.401269746701999</v>
      </c>
      <c r="AM1607">
        <v>94.202167804022807</v>
      </c>
      <c r="AN1607">
        <v>1.0000000254277099</v>
      </c>
    </row>
    <row r="1608" spans="1:40" x14ac:dyDescent="0.25">
      <c r="A1608" t="str">
        <f>"20190304155354296"</f>
        <v>20190304155354296</v>
      </c>
      <c r="B1608" t="str">
        <f>"1551686034287496"</f>
        <v>1551686034287496</v>
      </c>
      <c r="C1608" t="s">
        <v>40</v>
      </c>
      <c r="D1608">
        <v>4.4146580000000002</v>
      </c>
      <c r="E1608">
        <v>0.67165909999999995</v>
      </c>
      <c r="F1608" t="s">
        <v>63</v>
      </c>
      <c r="G1608">
        <v>-382.68650000000002</v>
      </c>
      <c r="H1608" s="1">
        <v>-1.0715889999999999E-7</v>
      </c>
      <c r="I1608">
        <v>288.54149999999998</v>
      </c>
      <c r="J1608">
        <v>-373.04989999999998</v>
      </c>
      <c r="K1608">
        <v>1.109618</v>
      </c>
      <c r="L1608">
        <v>284.92430000000002</v>
      </c>
      <c r="M1608">
        <v>-0.99993460000000001</v>
      </c>
      <c r="N1608">
        <v>-1.042483E-2</v>
      </c>
      <c r="O1608">
        <v>-4.7448509999999996E-3</v>
      </c>
      <c r="P1608">
        <v>-0.98467879999999997</v>
      </c>
      <c r="Q1608">
        <v>0.15641440000000001</v>
      </c>
      <c r="R1608">
        <v>-7.7090149999999996E-2</v>
      </c>
      <c r="S1608">
        <v>-3.192841</v>
      </c>
      <c r="T1608">
        <v>-0.35347460000000003</v>
      </c>
      <c r="U1608">
        <v>1.1517029999999999</v>
      </c>
      <c r="V1608">
        <v>-7.2404679999999999E-2</v>
      </c>
      <c r="W1608">
        <v>0.1666801</v>
      </c>
      <c r="X1608">
        <v>0.98334900000000003</v>
      </c>
      <c r="Y1608">
        <v>0.34171190000000001</v>
      </c>
      <c r="Z1608">
        <v>2.0587060000000001E-2</v>
      </c>
      <c r="AA1608">
        <v>0.93957919999999995</v>
      </c>
      <c r="AB1608">
        <v>39</v>
      </c>
      <c r="AC1608">
        <v>-9.6366000000000405</v>
      </c>
      <c r="AD1608">
        <v>-1.1096181071589</v>
      </c>
      <c r="AE1608">
        <v>3.61719999999996</v>
      </c>
      <c r="AF1608">
        <v>3.6208076095386201</v>
      </c>
      <c r="AG1608">
        <v>-1.1096181071589</v>
      </c>
      <c r="AH1608">
        <v>9.5088229289622301</v>
      </c>
      <c r="AI1608">
        <v>96.223783333769404</v>
      </c>
      <c r="AJ1608">
        <v>69.153967403133706</v>
      </c>
      <c r="AK1608">
        <v>10.2351948483351</v>
      </c>
      <c r="AL1608">
        <v>80.405150935136504</v>
      </c>
      <c r="AM1608">
        <v>94.211129416943507</v>
      </c>
      <c r="AN1608">
        <v>0.99999997461145596</v>
      </c>
    </row>
    <row r="1609" spans="1:40" x14ac:dyDescent="0.25">
      <c r="A1609" t="str">
        <f>"20190304155354318"</f>
        <v>20190304155354318</v>
      </c>
      <c r="B1609" t="str">
        <f>"1551686034307992"</f>
        <v>1551686034307992</v>
      </c>
      <c r="C1609" t="s">
        <v>40</v>
      </c>
      <c r="D1609">
        <v>4.3960599999999896</v>
      </c>
      <c r="E1609">
        <v>0.67246209999999995</v>
      </c>
      <c r="F1609" t="s">
        <v>63</v>
      </c>
      <c r="G1609">
        <v>-383.10950000000003</v>
      </c>
      <c r="H1609" s="1">
        <v>1.179464E-7</v>
      </c>
      <c r="I1609">
        <v>288.57069999999999</v>
      </c>
      <c r="J1609">
        <v>-373.42989999999998</v>
      </c>
      <c r="K1609">
        <v>1.109612</v>
      </c>
      <c r="L1609">
        <v>284.92250000000001</v>
      </c>
      <c r="M1609">
        <v>-0.99993460000000001</v>
      </c>
      <c r="N1609">
        <v>-1.042684E-2</v>
      </c>
      <c r="O1609">
        <v>-4.7445459999999997E-3</v>
      </c>
      <c r="P1609">
        <v>-0.98463940000000005</v>
      </c>
      <c r="Q1609">
        <v>0.15671460000000001</v>
      </c>
      <c r="R1609">
        <v>-7.6982060000000005E-2</v>
      </c>
      <c r="S1609">
        <v>-3.1932070000000001</v>
      </c>
      <c r="T1609">
        <v>-0.35222360000000003</v>
      </c>
      <c r="U1609">
        <v>1.1574709999999999</v>
      </c>
      <c r="V1609">
        <v>-7.2298269999999998E-2</v>
      </c>
      <c r="W1609">
        <v>0.16698099999999999</v>
      </c>
      <c r="X1609">
        <v>0.98330580000000001</v>
      </c>
      <c r="Y1609">
        <v>0.3431845</v>
      </c>
      <c r="Z1609">
        <v>2.0600609999999998E-2</v>
      </c>
      <c r="AA1609">
        <v>0.93904209999999999</v>
      </c>
      <c r="AB1609">
        <v>39</v>
      </c>
      <c r="AC1609">
        <v>-9.6796000000000504</v>
      </c>
      <c r="AD1609">
        <v>-1.1096118820536001</v>
      </c>
      <c r="AE1609">
        <v>3.6481999999999699</v>
      </c>
      <c r="AF1609">
        <v>3.6520643590644899</v>
      </c>
      <c r="AG1609">
        <v>-1.1096118820536001</v>
      </c>
      <c r="AH1609">
        <v>9.5522681641304192</v>
      </c>
      <c r="AI1609">
        <v>96.192509714228606</v>
      </c>
      <c r="AJ1609">
        <v>69.076929353078796</v>
      </c>
      <c r="AK1609">
        <v>10.286624309801599</v>
      </c>
      <c r="AL1609">
        <v>80.387665787948094</v>
      </c>
      <c r="AM1609">
        <v>94.205146794779793</v>
      </c>
      <c r="AN1609">
        <v>0.99999999525981598</v>
      </c>
    </row>
    <row r="1610" spans="1:40" x14ac:dyDescent="0.25">
      <c r="A1610" t="str">
        <f>"20190304155354341"</f>
        <v>20190304155354341</v>
      </c>
      <c r="B1610" t="str">
        <f>"1551686034338247"</f>
        <v>1551686034338247</v>
      </c>
      <c r="C1610" t="s">
        <v>40</v>
      </c>
      <c r="D1610">
        <v>4.3951000000000002</v>
      </c>
      <c r="E1610">
        <v>0.67354689999999995</v>
      </c>
      <c r="F1610" t="s">
        <v>63</v>
      </c>
      <c r="G1610">
        <v>-383.54419999999999</v>
      </c>
      <c r="H1610" s="1">
        <v>3.49260499999999E-7</v>
      </c>
      <c r="I1610">
        <v>288.60890000000001</v>
      </c>
      <c r="J1610">
        <v>-373.81319999999999</v>
      </c>
      <c r="K1610">
        <v>1.1096140000000001</v>
      </c>
      <c r="L1610">
        <v>284.92070000000001</v>
      </c>
      <c r="M1610">
        <v>-0.9999344</v>
      </c>
      <c r="N1610">
        <v>-1.04259E-2</v>
      </c>
      <c r="O1610">
        <v>-4.7439780000000003E-3</v>
      </c>
      <c r="P1610">
        <v>-0.98467629999999995</v>
      </c>
      <c r="Q1610">
        <v>0.15661059999999999</v>
      </c>
      <c r="R1610">
        <v>-7.6719120000000002E-2</v>
      </c>
      <c r="S1610">
        <v>-3.1935419999999999</v>
      </c>
      <c r="T1610">
        <v>-0.35035429999999901</v>
      </c>
      <c r="U1610">
        <v>1.16394</v>
      </c>
      <c r="V1610">
        <v>-7.203698E-2</v>
      </c>
      <c r="W1610">
        <v>0.1668762</v>
      </c>
      <c r="X1610">
        <v>0.98334279999999996</v>
      </c>
      <c r="Y1610">
        <v>0.34484510000000002</v>
      </c>
      <c r="Z1610">
        <v>2.0590600000000001E-2</v>
      </c>
      <c r="AA1610">
        <v>0.93843370000000004</v>
      </c>
      <c r="AB1610">
        <v>39</v>
      </c>
      <c r="AC1610">
        <v>-9.7309999999999892</v>
      </c>
      <c r="AD1610">
        <v>-1.10961365073949</v>
      </c>
      <c r="AE1610">
        <v>3.6881999999999899</v>
      </c>
      <c r="AF1610">
        <v>3.6923452014990801</v>
      </c>
      <c r="AG1610">
        <v>-1.10961365073949</v>
      </c>
      <c r="AH1610">
        <v>9.6041995880354492</v>
      </c>
      <c r="AI1610">
        <v>96.154950186005905</v>
      </c>
      <c r="AJ1610">
        <v>68.970688702275396</v>
      </c>
      <c r="AK1610">
        <v>10.349169303270701</v>
      </c>
      <c r="AL1610">
        <v>80.393756147490507</v>
      </c>
      <c r="AM1610">
        <v>94.189846287116097</v>
      </c>
      <c r="AN1610">
        <v>1.00000002746289</v>
      </c>
    </row>
    <row r="1611" spans="1:40" x14ac:dyDescent="0.25">
      <c r="A1611" t="str">
        <f>"20190304155354364"</f>
        <v>20190304155354364</v>
      </c>
      <c r="B1611" t="str">
        <f>"1551686034357768"</f>
        <v>1551686034357768</v>
      </c>
      <c r="C1611" t="s">
        <v>40</v>
      </c>
      <c r="D1611">
        <v>4.4065459999999996</v>
      </c>
      <c r="E1611">
        <v>0.67415059999999905</v>
      </c>
      <c r="F1611" t="s">
        <v>63</v>
      </c>
      <c r="G1611">
        <v>-383.96710000000002</v>
      </c>
      <c r="H1611" s="1">
        <v>5.7429579999999996E-7</v>
      </c>
      <c r="I1611">
        <v>288.65170000000001</v>
      </c>
      <c r="J1611">
        <v>-374.20859999999999</v>
      </c>
      <c r="K1611">
        <v>1.109613</v>
      </c>
      <c r="L1611">
        <v>284.91879999999998</v>
      </c>
      <c r="M1611">
        <v>-0.99993449999999995</v>
      </c>
      <c r="N1611">
        <v>-1.0421120000000001E-2</v>
      </c>
      <c r="O1611">
        <v>-4.7436209999999999E-3</v>
      </c>
      <c r="P1611">
        <v>-0.98459280000000005</v>
      </c>
      <c r="Q1611">
        <v>0.15717329999999999</v>
      </c>
      <c r="R1611">
        <v>-7.6640470000000002E-2</v>
      </c>
      <c r="S1611">
        <v>-3.1936650000000002</v>
      </c>
      <c r="T1611">
        <v>-0.3490028</v>
      </c>
      <c r="U1611">
        <v>1.173492</v>
      </c>
      <c r="V1611">
        <v>-7.196023E-2</v>
      </c>
      <c r="W1611">
        <v>0.16743279999999999</v>
      </c>
      <c r="X1611">
        <v>0.98325379999999996</v>
      </c>
      <c r="Y1611">
        <v>0.34731040000000002</v>
      </c>
      <c r="Z1611">
        <v>2.0651989999999999E-2</v>
      </c>
      <c r="AA1611">
        <v>0.93752279999999999</v>
      </c>
      <c r="AB1611">
        <v>39</v>
      </c>
      <c r="AC1611">
        <v>-9.7585000000000193</v>
      </c>
      <c r="AD1611">
        <v>-1.1096124257041999</v>
      </c>
      <c r="AE1611">
        <v>3.7329000000000199</v>
      </c>
      <c r="AF1611">
        <v>3.7370017715678499</v>
      </c>
      <c r="AG1611">
        <v>-1.1096124257041999</v>
      </c>
      <c r="AH1611">
        <v>9.6320426868037394</v>
      </c>
      <c r="AI1611">
        <v>96.130076507052806</v>
      </c>
      <c r="AJ1611">
        <v>68.794940099574902</v>
      </c>
      <c r="AK1611">
        <v>10.3909897650025</v>
      </c>
      <c r="AL1611">
        <v>80.361410221006494</v>
      </c>
      <c r="AM1611">
        <v>94.185775690036294</v>
      </c>
      <c r="AN1611">
        <v>1.0000000262159601</v>
      </c>
    </row>
    <row r="1612" spans="1:40" x14ac:dyDescent="0.25">
      <c r="A1612" t="str">
        <f>"20190304155354386"</f>
        <v>20190304155354386</v>
      </c>
      <c r="B1612" t="str">
        <f>"1551686034378264"</f>
        <v>1551686034378264</v>
      </c>
      <c r="C1612" t="s">
        <v>40</v>
      </c>
      <c r="D1612">
        <v>4.3796280000000003</v>
      </c>
      <c r="E1612">
        <v>0.67478819999999995</v>
      </c>
      <c r="F1612" t="s">
        <v>63</v>
      </c>
      <c r="G1612">
        <v>-384.44420000000002</v>
      </c>
      <c r="H1612" s="1">
        <v>8.2816929999999999E-7</v>
      </c>
      <c r="I1612">
        <v>288.69490000000002</v>
      </c>
      <c r="J1612">
        <v>-374.59210000000002</v>
      </c>
      <c r="K1612">
        <v>1.109612</v>
      </c>
      <c r="L1612">
        <v>284.91699999999997</v>
      </c>
      <c r="M1612">
        <v>-0.99993449999999995</v>
      </c>
      <c r="N1612">
        <v>-1.041539E-2</v>
      </c>
      <c r="O1612">
        <v>-4.7433709999999997E-3</v>
      </c>
      <c r="P1612">
        <v>-0.98457240000000001</v>
      </c>
      <c r="Q1612">
        <v>0.157473799999999</v>
      </c>
      <c r="R1612">
        <v>-7.6285469999999994E-2</v>
      </c>
      <c r="S1612">
        <v>-3.1939090000000001</v>
      </c>
      <c r="T1612">
        <v>-0.34624480000000002</v>
      </c>
      <c r="U1612">
        <v>1.1783140000000001</v>
      </c>
      <c r="V1612">
        <v>-7.16059E-2</v>
      </c>
      <c r="W1612">
        <v>0.16772709999999999</v>
      </c>
      <c r="X1612">
        <v>0.98322949999999998</v>
      </c>
      <c r="Y1612">
        <v>0.34855789999999998</v>
      </c>
      <c r="Z1612">
        <v>2.0569339999999998E-2</v>
      </c>
      <c r="AA1612">
        <v>0.93706149999999999</v>
      </c>
      <c r="AB1612">
        <v>39</v>
      </c>
      <c r="AC1612">
        <v>-9.8521000000000001</v>
      </c>
      <c r="AD1612">
        <v>-1.10961117183069</v>
      </c>
      <c r="AE1612">
        <v>3.7778999999999798</v>
      </c>
      <c r="AF1612">
        <v>3.7827597535511601</v>
      </c>
      <c r="AG1612">
        <v>-1.10961117183069</v>
      </c>
      <c r="AH1612">
        <v>9.7265055984896698</v>
      </c>
      <c r="AI1612">
        <v>96.069077463068993</v>
      </c>
      <c r="AJ1612">
        <v>68.748318659310897</v>
      </c>
      <c r="AK1612">
        <v>10.4950187928935</v>
      </c>
      <c r="AL1612">
        <v>80.344306110111106</v>
      </c>
      <c r="AM1612">
        <v>94.165340354345304</v>
      </c>
      <c r="AN1612">
        <v>1.0000000173297301</v>
      </c>
    </row>
    <row r="1613" spans="1:40" x14ac:dyDescent="0.25">
      <c r="A1613" t="str">
        <f>"20190304155354409"</f>
        <v>20190304155354409</v>
      </c>
      <c r="B1613" t="str">
        <f>"1551686034397783"</f>
        <v>1551686034397783</v>
      </c>
      <c r="C1613" t="s">
        <v>40</v>
      </c>
      <c r="D1613">
        <v>4.3930930000000004</v>
      </c>
      <c r="E1613">
        <v>0.67543169999999897</v>
      </c>
      <c r="F1613" t="s">
        <v>63</v>
      </c>
      <c r="G1613">
        <v>-384.8304</v>
      </c>
      <c r="H1613" s="1">
        <v>1.03371E-6</v>
      </c>
      <c r="I1613">
        <v>288.71140000000003</v>
      </c>
      <c r="J1613">
        <v>-375.00029999999998</v>
      </c>
      <c r="K1613">
        <v>1.1096140000000001</v>
      </c>
      <c r="L1613">
        <v>284.91500000000002</v>
      </c>
      <c r="M1613">
        <v>-0.99993469999999995</v>
      </c>
      <c r="N1613">
        <v>-1.0409730000000001E-2</v>
      </c>
      <c r="O1613">
        <v>-4.7435929999999999E-3</v>
      </c>
      <c r="P1613">
        <v>-0.98469850000000003</v>
      </c>
      <c r="Q1613">
        <v>0.15697849999999999</v>
      </c>
      <c r="R1613">
        <v>-7.5677919999999996E-2</v>
      </c>
      <c r="S1613">
        <v>-3.194061</v>
      </c>
      <c r="T1613">
        <v>-0.34616639999999999</v>
      </c>
      <c r="U1613">
        <v>1.183746</v>
      </c>
      <c r="V1613">
        <v>-7.0997820000000003E-2</v>
      </c>
      <c r="W1613">
        <v>0.1672274</v>
      </c>
      <c r="X1613">
        <v>0.98335870000000003</v>
      </c>
      <c r="Y1613">
        <v>0.34993970000000002</v>
      </c>
      <c r="Z1613">
        <v>2.0638219999999999E-2</v>
      </c>
      <c r="AA1613">
        <v>0.93654479999999996</v>
      </c>
      <c r="AB1613">
        <v>39</v>
      </c>
      <c r="AC1613">
        <v>-9.8301000000000105</v>
      </c>
      <c r="AD1613">
        <v>-1.1096129662899901</v>
      </c>
      <c r="AE1613">
        <v>3.7964000000000002</v>
      </c>
      <c r="AF1613">
        <v>3.8008463409105899</v>
      </c>
      <c r="AG1613">
        <v>-1.1096129662899901</v>
      </c>
      <c r="AH1613">
        <v>9.7043785308261707</v>
      </c>
      <c r="AI1613">
        <v>96.077200127257598</v>
      </c>
      <c r="AJ1613">
        <v>68.6115576141801</v>
      </c>
      <c r="AK1613">
        <v>10.4810608485845</v>
      </c>
      <c r="AL1613">
        <v>80.373346946946299</v>
      </c>
      <c r="AM1613">
        <v>94.129550291336002</v>
      </c>
      <c r="AN1613">
        <v>1.0000000133106</v>
      </c>
    </row>
    <row r="1614" spans="1:40" x14ac:dyDescent="0.25">
      <c r="A1614" t="str">
        <f>"20190304155354430"</f>
        <v>20190304155354430</v>
      </c>
      <c r="B1614" t="str">
        <f>"1551686034428039"</f>
        <v>1551686034428039</v>
      </c>
      <c r="C1614" t="s">
        <v>40</v>
      </c>
      <c r="D1614">
        <v>4.4210079999999996</v>
      </c>
      <c r="E1614">
        <v>0.67606940000000004</v>
      </c>
      <c r="F1614" t="s">
        <v>63</v>
      </c>
      <c r="G1614">
        <v>-385.15980000000002</v>
      </c>
      <c r="H1614" s="1">
        <v>1.2089819999999999E-6</v>
      </c>
      <c r="I1614">
        <v>288.70159999999998</v>
      </c>
      <c r="J1614">
        <v>-375.37110000000001</v>
      </c>
      <c r="K1614">
        <v>1.1096140000000001</v>
      </c>
      <c r="L1614">
        <v>284.91329999999999</v>
      </c>
      <c r="M1614">
        <v>-0.99993469999999995</v>
      </c>
      <c r="N1614">
        <v>-1.0405289999999999E-2</v>
      </c>
      <c r="O1614">
        <v>-4.7435790000000004E-3</v>
      </c>
      <c r="P1614">
        <v>-0.98470749999999996</v>
      </c>
      <c r="Q1614">
        <v>0.1571043</v>
      </c>
      <c r="R1614">
        <v>-7.5295070000000006E-2</v>
      </c>
      <c r="S1614">
        <v>-3.193695</v>
      </c>
      <c r="T1614">
        <v>-0.34881440000000002</v>
      </c>
      <c r="U1614">
        <v>1.1903379999999999</v>
      </c>
      <c r="V1614">
        <v>-7.0615579999999997E-2</v>
      </c>
      <c r="W1614">
        <v>0.16734859999999999</v>
      </c>
      <c r="X1614">
        <v>0.98336559999999995</v>
      </c>
      <c r="Y1614">
        <v>0.35163460000000002</v>
      </c>
      <c r="Z1614">
        <v>2.0875109999999999E-2</v>
      </c>
      <c r="AA1614">
        <v>0.93590459999999998</v>
      </c>
      <c r="AB1614">
        <v>39</v>
      </c>
      <c r="AC1614">
        <v>-9.7887000000000004</v>
      </c>
      <c r="AD1614">
        <v>-1.10961279101799</v>
      </c>
      <c r="AE1614">
        <v>3.7882999999999898</v>
      </c>
      <c r="AF1614">
        <v>3.7923111013469399</v>
      </c>
      <c r="AG1614">
        <v>-1.10961279101799</v>
      </c>
      <c r="AH1614">
        <v>9.6626307901960296</v>
      </c>
      <c r="AI1614">
        <v>96.101593413542403</v>
      </c>
      <c r="AJ1614">
        <v>68.571387615182999</v>
      </c>
      <c r="AK1614">
        <v>10.439315007366799</v>
      </c>
      <c r="AL1614">
        <v>80.366303396780296</v>
      </c>
      <c r="AM1614">
        <v>94.107365081668604</v>
      </c>
      <c r="AN1614">
        <v>1.00000000866202</v>
      </c>
    </row>
    <row r="1615" spans="1:40" x14ac:dyDescent="0.25">
      <c r="A1615" t="str">
        <f>"20190304155354454"</f>
        <v>20190304155354454</v>
      </c>
      <c r="B1615" t="str">
        <f>"1551686034447560"</f>
        <v>1551686034447560</v>
      </c>
      <c r="C1615" t="s">
        <v>40</v>
      </c>
      <c r="D1615">
        <v>4.4282959999999996</v>
      </c>
      <c r="E1615">
        <v>0.67611569999999899</v>
      </c>
      <c r="F1615" t="s">
        <v>63</v>
      </c>
      <c r="G1615">
        <v>-385.61849999999998</v>
      </c>
      <c r="H1615" s="1">
        <v>1.4531140000000001E-6</v>
      </c>
      <c r="I1615">
        <v>288.75529999999998</v>
      </c>
      <c r="J1615">
        <v>-375.77019999999999</v>
      </c>
      <c r="K1615">
        <v>1.10961</v>
      </c>
      <c r="L1615">
        <v>284.91140000000001</v>
      </c>
      <c r="M1615">
        <v>-0.99993469999999995</v>
      </c>
      <c r="N1615">
        <v>-1.04013E-2</v>
      </c>
      <c r="O1615">
        <v>-4.7439229999999997E-3</v>
      </c>
      <c r="P1615">
        <v>-0.98472280000000001</v>
      </c>
      <c r="Q1615">
        <v>0.1570124</v>
      </c>
      <c r="R1615">
        <v>-7.5286580000000006E-2</v>
      </c>
      <c r="S1615">
        <v>-3.1932680000000002</v>
      </c>
      <c r="T1615">
        <v>-0.34577439999999998</v>
      </c>
      <c r="U1615">
        <v>1.197235</v>
      </c>
      <c r="V1615">
        <v>-7.06069E-2</v>
      </c>
      <c r="W1615">
        <v>0.16725319999999999</v>
      </c>
      <c r="X1615">
        <v>0.98338250000000005</v>
      </c>
      <c r="Y1615">
        <v>0.35347339999999999</v>
      </c>
      <c r="Z1615">
        <v>2.0811509999999998E-2</v>
      </c>
      <c r="AA1615">
        <v>0.93521310000000002</v>
      </c>
      <c r="AB1615">
        <v>39</v>
      </c>
      <c r="AC1615">
        <v>-9.8482999999999894</v>
      </c>
      <c r="AD1615">
        <v>-1.109608546886</v>
      </c>
      <c r="AE1615">
        <v>3.8438999999999601</v>
      </c>
      <c r="AF1615">
        <v>3.8481861064295901</v>
      </c>
      <c r="AG1615">
        <v>-1.109608546886</v>
      </c>
      <c r="AH1615">
        <v>9.7228433483763208</v>
      </c>
      <c r="AI1615">
        <v>96.057260920103701</v>
      </c>
      <c r="AJ1615">
        <v>68.406928102978199</v>
      </c>
      <c r="AK1615">
        <v>10.515391110848199</v>
      </c>
      <c r="AL1615">
        <v>80.371847997426002</v>
      </c>
      <c r="AM1615">
        <v>94.106791598548895</v>
      </c>
      <c r="AN1615">
        <v>1.00000005427204</v>
      </c>
    </row>
    <row r="1616" spans="1:40" x14ac:dyDescent="0.25">
      <c r="A1616" t="str">
        <f>"20190304155354475"</f>
        <v>20190304155354475</v>
      </c>
      <c r="B1616" t="str">
        <f>"1551686034467831"</f>
        <v>1551686034467831</v>
      </c>
      <c r="C1616" t="s">
        <v>40</v>
      </c>
      <c r="D1616">
        <v>4.4546020000000004</v>
      </c>
      <c r="E1616">
        <v>0.6762359</v>
      </c>
      <c r="F1616" t="s">
        <v>63</v>
      </c>
      <c r="G1616">
        <v>-386.0557</v>
      </c>
      <c r="H1616" s="1">
        <v>1.685753E-6</v>
      </c>
      <c r="I1616">
        <v>288.76909999999998</v>
      </c>
      <c r="J1616">
        <v>-376.149</v>
      </c>
      <c r="K1616">
        <v>1.109604</v>
      </c>
      <c r="L1616">
        <v>284.90960000000001</v>
      </c>
      <c r="M1616">
        <v>-0.99993460000000001</v>
      </c>
      <c r="N1616">
        <v>-1.0398299999999999E-2</v>
      </c>
      <c r="O1616">
        <v>-4.7439129999999998E-3</v>
      </c>
      <c r="P1616">
        <v>-0.98466330000000002</v>
      </c>
      <c r="Q1616">
        <v>0.1571275</v>
      </c>
      <c r="R1616">
        <v>-7.5822890000000004E-2</v>
      </c>
      <c r="S1616">
        <v>-3.1930239999999999</v>
      </c>
      <c r="T1616">
        <v>-0.34446729999999998</v>
      </c>
      <c r="U1616">
        <v>1.1976009999999999</v>
      </c>
      <c r="V1616">
        <v>-7.1143369999999997E-2</v>
      </c>
      <c r="W1616">
        <v>0.1673646</v>
      </c>
      <c r="X1616">
        <v>0.9833248</v>
      </c>
      <c r="Y1616">
        <v>0.35360459999999999</v>
      </c>
      <c r="Z1616">
        <v>2.074821E-2</v>
      </c>
      <c r="AA1616">
        <v>0.93516489999999997</v>
      </c>
      <c r="AB1616">
        <v>39</v>
      </c>
      <c r="AC1616">
        <v>-9.9067000000000007</v>
      </c>
      <c r="AD1616">
        <v>-1.109602314247</v>
      </c>
      <c r="AE1616">
        <v>3.8594999999999602</v>
      </c>
      <c r="AF1616">
        <v>3.8643648848157901</v>
      </c>
      <c r="AG1616">
        <v>-1.109602314247</v>
      </c>
      <c r="AH1616">
        <v>9.7817355060217093</v>
      </c>
      <c r="AI1616">
        <v>96.022517487385002</v>
      </c>
      <c r="AJ1616">
        <v>68.443044599278295</v>
      </c>
      <c r="AK1616">
        <v>10.5757686608844</v>
      </c>
      <c r="AL1616">
        <v>80.365373226262193</v>
      </c>
      <c r="AM1616">
        <v>94.138128912765097</v>
      </c>
      <c r="AN1616">
        <v>0.99999997536157803</v>
      </c>
    </row>
    <row r="1617" spans="1:40" x14ac:dyDescent="0.25">
      <c r="A1617" t="str">
        <f>"20190304155354498"</f>
        <v>20190304155354498</v>
      </c>
      <c r="B1617" t="str">
        <f>"1551686034488326"</f>
        <v>1551686034488326</v>
      </c>
      <c r="C1617" t="s">
        <v>40</v>
      </c>
      <c r="D1617">
        <v>4.428668</v>
      </c>
      <c r="E1617">
        <v>0.67640009999999995</v>
      </c>
      <c r="F1617" t="s">
        <v>63</v>
      </c>
      <c r="G1617">
        <v>-386.47289999999998</v>
      </c>
      <c r="H1617" s="1">
        <v>1.907746E-6</v>
      </c>
      <c r="I1617">
        <v>288.77749999999997</v>
      </c>
      <c r="J1617">
        <v>-376.54250000000002</v>
      </c>
      <c r="K1617">
        <v>1.1096010000000001</v>
      </c>
      <c r="L1617">
        <v>284.90780000000001</v>
      </c>
      <c r="M1617">
        <v>-0.99993469999999995</v>
      </c>
      <c r="N1617">
        <v>-1.0395990000000001E-2</v>
      </c>
      <c r="O1617">
        <v>-4.7442630000000003E-3</v>
      </c>
      <c r="P1617">
        <v>-0.98471450000000005</v>
      </c>
      <c r="Q1617">
        <v>0.15677199999999999</v>
      </c>
      <c r="R1617">
        <v>-7.5894080000000003E-2</v>
      </c>
      <c r="S1617">
        <v>-3.1936040000000001</v>
      </c>
      <c r="T1617">
        <v>-0.34324510000000003</v>
      </c>
      <c r="U1617">
        <v>1.1965030000000001</v>
      </c>
      <c r="V1617">
        <v>-7.1214330000000006E-2</v>
      </c>
      <c r="W1617">
        <v>0.1670073</v>
      </c>
      <c r="X1617">
        <v>0.98338040000000004</v>
      </c>
      <c r="Y1617">
        <v>0.35328280000000001</v>
      </c>
      <c r="Z1617">
        <v>2.0660479999999998E-2</v>
      </c>
      <c r="AA1617">
        <v>0.93528840000000002</v>
      </c>
      <c r="AB1617">
        <v>39</v>
      </c>
      <c r="AC1617">
        <v>-9.9303999999999597</v>
      </c>
      <c r="AD1617">
        <v>-1.109599092254</v>
      </c>
      <c r="AE1617">
        <v>3.8696999999999599</v>
      </c>
      <c r="AF1617">
        <v>3.87477154164052</v>
      </c>
      <c r="AG1617">
        <v>-1.109599092254</v>
      </c>
      <c r="AH1617">
        <v>9.8056418967911601</v>
      </c>
      <c r="AI1617">
        <v>96.007724643810803</v>
      </c>
      <c r="AJ1617">
        <v>68.438181422624794</v>
      </c>
      <c r="AK1617">
        <v>10.601682774613799</v>
      </c>
      <c r="AL1617">
        <v>80.386137154889894</v>
      </c>
      <c r="AM1617">
        <v>94.142008630126895</v>
      </c>
      <c r="AN1617">
        <v>0.99999996507739797</v>
      </c>
    </row>
    <row r="1618" spans="1:40" x14ac:dyDescent="0.25">
      <c r="A1618" t="str">
        <f>"20190304155354520"</f>
        <v>20190304155354520</v>
      </c>
      <c r="B1618" t="str">
        <f>"1551686034507847"</f>
        <v>1551686034507847</v>
      </c>
      <c r="C1618" t="s">
        <v>40</v>
      </c>
      <c r="D1618">
        <v>4.4146299999999998</v>
      </c>
      <c r="E1618">
        <v>0.67650790000000005</v>
      </c>
      <c r="F1618" t="s">
        <v>63</v>
      </c>
      <c r="G1618">
        <v>-386.87430000000001</v>
      </c>
      <c r="H1618" s="1">
        <v>2.12135E-6</v>
      </c>
      <c r="I1618">
        <v>288.78129999999999</v>
      </c>
      <c r="J1618">
        <v>-376.93</v>
      </c>
      <c r="K1618">
        <v>1.1095999999999999</v>
      </c>
      <c r="L1618">
        <v>284.90589999999997</v>
      </c>
      <c r="M1618">
        <v>-0.99993489999999996</v>
      </c>
      <c r="N1618">
        <v>-1.0394520000000001E-2</v>
      </c>
      <c r="O1618">
        <v>-4.7447359999999899E-3</v>
      </c>
      <c r="P1618">
        <v>-0.98473509999999997</v>
      </c>
      <c r="Q1618">
        <v>0.15645200000000001</v>
      </c>
      <c r="R1618">
        <v>-7.6287899999999895E-2</v>
      </c>
      <c r="S1618">
        <v>-3.1934200000000001</v>
      </c>
      <c r="T1618">
        <v>-0.34296379999999999</v>
      </c>
      <c r="U1618">
        <v>1.1972659999999999</v>
      </c>
      <c r="V1618">
        <v>-7.1607939999999995E-2</v>
      </c>
      <c r="W1618">
        <v>0.16668569999999999</v>
      </c>
      <c r="X1618">
        <v>0.98340640000000001</v>
      </c>
      <c r="Y1618">
        <v>0.3534986</v>
      </c>
      <c r="Z1618">
        <v>2.065759E-2</v>
      </c>
      <c r="AA1618">
        <v>0.93520689999999995</v>
      </c>
      <c r="AB1618">
        <v>39</v>
      </c>
      <c r="AC1618">
        <v>-9.9442999999999895</v>
      </c>
      <c r="AD1618">
        <v>-1.10959787864999</v>
      </c>
      <c r="AE1618">
        <v>3.8754000000000102</v>
      </c>
      <c r="AF1618">
        <v>3.8805973726105498</v>
      </c>
      <c r="AG1618">
        <v>-1.10959787864999</v>
      </c>
      <c r="AH1618">
        <v>9.8196605198212499</v>
      </c>
      <c r="AI1618">
        <v>95.999144707563204</v>
      </c>
      <c r="AJ1618">
        <v>68.436736707828999</v>
      </c>
      <c r="AK1618">
        <v>10.6167780491612</v>
      </c>
      <c r="AL1618">
        <v>80.404825613617604</v>
      </c>
      <c r="AM1618">
        <v>94.164711937666596</v>
      </c>
      <c r="AN1618">
        <v>0.99999998360824605</v>
      </c>
    </row>
    <row r="1619" spans="1:40" x14ac:dyDescent="0.25">
      <c r="A1619" t="str">
        <f>"20190304155354542"</f>
        <v>20190304155354542</v>
      </c>
      <c r="B1619" t="str">
        <f>"1551686034538104"</f>
        <v>1551686034538104</v>
      </c>
      <c r="C1619" t="s">
        <v>40</v>
      </c>
      <c r="D1619">
        <v>4.4394260000000001</v>
      </c>
      <c r="E1619">
        <v>0.67668629999999996</v>
      </c>
      <c r="F1619" t="s">
        <v>63</v>
      </c>
      <c r="G1619">
        <v>-387.26010000000002</v>
      </c>
      <c r="H1619" s="1">
        <v>2.32668E-6</v>
      </c>
      <c r="I1619">
        <v>288.77659999999997</v>
      </c>
      <c r="J1619">
        <v>-377.31630000000001</v>
      </c>
      <c r="K1619">
        <v>1.109599</v>
      </c>
      <c r="L1619">
        <v>284.90410000000003</v>
      </c>
      <c r="M1619">
        <v>-0.99993480000000001</v>
      </c>
      <c r="N1619">
        <v>-1.039382E-2</v>
      </c>
      <c r="O1619">
        <v>-4.7447349999999999E-3</v>
      </c>
      <c r="P1619">
        <v>-0.98471649999999999</v>
      </c>
      <c r="Q1619">
        <v>0.1566121</v>
      </c>
      <c r="R1619">
        <v>-7.6196769999999997E-2</v>
      </c>
      <c r="S1619">
        <v>-3.193695</v>
      </c>
      <c r="T1619">
        <v>-0.3430473</v>
      </c>
      <c r="U1619">
        <v>1.196655</v>
      </c>
      <c r="V1619">
        <v>-7.151689E-2</v>
      </c>
      <c r="W1619">
        <v>0.1668451</v>
      </c>
      <c r="X1619">
        <v>0.98338599999999998</v>
      </c>
      <c r="Y1619">
        <v>0.35331580000000001</v>
      </c>
      <c r="Z1619">
        <v>2.0650600000000002E-2</v>
      </c>
      <c r="AA1619">
        <v>0.9352762</v>
      </c>
      <c r="AB1619">
        <v>39</v>
      </c>
      <c r="AC1619">
        <v>-9.9438000000000102</v>
      </c>
      <c r="AD1619">
        <v>-1.10959667332</v>
      </c>
      <c r="AE1619">
        <v>3.8724999999999401</v>
      </c>
      <c r="AF1619">
        <v>3.8777143506039899</v>
      </c>
      <c r="AG1619">
        <v>-1.10959667332</v>
      </c>
      <c r="AH1619">
        <v>9.8191498293116908</v>
      </c>
      <c r="AI1619">
        <v>96.000003723866797</v>
      </c>
      <c r="AJ1619">
        <v>68.450269784538804</v>
      </c>
      <c r="AK1619">
        <v>10.615252080511</v>
      </c>
      <c r="AL1619">
        <v>80.395563009559396</v>
      </c>
      <c r="AM1619">
        <v>94.159521057720596</v>
      </c>
      <c r="AN1619">
        <v>0.99999998897263997</v>
      </c>
    </row>
    <row r="1620" spans="1:40" x14ac:dyDescent="0.25">
      <c r="A1620" t="str">
        <f>"20190304155354565"</f>
        <v>20190304155354565</v>
      </c>
      <c r="B1620" t="str">
        <f>"1551686034557623"</f>
        <v>1551686034557623</v>
      </c>
      <c r="C1620" t="s">
        <v>40</v>
      </c>
      <c r="D1620">
        <v>4.412064</v>
      </c>
      <c r="E1620">
        <v>0.67679880000000003</v>
      </c>
      <c r="F1620" t="s">
        <v>63</v>
      </c>
      <c r="G1620">
        <v>-387.73099999999999</v>
      </c>
      <c r="H1620" s="1">
        <v>2.5772399999999999E-6</v>
      </c>
      <c r="I1620">
        <v>288.81319999999999</v>
      </c>
      <c r="J1620">
        <v>-377.71190000000001</v>
      </c>
      <c r="K1620">
        <v>1.1096079999999999</v>
      </c>
      <c r="L1620">
        <v>284.90230000000003</v>
      </c>
      <c r="M1620">
        <v>-0.99993480000000001</v>
      </c>
      <c r="N1620">
        <v>-1.0393869999999999E-2</v>
      </c>
      <c r="O1620">
        <v>-4.7450950000000004E-3</v>
      </c>
      <c r="P1620">
        <v>-0.98458009999999996</v>
      </c>
      <c r="Q1620">
        <v>0.15732109999999999</v>
      </c>
      <c r="R1620">
        <v>-7.6501189999999997E-2</v>
      </c>
      <c r="S1620">
        <v>-3.19339</v>
      </c>
      <c r="T1620">
        <v>-0.34022819999999998</v>
      </c>
      <c r="U1620">
        <v>1.1986079999999999</v>
      </c>
      <c r="V1620">
        <v>-7.1821380000000004E-2</v>
      </c>
      <c r="W1620">
        <v>0.16755309999999901</v>
      </c>
      <c r="X1620">
        <v>0.98324339999999999</v>
      </c>
      <c r="Y1620">
        <v>0.353875</v>
      </c>
      <c r="Z1620">
        <v>2.0528569999999999E-2</v>
      </c>
      <c r="AA1620">
        <v>0.93506739999999999</v>
      </c>
      <c r="AB1620">
        <v>39</v>
      </c>
      <c r="AC1620">
        <v>-10.0190999999999</v>
      </c>
      <c r="AD1620">
        <v>-1.1096054227599901</v>
      </c>
      <c r="AE1620">
        <v>3.9108999999999599</v>
      </c>
      <c r="AF1620">
        <v>3.9167122238262602</v>
      </c>
      <c r="AG1620">
        <v>-1.1096054227599901</v>
      </c>
      <c r="AH1620">
        <v>9.8951090918529108</v>
      </c>
      <c r="AI1620">
        <v>95.952485536932301</v>
      </c>
      <c r="AJ1620">
        <v>68.405199117919295</v>
      </c>
      <c r="AK1620">
        <v>10.699768351612001</v>
      </c>
      <c r="AL1620">
        <v>80.354418203737396</v>
      </c>
      <c r="AM1620">
        <v>94.177771732921897</v>
      </c>
      <c r="AN1620">
        <v>0.99999996779413602</v>
      </c>
    </row>
    <row r="1621" spans="1:40" x14ac:dyDescent="0.25">
      <c r="A1621" t="str">
        <f>"20190304155354586"</f>
        <v>20190304155354586</v>
      </c>
      <c r="B1621" t="str">
        <f>"1551686034578119"</f>
        <v>1551686034578119</v>
      </c>
      <c r="C1621" t="s">
        <v>40</v>
      </c>
      <c r="D1621">
        <v>4.5286960000000001</v>
      </c>
      <c r="E1621">
        <v>0.67660489999999995</v>
      </c>
      <c r="F1621" t="s">
        <v>63</v>
      </c>
      <c r="G1621">
        <v>-388.23230000000001</v>
      </c>
      <c r="H1621" s="1">
        <v>2.8440440000000002E-6</v>
      </c>
      <c r="I1621">
        <v>288.84949999999998</v>
      </c>
      <c r="J1621">
        <v>-378.08510000000001</v>
      </c>
      <c r="K1621">
        <v>1.109612</v>
      </c>
      <c r="L1621">
        <v>284.90050000000002</v>
      </c>
      <c r="M1621">
        <v>-0.99993489999999996</v>
      </c>
      <c r="N1621">
        <v>-1.0394499999999999E-2</v>
      </c>
      <c r="O1621">
        <v>-4.745338E-3</v>
      </c>
      <c r="P1621">
        <v>-0.98452450000000002</v>
      </c>
      <c r="Q1621">
        <v>0.15792429999999999</v>
      </c>
      <c r="R1621">
        <v>-7.5974520000000004E-2</v>
      </c>
      <c r="S1621">
        <v>-3.1939389999999999</v>
      </c>
      <c r="T1621">
        <v>-0.33687099999999998</v>
      </c>
      <c r="U1621">
        <v>1.198364</v>
      </c>
      <c r="V1621">
        <v>-7.1294460000000004E-2</v>
      </c>
      <c r="W1621">
        <v>0.16815579999999999</v>
      </c>
      <c r="X1621">
        <v>0.98317889999999997</v>
      </c>
      <c r="Y1621">
        <v>0.35379729999999998</v>
      </c>
      <c r="Z1621">
        <v>2.0338149999999999E-2</v>
      </c>
      <c r="AA1621">
        <v>0.93510099999999996</v>
      </c>
      <c r="AB1621">
        <v>39</v>
      </c>
      <c r="AC1621">
        <v>-10.1471999999999</v>
      </c>
      <c r="AD1621">
        <v>-1.109609155956</v>
      </c>
      <c r="AE1621">
        <v>3.9489999999999501</v>
      </c>
      <c r="AF1621">
        <v>3.95602720753224</v>
      </c>
      <c r="AG1621">
        <v>-1.109609155956</v>
      </c>
      <c r="AH1621">
        <v>10.024244951415</v>
      </c>
      <c r="AI1621">
        <v>95.878711725225699</v>
      </c>
      <c r="AJ1621">
        <v>68.463532190578803</v>
      </c>
      <c r="AK1621">
        <v>10.8335991522525</v>
      </c>
      <c r="AL1621">
        <v>80.319389459211607</v>
      </c>
      <c r="AM1621">
        <v>94.147499829615995</v>
      </c>
      <c r="AN1621">
        <v>1.00000001125277</v>
      </c>
    </row>
    <row r="1622" spans="1:40" x14ac:dyDescent="0.25">
      <c r="A1622" t="str">
        <f>"20190304155354610"</f>
        <v>20190304155354610</v>
      </c>
      <c r="B1622" t="str">
        <f>"1551686034608375"</f>
        <v>1551686034608375</v>
      </c>
      <c r="C1622" t="s">
        <v>40</v>
      </c>
      <c r="D1622">
        <v>4.5145</v>
      </c>
      <c r="E1622">
        <v>0.55224510000000004</v>
      </c>
      <c r="F1622" t="s">
        <v>63</v>
      </c>
      <c r="G1622">
        <v>-388.64060000000001</v>
      </c>
      <c r="H1622" s="1">
        <v>3.0612870000000001E-6</v>
      </c>
      <c r="I1622">
        <v>288.86</v>
      </c>
      <c r="J1622">
        <v>-378.49889999999999</v>
      </c>
      <c r="K1622">
        <v>1.1096109999999999</v>
      </c>
      <c r="L1622">
        <v>284.89850000000001</v>
      </c>
      <c r="M1622">
        <v>-0.99993489999999996</v>
      </c>
      <c r="N1622">
        <v>-1.039584E-2</v>
      </c>
      <c r="O1622">
        <v>-4.7459420000000004E-3</v>
      </c>
      <c r="P1622">
        <v>-0.98447110000000004</v>
      </c>
      <c r="Q1622">
        <v>0.15851379999999901</v>
      </c>
      <c r="R1622">
        <v>-7.5435089999999996E-2</v>
      </c>
      <c r="S1622">
        <v>-3.193451</v>
      </c>
      <c r="T1622">
        <v>-0.33570179999999999</v>
      </c>
      <c r="U1622">
        <v>1.1979059999999999</v>
      </c>
      <c r="V1622">
        <v>-7.0755090000000007E-2</v>
      </c>
      <c r="W1622">
        <v>0.1687457</v>
      </c>
      <c r="X1622">
        <v>0.98311680000000001</v>
      </c>
      <c r="Y1622">
        <v>0.35373979999999999</v>
      </c>
      <c r="Z1622">
        <v>2.0274400000000001E-2</v>
      </c>
      <c r="AA1622">
        <v>0.93512410000000001</v>
      </c>
      <c r="AB1622">
        <v>39</v>
      </c>
      <c r="AC1622">
        <v>-10.1417</v>
      </c>
      <c r="AD1622">
        <v>-1.109607938713</v>
      </c>
      <c r="AE1622">
        <v>3.9615</v>
      </c>
      <c r="AF1622">
        <v>3.96837452798162</v>
      </c>
      <c r="AG1622">
        <v>-1.109607938713</v>
      </c>
      <c r="AH1622">
        <v>10.018729622875099</v>
      </c>
      <c r="AI1622">
        <v>95.879024490223998</v>
      </c>
      <c r="AJ1622">
        <v>68.391700420824193</v>
      </c>
      <c r="AK1622">
        <v>10.833012943233401</v>
      </c>
      <c r="AL1622">
        <v>80.2851007632201</v>
      </c>
      <c r="AM1622">
        <v>94.116489774466103</v>
      </c>
      <c r="AN1622">
        <v>1.00000001823581</v>
      </c>
    </row>
    <row r="1623" spans="1:40" x14ac:dyDescent="0.25">
      <c r="A1623" t="str">
        <f>"20190304155354631"</f>
        <v>20190304155354631</v>
      </c>
      <c r="B1623" t="str">
        <f>"1551686034627895"</f>
        <v>1551686034627895</v>
      </c>
      <c r="C1623" t="s">
        <v>40</v>
      </c>
      <c r="D1623">
        <v>4.4851010000000002</v>
      </c>
      <c r="E1623">
        <v>0.54314149999999894</v>
      </c>
      <c r="F1623" t="s">
        <v>65</v>
      </c>
      <c r="G1623">
        <v>-409.3032</v>
      </c>
      <c r="H1623" s="1">
        <v>3.7964140000000002E-6</v>
      </c>
      <c r="I1623">
        <v>286.94049999999999</v>
      </c>
      <c r="J1623">
        <v>-378.87279999999998</v>
      </c>
      <c r="K1623">
        <v>1.10961</v>
      </c>
      <c r="L1623">
        <v>284.89679999999998</v>
      </c>
      <c r="M1623">
        <v>-0.99993460000000001</v>
      </c>
      <c r="N1623">
        <v>-1.0397379999999999E-2</v>
      </c>
      <c r="O1623">
        <v>-4.7459499999999996E-3</v>
      </c>
      <c r="P1623">
        <v>-0.9844889</v>
      </c>
      <c r="Q1623">
        <v>0.15848429999999999</v>
      </c>
      <c r="R1623">
        <v>-7.5261060000000005E-2</v>
      </c>
      <c r="S1623">
        <v>-3.0808409999999999</v>
      </c>
      <c r="T1623">
        <v>-0.1109755</v>
      </c>
      <c r="U1623">
        <v>0.20422360000000001</v>
      </c>
      <c r="V1623">
        <v>-7.0581060000000001E-2</v>
      </c>
      <c r="W1623">
        <v>0.168717899999999</v>
      </c>
      <c r="X1623">
        <v>0.98313399999999995</v>
      </c>
      <c r="Y1623">
        <v>7.0817630000000006E-2</v>
      </c>
      <c r="Z1623">
        <v>1.763822E-3</v>
      </c>
      <c r="AA1623">
        <v>0.99748769999999998</v>
      </c>
      <c r="AB1623">
        <v>39</v>
      </c>
      <c r="AC1623">
        <v>-30.430399999999999</v>
      </c>
      <c r="AD1623">
        <v>-1.1096062035859999</v>
      </c>
      <c r="AE1623">
        <v>2.0436999999999999</v>
      </c>
      <c r="AF1623">
        <v>2.1852135337270302</v>
      </c>
      <c r="AG1623">
        <v>-1.1096062035859999</v>
      </c>
      <c r="AH1623">
        <v>30.380145231251099</v>
      </c>
      <c r="AI1623">
        <v>92.086359165045806</v>
      </c>
      <c r="AJ1623">
        <v>85.885857210739204</v>
      </c>
      <c r="AK1623">
        <v>30.478838698134901</v>
      </c>
      <c r="AL1623">
        <v>80.286715977722693</v>
      </c>
      <c r="AM1623">
        <v>94.106327893703195</v>
      </c>
      <c r="AN1623">
        <v>0.99999993888356398</v>
      </c>
    </row>
    <row r="1624" spans="1:40" x14ac:dyDescent="0.25">
      <c r="A1624" t="str">
        <f>"20190304155354654"</f>
        <v>20190304155354654</v>
      </c>
      <c r="B1624" t="str">
        <f>"1551686034648391"</f>
        <v>1551686034648391</v>
      </c>
      <c r="C1624" t="s">
        <v>40</v>
      </c>
      <c r="D1624">
        <v>4.4860740000000003</v>
      </c>
      <c r="E1624">
        <v>0.54013109999999998</v>
      </c>
      <c r="F1624" t="s">
        <v>65</v>
      </c>
      <c r="G1624">
        <v>-427.88130000000001</v>
      </c>
      <c r="H1624" s="1">
        <v>2.3587130000000001E-6</v>
      </c>
      <c r="I1624">
        <v>286.9941</v>
      </c>
      <c r="J1624">
        <v>-379.26530000000002</v>
      </c>
      <c r="K1624">
        <v>1.1096010000000001</v>
      </c>
      <c r="L1624">
        <v>284.89490000000001</v>
      </c>
      <c r="M1624">
        <v>-0.99993469999999995</v>
      </c>
      <c r="N1624">
        <v>-1.039938E-2</v>
      </c>
      <c r="O1624">
        <v>-4.7464380000000004E-3</v>
      </c>
      <c r="P1624">
        <v>-0.98453000000000002</v>
      </c>
      <c r="Q1624">
        <v>0.15838050000000001</v>
      </c>
      <c r="R1624">
        <v>-7.4941690000000005E-2</v>
      </c>
      <c r="S1624">
        <v>-3.0685120000000001</v>
      </c>
      <c r="T1624">
        <v>-6.9474460000000002E-2</v>
      </c>
      <c r="U1624">
        <v>0.13131709999999999</v>
      </c>
      <c r="V1624">
        <v>-7.0260680000000006E-2</v>
      </c>
      <c r="W1624">
        <v>0.16861689999999999</v>
      </c>
      <c r="X1624">
        <v>0.98317429999999995</v>
      </c>
      <c r="Y1624">
        <v>4.74797E-2</v>
      </c>
      <c r="Z1624">
        <v>8.4229689999999996E-4</v>
      </c>
      <c r="AA1624">
        <v>0.99887190000000003</v>
      </c>
      <c r="AB1624">
        <v>39</v>
      </c>
      <c r="AC1624">
        <v>-48.6159999999999</v>
      </c>
      <c r="AD1624">
        <v>-1.109598641287</v>
      </c>
      <c r="AE1624">
        <v>2.09919999999999</v>
      </c>
      <c r="AF1624">
        <v>2.3287308189174598</v>
      </c>
      <c r="AG1624">
        <v>-1.109598641287</v>
      </c>
      <c r="AH1624">
        <v>48.580228594636097</v>
      </c>
      <c r="AI1624">
        <v>91.306938842557201</v>
      </c>
      <c r="AJ1624">
        <v>87.255583297924701</v>
      </c>
      <c r="AK1624">
        <v>48.648667059630903</v>
      </c>
      <c r="AL1624">
        <v>80.2925872031702</v>
      </c>
      <c r="AM1624">
        <v>94.087584881820007</v>
      </c>
      <c r="AN1624">
        <v>0.99999996315008</v>
      </c>
    </row>
    <row r="1625" spans="1:40" x14ac:dyDescent="0.25">
      <c r="A1625" t="str">
        <f>"20190304155354676"</f>
        <v>20190304155354676</v>
      </c>
      <c r="B1625" t="str">
        <f>"1551686034667911"</f>
        <v>1551686034667911</v>
      </c>
      <c r="C1625" t="s">
        <v>40</v>
      </c>
      <c r="D1625">
        <v>4.5032389999999998</v>
      </c>
      <c r="E1625">
        <v>0.53843560000000001</v>
      </c>
      <c r="F1625" t="s">
        <v>63</v>
      </c>
      <c r="G1625">
        <v>-452.14269999999999</v>
      </c>
      <c r="H1625" s="1">
        <v>-5.2006429999999999E-7</v>
      </c>
      <c r="I1625">
        <v>287.44150000000002</v>
      </c>
      <c r="J1625">
        <v>-379.65769999999998</v>
      </c>
      <c r="K1625">
        <v>1.1095980000000001</v>
      </c>
      <c r="L1625">
        <v>284.89299999999997</v>
      </c>
      <c r="M1625">
        <v>-0.99993469999999995</v>
      </c>
      <c r="N1625">
        <v>-1.0402069999999999E-2</v>
      </c>
      <c r="O1625">
        <v>-4.7471650000000002E-3</v>
      </c>
      <c r="P1625">
        <v>-0.98456730000000003</v>
      </c>
      <c r="Q1625">
        <v>0.15831770000000001</v>
      </c>
      <c r="R1625">
        <v>-7.4585849999999995E-2</v>
      </c>
      <c r="S1625">
        <v>-3.062805</v>
      </c>
      <c r="T1625">
        <v>-4.6633010000000003E-2</v>
      </c>
      <c r="U1625">
        <v>0.1070251</v>
      </c>
      <c r="V1625">
        <v>-6.9904170000000002E-2</v>
      </c>
      <c r="W1625">
        <v>0.1685567</v>
      </c>
      <c r="X1625">
        <v>0.98321009999999998</v>
      </c>
      <c r="Y1625">
        <v>3.9658539999999999E-2</v>
      </c>
      <c r="Z1625">
        <v>5.3104529999999995E-4</v>
      </c>
      <c r="AA1625">
        <v>0.99921320000000002</v>
      </c>
      <c r="AB1625">
        <v>39</v>
      </c>
      <c r="AC1625">
        <v>-72.484999999999999</v>
      </c>
      <c r="AD1625">
        <v>-1.1095985200642999</v>
      </c>
      <c r="AE1625">
        <v>2.5485000000000402</v>
      </c>
      <c r="AF1625">
        <v>2.8919112922735901</v>
      </c>
      <c r="AG1625">
        <v>-1.1095985200642999</v>
      </c>
      <c r="AH1625">
        <v>72.455126614894795</v>
      </c>
      <c r="AI1625">
        <v>90.876677447850298</v>
      </c>
      <c r="AJ1625">
        <v>87.714358988640299</v>
      </c>
      <c r="AK1625">
        <v>72.521305370067296</v>
      </c>
      <c r="AL1625">
        <v>80.296087124958206</v>
      </c>
      <c r="AM1625">
        <v>94.066766238073498</v>
      </c>
      <c r="AN1625">
        <v>1.0000000274201399</v>
      </c>
    </row>
    <row r="1626" spans="1:40" x14ac:dyDescent="0.25">
      <c r="A1626" t="str">
        <f>"20190304155354698"</f>
        <v>20190304155354698</v>
      </c>
      <c r="B1626" t="str">
        <f>"1551686034688407"</f>
        <v>1551686034688407</v>
      </c>
      <c r="C1626" t="s">
        <v>40</v>
      </c>
      <c r="D1626">
        <v>4.5066139999999999</v>
      </c>
      <c r="E1626">
        <v>0.53757159999999904</v>
      </c>
      <c r="F1626" t="s">
        <v>51</v>
      </c>
      <c r="G1626">
        <v>-471.4504</v>
      </c>
      <c r="H1626" s="1">
        <v>6.2427030000000003E-6</v>
      </c>
      <c r="I1626">
        <v>287.72539999999998</v>
      </c>
      <c r="J1626">
        <v>-380.04750000000001</v>
      </c>
      <c r="K1626">
        <v>1.109605</v>
      </c>
      <c r="L1626">
        <v>284.89109999999999</v>
      </c>
      <c r="M1626">
        <v>-0.99993460000000001</v>
      </c>
      <c r="N1626">
        <v>-1.040525E-2</v>
      </c>
      <c r="O1626">
        <v>-4.749812E-3</v>
      </c>
      <c r="P1626">
        <v>-0.9846549</v>
      </c>
      <c r="Q1626">
        <v>0.15780710000000001</v>
      </c>
      <c r="R1626">
        <v>-7.4508939999999996E-2</v>
      </c>
      <c r="S1626">
        <v>-3.0600890000000001</v>
      </c>
      <c r="T1626">
        <v>-3.69904E-2</v>
      </c>
      <c r="U1626">
        <v>9.4421389999999994E-2</v>
      </c>
      <c r="V1626">
        <v>-6.9824490000000003E-2</v>
      </c>
      <c r="W1626">
        <v>0.1680509</v>
      </c>
      <c r="X1626">
        <v>0.98330229999999996</v>
      </c>
      <c r="Y1626">
        <v>3.5583719999999999E-2</v>
      </c>
      <c r="Z1626">
        <v>4.0818899999999999E-4</v>
      </c>
      <c r="AA1626">
        <v>0.99936659999999999</v>
      </c>
      <c r="AB1626">
        <v>39</v>
      </c>
      <c r="AC1626">
        <v>-91.402900000000002</v>
      </c>
      <c r="AD1626">
        <v>-1.1095987572970001</v>
      </c>
      <c r="AE1626">
        <v>2.8342999999999798</v>
      </c>
      <c r="AF1626">
        <v>3.2679569731509801</v>
      </c>
      <c r="AG1626">
        <v>-1.1095987572970001</v>
      </c>
      <c r="AH1626">
        <v>91.374952623906793</v>
      </c>
      <c r="AI1626">
        <v>90.695284486186196</v>
      </c>
      <c r="AJ1626">
        <v>87.951732217560206</v>
      </c>
      <c r="AK1626">
        <v>91.440104545006804</v>
      </c>
      <c r="AL1626">
        <v>80.325486332439297</v>
      </c>
      <c r="AM1626">
        <v>94.061766661932396</v>
      </c>
      <c r="AN1626">
        <v>0.99999998878992902</v>
      </c>
    </row>
    <row r="1627" spans="1:40" x14ac:dyDescent="0.25">
      <c r="A1627" t="str">
        <f>"20190304155354720"</f>
        <v>20190304155354720</v>
      </c>
      <c r="B1627" t="str">
        <f>"1551686034717687"</f>
        <v>1551686034717687</v>
      </c>
      <c r="C1627" t="s">
        <v>40</v>
      </c>
      <c r="D1627">
        <v>4.5208399999999997</v>
      </c>
      <c r="E1627">
        <v>0.53667410000000004</v>
      </c>
      <c r="F1627" t="s">
        <v>51</v>
      </c>
      <c r="G1627">
        <v>-487.24329999999998</v>
      </c>
      <c r="H1627" s="1">
        <v>3.7837330000000001E-6</v>
      </c>
      <c r="I1627">
        <v>287.96949999999998</v>
      </c>
      <c r="J1627">
        <v>-380.43529999999998</v>
      </c>
      <c r="K1627">
        <v>1.1096109999999999</v>
      </c>
      <c r="L1627">
        <v>284.88929999999999</v>
      </c>
      <c r="M1627">
        <v>-0.99993449999999995</v>
      </c>
      <c r="N1627">
        <v>-1.0411979999999999E-2</v>
      </c>
      <c r="O1627">
        <v>-4.7591919999999998E-3</v>
      </c>
      <c r="P1627">
        <v>-0.98470780000000002</v>
      </c>
      <c r="Q1627">
        <v>0.15747739999999999</v>
      </c>
      <c r="R1627">
        <v>-7.4506610000000001E-2</v>
      </c>
      <c r="S1627">
        <v>-3.0584410000000002</v>
      </c>
      <c r="T1627">
        <v>-3.1658409999999998E-2</v>
      </c>
      <c r="U1627">
        <v>8.7829589999999999E-2</v>
      </c>
      <c r="V1627">
        <v>-6.9814329999999994E-2</v>
      </c>
      <c r="W1627">
        <v>0.16772709999999999</v>
      </c>
      <c r="X1627">
        <v>0.98335830000000002</v>
      </c>
      <c r="Y1627">
        <v>3.345886E-2</v>
      </c>
      <c r="Z1627">
        <v>3.4707439999999998E-4</v>
      </c>
      <c r="AA1627">
        <v>0.99944</v>
      </c>
      <c r="AB1627">
        <v>39</v>
      </c>
      <c r="AC1627">
        <v>-106.80800000000001</v>
      </c>
      <c r="AD1627">
        <v>-1.1096072162670001</v>
      </c>
      <c r="AE1627">
        <v>3.0801999999999898</v>
      </c>
      <c r="AF1627">
        <v>3.58812549683087</v>
      </c>
      <c r="AG1627">
        <v>-1.1096072162670001</v>
      </c>
      <c r="AH1627">
        <v>106.780615250946</v>
      </c>
      <c r="AI1627">
        <v>90.595029941291003</v>
      </c>
      <c r="AJ1627">
        <v>88.075426697171693</v>
      </c>
      <c r="AK1627">
        <v>106.846645553925</v>
      </c>
      <c r="AL1627">
        <v>80.344305779976096</v>
      </c>
      <c r="AM1627">
        <v>94.060947120412607</v>
      </c>
      <c r="AN1627">
        <v>0.99999998346332397</v>
      </c>
    </row>
    <row r="1628" spans="1:40" x14ac:dyDescent="0.25">
      <c r="A1628" t="str">
        <f>"20190304155354743"</f>
        <v>20190304155354743</v>
      </c>
      <c r="B1628" t="str">
        <f>"1551686034738183"</f>
        <v>1551686034738183</v>
      </c>
      <c r="C1628" t="s">
        <v>40</v>
      </c>
      <c r="D1628">
        <v>4.5349589999999997</v>
      </c>
      <c r="E1628">
        <v>0.53570379999999995</v>
      </c>
      <c r="F1628" t="s">
        <v>51</v>
      </c>
      <c r="G1628">
        <v>-504.84840000000003</v>
      </c>
      <c r="H1628">
        <v>7.9981830000000004E-2</v>
      </c>
      <c r="I1628">
        <v>288.17099999999999</v>
      </c>
      <c r="J1628">
        <v>-380.81709999999998</v>
      </c>
      <c r="K1628">
        <v>1.109623</v>
      </c>
      <c r="L1628">
        <v>284.88749999999999</v>
      </c>
      <c r="M1628">
        <v>-0.99993430000000005</v>
      </c>
      <c r="N1628">
        <v>-1.042277E-2</v>
      </c>
      <c r="O1628">
        <v>-4.7802089999999997E-3</v>
      </c>
      <c r="P1628">
        <v>-0.98473809999999995</v>
      </c>
      <c r="Q1628">
        <v>0.15739589999999901</v>
      </c>
      <c r="R1628">
        <v>-7.4281799999999995E-2</v>
      </c>
      <c r="S1628">
        <v>-3.0567319999999998</v>
      </c>
      <c r="T1628">
        <v>-2.5297159999999999E-2</v>
      </c>
      <c r="U1628">
        <v>8.0627439999999995E-2</v>
      </c>
      <c r="V1628">
        <v>-6.9571839999999996E-2</v>
      </c>
      <c r="W1628">
        <v>0.1676551</v>
      </c>
      <c r="X1628">
        <v>0.98338780000000003</v>
      </c>
      <c r="Y1628">
        <v>3.1143919999999999E-2</v>
      </c>
      <c r="Z1628">
        <v>2.809272E-4</v>
      </c>
      <c r="AA1628">
        <v>0.99951489999999998</v>
      </c>
      <c r="AB1628">
        <v>39</v>
      </c>
      <c r="AC1628">
        <v>-124.0313</v>
      </c>
      <c r="AD1628">
        <v>-1.0296411700000001</v>
      </c>
      <c r="AE1628">
        <v>3.2835000000000001</v>
      </c>
      <c r="AF1628">
        <v>3.87612326508106</v>
      </c>
      <c r="AG1628">
        <v>-1.0296411700000001</v>
      </c>
      <c r="AH1628">
        <v>124.005646312992</v>
      </c>
      <c r="AI1628">
        <v>90.475494002266103</v>
      </c>
      <c r="AJ1628">
        <v>88.209652349352396</v>
      </c>
      <c r="AK1628">
        <v>124.070483234362</v>
      </c>
      <c r="AL1628">
        <v>80.3484906806449</v>
      </c>
      <c r="AM1628">
        <v>94.046767956353904</v>
      </c>
      <c r="AN1628">
        <v>1.0000000193329099</v>
      </c>
    </row>
    <row r="1629" spans="1:40" x14ac:dyDescent="0.25">
      <c r="A1629" t="str">
        <f>"20190304155354766"</f>
        <v>20190304155354766</v>
      </c>
      <c r="B1629" t="str">
        <f>"1551686034758210"</f>
        <v>1551686034758210</v>
      </c>
      <c r="C1629" t="s">
        <v>40</v>
      </c>
      <c r="D1629">
        <v>4.5375030000000001</v>
      </c>
      <c r="E1629">
        <v>0.53446579999999999</v>
      </c>
      <c r="F1629" t="s">
        <v>47</v>
      </c>
      <c r="G1629">
        <v>-524.10540000000003</v>
      </c>
      <c r="H1629">
        <v>-0.05</v>
      </c>
      <c r="I1629">
        <v>288.3202</v>
      </c>
      <c r="J1629">
        <v>-381.22800000000001</v>
      </c>
      <c r="K1629">
        <v>1.109639</v>
      </c>
      <c r="L1629">
        <v>284.88549999999998</v>
      </c>
      <c r="M1629">
        <v>-0.99993399999999999</v>
      </c>
      <c r="N1629">
        <v>-1.0440680000000001E-2</v>
      </c>
      <c r="O1629">
        <v>-4.8207600000000003E-3</v>
      </c>
      <c r="P1629">
        <v>-0.98467939999999998</v>
      </c>
      <c r="Q1629">
        <v>0.15760450000000001</v>
      </c>
      <c r="R1629">
        <v>-7.4615130000000002E-2</v>
      </c>
      <c r="S1629">
        <v>-3.0559690000000002</v>
      </c>
      <c r="T1629">
        <v>-2.4731759999999998E-2</v>
      </c>
      <c r="U1629">
        <v>7.3211670000000006E-2</v>
      </c>
      <c r="V1629">
        <v>-6.9870639999999998E-2</v>
      </c>
      <c r="W1629">
        <v>0.1678789</v>
      </c>
      <c r="X1629">
        <v>0.98332839999999999</v>
      </c>
      <c r="Y1629">
        <v>2.8767270000000001E-2</v>
      </c>
      <c r="Z1629">
        <v>2.5527589999999999E-4</v>
      </c>
      <c r="AA1629">
        <v>0.99958610000000003</v>
      </c>
      <c r="AB1629">
        <v>39</v>
      </c>
      <c r="AC1629">
        <v>-142.87739999999999</v>
      </c>
      <c r="AD1629">
        <v>-1.1596389999999901</v>
      </c>
      <c r="AE1629">
        <v>3.4347000000000198</v>
      </c>
      <c r="AF1629">
        <v>4.1232037390132099</v>
      </c>
      <c r="AG1629">
        <v>-1.1596389999999901</v>
      </c>
      <c r="AH1629">
        <v>142.84977608010601</v>
      </c>
      <c r="AI1629">
        <v>90.464917093195197</v>
      </c>
      <c r="AJ1629">
        <v>88.346678552043599</v>
      </c>
      <c r="AK1629">
        <v>142.91397446653099</v>
      </c>
      <c r="AL1629">
        <v>80.335483213649695</v>
      </c>
      <c r="AM1629">
        <v>94.064334744529802</v>
      </c>
      <c r="AN1629">
        <v>0.99999998682288904</v>
      </c>
    </row>
    <row r="1630" spans="1:40" x14ac:dyDescent="0.25">
      <c r="A1630" t="str">
        <f>"20190304155354787"</f>
        <v>20190304155354787</v>
      </c>
      <c r="B1630" t="str">
        <f>"1551686034777734"</f>
        <v>1551686034777734</v>
      </c>
      <c r="C1630" t="s">
        <v>40</v>
      </c>
      <c r="D1630">
        <v>4.5285250000000001</v>
      </c>
      <c r="E1630">
        <v>0.53343999999999903</v>
      </c>
      <c r="F1630" t="s">
        <v>51</v>
      </c>
      <c r="G1630">
        <v>-499.98090000000002</v>
      </c>
      <c r="H1630">
        <v>7.3052069999999997E-2</v>
      </c>
      <c r="I1630">
        <v>287.2978</v>
      </c>
      <c r="J1630">
        <v>-381.61380000000003</v>
      </c>
      <c r="K1630">
        <v>1.109658</v>
      </c>
      <c r="L1630">
        <v>284.88350000000003</v>
      </c>
      <c r="M1630">
        <v>-0.99993339999999997</v>
      </c>
      <c r="N1630">
        <v>-1.046163E-2</v>
      </c>
      <c r="O1630">
        <v>-4.874331E-3</v>
      </c>
      <c r="P1630">
        <v>-0.98469600000000002</v>
      </c>
      <c r="Q1630">
        <v>0.15737619999999999</v>
      </c>
      <c r="R1630">
        <v>-7.4875540000000004E-2</v>
      </c>
      <c r="S1630">
        <v>-3.0556640000000002</v>
      </c>
      <c r="T1630">
        <v>-2.667272E-2</v>
      </c>
      <c r="U1630">
        <v>6.2072750000000003E-2</v>
      </c>
      <c r="V1630">
        <v>-7.0083720000000002E-2</v>
      </c>
      <c r="W1630">
        <v>0.16766879999999901</v>
      </c>
      <c r="X1630">
        <v>0.98334909999999998</v>
      </c>
      <c r="Y1630">
        <v>2.518105E-2</v>
      </c>
      <c r="Z1630">
        <v>2.3318230000000001E-4</v>
      </c>
      <c r="AA1630">
        <v>0.99968290000000004</v>
      </c>
      <c r="AB1630">
        <v>39</v>
      </c>
      <c r="AC1630">
        <v>-118.36709999999999</v>
      </c>
      <c r="AD1630">
        <v>-1.0366059299999999</v>
      </c>
      <c r="AE1630">
        <v>2.4142999999999599</v>
      </c>
      <c r="AF1630">
        <v>2.9910340125786599</v>
      </c>
      <c r="AG1630">
        <v>-1.0366059299999999</v>
      </c>
      <c r="AH1630">
        <v>118.344852299694</v>
      </c>
      <c r="AI1630">
        <v>90.501692013249396</v>
      </c>
      <c r="AJ1630">
        <v>88.552221355193595</v>
      </c>
      <c r="AK1630">
        <v>118.387182170009</v>
      </c>
      <c r="AL1630">
        <v>80.347694302191798</v>
      </c>
      <c r="AM1630">
        <v>94.076602230778704</v>
      </c>
      <c r="AN1630">
        <v>1.0000000033866401</v>
      </c>
    </row>
    <row r="1631" spans="1:40" x14ac:dyDescent="0.25">
      <c r="A1631" t="str">
        <f>"20190304155354809"</f>
        <v>20190304155354809</v>
      </c>
      <c r="B1631" t="str">
        <f>"1551686034798227"</f>
        <v>1551686034798227</v>
      </c>
      <c r="C1631" t="s">
        <v>40</v>
      </c>
      <c r="D1631">
        <v>4.5052050000000001</v>
      </c>
      <c r="E1631">
        <v>0.53255220000000003</v>
      </c>
      <c r="F1631" t="s">
        <v>51</v>
      </c>
      <c r="G1631">
        <v>-498.03609999999998</v>
      </c>
      <c r="H1631" s="1">
        <v>2.7403939999999999E-6</v>
      </c>
      <c r="I1631">
        <v>286.91860000000003</v>
      </c>
      <c r="J1631">
        <v>-382.00619999999998</v>
      </c>
      <c r="K1631">
        <v>1.1096760000000001</v>
      </c>
      <c r="L1631">
        <v>284.88150000000002</v>
      </c>
      <c r="M1631">
        <v>-0.99993279999999995</v>
      </c>
      <c r="N1631">
        <v>-1.048908E-2</v>
      </c>
      <c r="O1631">
        <v>-4.9465519999999999E-3</v>
      </c>
      <c r="P1631">
        <v>-0.98466410000000004</v>
      </c>
      <c r="Q1631">
        <v>0.15738540000000001</v>
      </c>
      <c r="R1631">
        <v>-7.5277189999999994E-2</v>
      </c>
      <c r="S1631">
        <v>-3.0552980000000001</v>
      </c>
      <c r="T1631">
        <v>-2.9120920000000002E-2</v>
      </c>
      <c r="U1631">
        <v>5.3405759999999997E-2</v>
      </c>
      <c r="V1631">
        <v>-7.0420919999999998E-2</v>
      </c>
      <c r="W1631">
        <v>0.1677022</v>
      </c>
      <c r="X1631">
        <v>0.98331930000000001</v>
      </c>
      <c r="Y1631">
        <v>2.242077E-2</v>
      </c>
      <c r="Z1631">
        <v>2.1970400000000001E-4</v>
      </c>
      <c r="AA1631">
        <v>0.99974859999999999</v>
      </c>
      <c r="AB1631">
        <v>39</v>
      </c>
      <c r="AC1631">
        <v>-116.0299</v>
      </c>
      <c r="AD1631">
        <v>-1.1096732596059999</v>
      </c>
      <c r="AE1631">
        <v>2.0371000000000001</v>
      </c>
      <c r="AF1631">
        <v>2.6108158353716902</v>
      </c>
      <c r="AG1631">
        <v>-1.1096732596059999</v>
      </c>
      <c r="AH1631">
        <v>116.00779585589</v>
      </c>
      <c r="AI1631">
        <v>90.547907672928403</v>
      </c>
      <c r="AJ1631">
        <v>88.710746294807606</v>
      </c>
      <c r="AK1631">
        <v>116.042476849691</v>
      </c>
      <c r="AL1631">
        <v>80.345753004948094</v>
      </c>
      <c r="AM1631">
        <v>94.096273456338096</v>
      </c>
      <c r="AN1631">
        <v>0.99999998980548799</v>
      </c>
    </row>
    <row r="1632" spans="1:40" x14ac:dyDescent="0.25">
      <c r="A1632" t="str">
        <f>"20190304155354833"</f>
        <v>20190304155354833</v>
      </c>
      <c r="B1632" t="str">
        <f>"1551686034828483"</f>
        <v>1551686034828483</v>
      </c>
      <c r="C1632" t="s">
        <v>40</v>
      </c>
      <c r="D1632">
        <v>4.4842469999999999</v>
      </c>
      <c r="E1632">
        <v>0.53166959999999996</v>
      </c>
      <c r="F1632" t="s">
        <v>51</v>
      </c>
      <c r="G1632">
        <v>-493.98149999999998</v>
      </c>
      <c r="H1632" s="1">
        <v>3.426657E-6</v>
      </c>
      <c r="I1632">
        <v>286.54149999999998</v>
      </c>
      <c r="J1632">
        <v>-382.41309999999999</v>
      </c>
      <c r="K1632">
        <v>1.1096980000000001</v>
      </c>
      <c r="L1632">
        <v>284.87950000000001</v>
      </c>
      <c r="M1632">
        <v>-0.99993180000000004</v>
      </c>
      <c r="N1632">
        <v>-1.052411E-2</v>
      </c>
      <c r="O1632">
        <v>-5.0418390000000002E-3</v>
      </c>
      <c r="P1632">
        <v>-0.98467950000000004</v>
      </c>
      <c r="Q1632">
        <v>0.1571341</v>
      </c>
      <c r="R1632">
        <v>-7.5600669999999995E-2</v>
      </c>
      <c r="S1632">
        <v>-3.0550229999999998</v>
      </c>
      <c r="T1632">
        <v>-3.027523E-2</v>
      </c>
      <c r="U1632">
        <v>4.5288090000000003E-2</v>
      </c>
      <c r="V1632">
        <v>-7.06571E-2</v>
      </c>
      <c r="W1632">
        <v>0.16748260000000001</v>
      </c>
      <c r="X1632">
        <v>0.98333979999999999</v>
      </c>
      <c r="Y1632">
        <v>1.9861879999999998E-2</v>
      </c>
      <c r="Z1632">
        <v>1.998375E-4</v>
      </c>
      <c r="AA1632">
        <v>0.99980270000000004</v>
      </c>
      <c r="AB1632">
        <v>39</v>
      </c>
      <c r="AC1632">
        <v>-111.5684</v>
      </c>
      <c r="AD1632">
        <v>-1.1096945733429999</v>
      </c>
      <c r="AE1632">
        <v>1.6619999999999699</v>
      </c>
      <c r="AF1632">
        <v>2.2242999991893502</v>
      </c>
      <c r="AG1632">
        <v>-1.1096945733429999</v>
      </c>
      <c r="AH1632">
        <v>111.547568926099</v>
      </c>
      <c r="AI1632">
        <v>90.569856281535607</v>
      </c>
      <c r="AJ1632">
        <v>88.857652243333106</v>
      </c>
      <c r="AK1632">
        <v>111.57526189014899</v>
      </c>
      <c r="AL1632">
        <v>80.3585158133683</v>
      </c>
      <c r="AM1632">
        <v>94.109879284680403</v>
      </c>
      <c r="AN1632">
        <v>1.0000000046736</v>
      </c>
    </row>
    <row r="1633" spans="1:40" x14ac:dyDescent="0.25">
      <c r="A1633" t="str">
        <f>"20190304155354856"</f>
        <v>20190304155354856</v>
      </c>
      <c r="B1633" t="str">
        <f>"1551686034848003"</f>
        <v>1551686034848003</v>
      </c>
      <c r="C1633" t="s">
        <v>40</v>
      </c>
      <c r="D1633">
        <v>4.6444089999999996</v>
      </c>
      <c r="E1633">
        <v>0.53144619999999998</v>
      </c>
      <c r="F1633" t="s">
        <v>51</v>
      </c>
      <c r="G1633">
        <v>-489.4624</v>
      </c>
      <c r="H1633" s="1">
        <v>4.0218600000000001E-6</v>
      </c>
      <c r="I1633">
        <v>286.19060000000002</v>
      </c>
      <c r="J1633">
        <v>-382.8186</v>
      </c>
      <c r="K1633">
        <v>1.1097189999999999</v>
      </c>
      <c r="L1633">
        <v>284.87729999999999</v>
      </c>
      <c r="M1633">
        <v>-0.99993100000000001</v>
      </c>
      <c r="N1633">
        <v>-1.056383E-2</v>
      </c>
      <c r="O1633">
        <v>-5.1558690000000004E-3</v>
      </c>
      <c r="P1633">
        <v>-0.98463730000000005</v>
      </c>
      <c r="Q1633">
        <v>0.15729899999999999</v>
      </c>
      <c r="R1633">
        <v>-7.5807319999999997E-2</v>
      </c>
      <c r="S1633">
        <v>-3.0546259999999998</v>
      </c>
      <c r="T1633">
        <v>-3.1664850000000001E-2</v>
      </c>
      <c r="U1633">
        <v>3.7414549999999998E-2</v>
      </c>
      <c r="V1633">
        <v>-7.0758280000000007E-2</v>
      </c>
      <c r="W1633">
        <v>0.16768379999999999</v>
      </c>
      <c r="X1633">
        <v>0.98329820000000001</v>
      </c>
      <c r="Y1633">
        <v>1.740129E-2</v>
      </c>
      <c r="Z1633">
        <v>1.8108840000000001E-4</v>
      </c>
      <c r="AA1633">
        <v>0.99984850000000003</v>
      </c>
      <c r="AB1633">
        <v>39</v>
      </c>
      <c r="AC1633">
        <v>-106.6438</v>
      </c>
      <c r="AD1633">
        <v>-1.10971497814</v>
      </c>
      <c r="AE1633">
        <v>1.3133000000000199</v>
      </c>
      <c r="AF1633">
        <v>1.8629529452336</v>
      </c>
      <c r="AG1633">
        <v>-1.10971497814</v>
      </c>
      <c r="AH1633">
        <v>106.62406720296801</v>
      </c>
      <c r="AI1633">
        <v>90.5962067383538</v>
      </c>
      <c r="AJ1633">
        <v>88.999020724741996</v>
      </c>
      <c r="AK1633">
        <v>106.646114640487</v>
      </c>
      <c r="AL1633">
        <v>80.346822202904505</v>
      </c>
      <c r="AM1633">
        <v>94.115917890065205</v>
      </c>
      <c r="AN1633">
        <v>0.99999997054711798</v>
      </c>
    </row>
    <row r="1634" spans="1:40" x14ac:dyDescent="0.25">
      <c r="A1634" t="str">
        <f>"20190304155354876"</f>
        <v>20190304155354876</v>
      </c>
      <c r="B1634" t="str">
        <f>"1551686034867930"</f>
        <v>1551686034867930</v>
      </c>
      <c r="C1634" t="s">
        <v>40</v>
      </c>
      <c r="D1634">
        <v>4.4443919999999997</v>
      </c>
      <c r="E1634">
        <v>0.53098339999999999</v>
      </c>
      <c r="F1634" t="s">
        <v>51</v>
      </c>
      <c r="G1634">
        <v>-490.41379999999998</v>
      </c>
      <c r="H1634" s="1">
        <v>4.0213330000000002E-6</v>
      </c>
      <c r="I1634">
        <v>286.10489999999999</v>
      </c>
      <c r="J1634">
        <v>-383.18560000000002</v>
      </c>
      <c r="K1634">
        <v>1.1097300000000001</v>
      </c>
      <c r="L1634">
        <v>284.87529999999998</v>
      </c>
      <c r="M1634">
        <v>-0.99992999999999999</v>
      </c>
      <c r="N1634">
        <v>-1.060257E-2</v>
      </c>
      <c r="O1634">
        <v>-5.2726029999999998E-3</v>
      </c>
      <c r="P1634">
        <v>-0.98459399999999997</v>
      </c>
      <c r="Q1634">
        <v>0.15742579999999901</v>
      </c>
      <c r="R1634">
        <v>-7.6105329999999999E-2</v>
      </c>
      <c r="S1634">
        <v>-3.0545650000000002</v>
      </c>
      <c r="T1634">
        <v>-3.1504150000000002E-2</v>
      </c>
      <c r="U1634">
        <v>3.4851069999999998E-2</v>
      </c>
      <c r="V1634">
        <v>-7.0947109999999994E-2</v>
      </c>
      <c r="W1634">
        <v>0.167846</v>
      </c>
      <c r="X1634">
        <v>0.98325689999999999</v>
      </c>
      <c r="Y1634">
        <v>1.6679360000000001E-2</v>
      </c>
      <c r="Z1634">
        <v>1.7291569999999999E-4</v>
      </c>
      <c r="AA1634">
        <v>0.99986090000000005</v>
      </c>
      <c r="AB1634">
        <v>39</v>
      </c>
      <c r="AC1634">
        <v>-107.22819999999901</v>
      </c>
      <c r="AD1634">
        <v>-1.109725978667</v>
      </c>
      <c r="AE1634">
        <v>1.2296</v>
      </c>
      <c r="AF1634">
        <v>1.79479414605534</v>
      </c>
      <c r="AG1634">
        <v>-1.109725978667</v>
      </c>
      <c r="AH1634">
        <v>107.20874459422301</v>
      </c>
      <c r="AI1634">
        <v>90.592968767307696</v>
      </c>
      <c r="AJ1634">
        <v>89.040894241115495</v>
      </c>
      <c r="AK1634">
        <v>107.229509442335</v>
      </c>
      <c r="AL1634">
        <v>80.337395035617305</v>
      </c>
      <c r="AM1634">
        <v>94.127036730517702</v>
      </c>
      <c r="AN1634">
        <v>0.99999995176547996</v>
      </c>
    </row>
    <row r="1635" spans="1:40" x14ac:dyDescent="0.25">
      <c r="A1635" t="str">
        <f>"20190304155354899"</f>
        <v>20190304155354899</v>
      </c>
      <c r="B1635" t="str">
        <f>"1551686034888426"</f>
        <v>1551686034888426</v>
      </c>
      <c r="C1635" t="s">
        <v>40</v>
      </c>
      <c r="D1635">
        <v>4.4333689999999999</v>
      </c>
      <c r="E1635">
        <v>0.53047519999999904</v>
      </c>
      <c r="F1635" t="s">
        <v>51</v>
      </c>
      <c r="G1635">
        <v>-491.05500000000001</v>
      </c>
      <c r="H1635" s="1">
        <v>3.8942400000000002E-6</v>
      </c>
      <c r="I1635">
        <v>285.95209999999997</v>
      </c>
      <c r="J1635">
        <v>-383.58300000000003</v>
      </c>
      <c r="K1635">
        <v>1.109748</v>
      </c>
      <c r="L1635">
        <v>284.87310000000002</v>
      </c>
      <c r="M1635">
        <v>-0.99992879999999995</v>
      </c>
      <c r="N1635">
        <v>-1.0647490000000001E-2</v>
      </c>
      <c r="O1635">
        <v>-5.4095080000000004E-3</v>
      </c>
      <c r="P1635">
        <v>-0.98460360000000002</v>
      </c>
      <c r="Q1635">
        <v>0.15727079999999999</v>
      </c>
      <c r="R1635">
        <v>-7.6301250000000001E-2</v>
      </c>
      <c r="S1635">
        <v>-3.0543209999999998</v>
      </c>
      <c r="T1635">
        <v>-3.1421900000000003E-2</v>
      </c>
      <c r="U1635">
        <v>3.048706E-2</v>
      </c>
      <c r="V1635">
        <v>-7.1013670000000001E-2</v>
      </c>
      <c r="W1635">
        <v>0.1677332</v>
      </c>
      <c r="X1635">
        <v>0.98327140000000002</v>
      </c>
      <c r="Y1635">
        <v>1.5388860000000001E-2</v>
      </c>
      <c r="Z1635">
        <v>1.5913979999999901E-4</v>
      </c>
      <c r="AA1635">
        <v>0.99988160000000004</v>
      </c>
      <c r="AB1635">
        <v>39</v>
      </c>
      <c r="AC1635">
        <v>-107.471999999999</v>
      </c>
      <c r="AD1635">
        <v>-1.1097441057599999</v>
      </c>
      <c r="AE1635">
        <v>1.07899999999995</v>
      </c>
      <c r="AF1635">
        <v>1.6602107427593999</v>
      </c>
      <c r="AG1635">
        <v>-1.1097441057599999</v>
      </c>
      <c r="AH1635">
        <v>107.453134226815</v>
      </c>
      <c r="AI1635">
        <v>90.5916421739783</v>
      </c>
      <c r="AJ1635">
        <v>89.114818742323607</v>
      </c>
      <c r="AK1635">
        <v>107.47168876898</v>
      </c>
      <c r="AL1635">
        <v>80.343951481426203</v>
      </c>
      <c r="AM1635">
        <v>94.130834462996404</v>
      </c>
      <c r="AN1635">
        <v>1.00000000688353</v>
      </c>
    </row>
    <row r="1636" spans="1:40" x14ac:dyDescent="0.25">
      <c r="A1636" t="str">
        <f>"20190304155354921"</f>
        <v>20190304155354921</v>
      </c>
      <c r="B1636" t="str">
        <f>"1551686034917706"</f>
        <v>1551686034917706</v>
      </c>
      <c r="C1636" t="s">
        <v>40</v>
      </c>
      <c r="D1636">
        <v>4.417357</v>
      </c>
      <c r="E1636">
        <v>0.52978530000000001</v>
      </c>
      <c r="F1636" t="s">
        <v>51</v>
      </c>
      <c r="G1636">
        <v>-486.16820000000001</v>
      </c>
      <c r="H1636" s="1">
        <v>3.3979800000000002E-6</v>
      </c>
      <c r="I1636">
        <v>285.73829999999998</v>
      </c>
      <c r="J1636">
        <v>-383.97230000000002</v>
      </c>
      <c r="K1636">
        <v>1.109761</v>
      </c>
      <c r="L1636">
        <v>284.87090000000001</v>
      </c>
      <c r="M1636">
        <v>-0.99992749999999997</v>
      </c>
      <c r="N1636">
        <v>-1.0693279999999999E-2</v>
      </c>
      <c r="O1636">
        <v>-5.551393E-3</v>
      </c>
      <c r="P1636">
        <v>-0.98461129999999997</v>
      </c>
      <c r="Q1636">
        <v>0.15711429999999901</v>
      </c>
      <c r="R1636">
        <v>-7.6522199999999999E-2</v>
      </c>
      <c r="S1636">
        <v>-3.0541689999999999</v>
      </c>
      <c r="T1636">
        <v>-3.3039329999999999E-2</v>
      </c>
      <c r="U1636">
        <v>2.575684E-2</v>
      </c>
      <c r="V1636">
        <v>-7.109944E-2</v>
      </c>
      <c r="W1636">
        <v>0.1676194</v>
      </c>
      <c r="X1636">
        <v>0.98328459999999995</v>
      </c>
      <c r="Y1636">
        <v>1.398279E-2</v>
      </c>
      <c r="Z1636">
        <v>1.5108459999999999E-4</v>
      </c>
      <c r="AA1636">
        <v>0.99990219999999996</v>
      </c>
      <c r="AB1636">
        <v>39</v>
      </c>
      <c r="AC1636">
        <v>-102.19589999999999</v>
      </c>
      <c r="AD1636">
        <v>-1.10975760202</v>
      </c>
      <c r="AE1636">
        <v>0.86739999999997497</v>
      </c>
      <c r="AF1636">
        <v>1.43457947307266</v>
      </c>
      <c r="AG1636">
        <v>-1.10975760202</v>
      </c>
      <c r="AH1636">
        <v>102.177461570613</v>
      </c>
      <c r="AI1636">
        <v>90.622208269198396</v>
      </c>
      <c r="AJ1636">
        <v>89.195615670298906</v>
      </c>
      <c r="AK1636">
        <v>102.19355768938701</v>
      </c>
      <c r="AL1636">
        <v>80.3505653042468</v>
      </c>
      <c r="AM1636">
        <v>94.135751036526202</v>
      </c>
      <c r="AN1636">
        <v>0.99999999911091597</v>
      </c>
    </row>
    <row r="1637" spans="1:40" x14ac:dyDescent="0.25">
      <c r="A1637" t="str">
        <f>"20190304155354944"</f>
        <v>20190304155354944</v>
      </c>
      <c r="B1637" t="str">
        <f>"1551686034938205"</f>
        <v>1551686034938205</v>
      </c>
      <c r="C1637" t="s">
        <v>40</v>
      </c>
      <c r="D1637">
        <v>4.4423029999999999</v>
      </c>
      <c r="E1637">
        <v>0.52942429999999996</v>
      </c>
      <c r="F1637" t="s">
        <v>51</v>
      </c>
      <c r="G1637">
        <v>-480.20319999999998</v>
      </c>
      <c r="H1637" s="1">
        <v>2.3182769999999999E-6</v>
      </c>
      <c r="I1637">
        <v>285.49110000000002</v>
      </c>
      <c r="J1637">
        <v>-384.37009999999998</v>
      </c>
      <c r="K1637">
        <v>1.1097729999999999</v>
      </c>
      <c r="L1637">
        <v>284.86849999999998</v>
      </c>
      <c r="M1637">
        <v>-0.99992610000000004</v>
      </c>
      <c r="N1637">
        <v>-1.0738670000000001E-2</v>
      </c>
      <c r="O1637">
        <v>-5.7015939999999999E-3</v>
      </c>
      <c r="P1637">
        <v>-0.98464980000000002</v>
      </c>
      <c r="Q1637">
        <v>0.15685009999999999</v>
      </c>
      <c r="R1637">
        <v>-7.6568789999999998E-2</v>
      </c>
      <c r="S1637">
        <v>-3.0540470000000002</v>
      </c>
      <c r="T1637">
        <v>-3.5220029999999999E-2</v>
      </c>
      <c r="U1637">
        <v>1.9683840000000001E-2</v>
      </c>
      <c r="V1637">
        <v>-7.1000869999999994E-2</v>
      </c>
      <c r="W1637">
        <v>0.1673994</v>
      </c>
      <c r="X1637">
        <v>0.98332920000000001</v>
      </c>
      <c r="Y1637">
        <v>1.214517E-2</v>
      </c>
      <c r="Z1637">
        <v>1.397666E-4</v>
      </c>
      <c r="AA1637">
        <v>0.99992619999999999</v>
      </c>
      <c r="AB1637">
        <v>40</v>
      </c>
      <c r="AC1637">
        <v>-95.833100000000002</v>
      </c>
      <c r="AD1637">
        <v>-1.109770681723</v>
      </c>
      <c r="AE1637">
        <v>0.62260000000003302</v>
      </c>
      <c r="AF1637">
        <v>1.1688660652371201</v>
      </c>
      <c r="AG1637">
        <v>-1.109770681723</v>
      </c>
      <c r="AH1637">
        <v>95.815143646120205</v>
      </c>
      <c r="AI1637">
        <v>90.663544409829697</v>
      </c>
      <c r="AJ1637">
        <v>89.301073213579997</v>
      </c>
      <c r="AK1637">
        <v>95.828699202123801</v>
      </c>
      <c r="AL1637">
        <v>80.363351032049195</v>
      </c>
      <c r="AM1637">
        <v>94.129850542858307</v>
      </c>
      <c r="AN1637">
        <v>0.99999999911687798</v>
      </c>
    </row>
    <row r="1638" spans="1:40" x14ac:dyDescent="0.25">
      <c r="A1638" t="str">
        <f>"20190304155354965"</f>
        <v>20190304155354965</v>
      </c>
      <c r="B1638" t="str">
        <f>"1551686034957722"</f>
        <v>1551686034957722</v>
      </c>
      <c r="C1638" t="s">
        <v>40</v>
      </c>
      <c r="D1638">
        <v>4.3640540000000003</v>
      </c>
      <c r="E1638">
        <v>0.48578929999999998</v>
      </c>
      <c r="F1638" t="s">
        <v>51</v>
      </c>
      <c r="G1638">
        <v>-482.2962</v>
      </c>
      <c r="H1638" s="1">
        <v>2.6807079999999998E-6</v>
      </c>
      <c r="I1638">
        <v>285.39019999999999</v>
      </c>
      <c r="J1638">
        <v>-384.75810000000001</v>
      </c>
      <c r="K1638">
        <v>1.109788</v>
      </c>
      <c r="L1638">
        <v>284.86619999999999</v>
      </c>
      <c r="M1638">
        <v>-0.99992490000000001</v>
      </c>
      <c r="N1638">
        <v>-1.0779769999999999E-2</v>
      </c>
      <c r="O1638">
        <v>-5.8512679999999997E-3</v>
      </c>
      <c r="P1638">
        <v>-0.98461710000000002</v>
      </c>
      <c r="Q1638">
        <v>0.15695120000000001</v>
      </c>
      <c r="R1638">
        <v>-7.6783630000000005E-2</v>
      </c>
      <c r="S1638">
        <v>-3.0535580000000002</v>
      </c>
      <c r="T1638">
        <v>-3.4605150000000001E-2</v>
      </c>
      <c r="U1638">
        <v>1.6265870000000002E-2</v>
      </c>
      <c r="V1638">
        <v>-7.1070880000000003E-2</v>
      </c>
      <c r="W1638">
        <v>0.16753950000000001</v>
      </c>
      <c r="X1638">
        <v>0.98330030000000002</v>
      </c>
      <c r="Y1638">
        <v>1.1176820000000001E-2</v>
      </c>
      <c r="Z1638">
        <v>1.268087E-4</v>
      </c>
      <c r="AA1638">
        <v>0.99993750000000003</v>
      </c>
      <c r="AB1638">
        <v>40</v>
      </c>
      <c r="AC1638">
        <v>-97.5381</v>
      </c>
      <c r="AD1638">
        <v>-1.109785319292</v>
      </c>
      <c r="AE1638">
        <v>0.52400000000000002</v>
      </c>
      <c r="AF1638">
        <v>1.0946039831683501</v>
      </c>
      <c r="AG1638">
        <v>-1.109785319292</v>
      </c>
      <c r="AH1638">
        <v>97.520739338126901</v>
      </c>
      <c r="AI1638">
        <v>90.651956354752699</v>
      </c>
      <c r="AJ1638">
        <v>89.356920842431805</v>
      </c>
      <c r="AK1638">
        <v>97.533196309716899</v>
      </c>
      <c r="AL1638">
        <v>80.355209078463204</v>
      </c>
      <c r="AM1638">
        <v>94.134029725202893</v>
      </c>
      <c r="AN1638">
        <v>1.0000000170121499</v>
      </c>
    </row>
    <row r="1639" spans="1:40" x14ac:dyDescent="0.25">
      <c r="A1639" t="str">
        <f>"20190304155354988"</f>
        <v>20190304155354988</v>
      </c>
      <c r="B1639" t="str">
        <f>"1551686034978218"</f>
        <v>1551686034978218</v>
      </c>
      <c r="C1639" t="s">
        <v>40</v>
      </c>
      <c r="D1639">
        <v>4.3469170000000004</v>
      </c>
      <c r="E1639">
        <v>0.4841087</v>
      </c>
      <c r="F1639" t="s">
        <v>65</v>
      </c>
      <c r="G1639">
        <v>-423.44209999999998</v>
      </c>
      <c r="H1639" s="1">
        <v>3.7003189999999999E-6</v>
      </c>
      <c r="I1639">
        <v>280.65519999999998</v>
      </c>
      <c r="J1639">
        <v>-385.16500000000002</v>
      </c>
      <c r="K1639">
        <v>1.109799</v>
      </c>
      <c r="L1639">
        <v>284.86369999999999</v>
      </c>
      <c r="M1639">
        <v>-0.99992349999999997</v>
      </c>
      <c r="N1639">
        <v>-1.081934E-2</v>
      </c>
      <c r="O1639">
        <v>-6.0095060000000004E-3</v>
      </c>
      <c r="P1639">
        <v>-0.98460150000000002</v>
      </c>
      <c r="Q1639">
        <v>0.15689600000000001</v>
      </c>
      <c r="R1639">
        <v>-7.7095659999999996E-2</v>
      </c>
      <c r="S1639">
        <v>-3.0349729999999999</v>
      </c>
      <c r="T1639">
        <v>-8.7068560000000003E-2</v>
      </c>
      <c r="U1639">
        <v>-0.33038329999999999</v>
      </c>
      <c r="V1639">
        <v>-7.1229580000000001E-2</v>
      </c>
      <c r="W1639">
        <v>0.16752259999999999</v>
      </c>
      <c r="X1639">
        <v>0.98329169999999999</v>
      </c>
      <c r="Y1639">
        <v>-0.1021865</v>
      </c>
      <c r="Z1639">
        <v>-1.908744E-3</v>
      </c>
      <c r="AA1639">
        <v>0.99476339999999996</v>
      </c>
      <c r="AB1639">
        <v>40</v>
      </c>
      <c r="AC1639">
        <v>-38.277099999999898</v>
      </c>
      <c r="AD1639">
        <v>-1.1097952996810001</v>
      </c>
      <c r="AE1639">
        <v>-4.2085000000000097</v>
      </c>
      <c r="AF1639">
        <v>-3.9750824086898899</v>
      </c>
      <c r="AG1639">
        <v>-1.1097952996810001</v>
      </c>
      <c r="AH1639">
        <v>38.269914435356398</v>
      </c>
      <c r="AI1639">
        <v>91.652180120436796</v>
      </c>
      <c r="AJ1639">
        <v>95.9300271006381</v>
      </c>
      <c r="AK1639">
        <v>38.491807916134199</v>
      </c>
      <c r="AL1639">
        <v>80.356191296642507</v>
      </c>
      <c r="AM1639">
        <v>94.143264938654397</v>
      </c>
      <c r="AN1639">
        <v>1.00000002093331</v>
      </c>
    </row>
    <row r="1640" spans="1:40" x14ac:dyDescent="0.25">
      <c r="A1640" t="str">
        <f>"20190304155355010"</f>
        <v>20190304155355010</v>
      </c>
      <c r="B1640" t="str">
        <f>"1551686035008475"</f>
        <v>1551686035008475</v>
      </c>
      <c r="C1640" t="s">
        <v>40</v>
      </c>
      <c r="D1640">
        <v>4.2925700000000004</v>
      </c>
      <c r="E1640">
        <v>0.4814659</v>
      </c>
      <c r="F1640" t="s">
        <v>65</v>
      </c>
      <c r="G1640">
        <v>-424.44779999999997</v>
      </c>
      <c r="H1640" s="1">
        <v>3.5447929999999999E-6</v>
      </c>
      <c r="I1640">
        <v>280.39370000000002</v>
      </c>
      <c r="J1640">
        <v>-385.55259999999998</v>
      </c>
      <c r="K1640">
        <v>1.109804</v>
      </c>
      <c r="L1640">
        <v>284.86130000000003</v>
      </c>
      <c r="M1640">
        <v>-0.99992230000000004</v>
      </c>
      <c r="N1640">
        <v>-1.085362E-2</v>
      </c>
      <c r="O1640">
        <v>-6.1600730000000003E-3</v>
      </c>
      <c r="P1640">
        <v>-0.98456600000000005</v>
      </c>
      <c r="Q1640">
        <v>0.15718299999999999</v>
      </c>
      <c r="R1640">
        <v>-7.6964240000000003E-2</v>
      </c>
      <c r="S1640">
        <v>-3.0335390000000002</v>
      </c>
      <c r="T1640">
        <v>-8.5701940000000004E-2</v>
      </c>
      <c r="U1640">
        <v>-0.3451843</v>
      </c>
      <c r="V1640">
        <v>-7.095137E-2</v>
      </c>
      <c r="W1640">
        <v>0.16784180000000001</v>
      </c>
      <c r="X1640">
        <v>0.98325739999999995</v>
      </c>
      <c r="Y1640">
        <v>-0.1068791</v>
      </c>
      <c r="Z1640">
        <v>-1.9798699999999999E-3</v>
      </c>
      <c r="AA1640">
        <v>0.99426999999999999</v>
      </c>
      <c r="AB1640">
        <v>40</v>
      </c>
      <c r="AC1640">
        <v>-38.895199999999903</v>
      </c>
      <c r="AD1640">
        <v>-1.109800455207</v>
      </c>
      <c r="AE1640">
        <v>-4.4676</v>
      </c>
      <c r="AF1640">
        <v>-4.2245093356709598</v>
      </c>
      <c r="AG1640">
        <v>-1.109800455207</v>
      </c>
      <c r="AH1640">
        <v>38.8907341848575</v>
      </c>
      <c r="AI1640">
        <v>91.625016249835099</v>
      </c>
      <c r="AJ1640">
        <v>96.199451924178703</v>
      </c>
      <c r="AK1640">
        <v>39.135244238598901</v>
      </c>
      <c r="AL1640">
        <v>80.337640008374905</v>
      </c>
      <c r="AM1640">
        <v>94.127281589461106</v>
      </c>
      <c r="AN1640">
        <v>1.00000004069343</v>
      </c>
    </row>
    <row r="1641" spans="1:40" x14ac:dyDescent="0.25">
      <c r="A1641" t="str">
        <f>"20190304155355034"</f>
        <v>20190304155355034</v>
      </c>
      <c r="B1641" t="str">
        <f>"1551686035027995"</f>
        <v>1551686035027995</v>
      </c>
      <c r="C1641" t="s">
        <v>40</v>
      </c>
      <c r="D1641">
        <v>4.3003070000000001</v>
      </c>
      <c r="E1641">
        <v>0.48038609999999998</v>
      </c>
      <c r="F1641" t="s">
        <v>65</v>
      </c>
      <c r="G1641">
        <v>-423.3227</v>
      </c>
      <c r="H1641" s="1">
        <v>3.7521640000000001E-6</v>
      </c>
      <c r="I1641">
        <v>280.30450000000002</v>
      </c>
      <c r="J1641">
        <v>-385.9744</v>
      </c>
      <c r="K1641">
        <v>1.1098129999999999</v>
      </c>
      <c r="L1641">
        <v>284.85849999999999</v>
      </c>
      <c r="M1641">
        <v>-0.99992080000000005</v>
      </c>
      <c r="N1641">
        <v>-1.0889350000000001E-2</v>
      </c>
      <c r="O1641">
        <v>-6.3235189999999997E-3</v>
      </c>
      <c r="P1641">
        <v>-0.98457380000000005</v>
      </c>
      <c r="Q1641">
        <v>0.15706819999999999</v>
      </c>
      <c r="R1641">
        <v>-7.7097680000000002E-2</v>
      </c>
      <c r="S1641">
        <v>-3.032654</v>
      </c>
      <c r="T1641">
        <v>-8.9108590000000001E-2</v>
      </c>
      <c r="U1641">
        <v>-0.36587520000000001</v>
      </c>
      <c r="V1641">
        <v>-7.0925160000000001E-2</v>
      </c>
      <c r="W1641">
        <v>0.16776179999999999</v>
      </c>
      <c r="X1641">
        <v>0.98327290000000001</v>
      </c>
      <c r="Y1641">
        <v>-0.1134307</v>
      </c>
      <c r="Z1641">
        <v>-2.1636530000000002E-3</v>
      </c>
      <c r="AA1641">
        <v>0.99354359999999997</v>
      </c>
      <c r="AB1641">
        <v>40</v>
      </c>
      <c r="AC1641">
        <v>-37.348300000000002</v>
      </c>
      <c r="AD1641">
        <v>-1.109809247836</v>
      </c>
      <c r="AE1641">
        <v>-4.5539999999999701</v>
      </c>
      <c r="AF1641">
        <v>-4.3139688897042303</v>
      </c>
      <c r="AG1641">
        <v>-1.109809247836</v>
      </c>
      <c r="AH1641">
        <v>37.343861066052902</v>
      </c>
      <c r="AI1641">
        <v>91.691013145739603</v>
      </c>
      <c r="AJ1641">
        <v>96.589608762129998</v>
      </c>
      <c r="AK1641">
        <v>37.6085889587549</v>
      </c>
      <c r="AL1641">
        <v>80.342289180666896</v>
      </c>
      <c r="AM1641">
        <v>94.125697392109302</v>
      </c>
      <c r="AN1641">
        <v>0.99999999786733695</v>
      </c>
    </row>
    <row r="1642" spans="1:40" x14ac:dyDescent="0.25">
      <c r="A1642" t="str">
        <f>"20190304155355057"</f>
        <v>20190304155355057</v>
      </c>
      <c r="B1642" t="str">
        <f>"1551686035048490"</f>
        <v>1551686035048490</v>
      </c>
      <c r="C1642" t="s">
        <v>40</v>
      </c>
      <c r="D1642">
        <v>4.274699</v>
      </c>
      <c r="E1642">
        <v>0.48088029999999998</v>
      </c>
      <c r="F1642" t="s">
        <v>65</v>
      </c>
      <c r="G1642">
        <v>-422.76859999999999</v>
      </c>
      <c r="H1642" s="1">
        <v>3.8500429999999997E-6</v>
      </c>
      <c r="I1642">
        <v>280.30919999999998</v>
      </c>
      <c r="J1642">
        <v>-386.36520000000002</v>
      </c>
      <c r="K1642">
        <v>1.1098170000000001</v>
      </c>
      <c r="L1642">
        <v>284.85590000000002</v>
      </c>
      <c r="M1642">
        <v>-0.99991940000000001</v>
      </c>
      <c r="N1642">
        <v>-1.0923240000000001E-2</v>
      </c>
      <c r="O1642">
        <v>-6.4751369999999997E-3</v>
      </c>
      <c r="P1642">
        <v>-0.98459680000000005</v>
      </c>
      <c r="Q1642">
        <v>0.15704989999999999</v>
      </c>
      <c r="R1642">
        <v>-7.6842099999999997E-2</v>
      </c>
      <c r="S1642">
        <v>-3.0321959999999999</v>
      </c>
      <c r="T1642">
        <v>-9.1459040000000005E-2</v>
      </c>
      <c r="U1642">
        <v>-0.37490839999999998</v>
      </c>
      <c r="V1642">
        <v>-7.0521749999999994E-2</v>
      </c>
      <c r="W1642">
        <v>0.16777739999999999</v>
      </c>
      <c r="X1642">
        <v>0.98329929999999999</v>
      </c>
      <c r="Y1642">
        <v>-0.11620900000000001</v>
      </c>
      <c r="Z1642">
        <v>-2.258814E-3</v>
      </c>
      <c r="AA1642">
        <v>0.99322220000000006</v>
      </c>
      <c r="AB1642">
        <v>40</v>
      </c>
      <c r="AC1642">
        <v>-36.403399999999898</v>
      </c>
      <c r="AD1642">
        <v>-1.1098131499570001</v>
      </c>
      <c r="AE1642">
        <v>-4.5467000000000404</v>
      </c>
      <c r="AF1642">
        <v>-4.3069321129773099</v>
      </c>
      <c r="AG1642">
        <v>-1.1098131499570001</v>
      </c>
      <c r="AH1642">
        <v>36.398768594362203</v>
      </c>
      <c r="AI1642">
        <v>91.734338716328395</v>
      </c>
      <c r="AJ1642">
        <v>96.748220907517805</v>
      </c>
      <c r="AK1642">
        <v>36.669492833137802</v>
      </c>
      <c r="AL1642">
        <v>80.341382958444001</v>
      </c>
      <c r="AM1642">
        <v>94.102201720857195</v>
      </c>
      <c r="AN1642">
        <v>1.0000000432771501</v>
      </c>
    </row>
    <row r="1643" spans="1:40" x14ac:dyDescent="0.25">
      <c r="A1643" t="str">
        <f>"20190304155355079"</f>
        <v>20190304155355079</v>
      </c>
      <c r="B1643" t="str">
        <f>"1551686035068010"</f>
        <v>1551686035068010</v>
      </c>
      <c r="C1643" t="s">
        <v>40</v>
      </c>
      <c r="D1643">
        <v>4.26729</v>
      </c>
      <c r="E1643">
        <v>0.48137720000000001</v>
      </c>
      <c r="F1643" t="s">
        <v>65</v>
      </c>
      <c r="G1643">
        <v>-423.49650000000003</v>
      </c>
      <c r="H1643" s="1">
        <v>3.7195300000000001E-6</v>
      </c>
      <c r="I1643">
        <v>280.3252</v>
      </c>
      <c r="J1643">
        <v>-386.76280000000003</v>
      </c>
      <c r="K1643">
        <v>1.109823</v>
      </c>
      <c r="L1643">
        <v>284.85320000000002</v>
      </c>
      <c r="M1643">
        <v>-0.99991799999999997</v>
      </c>
      <c r="N1643">
        <v>-1.0957059999999999E-2</v>
      </c>
      <c r="O1643">
        <v>-6.6292540000000002E-3</v>
      </c>
      <c r="P1643">
        <v>-0.98458900000000005</v>
      </c>
      <c r="Q1643">
        <v>0.15715309999999999</v>
      </c>
      <c r="R1643">
        <v>-7.672967E-2</v>
      </c>
      <c r="S1643">
        <v>-3.0325009999999999</v>
      </c>
      <c r="T1643">
        <v>-9.0638280000000002E-2</v>
      </c>
      <c r="U1643">
        <v>-0.37002560000000001</v>
      </c>
      <c r="V1643">
        <v>-7.0258479999999998E-2</v>
      </c>
      <c r="W1643">
        <v>0.16791320000000001</v>
      </c>
      <c r="X1643">
        <v>0.98329489999999997</v>
      </c>
      <c r="Y1643">
        <v>-0.11447019999999999</v>
      </c>
      <c r="Z1643">
        <v>-2.2086779999999999E-3</v>
      </c>
      <c r="AA1643">
        <v>0.99342419999999998</v>
      </c>
      <c r="AB1643">
        <v>40</v>
      </c>
      <c r="AC1643">
        <v>-36.733699999999999</v>
      </c>
      <c r="AD1643">
        <v>-1.10981928047</v>
      </c>
      <c r="AE1643">
        <v>-4.52800000000002</v>
      </c>
      <c r="AF1643">
        <v>-4.28052007044914</v>
      </c>
      <c r="AG1643">
        <v>-1.10981928047</v>
      </c>
      <c r="AH1643">
        <v>36.729886582536999</v>
      </c>
      <c r="AI1643">
        <v>91.7190780095995</v>
      </c>
      <c r="AJ1643">
        <v>96.647294308939195</v>
      </c>
      <c r="AK1643">
        <v>36.995122912011702</v>
      </c>
      <c r="AL1643">
        <v>80.333489588759306</v>
      </c>
      <c r="AM1643">
        <v>94.086957702226499</v>
      </c>
      <c r="AN1643">
        <v>0.99999997855607903</v>
      </c>
    </row>
    <row r="1644" spans="1:40" x14ac:dyDescent="0.25">
      <c r="A1644" t="str">
        <f>"20190304155355100"</f>
        <v>20190304155355100</v>
      </c>
      <c r="B1644" t="str">
        <f>"1551686035087531"</f>
        <v>1551686035087531</v>
      </c>
      <c r="C1644" t="s">
        <v>40</v>
      </c>
      <c r="D1644">
        <v>4.2973749999999997</v>
      </c>
      <c r="E1644">
        <v>0.48161300000000001</v>
      </c>
      <c r="F1644" t="s">
        <v>65</v>
      </c>
      <c r="G1644">
        <v>-424.58409999999998</v>
      </c>
      <c r="H1644" s="1">
        <v>3.529858E-6</v>
      </c>
      <c r="I1644">
        <v>280.28789999999998</v>
      </c>
      <c r="J1644">
        <v>-387.14069999999998</v>
      </c>
      <c r="K1644">
        <v>1.1098269999999999</v>
      </c>
      <c r="L1644">
        <v>284.85059999999999</v>
      </c>
      <c r="M1644">
        <v>-0.99991680000000005</v>
      </c>
      <c r="N1644">
        <v>-1.098996E-2</v>
      </c>
      <c r="O1644">
        <v>-6.7754950000000003E-3</v>
      </c>
      <c r="P1644">
        <v>-0.98455919999999997</v>
      </c>
      <c r="Q1644">
        <v>0.15731489999999901</v>
      </c>
      <c r="R1644">
        <v>-7.6782509999999998E-2</v>
      </c>
      <c r="S1644">
        <v>-3.0326230000000001</v>
      </c>
      <c r="T1644">
        <v>-8.8988659999999997E-2</v>
      </c>
      <c r="U1644">
        <v>-0.3660583</v>
      </c>
      <c r="V1644">
        <v>-7.0168439999999999E-2</v>
      </c>
      <c r="W1644">
        <v>0.16810639999999999</v>
      </c>
      <c r="X1644">
        <v>0.98326829999999998</v>
      </c>
      <c r="Y1644">
        <v>-0.11304210000000001</v>
      </c>
      <c r="Z1644">
        <v>-2.151961E-3</v>
      </c>
      <c r="AA1644">
        <v>0.99358789999999997</v>
      </c>
      <c r="AB1644">
        <v>40</v>
      </c>
      <c r="AC1644">
        <v>-37.443399999999997</v>
      </c>
      <c r="AD1644">
        <v>-1.109823470142</v>
      </c>
      <c r="AE1644">
        <v>-4.5627000000000004</v>
      </c>
      <c r="AF1644">
        <v>-4.3051555269828299</v>
      </c>
      <c r="AG1644">
        <v>-1.109823470142</v>
      </c>
      <c r="AH1644">
        <v>37.441044984946899</v>
      </c>
      <c r="AI1644">
        <v>91.686750630641797</v>
      </c>
      <c r="AJ1644">
        <v>96.5593436029244</v>
      </c>
      <c r="AK1644">
        <v>37.704083622483203</v>
      </c>
      <c r="AL1644">
        <v>80.322260250892498</v>
      </c>
      <c r="AM1644">
        <v>94.081847810278404</v>
      </c>
      <c r="AN1644">
        <v>0.99999996073894104</v>
      </c>
    </row>
    <row r="1645" spans="1:40" x14ac:dyDescent="0.25">
      <c r="A1645" t="str">
        <f>"20190304155355122"</f>
        <v>20190304155355122</v>
      </c>
      <c r="B1645" t="str">
        <f>"1551686035117786"</f>
        <v>1551686035117786</v>
      </c>
      <c r="C1645" t="s">
        <v>40</v>
      </c>
      <c r="D1645">
        <v>4.2700329999999997</v>
      </c>
      <c r="E1645">
        <v>0.4820313</v>
      </c>
      <c r="F1645" t="s">
        <v>65</v>
      </c>
      <c r="G1645">
        <v>-426.16520000000003</v>
      </c>
      <c r="H1645" s="1">
        <v>3.2607060000000001E-6</v>
      </c>
      <c r="I1645">
        <v>280.15859999999998</v>
      </c>
      <c r="J1645">
        <v>-387.53320000000002</v>
      </c>
      <c r="K1645">
        <v>1.1098319999999999</v>
      </c>
      <c r="L1645">
        <v>284.84780000000001</v>
      </c>
      <c r="M1645">
        <v>-0.9999152</v>
      </c>
      <c r="N1645">
        <v>-1.102526E-2</v>
      </c>
      <c r="O1645">
        <v>-6.927936E-3</v>
      </c>
      <c r="P1645">
        <v>-0.98452839999999997</v>
      </c>
      <c r="Q1645">
        <v>0.15749579999999999</v>
      </c>
      <c r="R1645">
        <v>-7.68065E-2</v>
      </c>
      <c r="S1645">
        <v>-3.03241</v>
      </c>
      <c r="T1645">
        <v>-8.6239220000000005E-2</v>
      </c>
      <c r="U1645">
        <v>-0.36459350000000001</v>
      </c>
      <c r="V1645">
        <v>-7.0042989999999999E-2</v>
      </c>
      <c r="W1645">
        <v>0.16832169999999999</v>
      </c>
      <c r="X1645">
        <v>0.98324040000000001</v>
      </c>
      <c r="Y1645">
        <v>-0.1124296</v>
      </c>
      <c r="Z1645">
        <v>-2.094697E-3</v>
      </c>
      <c r="AA1645">
        <v>0.99365749999999997</v>
      </c>
      <c r="AB1645">
        <v>40</v>
      </c>
      <c r="AC1645">
        <v>-38.631999999999998</v>
      </c>
      <c r="AD1645">
        <v>-1.1098287392939901</v>
      </c>
      <c r="AE1645">
        <v>-4.68920000000002</v>
      </c>
      <c r="AF1645">
        <v>-4.4178380055104602</v>
      </c>
      <c r="AG1645">
        <v>-1.1098287392939901</v>
      </c>
      <c r="AH1645">
        <v>38.632140640351103</v>
      </c>
      <c r="AI1645">
        <v>91.634897828374207</v>
      </c>
      <c r="AJ1645">
        <v>96.523807516010507</v>
      </c>
      <c r="AK1645">
        <v>38.899759677013002</v>
      </c>
      <c r="AL1645">
        <v>80.309746040914106</v>
      </c>
      <c r="AM1645">
        <v>94.074689946606696</v>
      </c>
      <c r="AN1645">
        <v>0.99999994966559302</v>
      </c>
    </row>
    <row r="1646" spans="1:40" x14ac:dyDescent="0.25">
      <c r="A1646" t="str">
        <f>"20190304155355145"</f>
        <v>20190304155355145</v>
      </c>
      <c r="B1646" t="str">
        <f>"1551686035138282"</f>
        <v>1551686035138282</v>
      </c>
      <c r="C1646" t="s">
        <v>40</v>
      </c>
      <c r="D1646">
        <v>4.3069389999999999</v>
      </c>
      <c r="E1646">
        <v>0.48208060000000003</v>
      </c>
      <c r="F1646" t="s">
        <v>65</v>
      </c>
      <c r="G1646">
        <v>-428.13869999999997</v>
      </c>
      <c r="H1646" s="1">
        <v>2.9241340000000002E-6</v>
      </c>
      <c r="I1646">
        <v>280.00420000000003</v>
      </c>
      <c r="J1646">
        <v>-387.9384</v>
      </c>
      <c r="K1646">
        <v>1.109836</v>
      </c>
      <c r="L1646">
        <v>284.84480000000002</v>
      </c>
      <c r="M1646">
        <v>-0.99991370000000002</v>
      </c>
      <c r="N1646">
        <v>-1.10604E-2</v>
      </c>
      <c r="O1646">
        <v>-7.0847879999999998E-3</v>
      </c>
      <c r="P1646">
        <v>-0.98452839999999997</v>
      </c>
      <c r="Q1646">
        <v>0.157492299999999</v>
      </c>
      <c r="R1646">
        <v>-7.6810519999999993E-2</v>
      </c>
      <c r="S1646">
        <v>-3.0321959999999999</v>
      </c>
      <c r="T1646">
        <v>-8.2875850000000001E-2</v>
      </c>
      <c r="U1646">
        <v>-0.36169430000000002</v>
      </c>
      <c r="V1646">
        <v>-6.9893049999999998E-2</v>
      </c>
      <c r="W1646">
        <v>0.16835320000000001</v>
      </c>
      <c r="X1646">
        <v>0.9832457</v>
      </c>
      <c r="Y1646">
        <v>-0.1113497</v>
      </c>
      <c r="Z1646">
        <v>-2.0193749999999999E-3</v>
      </c>
      <c r="AA1646">
        <v>0.99377919999999997</v>
      </c>
      <c r="AB1646">
        <v>40</v>
      </c>
      <c r="AC1646">
        <v>-40.200299999999899</v>
      </c>
      <c r="AD1646">
        <v>-1.109833075866</v>
      </c>
      <c r="AE1646">
        <v>-4.8405999999999896</v>
      </c>
      <c r="AF1646">
        <v>-4.5522304383396701</v>
      </c>
      <c r="AG1646">
        <v>-1.109833075866</v>
      </c>
      <c r="AH1646">
        <v>40.203383451363401</v>
      </c>
      <c r="AI1646">
        <v>91.571239711356199</v>
      </c>
      <c r="AJ1646">
        <v>96.4600884211074</v>
      </c>
      <c r="AK1646">
        <v>40.475505832013901</v>
      </c>
      <c r="AL1646">
        <v>80.307915318358098</v>
      </c>
      <c r="AM1646">
        <v>94.065974760911701</v>
      </c>
      <c r="AN1646">
        <v>0.99999997247851502</v>
      </c>
    </row>
    <row r="1647" spans="1:40" x14ac:dyDescent="0.25">
      <c r="A1647" t="str">
        <f>"20190304155355167"</f>
        <v>20190304155355167</v>
      </c>
      <c r="B1647" t="str">
        <f>"1551686035157805"</f>
        <v>1551686035157805</v>
      </c>
      <c r="C1647" t="s">
        <v>40</v>
      </c>
      <c r="D1647">
        <v>4.2586339999999998</v>
      </c>
      <c r="E1647">
        <v>0.48212749999999999</v>
      </c>
      <c r="F1647" t="s">
        <v>65</v>
      </c>
      <c r="G1647">
        <v>-429.14929999999998</v>
      </c>
      <c r="H1647" s="1">
        <v>2.750924E-6</v>
      </c>
      <c r="I1647">
        <v>279.93490000000003</v>
      </c>
      <c r="J1647">
        <v>-388.33179999999999</v>
      </c>
      <c r="K1647">
        <v>1.1098410000000001</v>
      </c>
      <c r="L1647">
        <v>284.84190000000001</v>
      </c>
      <c r="M1647">
        <v>-0.99991220000000003</v>
      </c>
      <c r="N1647">
        <v>-1.1092869999999999E-2</v>
      </c>
      <c r="O1647">
        <v>-7.2370910000000002E-3</v>
      </c>
      <c r="P1647">
        <v>-0.98453159999999895</v>
      </c>
      <c r="Q1647">
        <v>0.15742999999999999</v>
      </c>
      <c r="R1647">
        <v>-7.6899729999999999E-2</v>
      </c>
      <c r="S1647">
        <v>-3.0320130000000001</v>
      </c>
      <c r="T1647">
        <v>-8.1653829999999997E-2</v>
      </c>
      <c r="U1647">
        <v>-0.36123660000000002</v>
      </c>
      <c r="V1647">
        <v>-6.9832459999999999E-2</v>
      </c>
      <c r="W1647">
        <v>0.16832259999999999</v>
      </c>
      <c r="X1647">
        <v>0.98325530000000005</v>
      </c>
      <c r="Y1647">
        <v>-0.111059</v>
      </c>
      <c r="Z1647">
        <v>-1.9940769999999999E-3</v>
      </c>
      <c r="AA1647">
        <v>0.99381180000000002</v>
      </c>
      <c r="AB1647">
        <v>40</v>
      </c>
      <c r="AC1647">
        <v>-40.817500000000003</v>
      </c>
      <c r="AD1647">
        <v>-1.1098382490759999</v>
      </c>
      <c r="AE1647">
        <v>-4.9069999999999796</v>
      </c>
      <c r="AF1647">
        <v>-4.6080950409121897</v>
      </c>
      <c r="AG1647">
        <v>-1.1098382490759999</v>
      </c>
      <c r="AH1647">
        <v>40.8221952355117</v>
      </c>
      <c r="AI1647">
        <v>91.547500698770904</v>
      </c>
      <c r="AJ1647">
        <v>96.440404795901003</v>
      </c>
      <c r="AK1647">
        <v>41.096446375464502</v>
      </c>
      <c r="AL1647">
        <v>80.309694490409399</v>
      </c>
      <c r="AM1647">
        <v>94.062422259567896</v>
      </c>
      <c r="AN1647">
        <v>1.00000002755925</v>
      </c>
    </row>
    <row r="1648" spans="1:40" x14ac:dyDescent="0.25">
      <c r="A1648" t="str">
        <f>"20190304155355190"</f>
        <v>20190304155355190</v>
      </c>
      <c r="B1648" t="str">
        <f>"1551686035178298"</f>
        <v>1551686035178298</v>
      </c>
      <c r="C1648" t="s">
        <v>40</v>
      </c>
      <c r="D1648">
        <v>4.3036269999999996</v>
      </c>
      <c r="E1648">
        <v>0.48215780000000003</v>
      </c>
      <c r="F1648" t="s">
        <v>65</v>
      </c>
      <c r="G1648">
        <v>-429.58580000000001</v>
      </c>
      <c r="H1648" s="1">
        <v>2.6743899999999999E-6</v>
      </c>
      <c r="I1648">
        <v>279.92469999999997</v>
      </c>
      <c r="J1648">
        <v>-388.72969999999998</v>
      </c>
      <c r="K1648">
        <v>1.109847</v>
      </c>
      <c r="L1648">
        <v>284.83890000000002</v>
      </c>
      <c r="M1648">
        <v>-0.99991090000000005</v>
      </c>
      <c r="N1648">
        <v>-1.1126840000000001E-2</v>
      </c>
      <c r="O1648">
        <v>-7.3914269999999999E-3</v>
      </c>
      <c r="P1648">
        <v>-0.98448970000000002</v>
      </c>
      <c r="Q1648">
        <v>0.15779279999999901</v>
      </c>
      <c r="R1648">
        <v>-7.6692830000000003E-2</v>
      </c>
      <c r="S1648">
        <v>-3.031952</v>
      </c>
      <c r="T1648">
        <v>-8.1567169999999994E-2</v>
      </c>
      <c r="U1648">
        <v>-0.36138920000000002</v>
      </c>
      <c r="V1648">
        <v>-6.9474640000000004E-2</v>
      </c>
      <c r="W1648">
        <v>0.16871839999999999</v>
      </c>
      <c r="X1648">
        <v>0.9832128</v>
      </c>
      <c r="Y1648">
        <v>-0.110957399999999</v>
      </c>
      <c r="Z1648">
        <v>-1.9905109999999999E-3</v>
      </c>
      <c r="AA1648">
        <v>0.99382320000000002</v>
      </c>
      <c r="AB1648">
        <v>40</v>
      </c>
      <c r="AC1648">
        <v>-40.856099999999998</v>
      </c>
      <c r="AD1648">
        <v>-1.1098443256099999</v>
      </c>
      <c r="AE1648">
        <v>-4.9142000000000499</v>
      </c>
      <c r="AF1648">
        <v>-4.6087098364396502</v>
      </c>
      <c r="AG1648">
        <v>-1.1098443256099999</v>
      </c>
      <c r="AH1648">
        <v>40.861586349070002</v>
      </c>
      <c r="AI1648">
        <v>91.546034217392005</v>
      </c>
      <c r="AJ1648">
        <v>96.435099485287907</v>
      </c>
      <c r="AK1648">
        <v>41.135643908246799</v>
      </c>
      <c r="AL1648">
        <v>80.286687680204295</v>
      </c>
      <c r="AM1648">
        <v>94.041849782028805</v>
      </c>
      <c r="AN1648">
        <v>1.0000000170927601</v>
      </c>
    </row>
    <row r="1649" spans="1:40" x14ac:dyDescent="0.25">
      <c r="A1649" t="str">
        <f>"20190304155355211"</f>
        <v>20190304155355211</v>
      </c>
      <c r="B1649" t="str">
        <f>"1551686035207579"</f>
        <v>1551686035207579</v>
      </c>
      <c r="C1649" t="s">
        <v>40</v>
      </c>
      <c r="D1649">
        <v>4.300319</v>
      </c>
      <c r="E1649">
        <v>0.48207519999999998</v>
      </c>
      <c r="F1649" t="s">
        <v>65</v>
      </c>
      <c r="G1649">
        <v>-431.25990000000002</v>
      </c>
      <c r="H1649" s="1">
        <v>3.1995430000000002E-6</v>
      </c>
      <c r="I1649">
        <v>279.7679</v>
      </c>
      <c r="J1649">
        <v>-389.11739999999998</v>
      </c>
      <c r="K1649">
        <v>1.109853</v>
      </c>
      <c r="L1649">
        <v>284.83589999999998</v>
      </c>
      <c r="M1649">
        <v>-0.9999093</v>
      </c>
      <c r="N1649">
        <v>-1.116165E-2</v>
      </c>
      <c r="O1649">
        <v>-7.5417139999999997E-3</v>
      </c>
      <c r="P1649">
        <v>-0.98457139999999999</v>
      </c>
      <c r="Q1649">
        <v>0.1574352</v>
      </c>
      <c r="R1649">
        <v>-7.6377120000000007E-2</v>
      </c>
      <c r="S1649">
        <v>-3.0317379999999998</v>
      </c>
      <c r="T1649">
        <v>-7.9114680000000007E-2</v>
      </c>
      <c r="U1649">
        <v>-0.36148069999999999</v>
      </c>
      <c r="V1649">
        <v>-6.9010130000000003E-2</v>
      </c>
      <c r="W1649">
        <v>0.16839599999999999</v>
      </c>
      <c r="X1649">
        <v>0.98330070000000003</v>
      </c>
      <c r="Y1649">
        <v>-0.11084860000000001</v>
      </c>
      <c r="Z1649">
        <v>-1.949786E-3</v>
      </c>
      <c r="AA1649">
        <v>0.99383540000000004</v>
      </c>
      <c r="AB1649">
        <v>40</v>
      </c>
      <c r="AC1649">
        <v>-42.142499999999998</v>
      </c>
      <c r="AD1649">
        <v>-1.1098498004570001</v>
      </c>
      <c r="AE1649">
        <v>-5.0679999999999801</v>
      </c>
      <c r="AF1649">
        <v>-4.7467641204527498</v>
      </c>
      <c r="AG1649">
        <v>-1.1098498004570001</v>
      </c>
      <c r="AH1649">
        <v>42.1507076046409</v>
      </c>
      <c r="AI1649">
        <v>91.498809236286604</v>
      </c>
      <c r="AJ1649">
        <v>96.425242551317297</v>
      </c>
      <c r="AK1649">
        <v>42.431659026801199</v>
      </c>
      <c r="AL1649">
        <v>80.305427210890997</v>
      </c>
      <c r="AM1649">
        <v>94.014556767479903</v>
      </c>
      <c r="AN1649">
        <v>0.99999993873955095</v>
      </c>
    </row>
    <row r="1650" spans="1:40" x14ac:dyDescent="0.25">
      <c r="A1650" t="str">
        <f>"20190304155355234"</f>
        <v>20190304155355234</v>
      </c>
      <c r="B1650" t="str">
        <f>"1551686035228074"</f>
        <v>1551686035228074</v>
      </c>
      <c r="C1650" t="s">
        <v>40</v>
      </c>
      <c r="D1650">
        <v>4.271636</v>
      </c>
      <c r="E1650">
        <v>0.48199320000000001</v>
      </c>
      <c r="F1650" t="s">
        <v>65</v>
      </c>
      <c r="G1650">
        <v>-431.09949999999998</v>
      </c>
      <c r="H1650" s="1">
        <v>3.1219920000000001E-6</v>
      </c>
      <c r="I1650">
        <v>279.84140000000002</v>
      </c>
      <c r="J1650">
        <v>-389.53789999999998</v>
      </c>
      <c r="K1650">
        <v>1.1098520000000001</v>
      </c>
      <c r="L1650">
        <v>284.83260000000001</v>
      </c>
      <c r="M1650">
        <v>-0.99990749999999995</v>
      </c>
      <c r="N1650">
        <v>-1.1204260000000001E-2</v>
      </c>
      <c r="O1650">
        <v>-7.7045630000000002E-3</v>
      </c>
      <c r="P1650">
        <v>-0.98468009999999995</v>
      </c>
      <c r="Q1650">
        <v>0.15676799999999999</v>
      </c>
      <c r="R1650">
        <v>-7.6347680000000001E-2</v>
      </c>
      <c r="S1650">
        <v>-3.0318299999999998</v>
      </c>
      <c r="T1650">
        <v>-8.0150250000000006E-2</v>
      </c>
      <c r="U1650">
        <v>-0.36068729999999999</v>
      </c>
      <c r="V1650">
        <v>-6.881922E-2</v>
      </c>
      <c r="W1650">
        <v>0.16777220000000001</v>
      </c>
      <c r="X1650">
        <v>0.98342079999999998</v>
      </c>
      <c r="Y1650">
        <v>-0.1104257</v>
      </c>
      <c r="Z1650">
        <v>-1.9583270000000002E-3</v>
      </c>
      <c r="AA1650">
        <v>0.9938825</v>
      </c>
      <c r="AB1650">
        <v>40</v>
      </c>
      <c r="AC1650">
        <v>-41.561599999999999</v>
      </c>
      <c r="AD1650">
        <v>-1.109848878008</v>
      </c>
      <c r="AE1650">
        <v>-4.9911999999999903</v>
      </c>
      <c r="AF1650">
        <v>-4.6675367121744902</v>
      </c>
      <c r="AG1650">
        <v>-1.109848878008</v>
      </c>
      <c r="AH1650">
        <v>41.569602345356799</v>
      </c>
      <c r="AI1650">
        <v>91.519806151060195</v>
      </c>
      <c r="AJ1650">
        <v>96.406477405496702</v>
      </c>
      <c r="AK1650">
        <v>41.845543402405497</v>
      </c>
      <c r="AL1650">
        <v>80.341685080197493</v>
      </c>
      <c r="AM1650">
        <v>94.002999703874195</v>
      </c>
      <c r="AN1650">
        <v>1.00000003300344</v>
      </c>
    </row>
    <row r="1651" spans="1:40" x14ac:dyDescent="0.25">
      <c r="A1651" t="str">
        <f>"20190304155355258"</f>
        <v>20190304155355258</v>
      </c>
      <c r="B1651" t="str">
        <f>"1551686035247594"</f>
        <v>1551686035247594</v>
      </c>
      <c r="C1651" t="s">
        <v>40</v>
      </c>
      <c r="D1651">
        <v>4.2830589999999997</v>
      </c>
      <c r="E1651">
        <v>0.48185480000000003</v>
      </c>
      <c r="F1651" t="s">
        <v>65</v>
      </c>
      <c r="G1651">
        <v>-430.55410000000001</v>
      </c>
      <c r="H1651" s="1">
        <v>2.8706530000000001E-6</v>
      </c>
      <c r="I1651">
        <v>279.94990000000001</v>
      </c>
      <c r="J1651">
        <v>-389.95080000000002</v>
      </c>
      <c r="K1651">
        <v>1.1098570000000001</v>
      </c>
      <c r="L1651">
        <v>284.82929999999999</v>
      </c>
      <c r="M1651">
        <v>-0.99990579999999996</v>
      </c>
      <c r="N1651">
        <v>-1.1253050000000001E-2</v>
      </c>
      <c r="O1651">
        <v>-7.864233E-3</v>
      </c>
      <c r="P1651">
        <v>-0.98458060000000003</v>
      </c>
      <c r="Q1651">
        <v>0.1570667</v>
      </c>
      <c r="R1651">
        <v>-7.7011919999999998E-2</v>
      </c>
      <c r="S1651">
        <v>-3.0317080000000001</v>
      </c>
      <c r="T1651">
        <v>-8.2034350000000006E-2</v>
      </c>
      <c r="U1651">
        <v>-0.36090090000000002</v>
      </c>
      <c r="V1651">
        <v>-6.9327630000000001E-2</v>
      </c>
      <c r="W1651">
        <v>0.16811719999999999</v>
      </c>
      <c r="X1651">
        <v>0.98332609999999998</v>
      </c>
      <c r="Y1651">
        <v>-0.1103386</v>
      </c>
      <c r="Z1651">
        <v>-1.986687E-3</v>
      </c>
      <c r="AA1651">
        <v>0.99389209999999995</v>
      </c>
      <c r="AB1651">
        <v>40</v>
      </c>
      <c r="AC1651">
        <v>-40.603299999999898</v>
      </c>
      <c r="AD1651">
        <v>-1.1098541293469999</v>
      </c>
      <c r="AE1651">
        <v>-4.8793999999999702</v>
      </c>
      <c r="AF1651">
        <v>-4.5565590965225198</v>
      </c>
      <c r="AG1651">
        <v>-1.1098541293469999</v>
      </c>
      <c r="AH1651">
        <v>40.6105091210542</v>
      </c>
      <c r="AI1651">
        <v>91.555703097867706</v>
      </c>
      <c r="AJ1651">
        <v>96.401895818972704</v>
      </c>
      <c r="AK1651">
        <v>40.880404328476999</v>
      </c>
      <c r="AL1651">
        <v>80.321632574761495</v>
      </c>
      <c r="AM1651">
        <v>94.032862196646505</v>
      </c>
      <c r="AN1651">
        <v>0.99999996607923203</v>
      </c>
    </row>
    <row r="1652" spans="1:40" x14ac:dyDescent="0.25">
      <c r="A1652" t="str">
        <f>"20190304155355278"</f>
        <v>20190304155355278</v>
      </c>
      <c r="B1652" t="str">
        <f>"1551686035268090"</f>
        <v>1551686035268090</v>
      </c>
      <c r="C1652" t="s">
        <v>40</v>
      </c>
      <c r="D1652">
        <v>4.3394789999999999</v>
      </c>
      <c r="E1652">
        <v>0.48187799999999997</v>
      </c>
      <c r="F1652" t="s">
        <v>65</v>
      </c>
      <c r="G1652">
        <v>-431.30560000000003</v>
      </c>
      <c r="H1652" s="1">
        <v>3.211981E-6</v>
      </c>
      <c r="I1652">
        <v>279.85770000000002</v>
      </c>
      <c r="J1652">
        <v>-390.3184</v>
      </c>
      <c r="K1652">
        <v>1.109864</v>
      </c>
      <c r="L1652">
        <v>284.8263</v>
      </c>
      <c r="M1652">
        <v>-0.99990400000000002</v>
      </c>
      <c r="N1652">
        <v>-1.130309E-2</v>
      </c>
      <c r="O1652">
        <v>-8.0063859999999903E-3</v>
      </c>
      <c r="P1652">
        <v>-0.98455749999999997</v>
      </c>
      <c r="Q1652">
        <v>0.15699669999999999</v>
      </c>
      <c r="R1652">
        <v>-7.7451210000000006E-2</v>
      </c>
      <c r="S1652">
        <v>-3.0314939999999999</v>
      </c>
      <c r="T1652">
        <v>-8.1357360000000004E-2</v>
      </c>
      <c r="U1652">
        <v>-0.36444090000000001</v>
      </c>
      <c r="V1652">
        <v>-6.9627019999999998E-2</v>
      </c>
      <c r="W1652">
        <v>0.16809660000000001</v>
      </c>
      <c r="X1652">
        <v>0.98330850000000003</v>
      </c>
      <c r="Y1652">
        <v>-0.1113499</v>
      </c>
      <c r="Z1652">
        <v>-1.996425E-3</v>
      </c>
      <c r="AA1652">
        <v>0.99377919999999997</v>
      </c>
      <c r="AB1652">
        <v>40</v>
      </c>
      <c r="AC1652">
        <v>-40.987200000000001</v>
      </c>
      <c r="AD1652">
        <v>-1.1098607880189999</v>
      </c>
      <c r="AE1652">
        <v>-4.9685999999999799</v>
      </c>
      <c r="AF1652">
        <v>-4.6369097127323204</v>
      </c>
      <c r="AG1652">
        <v>-1.1098607880189999</v>
      </c>
      <c r="AH1652">
        <v>40.996044979088701</v>
      </c>
      <c r="AI1652">
        <v>91.540934222746401</v>
      </c>
      <c r="AJ1652">
        <v>96.4530869592042</v>
      </c>
      <c r="AK1652">
        <v>41.2723688026297</v>
      </c>
      <c r="AL1652">
        <v>80.3228302144514</v>
      </c>
      <c r="AM1652">
        <v>94.050292448578404</v>
      </c>
      <c r="AN1652">
        <v>0.99999999750894497</v>
      </c>
    </row>
    <row r="1653" spans="1:40" x14ac:dyDescent="0.25">
      <c r="A1653" t="str">
        <f>"20190304155355301"</f>
        <v>20190304155355301</v>
      </c>
      <c r="B1653" t="str">
        <f>"1551686035298346"</f>
        <v>1551686035298346</v>
      </c>
      <c r="C1653" t="s">
        <v>40</v>
      </c>
      <c r="D1653">
        <v>4.3347199999999999</v>
      </c>
      <c r="E1653">
        <v>0.48173519999999997</v>
      </c>
      <c r="F1653" t="s">
        <v>65</v>
      </c>
      <c r="G1653">
        <v>-431.73880000000003</v>
      </c>
      <c r="H1653" s="1">
        <v>3.4066009999999999E-6</v>
      </c>
      <c r="I1653">
        <v>279.82889999999998</v>
      </c>
      <c r="J1653">
        <v>-390.71080000000001</v>
      </c>
      <c r="K1653">
        <v>1.1098779999999999</v>
      </c>
      <c r="L1653">
        <v>284.8229</v>
      </c>
      <c r="M1653">
        <v>-0.99990230000000002</v>
      </c>
      <c r="N1653">
        <v>-1.136271E-2</v>
      </c>
      <c r="O1653">
        <v>-8.158251E-3</v>
      </c>
      <c r="P1653">
        <v>-0.98451290000000002</v>
      </c>
      <c r="Q1653">
        <v>0.15702530000000001</v>
      </c>
      <c r="R1653">
        <v>-7.7958059999999996E-2</v>
      </c>
      <c r="S1653">
        <v>-3.03125</v>
      </c>
      <c r="T1653">
        <v>-8.1222409999999995E-2</v>
      </c>
      <c r="U1653">
        <v>-0.36572270000000001</v>
      </c>
      <c r="V1653">
        <v>-6.9984660000000004E-2</v>
      </c>
      <c r="W1653">
        <v>0.168183</v>
      </c>
      <c r="X1653">
        <v>0.98326829999999998</v>
      </c>
      <c r="Y1653">
        <v>-0.1116226</v>
      </c>
      <c r="Z1653">
        <v>-2.0010649999999998E-3</v>
      </c>
      <c r="AA1653">
        <v>0.99374870000000004</v>
      </c>
      <c r="AB1653">
        <v>40</v>
      </c>
      <c r="AC1653">
        <v>-41.027999999999999</v>
      </c>
      <c r="AD1653">
        <v>-1.109874593399</v>
      </c>
      <c r="AE1653">
        <v>-4.9940000000000202</v>
      </c>
      <c r="AF1653">
        <v>-4.6557382117401902</v>
      </c>
      <c r="AG1653">
        <v>-1.109874593399</v>
      </c>
      <c r="AH1653">
        <v>41.037786742750697</v>
      </c>
      <c r="AI1653">
        <v>91.539327592242799</v>
      </c>
      <c r="AJ1653">
        <v>96.472533550320307</v>
      </c>
      <c r="AK1653">
        <v>41.31594922851</v>
      </c>
      <c r="AL1653">
        <v>80.3178080162443</v>
      </c>
      <c r="AM1653">
        <v>94.071192931220097</v>
      </c>
      <c r="AN1653">
        <v>0.99999996195460195</v>
      </c>
    </row>
    <row r="1654" spans="1:40" x14ac:dyDescent="0.25">
      <c r="A1654" t="str">
        <f>"20190304155355324"</f>
        <v>20190304155355324</v>
      </c>
      <c r="B1654" t="str">
        <f>"1551686035317870"</f>
        <v>1551686035317870</v>
      </c>
      <c r="C1654" t="s">
        <v>40</v>
      </c>
      <c r="D1654">
        <v>4.4115589999999996</v>
      </c>
      <c r="E1654">
        <v>0.48167769999999999</v>
      </c>
      <c r="F1654" t="s">
        <v>65</v>
      </c>
      <c r="G1654">
        <v>-432.13170000000002</v>
      </c>
      <c r="H1654" s="1">
        <v>3.5850599999999902E-6</v>
      </c>
      <c r="I1654">
        <v>279.78030000000001</v>
      </c>
      <c r="J1654">
        <v>-391.12479999999999</v>
      </c>
      <c r="K1654">
        <v>1.1098889999999999</v>
      </c>
      <c r="L1654">
        <v>284.81950000000001</v>
      </c>
      <c r="M1654">
        <v>-0.99990000000000001</v>
      </c>
      <c r="N1654">
        <v>-1.144098E-2</v>
      </c>
      <c r="O1654">
        <v>-8.3190550000000005E-3</v>
      </c>
      <c r="P1654">
        <v>-0.98450789999999999</v>
      </c>
      <c r="Q1654">
        <v>0.15688450000000001</v>
      </c>
      <c r="R1654">
        <v>-7.8305760000000002E-2</v>
      </c>
      <c r="S1654">
        <v>-3.0309140000000001</v>
      </c>
      <c r="T1654">
        <v>-8.1213590000000002E-2</v>
      </c>
      <c r="U1654">
        <v>-0.36898799999999998</v>
      </c>
      <c r="V1654">
        <v>-7.0174849999999997E-2</v>
      </c>
      <c r="W1654">
        <v>0.16811909999999999</v>
      </c>
      <c r="X1654">
        <v>0.98326570000000002</v>
      </c>
      <c r="Y1654">
        <v>-0.1125304</v>
      </c>
      <c r="Z1654">
        <v>-2.020914E-3</v>
      </c>
      <c r="AA1654">
        <v>0.99364620000000003</v>
      </c>
      <c r="AB1654">
        <v>40</v>
      </c>
      <c r="AC1654">
        <v>-41.006900000000002</v>
      </c>
      <c r="AD1654">
        <v>-1.1098854149399999</v>
      </c>
      <c r="AE1654">
        <v>-5.0391999999999904</v>
      </c>
      <c r="AF1654">
        <v>-4.6944768149589802</v>
      </c>
      <c r="AG1654">
        <v>-1.1098854149399999</v>
      </c>
      <c r="AH1654">
        <v>41.017803997476598</v>
      </c>
      <c r="AI1654">
        <v>91.539919058793899</v>
      </c>
      <c r="AJ1654">
        <v>96.529078135415205</v>
      </c>
      <c r="AK1654">
        <v>41.300486715968503</v>
      </c>
      <c r="AL1654">
        <v>80.321522365680096</v>
      </c>
      <c r="AM1654">
        <v>94.082230190988994</v>
      </c>
      <c r="AN1654">
        <v>0.99999998907691101</v>
      </c>
    </row>
    <row r="1655" spans="1:40" x14ac:dyDescent="0.25">
      <c r="A1655" t="str">
        <f>"20190304155355347"</f>
        <v>20190304155355347</v>
      </c>
      <c r="B1655" t="str">
        <f>"1551686035338362"</f>
        <v>1551686035338362</v>
      </c>
      <c r="C1655" t="s">
        <v>40</v>
      </c>
      <c r="D1655">
        <v>4.762086</v>
      </c>
      <c r="E1655">
        <v>0.51281339999999997</v>
      </c>
      <c r="F1655" t="s">
        <v>65</v>
      </c>
      <c r="G1655">
        <v>-432.43</v>
      </c>
      <c r="H1655" s="1">
        <v>3.7183579999999999E-6</v>
      </c>
      <c r="I1655">
        <v>279.76889999999997</v>
      </c>
      <c r="J1655">
        <v>-391.53219999999999</v>
      </c>
      <c r="K1655">
        <v>1.1099129999999999</v>
      </c>
      <c r="L1655">
        <v>284.8159</v>
      </c>
      <c r="M1655">
        <v>-0.9998977</v>
      </c>
      <c r="N1655">
        <v>-1.153065E-2</v>
      </c>
      <c r="O1655">
        <v>-8.4777999999999902E-3</v>
      </c>
      <c r="P1655">
        <v>-0.98455959999999998</v>
      </c>
      <c r="Q1655">
        <v>0.156699799999999</v>
      </c>
      <c r="R1655">
        <v>-7.8022859999999999E-2</v>
      </c>
      <c r="S1655">
        <v>-3.0306700000000002</v>
      </c>
      <c r="T1655">
        <v>-8.1435199999999999E-2</v>
      </c>
      <c r="U1655">
        <v>-0.37057499999999999</v>
      </c>
      <c r="V1655">
        <v>-6.9735749999999999E-2</v>
      </c>
      <c r="W1655">
        <v>0.168022799999999</v>
      </c>
      <c r="X1655">
        <v>0.9833134</v>
      </c>
      <c r="Y1655">
        <v>-0.1128943</v>
      </c>
      <c r="Z1655">
        <v>-2.0348480000000001E-3</v>
      </c>
      <c r="AA1655">
        <v>0.99360490000000001</v>
      </c>
      <c r="AB1655">
        <v>40</v>
      </c>
      <c r="AC1655">
        <v>-40.897799999999997</v>
      </c>
      <c r="AD1655">
        <v>-1.109909281642</v>
      </c>
      <c r="AE1655">
        <v>-5.0470000000000201</v>
      </c>
      <c r="AF1655">
        <v>-4.6966649976367396</v>
      </c>
      <c r="AG1655">
        <v>-1.109909281642</v>
      </c>
      <c r="AH1655">
        <v>40.909442345100302</v>
      </c>
      <c r="AI1655">
        <v>91.543966965169901</v>
      </c>
      <c r="AJ1655">
        <v>96.549247368882803</v>
      </c>
      <c r="AK1655">
        <v>41.1931187663739</v>
      </c>
      <c r="AL1655">
        <v>80.327119573093995</v>
      </c>
      <c r="AM1655">
        <v>94.056576164509494</v>
      </c>
      <c r="AN1655">
        <v>0.99999998938373102</v>
      </c>
    </row>
    <row r="1656" spans="1:40" x14ac:dyDescent="0.25">
      <c r="A1656" t="str">
        <f>"20190304155355368"</f>
        <v>20190304155355368</v>
      </c>
      <c r="B1656" t="str">
        <f>"1551686035357882"</f>
        <v>1551686035357882</v>
      </c>
      <c r="C1656" t="s">
        <v>40</v>
      </c>
      <c r="D1656">
        <v>4.6111110000000002</v>
      </c>
      <c r="E1656">
        <v>0.53807240000000001</v>
      </c>
      <c r="F1656" t="s">
        <v>65</v>
      </c>
      <c r="G1656">
        <v>-406.67619999999999</v>
      </c>
      <c r="H1656" s="1">
        <v>5.5219749999999998E-6</v>
      </c>
      <c r="I1656">
        <v>284.22750000000002</v>
      </c>
      <c r="J1656">
        <v>-391.9178</v>
      </c>
      <c r="K1656">
        <v>1.1099319999999999</v>
      </c>
      <c r="L1656">
        <v>284.8125</v>
      </c>
      <c r="M1656">
        <v>-0.99989530000000004</v>
      </c>
      <c r="N1656">
        <v>-1.161976E-2</v>
      </c>
      <c r="O1656">
        <v>-8.6292769999999994E-3</v>
      </c>
      <c r="P1656">
        <v>-0.98455530000000002</v>
      </c>
      <c r="Q1656">
        <v>0.15693260000000001</v>
      </c>
      <c r="R1656">
        <v>-7.7610129999999999E-2</v>
      </c>
      <c r="S1656">
        <v>-3.0734560000000002</v>
      </c>
      <c r="T1656">
        <v>-0.2252538</v>
      </c>
      <c r="U1656">
        <v>-0.1194153</v>
      </c>
      <c r="V1656">
        <v>-6.9174860000000005E-2</v>
      </c>
      <c r="W1656">
        <v>0.1683433</v>
      </c>
      <c r="X1656">
        <v>0.98329820000000001</v>
      </c>
      <c r="Y1656">
        <v>-3.0122510000000002E-2</v>
      </c>
      <c r="Z1656">
        <v>-7.4610379999999997E-4</v>
      </c>
      <c r="AA1656">
        <v>0.99954589999999999</v>
      </c>
      <c r="AB1656">
        <v>40</v>
      </c>
      <c r="AC1656">
        <v>-14.7583999999999</v>
      </c>
      <c r="AD1656">
        <v>-1.109926478025</v>
      </c>
      <c r="AE1656">
        <v>-0.58499999999997898</v>
      </c>
      <c r="AF1656">
        <v>-0.45504559849732301</v>
      </c>
      <c r="AG1656">
        <v>-1.109926478025</v>
      </c>
      <c r="AH1656">
        <v>14.679998984304801</v>
      </c>
      <c r="AI1656">
        <v>94.321729150057195</v>
      </c>
      <c r="AJ1656">
        <v>91.775466509765295</v>
      </c>
      <c r="AK1656">
        <v>14.728929813890799</v>
      </c>
      <c r="AL1656">
        <v>80.308490921358</v>
      </c>
      <c r="AM1656">
        <v>94.024118430655605</v>
      </c>
      <c r="AN1656">
        <v>0.99999998901707399</v>
      </c>
    </row>
    <row r="1657" spans="1:40" x14ac:dyDescent="0.25">
      <c r="A1657" t="str">
        <f>"20190304155355390"</f>
        <v>20190304155355390</v>
      </c>
      <c r="B1657" t="str">
        <f>"1551686035388138"</f>
        <v>1551686035388138</v>
      </c>
      <c r="C1657" t="s">
        <v>40</v>
      </c>
      <c r="D1657">
        <v>4.4254230000000003</v>
      </c>
      <c r="E1657">
        <v>0.54898190000000002</v>
      </c>
      <c r="F1657" t="s">
        <v>65</v>
      </c>
      <c r="G1657">
        <v>-418.9622</v>
      </c>
      <c r="H1657" s="1">
        <v>3.7158769999999999E-6</v>
      </c>
      <c r="I1657">
        <v>285.52699999999999</v>
      </c>
      <c r="J1657">
        <v>-392.3073</v>
      </c>
      <c r="K1657">
        <v>1.10995</v>
      </c>
      <c r="L1657">
        <v>284.80900000000003</v>
      </c>
      <c r="M1657">
        <v>-0.99989300000000003</v>
      </c>
      <c r="N1657">
        <v>-1.171474E-2</v>
      </c>
      <c r="O1657">
        <v>-8.7846279999999992E-3</v>
      </c>
      <c r="P1657">
        <v>-0.98445530000000003</v>
      </c>
      <c r="Q1657">
        <v>0.1577672</v>
      </c>
      <c r="R1657">
        <v>-7.7186260000000007E-2</v>
      </c>
      <c r="S1657">
        <v>-3.0736080000000001</v>
      </c>
      <c r="T1657">
        <v>-0.126143899999999</v>
      </c>
      <c r="U1657">
        <v>8.1207280000000007E-2</v>
      </c>
      <c r="V1657">
        <v>-6.8600709999999995E-2</v>
      </c>
      <c r="W1657">
        <v>0.1692697</v>
      </c>
      <c r="X1657">
        <v>0.98317940000000004</v>
      </c>
      <c r="Y1657">
        <v>3.5150960000000002E-2</v>
      </c>
      <c r="Z1657">
        <v>1.184392E-3</v>
      </c>
      <c r="AA1657">
        <v>0.99938130000000003</v>
      </c>
      <c r="AB1657">
        <v>40</v>
      </c>
      <c r="AC1657">
        <v>-26.654900000000001</v>
      </c>
      <c r="AD1657">
        <v>-1.1099462841229999</v>
      </c>
      <c r="AE1657">
        <v>0.71799999999996</v>
      </c>
      <c r="AF1657">
        <v>0.95049472703786997</v>
      </c>
      <c r="AG1657">
        <v>-1.1099462841229999</v>
      </c>
      <c r="AH1657">
        <v>26.601469990219801</v>
      </c>
      <c r="AI1657">
        <v>92.387758401888703</v>
      </c>
      <c r="AJ1657">
        <v>87.953640230207299</v>
      </c>
      <c r="AK1657">
        <v>26.641577029529099</v>
      </c>
      <c r="AL1657">
        <v>80.254639508172005</v>
      </c>
      <c r="AM1657">
        <v>93.991307361215306</v>
      </c>
      <c r="AN1657">
        <v>1.00000001066747</v>
      </c>
    </row>
    <row r="1658" spans="1:40" x14ac:dyDescent="0.25">
      <c r="A1658" t="str">
        <f>"20190304155355413"</f>
        <v>20190304155355413</v>
      </c>
      <c r="B1658" t="str">
        <f>"1551686035407658"</f>
        <v>1551686035407658</v>
      </c>
      <c r="C1658" t="s">
        <v>40</v>
      </c>
      <c r="D1658">
        <v>4.591107</v>
      </c>
      <c r="E1658">
        <v>0.55196599999999996</v>
      </c>
      <c r="F1658" t="s">
        <v>65</v>
      </c>
      <c r="G1658">
        <v>-426.92899999999997</v>
      </c>
      <c r="H1658" s="1">
        <v>2.5525009999999999E-6</v>
      </c>
      <c r="I1658">
        <v>286.70960000000002</v>
      </c>
      <c r="J1658">
        <v>-392.71280000000002</v>
      </c>
      <c r="K1658">
        <v>1.109969</v>
      </c>
      <c r="L1658">
        <v>284.80520000000001</v>
      </c>
      <c r="M1658">
        <v>-0.9998901</v>
      </c>
      <c r="N1658">
        <v>-1.1818850000000001E-2</v>
      </c>
      <c r="O1658">
        <v>-8.9476739999999992E-3</v>
      </c>
      <c r="P1658">
        <v>-0.98442039999999997</v>
      </c>
      <c r="Q1658">
        <v>0.15805629999999901</v>
      </c>
      <c r="R1658">
        <v>-7.7037419999999995E-2</v>
      </c>
      <c r="S1658">
        <v>-3.076416</v>
      </c>
      <c r="T1658">
        <v>-9.8627450000000005E-2</v>
      </c>
      <c r="U1658">
        <v>0.16888429999999999</v>
      </c>
      <c r="V1658">
        <v>-6.8293179999999995E-2</v>
      </c>
      <c r="W1658">
        <v>0.16966020000000001</v>
      </c>
      <c r="X1658">
        <v>0.98313349999999999</v>
      </c>
      <c r="Y1658">
        <v>6.3700039999999999E-2</v>
      </c>
      <c r="Z1658">
        <v>1.5778439999999999E-3</v>
      </c>
      <c r="AA1658">
        <v>0.99796779999999996</v>
      </c>
      <c r="AB1658">
        <v>40</v>
      </c>
      <c r="AC1658">
        <v>-34.216200000000001</v>
      </c>
      <c r="AD1658">
        <v>-1.1099664474990001</v>
      </c>
      <c r="AE1658">
        <v>1.9044000000000001</v>
      </c>
      <c r="AF1658">
        <v>2.2081839639246801</v>
      </c>
      <c r="AG1658">
        <v>-1.1099664474990001</v>
      </c>
      <c r="AH1658">
        <v>34.161949980258299</v>
      </c>
      <c r="AI1658">
        <v>91.857087316712807</v>
      </c>
      <c r="AJ1658">
        <v>86.301620500260199</v>
      </c>
      <c r="AK1658">
        <v>34.251232509017598</v>
      </c>
      <c r="AL1658">
        <v>80.231937141214701</v>
      </c>
      <c r="AM1658">
        <v>93.973657095921993</v>
      </c>
      <c r="AN1658">
        <v>1.0000000103604001</v>
      </c>
    </row>
    <row r="1659" spans="1:40" x14ac:dyDescent="0.25">
      <c r="A1659" t="str">
        <f>"20190304155355435"</f>
        <v>20190304155355435</v>
      </c>
      <c r="B1659" t="str">
        <f>"1551686035428154"</f>
        <v>1551686035428154</v>
      </c>
      <c r="C1659" t="s">
        <v>40</v>
      </c>
      <c r="D1659">
        <v>4.5919910000000002</v>
      </c>
      <c r="E1659">
        <v>0.55372100000000002</v>
      </c>
      <c r="F1659" t="s">
        <v>65</v>
      </c>
      <c r="G1659">
        <v>-429.24329999999998</v>
      </c>
      <c r="H1659" s="1">
        <v>2.1080450000000002E-6</v>
      </c>
      <c r="I1659">
        <v>287.09780000000001</v>
      </c>
      <c r="J1659">
        <v>-393.11070000000001</v>
      </c>
      <c r="K1659">
        <v>1.109979</v>
      </c>
      <c r="L1659">
        <v>284.80149999999998</v>
      </c>
      <c r="M1659">
        <v>-0.99988750000000004</v>
      </c>
      <c r="N1659">
        <v>-1.1926920000000001E-2</v>
      </c>
      <c r="O1659">
        <v>-9.1028499999999991E-3</v>
      </c>
      <c r="P1659">
        <v>-0.98434630000000001</v>
      </c>
      <c r="Q1659">
        <v>0.15853499999999901</v>
      </c>
      <c r="R1659">
        <v>-7.7001680000000003E-2</v>
      </c>
      <c r="S1659">
        <v>-3.0776059999999998</v>
      </c>
      <c r="T1659">
        <v>-9.3511819999999996E-2</v>
      </c>
      <c r="U1659">
        <v>0.19314580000000001</v>
      </c>
      <c r="V1659">
        <v>-6.8106680000000003E-2</v>
      </c>
      <c r="W1659">
        <v>0.17024429999999999</v>
      </c>
      <c r="X1659">
        <v>0.98304550000000002</v>
      </c>
      <c r="Y1659">
        <v>7.167076E-2</v>
      </c>
      <c r="Z1659">
        <v>1.6833250000000001E-3</v>
      </c>
      <c r="AA1659">
        <v>0.99742690000000001</v>
      </c>
      <c r="AB1659">
        <v>40</v>
      </c>
      <c r="AC1659">
        <v>-36.132599999999897</v>
      </c>
      <c r="AD1659">
        <v>-1.1099768919549999</v>
      </c>
      <c r="AE1659">
        <v>2.29630000000002</v>
      </c>
      <c r="AF1659">
        <v>2.6226728255272</v>
      </c>
      <c r="AG1659">
        <v>-1.1099768919549999</v>
      </c>
      <c r="AH1659">
        <v>36.076290495786303</v>
      </c>
      <c r="AI1659">
        <v>91.757655796863503</v>
      </c>
      <c r="AJ1659">
        <v>85.842028207518297</v>
      </c>
      <c r="AK1659">
        <v>36.188523006428397</v>
      </c>
      <c r="AL1659">
        <v>80.197977004451303</v>
      </c>
      <c r="AM1659">
        <v>93.9631937785296</v>
      </c>
      <c r="AN1659">
        <v>1.00000004830668</v>
      </c>
    </row>
    <row r="1660" spans="1:40" x14ac:dyDescent="0.25">
      <c r="A1660" t="str">
        <f>"20190304155355458"</f>
        <v>20190304155355458</v>
      </c>
      <c r="B1660" t="str">
        <f>"1551686035447674"</f>
        <v>1551686035447674</v>
      </c>
      <c r="C1660" t="s">
        <v>40</v>
      </c>
      <c r="D1660">
        <v>4.5310059999999996</v>
      </c>
      <c r="E1660">
        <v>0.55447639999999998</v>
      </c>
      <c r="F1660" t="s">
        <v>65</v>
      </c>
      <c r="G1660">
        <v>-429.5487</v>
      </c>
      <c r="H1660" s="1">
        <v>2.0406380000000002E-6</v>
      </c>
      <c r="I1660">
        <v>287.24939999999998</v>
      </c>
      <c r="J1660">
        <v>-393.51479999999998</v>
      </c>
      <c r="K1660">
        <v>1.1099969999999999</v>
      </c>
      <c r="L1660">
        <v>284.79759999999999</v>
      </c>
      <c r="M1660">
        <v>-0.99988469999999996</v>
      </c>
      <c r="N1660">
        <v>-1.204274E-2</v>
      </c>
      <c r="O1660">
        <v>-9.2513690000000006E-3</v>
      </c>
      <c r="P1660">
        <v>-0.98437050000000004</v>
      </c>
      <c r="Q1660">
        <v>0.1583</v>
      </c>
      <c r="R1660">
        <v>-7.7175129999999995E-2</v>
      </c>
      <c r="S1660">
        <v>-3.0790099999999998</v>
      </c>
      <c r="T1660">
        <v>-9.3793269999999998E-2</v>
      </c>
      <c r="U1660">
        <v>0.20684810000000001</v>
      </c>
      <c r="V1660">
        <v>-6.8133429999999995E-2</v>
      </c>
      <c r="W1660">
        <v>0.170124</v>
      </c>
      <c r="X1660">
        <v>0.98306439999999995</v>
      </c>
      <c r="Y1660">
        <v>7.6206620000000003E-2</v>
      </c>
      <c r="Z1660">
        <v>1.7888699999999999E-3</v>
      </c>
      <c r="AA1660">
        <v>0.99709049999999999</v>
      </c>
      <c r="AB1660">
        <v>40</v>
      </c>
      <c r="AC1660">
        <v>-36.033900000000003</v>
      </c>
      <c r="AD1660">
        <v>-1.109994959362</v>
      </c>
      <c r="AE1660">
        <v>2.4517999999999902</v>
      </c>
      <c r="AF1660">
        <v>2.78245403950296</v>
      </c>
      <c r="AG1660">
        <v>-1.109994959362</v>
      </c>
      <c r="AH1660">
        <v>35.975693616290201</v>
      </c>
      <c r="AI1660">
        <v>91.761985977585994</v>
      </c>
      <c r="AJ1660">
        <v>85.577399337357207</v>
      </c>
      <c r="AK1660">
        <v>36.100203191463301</v>
      </c>
      <c r="AL1660">
        <v>80.204971019100896</v>
      </c>
      <c r="AM1660">
        <v>93.964669442143006</v>
      </c>
      <c r="AN1660">
        <v>0.999999977103462</v>
      </c>
    </row>
    <row r="1661" spans="1:40" x14ac:dyDescent="0.25">
      <c r="A1661" t="str">
        <f>"20190304155355480"</f>
        <v>20190304155355480</v>
      </c>
      <c r="B1661" t="str">
        <f>"1551686035468170"</f>
        <v>1551686035468170</v>
      </c>
      <c r="C1661" t="s">
        <v>40</v>
      </c>
      <c r="D1661">
        <v>4.4999029999999998</v>
      </c>
      <c r="E1661">
        <v>0.55528180000000005</v>
      </c>
      <c r="F1661" t="s">
        <v>65</v>
      </c>
      <c r="G1661">
        <v>-429.35969999999998</v>
      </c>
      <c r="H1661" s="1">
        <v>2.0723929999999999E-6</v>
      </c>
      <c r="I1661">
        <v>287.26949999999999</v>
      </c>
      <c r="J1661">
        <v>-393.9033</v>
      </c>
      <c r="K1661">
        <v>1.1100080000000001</v>
      </c>
      <c r="L1661">
        <v>284.79379999999998</v>
      </c>
      <c r="M1661">
        <v>-0.99988200000000005</v>
      </c>
      <c r="N1661">
        <v>-1.2161089999999999E-2</v>
      </c>
      <c r="O1661">
        <v>-9.3920989999999992E-3</v>
      </c>
      <c r="P1661">
        <v>-0.98438950000000003</v>
      </c>
      <c r="Q1661">
        <v>0.15823719999999999</v>
      </c>
      <c r="R1661">
        <v>-7.7062469999999994E-2</v>
      </c>
      <c r="S1661">
        <v>-3.0796199999999998</v>
      </c>
      <c r="T1661">
        <v>-9.5365409999999998E-2</v>
      </c>
      <c r="U1661">
        <v>0.2123718</v>
      </c>
      <c r="V1661">
        <v>-6.787965E-2</v>
      </c>
      <c r="W1661">
        <v>0.17017850000000001</v>
      </c>
      <c r="X1661">
        <v>0.98307259999999996</v>
      </c>
      <c r="Y1661">
        <v>7.8110890000000002E-2</v>
      </c>
      <c r="Z1661">
        <v>1.859772E-3</v>
      </c>
      <c r="AA1661">
        <v>0.99694289999999997</v>
      </c>
      <c r="AB1661">
        <v>40</v>
      </c>
      <c r="AC1661">
        <v>-35.456399999999903</v>
      </c>
      <c r="AD1661">
        <v>-1.11000592760699</v>
      </c>
      <c r="AE1661">
        <v>2.47570000000001</v>
      </c>
      <c r="AF1661">
        <v>2.8058887637513199</v>
      </c>
      <c r="AG1661">
        <v>-1.11000592760699</v>
      </c>
      <c r="AH1661">
        <v>35.397058547634103</v>
      </c>
      <c r="AI1661">
        <v>91.790519918473905</v>
      </c>
      <c r="AJ1661">
        <v>85.467699096222702</v>
      </c>
      <c r="AK1661">
        <v>35.5254398809995</v>
      </c>
      <c r="AL1661">
        <v>80.201802940150102</v>
      </c>
      <c r="AM1661">
        <v>93.949916028467101</v>
      </c>
      <c r="AN1661">
        <v>1.00000005280856</v>
      </c>
    </row>
    <row r="1662" spans="1:40" x14ac:dyDescent="0.25">
      <c r="A1662" t="str">
        <f>"20190304155355503"</f>
        <v>20190304155355503</v>
      </c>
      <c r="B1662" t="str">
        <f>"1551686035498426"</f>
        <v>1551686035498426</v>
      </c>
      <c r="C1662" t="s">
        <v>40</v>
      </c>
      <c r="D1662">
        <v>4.541131</v>
      </c>
      <c r="E1662">
        <v>0.55566949999999904</v>
      </c>
      <c r="F1662" t="s">
        <v>65</v>
      </c>
      <c r="G1662">
        <v>-429.87819999999999</v>
      </c>
      <c r="H1662" s="1">
        <v>1.9732980000000002E-6</v>
      </c>
      <c r="I1662">
        <v>287.351</v>
      </c>
      <c r="J1662">
        <v>-394.29930000000002</v>
      </c>
      <c r="K1662">
        <v>1.1100129999999999</v>
      </c>
      <c r="L1662">
        <v>284.78989999999999</v>
      </c>
      <c r="M1662">
        <v>-0.99987910000000002</v>
      </c>
      <c r="N1662">
        <v>-1.228716E-2</v>
      </c>
      <c r="O1662">
        <v>-9.5423520000000005E-3</v>
      </c>
      <c r="P1662">
        <v>-0.98439460000000001</v>
      </c>
      <c r="Q1662">
        <v>0.15804869999999999</v>
      </c>
      <c r="R1662">
        <v>-7.7384110000000006E-2</v>
      </c>
      <c r="S1662">
        <v>-3.0799560000000001</v>
      </c>
      <c r="T1662">
        <v>-9.5032099999999994E-2</v>
      </c>
      <c r="U1662">
        <v>0.21893309999999999</v>
      </c>
      <c r="V1662">
        <v>-6.8049620000000005E-2</v>
      </c>
      <c r="W1662">
        <v>0.1701155</v>
      </c>
      <c r="X1662">
        <v>0.98307169999999999</v>
      </c>
      <c r="Y1662">
        <v>8.0365190000000003E-2</v>
      </c>
      <c r="Z1662">
        <v>1.9094439999999999E-3</v>
      </c>
      <c r="AA1662">
        <v>0.99676359999999997</v>
      </c>
      <c r="AB1662">
        <v>40</v>
      </c>
      <c r="AC1662">
        <v>-35.578899999999898</v>
      </c>
      <c r="AD1662">
        <v>-1.110011026702</v>
      </c>
      <c r="AE1662">
        <v>2.5611000000000099</v>
      </c>
      <c r="AF1662">
        <v>2.8977094051916201</v>
      </c>
      <c r="AG1662">
        <v>-1.110011026702</v>
      </c>
      <c r="AH1662">
        <v>35.518445410393902</v>
      </c>
      <c r="AI1662">
        <v>91.784083094890903</v>
      </c>
      <c r="AJ1662">
        <v>85.335954780996303</v>
      </c>
      <c r="AK1662">
        <v>35.653734848504598</v>
      </c>
      <c r="AL1662">
        <v>80.205465470968306</v>
      </c>
      <c r="AM1662">
        <v>93.959778769750002</v>
      </c>
      <c r="AN1662">
        <v>1.0000000007316401</v>
      </c>
    </row>
    <row r="1663" spans="1:40" x14ac:dyDescent="0.25">
      <c r="A1663" t="str">
        <f>"20190304155355526"</f>
        <v>20190304155355526</v>
      </c>
      <c r="B1663" t="str">
        <f>"1551686035517946"</f>
        <v>1551686035517946</v>
      </c>
      <c r="C1663" t="s">
        <v>40</v>
      </c>
      <c r="D1663">
        <v>4.5050819999999998</v>
      </c>
      <c r="E1663">
        <v>0.55628250000000001</v>
      </c>
      <c r="F1663" t="s">
        <v>65</v>
      </c>
      <c r="G1663">
        <v>-430.29349999999999</v>
      </c>
      <c r="H1663" s="1">
        <v>2.105592E-6</v>
      </c>
      <c r="I1663">
        <v>287.3793</v>
      </c>
      <c r="J1663">
        <v>-394.71230000000003</v>
      </c>
      <c r="K1663">
        <v>1.1100179999999999</v>
      </c>
      <c r="L1663">
        <v>284.78579999999999</v>
      </c>
      <c r="M1663">
        <v>-0.99987570000000003</v>
      </c>
      <c r="N1663">
        <v>-1.242477E-2</v>
      </c>
      <c r="O1663">
        <v>-9.7062650000000004E-3</v>
      </c>
      <c r="P1663">
        <v>-0.98435589999999995</v>
      </c>
      <c r="Q1663">
        <v>0.15820619999999999</v>
      </c>
      <c r="R1663">
        <v>-7.7554090000000006E-2</v>
      </c>
      <c r="S1663">
        <v>-3.0802</v>
      </c>
      <c r="T1663">
        <v>-9.4988939999999994E-2</v>
      </c>
      <c r="U1663">
        <v>0.22158810000000001</v>
      </c>
      <c r="V1663">
        <v>-6.8054550000000005E-2</v>
      </c>
      <c r="W1663">
        <v>0.17040920000000001</v>
      </c>
      <c r="X1663">
        <v>0.98302049999999996</v>
      </c>
      <c r="Y1663">
        <v>8.1376989999999996E-2</v>
      </c>
      <c r="Z1663">
        <v>1.9377159999999999E-3</v>
      </c>
      <c r="AA1663">
        <v>0.9966815</v>
      </c>
      <c r="AB1663">
        <v>40</v>
      </c>
      <c r="AC1663">
        <v>-35.581199999999903</v>
      </c>
      <c r="AD1663">
        <v>-1.1100158944080001</v>
      </c>
      <c r="AE1663">
        <v>2.5935000000000001</v>
      </c>
      <c r="AF1663">
        <v>2.9359227868973798</v>
      </c>
      <c r="AG1663">
        <v>-1.1100158944080001</v>
      </c>
      <c r="AH1663">
        <v>35.519961941838503</v>
      </c>
      <c r="AI1663">
        <v>91.783858849736006</v>
      </c>
      <c r="AJ1663">
        <v>85.274925493454901</v>
      </c>
      <c r="AK1663">
        <v>35.658371727353398</v>
      </c>
      <c r="AL1663">
        <v>80.188388448528698</v>
      </c>
      <c r="AM1663">
        <v>93.960270332845099</v>
      </c>
      <c r="AN1663">
        <v>1.00000001032029</v>
      </c>
    </row>
    <row r="1664" spans="1:40" x14ac:dyDescent="0.25">
      <c r="A1664" t="str">
        <f>"20190304155355547"</f>
        <v>20190304155355547</v>
      </c>
      <c r="B1664" t="str">
        <f>"1551686035538442"</f>
        <v>1551686035538442</v>
      </c>
      <c r="C1664" t="s">
        <v>40</v>
      </c>
      <c r="D1664">
        <v>4.5413629999999996</v>
      </c>
      <c r="E1664">
        <v>0.55684789999999995</v>
      </c>
      <c r="F1664" t="s">
        <v>65</v>
      </c>
      <c r="G1664">
        <v>-431.28559999999999</v>
      </c>
      <c r="H1664" s="1">
        <v>2.5387200000000001E-6</v>
      </c>
      <c r="I1664">
        <v>287.45760000000001</v>
      </c>
      <c r="J1664">
        <v>-395.09379999999999</v>
      </c>
      <c r="K1664">
        <v>1.110039</v>
      </c>
      <c r="L1664">
        <v>284.78199999999998</v>
      </c>
      <c r="M1664">
        <v>-0.99987269999999995</v>
      </c>
      <c r="N1664">
        <v>-1.255091E-2</v>
      </c>
      <c r="O1664">
        <v>-9.8581329999999998E-3</v>
      </c>
      <c r="P1664">
        <v>-0.98439189999999999</v>
      </c>
      <c r="Q1664">
        <v>0.158029799999999</v>
      </c>
      <c r="R1664">
        <v>-7.7455720000000006E-2</v>
      </c>
      <c r="S1664">
        <v>-3.080444</v>
      </c>
      <c r="T1664">
        <v>-9.3492870000000006E-2</v>
      </c>
      <c r="U1664">
        <v>0.2250366</v>
      </c>
      <c r="V1664">
        <v>-6.7804370000000003E-2</v>
      </c>
      <c r="W1664">
        <v>0.17035839999999999</v>
      </c>
      <c r="X1664">
        <v>0.98304659999999999</v>
      </c>
      <c r="Y1664">
        <v>8.2633170000000006E-2</v>
      </c>
      <c r="Z1664">
        <v>1.9466729999999999E-3</v>
      </c>
      <c r="AA1664">
        <v>0.99657819999999997</v>
      </c>
      <c r="AB1664">
        <v>40</v>
      </c>
      <c r="AC1664">
        <v>-36.191800000000001</v>
      </c>
      <c r="AD1664">
        <v>-1.11003646128</v>
      </c>
      <c r="AE1664">
        <v>2.67560000000003</v>
      </c>
      <c r="AF1664">
        <v>3.0294472956502698</v>
      </c>
      <c r="AG1664">
        <v>-1.11003646128</v>
      </c>
      <c r="AH1664">
        <v>36.1298597276921</v>
      </c>
      <c r="AI1664">
        <v>91.7536245694114</v>
      </c>
      <c r="AJ1664">
        <v>85.207026168712602</v>
      </c>
      <c r="AK1664">
        <v>36.273633617342597</v>
      </c>
      <c r="AL1664">
        <v>80.191342335665794</v>
      </c>
      <c r="AM1664">
        <v>93.945653353112704</v>
      </c>
      <c r="AN1664">
        <v>1.0000000174065999</v>
      </c>
    </row>
    <row r="1665" spans="1:40" x14ac:dyDescent="0.25">
      <c r="A1665" t="str">
        <f>"20190304155355569"</f>
        <v>20190304155355569</v>
      </c>
      <c r="B1665" t="str">
        <f>"1551686035557962"</f>
        <v>1551686035557962</v>
      </c>
      <c r="C1665" t="s">
        <v>40</v>
      </c>
      <c r="D1665">
        <v>4.4964829999999996</v>
      </c>
      <c r="E1665">
        <v>0.55751969999999995</v>
      </c>
      <c r="F1665" t="s">
        <v>65</v>
      </c>
      <c r="G1665">
        <v>-431.8</v>
      </c>
      <c r="H1665" s="1">
        <v>2.7611780000000002E-6</v>
      </c>
      <c r="I1665">
        <v>287.5222</v>
      </c>
      <c r="J1665">
        <v>-395.48149999999998</v>
      </c>
      <c r="K1665">
        <v>1.110058</v>
      </c>
      <c r="L1665">
        <v>284.77800000000002</v>
      </c>
      <c r="M1665">
        <v>-0.99986969999999997</v>
      </c>
      <c r="N1665">
        <v>-1.2676349999999999E-2</v>
      </c>
      <c r="O1665">
        <v>-1.000851E-2</v>
      </c>
      <c r="P1665">
        <v>-0.98441179999999995</v>
      </c>
      <c r="Q1665">
        <v>0.15771789999999999</v>
      </c>
      <c r="R1665">
        <v>-7.7839000000000005E-2</v>
      </c>
      <c r="S1665">
        <v>-3.0806580000000001</v>
      </c>
      <c r="T1665">
        <v>-9.3162659999999994E-2</v>
      </c>
      <c r="U1665">
        <v>0.2299805</v>
      </c>
      <c r="V1665">
        <v>-6.8038180000000004E-2</v>
      </c>
      <c r="W1665">
        <v>0.1701705</v>
      </c>
      <c r="X1665">
        <v>0.98306300000000002</v>
      </c>
      <c r="Y1665">
        <v>8.4367629999999999E-2</v>
      </c>
      <c r="Z1665">
        <v>1.9848299999999999E-3</v>
      </c>
      <c r="AA1665">
        <v>0.99643269999999995</v>
      </c>
      <c r="AB1665">
        <v>40</v>
      </c>
      <c r="AC1665">
        <v>-36.3185</v>
      </c>
      <c r="AD1665">
        <v>-1.110055238822</v>
      </c>
      <c r="AE1665">
        <v>2.74419999999997</v>
      </c>
      <c r="AF1665">
        <v>3.1047018550197998</v>
      </c>
      <c r="AG1665">
        <v>-1.110055238822</v>
      </c>
      <c r="AH1665">
        <v>36.255535943336803</v>
      </c>
      <c r="AI1665">
        <v>91.747316843457497</v>
      </c>
      <c r="AJ1665">
        <v>85.105481449413404</v>
      </c>
      <c r="AK1665">
        <v>36.405154618273301</v>
      </c>
      <c r="AL1665">
        <v>80.202267840553105</v>
      </c>
      <c r="AM1665">
        <v>93.959150124426003</v>
      </c>
      <c r="AN1665">
        <v>1.0000000274884799</v>
      </c>
    </row>
    <row r="1666" spans="1:40" x14ac:dyDescent="0.25">
      <c r="A1666" t="str">
        <f>"20190304155355591"</f>
        <v>20190304155355591</v>
      </c>
      <c r="B1666" t="str">
        <f>"1551686035588218"</f>
        <v>1551686035588218</v>
      </c>
      <c r="C1666" t="s">
        <v>40</v>
      </c>
      <c r="D1666">
        <v>4.5466329999999999</v>
      </c>
      <c r="E1666">
        <v>0.55845929999999999</v>
      </c>
      <c r="F1666" t="s">
        <v>65</v>
      </c>
      <c r="G1666">
        <v>-432.5915</v>
      </c>
      <c r="H1666" s="1">
        <v>3.1056730000000001E-6</v>
      </c>
      <c r="I1666">
        <v>287.59649999999999</v>
      </c>
      <c r="J1666">
        <v>-395.8723</v>
      </c>
      <c r="K1666">
        <v>1.11007099999999</v>
      </c>
      <c r="L1666">
        <v>284.774</v>
      </c>
      <c r="M1666">
        <v>-0.99986649999999999</v>
      </c>
      <c r="N1666">
        <v>-1.28007E-2</v>
      </c>
      <c r="O1666">
        <v>-1.015607E-2</v>
      </c>
      <c r="P1666">
        <v>-0.98446310000000004</v>
      </c>
      <c r="Q1666">
        <v>0.15762960000000001</v>
      </c>
      <c r="R1666">
        <v>-7.7366240000000003E-2</v>
      </c>
      <c r="S1666">
        <v>-3.0807799999999999</v>
      </c>
      <c r="T1666">
        <v>-9.2154029999999998E-2</v>
      </c>
      <c r="U1666">
        <v>0.2339783</v>
      </c>
      <c r="V1666">
        <v>-6.7420389999999997E-2</v>
      </c>
      <c r="W1666">
        <v>0.17020569999999999</v>
      </c>
      <c r="X1666">
        <v>0.98309950000000002</v>
      </c>
      <c r="Y1666">
        <v>8.5797419999999999E-2</v>
      </c>
      <c r="Z1666">
        <v>2.0047189999999999E-3</v>
      </c>
      <c r="AA1666">
        <v>0.99631060000000005</v>
      </c>
      <c r="AB1666">
        <v>40</v>
      </c>
      <c r="AC1666">
        <v>-36.719200000000001</v>
      </c>
      <c r="AD1666">
        <v>-1.1100678943269899</v>
      </c>
      <c r="AE1666">
        <v>2.82249999999999</v>
      </c>
      <c r="AF1666">
        <v>3.1924072292391599</v>
      </c>
      <c r="AG1666">
        <v>-1.1100678943269899</v>
      </c>
      <c r="AH1666">
        <v>36.655334457263898</v>
      </c>
      <c r="AI1666">
        <v>91.728074260345394</v>
      </c>
      <c r="AJ1666">
        <v>85.022522952604405</v>
      </c>
      <c r="AK1666">
        <v>36.810830727126898</v>
      </c>
      <c r="AL1666">
        <v>80.200221474482106</v>
      </c>
      <c r="AM1666">
        <v>93.9231684187789</v>
      </c>
      <c r="AN1666">
        <v>1.00000005810024</v>
      </c>
    </row>
    <row r="1667" spans="1:40" x14ac:dyDescent="0.25">
      <c r="A1667" t="str">
        <f>"20190304155355614"</f>
        <v>20190304155355614</v>
      </c>
      <c r="B1667" t="str">
        <f>"1551686035607742"</f>
        <v>1551686035607742</v>
      </c>
      <c r="C1667" t="s">
        <v>40</v>
      </c>
      <c r="D1667">
        <v>4.4476279999999999</v>
      </c>
      <c r="E1667">
        <v>0.55893019999999904</v>
      </c>
      <c r="F1667" t="s">
        <v>65</v>
      </c>
      <c r="G1667">
        <v>-433.90800000000002</v>
      </c>
      <c r="H1667" s="1">
        <v>3.6742619999999999E-6</v>
      </c>
      <c r="I1667">
        <v>287.77080000000001</v>
      </c>
      <c r="J1667">
        <v>-396.28199999999998</v>
      </c>
      <c r="K1667">
        <v>1.11009</v>
      </c>
      <c r="L1667">
        <v>284.7697</v>
      </c>
      <c r="M1667">
        <v>-0.99986330000000001</v>
      </c>
      <c r="N1667">
        <v>-1.29275E-2</v>
      </c>
      <c r="O1667">
        <v>-1.0307490000000001E-2</v>
      </c>
      <c r="P1667">
        <v>-0.98445369999999999</v>
      </c>
      <c r="Q1667">
        <v>0.15771070000000001</v>
      </c>
      <c r="R1667">
        <v>-7.7319659999999998E-2</v>
      </c>
      <c r="S1667">
        <v>-3.0808110000000002</v>
      </c>
      <c r="T1667">
        <v>-8.9913010000000002E-2</v>
      </c>
      <c r="U1667">
        <v>0.2427368</v>
      </c>
      <c r="V1667">
        <v>-6.7225309999999996E-2</v>
      </c>
      <c r="W1667">
        <v>0.17041110000000001</v>
      </c>
      <c r="X1667">
        <v>0.98307719999999998</v>
      </c>
      <c r="Y1667">
        <v>8.8763170000000002E-2</v>
      </c>
      <c r="Z1667">
        <v>2.0351200000000001E-3</v>
      </c>
      <c r="AA1667">
        <v>0.99605069999999996</v>
      </c>
      <c r="AB1667">
        <v>40</v>
      </c>
      <c r="AC1667">
        <v>-37.625999999999998</v>
      </c>
      <c r="AD1667">
        <v>-1.110086325738</v>
      </c>
      <c r="AE1667">
        <v>3.0011000000000001</v>
      </c>
      <c r="AF1667">
        <v>3.3858740179744098</v>
      </c>
      <c r="AG1667">
        <v>-1.110086325738</v>
      </c>
      <c r="AH1667">
        <v>37.5605770045456</v>
      </c>
      <c r="AI1667">
        <v>91.686026279615305</v>
      </c>
      <c r="AJ1667">
        <v>84.849031025802304</v>
      </c>
      <c r="AK1667">
        <v>37.729211221950798</v>
      </c>
      <c r="AL1667">
        <v>80.188277702218898</v>
      </c>
      <c r="AM1667">
        <v>93.911940538304705</v>
      </c>
      <c r="AN1667">
        <v>0.999999983233823</v>
      </c>
    </row>
    <row r="1668" spans="1:40" x14ac:dyDescent="0.25">
      <c r="A1668" t="str">
        <f>"20190304155355637"</f>
        <v>20190304155355637</v>
      </c>
      <c r="B1668" t="str">
        <f>"1551686035628238"</f>
        <v>1551686035628238</v>
      </c>
      <c r="C1668" t="s">
        <v>40</v>
      </c>
      <c r="D1668">
        <v>4.624479</v>
      </c>
      <c r="E1668">
        <v>0.55942799999999904</v>
      </c>
      <c r="F1668" t="s">
        <v>65</v>
      </c>
      <c r="G1668">
        <v>-435.19720000000001</v>
      </c>
      <c r="H1668" s="1">
        <v>4.2361279999999999E-6</v>
      </c>
      <c r="I1668">
        <v>287.88319999999999</v>
      </c>
      <c r="J1668">
        <v>-396.67290000000003</v>
      </c>
      <c r="K1668">
        <v>1.1100969999999999</v>
      </c>
      <c r="L1668">
        <v>284.76549999999997</v>
      </c>
      <c r="M1668">
        <v>-0.99986030000000004</v>
      </c>
      <c r="N1668">
        <v>-1.304058E-2</v>
      </c>
      <c r="O1668">
        <v>-1.0452380000000001E-2</v>
      </c>
      <c r="P1668">
        <v>-0.98444319999999996</v>
      </c>
      <c r="Q1668">
        <v>0.157805</v>
      </c>
      <c r="R1668">
        <v>-7.7261079999999996E-2</v>
      </c>
      <c r="S1668">
        <v>-3.0807799999999999</v>
      </c>
      <c r="T1668">
        <v>-8.7881680000000004E-2</v>
      </c>
      <c r="U1668">
        <v>0.2464905</v>
      </c>
      <c r="V1668">
        <v>-6.7024600000000004E-2</v>
      </c>
      <c r="W1668">
        <v>0.17061589999999999</v>
      </c>
      <c r="X1668">
        <v>0.98305540000000002</v>
      </c>
      <c r="Y1668">
        <v>9.0115440000000005E-2</v>
      </c>
      <c r="Z1668">
        <v>2.0332990000000001E-3</v>
      </c>
      <c r="AA1668">
        <v>0.99592919999999996</v>
      </c>
      <c r="AB1668">
        <v>40</v>
      </c>
      <c r="AC1668">
        <v>-38.524299999999897</v>
      </c>
      <c r="AD1668">
        <v>-1.110092763872</v>
      </c>
      <c r="AE1668">
        <v>3.1177000000000099</v>
      </c>
      <c r="AF1668">
        <v>3.5173330060261798</v>
      </c>
      <c r="AG1668">
        <v>-1.110092763872</v>
      </c>
      <c r="AH1668">
        <v>38.4578801644263</v>
      </c>
      <c r="AI1668">
        <v>91.646524307435499</v>
      </c>
      <c r="AJ1668">
        <v>84.774303126117402</v>
      </c>
      <c r="AK1668">
        <v>38.634343325091699</v>
      </c>
      <c r="AL1668">
        <v>80.176369304651899</v>
      </c>
      <c r="AM1668">
        <v>93.900383252683994</v>
      </c>
      <c r="AN1668">
        <v>1.0000000009035599</v>
      </c>
    </row>
    <row r="1669" spans="1:40" x14ac:dyDescent="0.25">
      <c r="A1669" t="str">
        <f>"20190304155355659"</f>
        <v>20190304155355659</v>
      </c>
      <c r="B1669" t="str">
        <f>"1551686035647754"</f>
        <v>1551686035647754</v>
      </c>
      <c r="C1669" t="s">
        <v>40</v>
      </c>
      <c r="D1669">
        <v>4.602773</v>
      </c>
      <c r="E1669">
        <v>0.559168</v>
      </c>
      <c r="F1669" t="s">
        <v>65</v>
      </c>
      <c r="G1669">
        <v>-436.0693</v>
      </c>
      <c r="H1669" s="1">
        <v>4.6155640000000002E-6</v>
      </c>
      <c r="I1669">
        <v>287.96690000000001</v>
      </c>
      <c r="J1669">
        <v>-397.07769999999999</v>
      </c>
      <c r="K1669">
        <v>1.110107</v>
      </c>
      <c r="L1669">
        <v>284.7611</v>
      </c>
      <c r="M1669">
        <v>-0.99985740000000001</v>
      </c>
      <c r="N1669">
        <v>-1.314675E-2</v>
      </c>
      <c r="O1669">
        <v>-1.06046E-2</v>
      </c>
      <c r="P1669">
        <v>-0.98441889999999999</v>
      </c>
      <c r="Q1669">
        <v>0.15798889999999999</v>
      </c>
      <c r="R1669">
        <v>-7.7197420000000003E-2</v>
      </c>
      <c r="S1669">
        <v>-3.080994</v>
      </c>
      <c r="T1669">
        <v>-8.6814760000000005E-2</v>
      </c>
      <c r="U1669">
        <v>0.25036619999999998</v>
      </c>
      <c r="V1669">
        <v>-6.6811200000000001E-2</v>
      </c>
      <c r="W1669">
        <v>0.17090439999999901</v>
      </c>
      <c r="X1669">
        <v>0.9830198</v>
      </c>
      <c r="Y1669">
        <v>9.1506450000000003E-2</v>
      </c>
      <c r="Z1669">
        <v>2.0486570000000002E-3</v>
      </c>
      <c r="AA1669">
        <v>0.99580239999999998</v>
      </c>
      <c r="AB1669">
        <v>40</v>
      </c>
      <c r="AC1669">
        <v>-38.991599999999998</v>
      </c>
      <c r="AD1669">
        <v>-1.1101023844359901</v>
      </c>
      <c r="AE1669">
        <v>3.2058</v>
      </c>
      <c r="AF1669">
        <v>3.6162342552984899</v>
      </c>
      <c r="AG1669">
        <v>-1.1101023844359901</v>
      </c>
      <c r="AH1669">
        <v>38.924069580503101</v>
      </c>
      <c r="AI1669">
        <v>91.626614000271303</v>
      </c>
      <c r="AJ1669">
        <v>84.692181216753397</v>
      </c>
      <c r="AK1669">
        <v>39.107450315777101</v>
      </c>
      <c r="AL1669">
        <v>80.159592953028806</v>
      </c>
      <c r="AM1669">
        <v>93.888143320646506</v>
      </c>
      <c r="AN1669">
        <v>0.999999988788419</v>
      </c>
    </row>
    <row r="1670" spans="1:40" x14ac:dyDescent="0.25">
      <c r="A1670" t="str">
        <f>"20190304155355681"</f>
        <v>20190304155355681</v>
      </c>
      <c r="B1670" t="str">
        <f>"1551686035678012"</f>
        <v>1551686035678012</v>
      </c>
      <c r="C1670" t="s">
        <v>40</v>
      </c>
      <c r="D1670">
        <v>4.4238970000000002</v>
      </c>
      <c r="E1670">
        <v>0.55556419999999995</v>
      </c>
      <c r="F1670" t="s">
        <v>63</v>
      </c>
      <c r="G1670">
        <v>-440.05259999999998</v>
      </c>
      <c r="H1670" s="1">
        <v>-1.666492E-6</v>
      </c>
      <c r="I1670">
        <v>288.22449999999998</v>
      </c>
      <c r="J1670">
        <v>-397.47379999999998</v>
      </c>
      <c r="K1670">
        <v>1.11012</v>
      </c>
      <c r="L1670">
        <v>284.75670000000002</v>
      </c>
      <c r="M1670">
        <v>-0.99985460000000004</v>
      </c>
      <c r="N1670">
        <v>-1.3239310000000001E-2</v>
      </c>
      <c r="O1670">
        <v>-1.0754710000000001E-2</v>
      </c>
      <c r="P1670">
        <v>-0.98439259999999995</v>
      </c>
      <c r="Q1670">
        <v>0.15806909999999999</v>
      </c>
      <c r="R1670">
        <v>-7.7366290000000004E-2</v>
      </c>
      <c r="S1670">
        <v>-3.0797119999999998</v>
      </c>
      <c r="T1670">
        <v>-7.9553600000000002E-2</v>
      </c>
      <c r="U1670">
        <v>0.24819949999999999</v>
      </c>
      <c r="V1670">
        <v>-6.6833100000000006E-2</v>
      </c>
      <c r="W1670">
        <v>0.17107539999999999</v>
      </c>
      <c r="X1670">
        <v>0.98298859999999999</v>
      </c>
      <c r="Y1670">
        <v>9.1000999999999999E-2</v>
      </c>
      <c r="Z1670">
        <v>1.9120020000000001E-3</v>
      </c>
      <c r="AA1670">
        <v>0.99584899999999998</v>
      </c>
      <c r="AB1670">
        <v>40</v>
      </c>
      <c r="AC1670">
        <v>-42.578800000000001</v>
      </c>
      <c r="AD1670">
        <v>-1.1101216664919999</v>
      </c>
      <c r="AE1670">
        <v>3.4677999999999498</v>
      </c>
      <c r="AF1670">
        <v>3.9229130957631599</v>
      </c>
      <c r="AG1670">
        <v>-1.1101216664919999</v>
      </c>
      <c r="AH1670">
        <v>42.510332311431803</v>
      </c>
      <c r="AI1670">
        <v>91.489565091201598</v>
      </c>
      <c r="AJ1670">
        <v>84.727597602540698</v>
      </c>
      <c r="AK1670">
        <v>42.705385731775003</v>
      </c>
      <c r="AL1670">
        <v>80.149649254533202</v>
      </c>
      <c r="AM1670">
        <v>93.889536972390104</v>
      </c>
      <c r="AN1670">
        <v>1.00000002173536</v>
      </c>
    </row>
    <row r="1671" spans="1:40" x14ac:dyDescent="0.25">
      <c r="A1671" t="str">
        <f>"20190304155355704"</f>
        <v>20190304155355704</v>
      </c>
      <c r="B1671" t="str">
        <f>"1551686035698506"</f>
        <v>1551686035698506</v>
      </c>
      <c r="C1671" t="s">
        <v>40</v>
      </c>
      <c r="D1671">
        <v>4.4169090000000004</v>
      </c>
      <c r="E1671">
        <v>0.55293239999999999</v>
      </c>
      <c r="F1671" t="s">
        <v>63</v>
      </c>
      <c r="G1671">
        <v>-444.00940000000003</v>
      </c>
      <c r="H1671" s="1">
        <v>4.458437E-7</v>
      </c>
      <c r="I1671">
        <v>288.07060000000001</v>
      </c>
      <c r="J1671">
        <v>-397.86290000000002</v>
      </c>
      <c r="K1671">
        <v>1.1101289999999999</v>
      </c>
      <c r="L1671">
        <v>284.75240000000002</v>
      </c>
      <c r="M1671">
        <v>-0.99985190000000002</v>
      </c>
      <c r="N1671">
        <v>-1.331916E-2</v>
      </c>
      <c r="O1671">
        <v>-1.090198E-2</v>
      </c>
      <c r="P1671">
        <v>-0.98429480000000003</v>
      </c>
      <c r="Q1671">
        <v>0.15862219999999999</v>
      </c>
      <c r="R1671">
        <v>-7.7479800000000001E-2</v>
      </c>
      <c r="S1671">
        <v>-3.0765690000000001</v>
      </c>
      <c r="T1671">
        <v>-7.3392269999999996E-2</v>
      </c>
      <c r="U1671">
        <v>0.21908569999999999</v>
      </c>
      <c r="V1671">
        <v>-6.6802699999999895E-2</v>
      </c>
      <c r="W1671">
        <v>0.17170539999999901</v>
      </c>
      <c r="X1671">
        <v>0.9828808</v>
      </c>
      <c r="Y1671">
        <v>8.1865579999999993E-2</v>
      </c>
      <c r="Z1671">
        <v>1.6358309999999999E-3</v>
      </c>
      <c r="AA1671">
        <v>0.99664209999999998</v>
      </c>
      <c r="AB1671">
        <v>40</v>
      </c>
      <c r="AC1671">
        <v>-46.146500000000003</v>
      </c>
      <c r="AD1671">
        <v>-1.1101285541563</v>
      </c>
      <c r="AE1671">
        <v>3.3181999999999898</v>
      </c>
      <c r="AF1671">
        <v>3.81893687151533</v>
      </c>
      <c r="AG1671">
        <v>-1.1101285541563</v>
      </c>
      <c r="AH1671">
        <v>46.081048065662898</v>
      </c>
      <c r="AI1671">
        <v>91.375320232282704</v>
      </c>
      <c r="AJ1671">
        <v>85.2624757854948</v>
      </c>
      <c r="AK1671">
        <v>46.252347562748703</v>
      </c>
      <c r="AL1671">
        <v>80.113010624631102</v>
      </c>
      <c r="AM1671">
        <v>93.888198280927199</v>
      </c>
      <c r="AN1671">
        <v>1.00000000606254</v>
      </c>
    </row>
    <row r="1672" spans="1:40" x14ac:dyDescent="0.25">
      <c r="A1672" t="str">
        <f>"20190304155355725"</f>
        <v>20190304155355725</v>
      </c>
      <c r="B1672" t="str">
        <f>"1551686035718026"</f>
        <v>1551686035718026</v>
      </c>
      <c r="C1672" t="s">
        <v>40</v>
      </c>
      <c r="D1672">
        <v>4.3546620000000003</v>
      </c>
      <c r="E1672">
        <v>0.55063019999999996</v>
      </c>
      <c r="F1672" t="s">
        <v>63</v>
      </c>
      <c r="G1672">
        <v>-445.55970000000002</v>
      </c>
      <c r="H1672" s="1">
        <v>1.2823089999999901E-6</v>
      </c>
      <c r="I1672">
        <v>287.80810000000002</v>
      </c>
      <c r="J1672">
        <v>-398.25670000000002</v>
      </c>
      <c r="K1672">
        <v>1.110133</v>
      </c>
      <c r="L1672">
        <v>284.74799999999999</v>
      </c>
      <c r="M1672">
        <v>-0.9998494</v>
      </c>
      <c r="N1672">
        <v>-1.3390300000000001E-2</v>
      </c>
      <c r="O1672">
        <v>-1.104859E-2</v>
      </c>
      <c r="P1672">
        <v>-0.98420260000000004</v>
      </c>
      <c r="Q1672">
        <v>0.15912509999999999</v>
      </c>
      <c r="R1672">
        <v>-7.7618960000000001E-2</v>
      </c>
      <c r="S1672">
        <v>-3.0749209999999998</v>
      </c>
      <c r="T1672">
        <v>-7.1567770000000003E-2</v>
      </c>
      <c r="U1672">
        <v>0.196991</v>
      </c>
      <c r="V1672">
        <v>-6.6798280000000002E-2</v>
      </c>
      <c r="W1672">
        <v>0.1722776</v>
      </c>
      <c r="X1672">
        <v>0.98278100000000002</v>
      </c>
      <c r="Y1672">
        <v>7.4923340000000005E-2</v>
      </c>
      <c r="Z1672">
        <v>1.4822570000000001E-3</v>
      </c>
      <c r="AA1672">
        <v>0.99718819999999997</v>
      </c>
      <c r="AB1672">
        <v>40</v>
      </c>
      <c r="AC1672">
        <v>-47.302999999999997</v>
      </c>
      <c r="AD1672">
        <v>-1.1101317176909999</v>
      </c>
      <c r="AE1672">
        <v>3.06010000000003</v>
      </c>
      <c r="AF1672">
        <v>3.58062755821142</v>
      </c>
      <c r="AG1672">
        <v>-1.1101317176909999</v>
      </c>
      <c r="AH1672">
        <v>47.2403891682807</v>
      </c>
      <c r="AI1672">
        <v>91.342332989420001</v>
      </c>
      <c r="AJ1672">
        <v>85.665503043805302</v>
      </c>
      <c r="AK1672">
        <v>47.388898013267401</v>
      </c>
      <c r="AL1672">
        <v>80.079730364749594</v>
      </c>
      <c r="AM1672">
        <v>93.888335411215607</v>
      </c>
      <c r="AN1672">
        <v>1.0000000378168501</v>
      </c>
    </row>
    <row r="1673" spans="1:40" x14ac:dyDescent="0.25">
      <c r="A1673" t="str">
        <f>"20190304155355748"</f>
        <v>20190304155355748</v>
      </c>
      <c r="B1673" t="str">
        <f>"1551686035738522"</f>
        <v>1551686035738522</v>
      </c>
      <c r="C1673" t="s">
        <v>40</v>
      </c>
      <c r="D1673">
        <v>4.3552960000000001</v>
      </c>
      <c r="E1673">
        <v>0.54854969999999903</v>
      </c>
      <c r="F1673" t="s">
        <v>63</v>
      </c>
      <c r="G1673">
        <v>-447.46660000000003</v>
      </c>
      <c r="H1673" s="1">
        <v>2.3058789999999999E-6</v>
      </c>
      <c r="I1673">
        <v>287.60550000000001</v>
      </c>
      <c r="J1673">
        <v>-398.6454</v>
      </c>
      <c r="K1673">
        <v>1.1101430000000001</v>
      </c>
      <c r="L1673">
        <v>284.74360000000001</v>
      </c>
      <c r="M1673">
        <v>-0.99984689999999998</v>
      </c>
      <c r="N1673">
        <v>-1.3451950000000001E-2</v>
      </c>
      <c r="O1673">
        <v>-1.119037E-2</v>
      </c>
      <c r="P1673">
        <v>-0.98416139999999996</v>
      </c>
      <c r="Q1673">
        <v>0.1593851</v>
      </c>
      <c r="R1673">
        <v>-7.7607040000000002E-2</v>
      </c>
      <c r="S1673">
        <v>-3.0734249999999999</v>
      </c>
      <c r="T1673">
        <v>-6.933367E-2</v>
      </c>
      <c r="U1673">
        <v>0.17846679999999901</v>
      </c>
      <c r="V1673">
        <v>-6.664639E-2</v>
      </c>
      <c r="W1673">
        <v>0.1725979</v>
      </c>
      <c r="X1673">
        <v>0.98273509999999997</v>
      </c>
      <c r="Y1673">
        <v>6.9110539999999998E-2</v>
      </c>
      <c r="Z1673">
        <v>1.3459450000000001E-3</v>
      </c>
      <c r="AA1673">
        <v>0.9976081</v>
      </c>
      <c r="AB1673">
        <v>40</v>
      </c>
      <c r="AC1673">
        <v>-48.821199999999997</v>
      </c>
      <c r="AD1673">
        <v>-1.1101406941209999</v>
      </c>
      <c r="AE1673">
        <v>2.8618999999999901</v>
      </c>
      <c r="AF1673">
        <v>3.4063422557575</v>
      </c>
      <c r="AG1673">
        <v>-1.1101406941209999</v>
      </c>
      <c r="AH1673">
        <v>48.760988019070403</v>
      </c>
      <c r="AI1673">
        <v>91.301057147079504</v>
      </c>
      <c r="AJ1673">
        <v>86.003926795063293</v>
      </c>
      <c r="AK1673">
        <v>48.892428171650799</v>
      </c>
      <c r="AL1673">
        <v>80.061099330942199</v>
      </c>
      <c r="AM1673">
        <v>93.879701551913101</v>
      </c>
      <c r="AN1673">
        <v>1.0000000265782201</v>
      </c>
    </row>
    <row r="1674" spans="1:40" x14ac:dyDescent="0.25">
      <c r="A1674" t="str">
        <f>"20190304155355769"</f>
        <v>20190304155355769</v>
      </c>
      <c r="B1674" t="str">
        <f>"1551686035767803"</f>
        <v>1551686035767803</v>
      </c>
      <c r="C1674" t="s">
        <v>40</v>
      </c>
      <c r="D1674">
        <v>4.354266</v>
      </c>
      <c r="E1674">
        <v>0.54570459999999998</v>
      </c>
      <c r="F1674" t="s">
        <v>63</v>
      </c>
      <c r="G1674">
        <v>-448.93979999999999</v>
      </c>
      <c r="H1674" s="1">
        <v>3.0991769999999999E-6</v>
      </c>
      <c r="I1674">
        <v>287.39260000000002</v>
      </c>
      <c r="J1674">
        <v>-399.03899999999999</v>
      </c>
      <c r="K1674">
        <v>1.110147</v>
      </c>
      <c r="L1674">
        <v>284.73899999999998</v>
      </c>
      <c r="M1674">
        <v>-0.99984470000000003</v>
      </c>
      <c r="N1674">
        <v>-1.3506539999999999E-2</v>
      </c>
      <c r="O1674">
        <v>-1.132933E-2</v>
      </c>
      <c r="P1674">
        <v>-0.98406009999999999</v>
      </c>
      <c r="Q1674">
        <v>0.15975149999999999</v>
      </c>
      <c r="R1674">
        <v>-7.8135860000000001E-2</v>
      </c>
      <c r="S1674">
        <v>-3.0720209999999999</v>
      </c>
      <c r="T1674">
        <v>-6.7808149999999998E-2</v>
      </c>
      <c r="U1674">
        <v>0.16180420000000001</v>
      </c>
      <c r="V1674">
        <v>-6.7038749999999994E-2</v>
      </c>
      <c r="W1674">
        <v>0.17301729999999901</v>
      </c>
      <c r="X1674">
        <v>0.98263469999999997</v>
      </c>
      <c r="Y1674">
        <v>6.3883220000000004E-2</v>
      </c>
      <c r="Z1674">
        <v>1.2332669999999999E-3</v>
      </c>
      <c r="AA1674">
        <v>0.99795659999999997</v>
      </c>
      <c r="AB1674">
        <v>39</v>
      </c>
      <c r="AC1674">
        <v>-49.900799999999997</v>
      </c>
      <c r="AD1674">
        <v>-1.1101439008230001</v>
      </c>
      <c r="AE1674">
        <v>2.65359999999998</v>
      </c>
      <c r="AF1674">
        <v>3.2172359946377398</v>
      </c>
      <c r="AG1674">
        <v>-1.1101439008230001</v>
      </c>
      <c r="AH1674">
        <v>49.842931401722197</v>
      </c>
      <c r="AI1674">
        <v>91.273280222992398</v>
      </c>
      <c r="AJ1674">
        <v>86.306824753335107</v>
      </c>
      <c r="AK1674">
        <v>49.958991559503197</v>
      </c>
      <c r="AL1674">
        <v>80.036702850515198</v>
      </c>
      <c r="AM1674">
        <v>93.902869225656502</v>
      </c>
      <c r="AN1674">
        <v>1.00000006687246</v>
      </c>
    </row>
    <row r="1675" spans="1:40" x14ac:dyDescent="0.25">
      <c r="A1675" t="str">
        <f>"20190304155355792"</f>
        <v>20190304155355792</v>
      </c>
      <c r="B1675" t="str">
        <f>"1551686035788299"</f>
        <v>1551686035788299</v>
      </c>
      <c r="C1675" t="s">
        <v>40</v>
      </c>
      <c r="D1675">
        <v>4.34598</v>
      </c>
      <c r="E1675">
        <v>0.54401889999999997</v>
      </c>
      <c r="F1675" t="s">
        <v>63</v>
      </c>
      <c r="G1675">
        <v>-450.70460000000003</v>
      </c>
      <c r="H1675" s="1">
        <v>-1.268546E-6</v>
      </c>
      <c r="I1675">
        <v>287.05770000000001</v>
      </c>
      <c r="J1675">
        <v>-399.42939999999999</v>
      </c>
      <c r="K1675">
        <v>1.1101479999999999</v>
      </c>
      <c r="L1675">
        <v>284.73450000000003</v>
      </c>
      <c r="M1675">
        <v>-0.99984260000000003</v>
      </c>
      <c r="N1675">
        <v>-1.3553559999999999E-2</v>
      </c>
      <c r="O1675">
        <v>-1.145938E-2</v>
      </c>
      <c r="P1675">
        <v>-0.98399049999999999</v>
      </c>
      <c r="Q1675">
        <v>0.15988720000000001</v>
      </c>
      <c r="R1675">
        <v>-7.8734429999999994E-2</v>
      </c>
      <c r="S1675">
        <v>-3.0702509999999998</v>
      </c>
      <c r="T1675">
        <v>-6.5971020000000005E-2</v>
      </c>
      <c r="U1675">
        <v>0.13778689999999999</v>
      </c>
      <c r="V1675">
        <v>-6.7507460000000005E-2</v>
      </c>
      <c r="W1675">
        <v>0.17319860000000001</v>
      </c>
      <c r="X1675">
        <v>0.98257059999999996</v>
      </c>
      <c r="Y1675">
        <v>5.6257359999999999E-2</v>
      </c>
      <c r="Z1675">
        <v>1.076416E-3</v>
      </c>
      <c r="AA1675">
        <v>0.99841570000000002</v>
      </c>
      <c r="AB1675">
        <v>39</v>
      </c>
      <c r="AC1675">
        <v>-51.275199999999998</v>
      </c>
      <c r="AD1675">
        <v>-1.1101492685459999</v>
      </c>
      <c r="AE1675">
        <v>2.3231999999999799</v>
      </c>
      <c r="AF1675">
        <v>2.9093223636082901</v>
      </c>
      <c r="AG1675">
        <v>-1.1101492685459999</v>
      </c>
      <c r="AH1675">
        <v>51.221246591356397</v>
      </c>
      <c r="AI1675">
        <v>91.239614579289906</v>
      </c>
      <c r="AJ1675">
        <v>86.749142343472101</v>
      </c>
      <c r="AK1675">
        <v>51.315813258550101</v>
      </c>
      <c r="AL1675">
        <v>80.026155204501606</v>
      </c>
      <c r="AM1675">
        <v>93.930327003207097</v>
      </c>
      <c r="AN1675">
        <v>0.99999999809098505</v>
      </c>
    </row>
    <row r="1676" spans="1:40" x14ac:dyDescent="0.25">
      <c r="A1676" t="str">
        <f>"20190304155355815"</f>
        <v>20190304155355815</v>
      </c>
      <c r="B1676" t="str">
        <f>"1551686035807822"</f>
        <v>1551686035807822</v>
      </c>
      <c r="C1676" t="s">
        <v>40</v>
      </c>
      <c r="D1676">
        <v>4.3309419999999896</v>
      </c>
      <c r="E1676">
        <v>0.54244630000000005</v>
      </c>
      <c r="F1676" t="s">
        <v>63</v>
      </c>
      <c r="G1676">
        <v>-451.67779999999999</v>
      </c>
      <c r="H1676" s="1">
        <v>-7.4035639999999996E-7</v>
      </c>
      <c r="I1676">
        <v>286.8218</v>
      </c>
      <c r="J1676">
        <v>-399.83870000000002</v>
      </c>
      <c r="K1676">
        <v>1.1101449999999999</v>
      </c>
      <c r="L1676">
        <v>284.7296</v>
      </c>
      <c r="M1676">
        <v>-0.99984050000000002</v>
      </c>
      <c r="N1676">
        <v>-1.3595940000000001E-2</v>
      </c>
      <c r="O1676">
        <v>-1.1581930000000001E-2</v>
      </c>
      <c r="P1676">
        <v>-0.98387559999999996</v>
      </c>
      <c r="Q1676">
        <v>0.16036500000000001</v>
      </c>
      <c r="R1676">
        <v>-7.9194929999999997E-2</v>
      </c>
      <c r="S1676">
        <v>-3.0692439999999999</v>
      </c>
      <c r="T1676">
        <v>-6.5213800000000002E-2</v>
      </c>
      <c r="U1676">
        <v>0.1226196</v>
      </c>
      <c r="V1676">
        <v>-6.7845050000000004E-2</v>
      </c>
      <c r="W1676">
        <v>0.1737184</v>
      </c>
      <c r="X1676">
        <v>0.98245559999999998</v>
      </c>
      <c r="Y1676">
        <v>5.1470950000000001E-2</v>
      </c>
      <c r="Z1676">
        <v>9.852261000000001E-4</v>
      </c>
      <c r="AA1676">
        <v>0.99867399999999995</v>
      </c>
      <c r="AB1676">
        <v>39</v>
      </c>
      <c r="AC1676">
        <v>-51.839099999999902</v>
      </c>
      <c r="AD1676">
        <v>-1.1101457403563999</v>
      </c>
      <c r="AE1676">
        <v>2.0921999999999898</v>
      </c>
      <c r="AF1676">
        <v>2.6912797211525299</v>
      </c>
      <c r="AG1676">
        <v>-1.1101457403563999</v>
      </c>
      <c r="AH1676">
        <v>51.787676601716001</v>
      </c>
      <c r="AI1676">
        <v>91.226377652437804</v>
      </c>
      <c r="AJ1676">
        <v>87.025153612896304</v>
      </c>
      <c r="AK1676">
        <v>51.869440501187597</v>
      </c>
      <c r="AL1676">
        <v>79.995914661400207</v>
      </c>
      <c r="AM1676">
        <v>93.950380534337398</v>
      </c>
      <c r="AN1676">
        <v>1.0000000196397101</v>
      </c>
    </row>
    <row r="1677" spans="1:40" x14ac:dyDescent="0.25">
      <c r="A1677" t="str">
        <f>"20190304155355837"</f>
        <v>20190304155355837</v>
      </c>
      <c r="B1677" t="str">
        <f>"1551686035828315"</f>
        <v>1551686035828315</v>
      </c>
      <c r="C1677" t="s">
        <v>40</v>
      </c>
      <c r="D1677">
        <v>4.3163640000000001</v>
      </c>
      <c r="E1677">
        <v>0.54092259999999903</v>
      </c>
      <c r="F1677" t="s">
        <v>63</v>
      </c>
      <c r="G1677">
        <v>-453.78919999999999</v>
      </c>
      <c r="H1677" s="1">
        <v>3.9087979999999998E-7</v>
      </c>
      <c r="I1677">
        <v>286.64690000000002</v>
      </c>
      <c r="J1677">
        <v>-400.2158</v>
      </c>
      <c r="K1677">
        <v>1.110131</v>
      </c>
      <c r="L1677">
        <v>284.72519999999997</v>
      </c>
      <c r="M1677">
        <v>-0.99983889999999997</v>
      </c>
      <c r="N1677">
        <v>-1.362935E-2</v>
      </c>
      <c r="O1677">
        <v>-1.167586E-2</v>
      </c>
      <c r="P1677">
        <v>-0.98376490000000005</v>
      </c>
      <c r="Q1677">
        <v>0.1606264</v>
      </c>
      <c r="R1677">
        <v>-8.0036179999999998E-2</v>
      </c>
      <c r="S1677">
        <v>-3.0682369999999999</v>
      </c>
      <c r="T1677">
        <v>-6.313539E-2</v>
      </c>
      <c r="U1677">
        <v>0.10903930000000001</v>
      </c>
      <c r="V1677">
        <v>-6.8589079999999997E-2</v>
      </c>
      <c r="W1677">
        <v>0.17401329999999901</v>
      </c>
      <c r="X1677">
        <v>0.98235170000000005</v>
      </c>
      <c r="Y1677">
        <v>4.7165970000000002E-2</v>
      </c>
      <c r="Z1677">
        <v>8.8774030000000003E-4</v>
      </c>
      <c r="AA1677">
        <v>0.99888659999999996</v>
      </c>
      <c r="AB1677">
        <v>39</v>
      </c>
      <c r="AC1677">
        <v>-53.5733999999999</v>
      </c>
      <c r="AD1677">
        <v>-1.1101306091201999</v>
      </c>
      <c r="AE1677">
        <v>1.9217000000000399</v>
      </c>
      <c r="AF1677">
        <v>2.5460507959829801</v>
      </c>
      <c r="AG1677">
        <v>-1.1101306091201999</v>
      </c>
      <c r="AH1677">
        <v>53.524354722213701</v>
      </c>
      <c r="AI1677">
        <v>91.186840502212803</v>
      </c>
      <c r="AJ1677">
        <v>87.276602626561797</v>
      </c>
      <c r="AK1677">
        <v>53.596374066296598</v>
      </c>
      <c r="AL1677">
        <v>79.978756374070898</v>
      </c>
      <c r="AM1677">
        <v>93.993984404190599</v>
      </c>
      <c r="AN1677">
        <v>0.99999997648251204</v>
      </c>
    </row>
    <row r="1678" spans="1:40" x14ac:dyDescent="0.25">
      <c r="A1678" t="str">
        <f>"20190304155355861"</f>
        <v>20190304155355861</v>
      </c>
      <c r="B1678" t="str">
        <f>"1551686035857595"</f>
        <v>1551686035857595</v>
      </c>
      <c r="C1678" t="s">
        <v>40</v>
      </c>
      <c r="D1678">
        <v>4.3341770000000004</v>
      </c>
      <c r="E1678">
        <v>0.53891180000000005</v>
      </c>
      <c r="F1678" t="s">
        <v>63</v>
      </c>
      <c r="G1678">
        <v>-455.31299999999999</v>
      </c>
      <c r="H1678" s="1">
        <v>1.211555E-6</v>
      </c>
      <c r="I1678">
        <v>286.42290000000003</v>
      </c>
      <c r="J1678">
        <v>-400.63990000000001</v>
      </c>
      <c r="K1678">
        <v>1.110114</v>
      </c>
      <c r="L1678">
        <v>284.7201</v>
      </c>
      <c r="M1678">
        <v>-0.99983759999999999</v>
      </c>
      <c r="N1678">
        <v>-1.366156E-2</v>
      </c>
      <c r="O1678">
        <v>-1.175582E-2</v>
      </c>
      <c r="P1678">
        <v>-0.98365409999999998</v>
      </c>
      <c r="Q1678">
        <v>0.16117049999999999</v>
      </c>
      <c r="R1678">
        <v>-8.0305230000000005E-2</v>
      </c>
      <c r="S1678">
        <v>-3.0673219999999999</v>
      </c>
      <c r="T1678">
        <v>-6.180215E-2</v>
      </c>
      <c r="U1678">
        <v>9.4512940000000004E-2</v>
      </c>
      <c r="V1678">
        <v>-6.8772120000000006E-2</v>
      </c>
      <c r="W1678">
        <v>0.17459129999999901</v>
      </c>
      <c r="X1678">
        <v>0.98223640000000001</v>
      </c>
      <c r="Y1678">
        <v>4.2532720000000003E-2</v>
      </c>
      <c r="Z1678">
        <v>7.9523219999999995E-4</v>
      </c>
      <c r="AA1678">
        <v>0.99909479999999995</v>
      </c>
      <c r="AB1678">
        <v>39</v>
      </c>
      <c r="AC1678">
        <v>-54.673099999999998</v>
      </c>
      <c r="AD1678">
        <v>-1.1101127884449999</v>
      </c>
      <c r="AE1678">
        <v>1.7028000000000201</v>
      </c>
      <c r="AF1678">
        <v>2.34450375693332</v>
      </c>
      <c r="AG1678">
        <v>-1.1101127884449999</v>
      </c>
      <c r="AH1678">
        <v>54.626802164009597</v>
      </c>
      <c r="AI1678">
        <v>91.163120416104306</v>
      </c>
      <c r="AJ1678">
        <v>87.542455769180705</v>
      </c>
      <c r="AK1678">
        <v>54.688358568667901</v>
      </c>
      <c r="AL1678">
        <v>79.945125187820196</v>
      </c>
      <c r="AM1678">
        <v>94.005076855884099</v>
      </c>
      <c r="AN1678">
        <v>1.0000000360049699</v>
      </c>
    </row>
    <row r="1679" spans="1:40" x14ac:dyDescent="0.25">
      <c r="A1679" t="str">
        <f>"20190304155355882"</f>
        <v>20190304155355882</v>
      </c>
      <c r="B1679" t="str">
        <f>"1551686035878091"</f>
        <v>1551686035878091</v>
      </c>
      <c r="C1679" t="s">
        <v>40</v>
      </c>
      <c r="D1679">
        <v>4.3521530000000004</v>
      </c>
      <c r="E1679">
        <v>0.53770879999999999</v>
      </c>
      <c r="F1679" t="s">
        <v>63</v>
      </c>
      <c r="G1679">
        <v>-457.19909999999999</v>
      </c>
      <c r="H1679" s="1">
        <v>2.227138E-6</v>
      </c>
      <c r="I1679">
        <v>286.1506</v>
      </c>
      <c r="J1679">
        <v>-401.00459999999998</v>
      </c>
      <c r="K1679">
        <v>1.110096</v>
      </c>
      <c r="L1679">
        <v>284.7158</v>
      </c>
      <c r="M1679">
        <v>-0.99983690000000003</v>
      </c>
      <c r="N1679">
        <v>-1.368479E-2</v>
      </c>
      <c r="O1679">
        <v>-1.180166E-2</v>
      </c>
      <c r="P1679">
        <v>-0.98350499999999996</v>
      </c>
      <c r="Q1679">
        <v>0.1621041</v>
      </c>
      <c r="R1679">
        <v>-8.0253679999999994E-2</v>
      </c>
      <c r="S1679">
        <v>-3.0660400000000001</v>
      </c>
      <c r="T1679">
        <v>-6.0178519999999999E-2</v>
      </c>
      <c r="U1679">
        <v>7.7545169999999997E-2</v>
      </c>
      <c r="V1679">
        <v>-6.8668450000000006E-2</v>
      </c>
      <c r="W1679">
        <v>0.17554900000000001</v>
      </c>
      <c r="X1679">
        <v>0.98207290000000003</v>
      </c>
      <c r="Y1679">
        <v>3.7068459999999998E-2</v>
      </c>
      <c r="Z1679">
        <v>6.8752169999999999E-4</v>
      </c>
      <c r="AA1679">
        <v>0.99931250000000005</v>
      </c>
      <c r="AB1679">
        <v>39</v>
      </c>
      <c r="AC1679">
        <v>-56.194499999999998</v>
      </c>
      <c r="AD1679">
        <v>-1.110093772862</v>
      </c>
      <c r="AE1679">
        <v>1.4347999999999901</v>
      </c>
      <c r="AF1679">
        <v>2.0971325718516698</v>
      </c>
      <c r="AG1679">
        <v>-1.110093772862</v>
      </c>
      <c r="AH1679">
        <v>56.1517527856019</v>
      </c>
      <c r="AI1679">
        <v>91.131774268146501</v>
      </c>
      <c r="AJ1679">
        <v>87.861134878669603</v>
      </c>
      <c r="AK1679">
        <v>56.201864863221601</v>
      </c>
      <c r="AL1679">
        <v>79.889391850866403</v>
      </c>
      <c r="AM1679">
        <v>93.999722658252395</v>
      </c>
      <c r="AN1679">
        <v>0.99999999417040597</v>
      </c>
    </row>
    <row r="1680" spans="1:40" x14ac:dyDescent="0.25">
      <c r="A1680" t="str">
        <f>"20190304155355904"</f>
        <v>20190304155355904</v>
      </c>
      <c r="B1680" t="str">
        <f>"1551686035897611"</f>
        <v>1551686035897611</v>
      </c>
      <c r="C1680" t="s">
        <v>40</v>
      </c>
      <c r="D1680">
        <v>4.3321839999999998</v>
      </c>
      <c r="E1680">
        <v>0.53658809999999901</v>
      </c>
      <c r="F1680" t="s">
        <v>63</v>
      </c>
      <c r="G1680">
        <v>-460.29070000000002</v>
      </c>
      <c r="H1680" s="1">
        <v>-1.44406E-6</v>
      </c>
      <c r="I1680">
        <v>286.03429999999997</v>
      </c>
      <c r="J1680">
        <v>-401.39890000000003</v>
      </c>
      <c r="K1680">
        <v>1.110087</v>
      </c>
      <c r="L1680">
        <v>284.71109999999999</v>
      </c>
      <c r="M1680">
        <v>-0.99983610000000001</v>
      </c>
      <c r="N1680">
        <v>-1.3706319999999999E-2</v>
      </c>
      <c r="O1680">
        <v>-1.183272E-2</v>
      </c>
      <c r="P1680">
        <v>-0.98345519999999997</v>
      </c>
      <c r="Q1680">
        <v>0.16250249999999999</v>
      </c>
      <c r="R1680">
        <v>-8.0058099999999993E-2</v>
      </c>
      <c r="S1680">
        <v>-3.0653380000000001</v>
      </c>
      <c r="T1680">
        <v>-5.739665E-2</v>
      </c>
      <c r="U1680">
        <v>6.8176269999999997E-2</v>
      </c>
      <c r="V1680">
        <v>-6.8434679999999998E-2</v>
      </c>
      <c r="W1680">
        <v>0.17597099999999999</v>
      </c>
      <c r="X1680">
        <v>0.98201369999999999</v>
      </c>
      <c r="Y1680">
        <v>3.4054389999999997E-2</v>
      </c>
      <c r="Z1680">
        <v>6.1156510000000004E-4</v>
      </c>
      <c r="AA1680">
        <v>0.99941979999999997</v>
      </c>
      <c r="AB1680">
        <v>39</v>
      </c>
      <c r="AC1680">
        <v>-58.891799999999897</v>
      </c>
      <c r="AD1680">
        <v>-1.1100884440600001</v>
      </c>
      <c r="AE1680">
        <v>1.3231999999999799</v>
      </c>
      <c r="AF1680">
        <v>2.0193058413846798</v>
      </c>
      <c r="AG1680">
        <v>-1.1100884440600001</v>
      </c>
      <c r="AH1680">
        <v>58.851117992297702</v>
      </c>
      <c r="AI1680">
        <v>91.079987070555802</v>
      </c>
      <c r="AJ1680">
        <v>88.034832067473005</v>
      </c>
      <c r="AK1680">
        <v>58.896213642118298</v>
      </c>
      <c r="AL1680">
        <v>79.864830775713799</v>
      </c>
      <c r="AM1680">
        <v>93.986389782938502</v>
      </c>
      <c r="AN1680">
        <v>1.0000000026276901</v>
      </c>
    </row>
    <row r="1681" spans="1:40" x14ac:dyDescent="0.25">
      <c r="A1681" t="str">
        <f>"20190304155355925"</f>
        <v>20190304155355925</v>
      </c>
      <c r="B1681" t="str">
        <f>"1551686035918110"</f>
        <v>1551686035918110</v>
      </c>
      <c r="C1681" t="s">
        <v>40</v>
      </c>
      <c r="D1681">
        <v>4.3468140000000002</v>
      </c>
      <c r="E1681">
        <v>0.53554080000000004</v>
      </c>
      <c r="F1681" t="s">
        <v>63</v>
      </c>
      <c r="G1681">
        <v>-461.64580000000001</v>
      </c>
      <c r="H1681" s="1">
        <v>-7.1643469999999896E-7</v>
      </c>
      <c r="I1681">
        <v>285.88459999999998</v>
      </c>
      <c r="J1681">
        <v>-401.77960000000002</v>
      </c>
      <c r="K1681">
        <v>1.1100810000000001</v>
      </c>
      <c r="L1681">
        <v>284.70659999999998</v>
      </c>
      <c r="M1681">
        <v>-0.99983569999999999</v>
      </c>
      <c r="N1681">
        <v>-1.3724170000000001E-2</v>
      </c>
      <c r="O1681">
        <v>-1.184928E-2</v>
      </c>
      <c r="P1681">
        <v>-0.98339350000000003</v>
      </c>
      <c r="Q1681">
        <v>0.1633482</v>
      </c>
      <c r="R1681">
        <v>-7.9087379999999999E-2</v>
      </c>
      <c r="S1681">
        <v>-3.0646360000000001</v>
      </c>
      <c r="T1681">
        <v>-5.646789E-2</v>
      </c>
      <c r="U1681">
        <v>5.9692380000000003E-2</v>
      </c>
      <c r="V1681">
        <v>-6.7443020000000006E-2</v>
      </c>
      <c r="W1681">
        <v>0.17683560000000001</v>
      </c>
      <c r="X1681">
        <v>0.98192699999999999</v>
      </c>
      <c r="Y1681">
        <v>3.1311499999999999E-2</v>
      </c>
      <c r="Z1681">
        <v>5.5902529999999999E-4</v>
      </c>
      <c r="AA1681">
        <v>0.99950950000000005</v>
      </c>
      <c r="AB1681">
        <v>39</v>
      </c>
      <c r="AC1681">
        <v>-59.8661999999999</v>
      </c>
      <c r="AD1681">
        <v>-1.1100817164347001</v>
      </c>
      <c r="AE1681">
        <v>1.1779999999999899</v>
      </c>
      <c r="AF1681">
        <v>1.8867069393562499</v>
      </c>
      <c r="AG1681">
        <v>-1.1100817164347001</v>
      </c>
      <c r="AH1681">
        <v>59.827473877397303</v>
      </c>
      <c r="AI1681">
        <v>91.062456815863101</v>
      </c>
      <c r="AJ1681">
        <v>88.193730677992903</v>
      </c>
      <c r="AK1681">
        <v>59.867508508729799</v>
      </c>
      <c r="AL1681">
        <v>79.814503706232102</v>
      </c>
      <c r="AM1681">
        <v>93.929152613779095</v>
      </c>
      <c r="AN1681">
        <v>1.00000001185154</v>
      </c>
    </row>
    <row r="1682" spans="1:40" x14ac:dyDescent="0.25">
      <c r="A1682" t="str">
        <f>"20190304155355948"</f>
        <v>20190304155355948</v>
      </c>
      <c r="B1682" t="str">
        <f>"1551686035937627"</f>
        <v>1551686035937627</v>
      </c>
      <c r="C1682" t="s">
        <v>40</v>
      </c>
      <c r="D1682">
        <v>4.348147</v>
      </c>
      <c r="E1682">
        <v>0.53455600000000003</v>
      </c>
      <c r="F1682" t="s">
        <v>63</v>
      </c>
      <c r="G1682">
        <v>-464.27300000000002</v>
      </c>
      <c r="H1682" s="1">
        <v>6.8493250000000005E-7</v>
      </c>
      <c r="I1682">
        <v>285.81020000000001</v>
      </c>
      <c r="J1682">
        <v>-402.17329999999998</v>
      </c>
      <c r="K1682">
        <v>1.11008</v>
      </c>
      <c r="L1682">
        <v>284.70190000000002</v>
      </c>
      <c r="M1682">
        <v>-0.99983529999999998</v>
      </c>
      <c r="N1682">
        <v>-1.373972E-2</v>
      </c>
      <c r="O1682">
        <v>-1.185612E-2</v>
      </c>
      <c r="P1682">
        <v>-0.98331760000000001</v>
      </c>
      <c r="Q1682">
        <v>0.1641582</v>
      </c>
      <c r="R1682">
        <v>-7.834969E-2</v>
      </c>
      <c r="S1682">
        <v>-3.0640559999999999</v>
      </c>
      <c r="T1682">
        <v>-5.442727E-2</v>
      </c>
      <c r="U1682">
        <v>5.4107669999999997E-2</v>
      </c>
      <c r="V1682">
        <v>-6.6694059999999999E-2</v>
      </c>
      <c r="W1682">
        <v>0.1776616</v>
      </c>
      <c r="X1682">
        <v>0.98182899999999995</v>
      </c>
      <c r="Y1682">
        <v>2.9501880000000001E-2</v>
      </c>
      <c r="Z1682">
        <v>5.1238979999999998E-4</v>
      </c>
      <c r="AA1682">
        <v>0.99956460000000003</v>
      </c>
      <c r="AB1682">
        <v>39</v>
      </c>
      <c r="AC1682">
        <v>-62.099699999999999</v>
      </c>
      <c r="AD1682">
        <v>-1.1100793150674999</v>
      </c>
      <c r="AE1682">
        <v>1.1082999999999801</v>
      </c>
      <c r="AF1682">
        <v>1.8439640592761699</v>
      </c>
      <c r="AG1682">
        <v>-1.1100793150674999</v>
      </c>
      <c r="AH1682">
        <v>62.0623677744613</v>
      </c>
      <c r="AI1682">
        <v>91.024260508358793</v>
      </c>
      <c r="AJ1682">
        <v>88.298158936720199</v>
      </c>
      <c r="AK1682">
        <v>62.099677723077797</v>
      </c>
      <c r="AL1682">
        <v>79.766415475448397</v>
      </c>
      <c r="AM1682">
        <v>93.886040130871095</v>
      </c>
      <c r="AN1682">
        <v>0.99999996349742104</v>
      </c>
    </row>
    <row r="1683" spans="1:40" x14ac:dyDescent="0.25">
      <c r="A1683" t="str">
        <f>"20190304155355970"</f>
        <v>20190304155355970</v>
      </c>
      <c r="B1683" t="str">
        <f>"1551686035967883"</f>
        <v>1551686035967883</v>
      </c>
      <c r="C1683" t="s">
        <v>40</v>
      </c>
      <c r="D1683">
        <v>4.3829599999999997</v>
      </c>
      <c r="E1683">
        <v>0.53339950000000003</v>
      </c>
      <c r="F1683" t="s">
        <v>63</v>
      </c>
      <c r="G1683">
        <v>-466.59750000000003</v>
      </c>
      <c r="H1683" s="1">
        <v>1.926312E-6</v>
      </c>
      <c r="I1683">
        <v>285.70890000000003</v>
      </c>
      <c r="J1683">
        <v>-402.56540000000001</v>
      </c>
      <c r="K1683">
        <v>1.1100779999999999</v>
      </c>
      <c r="L1683">
        <v>284.69729999999998</v>
      </c>
      <c r="M1683">
        <v>-0.99983529999999998</v>
      </c>
      <c r="N1683">
        <v>-1.375266E-2</v>
      </c>
      <c r="O1683">
        <v>-1.185691E-2</v>
      </c>
      <c r="P1683">
        <v>-0.98341319999999999</v>
      </c>
      <c r="Q1683">
        <v>0.16378039999999999</v>
      </c>
      <c r="R1683">
        <v>-7.7940529999999994E-2</v>
      </c>
      <c r="S1683">
        <v>-3.0635680000000001</v>
      </c>
      <c r="T1683">
        <v>-5.278766E-2</v>
      </c>
      <c r="U1683">
        <v>4.788208E-2</v>
      </c>
      <c r="V1683">
        <v>-6.6279909999999997E-2</v>
      </c>
      <c r="W1683">
        <v>0.17729879999999901</v>
      </c>
      <c r="X1683">
        <v>0.98192270000000004</v>
      </c>
      <c r="Y1683">
        <v>2.7475679999999999E-2</v>
      </c>
      <c r="Z1683">
        <v>4.66878E-4</v>
      </c>
      <c r="AA1683">
        <v>0.99962229999999996</v>
      </c>
      <c r="AB1683">
        <v>39</v>
      </c>
      <c r="AC1683">
        <v>-64.0321</v>
      </c>
      <c r="AD1683">
        <v>-1.110076073688</v>
      </c>
      <c r="AE1683">
        <v>1.01160000000004</v>
      </c>
      <c r="AF1683">
        <v>1.7702914779211401</v>
      </c>
      <c r="AG1683">
        <v>-1.110076073688</v>
      </c>
      <c r="AH1683">
        <v>63.996373378577999</v>
      </c>
      <c r="AI1683">
        <v>90.993368522000395</v>
      </c>
      <c r="AJ1683">
        <v>88.415466923982805</v>
      </c>
      <c r="AK1683">
        <v>64.030477168427794</v>
      </c>
      <c r="AL1683">
        <v>79.787538502227605</v>
      </c>
      <c r="AM1683">
        <v>93.861614830154707</v>
      </c>
      <c r="AN1683">
        <v>1.0000000398631601</v>
      </c>
    </row>
    <row r="1684" spans="1:40" x14ac:dyDescent="0.25">
      <c r="A1684" t="str">
        <f>"20190304155355993"</f>
        <v>20190304155355993</v>
      </c>
      <c r="B1684" t="str">
        <f>"1551686035988378"</f>
        <v>1551686035988378</v>
      </c>
      <c r="C1684" t="s">
        <v>40</v>
      </c>
      <c r="D1684">
        <v>4.3610629999999997</v>
      </c>
      <c r="E1684">
        <v>0.53248700000000004</v>
      </c>
      <c r="F1684" t="s">
        <v>63</v>
      </c>
      <c r="G1684">
        <v>-465.88189999999997</v>
      </c>
      <c r="H1684" s="1">
        <v>1.553238E-6</v>
      </c>
      <c r="I1684">
        <v>285.53199999999998</v>
      </c>
      <c r="J1684">
        <v>-402.9599</v>
      </c>
      <c r="K1684">
        <v>1.1100730000000001</v>
      </c>
      <c r="L1684">
        <v>284.69260000000003</v>
      </c>
      <c r="M1684">
        <v>-0.99983500000000003</v>
      </c>
      <c r="N1684">
        <v>-1.376351E-2</v>
      </c>
      <c r="O1684">
        <v>-1.18552E-2</v>
      </c>
      <c r="P1684">
        <v>-0.98348919999999995</v>
      </c>
      <c r="Q1684">
        <v>0.163460299999999</v>
      </c>
      <c r="R1684">
        <v>-7.7652219999999994E-2</v>
      </c>
      <c r="S1684">
        <v>-3.0627439999999999</v>
      </c>
      <c r="T1684">
        <v>-5.3696630000000002E-2</v>
      </c>
      <c r="U1684">
        <v>4.0374760000000003E-2</v>
      </c>
      <c r="V1684">
        <v>-6.5989580000000006E-2</v>
      </c>
      <c r="W1684">
        <v>0.17699189999999901</v>
      </c>
      <c r="X1684">
        <v>0.98199760000000003</v>
      </c>
      <c r="Y1684">
        <v>2.502882E-2</v>
      </c>
      <c r="Z1684">
        <v>4.3631650000000002E-4</v>
      </c>
      <c r="AA1684">
        <v>0.99968670000000004</v>
      </c>
      <c r="AB1684">
        <v>39</v>
      </c>
      <c r="AC1684">
        <v>-62.921999999999898</v>
      </c>
      <c r="AD1684">
        <v>-1.1100714467620001</v>
      </c>
      <c r="AE1684">
        <v>0.83939999999995496</v>
      </c>
      <c r="AF1684">
        <v>1.5848713667363199</v>
      </c>
      <c r="AG1684">
        <v>-1.1100714467620001</v>
      </c>
      <c r="AH1684">
        <v>62.888055239317801</v>
      </c>
      <c r="AI1684">
        <v>91.010933199888498</v>
      </c>
      <c r="AJ1684">
        <v>88.556367767872203</v>
      </c>
      <c r="AK1684">
        <v>62.917815979653199</v>
      </c>
      <c r="AL1684">
        <v>79.805404957186497</v>
      </c>
      <c r="AM1684">
        <v>93.844458031363004</v>
      </c>
      <c r="AN1684">
        <v>1.0000000218699701</v>
      </c>
    </row>
    <row r="1685" spans="1:40" x14ac:dyDescent="0.25">
      <c r="A1685" t="str">
        <f>"20190304155356016"</f>
        <v>20190304155356016</v>
      </c>
      <c r="B1685" t="str">
        <f>"1551686036007899"</f>
        <v>1551686036007899</v>
      </c>
      <c r="C1685" t="s">
        <v>40</v>
      </c>
      <c r="D1685">
        <v>4.4268199999999904</v>
      </c>
      <c r="E1685">
        <v>0.53163450000000001</v>
      </c>
      <c r="F1685" t="s">
        <v>63</v>
      </c>
      <c r="G1685">
        <v>-464.43380000000002</v>
      </c>
      <c r="H1685" s="1">
        <v>7.892014E-7</v>
      </c>
      <c r="I1685">
        <v>285.3818</v>
      </c>
      <c r="J1685">
        <v>-403.35219999999998</v>
      </c>
      <c r="K1685">
        <v>1.11007099999999</v>
      </c>
      <c r="L1685">
        <v>284.68790000000001</v>
      </c>
      <c r="M1685">
        <v>-0.99983489999999997</v>
      </c>
      <c r="N1685">
        <v>-1.37725E-2</v>
      </c>
      <c r="O1685">
        <v>-1.1853499999999999E-2</v>
      </c>
      <c r="P1685">
        <v>-0.98350380000000004</v>
      </c>
      <c r="Q1685">
        <v>0.16342110000000001</v>
      </c>
      <c r="R1685">
        <v>-7.7550640000000004E-2</v>
      </c>
      <c r="S1685">
        <v>-3.0622560000000001</v>
      </c>
      <c r="T1685">
        <v>-5.5297020000000002E-2</v>
      </c>
      <c r="U1685">
        <v>3.433228E-2</v>
      </c>
      <c r="V1685">
        <v>-6.5886920000000002E-2</v>
      </c>
      <c r="W1685">
        <v>0.17696229999999999</v>
      </c>
      <c r="X1685">
        <v>0.98200980000000004</v>
      </c>
      <c r="Y1685">
        <v>2.3057089999999999E-2</v>
      </c>
      <c r="Z1685">
        <v>4.1773629999999998E-4</v>
      </c>
      <c r="AA1685">
        <v>0.99973400000000001</v>
      </c>
      <c r="AB1685">
        <v>39</v>
      </c>
      <c r="AC1685">
        <v>-61.081600000000002</v>
      </c>
      <c r="AD1685">
        <v>-1.11007021079859</v>
      </c>
      <c r="AE1685">
        <v>0.69389999999998497</v>
      </c>
      <c r="AF1685">
        <v>1.4174825551405399</v>
      </c>
      <c r="AG1685">
        <v>-1.11007021079859</v>
      </c>
      <c r="AH1685">
        <v>61.048921427798</v>
      </c>
      <c r="AI1685">
        <v>91.0414303229404</v>
      </c>
      <c r="AJ1685">
        <v>88.669899877846902</v>
      </c>
      <c r="AK1685">
        <v>61.075464142030803</v>
      </c>
      <c r="AL1685">
        <v>79.807127831062104</v>
      </c>
      <c r="AM1685">
        <v>93.838447555821901</v>
      </c>
      <c r="AN1685">
        <v>0.99999999457220801</v>
      </c>
    </row>
    <row r="1686" spans="1:40" x14ac:dyDescent="0.25">
      <c r="A1686" t="str">
        <f>"20190304155356039"</f>
        <v>20190304155356039</v>
      </c>
      <c r="B1686" t="str">
        <f>"1551686036028395"</f>
        <v>1551686036028395</v>
      </c>
      <c r="C1686" t="s">
        <v>40</v>
      </c>
      <c r="D1686">
        <v>4.4381769999999996</v>
      </c>
      <c r="E1686">
        <v>0.53093179999999995</v>
      </c>
      <c r="F1686" t="s">
        <v>63</v>
      </c>
      <c r="G1686">
        <v>-463.95030000000003</v>
      </c>
      <c r="H1686" s="1">
        <v>5.3833649999999899E-7</v>
      </c>
      <c r="I1686">
        <v>285.23509999999999</v>
      </c>
      <c r="J1686">
        <v>-403.75689999999997</v>
      </c>
      <c r="K1686">
        <v>1.110055</v>
      </c>
      <c r="L1686">
        <v>284.68310000000002</v>
      </c>
      <c r="M1686">
        <v>-0.99983489999999997</v>
      </c>
      <c r="N1686">
        <v>-1.378016E-2</v>
      </c>
      <c r="O1686">
        <v>-1.185288E-2</v>
      </c>
      <c r="P1686">
        <v>-0.98354569999999997</v>
      </c>
      <c r="Q1686">
        <v>0.163209299999999</v>
      </c>
      <c r="R1686">
        <v>-7.74643E-2</v>
      </c>
      <c r="S1686">
        <v>-3.0618289999999999</v>
      </c>
      <c r="T1686">
        <v>-5.6088329999999999E-2</v>
      </c>
      <c r="U1686">
        <v>2.7648929999999999E-2</v>
      </c>
      <c r="V1686">
        <v>-6.5798980000000007E-2</v>
      </c>
      <c r="W1686">
        <v>0.17675959999999999</v>
      </c>
      <c r="X1686">
        <v>0.98205220000000004</v>
      </c>
      <c r="Y1686">
        <v>2.0876459999999999E-2</v>
      </c>
      <c r="Z1686">
        <v>3.88833E-4</v>
      </c>
      <c r="AA1686">
        <v>0.99978199999999995</v>
      </c>
      <c r="AB1686">
        <v>39</v>
      </c>
      <c r="AC1686">
        <v>-60.193399999999997</v>
      </c>
      <c r="AD1686">
        <v>-1.1100544616635</v>
      </c>
      <c r="AE1686">
        <v>0.55199999999996396</v>
      </c>
      <c r="AF1686">
        <v>1.26506384181635</v>
      </c>
      <c r="AG1686">
        <v>-1.1100544616635</v>
      </c>
      <c r="AH1686">
        <v>60.162168642213899</v>
      </c>
      <c r="AI1686">
        <v>91.056813103181696</v>
      </c>
      <c r="AJ1686">
        <v>88.795386860943907</v>
      </c>
      <c r="AK1686">
        <v>60.185705472029802</v>
      </c>
      <c r="AL1686">
        <v>79.818927681773005</v>
      </c>
      <c r="AM1686">
        <v>93.833174611682296</v>
      </c>
      <c r="AN1686">
        <v>0.99999999274301998</v>
      </c>
    </row>
    <row r="1687" spans="1:40" x14ac:dyDescent="0.25">
      <c r="A1687" t="str">
        <f>"20190304155356060"</f>
        <v>20190304155356060</v>
      </c>
      <c r="B1687" t="str">
        <f>"1551686036057674"</f>
        <v>1551686036057674</v>
      </c>
      <c r="C1687" t="s">
        <v>40</v>
      </c>
      <c r="D1687">
        <v>4.4510350000000001</v>
      </c>
      <c r="E1687">
        <v>0.52977050000000003</v>
      </c>
      <c r="F1687" t="s">
        <v>63</v>
      </c>
      <c r="G1687">
        <v>-463.29759999999999</v>
      </c>
      <c r="H1687" s="1">
        <v>1.9616489999999999E-7</v>
      </c>
      <c r="I1687">
        <v>285.11689999999999</v>
      </c>
      <c r="J1687">
        <v>-404.1388</v>
      </c>
      <c r="K1687">
        <v>1.110053</v>
      </c>
      <c r="L1687">
        <v>284.67860000000002</v>
      </c>
      <c r="M1687">
        <v>-0.99983469999999997</v>
      </c>
      <c r="N1687">
        <v>-1.378601E-2</v>
      </c>
      <c r="O1687">
        <v>-1.1853219999999999E-2</v>
      </c>
      <c r="P1687">
        <v>-0.98363319999999999</v>
      </c>
      <c r="Q1687">
        <v>0.16253999999999999</v>
      </c>
      <c r="R1687">
        <v>-7.7758949999999993E-2</v>
      </c>
      <c r="S1687">
        <v>-3.061401</v>
      </c>
      <c r="T1687">
        <v>-5.7075620000000001E-2</v>
      </c>
      <c r="U1687">
        <v>2.2308350000000001E-2</v>
      </c>
      <c r="V1687">
        <v>-6.6090720000000006E-2</v>
      </c>
      <c r="W1687">
        <v>0.176097799999999</v>
      </c>
      <c r="X1687">
        <v>0.98215149999999996</v>
      </c>
      <c r="Y1687">
        <v>1.9134379999999999E-2</v>
      </c>
      <c r="Z1687">
        <v>3.6782239999999999E-4</v>
      </c>
      <c r="AA1687">
        <v>0.99981679999999995</v>
      </c>
      <c r="AB1687">
        <v>39</v>
      </c>
      <c r="AC1687">
        <v>-59.1587999999999</v>
      </c>
      <c r="AD1687">
        <v>-1.1100528038351001</v>
      </c>
      <c r="AE1687">
        <v>0.43829999999996899</v>
      </c>
      <c r="AF1687">
        <v>1.1391570665310899</v>
      </c>
      <c r="AG1687">
        <v>-1.1100528038351001</v>
      </c>
      <c r="AH1687">
        <v>59.128630221828899</v>
      </c>
      <c r="AI1687">
        <v>91.075317896976799</v>
      </c>
      <c r="AJ1687">
        <v>88.896290707110595</v>
      </c>
      <c r="AK1687">
        <v>59.150019509373898</v>
      </c>
      <c r="AL1687">
        <v>79.857450327782402</v>
      </c>
      <c r="AM1687">
        <v>93.849731071828799</v>
      </c>
      <c r="AN1687">
        <v>0.99999999369360404</v>
      </c>
    </row>
    <row r="1688" spans="1:40" x14ac:dyDescent="0.25">
      <c r="A1688" t="str">
        <f>"20190304155356083"</f>
        <v>20190304155356083</v>
      </c>
      <c r="B1688" t="str">
        <f>"1551686036078171"</f>
        <v>1551686036078171</v>
      </c>
      <c r="C1688" t="s">
        <v>40</v>
      </c>
      <c r="D1688">
        <v>4.4989100000000004</v>
      </c>
      <c r="E1688">
        <v>0.52950540000000001</v>
      </c>
      <c r="F1688" t="s">
        <v>63</v>
      </c>
      <c r="G1688">
        <v>-460.30360000000002</v>
      </c>
      <c r="H1688" s="1">
        <v>-1.38758199999999E-6</v>
      </c>
      <c r="I1688">
        <v>284.89920000000001</v>
      </c>
      <c r="J1688">
        <v>-404.52379999999999</v>
      </c>
      <c r="K1688">
        <v>1.1100559999999999</v>
      </c>
      <c r="L1688">
        <v>284.67399999999998</v>
      </c>
      <c r="M1688">
        <v>-0.99983469999999997</v>
      </c>
      <c r="N1688">
        <v>-1.379069E-2</v>
      </c>
      <c r="O1688">
        <v>-1.185405E-2</v>
      </c>
      <c r="P1688">
        <v>-0.98364620000000003</v>
      </c>
      <c r="Q1688">
        <v>0.16246540000000001</v>
      </c>
      <c r="R1688">
        <v>-7.7752989999999994E-2</v>
      </c>
      <c r="S1688">
        <v>-3.0608219999999999</v>
      </c>
      <c r="T1688">
        <v>-6.0494779999999998E-2</v>
      </c>
      <c r="U1688">
        <v>1.202393E-2</v>
      </c>
      <c r="V1688">
        <v>-6.6082660000000001E-2</v>
      </c>
      <c r="W1688">
        <v>0.1760283</v>
      </c>
      <c r="X1688">
        <v>0.9821645</v>
      </c>
      <c r="Y1688">
        <v>1.5777670000000001E-2</v>
      </c>
      <c r="Z1688">
        <v>3.354969E-4</v>
      </c>
      <c r="AA1688">
        <v>0.99987550000000003</v>
      </c>
      <c r="AB1688">
        <v>39</v>
      </c>
      <c r="AC1688">
        <v>-55.779800000000002</v>
      </c>
      <c r="AD1688">
        <v>-1.1100573875819999</v>
      </c>
      <c r="AE1688">
        <v>0.22519999999997201</v>
      </c>
      <c r="AF1688">
        <v>0.88611262605044006</v>
      </c>
      <c r="AG1688">
        <v>-1.1100573875819999</v>
      </c>
      <c r="AH1688">
        <v>55.751131072983</v>
      </c>
      <c r="AI1688">
        <v>91.140518055491299</v>
      </c>
      <c r="AJ1688">
        <v>89.089413289488903</v>
      </c>
      <c r="AK1688">
        <v>55.769221250674597</v>
      </c>
      <c r="AL1688">
        <v>79.861495565632495</v>
      </c>
      <c r="AM1688">
        <v>93.849212198868898</v>
      </c>
      <c r="AN1688">
        <v>0.99999999270690698</v>
      </c>
    </row>
    <row r="1689" spans="1:40" x14ac:dyDescent="0.25">
      <c r="A1689" t="str">
        <f>"20190304155356105"</f>
        <v>20190304155356105</v>
      </c>
      <c r="B1689" t="str">
        <f>"1551686036097691"</f>
        <v>1551686036097691</v>
      </c>
      <c r="C1689" t="s">
        <v>40</v>
      </c>
      <c r="D1689">
        <v>4.5357810000000001</v>
      </c>
      <c r="E1689">
        <v>0.48544330000000002</v>
      </c>
      <c r="F1689" t="s">
        <v>63</v>
      </c>
      <c r="G1689">
        <v>-460.60090000000002</v>
      </c>
      <c r="H1689" s="1">
        <v>-1.22758E-6</v>
      </c>
      <c r="I1689">
        <v>284.85739999999998</v>
      </c>
      <c r="J1689">
        <v>-404.92110000000002</v>
      </c>
      <c r="K1689">
        <v>1.1100620000000001</v>
      </c>
      <c r="L1689">
        <v>284.66930000000002</v>
      </c>
      <c r="M1689">
        <v>-0.99983469999999997</v>
      </c>
      <c r="N1689">
        <v>-1.379447E-2</v>
      </c>
      <c r="O1689">
        <v>-1.185488E-2</v>
      </c>
      <c r="P1689">
        <v>-0.98361069999999995</v>
      </c>
      <c r="Q1689">
        <v>0.1626985</v>
      </c>
      <c r="R1689">
        <v>-7.7714980000000003E-2</v>
      </c>
      <c r="S1689">
        <v>-3.0606990000000001</v>
      </c>
      <c r="T1689">
        <v>-6.0587170000000003E-2</v>
      </c>
      <c r="U1689">
        <v>1.0009769999999999E-2</v>
      </c>
      <c r="V1689">
        <v>-6.6043290000000004E-2</v>
      </c>
      <c r="W1689">
        <v>0.17626439999999999</v>
      </c>
      <c r="X1689">
        <v>0.98212480000000002</v>
      </c>
      <c r="Y1689">
        <v>1.512087E-2</v>
      </c>
      <c r="Z1689">
        <v>3.2506700000000001E-4</v>
      </c>
      <c r="AA1689">
        <v>0.99988560000000004</v>
      </c>
      <c r="AB1689">
        <v>39</v>
      </c>
      <c r="AC1689">
        <v>-55.6798</v>
      </c>
      <c r="AD1689">
        <v>-1.11006322758</v>
      </c>
      <c r="AE1689">
        <v>0.18809999999996299</v>
      </c>
      <c r="AF1689">
        <v>0.84788985087408197</v>
      </c>
      <c r="AG1689">
        <v>-1.11006322758</v>
      </c>
      <c r="AH1689">
        <v>55.651537087834598</v>
      </c>
      <c r="AI1689">
        <v>91.142576297968503</v>
      </c>
      <c r="AJ1689">
        <v>89.1271265076807</v>
      </c>
      <c r="AK1689">
        <v>55.669064459599802</v>
      </c>
      <c r="AL1689">
        <v>79.847753115582194</v>
      </c>
      <c r="AM1689">
        <v>93.847080880996799</v>
      </c>
      <c r="AN1689">
        <v>0.99999998881821195</v>
      </c>
    </row>
    <row r="1690" spans="1:40" x14ac:dyDescent="0.25">
      <c r="A1690" t="str">
        <f>"20190304155356127"</f>
        <v>20190304155356127</v>
      </c>
      <c r="B1690" t="str">
        <f>"1551686036118190"</f>
        <v>1551686036118190</v>
      </c>
      <c r="C1690" t="s">
        <v>40</v>
      </c>
      <c r="D1690">
        <v>4.4868220000000001</v>
      </c>
      <c r="E1690">
        <v>0.48321229999999998</v>
      </c>
      <c r="F1690" t="s">
        <v>65</v>
      </c>
      <c r="G1690">
        <v>-437.65789999999998</v>
      </c>
      <c r="H1690" s="1">
        <v>5.9279049999999898E-6</v>
      </c>
      <c r="I1690">
        <v>281.01339999999999</v>
      </c>
      <c r="J1690">
        <v>-405.30930000000001</v>
      </c>
      <c r="K1690">
        <v>1.1100639999999999</v>
      </c>
      <c r="L1690">
        <v>284.66460000000001</v>
      </c>
      <c r="M1690">
        <v>-0.99983469999999997</v>
      </c>
      <c r="N1690">
        <v>-1.37972999999999E-2</v>
      </c>
      <c r="O1690">
        <v>-1.185547E-2</v>
      </c>
      <c r="P1690">
        <v>-0.9835351</v>
      </c>
      <c r="Q1690">
        <v>0.1632845</v>
      </c>
      <c r="R1690">
        <v>-7.7441239999999995E-2</v>
      </c>
      <c r="S1690">
        <v>-3.0401919999999998</v>
      </c>
      <c r="T1690">
        <v>-0.1030886</v>
      </c>
      <c r="U1690">
        <v>-0.33950809999999998</v>
      </c>
      <c r="V1690">
        <v>-6.5769279999999999E-2</v>
      </c>
      <c r="W1690">
        <v>0.17685300000000001</v>
      </c>
      <c r="X1690">
        <v>0.98203739999999995</v>
      </c>
      <c r="Y1690">
        <v>-9.9115170000000002E-2</v>
      </c>
      <c r="Z1690">
        <v>-2.1234380000000001E-3</v>
      </c>
      <c r="AA1690">
        <v>0.99507369999999995</v>
      </c>
      <c r="AB1690">
        <v>39</v>
      </c>
      <c r="AC1690">
        <v>-32.348599999999898</v>
      </c>
      <c r="AD1690">
        <v>-1.110058072095</v>
      </c>
      <c r="AE1690">
        <v>-3.65120000000001</v>
      </c>
      <c r="AF1690">
        <v>-3.2636043280333702</v>
      </c>
      <c r="AG1690">
        <v>-1.110058072095</v>
      </c>
      <c r="AH1690">
        <v>32.351999999602803</v>
      </c>
      <c r="AI1690">
        <v>91.955239514522802</v>
      </c>
      <c r="AJ1690">
        <v>95.760395137572402</v>
      </c>
      <c r="AK1690">
        <v>32.535138636675299</v>
      </c>
      <c r="AL1690">
        <v>79.813490862439906</v>
      </c>
      <c r="AM1690">
        <v>93.831507138609894</v>
      </c>
      <c r="AN1690">
        <v>1.00000001839973</v>
      </c>
    </row>
    <row r="1691" spans="1:40" x14ac:dyDescent="0.25">
      <c r="A1691" t="str">
        <f>"20190304155356149"</f>
        <v>20190304155356149</v>
      </c>
      <c r="B1691" t="str">
        <f>"1551686036137707"</f>
        <v>1551686036137707</v>
      </c>
      <c r="C1691" t="s">
        <v>40</v>
      </c>
      <c r="D1691">
        <v>4.487298</v>
      </c>
      <c r="E1691">
        <v>0.48215459999999899</v>
      </c>
      <c r="F1691" t="s">
        <v>65</v>
      </c>
      <c r="G1691">
        <v>-437.35550000000001</v>
      </c>
      <c r="H1691" s="1">
        <v>5.8029949999999998E-6</v>
      </c>
      <c r="I1691">
        <v>280.90870000000001</v>
      </c>
      <c r="J1691">
        <v>-405.68779999999998</v>
      </c>
      <c r="K1691">
        <v>1.1100669999999999</v>
      </c>
      <c r="L1691">
        <v>284.66019999999997</v>
      </c>
      <c r="M1691">
        <v>-0.99983460000000002</v>
      </c>
      <c r="N1691">
        <v>-1.379937E-2</v>
      </c>
      <c r="O1691">
        <v>-1.1855829999999999E-2</v>
      </c>
      <c r="P1691">
        <v>-0.9835237</v>
      </c>
      <c r="Q1691">
        <v>0.163459299999999</v>
      </c>
      <c r="R1691">
        <v>-7.7216960000000001E-2</v>
      </c>
      <c r="S1691">
        <v>-3.0396730000000001</v>
      </c>
      <c r="T1691">
        <v>-0.105292</v>
      </c>
      <c r="U1691">
        <v>-0.35626219999999997</v>
      </c>
      <c r="V1691">
        <v>-6.5544270000000002E-2</v>
      </c>
      <c r="W1691">
        <v>0.177029399999999</v>
      </c>
      <c r="X1691">
        <v>0.98202060000000002</v>
      </c>
      <c r="Y1691">
        <v>-0.1045386</v>
      </c>
      <c r="Z1691">
        <v>-2.281913E-3</v>
      </c>
      <c r="AA1691">
        <v>0.99451820000000002</v>
      </c>
      <c r="AB1691">
        <v>39</v>
      </c>
      <c r="AC1691">
        <v>-31.6677</v>
      </c>
      <c r="AD1691">
        <v>-1.1100611970049901</v>
      </c>
      <c r="AE1691">
        <v>-3.7514999999999601</v>
      </c>
      <c r="AF1691">
        <v>-3.3716681289932402</v>
      </c>
      <c r="AG1691">
        <v>-1.1100611970049901</v>
      </c>
      <c r="AH1691">
        <v>31.6715776376329</v>
      </c>
      <c r="AI1691">
        <v>91.996075609739293</v>
      </c>
      <c r="AJ1691">
        <v>96.076662521185497</v>
      </c>
      <c r="AK1691">
        <v>31.869879383044001</v>
      </c>
      <c r="AL1691">
        <v>79.803221247851695</v>
      </c>
      <c r="AM1691">
        <v>93.818502754583804</v>
      </c>
      <c r="AN1691">
        <v>0.99999995930927499</v>
      </c>
    </row>
    <row r="1692" spans="1:40" x14ac:dyDescent="0.25">
      <c r="A1692" t="str">
        <f>"20190304155356172"</f>
        <v>20190304155356172</v>
      </c>
      <c r="B1692" t="str">
        <f>"1551686036167964"</f>
        <v>1551686036167964</v>
      </c>
      <c r="C1692" t="s">
        <v>40</v>
      </c>
      <c r="D1692">
        <v>4.481941</v>
      </c>
      <c r="E1692">
        <v>0.48122749999999997</v>
      </c>
      <c r="F1692" t="s">
        <v>65</v>
      </c>
      <c r="G1692">
        <v>-436.72199999999998</v>
      </c>
      <c r="H1692" s="1">
        <v>5.5189410000000003E-6</v>
      </c>
      <c r="I1692">
        <v>280.94409999999999</v>
      </c>
      <c r="J1692">
        <v>-406.09309999999999</v>
      </c>
      <c r="K1692">
        <v>1.1100669999999999</v>
      </c>
      <c r="L1692">
        <v>284.65539999999999</v>
      </c>
      <c r="M1692">
        <v>-0.99983460000000002</v>
      </c>
      <c r="N1692">
        <v>-1.380088E-2</v>
      </c>
      <c r="O1692">
        <v>-1.1855950000000001E-2</v>
      </c>
      <c r="P1692">
        <v>-0.9834077</v>
      </c>
      <c r="Q1692">
        <v>0.16415669999999999</v>
      </c>
      <c r="R1692">
        <v>-7.7216720000000003E-2</v>
      </c>
      <c r="S1692">
        <v>-3.0397029999999998</v>
      </c>
      <c r="T1692">
        <v>-0.10872709999999999</v>
      </c>
      <c r="U1692">
        <v>-0.36398320000000001</v>
      </c>
      <c r="V1692">
        <v>-6.554575E-2</v>
      </c>
      <c r="W1692">
        <v>0.17772679999999999</v>
      </c>
      <c r="X1692">
        <v>0.98189459999999995</v>
      </c>
      <c r="Y1692">
        <v>-0.1070213</v>
      </c>
      <c r="Z1692">
        <v>-2.3887869999999999E-3</v>
      </c>
      <c r="AA1692">
        <v>0.99425390000000002</v>
      </c>
      <c r="AB1692">
        <v>39</v>
      </c>
      <c r="AC1692">
        <v>-30.628899999999899</v>
      </c>
      <c r="AD1692">
        <v>-1.1100614810589999</v>
      </c>
      <c r="AE1692">
        <v>-3.7112999999999898</v>
      </c>
      <c r="AF1692">
        <v>-3.3435416501601698</v>
      </c>
      <c r="AG1692">
        <v>-1.1100614810589999</v>
      </c>
      <c r="AH1692">
        <v>30.631100148142298</v>
      </c>
      <c r="AI1692">
        <v>92.063228411645895</v>
      </c>
      <c r="AJ1692">
        <v>96.229465224455296</v>
      </c>
      <c r="AK1692">
        <v>30.833031046973101</v>
      </c>
      <c r="AL1692">
        <v>79.762620099158298</v>
      </c>
      <c r="AM1692">
        <v>93.819077285943393</v>
      </c>
      <c r="AN1692">
        <v>1.0000000331452299</v>
      </c>
    </row>
    <row r="1693" spans="1:40" x14ac:dyDescent="0.25">
      <c r="A1693" t="str">
        <f>"20190304155356194"</f>
        <v>20190304155356194</v>
      </c>
      <c r="B1693" t="str">
        <f>"1551686036188459"</f>
        <v>1551686036188459</v>
      </c>
      <c r="C1693" t="s">
        <v>40</v>
      </c>
      <c r="D1693">
        <v>4.5251140000000003</v>
      </c>
      <c r="E1693">
        <v>0.48071469999999999</v>
      </c>
      <c r="F1693" t="s">
        <v>65</v>
      </c>
      <c r="G1693">
        <v>-436.71899999999999</v>
      </c>
      <c r="H1693" s="1">
        <v>5.5201419999999998E-6</v>
      </c>
      <c r="I1693">
        <v>280.91539999999998</v>
      </c>
      <c r="J1693">
        <v>-406.46660000000003</v>
      </c>
      <c r="K1693">
        <v>1.1100719999999999</v>
      </c>
      <c r="L1693">
        <v>284.65089999999998</v>
      </c>
      <c r="M1693">
        <v>-0.99983460000000002</v>
      </c>
      <c r="N1693">
        <v>-1.380171E-2</v>
      </c>
      <c r="O1693">
        <v>-1.18551E-2</v>
      </c>
      <c r="P1693">
        <v>-0.98330410000000001</v>
      </c>
      <c r="Q1693">
        <v>0.164773799999999</v>
      </c>
      <c r="R1693">
        <v>-7.7220070000000002E-2</v>
      </c>
      <c r="S1693">
        <v>-3.039825</v>
      </c>
      <c r="T1693">
        <v>-0.1101811</v>
      </c>
      <c r="U1693">
        <v>-0.37121579999999998</v>
      </c>
      <c r="V1693">
        <v>-6.5550020000000001E-2</v>
      </c>
      <c r="W1693">
        <v>0.17834330000000001</v>
      </c>
      <c r="X1693">
        <v>0.9817825</v>
      </c>
      <c r="Y1693">
        <v>-0.1093446</v>
      </c>
      <c r="Z1693">
        <v>-2.466546E-3</v>
      </c>
      <c r="AA1693">
        <v>0.99400089999999997</v>
      </c>
      <c r="AB1693">
        <v>39</v>
      </c>
      <c r="AC1693">
        <v>-30.252399999999898</v>
      </c>
      <c r="AD1693">
        <v>-1.110066479858</v>
      </c>
      <c r="AE1693">
        <v>-3.7355</v>
      </c>
      <c r="AF1693">
        <v>-3.3720860598493601</v>
      </c>
      <c r="AG1693">
        <v>-1.110066479858</v>
      </c>
      <c r="AH1693">
        <v>30.2544393498675</v>
      </c>
      <c r="AI1693">
        <v>92.088378295442695</v>
      </c>
      <c r="AJ1693">
        <v>96.359799117172898</v>
      </c>
      <c r="AK1693">
        <v>30.462014253157101</v>
      </c>
      <c r="AL1693">
        <v>79.726723511396202</v>
      </c>
      <c r="AM1693">
        <v>93.819760144610299</v>
      </c>
      <c r="AN1693">
        <v>1.00000000754157</v>
      </c>
    </row>
    <row r="1694" spans="1:40" x14ac:dyDescent="0.25">
      <c r="A1694" t="str">
        <f>"20190304155356216"</f>
        <v>20190304155356216</v>
      </c>
      <c r="B1694" t="str">
        <f>"1551686036207979"</f>
        <v>1551686036207979</v>
      </c>
      <c r="C1694" t="s">
        <v>40</v>
      </c>
      <c r="D1694">
        <v>4.5178880000000001</v>
      </c>
      <c r="E1694">
        <v>0.48035369999999999</v>
      </c>
      <c r="F1694" t="s">
        <v>65</v>
      </c>
      <c r="G1694">
        <v>-437.36509999999998</v>
      </c>
      <c r="H1694" s="1">
        <v>5.8137069999999999E-6</v>
      </c>
      <c r="I1694">
        <v>280.83449999999999</v>
      </c>
      <c r="J1694">
        <v>-406.84960000000001</v>
      </c>
      <c r="K1694">
        <v>1.1100719999999999</v>
      </c>
      <c r="L1694">
        <v>284.64640000000003</v>
      </c>
      <c r="M1694">
        <v>-0.99983460000000002</v>
      </c>
      <c r="N1694">
        <v>-1.3802089999999999E-2</v>
      </c>
      <c r="O1694">
        <v>-1.1849449999999999E-2</v>
      </c>
      <c r="P1694">
        <v>-0.98319540000000005</v>
      </c>
      <c r="Q1694">
        <v>0.16545299999999999</v>
      </c>
      <c r="R1694">
        <v>-7.7151520000000001E-2</v>
      </c>
      <c r="S1694">
        <v>-3.0397639999999999</v>
      </c>
      <c r="T1694">
        <v>-0.1092075</v>
      </c>
      <c r="U1694">
        <v>-0.37545780000000001</v>
      </c>
      <c r="V1694">
        <v>-6.5487500000000004E-2</v>
      </c>
      <c r="W1694">
        <v>0.17902170000000001</v>
      </c>
      <c r="X1694">
        <v>0.98166319999999996</v>
      </c>
      <c r="Y1694">
        <v>-0.1107192</v>
      </c>
      <c r="Z1694">
        <v>-2.4871110000000002E-3</v>
      </c>
      <c r="AA1694">
        <v>0.99384859999999997</v>
      </c>
      <c r="AB1694">
        <v>39</v>
      </c>
      <c r="AC1694">
        <v>-30.5154999999999</v>
      </c>
      <c r="AD1694">
        <v>-1.1100661862929999</v>
      </c>
      <c r="AE1694">
        <v>-3.8119000000000298</v>
      </c>
      <c r="AF1694">
        <v>-3.44551663032281</v>
      </c>
      <c r="AG1694">
        <v>-1.1100661862929999</v>
      </c>
      <c r="AH1694">
        <v>30.518765563148801</v>
      </c>
      <c r="AI1694">
        <v>92.069975767064903</v>
      </c>
      <c r="AJ1694">
        <v>96.441321201394402</v>
      </c>
      <c r="AK1694">
        <v>30.732700553095299</v>
      </c>
      <c r="AL1694">
        <v>79.687218313459894</v>
      </c>
      <c r="AM1694">
        <v>93.816590118550494</v>
      </c>
      <c r="AN1694">
        <v>1.0000000099806801</v>
      </c>
    </row>
    <row r="1695" spans="1:40" x14ac:dyDescent="0.25">
      <c r="A1695" t="str">
        <f>"20190304155356239"</f>
        <v>20190304155356239</v>
      </c>
      <c r="B1695" t="str">
        <f>"1551686036228475"</f>
        <v>1551686036228475</v>
      </c>
      <c r="C1695" t="s">
        <v>40</v>
      </c>
      <c r="D1695">
        <v>4.5098399999999996</v>
      </c>
      <c r="E1695">
        <v>0.48002339999999999</v>
      </c>
      <c r="F1695" t="s">
        <v>65</v>
      </c>
      <c r="G1695">
        <v>-438.08080000000001</v>
      </c>
      <c r="H1695" s="1">
        <v>6.1375320000000001E-6</v>
      </c>
      <c r="I1695">
        <v>280.76100000000002</v>
      </c>
      <c r="J1695">
        <v>-407.24779999999998</v>
      </c>
      <c r="K1695">
        <v>1.1100650000000001</v>
      </c>
      <c r="L1695">
        <v>284.64170000000001</v>
      </c>
      <c r="M1695">
        <v>-0.99983469999999997</v>
      </c>
      <c r="N1695">
        <v>-1.380204E-2</v>
      </c>
      <c r="O1695">
        <v>-1.1834809999999999E-2</v>
      </c>
      <c r="P1695">
        <v>-0.98322739999999997</v>
      </c>
      <c r="Q1695">
        <v>0.16542399999999999</v>
      </c>
      <c r="R1695">
        <v>-7.6804120000000003E-2</v>
      </c>
      <c r="S1695">
        <v>-3.0397639999999999</v>
      </c>
      <c r="T1695">
        <v>-0.108044</v>
      </c>
      <c r="U1695">
        <v>-0.3781738</v>
      </c>
      <c r="V1695">
        <v>-6.5151269999999997E-2</v>
      </c>
      <c r="W1695">
        <v>0.17899399999999999</v>
      </c>
      <c r="X1695">
        <v>0.98169059999999997</v>
      </c>
      <c r="Y1695">
        <v>-0.11160920000000001</v>
      </c>
      <c r="Z1695">
        <v>-2.4927130000000001E-3</v>
      </c>
      <c r="AA1695">
        <v>0.99374899999999999</v>
      </c>
      <c r="AB1695">
        <v>39</v>
      </c>
      <c r="AC1695">
        <v>-30.832999999999998</v>
      </c>
      <c r="AD1695">
        <v>-1.1100588624679999</v>
      </c>
      <c r="AE1695">
        <v>-3.88070000000004</v>
      </c>
      <c r="AF1695">
        <v>-3.51101082327903</v>
      </c>
      <c r="AG1695">
        <v>-1.1100588624679999</v>
      </c>
      <c r="AH1695">
        <v>30.8374248588533</v>
      </c>
      <c r="AI1695">
        <v>92.048371131725901</v>
      </c>
      <c r="AJ1695">
        <v>96.4954696392643</v>
      </c>
      <c r="AK1695">
        <v>31.0565001184092</v>
      </c>
      <c r="AL1695">
        <v>79.688831223910896</v>
      </c>
      <c r="AM1695">
        <v>93.796946544479198</v>
      </c>
      <c r="AN1695">
        <v>0.99999998707348603</v>
      </c>
    </row>
    <row r="1696" spans="1:40" x14ac:dyDescent="0.25">
      <c r="A1696" t="str">
        <f>"20190304155356261"</f>
        <v>20190304155356261</v>
      </c>
      <c r="B1696" t="str">
        <f>"1551686036257754"</f>
        <v>1551686036257754</v>
      </c>
      <c r="C1696" t="s">
        <v>40</v>
      </c>
      <c r="D1696">
        <v>4.5374150000000002</v>
      </c>
      <c r="E1696">
        <v>0.47956759999999898</v>
      </c>
      <c r="F1696" t="s">
        <v>65</v>
      </c>
      <c r="G1696">
        <v>-437.98739999999998</v>
      </c>
      <c r="H1696" s="1">
        <v>6.0924060000000001E-6</v>
      </c>
      <c r="I1696">
        <v>280.8032</v>
      </c>
      <c r="J1696">
        <v>-407.62650000000002</v>
      </c>
      <c r="K1696">
        <v>1.1100540000000001</v>
      </c>
      <c r="L1696">
        <v>284.63720000000001</v>
      </c>
      <c r="M1696">
        <v>-0.99983500000000003</v>
      </c>
      <c r="N1696">
        <v>-1.380163E-2</v>
      </c>
      <c r="O1696">
        <v>-1.1809139999999999E-2</v>
      </c>
      <c r="P1696">
        <v>-0.98316570000000003</v>
      </c>
      <c r="Q1696">
        <v>0.1657921</v>
      </c>
      <c r="R1696">
        <v>-7.680041E-2</v>
      </c>
      <c r="S1696">
        <v>-3.0399780000000001</v>
      </c>
      <c r="T1696">
        <v>-0.1097789</v>
      </c>
      <c r="U1696">
        <v>-0.37960820000000001</v>
      </c>
      <c r="V1696">
        <v>-6.5169299999999999E-2</v>
      </c>
      <c r="W1696">
        <v>0.179362299999999</v>
      </c>
      <c r="X1696">
        <v>0.9816222</v>
      </c>
      <c r="Y1696">
        <v>-0.1120849</v>
      </c>
      <c r="Z1696">
        <v>-2.52995E-3</v>
      </c>
      <c r="AA1696">
        <v>0.99369540000000001</v>
      </c>
      <c r="AB1696">
        <v>39</v>
      </c>
      <c r="AC1696">
        <v>-30.360899999999901</v>
      </c>
      <c r="AD1696">
        <v>-1.110047907594</v>
      </c>
      <c r="AE1696">
        <v>-3.8340000000000001</v>
      </c>
      <c r="AF1696">
        <v>-3.4705957864722401</v>
      </c>
      <c r="AG1696">
        <v>-1.110047907594</v>
      </c>
      <c r="AH1696">
        <v>30.3641105978704</v>
      </c>
      <c r="AI1696">
        <v>92.080148827914002</v>
      </c>
      <c r="AJ1696">
        <v>96.520568628664805</v>
      </c>
      <c r="AK1696">
        <v>30.5819628845164</v>
      </c>
      <c r="AL1696">
        <v>79.6673822864513</v>
      </c>
      <c r="AM1696">
        <v>93.798258110486401</v>
      </c>
      <c r="AN1696">
        <v>1.00000000792831</v>
      </c>
    </row>
    <row r="1697" spans="1:40" x14ac:dyDescent="0.25">
      <c r="A1697" t="str">
        <f>"20190304155356285"</f>
        <v>20190304155356285</v>
      </c>
      <c r="B1697" t="str">
        <f>"1551686036278251"</f>
        <v>1551686036278251</v>
      </c>
      <c r="C1697" t="s">
        <v>40</v>
      </c>
      <c r="D1697">
        <v>4.5132879999999904</v>
      </c>
      <c r="E1697">
        <v>0.47936790000000001</v>
      </c>
      <c r="F1697" t="s">
        <v>65</v>
      </c>
      <c r="G1697">
        <v>-438.04689999999999</v>
      </c>
      <c r="H1697" s="1">
        <v>6.1188240000000004E-6</v>
      </c>
      <c r="I1697">
        <v>280.803</v>
      </c>
      <c r="J1697">
        <v>-408.02609999999999</v>
      </c>
      <c r="K1697">
        <v>1.110047</v>
      </c>
      <c r="L1697">
        <v>284.63249999999999</v>
      </c>
      <c r="M1697">
        <v>-0.99983549999999999</v>
      </c>
      <c r="N1697">
        <v>-1.380079E-2</v>
      </c>
      <c r="O1697">
        <v>-1.1763859999999999E-2</v>
      </c>
      <c r="P1697">
        <v>-0.98323079999999996</v>
      </c>
      <c r="Q1697">
        <v>0.16556889999999999</v>
      </c>
      <c r="R1697">
        <v>-7.6446910000000007E-2</v>
      </c>
      <c r="S1697">
        <v>-3.0400999999999998</v>
      </c>
      <c r="T1697">
        <v>-0.11093409999999999</v>
      </c>
      <c r="U1697">
        <v>-0.38317869999999998</v>
      </c>
      <c r="V1697">
        <v>-6.4854149999999999E-2</v>
      </c>
      <c r="W1697">
        <v>0.17914089999999999</v>
      </c>
      <c r="X1697">
        <v>0.98168350000000004</v>
      </c>
      <c r="Y1697">
        <v>-0.1132711</v>
      </c>
      <c r="Z1697">
        <v>-2.5772859999999998E-3</v>
      </c>
      <c r="AA1697">
        <v>0.99356080000000002</v>
      </c>
      <c r="AB1697">
        <v>39</v>
      </c>
      <c r="AC1697">
        <v>-30.020800000000001</v>
      </c>
      <c r="AD1697">
        <v>-1.1100408811759901</v>
      </c>
      <c r="AE1697">
        <v>-3.8294999999999901</v>
      </c>
      <c r="AF1697">
        <v>-3.4713707328118399</v>
      </c>
      <c r="AG1697">
        <v>-1.1100408811759901</v>
      </c>
      <c r="AH1697">
        <v>30.0233853979292</v>
      </c>
      <c r="AI1697">
        <v>92.103405863621106</v>
      </c>
      <c r="AJ1697">
        <v>96.595379658294902</v>
      </c>
      <c r="AK1697">
        <v>30.243780786718698</v>
      </c>
      <c r="AL1697">
        <v>79.680276420692294</v>
      </c>
      <c r="AM1697">
        <v>93.779708271893</v>
      </c>
      <c r="AN1697">
        <v>1.00000000849864</v>
      </c>
    </row>
    <row r="1698" spans="1:40" x14ac:dyDescent="0.25">
      <c r="A1698" t="str">
        <f>"20190304155356307"</f>
        <v>20190304155356307</v>
      </c>
      <c r="B1698" t="str">
        <f>"1551686036297771"</f>
        <v>1551686036297771</v>
      </c>
      <c r="C1698" t="s">
        <v>40</v>
      </c>
      <c r="D1698">
        <v>4.5379160000000001</v>
      </c>
      <c r="E1698">
        <v>0.47928799999999999</v>
      </c>
      <c r="F1698" t="s">
        <v>65</v>
      </c>
      <c r="G1698">
        <v>-438.16930000000002</v>
      </c>
      <c r="H1698" s="1">
        <v>6.1710849999999999E-6</v>
      </c>
      <c r="I1698">
        <v>280.8261</v>
      </c>
      <c r="J1698">
        <v>-408.41770000000002</v>
      </c>
      <c r="K1698">
        <v>1.1100350000000001</v>
      </c>
      <c r="L1698">
        <v>284.62810000000002</v>
      </c>
      <c r="M1698">
        <v>-0.99983639999999996</v>
      </c>
      <c r="N1698">
        <v>-1.379974E-2</v>
      </c>
      <c r="O1698">
        <v>-1.1703170000000001E-2</v>
      </c>
      <c r="P1698">
        <v>-0.98328819999999995</v>
      </c>
      <c r="Q1698">
        <v>0.16536329999999999</v>
      </c>
      <c r="R1698">
        <v>-7.6155280000000006E-2</v>
      </c>
      <c r="S1698">
        <v>-3.0401919999999998</v>
      </c>
      <c r="T1698">
        <v>-0.111957</v>
      </c>
      <c r="U1698">
        <v>-0.38391110000000001</v>
      </c>
      <c r="V1698">
        <v>-6.4615499999999895E-2</v>
      </c>
      <c r="W1698">
        <v>0.17893729999999999</v>
      </c>
      <c r="X1698">
        <v>0.98173639999999995</v>
      </c>
      <c r="Y1698">
        <v>-0.1135615</v>
      </c>
      <c r="Z1698">
        <v>-2.6009039999999998E-3</v>
      </c>
      <c r="AA1698">
        <v>0.99352759999999996</v>
      </c>
      <c r="AB1698">
        <v>39</v>
      </c>
      <c r="AC1698">
        <v>-29.7516</v>
      </c>
      <c r="AD1698">
        <v>-1.110028828915</v>
      </c>
      <c r="AE1698">
        <v>-3.80200000000002</v>
      </c>
      <c r="AF1698">
        <v>-3.4487947441438598</v>
      </c>
      <c r="AG1698">
        <v>-1.110028828915</v>
      </c>
      <c r="AH1698">
        <v>29.753309850813601</v>
      </c>
      <c r="AI1698">
        <v>92.122387976844493</v>
      </c>
      <c r="AJ1698">
        <v>96.611818044882796</v>
      </c>
      <c r="AK1698">
        <v>29.973084530404599</v>
      </c>
      <c r="AL1698">
        <v>79.692133751705597</v>
      </c>
      <c r="AM1698">
        <v>93.765637478950794</v>
      </c>
      <c r="AN1698">
        <v>1.00000003962824</v>
      </c>
    </row>
    <row r="1699" spans="1:40" x14ac:dyDescent="0.25">
      <c r="A1699" t="str">
        <f>"20190304155356329"</f>
        <v>20190304155356329</v>
      </c>
      <c r="B1699" t="str">
        <f>"1551686036318268"</f>
        <v>1551686036318268</v>
      </c>
      <c r="C1699" t="s">
        <v>40</v>
      </c>
      <c r="D1699">
        <v>4.3028250000000003</v>
      </c>
      <c r="E1699">
        <v>0.52546630000000005</v>
      </c>
      <c r="F1699" t="s">
        <v>65</v>
      </c>
      <c r="G1699">
        <v>-438.45639999999997</v>
      </c>
      <c r="H1699" s="1">
        <v>6.2973349999999997E-6</v>
      </c>
      <c r="I1699">
        <v>280.83839999999998</v>
      </c>
      <c r="J1699">
        <v>-408.79910000000001</v>
      </c>
      <c r="K1699">
        <v>1.110026</v>
      </c>
      <c r="L1699">
        <v>284.62360000000001</v>
      </c>
      <c r="M1699">
        <v>-0.99983719999999998</v>
      </c>
      <c r="N1699">
        <v>-1.379847E-2</v>
      </c>
      <c r="O1699">
        <v>-1.1630110000000001E-2</v>
      </c>
      <c r="P1699">
        <v>-0.9832864</v>
      </c>
      <c r="Q1699">
        <v>0.16537679999999999</v>
      </c>
      <c r="R1699">
        <v>-7.6147889999999996E-2</v>
      </c>
      <c r="S1699">
        <v>-3.040222</v>
      </c>
      <c r="T1699">
        <v>-0.11234619999999999</v>
      </c>
      <c r="U1699">
        <v>-0.38354490000000002</v>
      </c>
      <c r="V1699">
        <v>-6.4674309999999999E-2</v>
      </c>
      <c r="W1699">
        <v>0.178951799999999</v>
      </c>
      <c r="X1699">
        <v>0.98172990000000004</v>
      </c>
      <c r="Y1699">
        <v>-0.1135145</v>
      </c>
      <c r="Z1699">
        <v>-2.6070440000000002E-3</v>
      </c>
      <c r="AA1699">
        <v>0.99353290000000005</v>
      </c>
      <c r="AB1699">
        <v>39</v>
      </c>
      <c r="AC1699">
        <v>-29.6572999999999</v>
      </c>
      <c r="AD1699">
        <v>-1.1100197026650001</v>
      </c>
      <c r="AE1699">
        <v>-3.7852000000000299</v>
      </c>
      <c r="AF1699">
        <v>-3.4352582450026601</v>
      </c>
      <c r="AG1699">
        <v>-1.1100197026650001</v>
      </c>
      <c r="AH1699">
        <v>29.6584386223326</v>
      </c>
      <c r="AI1699">
        <v>92.129174157323803</v>
      </c>
      <c r="AJ1699">
        <v>96.606976728166302</v>
      </c>
      <c r="AK1699">
        <v>29.877351362944399</v>
      </c>
      <c r="AL1699">
        <v>79.691289491692999</v>
      </c>
      <c r="AM1699">
        <v>93.769079794207798</v>
      </c>
      <c r="AN1699">
        <v>1.0000000548256101</v>
      </c>
    </row>
    <row r="1700" spans="1:40" x14ac:dyDescent="0.25">
      <c r="A1700" t="str">
        <f>"20190304155356350"</f>
        <v>20190304155356350</v>
      </c>
      <c r="B1700" t="str">
        <f>"1551686036348524"</f>
        <v>1551686036348524</v>
      </c>
      <c r="C1700" t="s">
        <v>40</v>
      </c>
      <c r="D1700">
        <v>4.4844299999999997</v>
      </c>
      <c r="E1700">
        <v>0.54811219999999905</v>
      </c>
      <c r="F1700" t="s">
        <v>47</v>
      </c>
      <c r="G1700">
        <v>-543.99879999999996</v>
      </c>
      <c r="H1700">
        <v>-0.05</v>
      </c>
      <c r="I1700">
        <v>283.83730000000003</v>
      </c>
      <c r="J1700">
        <v>-409.17099999999999</v>
      </c>
      <c r="K1700">
        <v>1.110007</v>
      </c>
      <c r="L1700">
        <v>284.61939999999998</v>
      </c>
      <c r="M1700">
        <v>-0.99983809999999995</v>
      </c>
      <c r="N1700">
        <v>-1.379698E-2</v>
      </c>
      <c r="O1700">
        <v>-1.15473E-2</v>
      </c>
      <c r="P1700">
        <v>-0.98331919999999995</v>
      </c>
      <c r="Q1700">
        <v>0.16541410000000001</v>
      </c>
      <c r="R1700">
        <v>-7.5639109999999996E-2</v>
      </c>
      <c r="S1700">
        <v>-3.0540470000000002</v>
      </c>
      <c r="T1700">
        <v>-2.620399E-2</v>
      </c>
      <c r="U1700">
        <v>-1.7761229999999999E-2</v>
      </c>
      <c r="V1700">
        <v>-6.4241770000000004E-2</v>
      </c>
      <c r="W1700">
        <v>0.1789898</v>
      </c>
      <c r="X1700">
        <v>0.98175129999999999</v>
      </c>
      <c r="Y1700">
        <v>5.7323499999999998E-3</v>
      </c>
      <c r="Z1700" s="1">
        <v>3.8818120000000002E-6</v>
      </c>
      <c r="AA1700">
        <v>0.99998350000000003</v>
      </c>
      <c r="AB1700">
        <v>39</v>
      </c>
      <c r="AC1700">
        <v>-134.827799999999</v>
      </c>
      <c r="AD1700">
        <v>-1.160007</v>
      </c>
      <c r="AE1700">
        <v>-0.78209999999995705</v>
      </c>
      <c r="AF1700">
        <v>0.77494011235660898</v>
      </c>
      <c r="AG1700">
        <v>-1.160007</v>
      </c>
      <c r="AH1700">
        <v>134.81786182612899</v>
      </c>
      <c r="AI1700">
        <v>90.492967077493702</v>
      </c>
      <c r="AJ1700">
        <v>89.670664493418101</v>
      </c>
      <c r="AK1700">
        <v>134.82507932794601</v>
      </c>
      <c r="AL1700">
        <v>79.689075787145597</v>
      </c>
      <c r="AM1700">
        <v>93.743862848987305</v>
      </c>
      <c r="AN1700">
        <v>0.99999998428423098</v>
      </c>
    </row>
    <row r="1701" spans="1:40" x14ac:dyDescent="0.25">
      <c r="A1701" t="str">
        <f>"20190304155356373"</f>
        <v>20190304155356373</v>
      </c>
      <c r="B1701" t="str">
        <f>"1551686036368302"</f>
        <v>1551686036368302</v>
      </c>
      <c r="C1701" t="s">
        <v>40</v>
      </c>
      <c r="D1701">
        <v>4.4682190000000004</v>
      </c>
      <c r="E1701">
        <v>0.55395280000000002</v>
      </c>
      <c r="F1701" t="s">
        <v>67</v>
      </c>
      <c r="G1701">
        <v>-1240.0709999999999</v>
      </c>
      <c r="H1701">
        <v>-0.1</v>
      </c>
      <c r="I1701">
        <v>328.96690000000001</v>
      </c>
      <c r="J1701">
        <v>-409.56119999999999</v>
      </c>
      <c r="K1701">
        <v>1.109998</v>
      </c>
      <c r="L1701">
        <v>284.61500000000001</v>
      </c>
      <c r="M1701">
        <v>-0.99983929999999999</v>
      </c>
      <c r="N1701">
        <v>-1.37953E-2</v>
      </c>
      <c r="O1701">
        <v>-1.1450449999999999E-2</v>
      </c>
      <c r="P1701">
        <v>-0.98339529999999997</v>
      </c>
      <c r="Q1701">
        <v>0.16523389999999999</v>
      </c>
      <c r="R1701">
        <v>-7.5041419999999998E-2</v>
      </c>
      <c r="S1701">
        <v>-3.0641780000000001</v>
      </c>
      <c r="T1701">
        <v>-4.4622419999999999E-3</v>
      </c>
      <c r="U1701">
        <v>0.16354369999999999</v>
      </c>
      <c r="V1701">
        <v>-6.3734070000000004E-2</v>
      </c>
      <c r="W1701">
        <v>0.17881059999999999</v>
      </c>
      <c r="X1701">
        <v>0.9818171</v>
      </c>
      <c r="Y1701">
        <v>6.4727080000000006E-2</v>
      </c>
      <c r="Z1701">
        <v>3.5271750000000001E-4</v>
      </c>
      <c r="AA1701">
        <v>0.99790290000000004</v>
      </c>
      <c r="AB1701">
        <v>39</v>
      </c>
      <c r="AC1701">
        <v>-830.50980000000004</v>
      </c>
      <c r="AD1701">
        <v>-1.2099979999999999</v>
      </c>
      <c r="AE1701">
        <v>44.351900000000001</v>
      </c>
      <c r="AF1701">
        <v>53.8594935340776</v>
      </c>
      <c r="AG1701">
        <v>-1.2099979999999999</v>
      </c>
      <c r="AH1701">
        <v>829.94568840670502</v>
      </c>
      <c r="AI1701">
        <v>90.083357510246998</v>
      </c>
      <c r="AJ1701">
        <v>86.286985258305805</v>
      </c>
      <c r="AK1701">
        <v>831.69234386507799</v>
      </c>
      <c r="AL1701">
        <v>79.699512130023805</v>
      </c>
      <c r="AM1701">
        <v>93.714110180562002</v>
      </c>
      <c r="AN1701">
        <v>1.0000000401017599</v>
      </c>
    </row>
    <row r="1702" spans="1:40" x14ac:dyDescent="0.25">
      <c r="A1702" t="str">
        <f>"20190304155356395"</f>
        <v>20190304155356395</v>
      </c>
      <c r="B1702" t="str">
        <f>"1551686036387825"</f>
        <v>1551686036387825</v>
      </c>
      <c r="C1702" t="s">
        <v>40</v>
      </c>
      <c r="D1702">
        <v>4.5055379999999996</v>
      </c>
      <c r="E1702">
        <v>0.55716589999999999</v>
      </c>
      <c r="F1702" t="s">
        <v>66</v>
      </c>
      <c r="G1702">
        <v>-550.05730000000005</v>
      </c>
      <c r="H1702">
        <v>1.2172719999999999</v>
      </c>
      <c r="I1702">
        <v>294.30619999999999</v>
      </c>
      <c r="J1702">
        <v>-409.94819999999999</v>
      </c>
      <c r="K1702">
        <v>1.109999</v>
      </c>
      <c r="L1702">
        <v>284.61070000000001</v>
      </c>
      <c r="M1702">
        <v>-0.99984059999999997</v>
      </c>
      <c r="N1702">
        <v>-1.37935E-2</v>
      </c>
      <c r="O1702">
        <v>-1.1346709999999999E-2</v>
      </c>
      <c r="P1702">
        <v>-0.98337359999999896</v>
      </c>
      <c r="Q1702">
        <v>0.1655787</v>
      </c>
      <c r="R1702">
        <v>-7.4567289999999994E-2</v>
      </c>
      <c r="S1702">
        <v>-3.0664060000000002</v>
      </c>
      <c r="T1702">
        <v>2.343178E-3</v>
      </c>
      <c r="U1702">
        <v>0.21151729999999999</v>
      </c>
      <c r="V1702">
        <v>-6.3358330000000004E-2</v>
      </c>
      <c r="W1702">
        <v>0.17915349999999999</v>
      </c>
      <c r="X1702">
        <v>0.98177890000000001</v>
      </c>
      <c r="Y1702">
        <v>8.0131030000000006E-2</v>
      </c>
      <c r="Z1702">
        <v>3.5776459999999999E-4</v>
      </c>
      <c r="AA1702">
        <v>0.99678429999999996</v>
      </c>
      <c r="AB1702">
        <v>39</v>
      </c>
      <c r="AC1702">
        <v>-140.10910000000001</v>
      </c>
      <c r="AD1702">
        <v>0.10727299999999899</v>
      </c>
      <c r="AE1702">
        <v>9.6954999999999796</v>
      </c>
      <c r="AF1702">
        <v>11.284797538048901</v>
      </c>
      <c r="AG1702">
        <v>0.10727299999999899</v>
      </c>
      <c r="AH1702">
        <v>139.989974471789</v>
      </c>
      <c r="AI1702">
        <v>89.956236753017393</v>
      </c>
      <c r="AJ1702">
        <v>85.391268618300003</v>
      </c>
      <c r="AK1702">
        <v>140.44412097194899</v>
      </c>
      <c r="AL1702">
        <v>79.679542862829905</v>
      </c>
      <c r="AM1702">
        <v>93.692417903791096</v>
      </c>
      <c r="AN1702">
        <v>1.0000000315139199</v>
      </c>
    </row>
    <row r="1703" spans="1:40" x14ac:dyDescent="0.25">
      <c r="A1703" t="str">
        <f>"20190304155356417"</f>
        <v>20190304155356417</v>
      </c>
      <c r="B1703" t="str">
        <f>"1551686036408318"</f>
        <v>1551686036408318</v>
      </c>
      <c r="C1703" t="s">
        <v>40</v>
      </c>
      <c r="D1703">
        <v>4.5005660000000001</v>
      </c>
      <c r="E1703">
        <v>0.55928859999999903</v>
      </c>
      <c r="F1703" t="s">
        <v>66</v>
      </c>
      <c r="G1703">
        <v>-537.68370000000004</v>
      </c>
      <c r="H1703">
        <v>1.5624439999999999</v>
      </c>
      <c r="I1703">
        <v>294.55</v>
      </c>
      <c r="J1703">
        <v>-410.33530000000002</v>
      </c>
      <c r="K1703">
        <v>1.1099969999999999</v>
      </c>
      <c r="L1703">
        <v>284.60640000000001</v>
      </c>
      <c r="M1703">
        <v>-0.9998418</v>
      </c>
      <c r="N1703">
        <v>-1.379156E-2</v>
      </c>
      <c r="O1703">
        <v>-1.123847E-2</v>
      </c>
      <c r="P1703">
        <v>-0.98335419999999996</v>
      </c>
      <c r="Q1703">
        <v>0.16579720000000001</v>
      </c>
      <c r="R1703">
        <v>-7.4336819999999998E-2</v>
      </c>
      <c r="S1703">
        <v>-3.066986</v>
      </c>
      <c r="T1703">
        <v>1.086545E-2</v>
      </c>
      <c r="U1703">
        <v>0.23864750000000001</v>
      </c>
      <c r="V1703">
        <v>-6.3231709999999997E-2</v>
      </c>
      <c r="W1703">
        <v>0.17937120000000001</v>
      </c>
      <c r="X1703">
        <v>0.98174729999999999</v>
      </c>
      <c r="Y1703">
        <v>8.8777910000000002E-2</v>
      </c>
      <c r="Z1703">
        <v>2.6161039999999998E-4</v>
      </c>
      <c r="AA1703">
        <v>0.99605140000000003</v>
      </c>
      <c r="AB1703">
        <v>39</v>
      </c>
      <c r="AC1703">
        <v>-127.3484</v>
      </c>
      <c r="AD1703">
        <v>0.45244699999999999</v>
      </c>
      <c r="AE1703">
        <v>9.9436</v>
      </c>
      <c r="AF1703">
        <v>11.374166412892899</v>
      </c>
      <c r="AG1703">
        <v>0.45244699999999999</v>
      </c>
      <c r="AH1703">
        <v>127.226998286766</v>
      </c>
      <c r="AI1703">
        <v>89.797053948571104</v>
      </c>
      <c r="AJ1703">
        <v>84.891306002612893</v>
      </c>
      <c r="AK1703">
        <v>127.73521622065201</v>
      </c>
      <c r="AL1703">
        <v>79.666864061297403</v>
      </c>
      <c r="AM1703">
        <v>93.685177340507906</v>
      </c>
      <c r="AN1703">
        <v>1.0000000187981199</v>
      </c>
    </row>
    <row r="1704" spans="1:40" x14ac:dyDescent="0.25">
      <c r="A1704" t="str">
        <f>"20190304155356439"</f>
        <v>20190304155356439</v>
      </c>
      <c r="B1704" t="str">
        <f>"1551686036427838"</f>
        <v>1551686036427838</v>
      </c>
      <c r="C1704" t="s">
        <v>40</v>
      </c>
      <c r="D1704">
        <v>4.4804190000000004</v>
      </c>
      <c r="E1704">
        <v>0.56053069999999905</v>
      </c>
      <c r="F1704" t="s">
        <v>66</v>
      </c>
      <c r="G1704">
        <v>-529.39819999999997</v>
      </c>
      <c r="H1704">
        <v>1.701009</v>
      </c>
      <c r="I1704">
        <v>294.55</v>
      </c>
      <c r="J1704">
        <v>-410.71809999999999</v>
      </c>
      <c r="K1704">
        <v>1.109998</v>
      </c>
      <c r="L1704">
        <v>284.60219999999998</v>
      </c>
      <c r="M1704">
        <v>-0.99984300000000004</v>
      </c>
      <c r="N1704">
        <v>-1.3789529999999999E-2</v>
      </c>
      <c r="O1704">
        <v>-1.11287E-2</v>
      </c>
      <c r="P1704">
        <v>-0.98336570000000001</v>
      </c>
      <c r="Q1704">
        <v>0.16583410000000001</v>
      </c>
      <c r="R1704">
        <v>-7.4101920000000002E-2</v>
      </c>
      <c r="S1704">
        <v>-3.0676269999999999</v>
      </c>
      <c r="T1704">
        <v>1.522946E-2</v>
      </c>
      <c r="U1704">
        <v>0.25619510000000001</v>
      </c>
      <c r="V1704">
        <v>-6.3102099999999994E-2</v>
      </c>
      <c r="W1704">
        <v>0.17940690000000001</v>
      </c>
      <c r="X1704">
        <v>0.98174910000000004</v>
      </c>
      <c r="Y1704">
        <v>9.4312080000000006E-2</v>
      </c>
      <c r="Z1704">
        <v>2.0937209999999999E-4</v>
      </c>
      <c r="AA1704">
        <v>0.99554260000000006</v>
      </c>
      <c r="AB1704">
        <v>39</v>
      </c>
      <c r="AC1704">
        <v>-118.680099999999</v>
      </c>
      <c r="AD1704">
        <v>0.59101099999999995</v>
      </c>
      <c r="AE1704">
        <v>9.9478000000000293</v>
      </c>
      <c r="AF1704">
        <v>11.267787177978899</v>
      </c>
      <c r="AG1704">
        <v>0.59101099999999995</v>
      </c>
      <c r="AH1704">
        <v>118.559112980664</v>
      </c>
      <c r="AI1704">
        <v>89.715667099542401</v>
      </c>
      <c r="AJ1704">
        <v>84.570950143969398</v>
      </c>
      <c r="AK1704">
        <v>119.094817656572</v>
      </c>
      <c r="AL1704">
        <v>79.664784709543795</v>
      </c>
      <c r="AM1704">
        <v>93.677637628736605</v>
      </c>
      <c r="AN1704">
        <v>1.00000000307141</v>
      </c>
    </row>
    <row r="1705" spans="1:40" x14ac:dyDescent="0.25">
      <c r="A1705" t="str">
        <f>"20190304155356462"</f>
        <v>20190304155356462</v>
      </c>
      <c r="B1705" t="str">
        <f>"1551686036458095"</f>
        <v>1551686036458095</v>
      </c>
      <c r="C1705" t="s">
        <v>40</v>
      </c>
      <c r="D1705">
        <v>4.4641349999999997</v>
      </c>
      <c r="E1705">
        <v>0.56222269999999996</v>
      </c>
      <c r="F1705" t="s">
        <v>66</v>
      </c>
      <c r="G1705">
        <v>-525.12099999999998</v>
      </c>
      <c r="H1705">
        <v>1.7978829999999999</v>
      </c>
      <c r="I1705">
        <v>294.55</v>
      </c>
      <c r="J1705">
        <v>-411.10050000000001</v>
      </c>
      <c r="K1705">
        <v>1.10999</v>
      </c>
      <c r="L1705">
        <v>284.59800000000001</v>
      </c>
      <c r="M1705">
        <v>-0.99984419999999996</v>
      </c>
      <c r="N1705">
        <v>-1.37874E-2</v>
      </c>
      <c r="O1705">
        <v>-1.101859E-2</v>
      </c>
      <c r="P1705">
        <v>-0.9833674</v>
      </c>
      <c r="Q1705">
        <v>0.16586500000000001</v>
      </c>
      <c r="R1705">
        <v>-7.4009759999999994E-2</v>
      </c>
      <c r="S1705">
        <v>-3.0677490000000001</v>
      </c>
      <c r="T1705">
        <v>1.844811E-2</v>
      </c>
      <c r="U1705">
        <v>0.2667542</v>
      </c>
      <c r="V1705">
        <v>-6.3116740000000005E-2</v>
      </c>
      <c r="W1705">
        <v>0.17943599999999901</v>
      </c>
      <c r="X1705">
        <v>0.98174289999999997</v>
      </c>
      <c r="Y1705">
        <v>9.7600560000000003E-2</v>
      </c>
      <c r="Z1705">
        <v>1.6345070000000001E-4</v>
      </c>
      <c r="AA1705">
        <v>0.99522569999999999</v>
      </c>
      <c r="AB1705">
        <v>39</v>
      </c>
      <c r="AC1705">
        <v>-114.020499999999</v>
      </c>
      <c r="AD1705">
        <v>0.68789299999999998</v>
      </c>
      <c r="AE1705">
        <v>9.9519999999999893</v>
      </c>
      <c r="AF1705">
        <v>11.2074555061485</v>
      </c>
      <c r="AG1705">
        <v>0.68789299999999998</v>
      </c>
      <c r="AH1705">
        <v>113.899795096592</v>
      </c>
      <c r="AI1705">
        <v>89.6556318096941</v>
      </c>
      <c r="AJ1705">
        <v>84.3803284163711</v>
      </c>
      <c r="AK1705">
        <v>114.451926933308</v>
      </c>
      <c r="AL1705">
        <v>79.663090508358593</v>
      </c>
      <c r="AM1705">
        <v>93.678511683471797</v>
      </c>
      <c r="AN1705">
        <v>1.0000000613323099</v>
      </c>
    </row>
    <row r="1706" spans="1:40" x14ac:dyDescent="0.25">
      <c r="A1706" t="str">
        <f>"20190304155356485"</f>
        <v>20190304155356485</v>
      </c>
      <c r="B1706" t="str">
        <f>"1551686036478122"</f>
        <v>1551686036478122</v>
      </c>
      <c r="C1706" t="s">
        <v>40</v>
      </c>
      <c r="D1706">
        <v>4.4699960000000001</v>
      </c>
      <c r="E1706">
        <v>0.56297949999999997</v>
      </c>
      <c r="F1706" t="s">
        <v>66</v>
      </c>
      <c r="G1706">
        <v>-510.95409999999998</v>
      </c>
      <c r="H1706">
        <v>1.44363</v>
      </c>
      <c r="I1706">
        <v>293.72770000000003</v>
      </c>
      <c r="J1706">
        <v>-411.51510000000002</v>
      </c>
      <c r="K1706">
        <v>1.109988</v>
      </c>
      <c r="L1706">
        <v>284.59359999999998</v>
      </c>
      <c r="M1706">
        <v>-0.99984569999999995</v>
      </c>
      <c r="N1706">
        <v>-1.378498E-2</v>
      </c>
      <c r="O1706">
        <v>-1.089883E-2</v>
      </c>
      <c r="P1706">
        <v>-0.98341809999999996</v>
      </c>
      <c r="Q1706">
        <v>0.165684</v>
      </c>
      <c r="R1706">
        <v>-7.3742749999999996E-2</v>
      </c>
      <c r="S1706">
        <v>-3.0700989999999999</v>
      </c>
      <c r="T1706">
        <v>1.026082E-2</v>
      </c>
      <c r="U1706">
        <v>0.28070070000000003</v>
      </c>
      <c r="V1706">
        <v>-6.2965289999999993E-2</v>
      </c>
      <c r="W1706">
        <v>0.17925389999999999</v>
      </c>
      <c r="X1706">
        <v>0.98178580000000004</v>
      </c>
      <c r="Y1706">
        <v>0.10190009999999999</v>
      </c>
      <c r="Z1706">
        <v>3.4763520000000002E-4</v>
      </c>
      <c r="AA1706">
        <v>0.99479450000000003</v>
      </c>
      <c r="AB1706">
        <v>39</v>
      </c>
      <c r="AC1706">
        <v>-99.438999999999893</v>
      </c>
      <c r="AD1706">
        <v>0.33364199999999999</v>
      </c>
      <c r="AE1706">
        <v>9.1341000000000392</v>
      </c>
      <c r="AF1706">
        <v>10.217314941728899</v>
      </c>
      <c r="AG1706">
        <v>0.33364199999999999</v>
      </c>
      <c r="AH1706">
        <v>99.332423452522093</v>
      </c>
      <c r="AI1706">
        <v>89.8085632463862</v>
      </c>
      <c r="AJ1706">
        <v>84.127220081201799</v>
      </c>
      <c r="AK1706">
        <v>99.857073813294804</v>
      </c>
      <c r="AL1706">
        <v>79.673695099524195</v>
      </c>
      <c r="AM1706">
        <v>93.6695492493958</v>
      </c>
      <c r="AN1706">
        <v>0.99999997274581598</v>
      </c>
    </row>
    <row r="1707" spans="1:40" x14ac:dyDescent="0.25">
      <c r="A1707" t="str">
        <f>"20190304155356508"</f>
        <v>20190304155356508</v>
      </c>
      <c r="B1707" t="str">
        <f>"1551686036497643"</f>
        <v>1551686036497643</v>
      </c>
      <c r="C1707" t="s">
        <v>40</v>
      </c>
      <c r="D1707">
        <v>4.5011539999999997</v>
      </c>
      <c r="E1707">
        <v>0.56370730000000002</v>
      </c>
      <c r="F1707" t="s">
        <v>66</v>
      </c>
      <c r="G1707">
        <v>-510.95400000000001</v>
      </c>
      <c r="H1707">
        <v>1.2979940000000001</v>
      </c>
      <c r="I1707">
        <v>293.90940000000001</v>
      </c>
      <c r="J1707">
        <v>-411.89870000000002</v>
      </c>
      <c r="K1707">
        <v>1.1099889999999999</v>
      </c>
      <c r="L1707">
        <v>284.58949999999999</v>
      </c>
      <c r="M1707">
        <v>-0.99984680000000004</v>
      </c>
      <c r="N1707">
        <v>-1.3782630000000001E-2</v>
      </c>
      <c r="O1707">
        <v>-1.0787919999999999E-2</v>
      </c>
      <c r="P1707">
        <v>-0.98337019999999997</v>
      </c>
      <c r="Q1707">
        <v>0.16587729999999901</v>
      </c>
      <c r="R1707">
        <v>-7.3945129999999998E-2</v>
      </c>
      <c r="S1707">
        <v>-3.071167</v>
      </c>
      <c r="T1707">
        <v>5.8091879999999999E-3</v>
      </c>
      <c r="U1707">
        <v>0.28771970000000002</v>
      </c>
      <c r="V1707">
        <v>-6.3276260000000001E-2</v>
      </c>
      <c r="W1707">
        <v>0.1794444</v>
      </c>
      <c r="X1707">
        <v>0.98173109999999997</v>
      </c>
      <c r="Y1707">
        <v>0.10401199999999999</v>
      </c>
      <c r="Z1707">
        <v>4.5150650000000002E-4</v>
      </c>
      <c r="AA1707">
        <v>0.99457589999999996</v>
      </c>
      <c r="AB1707">
        <v>39</v>
      </c>
      <c r="AC1707">
        <v>-99.055300000000003</v>
      </c>
      <c r="AD1707">
        <v>0.18800500000000001</v>
      </c>
      <c r="AE1707">
        <v>9.3199000000000094</v>
      </c>
      <c r="AF1707">
        <v>10.388022649178</v>
      </c>
      <c r="AG1707">
        <v>0.18800500000000001</v>
      </c>
      <c r="AH1707">
        <v>98.948629541589597</v>
      </c>
      <c r="AI1707">
        <v>89.8917316530828</v>
      </c>
      <c r="AJ1707">
        <v>84.006813945390903</v>
      </c>
      <c r="AK1707">
        <v>99.492600974135797</v>
      </c>
      <c r="AL1707">
        <v>79.662601323999496</v>
      </c>
      <c r="AM1707">
        <v>93.687827261323804</v>
      </c>
      <c r="AN1707">
        <v>1.0000000652390699</v>
      </c>
    </row>
    <row r="1708" spans="1:40" x14ac:dyDescent="0.25">
      <c r="A1708" t="str">
        <f>"20190304155356529"</f>
        <v>20190304155356529</v>
      </c>
      <c r="B1708" t="str">
        <f>"1551686036518138"</f>
        <v>1551686036518138</v>
      </c>
      <c r="C1708" t="s">
        <v>40</v>
      </c>
      <c r="D1708">
        <v>4.518764</v>
      </c>
      <c r="E1708">
        <v>0.56429770000000001</v>
      </c>
      <c r="F1708" t="s">
        <v>66</v>
      </c>
      <c r="G1708">
        <v>-510.95400000000001</v>
      </c>
      <c r="H1708">
        <v>1.21862</v>
      </c>
      <c r="I1708">
        <v>294.02960000000002</v>
      </c>
      <c r="J1708">
        <v>-412.26710000000003</v>
      </c>
      <c r="K1708">
        <v>1.1099829999999999</v>
      </c>
      <c r="L1708">
        <v>284.58569999999997</v>
      </c>
      <c r="M1708">
        <v>-0.99984799999999996</v>
      </c>
      <c r="N1708">
        <v>-1.378035E-2</v>
      </c>
      <c r="O1708">
        <v>-1.0681660000000001E-2</v>
      </c>
      <c r="P1708">
        <v>-0.98337819999999998</v>
      </c>
      <c r="Q1708">
        <v>0.1658297</v>
      </c>
      <c r="R1708">
        <v>-7.3947029999999997E-2</v>
      </c>
      <c r="S1708">
        <v>-3.0722049999999999</v>
      </c>
      <c r="T1708">
        <v>3.3718350000000001E-3</v>
      </c>
      <c r="U1708">
        <v>0.29278559999999998</v>
      </c>
      <c r="V1708">
        <v>-6.3382170000000002E-2</v>
      </c>
      <c r="W1708">
        <v>0.1793952</v>
      </c>
      <c r="X1708">
        <v>0.98173319999999997</v>
      </c>
      <c r="Y1708">
        <v>0.10550030000000001</v>
      </c>
      <c r="Z1708">
        <v>5.1227399999999995E-4</v>
      </c>
      <c r="AA1708">
        <v>0.99441919999999995</v>
      </c>
      <c r="AB1708">
        <v>39</v>
      </c>
      <c r="AC1708">
        <v>-98.686899999999895</v>
      </c>
      <c r="AD1708">
        <v>0.108637</v>
      </c>
      <c r="AE1708">
        <v>9.4439000000000402</v>
      </c>
      <c r="AF1708">
        <v>10.4975885182553</v>
      </c>
      <c r="AG1708">
        <v>0.108637</v>
      </c>
      <c r="AH1708">
        <v>98.580264303603698</v>
      </c>
      <c r="AI1708">
        <v>89.937214156927695</v>
      </c>
      <c r="AJ1708">
        <v>83.9216090453763</v>
      </c>
      <c r="AK1708">
        <v>99.137680408937996</v>
      </c>
      <c r="AL1708">
        <v>79.665466162509503</v>
      </c>
      <c r="AM1708">
        <v>93.693974885184105</v>
      </c>
      <c r="AN1708">
        <v>1.00000000661959</v>
      </c>
    </row>
    <row r="1709" spans="1:40" x14ac:dyDescent="0.25">
      <c r="A1709" t="str">
        <f>"20190304155356552"</f>
        <v>20190304155356552</v>
      </c>
      <c r="B1709" t="str">
        <f>"1551686036548394"</f>
        <v>1551686036548394</v>
      </c>
      <c r="C1709" t="s">
        <v>40</v>
      </c>
      <c r="D1709">
        <v>4.4761639999999998</v>
      </c>
      <c r="E1709">
        <v>0.56496489999999999</v>
      </c>
      <c r="F1709" t="s">
        <v>66</v>
      </c>
      <c r="G1709">
        <v>-510.95400000000001</v>
      </c>
      <c r="H1709">
        <v>1.083499</v>
      </c>
      <c r="I1709">
        <v>294.13850000000002</v>
      </c>
      <c r="J1709">
        <v>-412.6567</v>
      </c>
      <c r="K1709">
        <v>1.109982</v>
      </c>
      <c r="L1709">
        <v>284.58159999999998</v>
      </c>
      <c r="M1709">
        <v>-0.99984930000000005</v>
      </c>
      <c r="N1709">
        <v>-1.3777930000000001E-2</v>
      </c>
      <c r="O1709">
        <v>-1.056957E-2</v>
      </c>
      <c r="P1709">
        <v>-0.98342339999999995</v>
      </c>
      <c r="Q1709">
        <v>0.1656677</v>
      </c>
      <c r="R1709">
        <v>-7.3705870000000007E-2</v>
      </c>
      <c r="S1709">
        <v>-3.0732119999999998</v>
      </c>
      <c r="T1709">
        <v>-8.220673E-4</v>
      </c>
      <c r="U1709">
        <v>0.29748540000000001</v>
      </c>
      <c r="V1709">
        <v>-6.3250199999999895E-2</v>
      </c>
      <c r="W1709">
        <v>0.17923149999999999</v>
      </c>
      <c r="X1709">
        <v>0.98177159999999997</v>
      </c>
      <c r="Y1709">
        <v>0.106864</v>
      </c>
      <c r="Z1709">
        <v>6.0973739999999998E-4</v>
      </c>
      <c r="AA1709">
        <v>0.99427350000000003</v>
      </c>
      <c r="AB1709">
        <v>39</v>
      </c>
      <c r="AC1709">
        <v>-98.297300000000007</v>
      </c>
      <c r="AD1709">
        <v>-2.6483E-2</v>
      </c>
      <c r="AE1709">
        <v>9.5569000000000397</v>
      </c>
      <c r="AF1709">
        <v>10.595424026073101</v>
      </c>
      <c r="AG1709">
        <v>-2.6483E-2</v>
      </c>
      <c r="AH1709">
        <v>98.190779159294195</v>
      </c>
      <c r="AI1709">
        <v>90.015364034761603</v>
      </c>
      <c r="AJ1709">
        <v>83.841242587718895</v>
      </c>
      <c r="AK1709">
        <v>98.760785859321999</v>
      </c>
      <c r="AL1709">
        <v>79.674999900140506</v>
      </c>
      <c r="AM1709">
        <v>93.686160989148703</v>
      </c>
      <c r="AN1709">
        <v>0.99999999647942495</v>
      </c>
    </row>
    <row r="1710" spans="1:40" x14ac:dyDescent="0.25">
      <c r="A1710" t="str">
        <f>"20190304155356575"</f>
        <v>20190304155356575</v>
      </c>
      <c r="B1710" t="str">
        <f>"1551686036568294"</f>
        <v>1551686036568294</v>
      </c>
      <c r="C1710" t="s">
        <v>40</v>
      </c>
      <c r="D1710">
        <v>4.4682219999999999</v>
      </c>
      <c r="E1710">
        <v>0.56527190000000005</v>
      </c>
      <c r="F1710" t="s">
        <v>66</v>
      </c>
      <c r="G1710">
        <v>-510.95389999999998</v>
      </c>
      <c r="H1710">
        <v>0.98100909999999997</v>
      </c>
      <c r="I1710">
        <v>294.28370000000001</v>
      </c>
      <c r="J1710">
        <v>-413.04320000000001</v>
      </c>
      <c r="K1710">
        <v>1.1099760000000001</v>
      </c>
      <c r="L1710">
        <v>284.57760000000002</v>
      </c>
      <c r="M1710">
        <v>-0.99985049999999998</v>
      </c>
      <c r="N1710">
        <v>-1.3775519999999999E-2</v>
      </c>
      <c r="O1710">
        <v>-1.045856E-2</v>
      </c>
      <c r="P1710">
        <v>-0.98348590000000002</v>
      </c>
      <c r="Q1710">
        <v>0.16546150000000001</v>
      </c>
      <c r="R1710">
        <v>-7.3336499999999999E-2</v>
      </c>
      <c r="S1710">
        <v>-3.0739749999999999</v>
      </c>
      <c r="T1710">
        <v>-4.0305849999999997E-3</v>
      </c>
      <c r="U1710">
        <v>0.3034058</v>
      </c>
      <c r="V1710">
        <v>-6.2989059999999999E-2</v>
      </c>
      <c r="W1710">
        <v>0.1790236</v>
      </c>
      <c r="X1710">
        <v>0.98182630000000004</v>
      </c>
      <c r="Y1710">
        <v>0.1086259</v>
      </c>
      <c r="Z1710">
        <v>6.9105179999999998E-4</v>
      </c>
      <c r="AA1710">
        <v>0.99408249999999998</v>
      </c>
      <c r="AB1710">
        <v>39</v>
      </c>
      <c r="AC1710">
        <v>-97.910699999999906</v>
      </c>
      <c r="AD1710">
        <v>-0.1289669</v>
      </c>
      <c r="AE1710">
        <v>9.7060999999999904</v>
      </c>
      <c r="AF1710">
        <v>10.7296526344954</v>
      </c>
      <c r="AG1710">
        <v>-0.1289669</v>
      </c>
      <c r="AH1710">
        <v>97.803654539113097</v>
      </c>
      <c r="AI1710">
        <v>90.075101343413706</v>
      </c>
      <c r="AJ1710">
        <v>83.739342771749705</v>
      </c>
      <c r="AK1710">
        <v>98.390532671209897</v>
      </c>
      <c r="AL1710">
        <v>79.687107322212498</v>
      </c>
      <c r="AM1710">
        <v>93.670779741565596</v>
      </c>
      <c r="AN1710">
        <v>0.999999977204166</v>
      </c>
    </row>
    <row r="1711" spans="1:40" x14ac:dyDescent="0.25">
      <c r="A1711" t="str">
        <f>"20190304155356596"</f>
        <v>20190304155356596</v>
      </c>
      <c r="B1711" t="str">
        <f>"1551686036587814"</f>
        <v>1551686036587814</v>
      </c>
      <c r="C1711" t="s">
        <v>40</v>
      </c>
      <c r="D1711">
        <v>4.4862880000000001</v>
      </c>
      <c r="E1711">
        <v>0.56574290000000005</v>
      </c>
      <c r="F1711" t="s">
        <v>66</v>
      </c>
      <c r="G1711">
        <v>-510.95389999999998</v>
      </c>
      <c r="H1711">
        <v>0.93926659999999995</v>
      </c>
      <c r="I1711">
        <v>294.36610000000002</v>
      </c>
      <c r="J1711">
        <v>-413.41629999999998</v>
      </c>
      <c r="K1711">
        <v>1.109977</v>
      </c>
      <c r="L1711">
        <v>284.57380000000001</v>
      </c>
      <c r="M1711">
        <v>-0.99985159999999995</v>
      </c>
      <c r="N1711">
        <v>-1.377312E-2</v>
      </c>
      <c r="O1711">
        <v>-1.0351249999999999E-2</v>
      </c>
      <c r="P1711">
        <v>-0.98343119999999995</v>
      </c>
      <c r="Q1711">
        <v>0.16573289999999999</v>
      </c>
      <c r="R1711">
        <v>-7.3457350000000005E-2</v>
      </c>
      <c r="S1711">
        <v>-3.0742189999999998</v>
      </c>
      <c r="T1711">
        <v>-5.3572649999999999E-3</v>
      </c>
      <c r="U1711">
        <v>0.30734250000000002</v>
      </c>
      <c r="V1711">
        <v>-6.3215320000000005E-2</v>
      </c>
      <c r="W1711">
        <v>0.179291899999999</v>
      </c>
      <c r="X1711">
        <v>0.98176280000000005</v>
      </c>
      <c r="Y1711">
        <v>0.1097716</v>
      </c>
      <c r="Z1711">
        <v>7.2906809999999996E-4</v>
      </c>
      <c r="AA1711">
        <v>0.99395659999999997</v>
      </c>
      <c r="AB1711">
        <v>38</v>
      </c>
      <c r="AC1711">
        <v>-97.537599999999998</v>
      </c>
      <c r="AD1711">
        <v>-0.17071040000000001</v>
      </c>
      <c r="AE1711">
        <v>9.7923000000000098</v>
      </c>
      <c r="AF1711">
        <v>10.801474339026999</v>
      </c>
      <c r="AG1711">
        <v>-0.17071040000000001</v>
      </c>
      <c r="AH1711">
        <v>97.430705741758501</v>
      </c>
      <c r="AI1711">
        <v>90.099777752009999</v>
      </c>
      <c r="AJ1711">
        <v>83.673842855455007</v>
      </c>
      <c r="AK1711">
        <v>98.027768572351206</v>
      </c>
      <c r="AL1711">
        <v>79.671482069335298</v>
      </c>
      <c r="AM1711">
        <v>93.684166747812796</v>
      </c>
      <c r="AN1711">
        <v>0.99999997877607505</v>
      </c>
    </row>
    <row r="1712" spans="1:40" x14ac:dyDescent="0.25">
      <c r="A1712" t="str">
        <f>"20190304155356619"</f>
        <v>20190304155356619</v>
      </c>
      <c r="B1712" t="str">
        <f>"1551686036608311"</f>
        <v>1551686036608311</v>
      </c>
      <c r="C1712" t="s">
        <v>40</v>
      </c>
      <c r="D1712">
        <v>4.4906779999999999</v>
      </c>
      <c r="E1712">
        <v>0.56614770000000003</v>
      </c>
      <c r="F1712" t="s">
        <v>66</v>
      </c>
      <c r="G1712">
        <v>-510.95389999999998</v>
      </c>
      <c r="H1712">
        <v>0.94331200000000004</v>
      </c>
      <c r="I1712">
        <v>294.43779999999998</v>
      </c>
      <c r="J1712">
        <v>-413.79629999999997</v>
      </c>
      <c r="K1712">
        <v>1.1099810000000001</v>
      </c>
      <c r="L1712">
        <v>284.57</v>
      </c>
      <c r="M1712">
        <v>-0.99985279999999999</v>
      </c>
      <c r="N1712">
        <v>-1.377369E-2</v>
      </c>
      <c r="O1712">
        <v>-1.024194E-2</v>
      </c>
      <c r="P1712">
        <v>-0.98344229999999999</v>
      </c>
      <c r="Q1712">
        <v>0.1658731</v>
      </c>
      <c r="R1712">
        <v>-7.2993580000000002E-2</v>
      </c>
      <c r="S1712">
        <v>-3.0746769999999999</v>
      </c>
      <c r="T1712">
        <v>-5.2510500000000002E-3</v>
      </c>
      <c r="U1712">
        <v>0.31094359999999999</v>
      </c>
      <c r="V1712">
        <v>-6.2859300000000007E-2</v>
      </c>
      <c r="W1712">
        <v>0.1794327</v>
      </c>
      <c r="X1712">
        <v>0.98175999999999997</v>
      </c>
      <c r="Y1712">
        <v>0.1108007</v>
      </c>
      <c r="Z1712">
        <v>7.3617179999999895E-4</v>
      </c>
      <c r="AA1712">
        <v>0.99384240000000001</v>
      </c>
      <c r="AB1712">
        <v>38</v>
      </c>
      <c r="AC1712">
        <v>-97.157600000000002</v>
      </c>
      <c r="AD1712">
        <v>-0.16666899999999901</v>
      </c>
      <c r="AE1712">
        <v>9.8677999999999795</v>
      </c>
      <c r="AF1712">
        <v>10.8624272938763</v>
      </c>
      <c r="AG1712">
        <v>-0.16666899999999901</v>
      </c>
      <c r="AH1712">
        <v>97.051145438973904</v>
      </c>
      <c r="AI1712">
        <v>90.097785179061404</v>
      </c>
      <c r="AJ1712">
        <v>83.613761588249403</v>
      </c>
      <c r="AK1712">
        <v>97.657283068326095</v>
      </c>
      <c r="AL1712">
        <v>79.663282496640207</v>
      </c>
      <c r="AM1712">
        <v>93.663485110750997</v>
      </c>
      <c r="AN1712">
        <v>1.00000004151288</v>
      </c>
    </row>
    <row r="1713" spans="1:40" x14ac:dyDescent="0.25">
      <c r="A1713" t="str">
        <f>"20190304155356641"</f>
        <v>20190304155356641</v>
      </c>
      <c r="B1713" t="str">
        <f>"1551686036638566"</f>
        <v>1551686036638566</v>
      </c>
      <c r="C1713" t="s">
        <v>40</v>
      </c>
      <c r="D1713">
        <v>4.4464050000000004</v>
      </c>
      <c r="E1713">
        <v>0.56682010000000005</v>
      </c>
      <c r="F1713" t="s">
        <v>66</v>
      </c>
      <c r="G1713">
        <v>-510.95389999999998</v>
      </c>
      <c r="H1713">
        <v>0.9232302</v>
      </c>
      <c r="I1713">
        <v>294.53059999999999</v>
      </c>
      <c r="J1713">
        <v>-414.1884</v>
      </c>
      <c r="K1713">
        <v>1.109985</v>
      </c>
      <c r="L1713">
        <v>284.56610000000001</v>
      </c>
      <c r="M1713">
        <v>-0.99985380000000001</v>
      </c>
      <c r="N1713">
        <v>-1.378207E-2</v>
      </c>
      <c r="O1713">
        <v>-1.0128399999999999E-2</v>
      </c>
      <c r="P1713">
        <v>-0.98343150000000001</v>
      </c>
      <c r="Q1713">
        <v>0.16600699999999999</v>
      </c>
      <c r="R1713">
        <v>-7.2829859999999996E-2</v>
      </c>
      <c r="S1713">
        <v>-3.074951</v>
      </c>
      <c r="T1713">
        <v>-5.9077740000000002E-3</v>
      </c>
      <c r="U1713">
        <v>0.31524659999999999</v>
      </c>
      <c r="V1713">
        <v>-6.2807550000000004E-2</v>
      </c>
      <c r="W1713">
        <v>0.1795744</v>
      </c>
      <c r="X1713">
        <v>0.98173739999999998</v>
      </c>
      <c r="Y1713">
        <v>0.11205519999999999</v>
      </c>
      <c r="Z1713">
        <v>7.617934E-4</v>
      </c>
      <c r="AA1713">
        <v>0.99370170000000002</v>
      </c>
      <c r="AB1713">
        <v>38</v>
      </c>
      <c r="AC1713">
        <v>-96.765499999999903</v>
      </c>
      <c r="AD1713">
        <v>-0.186754799999999</v>
      </c>
      <c r="AE1713">
        <v>9.9644999999999797</v>
      </c>
      <c r="AF1713">
        <v>10.944121161554699</v>
      </c>
      <c r="AG1713">
        <v>-0.186754799999999</v>
      </c>
      <c r="AH1713">
        <v>96.659245332126304</v>
      </c>
      <c r="AI1713">
        <v>90.109997906558505</v>
      </c>
      <c r="AJ1713">
        <v>83.540267640878</v>
      </c>
      <c r="AK1713">
        <v>97.277018732742306</v>
      </c>
      <c r="AL1713">
        <v>79.655029599925001</v>
      </c>
      <c r="AM1713">
        <v>93.660561323672795</v>
      </c>
      <c r="AN1713">
        <v>1.00000003801556</v>
      </c>
    </row>
    <row r="1714" spans="1:40" x14ac:dyDescent="0.25">
      <c r="A1714" t="str">
        <f>"20190304155356663"</f>
        <v>20190304155356663</v>
      </c>
      <c r="B1714" t="str">
        <f>"1551686036658090"</f>
        <v>1551686036658090</v>
      </c>
      <c r="C1714" t="s">
        <v>40</v>
      </c>
      <c r="D1714">
        <v>4.4877750000000001</v>
      </c>
      <c r="E1714">
        <v>0.56710669999999996</v>
      </c>
      <c r="F1714" t="s">
        <v>66</v>
      </c>
      <c r="G1714">
        <v>-510.95389999999998</v>
      </c>
      <c r="H1714">
        <v>0.90623989999999999</v>
      </c>
      <c r="I1714">
        <v>294.67689999999999</v>
      </c>
      <c r="J1714">
        <v>-414.55939999999998</v>
      </c>
      <c r="K1714">
        <v>1.1099889999999999</v>
      </c>
      <c r="L1714">
        <v>284.56240000000003</v>
      </c>
      <c r="M1714">
        <v>-0.99985449999999998</v>
      </c>
      <c r="N1714">
        <v>-1.3804800000000001E-2</v>
      </c>
      <c r="O1714">
        <v>-1.002115E-2</v>
      </c>
      <c r="P1714">
        <v>-0.98343720000000001</v>
      </c>
      <c r="Q1714">
        <v>0.16594600000000001</v>
      </c>
      <c r="R1714">
        <v>-7.2892079999999998E-2</v>
      </c>
      <c r="S1714">
        <v>-3.0754700000000001</v>
      </c>
      <c r="T1714">
        <v>-6.4728260000000001E-3</v>
      </c>
      <c r="U1714">
        <v>0.32135010000000003</v>
      </c>
      <c r="V1714">
        <v>-6.2975130000000004E-2</v>
      </c>
      <c r="W1714">
        <v>0.1795359</v>
      </c>
      <c r="X1714">
        <v>0.98173370000000004</v>
      </c>
      <c r="Y1714">
        <v>0.113882399999999</v>
      </c>
      <c r="Z1714">
        <v>7.9083699999999996E-4</v>
      </c>
      <c r="AA1714">
        <v>0.99349390000000004</v>
      </c>
      <c r="AB1714">
        <v>38</v>
      </c>
      <c r="AC1714">
        <v>-96.394499999999994</v>
      </c>
      <c r="AD1714">
        <v>-0.20374909999999899</v>
      </c>
      <c r="AE1714">
        <v>10.1144999999999</v>
      </c>
      <c r="AF1714">
        <v>11.0800188540561</v>
      </c>
      <c r="AG1714">
        <v>-0.20374909999999899</v>
      </c>
      <c r="AH1714">
        <v>96.287864738255607</v>
      </c>
      <c r="AI1714">
        <v>90.120445241452899</v>
      </c>
      <c r="AJ1714">
        <v>83.4357429386164</v>
      </c>
      <c r="AK1714">
        <v>96.923481300222605</v>
      </c>
      <c r="AL1714">
        <v>79.657271867537503</v>
      </c>
      <c r="AM1714">
        <v>93.670315385405601</v>
      </c>
      <c r="AN1714">
        <v>1.0000000320514999</v>
      </c>
    </row>
    <row r="1715" spans="1:40" x14ac:dyDescent="0.25">
      <c r="A1715" t="str">
        <f>"20190304155356686"</f>
        <v>20190304155356686</v>
      </c>
      <c r="B1715" t="str">
        <f>"1551686036678113"</f>
        <v>1551686036678113</v>
      </c>
      <c r="C1715" t="s">
        <v>40</v>
      </c>
      <c r="D1715">
        <v>4.453837</v>
      </c>
      <c r="E1715">
        <v>0.5673878</v>
      </c>
      <c r="F1715" t="s">
        <v>66</v>
      </c>
      <c r="G1715">
        <v>-510.95389999999998</v>
      </c>
      <c r="H1715">
        <v>0.90356729999999996</v>
      </c>
      <c r="I1715">
        <v>294.71050000000002</v>
      </c>
      <c r="J1715">
        <v>-414.95400000000001</v>
      </c>
      <c r="K1715">
        <v>1.110007</v>
      </c>
      <c r="L1715">
        <v>284.55860000000001</v>
      </c>
      <c r="M1715">
        <v>-0.99985500000000005</v>
      </c>
      <c r="N1715">
        <v>-1.384728E-2</v>
      </c>
      <c r="O1715">
        <v>-9.9066450000000004E-3</v>
      </c>
      <c r="P1715">
        <v>-0.98346769999999994</v>
      </c>
      <c r="Q1715">
        <v>0.16577059999999999</v>
      </c>
      <c r="R1715">
        <v>-7.2879250000000007E-2</v>
      </c>
      <c r="S1715">
        <v>-3.0756230000000002</v>
      </c>
      <c r="T1715">
        <v>-6.5834519999999896E-3</v>
      </c>
      <c r="U1715">
        <v>0.32379150000000001</v>
      </c>
      <c r="V1715">
        <v>-6.3075000000000006E-2</v>
      </c>
      <c r="W1715">
        <v>0.1794027</v>
      </c>
      <c r="X1715">
        <v>0.98175159999999995</v>
      </c>
      <c r="Y1715">
        <v>0.11454350000000001</v>
      </c>
      <c r="Z1715">
        <v>8.0189849999999995E-4</v>
      </c>
      <c r="AA1715">
        <v>0.99341789999999996</v>
      </c>
      <c r="AB1715">
        <v>38</v>
      </c>
      <c r="AC1715">
        <v>-95.999899999999897</v>
      </c>
      <c r="AD1715">
        <v>-0.206439699999999</v>
      </c>
      <c r="AE1715">
        <v>10.151899999999999</v>
      </c>
      <c r="AF1715">
        <v>11.102479121654801</v>
      </c>
      <c r="AG1715">
        <v>-0.206439699999999</v>
      </c>
      <c r="AH1715">
        <v>95.894168732297899</v>
      </c>
      <c r="AI1715">
        <v>90.122526927761399</v>
      </c>
      <c r="AJ1715">
        <v>83.395787226828304</v>
      </c>
      <c r="AK1715">
        <v>96.534963908704796</v>
      </c>
      <c r="AL1715">
        <v>79.665029228349894</v>
      </c>
      <c r="AM1715">
        <v>93.6760532168434</v>
      </c>
      <c r="AN1715">
        <v>0.99999999424742403</v>
      </c>
    </row>
    <row r="1716" spans="1:40" x14ac:dyDescent="0.25">
      <c r="A1716" t="str">
        <f>"20190304155356708"</f>
        <v>20190304155356708</v>
      </c>
      <c r="B1716" t="str">
        <f>"1551686036698610"</f>
        <v>1551686036698610</v>
      </c>
      <c r="C1716" t="s">
        <v>40</v>
      </c>
      <c r="D1716">
        <v>4.4411139999999998</v>
      </c>
      <c r="E1716">
        <v>0.5676776</v>
      </c>
      <c r="F1716" t="s">
        <v>66</v>
      </c>
      <c r="G1716">
        <v>-510.95389999999998</v>
      </c>
      <c r="H1716">
        <v>0.87118169999999995</v>
      </c>
      <c r="I1716">
        <v>294.7321</v>
      </c>
      <c r="J1716">
        <v>-415.3313</v>
      </c>
      <c r="K1716">
        <v>1.1100110000000001</v>
      </c>
      <c r="L1716">
        <v>284.55500000000001</v>
      </c>
      <c r="M1716">
        <v>-0.99985550000000001</v>
      </c>
      <c r="N1716">
        <v>-1.3899679999999999E-2</v>
      </c>
      <c r="O1716">
        <v>-9.7978049999999997E-3</v>
      </c>
      <c r="P1716">
        <v>-0.98350300000000002</v>
      </c>
      <c r="Q1716">
        <v>0.1655731</v>
      </c>
      <c r="R1716">
        <v>-7.2854589999999997E-2</v>
      </c>
      <c r="S1716">
        <v>-3.0758359999999998</v>
      </c>
      <c r="T1716">
        <v>-7.6491830000000004E-3</v>
      </c>
      <c r="U1716">
        <v>0.32595829999999998</v>
      </c>
      <c r="V1716">
        <v>-6.315722E-2</v>
      </c>
      <c r="W1716">
        <v>0.17925679999999999</v>
      </c>
      <c r="X1716">
        <v>0.98177300000000001</v>
      </c>
      <c r="Y1716">
        <v>0.115119899999999</v>
      </c>
      <c r="Z1716">
        <v>8.3359269999999999E-4</v>
      </c>
      <c r="AA1716">
        <v>0.99335130000000005</v>
      </c>
      <c r="AB1716">
        <v>38</v>
      </c>
      <c r="AC1716">
        <v>-95.622599999999906</v>
      </c>
      <c r="AD1716">
        <v>-0.23882929999999999</v>
      </c>
      <c r="AE1716">
        <v>10.1770999999999</v>
      </c>
      <c r="AF1716">
        <v>11.113524860622899</v>
      </c>
      <c r="AG1716">
        <v>-0.23882929999999999</v>
      </c>
      <c r="AH1716">
        <v>95.517697221660001</v>
      </c>
      <c r="AI1716">
        <v>90.142300231706201</v>
      </c>
      <c r="AJ1716">
        <v>83.363451489955594</v>
      </c>
      <c r="AK1716">
        <v>96.162352076012297</v>
      </c>
      <c r="AL1716">
        <v>79.673526795037603</v>
      </c>
      <c r="AM1716">
        <v>93.680751876946303</v>
      </c>
      <c r="AN1716">
        <v>1.00000002915668</v>
      </c>
    </row>
    <row r="1717" spans="1:40" x14ac:dyDescent="0.25">
      <c r="A1717" t="str">
        <f>"20190304155356729"</f>
        <v>20190304155356729</v>
      </c>
      <c r="B1717" t="str">
        <f>"1551686036718130"</f>
        <v>1551686036718130</v>
      </c>
      <c r="C1717" t="s">
        <v>40</v>
      </c>
      <c r="D1717">
        <v>4.4261589999999904</v>
      </c>
      <c r="E1717">
        <v>0.56790090000000004</v>
      </c>
      <c r="F1717" t="s">
        <v>66</v>
      </c>
      <c r="G1717">
        <v>-510.95389999999998</v>
      </c>
      <c r="H1717">
        <v>0.8011857</v>
      </c>
      <c r="I1717">
        <v>294.7364</v>
      </c>
      <c r="J1717">
        <v>-415.70830000000001</v>
      </c>
      <c r="K1717">
        <v>1.110028</v>
      </c>
      <c r="L1717">
        <v>284.5514</v>
      </c>
      <c r="M1717">
        <v>-0.99985559999999996</v>
      </c>
      <c r="N1717">
        <v>-1.396681E-2</v>
      </c>
      <c r="O1717">
        <v>-9.6885930000000006E-3</v>
      </c>
      <c r="P1717">
        <v>-0.98358809999999997</v>
      </c>
      <c r="Q1717">
        <v>0.16505619999999999</v>
      </c>
      <c r="R1717">
        <v>-7.2877430000000007E-2</v>
      </c>
      <c r="S1717">
        <v>-3.076263</v>
      </c>
      <c r="T1717">
        <v>-9.9323989999999997E-3</v>
      </c>
      <c r="U1717">
        <v>0.32754519999999998</v>
      </c>
      <c r="V1717">
        <v>-6.3287010000000005E-2</v>
      </c>
      <c r="W1717">
        <v>0.17880689999999999</v>
      </c>
      <c r="X1717">
        <v>0.98184660000000001</v>
      </c>
      <c r="Y1717">
        <v>0.11550290000000001</v>
      </c>
      <c r="Z1717">
        <v>8.9113259999999998E-4</v>
      </c>
      <c r="AA1717">
        <v>0.99330680000000005</v>
      </c>
      <c r="AB1717">
        <v>38</v>
      </c>
      <c r="AC1717">
        <v>-95.245599999999897</v>
      </c>
      <c r="AD1717">
        <v>-0.30884229999999901</v>
      </c>
      <c r="AE1717">
        <v>10.185</v>
      </c>
      <c r="AF1717">
        <v>11.107292200390599</v>
      </c>
      <c r="AG1717">
        <v>-0.30884229999999901</v>
      </c>
      <c r="AH1717">
        <v>95.141451745163295</v>
      </c>
      <c r="AI1717">
        <v>90.184734722073799</v>
      </c>
      <c r="AJ1717">
        <v>83.3411450634283</v>
      </c>
      <c r="AK1717">
        <v>95.788115984021502</v>
      </c>
      <c r="AL1717">
        <v>79.699726653768195</v>
      </c>
      <c r="AM1717">
        <v>93.688019361402496</v>
      </c>
      <c r="AN1717">
        <v>0.99999994952695304</v>
      </c>
    </row>
    <row r="1718" spans="1:40" x14ac:dyDescent="0.25">
      <c r="A1718" t="str">
        <f>"20190304155356753"</f>
        <v>20190304155356753</v>
      </c>
      <c r="B1718" t="str">
        <f>"1551686036748386"</f>
        <v>1551686036748386</v>
      </c>
      <c r="C1718" t="s">
        <v>40</v>
      </c>
      <c r="D1718">
        <v>4.4470020000000003</v>
      </c>
      <c r="E1718">
        <v>0.56827179999999999</v>
      </c>
      <c r="F1718" t="s">
        <v>66</v>
      </c>
      <c r="G1718">
        <v>-510.95389999999998</v>
      </c>
      <c r="H1718">
        <v>0.74525509999999995</v>
      </c>
      <c r="I1718">
        <v>294.75170000000003</v>
      </c>
      <c r="J1718">
        <v>-416.1</v>
      </c>
      <c r="K1718">
        <v>1.110044</v>
      </c>
      <c r="L1718">
        <v>284.54770000000002</v>
      </c>
      <c r="M1718">
        <v>-0.99985559999999996</v>
      </c>
      <c r="N1718">
        <v>-1.405003E-2</v>
      </c>
      <c r="O1718">
        <v>-9.5750809999999992E-3</v>
      </c>
      <c r="P1718">
        <v>-0.98359289999999999</v>
      </c>
      <c r="Q1718">
        <v>0.16509389999999999</v>
      </c>
      <c r="R1718">
        <v>-7.2728769999999998E-2</v>
      </c>
      <c r="S1718">
        <v>-3.076416</v>
      </c>
      <c r="T1718">
        <v>-1.1779309999999999E-2</v>
      </c>
      <c r="U1718">
        <v>0.32946779999999998</v>
      </c>
      <c r="V1718">
        <v>-6.3250039999999993E-2</v>
      </c>
      <c r="W1718">
        <v>0.1789261</v>
      </c>
      <c r="X1718">
        <v>0.98182729999999996</v>
      </c>
      <c r="Y1718">
        <v>0.115998</v>
      </c>
      <c r="Z1718">
        <v>9.4112679999999998E-4</v>
      </c>
      <c r="AA1718">
        <v>0.99324900000000005</v>
      </c>
      <c r="AB1718">
        <v>38</v>
      </c>
      <c r="AC1718">
        <v>-94.853899999999896</v>
      </c>
      <c r="AD1718">
        <v>-0.36478890000000003</v>
      </c>
      <c r="AE1718">
        <v>10.204000000000001</v>
      </c>
      <c r="AF1718">
        <v>11.1116929649785</v>
      </c>
      <c r="AG1718">
        <v>-0.36478890000000003</v>
      </c>
      <c r="AH1718">
        <v>94.750451738319796</v>
      </c>
      <c r="AI1718">
        <v>90.219086068604696</v>
      </c>
      <c r="AJ1718">
        <v>83.311289652273103</v>
      </c>
      <c r="AK1718">
        <v>95.4004763934918</v>
      </c>
      <c r="AL1718">
        <v>79.692785389290194</v>
      </c>
      <c r="AM1718">
        <v>93.685943147816801</v>
      </c>
      <c r="AN1718">
        <v>0.99999998192325001</v>
      </c>
    </row>
    <row r="1719" spans="1:40" x14ac:dyDescent="0.25">
      <c r="A1719" t="str">
        <f>"20190304155356775"</f>
        <v>20190304155356775</v>
      </c>
      <c r="B1719" t="str">
        <f>"1551686036768412"</f>
        <v>1551686036768412</v>
      </c>
      <c r="C1719" t="s">
        <v>40</v>
      </c>
      <c r="D1719">
        <v>4.5060859999999998</v>
      </c>
      <c r="E1719">
        <v>0.56829379999999996</v>
      </c>
      <c r="F1719" t="s">
        <v>66</v>
      </c>
      <c r="G1719">
        <v>-510.95389999999998</v>
      </c>
      <c r="H1719">
        <v>0.71989820000000004</v>
      </c>
      <c r="I1719">
        <v>294.8306</v>
      </c>
      <c r="J1719">
        <v>-416.4769</v>
      </c>
      <c r="K1719">
        <v>1.1100570000000001</v>
      </c>
      <c r="L1719">
        <v>284.54419999999999</v>
      </c>
      <c r="M1719">
        <v>-0.9998553</v>
      </c>
      <c r="N1719">
        <v>-1.4136920000000001E-2</v>
      </c>
      <c r="O1719">
        <v>-9.4660009999999999E-3</v>
      </c>
      <c r="P1719">
        <v>-0.98365840000000004</v>
      </c>
      <c r="Q1719">
        <v>0.16482620000000001</v>
      </c>
      <c r="R1719">
        <v>-7.2448799999999994E-2</v>
      </c>
      <c r="S1719">
        <v>-3.0768740000000001</v>
      </c>
      <c r="T1719">
        <v>-1.2652750000000001E-2</v>
      </c>
      <c r="U1719">
        <v>0.3335571</v>
      </c>
      <c r="V1719">
        <v>-6.3076579999999993E-2</v>
      </c>
      <c r="W1719">
        <v>0.17874499999999999</v>
      </c>
      <c r="X1719">
        <v>0.98187150000000001</v>
      </c>
      <c r="Y1719">
        <v>0.1171784</v>
      </c>
      <c r="Z1719">
        <v>9.7636909999999997E-4</v>
      </c>
      <c r="AA1719">
        <v>0.99311039999999995</v>
      </c>
      <c r="AB1719">
        <v>38</v>
      </c>
      <c r="AC1719">
        <v>-94.476999999999904</v>
      </c>
      <c r="AD1719">
        <v>-0.39015879999999997</v>
      </c>
      <c r="AE1719">
        <v>10.2864</v>
      </c>
      <c r="AF1719">
        <v>11.180159326342499</v>
      </c>
      <c r="AG1719">
        <v>-0.39015879999999997</v>
      </c>
      <c r="AH1719">
        <v>94.373794833713703</v>
      </c>
      <c r="AI1719">
        <v>90.235225197228601</v>
      </c>
      <c r="AJ1719">
        <v>83.243842384464998</v>
      </c>
      <c r="AK1719">
        <v>95.034527082358395</v>
      </c>
      <c r="AL1719">
        <v>79.703332237401398</v>
      </c>
      <c r="AM1719">
        <v>93.675697370728599</v>
      </c>
      <c r="AN1719">
        <v>1.0000000362408701</v>
      </c>
    </row>
    <row r="1720" spans="1:40" x14ac:dyDescent="0.25">
      <c r="A1720" t="str">
        <f>"20190304155356797"</f>
        <v>20190304155356797</v>
      </c>
      <c r="B1720" t="str">
        <f>"1551686036787933"</f>
        <v>1551686036787933</v>
      </c>
      <c r="C1720" t="s">
        <v>40</v>
      </c>
      <c r="D1720">
        <v>4.5549980000000003</v>
      </c>
      <c r="E1720">
        <v>0.50904799999999994</v>
      </c>
      <c r="F1720" t="s">
        <v>66</v>
      </c>
      <c r="G1720">
        <v>-510.9538</v>
      </c>
      <c r="H1720">
        <v>0.67760430000000005</v>
      </c>
      <c r="I1720">
        <v>294.80799999999999</v>
      </c>
      <c r="J1720">
        <v>-416.85680000000002</v>
      </c>
      <c r="K1720">
        <v>1.110069</v>
      </c>
      <c r="L1720">
        <v>284.54070000000002</v>
      </c>
      <c r="M1720">
        <v>-0.9998551</v>
      </c>
      <c r="N1720">
        <v>-1.422344E-2</v>
      </c>
      <c r="O1720">
        <v>-9.3558540000000003E-3</v>
      </c>
      <c r="P1720">
        <v>-0.98365999999999998</v>
      </c>
      <c r="Q1720">
        <v>0.164770899999999</v>
      </c>
      <c r="R1720">
        <v>-7.2552859999999997E-2</v>
      </c>
      <c r="S1720">
        <v>-3.076813</v>
      </c>
      <c r="T1720">
        <v>-1.4080759999999999E-2</v>
      </c>
      <c r="U1720">
        <v>0.33425899999999997</v>
      </c>
      <c r="V1720">
        <v>-6.3288789999999998E-2</v>
      </c>
      <c r="W1720">
        <v>0.1787745</v>
      </c>
      <c r="X1720">
        <v>0.98185239999999996</v>
      </c>
      <c r="Y1720">
        <v>0.1172945</v>
      </c>
      <c r="Z1720">
        <v>1.014299E-3</v>
      </c>
      <c r="AA1720">
        <v>0.9930966</v>
      </c>
      <c r="AB1720">
        <v>38</v>
      </c>
      <c r="AC1720">
        <v>-94.096999999999895</v>
      </c>
      <c r="AD1720">
        <v>-0.43246469999999898</v>
      </c>
      <c r="AE1720">
        <v>10.267299999999899</v>
      </c>
      <c r="AF1720">
        <v>11.147064686834</v>
      </c>
      <c r="AG1720">
        <v>-0.43246469999999898</v>
      </c>
      <c r="AH1720">
        <v>93.994849685691506</v>
      </c>
      <c r="AI1720">
        <v>90.261778217280096</v>
      </c>
      <c r="AJ1720">
        <v>83.236750535389106</v>
      </c>
      <c r="AK1720">
        <v>94.654507786396195</v>
      </c>
      <c r="AL1720">
        <v>79.7016135902293</v>
      </c>
      <c r="AM1720">
        <v>93.688101077382299</v>
      </c>
      <c r="AN1720">
        <v>0.99999996408783598</v>
      </c>
    </row>
    <row r="1721" spans="1:40" x14ac:dyDescent="0.25">
      <c r="A1721" t="str">
        <f>"20190304155356820"</f>
        <v>20190304155356820</v>
      </c>
      <c r="B1721" t="str">
        <f>"1551686036808430"</f>
        <v>1551686036808430</v>
      </c>
      <c r="C1721" t="s">
        <v>40</v>
      </c>
      <c r="D1721">
        <v>4.5675140000000001</v>
      </c>
      <c r="E1721">
        <v>0.49706990000000001</v>
      </c>
      <c r="F1721" t="s">
        <v>68</v>
      </c>
      <c r="G1721">
        <v>-551.06190000000004</v>
      </c>
      <c r="H1721">
        <v>0.18938930000000001</v>
      </c>
      <c r="I1721">
        <v>278.48039999999997</v>
      </c>
      <c r="J1721">
        <v>-417.24130000000002</v>
      </c>
      <c r="K1721">
        <v>1.1100760000000001</v>
      </c>
      <c r="L1721">
        <v>284.53719999999998</v>
      </c>
      <c r="M1721">
        <v>-0.99985500000000005</v>
      </c>
      <c r="N1721">
        <v>-1.4305109999999999E-2</v>
      </c>
      <c r="O1721">
        <v>-9.2443639999999997E-3</v>
      </c>
      <c r="P1721">
        <v>-0.98364620000000003</v>
      </c>
      <c r="Q1721">
        <v>0.1646039</v>
      </c>
      <c r="R1721">
        <v>-7.3118639999999999E-2</v>
      </c>
      <c r="S1721">
        <v>-3.0431819999999998</v>
      </c>
      <c r="T1721">
        <v>-2.0875100000000001E-2</v>
      </c>
      <c r="U1721">
        <v>-0.13742070000000001</v>
      </c>
      <c r="V1721">
        <v>-6.3964460000000001E-2</v>
      </c>
      <c r="W1721">
        <v>0.1786877</v>
      </c>
      <c r="X1721">
        <v>0.98182449999999999</v>
      </c>
      <c r="Y1721">
        <v>-3.587075E-2</v>
      </c>
      <c r="Z1721">
        <v>-4.4850169999999999E-4</v>
      </c>
      <c r="AA1721">
        <v>0.99935629999999998</v>
      </c>
      <c r="AB1721">
        <v>38</v>
      </c>
      <c r="AC1721">
        <v>-133.82060000000001</v>
      </c>
      <c r="AD1721">
        <v>-0.92068669999999997</v>
      </c>
      <c r="AE1721">
        <v>-6.0568000000000097</v>
      </c>
      <c r="AF1721">
        <v>-4.81910063493486</v>
      </c>
      <c r="AG1721">
        <v>-0.92068669999999997</v>
      </c>
      <c r="AH1721">
        <v>133.86455420233099</v>
      </c>
      <c r="AI1721">
        <v>90.393804640172107</v>
      </c>
      <c r="AJ1721">
        <v>92.061747723973099</v>
      </c>
      <c r="AK1721">
        <v>133.954433546329</v>
      </c>
      <c r="AL1721">
        <v>79.706669122823101</v>
      </c>
      <c r="AM1721">
        <v>93.727470385960103</v>
      </c>
      <c r="AN1721">
        <v>1.0000000475373101</v>
      </c>
    </row>
    <row r="1722" spans="1:40" x14ac:dyDescent="0.25">
      <c r="A1722" t="str">
        <f>"20190304155356842"</f>
        <v>20190304155356842</v>
      </c>
      <c r="B1722" t="str">
        <f>"1551686036837709"</f>
        <v>1551686036837709</v>
      </c>
      <c r="C1722" t="s">
        <v>40</v>
      </c>
      <c r="D1722">
        <v>4.5474589999999999</v>
      </c>
      <c r="E1722">
        <v>0.4896046</v>
      </c>
      <c r="F1722" t="s">
        <v>51</v>
      </c>
      <c r="G1722">
        <v>-470.96940000000001</v>
      </c>
      <c r="H1722" s="1">
        <v>5.8167429999999998E-6</v>
      </c>
      <c r="I1722">
        <v>280.4126</v>
      </c>
      <c r="J1722">
        <v>-417.60719999999998</v>
      </c>
      <c r="K1722">
        <v>1.110087</v>
      </c>
      <c r="L1722">
        <v>284.53390000000002</v>
      </c>
      <c r="M1722">
        <v>-0.99985500000000005</v>
      </c>
      <c r="N1722">
        <v>-1.437577E-2</v>
      </c>
      <c r="O1722">
        <v>-9.1378129999999998E-3</v>
      </c>
      <c r="P1722">
        <v>-0.9837167</v>
      </c>
      <c r="Q1722">
        <v>0.1642402</v>
      </c>
      <c r="R1722">
        <v>-7.2985480000000005E-2</v>
      </c>
      <c r="S1722">
        <v>-3.0430600000000001</v>
      </c>
      <c r="T1722">
        <v>-6.2872410000000004E-2</v>
      </c>
      <c r="U1722">
        <v>-0.23361209999999999</v>
      </c>
      <c r="V1722">
        <v>-6.3935599999999995E-2</v>
      </c>
      <c r="W1722">
        <v>0.17839449999999901</v>
      </c>
      <c r="X1722">
        <v>0.98187970000000002</v>
      </c>
      <c r="Y1722">
        <v>-6.74043E-2</v>
      </c>
      <c r="Z1722">
        <v>-1.1232449999999999E-3</v>
      </c>
      <c r="AA1722">
        <v>0.99772510000000003</v>
      </c>
      <c r="AB1722">
        <v>38</v>
      </c>
      <c r="AC1722">
        <v>-53.362200000000001</v>
      </c>
      <c r="AD1722">
        <v>-1.1100811832569999</v>
      </c>
      <c r="AE1722">
        <v>-4.1213000000000104</v>
      </c>
      <c r="AF1722">
        <v>-3.6319013399154199</v>
      </c>
      <c r="AG1722">
        <v>-1.1100811832569999</v>
      </c>
      <c r="AH1722">
        <v>53.374673995711298</v>
      </c>
      <c r="AI1722">
        <v>91.188712173106197</v>
      </c>
      <c r="AJ1722">
        <v>93.892713970201001</v>
      </c>
      <c r="AK1722">
        <v>53.5096141989901</v>
      </c>
      <c r="AL1722">
        <v>79.723742618630197</v>
      </c>
      <c r="AM1722">
        <v>93.725584464619601</v>
      </c>
      <c r="AN1722">
        <v>1.00000005192484</v>
      </c>
    </row>
    <row r="1723" spans="1:40" x14ac:dyDescent="0.25">
      <c r="A1723" t="str">
        <f>"20190304155356864"</f>
        <v>20190304155356864</v>
      </c>
      <c r="B1723" t="str">
        <f>"1551686036858205"</f>
        <v>1551686036858205</v>
      </c>
      <c r="C1723" t="s">
        <v>40</v>
      </c>
      <c r="D1723">
        <v>4.509296</v>
      </c>
      <c r="E1723">
        <v>0.48718810000000001</v>
      </c>
      <c r="F1723" t="s">
        <v>63</v>
      </c>
      <c r="G1723">
        <v>-456.92399999999998</v>
      </c>
      <c r="H1723" s="1">
        <v>2.316676E-6</v>
      </c>
      <c r="I1723">
        <v>280.75290000000001</v>
      </c>
      <c r="J1723">
        <v>-418.00060000000002</v>
      </c>
      <c r="K1723">
        <v>1.1100939999999999</v>
      </c>
      <c r="L1723">
        <v>284.53039999999999</v>
      </c>
      <c r="M1723">
        <v>-0.9998551</v>
      </c>
      <c r="N1723">
        <v>-1.444373E-2</v>
      </c>
      <c r="O1723">
        <v>-9.0243210000000001E-3</v>
      </c>
      <c r="P1723">
        <v>-0.98366350000000002</v>
      </c>
      <c r="Q1723">
        <v>0.16452829999999999</v>
      </c>
      <c r="R1723">
        <v>-7.3053720000000003E-2</v>
      </c>
      <c r="S1723">
        <v>-3.0423279999999999</v>
      </c>
      <c r="T1723">
        <v>-8.5898279999999994E-2</v>
      </c>
      <c r="U1723">
        <v>-0.292572</v>
      </c>
      <c r="V1723">
        <v>-6.411588E-2</v>
      </c>
      <c r="W1723">
        <v>0.17874870000000001</v>
      </c>
      <c r="X1723">
        <v>0.98180350000000005</v>
      </c>
      <c r="Y1723">
        <v>-8.668679E-2</v>
      </c>
      <c r="Z1723">
        <v>-1.7243429999999999E-3</v>
      </c>
      <c r="AA1723">
        <v>0.99623410000000001</v>
      </c>
      <c r="AB1723">
        <v>38</v>
      </c>
      <c r="AC1723">
        <v>-38.923400000000001</v>
      </c>
      <c r="AD1723">
        <v>-1.110091683324</v>
      </c>
      <c r="AE1723">
        <v>-3.7774999999999701</v>
      </c>
      <c r="AF1723">
        <v>-3.42329382097209</v>
      </c>
      <c r="AG1723">
        <v>-1.110091683324</v>
      </c>
      <c r="AH1723">
        <v>38.924542410813103</v>
      </c>
      <c r="AI1723">
        <v>91.627301666531494</v>
      </c>
      <c r="AJ1723">
        <v>95.026055975652298</v>
      </c>
      <c r="AK1723">
        <v>39.090551876652697</v>
      </c>
      <c r="AL1723">
        <v>79.703116689460103</v>
      </c>
      <c r="AM1723">
        <v>93.736348973161896</v>
      </c>
      <c r="AN1723">
        <v>1.0000000282160499</v>
      </c>
    </row>
    <row r="1724" spans="1:40" x14ac:dyDescent="0.25">
      <c r="A1724" t="str">
        <f>"20190304155356887"</f>
        <v>20190304155356887</v>
      </c>
      <c r="B1724" t="str">
        <f>"1551686036878234"</f>
        <v>1551686036878234</v>
      </c>
      <c r="C1724" t="s">
        <v>40</v>
      </c>
      <c r="D1724">
        <v>4.5606540000000004</v>
      </c>
      <c r="E1724">
        <v>0.48589500000000002</v>
      </c>
      <c r="F1724" t="s">
        <v>63</v>
      </c>
      <c r="G1724">
        <v>-454.8159</v>
      </c>
      <c r="H1724" s="1">
        <v>1.194594E-6</v>
      </c>
      <c r="I1724">
        <v>280.7595</v>
      </c>
      <c r="J1724">
        <v>-418.37509999999997</v>
      </c>
      <c r="K1724">
        <v>1.1101030000000001</v>
      </c>
      <c r="L1724">
        <v>284.52719999999999</v>
      </c>
      <c r="M1724">
        <v>-0.99985520000000006</v>
      </c>
      <c r="N1724">
        <v>-1.450123E-2</v>
      </c>
      <c r="O1724">
        <v>-8.9157690000000005E-3</v>
      </c>
      <c r="P1724">
        <v>-0.98360159999999996</v>
      </c>
      <c r="Q1724">
        <v>0.1649207</v>
      </c>
      <c r="R1724">
        <v>-7.3000190000000006E-2</v>
      </c>
      <c r="S1724">
        <v>-3.041992</v>
      </c>
      <c r="T1724">
        <v>-9.1725230000000005E-2</v>
      </c>
      <c r="U1724">
        <v>-0.31158449999999999</v>
      </c>
      <c r="V1724">
        <v>-6.4170030000000003E-2</v>
      </c>
      <c r="W1724">
        <v>0.1791962</v>
      </c>
      <c r="X1724">
        <v>0.98171839999999999</v>
      </c>
      <c r="Y1724">
        <v>-9.2959269999999997E-2</v>
      </c>
      <c r="Z1724">
        <v>-1.9344779999999999E-3</v>
      </c>
      <c r="AA1724">
        <v>0.99566809999999994</v>
      </c>
      <c r="AB1724">
        <v>38</v>
      </c>
      <c r="AC1724">
        <v>-36.440800000000003</v>
      </c>
      <c r="AD1724">
        <v>-1.1101018054059999</v>
      </c>
      <c r="AE1724">
        <v>-3.7676999999999898</v>
      </c>
      <c r="AF1724">
        <v>-3.4394602547428699</v>
      </c>
      <c r="AG1724">
        <v>-1.1101018054059999</v>
      </c>
      <c r="AH1724">
        <v>36.439488462670496</v>
      </c>
      <c r="AI1724">
        <v>91.737216828375097</v>
      </c>
      <c r="AJ1724">
        <v>95.392074415170597</v>
      </c>
      <c r="AK1724">
        <v>36.618281394454002</v>
      </c>
      <c r="AL1724">
        <v>79.677056219261601</v>
      </c>
      <c r="AM1724">
        <v>93.739818848514304</v>
      </c>
      <c r="AN1724">
        <v>1.0000000438715899</v>
      </c>
    </row>
    <row r="1725" spans="1:40" x14ac:dyDescent="0.25">
      <c r="A1725" t="str">
        <f>"20190304155356910"</f>
        <v>20190304155356910</v>
      </c>
      <c r="B1725" t="str">
        <f>"1551686036897751"</f>
        <v>1551686036897751</v>
      </c>
      <c r="C1725" t="s">
        <v>40</v>
      </c>
      <c r="D1725">
        <v>4.5750999999999999</v>
      </c>
      <c r="E1725">
        <v>0.48505979999999999</v>
      </c>
      <c r="F1725" t="s">
        <v>63</v>
      </c>
      <c r="G1725">
        <v>-454.19130000000001</v>
      </c>
      <c r="H1725" s="1">
        <v>8.6308120000000004E-7</v>
      </c>
      <c r="I1725">
        <v>280.73930000000001</v>
      </c>
      <c r="J1725">
        <v>-418.76130000000001</v>
      </c>
      <c r="K1725">
        <v>1.1101049999999999</v>
      </c>
      <c r="L1725">
        <v>284.52379999999999</v>
      </c>
      <c r="M1725">
        <v>-0.9998553</v>
      </c>
      <c r="N1725">
        <v>-1.455359E-2</v>
      </c>
      <c r="O1725">
        <v>-8.8036139999999995E-3</v>
      </c>
      <c r="P1725">
        <v>-0.98359229999999997</v>
      </c>
      <c r="Q1725">
        <v>0.16508010000000001</v>
      </c>
      <c r="R1725">
        <v>-7.2765780000000002E-2</v>
      </c>
      <c r="S1725">
        <v>-3.0419619999999998</v>
      </c>
      <c r="T1725">
        <v>-9.4283939999999997E-2</v>
      </c>
      <c r="U1725">
        <v>-0.32171630000000001</v>
      </c>
      <c r="V1725">
        <v>-6.4045350000000001E-2</v>
      </c>
      <c r="W1725">
        <v>0.17940690000000001</v>
      </c>
      <c r="X1725">
        <v>0.98168800000000001</v>
      </c>
      <c r="Y1725">
        <v>-9.6346899999999999E-2</v>
      </c>
      <c r="Z1725">
        <v>-2.0477020000000002E-3</v>
      </c>
      <c r="AA1725">
        <v>0.9953457</v>
      </c>
      <c r="AB1725">
        <v>38</v>
      </c>
      <c r="AC1725">
        <v>-35.43</v>
      </c>
      <c r="AD1725">
        <v>-1.1101041369187901</v>
      </c>
      <c r="AE1725">
        <v>-3.7844999999999702</v>
      </c>
      <c r="AF1725">
        <v>-3.4690410286417501</v>
      </c>
      <c r="AG1725">
        <v>-1.1101041369187901</v>
      </c>
      <c r="AH1725">
        <v>35.427560119375599</v>
      </c>
      <c r="AI1725">
        <v>91.786208912847002</v>
      </c>
      <c r="AJ1725">
        <v>95.592532628585602</v>
      </c>
      <c r="AK1725">
        <v>35.614303206228499</v>
      </c>
      <c r="AL1725">
        <v>79.664784531002198</v>
      </c>
      <c r="AM1725">
        <v>93.732688339735802</v>
      </c>
      <c r="AN1725">
        <v>0.99999998598411599</v>
      </c>
    </row>
    <row r="1726" spans="1:40" x14ac:dyDescent="0.25">
      <c r="A1726" t="str">
        <f>"20190304155356932"</f>
        <v>20190304155356932</v>
      </c>
      <c r="B1726" t="str">
        <f>"1551686036928007"</f>
        <v>1551686036928007</v>
      </c>
      <c r="C1726" t="s">
        <v>40</v>
      </c>
      <c r="D1726">
        <v>4.5782829999999999</v>
      </c>
      <c r="E1726">
        <v>0.4838845</v>
      </c>
      <c r="F1726" t="s">
        <v>63</v>
      </c>
      <c r="G1726">
        <v>-453.7278</v>
      </c>
      <c r="H1726" s="1">
        <v>6.1559829999999995E-7</v>
      </c>
      <c r="I1726">
        <v>280.75779999999997</v>
      </c>
      <c r="J1726">
        <v>-419.14</v>
      </c>
      <c r="K1726">
        <v>1.110114</v>
      </c>
      <c r="L1726">
        <v>284.5206</v>
      </c>
      <c r="M1726">
        <v>-0.99985579999999996</v>
      </c>
      <c r="N1726">
        <v>-1.4598440000000001E-2</v>
      </c>
      <c r="O1726">
        <v>-8.6936719999999995E-3</v>
      </c>
      <c r="P1726">
        <v>-0.98355159999999997</v>
      </c>
      <c r="Q1726">
        <v>0.16526649999999901</v>
      </c>
      <c r="R1726">
        <v>-7.2897779999999995E-2</v>
      </c>
      <c r="S1726">
        <v>-3.041992</v>
      </c>
      <c r="T1726">
        <v>-9.6576209999999996E-2</v>
      </c>
      <c r="U1726">
        <v>-0.3276367</v>
      </c>
      <c r="V1726">
        <v>-6.4286040000000003E-2</v>
      </c>
      <c r="W1726">
        <v>0.179636299999999</v>
      </c>
      <c r="X1726">
        <v>0.98163029999999996</v>
      </c>
      <c r="Y1726">
        <v>-9.8366190000000006E-2</v>
      </c>
      <c r="Z1726">
        <v>-2.1283750000000001E-3</v>
      </c>
      <c r="AA1726">
        <v>0.99514800000000003</v>
      </c>
      <c r="AB1726">
        <v>38</v>
      </c>
      <c r="AC1726">
        <v>-34.587800000000001</v>
      </c>
      <c r="AD1726">
        <v>-1.1101133844016999</v>
      </c>
      <c r="AE1726">
        <v>-3.7628000000000199</v>
      </c>
      <c r="AF1726">
        <v>-3.4584098691991199</v>
      </c>
      <c r="AG1726">
        <v>-1.1101133844016999</v>
      </c>
      <c r="AH1726">
        <v>34.583999612165698</v>
      </c>
      <c r="AI1726">
        <v>91.829390579045693</v>
      </c>
      <c r="AJ1726">
        <v>95.710609389666004</v>
      </c>
      <c r="AK1726">
        <v>34.7742142934082</v>
      </c>
      <c r="AL1726">
        <v>79.651423659785294</v>
      </c>
      <c r="AM1726">
        <v>93.746895944372596</v>
      </c>
      <c r="AN1726">
        <v>0.99999997054733003</v>
      </c>
    </row>
    <row r="1727" spans="1:40" x14ac:dyDescent="0.25">
      <c r="A1727" t="str">
        <f>"20190304155356955"</f>
        <v>20190304155356955</v>
      </c>
      <c r="B1727" t="str">
        <f>"1551686036948503"</f>
        <v>1551686036948503</v>
      </c>
      <c r="C1727" t="s">
        <v>40</v>
      </c>
      <c r="D1727">
        <v>4.5849140000000004</v>
      </c>
      <c r="E1727">
        <v>0.48355629999999999</v>
      </c>
      <c r="F1727" t="s">
        <v>63</v>
      </c>
      <c r="G1727">
        <v>-452.82299999999998</v>
      </c>
      <c r="H1727" s="1">
        <v>1.3263329999999899E-7</v>
      </c>
      <c r="I1727">
        <v>280.7921</v>
      </c>
      <c r="J1727">
        <v>-419.5204</v>
      </c>
      <c r="K1727">
        <v>1.1101219999999901</v>
      </c>
      <c r="L1727">
        <v>284.51740000000001</v>
      </c>
      <c r="M1727">
        <v>-0.99985619999999997</v>
      </c>
      <c r="N1727">
        <v>-1.4637529999999999E-2</v>
      </c>
      <c r="O1727">
        <v>-8.5828559999999998E-3</v>
      </c>
      <c r="P1727">
        <v>-0.98343899999999995</v>
      </c>
      <c r="Q1727">
        <v>0.16592950000000001</v>
      </c>
      <c r="R1727">
        <v>-7.2907769999999997E-2</v>
      </c>
      <c r="S1727">
        <v>-3.0420530000000001</v>
      </c>
      <c r="T1727">
        <v>-0.1002589</v>
      </c>
      <c r="U1727">
        <v>-0.336731</v>
      </c>
      <c r="V1727">
        <v>-6.4406359999999996E-2</v>
      </c>
      <c r="W1727">
        <v>0.18033560000000001</v>
      </c>
      <c r="X1727">
        <v>0.98149419999999998</v>
      </c>
      <c r="Y1727">
        <v>-0.10140689999999999</v>
      </c>
      <c r="Z1727">
        <v>-2.2536489999999999E-3</v>
      </c>
      <c r="AA1727">
        <v>0.99484249999999996</v>
      </c>
      <c r="AB1727">
        <v>38</v>
      </c>
      <c r="AC1727">
        <v>-33.302599999999998</v>
      </c>
      <c r="AD1727">
        <v>-1.1101218673666999</v>
      </c>
      <c r="AE1727">
        <v>-3.7252999999999998</v>
      </c>
      <c r="AF1727">
        <v>-3.4355304388278101</v>
      </c>
      <c r="AG1727">
        <v>-1.1101218673666999</v>
      </c>
      <c r="AH1727">
        <v>33.296808672842197</v>
      </c>
      <c r="AI1727">
        <v>91.899468190457</v>
      </c>
      <c r="AJ1727">
        <v>95.890874008118104</v>
      </c>
      <c r="AK1727">
        <v>33.491979752656903</v>
      </c>
      <c r="AL1727">
        <v>79.610691694778893</v>
      </c>
      <c r="AM1727">
        <v>93.754407781549403</v>
      </c>
      <c r="AN1727">
        <v>0.99999998623472397</v>
      </c>
    </row>
    <row r="1728" spans="1:40" x14ac:dyDescent="0.25">
      <c r="A1728" t="str">
        <f>"20190304155356976"</f>
        <v>20190304155356976</v>
      </c>
      <c r="B1728" t="str">
        <f>"1551686036968529"</f>
        <v>1551686036968529</v>
      </c>
      <c r="C1728" t="s">
        <v>40</v>
      </c>
      <c r="D1728">
        <v>4.5691639999999998</v>
      </c>
      <c r="E1728">
        <v>0.48319770000000001</v>
      </c>
      <c r="F1728" t="s">
        <v>63</v>
      </c>
      <c r="G1728">
        <v>-453.5548</v>
      </c>
      <c r="H1728" s="1">
        <v>5.251644E-7</v>
      </c>
      <c r="I1728">
        <v>280.72140000000002</v>
      </c>
      <c r="J1728">
        <v>-419.87979999999999</v>
      </c>
      <c r="K1728">
        <v>1.1101289999999999</v>
      </c>
      <c r="L1728">
        <v>284.51440000000002</v>
      </c>
      <c r="M1728">
        <v>-0.99985659999999998</v>
      </c>
      <c r="N1728">
        <v>-1.466932E-2</v>
      </c>
      <c r="O1728">
        <v>-8.4785399999999997E-3</v>
      </c>
      <c r="P1728">
        <v>-0.98345249999999995</v>
      </c>
      <c r="Q1728">
        <v>0.16580139999999999</v>
      </c>
      <c r="R1728">
        <v>-7.301705E-2</v>
      </c>
      <c r="S1728">
        <v>-3.042084</v>
      </c>
      <c r="T1728">
        <v>-9.9225640000000004E-2</v>
      </c>
      <c r="U1728">
        <v>-0.3392944</v>
      </c>
      <c r="V1728">
        <v>-6.4618129999999996E-2</v>
      </c>
      <c r="W1728">
        <v>0.1802395</v>
      </c>
      <c r="X1728">
        <v>0.98149790000000003</v>
      </c>
      <c r="Y1728">
        <v>-0.1023382</v>
      </c>
      <c r="Z1728">
        <v>-2.26509E-3</v>
      </c>
      <c r="AA1728">
        <v>0.9947471</v>
      </c>
      <c r="AB1728">
        <v>38</v>
      </c>
      <c r="AC1728">
        <v>-33.674999999999997</v>
      </c>
      <c r="AD1728">
        <v>-1.1101284748356</v>
      </c>
      <c r="AE1728">
        <v>-3.7930000000000001</v>
      </c>
      <c r="AF1728">
        <v>-3.5035583134722201</v>
      </c>
      <c r="AG1728">
        <v>-1.1101284748356</v>
      </c>
      <c r="AH1728">
        <v>33.669819491303002</v>
      </c>
      <c r="AI1728">
        <v>91.878282450389904</v>
      </c>
      <c r="AJ1728">
        <v>95.940609800993499</v>
      </c>
      <c r="AK1728">
        <v>33.869810313367097</v>
      </c>
      <c r="AL1728">
        <v>79.616289206414393</v>
      </c>
      <c r="AM1728">
        <v>93.766702745829093</v>
      </c>
      <c r="AN1728">
        <v>0.999999953894677</v>
      </c>
    </row>
    <row r="1729" spans="1:40" x14ac:dyDescent="0.25">
      <c r="A1729" t="str">
        <f>"20190304155356998"</f>
        <v>20190304155356998</v>
      </c>
      <c r="B1729" t="str">
        <f>"1551686036988050"</f>
        <v>1551686036988050</v>
      </c>
      <c r="C1729" t="s">
        <v>40</v>
      </c>
      <c r="D1729">
        <v>4.6196869999999999</v>
      </c>
      <c r="E1729">
        <v>0.48302329999999999</v>
      </c>
      <c r="F1729" t="s">
        <v>63</v>
      </c>
      <c r="G1729">
        <v>-452.48689999999999</v>
      </c>
      <c r="H1729" s="1">
        <v>-4.826931E-8</v>
      </c>
      <c r="I1729">
        <v>280.83920000000001</v>
      </c>
      <c r="J1729">
        <v>-420.2586</v>
      </c>
      <c r="K1729">
        <v>1.1101270000000001</v>
      </c>
      <c r="L1729">
        <v>284.51130000000001</v>
      </c>
      <c r="M1729">
        <v>-0.99985710000000005</v>
      </c>
      <c r="N1729">
        <v>-1.4698289999999999E-2</v>
      </c>
      <c r="O1729">
        <v>-8.368014E-3</v>
      </c>
      <c r="P1729">
        <v>-0.98346509999999998</v>
      </c>
      <c r="Q1729">
        <v>0.165705399999999</v>
      </c>
      <c r="R1729">
        <v>-7.3064110000000002E-2</v>
      </c>
      <c r="S1729">
        <v>-3.0424799999999999</v>
      </c>
      <c r="T1729">
        <v>-0.1035831</v>
      </c>
      <c r="U1729">
        <v>-0.34292600000000001</v>
      </c>
      <c r="V1729">
        <v>-6.4774330000000005E-2</v>
      </c>
      <c r="W1729">
        <v>0.1801719</v>
      </c>
      <c r="X1729">
        <v>0.98150000000000004</v>
      </c>
      <c r="Y1729">
        <v>-0.1035997</v>
      </c>
      <c r="Z1729">
        <v>-2.3603449999999998E-3</v>
      </c>
      <c r="AA1729">
        <v>0.99461630000000001</v>
      </c>
      <c r="AB1729">
        <v>38</v>
      </c>
      <c r="AC1729">
        <v>-32.228299999999898</v>
      </c>
      <c r="AD1729">
        <v>-1.11012704826931</v>
      </c>
      <c r="AE1729">
        <v>-3.6720999999999999</v>
      </c>
      <c r="AF1729">
        <v>-3.3982750349903799</v>
      </c>
      <c r="AG1729">
        <v>-1.11012704826931</v>
      </c>
      <c r="AH1729">
        <v>32.2201633403606</v>
      </c>
      <c r="AI1729">
        <v>91.962435953946397</v>
      </c>
      <c r="AJ1729">
        <v>96.0207523470079</v>
      </c>
      <c r="AK1729">
        <v>32.4178898288623</v>
      </c>
      <c r="AL1729">
        <v>79.6202267053215</v>
      </c>
      <c r="AM1729">
        <v>93.775773552507601</v>
      </c>
      <c r="AN1729">
        <v>0.99999993868827697</v>
      </c>
    </row>
    <row r="1730" spans="1:40" x14ac:dyDescent="0.25">
      <c r="A1730" t="str">
        <f>"20190304155357020"</f>
        <v>20190304155357020</v>
      </c>
      <c r="B1730" t="str">
        <f>"1551686037018305"</f>
        <v>1551686037018305</v>
      </c>
      <c r="C1730" t="s">
        <v>40</v>
      </c>
      <c r="D1730">
        <v>4.5995019999999904</v>
      </c>
      <c r="E1730">
        <v>0.48272330000000002</v>
      </c>
      <c r="F1730" t="s">
        <v>63</v>
      </c>
      <c r="G1730">
        <v>-452.6687</v>
      </c>
      <c r="H1730" s="1">
        <v>4.822422E-8</v>
      </c>
      <c r="I1730">
        <v>280.84519999999998</v>
      </c>
      <c r="J1730">
        <v>-420.62569999999999</v>
      </c>
      <c r="K1730">
        <v>1.110128</v>
      </c>
      <c r="L1730">
        <v>284.50839999999999</v>
      </c>
      <c r="M1730">
        <v>-0.99985760000000001</v>
      </c>
      <c r="N1730">
        <v>-1.4722280000000001E-2</v>
      </c>
      <c r="O1730">
        <v>-8.2606669999999993E-3</v>
      </c>
      <c r="P1730">
        <v>-0.98348340000000001</v>
      </c>
      <c r="Q1730">
        <v>0.165563299999999</v>
      </c>
      <c r="R1730">
        <v>-7.3138670000000003E-2</v>
      </c>
      <c r="S1730">
        <v>-3.0424500000000001</v>
      </c>
      <c r="T1730">
        <v>-0.1042114</v>
      </c>
      <c r="U1730">
        <v>-0.34414670000000003</v>
      </c>
      <c r="V1730">
        <v>-6.495455E-2</v>
      </c>
      <c r="W1730">
        <v>0.1800533</v>
      </c>
      <c r="X1730">
        <v>0.98150990000000005</v>
      </c>
      <c r="Y1730">
        <v>-0.10410030000000001</v>
      </c>
      <c r="Z1730">
        <v>-2.3850550000000001E-3</v>
      </c>
      <c r="AA1730">
        <v>0.99456389999999995</v>
      </c>
      <c r="AB1730">
        <v>38</v>
      </c>
      <c r="AC1730">
        <v>-32.042999999999999</v>
      </c>
      <c r="AD1730">
        <v>-1.1101279517757801</v>
      </c>
      <c r="AE1730">
        <v>-3.66320000000001</v>
      </c>
      <c r="AF1730">
        <v>-3.3943282103475698</v>
      </c>
      <c r="AG1730">
        <v>-1.1101279517757801</v>
      </c>
      <c r="AH1730">
        <v>32.034216465100499</v>
      </c>
      <c r="AI1730">
        <v>91.973718967538503</v>
      </c>
      <c r="AJ1730">
        <v>96.048460935673205</v>
      </c>
      <c r="AK1730">
        <v>32.232667785986798</v>
      </c>
      <c r="AL1730">
        <v>79.627135439146102</v>
      </c>
      <c r="AM1730">
        <v>93.786210199375802</v>
      </c>
      <c r="AN1730">
        <v>0.99999998410230095</v>
      </c>
    </row>
    <row r="1731" spans="1:40" x14ac:dyDescent="0.25">
      <c r="A1731" t="str">
        <f>"20190304155357043"</f>
        <v>20190304155357043</v>
      </c>
      <c r="B1731" t="str">
        <f>"1551686037037830"</f>
        <v>1551686037037830</v>
      </c>
      <c r="C1731" t="s">
        <v>40</v>
      </c>
      <c r="D1731">
        <v>4.6191230000000001</v>
      </c>
      <c r="E1731">
        <v>0.48256189999999999</v>
      </c>
      <c r="F1731" t="s">
        <v>63</v>
      </c>
      <c r="G1731">
        <v>-452.63310000000001</v>
      </c>
      <c r="H1731" s="1">
        <v>2.835759E-8</v>
      </c>
      <c r="I1731">
        <v>280.8655</v>
      </c>
      <c r="J1731">
        <v>-421.00349999999997</v>
      </c>
      <c r="K1731">
        <v>1.1101299999999901</v>
      </c>
      <c r="L1731">
        <v>284.50529999999998</v>
      </c>
      <c r="M1731">
        <v>-0.99985809999999997</v>
      </c>
      <c r="N1731">
        <v>-1.474315E-2</v>
      </c>
      <c r="O1731">
        <v>-8.14743699999999E-3</v>
      </c>
      <c r="P1731">
        <v>-0.9834427</v>
      </c>
      <c r="Q1731">
        <v>0.1656676</v>
      </c>
      <c r="R1731">
        <v>-7.3450459999999995E-2</v>
      </c>
      <c r="S1731">
        <v>-3.0423279999999999</v>
      </c>
      <c r="T1731">
        <v>-0.1055185</v>
      </c>
      <c r="U1731">
        <v>-0.34625240000000002</v>
      </c>
      <c r="V1731">
        <v>-6.537751E-2</v>
      </c>
      <c r="W1731">
        <v>0.180178</v>
      </c>
      <c r="X1731">
        <v>0.98145899999999997</v>
      </c>
      <c r="Y1731">
        <v>-0.1048944</v>
      </c>
      <c r="Z1731">
        <v>-2.426933E-3</v>
      </c>
      <c r="AA1731">
        <v>0.99448040000000004</v>
      </c>
      <c r="AB1731">
        <v>38</v>
      </c>
      <c r="AC1731">
        <v>-31.6296</v>
      </c>
      <c r="AD1731">
        <v>-1.1101299716424</v>
      </c>
      <c r="AE1731">
        <v>-3.6397999999999802</v>
      </c>
      <c r="AF1731">
        <v>-3.37784433669104</v>
      </c>
      <c r="AG1731">
        <v>-1.1101299716424</v>
      </c>
      <c r="AH1731">
        <v>31.619766259576199</v>
      </c>
      <c r="AI1731">
        <v>91.999389555704894</v>
      </c>
      <c r="AJ1731">
        <v>96.097610301913406</v>
      </c>
      <c r="AK1731">
        <v>31.819048370859399</v>
      </c>
      <c r="AL1731">
        <v>79.619872550025804</v>
      </c>
      <c r="AM1731">
        <v>93.810989239918797</v>
      </c>
      <c r="AN1731">
        <v>1.0000000495893899</v>
      </c>
    </row>
    <row r="1732" spans="1:40" x14ac:dyDescent="0.25">
      <c r="A1732" t="str">
        <f>"20190304155357065"</f>
        <v>20190304155357065</v>
      </c>
      <c r="B1732" t="str">
        <f>"1551686037058322"</f>
        <v>1551686037058322</v>
      </c>
      <c r="C1732" t="s">
        <v>40</v>
      </c>
      <c r="D1732">
        <v>4.5776139999999996</v>
      </c>
      <c r="E1732">
        <v>0.4823267</v>
      </c>
      <c r="F1732" t="s">
        <v>63</v>
      </c>
      <c r="G1732">
        <v>-453.041</v>
      </c>
      <c r="H1732" s="1">
        <v>2.4693240000000003E-7</v>
      </c>
      <c r="I1732">
        <v>280.83190000000002</v>
      </c>
      <c r="J1732">
        <v>-421.38679999999999</v>
      </c>
      <c r="K1732">
        <v>1.110123</v>
      </c>
      <c r="L1732">
        <v>284.50229999999999</v>
      </c>
      <c r="M1732">
        <v>-0.99985900000000005</v>
      </c>
      <c r="N1732">
        <v>-1.4760809999999999E-2</v>
      </c>
      <c r="O1732">
        <v>-8.027836E-3</v>
      </c>
      <c r="P1732">
        <v>-0.98343219999999998</v>
      </c>
      <c r="Q1732">
        <v>0.16571520000000001</v>
      </c>
      <c r="R1732">
        <v>-7.3485270000000005E-2</v>
      </c>
      <c r="S1732">
        <v>-3.0422060000000002</v>
      </c>
      <c r="T1732">
        <v>-0.1054152</v>
      </c>
      <c r="U1732">
        <v>-0.34881590000000001</v>
      </c>
      <c r="V1732">
        <v>-6.5528820000000002E-2</v>
      </c>
      <c r="W1732">
        <v>0.18024319999999999</v>
      </c>
      <c r="X1732">
        <v>0.98143689999999995</v>
      </c>
      <c r="Y1732">
        <v>-0.1058443</v>
      </c>
      <c r="Z1732">
        <v>-2.4523320000000002E-3</v>
      </c>
      <c r="AA1732">
        <v>0.99437969999999998</v>
      </c>
      <c r="AB1732">
        <v>38</v>
      </c>
      <c r="AC1732">
        <v>-31.654199999999999</v>
      </c>
      <c r="AD1732">
        <v>-1.1101227530676001</v>
      </c>
      <c r="AE1732">
        <v>-3.6703999999999701</v>
      </c>
      <c r="AF1732">
        <v>-3.4119984956568699</v>
      </c>
      <c r="AG1732">
        <v>-1.1101227530676001</v>
      </c>
      <c r="AH1732">
        <v>31.644244573394801</v>
      </c>
      <c r="AI1732">
        <v>91.997620116909104</v>
      </c>
      <c r="AJ1732">
        <v>96.154065613849298</v>
      </c>
      <c r="AK1732">
        <v>31.847014316605399</v>
      </c>
      <c r="AL1732">
        <v>79.616074303221097</v>
      </c>
      <c r="AM1732">
        <v>93.819869088122005</v>
      </c>
      <c r="AN1732">
        <v>1.0000000130392199</v>
      </c>
    </row>
    <row r="1733" spans="1:40" x14ac:dyDescent="0.25">
      <c r="A1733" t="str">
        <f>"20190304155357088"</f>
        <v>20190304155357088</v>
      </c>
      <c r="B1733" t="str">
        <f>"1551686037078302"</f>
        <v>1551686037078302</v>
      </c>
      <c r="C1733" t="s">
        <v>40</v>
      </c>
      <c r="D1733">
        <v>4.6072920000000002</v>
      </c>
      <c r="E1733">
        <v>0.4821723</v>
      </c>
      <c r="F1733" t="s">
        <v>63</v>
      </c>
      <c r="G1733">
        <v>-453.21929999999998</v>
      </c>
      <c r="H1733" s="1">
        <v>3.4165780000000002E-7</v>
      </c>
      <c r="I1733">
        <v>280.83519999999999</v>
      </c>
      <c r="J1733">
        <v>-421.75650000000002</v>
      </c>
      <c r="K1733">
        <v>1.11012</v>
      </c>
      <c r="L1733">
        <v>284.49950000000001</v>
      </c>
      <c r="M1733">
        <v>-0.99985979999999997</v>
      </c>
      <c r="N1733">
        <v>-1.477505E-2</v>
      </c>
      <c r="O1733">
        <v>-7.9078369999999992E-3</v>
      </c>
      <c r="P1733">
        <v>-0.98348219999999997</v>
      </c>
      <c r="Q1733">
        <v>0.1652941</v>
      </c>
      <c r="R1733">
        <v>-7.3760640000000002E-2</v>
      </c>
      <c r="S1733">
        <v>-3.0422359999999999</v>
      </c>
      <c r="T1733">
        <v>-0.10609440000000001</v>
      </c>
      <c r="U1733">
        <v>-0.35046389999999999</v>
      </c>
      <c r="V1733">
        <v>-6.5920350000000003E-2</v>
      </c>
      <c r="W1733">
        <v>0.17983750000000001</v>
      </c>
      <c r="X1733">
        <v>0.9814851</v>
      </c>
      <c r="Y1733">
        <v>-0.1064925</v>
      </c>
      <c r="Z1733">
        <v>-2.4816149999999999E-3</v>
      </c>
      <c r="AA1733">
        <v>0.99431040000000004</v>
      </c>
      <c r="AB1733">
        <v>38</v>
      </c>
      <c r="AC1733">
        <v>-31.462799999999898</v>
      </c>
      <c r="AD1733">
        <v>-1.1101196583421999</v>
      </c>
      <c r="AE1733">
        <v>-3.6643000000000199</v>
      </c>
      <c r="AF1733">
        <v>-3.4111657720320201</v>
      </c>
      <c r="AG1733">
        <v>-1.1101196583421999</v>
      </c>
      <c r="AH1733">
        <v>31.452164133810601</v>
      </c>
      <c r="AI1733">
        <v>92.009668484695894</v>
      </c>
      <c r="AJ1733">
        <v>96.189858569716606</v>
      </c>
      <c r="AK1733">
        <v>31.656074397819499</v>
      </c>
      <c r="AL1733">
        <v>79.639705321085003</v>
      </c>
      <c r="AM1733">
        <v>93.842436214004294</v>
      </c>
      <c r="AN1733">
        <v>1.0000000102361899</v>
      </c>
    </row>
    <row r="1734" spans="1:40" x14ac:dyDescent="0.25">
      <c r="A1734" t="str">
        <f>"20190304155357111"</f>
        <v>20190304155357111</v>
      </c>
      <c r="B1734" t="str">
        <f>"1551686037108559"</f>
        <v>1551686037108559</v>
      </c>
      <c r="C1734" t="s">
        <v>40</v>
      </c>
      <c r="D1734">
        <v>4.5932529999999998</v>
      </c>
      <c r="E1734">
        <v>0.48179559999999999</v>
      </c>
      <c r="F1734" t="s">
        <v>63</v>
      </c>
      <c r="G1734">
        <v>-453.24369999999999</v>
      </c>
      <c r="H1734" s="1">
        <v>3.541132E-7</v>
      </c>
      <c r="I1734">
        <v>280.84649999999999</v>
      </c>
      <c r="J1734">
        <v>-422.15230000000003</v>
      </c>
      <c r="K1734">
        <v>1.1101099999999999</v>
      </c>
      <c r="L1734">
        <v>284.49650000000003</v>
      </c>
      <c r="M1734">
        <v>-0.99986050000000004</v>
      </c>
      <c r="N1734">
        <v>-1.478759E-2</v>
      </c>
      <c r="O1734">
        <v>-7.7731469999999898E-3</v>
      </c>
      <c r="P1734">
        <v>-0.98345210000000005</v>
      </c>
      <c r="Q1734">
        <v>0.16531680000000001</v>
      </c>
      <c r="R1734">
        <v>-7.410949E-2</v>
      </c>
      <c r="S1734">
        <v>-3.0419309999999999</v>
      </c>
      <c r="T1734">
        <v>-0.1072472</v>
      </c>
      <c r="U1734">
        <v>-0.35290529999999998</v>
      </c>
      <c r="V1734">
        <v>-6.6400089999999995E-2</v>
      </c>
      <c r="W1734">
        <v>0.1798727</v>
      </c>
      <c r="X1734">
        <v>0.98144629999999999</v>
      </c>
      <c r="Y1734">
        <v>-0.107422699999999</v>
      </c>
      <c r="Z1734">
        <v>-2.525603E-3</v>
      </c>
      <c r="AA1734">
        <v>0.99421020000000004</v>
      </c>
      <c r="AB1734">
        <v>37</v>
      </c>
      <c r="AC1734">
        <v>-31.091399999999901</v>
      </c>
      <c r="AD1734">
        <v>-1.1101096458867901</v>
      </c>
      <c r="AE1734">
        <v>-3.6500000000000301</v>
      </c>
      <c r="AF1734">
        <v>-3.4039048692450802</v>
      </c>
      <c r="AG1734">
        <v>-1.1101096458867901</v>
      </c>
      <c r="AH1734">
        <v>31.079752894266701</v>
      </c>
      <c r="AI1734">
        <v>92.0334775009362</v>
      </c>
      <c r="AJ1734">
        <v>96.250215583427902</v>
      </c>
      <c r="AK1734">
        <v>31.285299291415399</v>
      </c>
      <c r="AL1734">
        <v>79.637654969012303</v>
      </c>
      <c r="AM1734">
        <v>93.870467675250197</v>
      </c>
      <c r="AN1734">
        <v>0.99999999997049405</v>
      </c>
    </row>
    <row r="1735" spans="1:40" x14ac:dyDescent="0.25">
      <c r="A1735" t="str">
        <f>"20190304155357132"</f>
        <v>20190304155357132</v>
      </c>
      <c r="B1735" t="str">
        <f>"1551686037128078"</f>
        <v>1551686037128078</v>
      </c>
      <c r="C1735" t="s">
        <v>40</v>
      </c>
      <c r="D1735">
        <v>4.5134910000000001</v>
      </c>
      <c r="E1735">
        <v>0.48151919999999998</v>
      </c>
      <c r="F1735" t="s">
        <v>63</v>
      </c>
      <c r="G1735">
        <v>-453.0181</v>
      </c>
      <c r="H1735" s="1">
        <v>2.3266690000000001E-7</v>
      </c>
      <c r="I1735">
        <v>280.87819999999999</v>
      </c>
      <c r="J1735">
        <v>-422.50670000000002</v>
      </c>
      <c r="K1735">
        <v>1.1101129999999999</v>
      </c>
      <c r="L1735">
        <v>284.49380000000002</v>
      </c>
      <c r="M1735">
        <v>-0.99986129999999995</v>
      </c>
      <c r="N1735">
        <v>-1.4796790000000001E-2</v>
      </c>
      <c r="O1735">
        <v>-7.6465429999999996E-3</v>
      </c>
      <c r="P1735">
        <v>-0.98348610000000003</v>
      </c>
      <c r="Q1735">
        <v>0.16519210000000001</v>
      </c>
      <c r="R1735">
        <v>-7.3936600000000005E-2</v>
      </c>
      <c r="S1735">
        <v>-3.0419619999999998</v>
      </c>
      <c r="T1735">
        <v>-0.1094065</v>
      </c>
      <c r="U1735">
        <v>-0.35659790000000002</v>
      </c>
      <c r="V1735">
        <v>-6.6349539999999999E-2</v>
      </c>
      <c r="W1735">
        <v>0.17975769999999999</v>
      </c>
      <c r="X1735">
        <v>0.98147079999999998</v>
      </c>
      <c r="Y1735">
        <v>-0.1087337</v>
      </c>
      <c r="Z1735">
        <v>-2.5944610000000002E-3</v>
      </c>
      <c r="AA1735">
        <v>0.99406749999999999</v>
      </c>
      <c r="AB1735">
        <v>37</v>
      </c>
      <c r="AC1735">
        <v>-30.511399999999899</v>
      </c>
      <c r="AD1735">
        <v>-1.1101127673330999</v>
      </c>
      <c r="AE1735">
        <v>-3.6156000000000201</v>
      </c>
      <c r="AF1735">
        <v>-3.3777525784554201</v>
      </c>
      <c r="AG1735">
        <v>-1.1101127673330999</v>
      </c>
      <c r="AH1735">
        <v>30.498344184302301</v>
      </c>
      <c r="AI1735">
        <v>92.071938095790998</v>
      </c>
      <c r="AJ1735">
        <v>96.319866247946393</v>
      </c>
      <c r="AK1735">
        <v>30.704894737185199</v>
      </c>
      <c r="AL1735">
        <v>79.644353284372997</v>
      </c>
      <c r="AM1735">
        <v>93.867433806207302</v>
      </c>
      <c r="AN1735">
        <v>1.00000001171007</v>
      </c>
    </row>
    <row r="1736" spans="1:40" x14ac:dyDescent="0.25">
      <c r="A1736" t="str">
        <f>"20190304155357155"</f>
        <v>20190304155357155</v>
      </c>
      <c r="B1736" t="str">
        <f>"1551686037147602"</f>
        <v>1551686037147602</v>
      </c>
      <c r="C1736" t="s">
        <v>40</v>
      </c>
      <c r="D1736">
        <v>4.5633739999999996</v>
      </c>
      <c r="E1736">
        <v>0.481209</v>
      </c>
      <c r="F1736" t="s">
        <v>63</v>
      </c>
      <c r="G1736">
        <v>-452.88740000000001</v>
      </c>
      <c r="H1736" s="1">
        <v>1.615021E-7</v>
      </c>
      <c r="I1736">
        <v>280.91609999999997</v>
      </c>
      <c r="J1736">
        <v>-422.88260000000002</v>
      </c>
      <c r="K1736">
        <v>1.1101129999999999</v>
      </c>
      <c r="L1736">
        <v>284.49110000000002</v>
      </c>
      <c r="M1736">
        <v>-0.99986240000000004</v>
      </c>
      <c r="N1736">
        <v>-1.480473E-2</v>
      </c>
      <c r="O1736">
        <v>-7.5063309999999998E-3</v>
      </c>
      <c r="P1736">
        <v>-0.98353190000000001</v>
      </c>
      <c r="Q1736">
        <v>0.164995899999999</v>
      </c>
      <c r="R1736">
        <v>-7.3767750000000007E-2</v>
      </c>
      <c r="S1736">
        <v>-3.0421140000000002</v>
      </c>
      <c r="T1736">
        <v>-0.11115899999999999</v>
      </c>
      <c r="U1736">
        <v>-0.3582458</v>
      </c>
      <c r="V1736">
        <v>-6.6316280000000005E-2</v>
      </c>
      <c r="W1736">
        <v>0.1795706</v>
      </c>
      <c r="X1736">
        <v>0.98150729999999997</v>
      </c>
      <c r="Y1736">
        <v>-0.1093953</v>
      </c>
      <c r="Z1736">
        <v>-2.6416360000000002E-3</v>
      </c>
      <c r="AA1736">
        <v>0.99399479999999996</v>
      </c>
      <c r="AB1736">
        <v>37</v>
      </c>
      <c r="AC1736">
        <v>-30.0047999999999</v>
      </c>
      <c r="AD1736">
        <v>-1.1101128384979</v>
      </c>
      <c r="AE1736">
        <v>-3.5750000000000401</v>
      </c>
      <c r="AF1736">
        <v>-3.34513379136992</v>
      </c>
      <c r="AG1736">
        <v>-1.1101128384979</v>
      </c>
      <c r="AH1736">
        <v>29.9903152334482</v>
      </c>
      <c r="AI1736">
        <v>92.106822785155998</v>
      </c>
      <c r="AJ1736">
        <v>96.364490923004595</v>
      </c>
      <c r="AK1736">
        <v>30.196709728014401</v>
      </c>
      <c r="AL1736">
        <v>79.655250677306697</v>
      </c>
      <c r="AM1736">
        <v>93.865357686918699</v>
      </c>
      <c r="AN1736">
        <v>1.0000000146653401</v>
      </c>
    </row>
    <row r="1737" spans="1:40" x14ac:dyDescent="0.25">
      <c r="A1737" t="str">
        <f>"20190304155357177"</f>
        <v>20190304155357177</v>
      </c>
      <c r="B1737" t="str">
        <f>"1551686037167625"</f>
        <v>1551686037167625</v>
      </c>
      <c r="C1737" t="s">
        <v>40</v>
      </c>
      <c r="D1737">
        <v>4.5379709999999998</v>
      </c>
      <c r="E1737">
        <v>0.48093999999999998</v>
      </c>
      <c r="F1737" t="s">
        <v>63</v>
      </c>
      <c r="G1737">
        <v>-452.94830000000002</v>
      </c>
      <c r="H1737" s="1">
        <v>1.9321579999999999E-7</v>
      </c>
      <c r="I1737">
        <v>280.93169999999998</v>
      </c>
      <c r="J1737">
        <v>-423.25040000000001</v>
      </c>
      <c r="K1737">
        <v>1.110107</v>
      </c>
      <c r="L1737">
        <v>284.48840000000001</v>
      </c>
      <c r="M1737">
        <v>-0.99986330000000001</v>
      </c>
      <c r="N1737">
        <v>-1.4810739999999999E-2</v>
      </c>
      <c r="O1737">
        <v>-7.3632530000000002E-3</v>
      </c>
      <c r="P1737">
        <v>-0.98347669999999998</v>
      </c>
      <c r="Q1737">
        <v>0.16536090000000001</v>
      </c>
      <c r="R1737">
        <v>-7.3686950000000001E-2</v>
      </c>
      <c r="S1737">
        <v>-3.042084</v>
      </c>
      <c r="T1737">
        <v>-0.1123223</v>
      </c>
      <c r="U1737">
        <v>-0.36013790000000001</v>
      </c>
      <c r="V1737">
        <v>-6.6374440000000007E-2</v>
      </c>
      <c r="W1737">
        <v>0.17994160000000001</v>
      </c>
      <c r="X1737">
        <v>0.98143539999999996</v>
      </c>
      <c r="Y1737">
        <v>-0.11014589999999901</v>
      </c>
      <c r="Z1737">
        <v>-2.6824980000000002E-3</v>
      </c>
      <c r="AA1737">
        <v>0.99391180000000001</v>
      </c>
      <c r="AB1737">
        <v>37</v>
      </c>
      <c r="AC1737">
        <v>-29.697900000000001</v>
      </c>
      <c r="AD1737">
        <v>-1.1101068067841999</v>
      </c>
      <c r="AE1737">
        <v>-3.5567000000000299</v>
      </c>
      <c r="AF1737">
        <v>-3.33331478439578</v>
      </c>
      <c r="AG1737">
        <v>-1.1101068067841999</v>
      </c>
      <c r="AH1737">
        <v>29.682398840343499</v>
      </c>
      <c r="AI1737">
        <v>92.128468389786804</v>
      </c>
      <c r="AJ1737">
        <v>96.407435073817496</v>
      </c>
      <c r="AK1737">
        <v>29.889598951668201</v>
      </c>
      <c r="AL1737">
        <v>79.633641757737294</v>
      </c>
      <c r="AM1737">
        <v>93.8690199150967</v>
      </c>
      <c r="AN1737">
        <v>0.99999999503451598</v>
      </c>
    </row>
    <row r="1738" spans="1:40" x14ac:dyDescent="0.25">
      <c r="A1738" t="str">
        <f>"20190304155357199"</f>
        <v>20190304155357199</v>
      </c>
      <c r="B1738" t="str">
        <f>"1551686037188120"</f>
        <v>1551686037188120</v>
      </c>
      <c r="C1738" t="s">
        <v>40</v>
      </c>
      <c r="D1738">
        <v>4.5217830000000001</v>
      </c>
      <c r="E1738">
        <v>0.4805412</v>
      </c>
      <c r="F1738" t="s">
        <v>63</v>
      </c>
      <c r="G1738">
        <v>-453.51170000000002</v>
      </c>
      <c r="H1738" s="1">
        <v>4.9505929999999999E-7</v>
      </c>
      <c r="I1738">
        <v>280.88459999999998</v>
      </c>
      <c r="J1738">
        <v>-423.61610000000002</v>
      </c>
      <c r="K1738">
        <v>1.110109</v>
      </c>
      <c r="L1738">
        <v>284.48590000000002</v>
      </c>
      <c r="M1738">
        <v>-0.99986430000000004</v>
      </c>
      <c r="N1738">
        <v>-1.4815480000000001E-2</v>
      </c>
      <c r="O1738">
        <v>-7.2170769999999997E-3</v>
      </c>
      <c r="P1738">
        <v>-0.9834929</v>
      </c>
      <c r="Q1738">
        <v>0.16518050000000001</v>
      </c>
      <c r="R1738">
        <v>-7.3875319999999994E-2</v>
      </c>
      <c r="S1738">
        <v>-3.041992</v>
      </c>
      <c r="T1738">
        <v>-0.1115925</v>
      </c>
      <c r="U1738">
        <v>-0.36227419999999999</v>
      </c>
      <c r="V1738">
        <v>-6.6705120000000007E-2</v>
      </c>
      <c r="W1738">
        <v>0.1797667</v>
      </c>
      <c r="X1738">
        <v>0.98144500000000001</v>
      </c>
      <c r="Y1738">
        <v>-0.1109832</v>
      </c>
      <c r="Z1738">
        <v>-2.6961149999999998E-3</v>
      </c>
      <c r="AA1738">
        <v>0.9938186</v>
      </c>
      <c r="AB1738">
        <v>37</v>
      </c>
      <c r="AC1738">
        <v>-29.895600000000002</v>
      </c>
      <c r="AD1738">
        <v>-1.1101085049407</v>
      </c>
      <c r="AE1738">
        <v>-3.6013000000000299</v>
      </c>
      <c r="AF1738">
        <v>-3.3808287112786801</v>
      </c>
      <c r="AG1738">
        <v>-1.1101085049407</v>
      </c>
      <c r="AH1738">
        <v>29.8802040173072</v>
      </c>
      <c r="AI1738">
        <v>92.114195030435795</v>
      </c>
      <c r="AJ1738">
        <v>96.455340543059194</v>
      </c>
      <c r="AK1738">
        <v>30.091343203380799</v>
      </c>
      <c r="AL1738">
        <v>79.643828580950498</v>
      </c>
      <c r="AM1738">
        <v>93.888198624323493</v>
      </c>
      <c r="AN1738">
        <v>0.99999996374405098</v>
      </c>
    </row>
    <row r="1739" spans="1:40" x14ac:dyDescent="0.25">
      <c r="A1739" t="str">
        <f>"20190304155357221"</f>
        <v>20190304155357221</v>
      </c>
      <c r="B1739" t="str">
        <f>"1551686037218377"</f>
        <v>1551686037218377</v>
      </c>
      <c r="C1739" t="s">
        <v>40</v>
      </c>
      <c r="D1739">
        <v>4.5158899999999997</v>
      </c>
      <c r="E1739">
        <v>0.47996739999999999</v>
      </c>
      <c r="F1739" t="s">
        <v>63</v>
      </c>
      <c r="G1739">
        <v>-453.45499999999998</v>
      </c>
      <c r="H1739" s="1">
        <v>4.6428719999999999E-7</v>
      </c>
      <c r="I1739">
        <v>280.89870000000002</v>
      </c>
      <c r="J1739">
        <v>-423.98419999999999</v>
      </c>
      <c r="K1739">
        <v>1.110109</v>
      </c>
      <c r="L1739">
        <v>284.48340000000002</v>
      </c>
      <c r="M1739">
        <v>-0.99986529999999996</v>
      </c>
      <c r="N1739">
        <v>-1.4818949999999999E-2</v>
      </c>
      <c r="O1739">
        <v>-7.0669729999999998E-3</v>
      </c>
      <c r="P1739">
        <v>-0.9834965</v>
      </c>
      <c r="Q1739">
        <v>0.16519229999999999</v>
      </c>
      <c r="R1739">
        <v>-7.3797479999999999E-2</v>
      </c>
      <c r="S1739">
        <v>-3.0418699999999999</v>
      </c>
      <c r="T1739">
        <v>-0.11316809999999999</v>
      </c>
      <c r="U1739">
        <v>-0.36569210000000002</v>
      </c>
      <c r="V1739">
        <v>-6.677371E-2</v>
      </c>
      <c r="W1739">
        <v>0.17978259999999999</v>
      </c>
      <c r="X1739">
        <v>0.98143740000000002</v>
      </c>
      <c r="Y1739">
        <v>-0.11223420000000001</v>
      </c>
      <c r="Z1739">
        <v>-2.7570659999999999E-3</v>
      </c>
      <c r="AA1739">
        <v>0.99367799999999995</v>
      </c>
      <c r="AB1739">
        <v>37</v>
      </c>
      <c r="AC1739">
        <v>-29.470800000000001</v>
      </c>
      <c r="AD1739">
        <v>-1.1101085357128</v>
      </c>
      <c r="AE1739">
        <v>-3.58469999999999</v>
      </c>
      <c r="AF1739">
        <v>-3.3716040931237798</v>
      </c>
      <c r="AG1739">
        <v>-1.1101085357128</v>
      </c>
      <c r="AH1739">
        <v>29.454216849145698</v>
      </c>
      <c r="AI1739">
        <v>92.144425152984795</v>
      </c>
      <c r="AJ1739">
        <v>96.530185583578202</v>
      </c>
      <c r="AK1739">
        <v>29.667338022113299</v>
      </c>
      <c r="AL1739">
        <v>79.642902250398706</v>
      </c>
      <c r="AM1739">
        <v>93.892214456594402</v>
      </c>
      <c r="AN1739">
        <v>0.99999994086433996</v>
      </c>
    </row>
    <row r="1740" spans="1:40" x14ac:dyDescent="0.25">
      <c r="A1740" t="str">
        <f>"20190304155357244"</f>
        <v>20190304155357244</v>
      </c>
      <c r="B1740" t="str">
        <f>"1551686037237896"</f>
        <v>1551686037237896</v>
      </c>
      <c r="C1740" t="s">
        <v>40</v>
      </c>
      <c r="D1740">
        <v>4.5123670000000002</v>
      </c>
      <c r="E1740">
        <v>0.47955560000000003</v>
      </c>
      <c r="F1740" t="s">
        <v>63</v>
      </c>
      <c r="G1740">
        <v>-453.5539</v>
      </c>
      <c r="H1740" s="1">
        <v>5.1730590000000002E-7</v>
      </c>
      <c r="I1740">
        <v>280.88959999999997</v>
      </c>
      <c r="J1740">
        <v>-424.36130000000003</v>
      </c>
      <c r="K1740">
        <v>1.1101110000000001</v>
      </c>
      <c r="L1740">
        <v>284.48090000000002</v>
      </c>
      <c r="M1740">
        <v>-0.99986620000000004</v>
      </c>
      <c r="N1740">
        <v>-1.4821310000000001E-2</v>
      </c>
      <c r="O1740">
        <v>-6.9110350000000003E-3</v>
      </c>
      <c r="P1740">
        <v>-0.98343930000000002</v>
      </c>
      <c r="Q1740">
        <v>0.16533709999999999</v>
      </c>
      <c r="R1740">
        <v>-7.4233809999999997E-2</v>
      </c>
      <c r="S1740">
        <v>-3.0418090000000002</v>
      </c>
      <c r="T1740">
        <v>-0.1141959</v>
      </c>
      <c r="U1740">
        <v>-0.36968990000000002</v>
      </c>
      <c r="V1740">
        <v>-6.7362469999999994E-2</v>
      </c>
      <c r="W1740">
        <v>0.17992900000000001</v>
      </c>
      <c r="X1740">
        <v>0.98137039999999998</v>
      </c>
      <c r="Y1740">
        <v>-0.1136755</v>
      </c>
      <c r="Z1740">
        <v>-2.814867E-3</v>
      </c>
      <c r="AA1740">
        <v>0.99351389999999995</v>
      </c>
      <c r="AB1740">
        <v>37</v>
      </c>
      <c r="AC1740">
        <v>-29.192599999999899</v>
      </c>
      <c r="AD1740">
        <v>-1.1101104826941</v>
      </c>
      <c r="AE1740">
        <v>-3.5913000000000399</v>
      </c>
      <c r="AF1740">
        <v>-3.3846195558493499</v>
      </c>
      <c r="AG1740">
        <v>-1.1101104826941</v>
      </c>
      <c r="AH1740">
        <v>29.175164897544299</v>
      </c>
      <c r="AI1740">
        <v>92.1645413054366</v>
      </c>
      <c r="AJ1740">
        <v>96.617320060006605</v>
      </c>
      <c r="AK1740">
        <v>29.391805688329601</v>
      </c>
      <c r="AL1740">
        <v>79.634375764341897</v>
      </c>
      <c r="AM1740">
        <v>93.926693403850294</v>
      </c>
      <c r="AN1740">
        <v>1.0000000047008299</v>
      </c>
    </row>
    <row r="1741" spans="1:40" x14ac:dyDescent="0.25">
      <c r="A1741" t="str">
        <f>"20190304155357267"</f>
        <v>20190304155357267</v>
      </c>
      <c r="B1741" t="str">
        <f>"1551686037258393"</f>
        <v>1551686037258393</v>
      </c>
      <c r="C1741" t="s">
        <v>40</v>
      </c>
      <c r="D1741">
        <v>4.5314100000000002</v>
      </c>
      <c r="E1741">
        <v>0.47914849999999998</v>
      </c>
      <c r="F1741" t="s">
        <v>63</v>
      </c>
      <c r="G1741">
        <v>-453.77980000000002</v>
      </c>
      <c r="H1741" s="1">
        <v>6.3874889999999995E-7</v>
      </c>
      <c r="I1741">
        <v>280.86200000000002</v>
      </c>
      <c r="J1741">
        <v>-424.72989999999999</v>
      </c>
      <c r="K1741">
        <v>1.110114</v>
      </c>
      <c r="L1741">
        <v>284.4785</v>
      </c>
      <c r="M1741">
        <v>-0.99986739999999996</v>
      </c>
      <c r="N1741">
        <v>-1.4822719999999999E-2</v>
      </c>
      <c r="O1741">
        <v>-6.7577269999999998E-3</v>
      </c>
      <c r="P1741">
        <v>-0.98345970000000005</v>
      </c>
      <c r="Q1741">
        <v>0.16522439999999999</v>
      </c>
      <c r="R1741">
        <v>-7.4219049999999995E-2</v>
      </c>
      <c r="S1741">
        <v>-3.041534</v>
      </c>
      <c r="T1741">
        <v>-0.1147724</v>
      </c>
      <c r="U1741">
        <v>-0.37414550000000002</v>
      </c>
      <c r="V1741">
        <v>-6.7497699999999994E-2</v>
      </c>
      <c r="W1741">
        <v>0.17981829999999999</v>
      </c>
      <c r="X1741">
        <v>0.98138139999999996</v>
      </c>
      <c r="Y1741">
        <v>-0.115269899999999</v>
      </c>
      <c r="Z1741">
        <v>-2.8697689999999999E-3</v>
      </c>
      <c r="AA1741">
        <v>0.99333009999999999</v>
      </c>
      <c r="AB1741">
        <v>37</v>
      </c>
      <c r="AC1741">
        <v>-29.049900000000001</v>
      </c>
      <c r="AD1741">
        <v>-1.1101133612511001</v>
      </c>
      <c r="AE1741">
        <v>-3.6164999999999701</v>
      </c>
      <c r="AF1741">
        <v>-3.4151734587415898</v>
      </c>
      <c r="AG1741">
        <v>-1.1101133612511001</v>
      </c>
      <c r="AH1741">
        <v>29.031929929569699</v>
      </c>
      <c r="AI1741">
        <v>92.174809021696205</v>
      </c>
      <c r="AJ1741">
        <v>96.709159955257803</v>
      </c>
      <c r="AK1741">
        <v>29.253183021058899</v>
      </c>
      <c r="AL1741">
        <v>79.640823590373799</v>
      </c>
      <c r="AM1741">
        <v>93.934507535021993</v>
      </c>
      <c r="AN1741">
        <v>1.0000000063930601</v>
      </c>
    </row>
    <row r="1742" spans="1:40" x14ac:dyDescent="0.25">
      <c r="A1742" t="str">
        <f>"20190304155357289"</f>
        <v>20190304155357289</v>
      </c>
      <c r="B1742" t="str">
        <f>"1551686037277913"</f>
        <v>1551686037277913</v>
      </c>
      <c r="C1742" t="s">
        <v>40</v>
      </c>
      <c r="D1742">
        <v>4.5320090000000004</v>
      </c>
      <c r="E1742">
        <v>0.47879939999999999</v>
      </c>
      <c r="F1742" t="s">
        <v>63</v>
      </c>
      <c r="G1742">
        <v>-453.89490000000001</v>
      </c>
      <c r="H1742" s="1">
        <v>6.9996799999999898E-7</v>
      </c>
      <c r="I1742">
        <v>280.86259999999999</v>
      </c>
      <c r="J1742">
        <v>-425.11450000000002</v>
      </c>
      <c r="K1742">
        <v>1.110114</v>
      </c>
      <c r="L1742">
        <v>284.476</v>
      </c>
      <c r="M1742">
        <v>-0.99986850000000005</v>
      </c>
      <c r="N1742">
        <v>-1.4823380000000001E-2</v>
      </c>
      <c r="O1742">
        <v>-6.5971479999999997E-3</v>
      </c>
      <c r="P1742">
        <v>-0.98344730000000002</v>
      </c>
      <c r="Q1742">
        <v>0.16527539999999999</v>
      </c>
      <c r="R1742">
        <v>-7.4268829999999994E-2</v>
      </c>
      <c r="S1742">
        <v>-3.0414729999999999</v>
      </c>
      <c r="T1742">
        <v>-0.1157682</v>
      </c>
      <c r="U1742">
        <v>-0.3770752</v>
      </c>
      <c r="V1742">
        <v>-6.7705749999999995E-2</v>
      </c>
      <c r="W1742">
        <v>0.179869899999999</v>
      </c>
      <c r="X1742">
        <v>0.98135760000000005</v>
      </c>
      <c r="Y1742">
        <v>-0.1163714</v>
      </c>
      <c r="Z1742">
        <v>-2.9191540000000002E-3</v>
      </c>
      <c r="AA1742">
        <v>0.99320149999999996</v>
      </c>
      <c r="AB1742">
        <v>37</v>
      </c>
      <c r="AC1742">
        <v>-28.780399999999901</v>
      </c>
      <c r="AD1742">
        <v>-1.110113300032</v>
      </c>
      <c r="AE1742">
        <v>-3.6134000000000102</v>
      </c>
      <c r="AF1742">
        <v>-3.4184249881055901</v>
      </c>
      <c r="AG1742">
        <v>-1.110113300032</v>
      </c>
      <c r="AH1742">
        <v>28.761487370467002</v>
      </c>
      <c r="AI1742">
        <v>92.194926812544097</v>
      </c>
      <c r="AJ1742">
        <v>96.778049877029005</v>
      </c>
      <c r="AK1742">
        <v>28.9851882295035</v>
      </c>
      <c r="AL1742">
        <v>79.637817997660704</v>
      </c>
      <c r="AM1742">
        <v>93.946692120680098</v>
      </c>
      <c r="AN1742">
        <v>0.99999999429341602</v>
      </c>
    </row>
    <row r="1743" spans="1:40" x14ac:dyDescent="0.25">
      <c r="A1743" t="str">
        <f>"20190304155357312"</f>
        <v>20190304155357312</v>
      </c>
      <c r="B1743" t="str">
        <f>"1551686037308170"</f>
        <v>1551686037308170</v>
      </c>
      <c r="C1743" t="s">
        <v>40</v>
      </c>
      <c r="D1743">
        <v>4.5169249999999996</v>
      </c>
      <c r="E1743">
        <v>0.47829939999999999</v>
      </c>
      <c r="F1743" t="s">
        <v>63</v>
      </c>
      <c r="G1743">
        <v>-454.24</v>
      </c>
      <c r="H1743" s="1">
        <v>8.8470259999999998E-7</v>
      </c>
      <c r="I1743">
        <v>280.8374</v>
      </c>
      <c r="J1743">
        <v>-425.47269999999997</v>
      </c>
      <c r="K1743">
        <v>1.110112</v>
      </c>
      <c r="L1743">
        <v>284.47379999999998</v>
      </c>
      <c r="M1743">
        <v>-0.99986940000000002</v>
      </c>
      <c r="N1743">
        <v>-1.4823370000000001E-2</v>
      </c>
      <c r="O1743">
        <v>-6.4475380000000001E-3</v>
      </c>
      <c r="P1743">
        <v>-0.98342070000000004</v>
      </c>
      <c r="Q1743">
        <v>0.16513269999999999</v>
      </c>
      <c r="R1743">
        <v>-7.4933420000000001E-2</v>
      </c>
      <c r="S1743">
        <v>-3.04129</v>
      </c>
      <c r="T1743">
        <v>-0.1159183</v>
      </c>
      <c r="U1743">
        <v>-0.3799438</v>
      </c>
      <c r="V1743">
        <v>-6.851757E-2</v>
      </c>
      <c r="W1743">
        <v>0.17972679999999999</v>
      </c>
      <c r="X1743">
        <v>0.98132750000000002</v>
      </c>
      <c r="Y1743">
        <v>-0.117448499999999</v>
      </c>
      <c r="Z1743">
        <v>-2.9536599999999999E-3</v>
      </c>
      <c r="AA1743">
        <v>0.99307460000000003</v>
      </c>
      <c r="AB1743">
        <v>37</v>
      </c>
      <c r="AC1743">
        <v>-28.767299999999999</v>
      </c>
      <c r="AD1743">
        <v>-1.1101111152973999</v>
      </c>
      <c r="AE1743">
        <v>-3.6363999999999801</v>
      </c>
      <c r="AF1743">
        <v>-3.4457752384515601</v>
      </c>
      <c r="AG1743">
        <v>-1.1101111152973999</v>
      </c>
      <c r="AH1743">
        <v>28.748013881349699</v>
      </c>
      <c r="AI1743">
        <v>92.195690214211794</v>
      </c>
      <c r="AJ1743">
        <v>96.834940982725797</v>
      </c>
      <c r="AK1743">
        <v>28.9750585125295</v>
      </c>
      <c r="AL1743">
        <v>79.646153133928394</v>
      </c>
      <c r="AM1743">
        <v>93.993984461306596</v>
      </c>
      <c r="AN1743">
        <v>1.00000002114659</v>
      </c>
    </row>
    <row r="1744" spans="1:40" x14ac:dyDescent="0.25">
      <c r="A1744" t="str">
        <f>"20190304155357334"</f>
        <v>20190304155357334</v>
      </c>
      <c r="B1744" t="str">
        <f>"1551686037327689"</f>
        <v>1551686037327689</v>
      </c>
      <c r="C1744" t="s">
        <v>40</v>
      </c>
      <c r="D1744">
        <v>4.5382530000000001</v>
      </c>
      <c r="E1744">
        <v>0.47821520000000001</v>
      </c>
      <c r="F1744" t="s">
        <v>63</v>
      </c>
      <c r="G1744">
        <v>-454.50380000000001</v>
      </c>
      <c r="H1744" s="1">
        <v>1.0270760000000001E-6</v>
      </c>
      <c r="I1744">
        <v>280.7921</v>
      </c>
      <c r="J1744">
        <v>-425.84550000000002</v>
      </c>
      <c r="K1744">
        <v>1.110106</v>
      </c>
      <c r="L1744">
        <v>284.47160000000002</v>
      </c>
      <c r="M1744">
        <v>-0.99987040000000005</v>
      </c>
      <c r="N1744">
        <v>-1.4822780000000001E-2</v>
      </c>
      <c r="O1744">
        <v>-6.2917310000000001E-3</v>
      </c>
      <c r="P1744">
        <v>-0.98340450000000001</v>
      </c>
      <c r="Q1744">
        <v>0.16512260000000001</v>
      </c>
      <c r="R1744">
        <v>-7.5168719999999994E-2</v>
      </c>
      <c r="S1744">
        <v>-3.0407099999999998</v>
      </c>
      <c r="T1744">
        <v>-0.1162728</v>
      </c>
      <c r="U1744">
        <v>-0.38562010000000002</v>
      </c>
      <c r="V1744">
        <v>-6.8905610000000006E-2</v>
      </c>
      <c r="W1744">
        <v>0.17971599999999999</v>
      </c>
      <c r="X1744">
        <v>0.98130229999999996</v>
      </c>
      <c r="Y1744">
        <v>-0.1194485</v>
      </c>
      <c r="Z1744">
        <v>-3.0165180000000002E-3</v>
      </c>
      <c r="AA1744">
        <v>0.99283580000000005</v>
      </c>
      <c r="AB1744">
        <v>37</v>
      </c>
      <c r="AC1744">
        <v>-28.658300000000001</v>
      </c>
      <c r="AD1744">
        <v>-1.110104972924</v>
      </c>
      <c r="AE1744">
        <v>-3.6795000000000102</v>
      </c>
      <c r="AF1744">
        <v>-3.4939395084918101</v>
      </c>
      <c r="AG1744">
        <v>-1.110104972924</v>
      </c>
      <c r="AH1744">
        <v>28.638611109877999</v>
      </c>
      <c r="AI1744">
        <v>92.203496100112005</v>
      </c>
      <c r="AJ1744">
        <v>96.955768486367404</v>
      </c>
      <c r="AK1744">
        <v>28.872304941634699</v>
      </c>
      <c r="AL1744">
        <v>79.646782094376206</v>
      </c>
      <c r="AM1744">
        <v>94.016632835546304</v>
      </c>
      <c r="AN1744">
        <v>1.00000001386538</v>
      </c>
    </row>
    <row r="1745" spans="1:40" x14ac:dyDescent="0.25">
      <c r="A1745" t="str">
        <f>"20190304155357355"</f>
        <v>20190304155357355</v>
      </c>
      <c r="B1745" t="str">
        <f>"1551686037348185"</f>
        <v>1551686037348185</v>
      </c>
      <c r="C1745" t="s">
        <v>40</v>
      </c>
      <c r="D1745">
        <v>4.5624880000000001</v>
      </c>
      <c r="E1745">
        <v>0.47803420000000002</v>
      </c>
      <c r="F1745" t="s">
        <v>63</v>
      </c>
      <c r="G1745">
        <v>-455.06150000000002</v>
      </c>
      <c r="H1745" s="1">
        <v>1.325606E-6</v>
      </c>
      <c r="I1745">
        <v>280.75170000000003</v>
      </c>
      <c r="J1745">
        <v>-426.20530000000002</v>
      </c>
      <c r="K1745">
        <v>1.1101080000000001</v>
      </c>
      <c r="L1745">
        <v>284.46940000000001</v>
      </c>
      <c r="M1745">
        <v>-0.99987130000000002</v>
      </c>
      <c r="N1745">
        <v>-1.482174E-2</v>
      </c>
      <c r="O1745">
        <v>-6.1412890000000003E-3</v>
      </c>
      <c r="P1745">
        <v>-0.98340229999999995</v>
      </c>
      <c r="Q1745">
        <v>0.1649244</v>
      </c>
      <c r="R1745">
        <v>-7.5631100000000007E-2</v>
      </c>
      <c r="S1745">
        <v>-3.0404360000000001</v>
      </c>
      <c r="T1745">
        <v>-0.115526</v>
      </c>
      <c r="U1745">
        <v>-0.3871155</v>
      </c>
      <c r="V1745">
        <v>-6.951599E-2</v>
      </c>
      <c r="W1745">
        <v>0.17951710000000001</v>
      </c>
      <c r="X1745">
        <v>0.98129560000000005</v>
      </c>
      <c r="Y1745">
        <v>-0.12009019999999999</v>
      </c>
      <c r="Z1745">
        <v>-3.0239139999999999E-3</v>
      </c>
      <c r="AA1745">
        <v>0.99275840000000004</v>
      </c>
      <c r="AB1745">
        <v>37</v>
      </c>
      <c r="AC1745">
        <v>-28.856200000000001</v>
      </c>
      <c r="AD1745">
        <v>-1.110106674394</v>
      </c>
      <c r="AE1745">
        <v>-3.71769999999997</v>
      </c>
      <c r="AF1745">
        <v>-3.5352495300064302</v>
      </c>
      <c r="AG1745">
        <v>-1.110106674394</v>
      </c>
      <c r="AH1745">
        <v>28.836509506398901</v>
      </c>
      <c r="AI1745">
        <v>92.188235295637796</v>
      </c>
      <c r="AJ1745">
        <v>96.989373718771205</v>
      </c>
      <c r="AK1745">
        <v>29.073606700589799</v>
      </c>
      <c r="AL1745">
        <v>79.658366046753301</v>
      </c>
      <c r="AM1745">
        <v>94.052122562232796</v>
      </c>
      <c r="AN1745">
        <v>0.99999995831872401</v>
      </c>
    </row>
    <row r="1746" spans="1:40" x14ac:dyDescent="0.25">
      <c r="A1746" t="str">
        <f>"20190304155357377"</f>
        <v>20190304155357377</v>
      </c>
      <c r="B1746" t="str">
        <f>"1551686037368212"</f>
        <v>1551686037368212</v>
      </c>
      <c r="C1746" t="s">
        <v>40</v>
      </c>
      <c r="D1746">
        <v>4.5359129999999999</v>
      </c>
      <c r="E1746">
        <v>0.47775570000000001</v>
      </c>
      <c r="F1746" t="s">
        <v>63</v>
      </c>
      <c r="G1746">
        <v>-455.3963</v>
      </c>
      <c r="H1746" s="1">
        <v>1.5049279999999999E-6</v>
      </c>
      <c r="I1746">
        <v>280.72590000000002</v>
      </c>
      <c r="J1746">
        <v>-426.57479999999998</v>
      </c>
      <c r="K1746">
        <v>1.1101030000000001</v>
      </c>
      <c r="L1746">
        <v>284.46730000000002</v>
      </c>
      <c r="M1746">
        <v>-0.99987230000000005</v>
      </c>
      <c r="N1746">
        <v>-1.482024E-2</v>
      </c>
      <c r="O1746">
        <v>-5.9873819999999899E-3</v>
      </c>
      <c r="P1746">
        <v>-0.98338159999999997</v>
      </c>
      <c r="Q1746">
        <v>0.16511400000000001</v>
      </c>
      <c r="R1746">
        <v>-7.5486090000000006E-2</v>
      </c>
      <c r="S1746">
        <v>-3.0400700000000001</v>
      </c>
      <c r="T1746">
        <v>-0.11561100000000001</v>
      </c>
      <c r="U1746">
        <v>-0.38986209999999999</v>
      </c>
      <c r="V1746">
        <v>-6.9522470000000003E-2</v>
      </c>
      <c r="W1746">
        <v>0.179704799999999</v>
      </c>
      <c r="X1746">
        <v>0.98126080000000004</v>
      </c>
      <c r="Y1746">
        <v>-0.1211392</v>
      </c>
      <c r="Z1746">
        <v>-3.0567089999999999E-3</v>
      </c>
      <c r="AA1746">
        <v>0.99263080000000004</v>
      </c>
      <c r="AB1746">
        <v>37</v>
      </c>
      <c r="AC1746">
        <v>-28.8215</v>
      </c>
      <c r="AD1746">
        <v>-1.1101014950720001</v>
      </c>
      <c r="AE1746">
        <v>-3.7413999999999898</v>
      </c>
      <c r="AF1746">
        <v>-3.5635496740063601</v>
      </c>
      <c r="AG1746">
        <v>-1.1101014950720001</v>
      </c>
      <c r="AH1746">
        <v>28.801367718080002</v>
      </c>
      <c r="AI1746">
        <v>92.1905918192993</v>
      </c>
      <c r="AJ1746">
        <v>97.053273680162405</v>
      </c>
      <c r="AK1746">
        <v>29.042210557058699</v>
      </c>
      <c r="AL1746">
        <v>79.647434002751098</v>
      </c>
      <c r="AM1746">
        <v>94.052642267616406</v>
      </c>
      <c r="AN1746">
        <v>0.99999997329728996</v>
      </c>
    </row>
    <row r="1747" spans="1:40" x14ac:dyDescent="0.25">
      <c r="A1747" t="str">
        <f>"20190304155357399"</f>
        <v>20190304155357399</v>
      </c>
      <c r="B1747" t="str">
        <f>"1551686037387732"</f>
        <v>1551686037387732</v>
      </c>
      <c r="C1747" t="s">
        <v>40</v>
      </c>
      <c r="D1747">
        <v>4.5911210000000002</v>
      </c>
      <c r="E1747">
        <v>0.47781210000000002</v>
      </c>
      <c r="F1747" t="s">
        <v>63</v>
      </c>
      <c r="G1747">
        <v>-455.93200000000002</v>
      </c>
      <c r="H1747" s="1">
        <v>1.7917900000000001E-6</v>
      </c>
      <c r="I1747">
        <v>280.685</v>
      </c>
      <c r="J1747">
        <v>-426.93200000000002</v>
      </c>
      <c r="K1747">
        <v>1.1101129999999999</v>
      </c>
      <c r="L1747">
        <v>284.46530000000001</v>
      </c>
      <c r="M1747">
        <v>-0.99987309999999996</v>
      </c>
      <c r="N1747">
        <v>-1.481844E-2</v>
      </c>
      <c r="O1747">
        <v>-5.8383649999999999E-3</v>
      </c>
      <c r="P1747">
        <v>-0.98341880000000004</v>
      </c>
      <c r="Q1747">
        <v>0.164801799999999</v>
      </c>
      <c r="R1747">
        <v>-7.5683719999999996E-2</v>
      </c>
      <c r="S1747">
        <v>-3.0399780000000001</v>
      </c>
      <c r="T1747">
        <v>-0.1149522</v>
      </c>
      <c r="U1747">
        <v>-0.39166260000000003</v>
      </c>
      <c r="V1747">
        <v>-6.9866209999999998E-2</v>
      </c>
      <c r="W1747">
        <v>0.17939140000000001</v>
      </c>
      <c r="X1747">
        <v>0.98129370000000005</v>
      </c>
      <c r="Y1747">
        <v>-0.12186959999999999</v>
      </c>
      <c r="Z1747">
        <v>-3.0674270000000002E-3</v>
      </c>
      <c r="AA1747">
        <v>0.99254140000000002</v>
      </c>
      <c r="AB1747">
        <v>37</v>
      </c>
      <c r="AC1747">
        <v>-29</v>
      </c>
      <c r="AD1747">
        <v>-1.11011120821</v>
      </c>
      <c r="AE1747">
        <v>-3.7803000000000102</v>
      </c>
      <c r="AF1747">
        <v>-3.60570907829652</v>
      </c>
      <c r="AG1747">
        <v>-1.11011120821</v>
      </c>
      <c r="AH1747">
        <v>28.979823205379802</v>
      </c>
      <c r="AI1747">
        <v>92.176950235947402</v>
      </c>
      <c r="AJ1747">
        <v>97.092370575201002</v>
      </c>
      <c r="AK1747">
        <v>29.224367193610401</v>
      </c>
      <c r="AL1747">
        <v>79.665686819136297</v>
      </c>
      <c r="AM1747">
        <v>94.072476407110798</v>
      </c>
      <c r="AN1747">
        <v>0.99999994367670497</v>
      </c>
    </row>
    <row r="1748" spans="1:40" x14ac:dyDescent="0.25">
      <c r="A1748" t="str">
        <f>"20190304155357423"</f>
        <v>20190304155357423</v>
      </c>
      <c r="B1748" t="str">
        <f>"1551686037417987"</f>
        <v>1551686037417987</v>
      </c>
      <c r="C1748" t="s">
        <v>40</v>
      </c>
      <c r="D1748">
        <v>4.5574579999999996</v>
      </c>
      <c r="E1748">
        <v>0.5056332</v>
      </c>
      <c r="F1748" t="s">
        <v>63</v>
      </c>
      <c r="G1748">
        <v>-456.06400000000002</v>
      </c>
      <c r="H1748" s="1">
        <v>1.860922E-6</v>
      </c>
      <c r="I1748">
        <v>280.70999999999998</v>
      </c>
      <c r="J1748">
        <v>-427.3152</v>
      </c>
      <c r="K1748">
        <v>1.110114</v>
      </c>
      <c r="L1748">
        <v>284.46319999999997</v>
      </c>
      <c r="M1748">
        <v>-0.99987420000000005</v>
      </c>
      <c r="N1748">
        <v>-1.481616E-2</v>
      </c>
      <c r="O1748">
        <v>-5.6789759999999996E-3</v>
      </c>
      <c r="P1748">
        <v>-0.98336829999999997</v>
      </c>
      <c r="Q1748">
        <v>0.16503109999999999</v>
      </c>
      <c r="R1748">
        <v>-7.5841110000000003E-2</v>
      </c>
      <c r="S1748">
        <v>-3.0397949999999998</v>
      </c>
      <c r="T1748">
        <v>-0.1158352</v>
      </c>
      <c r="U1748">
        <v>-0.39184570000000002</v>
      </c>
      <c r="V1748">
        <v>-7.0180989999999999E-2</v>
      </c>
      <c r="W1748">
        <v>0.17961750000000001</v>
      </c>
      <c r="X1748">
        <v>0.98123000000000005</v>
      </c>
      <c r="Y1748">
        <v>-0.1220924</v>
      </c>
      <c r="Z1748">
        <v>-3.0928990000000001E-3</v>
      </c>
      <c r="AA1748">
        <v>0.99251389999999995</v>
      </c>
      <c r="AB1748">
        <v>37</v>
      </c>
      <c r="AC1748">
        <v>-28.748799999999999</v>
      </c>
      <c r="AD1748">
        <v>-1.110112139078</v>
      </c>
      <c r="AE1748">
        <v>-3.7531999999999899</v>
      </c>
      <c r="AF1748">
        <v>-3.5846025341860699</v>
      </c>
      <c r="AG1748">
        <v>-1.110112139078</v>
      </c>
      <c r="AH1748">
        <v>28.727536406422502</v>
      </c>
      <c r="AI1748">
        <v>92.195955180674005</v>
      </c>
      <c r="AJ1748">
        <v>97.112566651393394</v>
      </c>
      <c r="AK1748">
        <v>28.971590779102101</v>
      </c>
      <c r="AL1748">
        <v>79.652519621438799</v>
      </c>
      <c r="AM1748">
        <v>94.091027332975202</v>
      </c>
      <c r="AN1748">
        <v>1.00000006528181</v>
      </c>
    </row>
    <row r="1749" spans="1:40" x14ac:dyDescent="0.25">
      <c r="A1749" t="str">
        <f>"20190304155357445"</f>
        <v>20190304155357445</v>
      </c>
      <c r="B1749" t="str">
        <f>"1551686037438483"</f>
        <v>1551686037438483</v>
      </c>
      <c r="C1749" t="s">
        <v>40</v>
      </c>
      <c r="D1749">
        <v>4.5562239999999896</v>
      </c>
      <c r="E1749">
        <v>0.50617590000000001</v>
      </c>
      <c r="F1749" t="s">
        <v>51</v>
      </c>
      <c r="G1749">
        <v>-478.0607</v>
      </c>
      <c r="H1749" s="1">
        <v>2.7766950000000001E-6</v>
      </c>
      <c r="I1749">
        <v>281.61</v>
      </c>
      <c r="J1749">
        <v>-427.67430000000002</v>
      </c>
      <c r="K1749">
        <v>1.1101219999999901</v>
      </c>
      <c r="L1749">
        <v>284.46129999999999</v>
      </c>
      <c r="M1749">
        <v>-0.99987499999999996</v>
      </c>
      <c r="N1749">
        <v>-1.481381E-2</v>
      </c>
      <c r="O1749">
        <v>-5.5291239999999998E-3</v>
      </c>
      <c r="P1749">
        <v>-0.98329940000000005</v>
      </c>
      <c r="Q1749">
        <v>0.16501150000000001</v>
      </c>
      <c r="R1749">
        <v>-7.6769160000000003E-2</v>
      </c>
      <c r="S1749">
        <v>-3.048737</v>
      </c>
      <c r="T1749">
        <v>-6.6694260000000005E-2</v>
      </c>
      <c r="U1749">
        <v>-0.17141719999999999</v>
      </c>
      <c r="V1749">
        <v>-7.1256920000000001E-2</v>
      </c>
      <c r="W1749">
        <v>0.179595</v>
      </c>
      <c r="X1749">
        <v>0.98115649999999999</v>
      </c>
      <c r="Y1749">
        <v>-5.0595000000000001E-2</v>
      </c>
      <c r="Z1749">
        <v>-8.8905739999999998E-4</v>
      </c>
      <c r="AA1749">
        <v>0.99871889999999997</v>
      </c>
      <c r="AB1749">
        <v>37</v>
      </c>
      <c r="AC1749">
        <v>-50.386399999999902</v>
      </c>
      <c r="AD1749">
        <v>-1.1101192233049999</v>
      </c>
      <c r="AE1749">
        <v>-2.8512999999999802</v>
      </c>
      <c r="AF1749">
        <v>-2.5713889795132698</v>
      </c>
      <c r="AG1749">
        <v>-1.1101192233049999</v>
      </c>
      <c r="AH1749">
        <v>50.377020889752799</v>
      </c>
      <c r="AI1749">
        <v>91.260737467693204</v>
      </c>
      <c r="AJ1749">
        <v>92.922006565989804</v>
      </c>
      <c r="AK1749">
        <v>50.454817804650801</v>
      </c>
      <c r="AL1749">
        <v>79.653829352119601</v>
      </c>
      <c r="AM1749">
        <v>94.153838217266895</v>
      </c>
      <c r="AN1749">
        <v>0.99999999508256798</v>
      </c>
    </row>
    <row r="1750" spans="1:40" x14ac:dyDescent="0.25">
      <c r="A1750" t="str">
        <f>"20190304155357467"</f>
        <v>20190304155357467</v>
      </c>
      <c r="B1750" t="str">
        <f>"1551686037458003"</f>
        <v>1551686037458003</v>
      </c>
      <c r="C1750" t="s">
        <v>40</v>
      </c>
      <c r="D1750">
        <v>4.5415469999999996</v>
      </c>
      <c r="E1750">
        <v>0.50626549999999904</v>
      </c>
      <c r="F1750" t="s">
        <v>51</v>
      </c>
      <c r="G1750">
        <v>-479.69639999999998</v>
      </c>
      <c r="H1750" s="1">
        <v>2.0472200000000002E-6</v>
      </c>
      <c r="I1750">
        <v>281.56279999999998</v>
      </c>
      <c r="J1750">
        <v>-428.04149999999998</v>
      </c>
      <c r="K1750">
        <v>1.1101259999999999</v>
      </c>
      <c r="L1750">
        <v>284.45940000000002</v>
      </c>
      <c r="M1750">
        <v>-0.99987599999999999</v>
      </c>
      <c r="N1750">
        <v>-1.481121E-2</v>
      </c>
      <c r="O1750">
        <v>-5.3766469999999896E-3</v>
      </c>
      <c r="P1750">
        <v>-0.983267</v>
      </c>
      <c r="Q1750">
        <v>0.16511149999999999</v>
      </c>
      <c r="R1750">
        <v>-7.6970289999999997E-2</v>
      </c>
      <c r="S1750">
        <v>-3.0486149999999999</v>
      </c>
      <c r="T1750">
        <v>-6.505561E-2</v>
      </c>
      <c r="U1750">
        <v>-0.16986080000000001</v>
      </c>
      <c r="V1750">
        <v>-7.1608389999999994E-2</v>
      </c>
      <c r="W1750">
        <v>0.17969160000000001</v>
      </c>
      <c r="X1750">
        <v>0.98111329999999997</v>
      </c>
      <c r="Y1750">
        <v>-5.0242160000000001E-2</v>
      </c>
      <c r="Z1750">
        <v>-8.729966E-4</v>
      </c>
      <c r="AA1750">
        <v>0.99873670000000003</v>
      </c>
      <c r="AB1750">
        <v>37</v>
      </c>
      <c r="AC1750">
        <v>-51.654899999999998</v>
      </c>
      <c r="AD1750">
        <v>-1.11012395278</v>
      </c>
      <c r="AE1750">
        <v>-2.89660000000003</v>
      </c>
      <c r="AF1750">
        <v>-2.6175923344162202</v>
      </c>
      <c r="AG1750">
        <v>-1.11012395278</v>
      </c>
      <c r="AH1750">
        <v>51.645949955001903</v>
      </c>
      <c r="AI1750">
        <v>91.229798730958706</v>
      </c>
      <c r="AJ1750">
        <v>92.901462172685498</v>
      </c>
      <c r="AK1750">
        <v>51.724155977398901</v>
      </c>
      <c r="AL1750">
        <v>79.648203834492705</v>
      </c>
      <c r="AM1750">
        <v>94.174437650980707</v>
      </c>
      <c r="AN1750">
        <v>1.0000000700329099</v>
      </c>
    </row>
    <row r="1751" spans="1:40" x14ac:dyDescent="0.25">
      <c r="A1751" t="str">
        <f>"20190304155357491"</f>
        <v>20190304155357491</v>
      </c>
      <c r="B1751" t="str">
        <f>"1551686037478500"</f>
        <v>1551686037478500</v>
      </c>
      <c r="C1751" t="s">
        <v>40</v>
      </c>
      <c r="D1751">
        <v>4.4885159999999997</v>
      </c>
      <c r="E1751">
        <v>0.50608529999999996</v>
      </c>
      <c r="F1751" t="s">
        <v>51</v>
      </c>
      <c r="G1751">
        <v>-479.9409</v>
      </c>
      <c r="H1751" s="1">
        <v>1.9387070000000002E-6</v>
      </c>
      <c r="I1751">
        <v>281.56209999999999</v>
      </c>
      <c r="J1751">
        <v>-428.41669999999999</v>
      </c>
      <c r="K1751">
        <v>1.110123</v>
      </c>
      <c r="L1751">
        <v>284.45760000000001</v>
      </c>
      <c r="M1751">
        <v>-0.99987669999999995</v>
      </c>
      <c r="N1751">
        <v>-1.480831E-2</v>
      </c>
      <c r="O1751">
        <v>-5.2213249999999998E-3</v>
      </c>
      <c r="P1751">
        <v>-0.98315909999999995</v>
      </c>
      <c r="Q1751">
        <v>0.1655509</v>
      </c>
      <c r="R1751">
        <v>-7.7403120000000006E-2</v>
      </c>
      <c r="S1751">
        <v>-3.0486759999999999</v>
      </c>
      <c r="T1751">
        <v>-6.5210820000000003E-2</v>
      </c>
      <c r="U1751">
        <v>-0.1701965</v>
      </c>
      <c r="V1751">
        <v>-7.2195280000000001E-2</v>
      </c>
      <c r="W1751">
        <v>0.18012690000000001</v>
      </c>
      <c r="X1751">
        <v>0.98099040000000004</v>
      </c>
      <c r="Y1751">
        <v>-5.0505649999999999E-2</v>
      </c>
      <c r="Z1751">
        <v>-8.7969239999999998E-4</v>
      </c>
      <c r="AA1751">
        <v>0.99872340000000004</v>
      </c>
      <c r="AB1751">
        <v>37</v>
      </c>
      <c r="AC1751">
        <v>-51.5242</v>
      </c>
      <c r="AD1751">
        <v>-1.1101210612929999</v>
      </c>
      <c r="AE1751">
        <v>-2.8955000000000202</v>
      </c>
      <c r="AF1751">
        <v>-2.6251916081482798</v>
      </c>
      <c r="AG1751">
        <v>-1.1101210612929999</v>
      </c>
      <c r="AH1751">
        <v>51.514778919833397</v>
      </c>
      <c r="AI1751">
        <v>91.232908687136302</v>
      </c>
      <c r="AJ1751">
        <v>92.917267671394697</v>
      </c>
      <c r="AK1751">
        <v>51.593569821340502</v>
      </c>
      <c r="AL1751">
        <v>79.622848666563002</v>
      </c>
      <c r="AM1751">
        <v>94.209053547501497</v>
      </c>
      <c r="AN1751">
        <v>1.0000000117250201</v>
      </c>
    </row>
    <row r="1752" spans="1:40" x14ac:dyDescent="0.25">
      <c r="A1752" t="str">
        <f>"20190304155357513"</f>
        <v>20190304155357513</v>
      </c>
      <c r="B1752" t="str">
        <f>"1551686037507780"</f>
        <v>1551686037507780</v>
      </c>
      <c r="C1752" t="s">
        <v>40</v>
      </c>
      <c r="D1752">
        <v>4.4363970000000004</v>
      </c>
      <c r="E1752">
        <v>0.50591730000000001</v>
      </c>
      <c r="F1752" t="s">
        <v>51</v>
      </c>
      <c r="G1752">
        <v>-479.6379</v>
      </c>
      <c r="H1752" s="1">
        <v>2.0720670000000002E-6</v>
      </c>
      <c r="I1752">
        <v>281.55059999999997</v>
      </c>
      <c r="J1752">
        <v>-428.78230000000002</v>
      </c>
      <c r="K1752">
        <v>1.1101289999999999</v>
      </c>
      <c r="L1752">
        <v>284.45580000000001</v>
      </c>
      <c r="M1752">
        <v>-0.99987760000000003</v>
      </c>
      <c r="N1752">
        <v>-1.4805280000000001E-2</v>
      </c>
      <c r="O1752">
        <v>-5.0740170000000001E-3</v>
      </c>
      <c r="P1752">
        <v>-0.98318539999999999</v>
      </c>
      <c r="Q1752">
        <v>0.16506289999999901</v>
      </c>
      <c r="R1752">
        <v>-7.8107650000000001E-2</v>
      </c>
      <c r="S1752">
        <v>-3.048889</v>
      </c>
      <c r="T1752">
        <v>-6.6078780000000004E-2</v>
      </c>
      <c r="U1752">
        <v>-0.17303470000000001</v>
      </c>
      <c r="V1752">
        <v>-7.3045780000000005E-2</v>
      </c>
      <c r="W1752">
        <v>0.179636299999999</v>
      </c>
      <c r="X1752">
        <v>0.98101740000000004</v>
      </c>
      <c r="Y1752">
        <v>-5.1574790000000002E-2</v>
      </c>
      <c r="Z1752">
        <v>-9.0577240000000003E-4</v>
      </c>
      <c r="AA1752">
        <v>0.99866869999999996</v>
      </c>
      <c r="AB1752">
        <v>37</v>
      </c>
      <c r="AC1752">
        <v>-50.855599999999903</v>
      </c>
      <c r="AD1752">
        <v>-1.1101269279329999</v>
      </c>
      <c r="AE1752">
        <v>-2.90520000000003</v>
      </c>
      <c r="AF1752">
        <v>-2.6458354955915699</v>
      </c>
      <c r="AG1752">
        <v>-1.1101269279329999</v>
      </c>
      <c r="AH1752">
        <v>50.845538488695503</v>
      </c>
      <c r="AI1752">
        <v>91.2490689406836</v>
      </c>
      <c r="AJ1752">
        <v>92.978798192760905</v>
      </c>
      <c r="AK1752">
        <v>50.926433327607697</v>
      </c>
      <c r="AL1752">
        <v>79.651424100582801</v>
      </c>
      <c r="AM1752">
        <v>94.258340385202303</v>
      </c>
      <c r="AN1752">
        <v>1.0000000126781201</v>
      </c>
    </row>
    <row r="1753" spans="1:40" x14ac:dyDescent="0.25">
      <c r="A1753" t="str">
        <f>"20190304155357536"</f>
        <v>20190304155357536</v>
      </c>
      <c r="B1753" t="str">
        <f>"1551686037528276"</f>
        <v>1551686037528276</v>
      </c>
      <c r="C1753" t="s">
        <v>40</v>
      </c>
      <c r="D1753">
        <v>4.427422</v>
      </c>
      <c r="E1753">
        <v>0.50595270000000003</v>
      </c>
      <c r="F1753" t="s">
        <v>51</v>
      </c>
      <c r="G1753">
        <v>-478.31720000000001</v>
      </c>
      <c r="H1753" s="1">
        <v>2.6615420000000002E-6</v>
      </c>
      <c r="I1753">
        <v>281.59390000000002</v>
      </c>
      <c r="J1753">
        <v>-429.15159999999997</v>
      </c>
      <c r="K1753">
        <v>1.110141</v>
      </c>
      <c r="L1753">
        <v>284.45409999999998</v>
      </c>
      <c r="M1753">
        <v>-0.99987839999999995</v>
      </c>
      <c r="N1753">
        <v>-1.4802020000000001E-2</v>
      </c>
      <c r="O1753">
        <v>-4.9328230000000002E-3</v>
      </c>
      <c r="P1753">
        <v>-0.98302009999999995</v>
      </c>
      <c r="Q1753">
        <v>0.16571939999999999</v>
      </c>
      <c r="R1753">
        <v>-7.8796249999999998E-2</v>
      </c>
      <c r="S1753">
        <v>-3.0488279999999999</v>
      </c>
      <c r="T1753">
        <v>-6.8327189999999996E-2</v>
      </c>
      <c r="U1753">
        <v>-0.17614749999999901</v>
      </c>
      <c r="V1753">
        <v>-7.3876029999999995E-2</v>
      </c>
      <c r="W1753">
        <v>0.1802859</v>
      </c>
      <c r="X1753">
        <v>0.98083600000000004</v>
      </c>
      <c r="Y1753">
        <v>-5.2731630000000002E-2</v>
      </c>
      <c r="Z1753">
        <v>-9.4353160000000004E-4</v>
      </c>
      <c r="AA1753">
        <v>0.9986083</v>
      </c>
      <c r="AB1753">
        <v>37</v>
      </c>
      <c r="AC1753">
        <v>-49.165599999999998</v>
      </c>
      <c r="AD1753">
        <v>-1.1101383384579999</v>
      </c>
      <c r="AE1753">
        <v>-2.8601999999999599</v>
      </c>
      <c r="AF1753">
        <v>-2.6162840685547102</v>
      </c>
      <c r="AG1753">
        <v>-1.1101383384579999</v>
      </c>
      <c r="AH1753">
        <v>49.154136022951299</v>
      </c>
      <c r="AI1753">
        <v>91.291967942942094</v>
      </c>
      <c r="AJ1753">
        <v>93.046757178450505</v>
      </c>
      <c r="AK1753">
        <v>49.2362309445055</v>
      </c>
      <c r="AL1753">
        <v>79.613586535658399</v>
      </c>
      <c r="AM1753">
        <v>94.307353764768095</v>
      </c>
      <c r="AN1753">
        <v>0.99999996622168497</v>
      </c>
    </row>
    <row r="1754" spans="1:40" x14ac:dyDescent="0.25">
      <c r="A1754" t="str">
        <f>"20190304155357557"</f>
        <v>20190304155357557</v>
      </c>
      <c r="B1754" t="str">
        <f>"1551686037547796"</f>
        <v>1551686037547796</v>
      </c>
      <c r="C1754" t="s">
        <v>40</v>
      </c>
      <c r="D1754">
        <v>4.4032119999999999</v>
      </c>
      <c r="E1754">
        <v>0.50602559999999996</v>
      </c>
      <c r="F1754" t="s">
        <v>51</v>
      </c>
      <c r="G1754">
        <v>-480.8476</v>
      </c>
      <c r="H1754" s="1">
        <v>2.0786159999999999E-6</v>
      </c>
      <c r="I1754">
        <v>281.44229999999999</v>
      </c>
      <c r="J1754">
        <v>-429.51819999999998</v>
      </c>
      <c r="K1754">
        <v>1.1101510000000001</v>
      </c>
      <c r="L1754">
        <v>284.45240000000001</v>
      </c>
      <c r="M1754">
        <v>-0.99987890000000001</v>
      </c>
      <c r="N1754">
        <v>-1.47987E-2</v>
      </c>
      <c r="O1754">
        <v>-4.8027579999999999E-3</v>
      </c>
      <c r="P1754">
        <v>-0.98302670000000003</v>
      </c>
      <c r="Q1754">
        <v>0.16549739999999999</v>
      </c>
      <c r="R1754">
        <v>-7.9179609999999997E-2</v>
      </c>
      <c r="S1754">
        <v>-3.0486149999999999</v>
      </c>
      <c r="T1754">
        <v>-6.5467120000000004E-2</v>
      </c>
      <c r="U1754">
        <v>-0.177612299999999</v>
      </c>
      <c r="V1754">
        <v>-7.4390339999999999E-2</v>
      </c>
      <c r="W1754">
        <v>0.18005989999999999</v>
      </c>
      <c r="X1754">
        <v>0.98083869999999895</v>
      </c>
      <c r="Y1754">
        <v>-5.334494E-2</v>
      </c>
      <c r="Z1754">
        <v>-9.353597E-4</v>
      </c>
      <c r="AA1754">
        <v>0.99857569999999996</v>
      </c>
      <c r="AB1754">
        <v>37</v>
      </c>
      <c r="AC1754">
        <v>-51.3294</v>
      </c>
      <c r="AD1754">
        <v>-1.1101489213839999</v>
      </c>
      <c r="AE1754">
        <v>-3.01010000000002</v>
      </c>
      <c r="AF1754">
        <v>-2.7622279237417899</v>
      </c>
      <c r="AG1754">
        <v>-1.1101489213839999</v>
      </c>
      <c r="AH1754">
        <v>51.3193429857334</v>
      </c>
      <c r="AI1754">
        <v>91.237448331335102</v>
      </c>
      <c r="AJ1754">
        <v>93.080932544837097</v>
      </c>
      <c r="AK1754">
        <v>51.405615434674999</v>
      </c>
      <c r="AL1754">
        <v>79.626751410224102</v>
      </c>
      <c r="AM1754">
        <v>94.337214765875999</v>
      </c>
      <c r="AN1754">
        <v>1.0000000228454999</v>
      </c>
    </row>
    <row r="1755" spans="1:40" x14ac:dyDescent="0.25">
      <c r="A1755" t="str">
        <f>"20190304155357580"</f>
        <v>20190304155357580</v>
      </c>
      <c r="B1755" t="str">
        <f>"1551686037568292"</f>
        <v>1551686037568292</v>
      </c>
      <c r="C1755" t="s">
        <v>40</v>
      </c>
      <c r="D1755">
        <v>4.3803449999999904</v>
      </c>
      <c r="E1755">
        <v>0.50592740000000003</v>
      </c>
      <c r="F1755" t="s">
        <v>51</v>
      </c>
      <c r="G1755">
        <v>-481.53489999999999</v>
      </c>
      <c r="H1755" s="1">
        <v>2.1975819999999999E-6</v>
      </c>
      <c r="I1755">
        <v>281.40870000000001</v>
      </c>
      <c r="J1755">
        <v>-429.87459999999999</v>
      </c>
      <c r="K1755">
        <v>1.1101620000000001</v>
      </c>
      <c r="L1755">
        <v>284.45080000000002</v>
      </c>
      <c r="M1755">
        <v>-0.99987969999999904</v>
      </c>
      <c r="N1755">
        <v>-1.479549E-2</v>
      </c>
      <c r="O1755">
        <v>-4.6891859999999997E-3</v>
      </c>
      <c r="P1755">
        <v>-0.98302670000000003</v>
      </c>
      <c r="Q1755">
        <v>0.1651292</v>
      </c>
      <c r="R1755">
        <v>-7.9944870000000001E-2</v>
      </c>
      <c r="S1755">
        <v>-3.0484010000000001</v>
      </c>
      <c r="T1755">
        <v>-6.5059539999999999E-2</v>
      </c>
      <c r="U1755">
        <v>-0.17837520000000001</v>
      </c>
      <c r="V1755">
        <v>-7.5271539999999998E-2</v>
      </c>
      <c r="W1755">
        <v>0.17968689999999901</v>
      </c>
      <c r="X1755">
        <v>0.98083980000000004</v>
      </c>
      <c r="Y1755">
        <v>-5.3711559999999998E-2</v>
      </c>
      <c r="Z1755">
        <v>-9.3973489999999999E-4</v>
      </c>
      <c r="AA1755">
        <v>0.99855609999999995</v>
      </c>
      <c r="AB1755">
        <v>37</v>
      </c>
      <c r="AC1755">
        <v>-51.660299999999999</v>
      </c>
      <c r="AD1755">
        <v>-1.1101598024179999</v>
      </c>
      <c r="AE1755">
        <v>-3.0421</v>
      </c>
      <c r="AF1755">
        <v>-2.7985074157341598</v>
      </c>
      <c r="AG1755">
        <v>-1.1101598024179999</v>
      </c>
      <c r="AH1755">
        <v>51.650228612097401</v>
      </c>
      <c r="AI1755">
        <v>91.229511717105794</v>
      </c>
      <c r="AJ1755">
        <v>93.101361584319605</v>
      </c>
      <c r="AK1755">
        <v>51.737899205753898</v>
      </c>
      <c r="AL1755">
        <v>79.648476324214897</v>
      </c>
      <c r="AM1755">
        <v>94.388387352914606</v>
      </c>
      <c r="AN1755">
        <v>0.99999995001480901</v>
      </c>
    </row>
    <row r="1756" spans="1:40" x14ac:dyDescent="0.25">
      <c r="A1756" t="str">
        <f>"20190304155357601"</f>
        <v>20190304155357601</v>
      </c>
      <c r="B1756" t="str">
        <f>"1551686037598547"</f>
        <v>1551686037598547</v>
      </c>
      <c r="C1756" t="s">
        <v>40</v>
      </c>
      <c r="D1756">
        <v>4.3898320000000002</v>
      </c>
      <c r="E1756">
        <v>0.5060403</v>
      </c>
      <c r="F1756" t="s">
        <v>51</v>
      </c>
      <c r="G1756">
        <v>-480.79590000000002</v>
      </c>
      <c r="H1756" s="1">
        <v>2.067404E-6</v>
      </c>
      <c r="I1756">
        <v>281.41899999999998</v>
      </c>
      <c r="J1756">
        <v>-430.22359999999998</v>
      </c>
      <c r="K1756">
        <v>1.1101799999999999</v>
      </c>
      <c r="L1756">
        <v>284.44920000000002</v>
      </c>
      <c r="M1756">
        <v>-0.99987999999999999</v>
      </c>
      <c r="N1756">
        <v>-1.479229E-2</v>
      </c>
      <c r="O1756">
        <v>-4.5929480000000003E-3</v>
      </c>
      <c r="P1756">
        <v>-0.98297270000000003</v>
      </c>
      <c r="Q1756">
        <v>0.16525010000000001</v>
      </c>
      <c r="R1756">
        <v>-8.0356609999999995E-2</v>
      </c>
      <c r="S1756">
        <v>-3.048187</v>
      </c>
      <c r="T1756">
        <v>-6.6455009999999995E-2</v>
      </c>
      <c r="U1756">
        <v>-0.18148800000000001</v>
      </c>
      <c r="V1756">
        <v>-7.5783899999999904E-2</v>
      </c>
      <c r="W1756">
        <v>0.17980179999999901</v>
      </c>
      <c r="X1756">
        <v>0.98077930000000002</v>
      </c>
      <c r="Y1756">
        <v>-5.4826739999999999E-2</v>
      </c>
      <c r="Z1756">
        <v>-9.7087550000000001E-4</v>
      </c>
      <c r="AA1756">
        <v>0.99849540000000003</v>
      </c>
      <c r="AB1756">
        <v>36</v>
      </c>
      <c r="AC1756">
        <v>-50.572299999999998</v>
      </c>
      <c r="AD1756">
        <v>-1.110177932596</v>
      </c>
      <c r="AE1756">
        <v>-3.0301999999999798</v>
      </c>
      <c r="AF1756">
        <v>-2.79652382909926</v>
      </c>
      <c r="AG1756">
        <v>-1.110177932596</v>
      </c>
      <c r="AH1756">
        <v>50.561407002166497</v>
      </c>
      <c r="AI1756">
        <v>91.255923647705899</v>
      </c>
      <c r="AJ1756">
        <v>93.165772750675004</v>
      </c>
      <c r="AK1756">
        <v>50.650853088644702</v>
      </c>
      <c r="AL1756">
        <v>79.641784159545196</v>
      </c>
      <c r="AM1756">
        <v>94.418411909710599</v>
      </c>
      <c r="AN1756">
        <v>0.99999996104546895</v>
      </c>
    </row>
    <row r="1757" spans="1:40" x14ac:dyDescent="0.25">
      <c r="A1757" t="str">
        <f>"20190304155357625"</f>
        <v>20190304155357625</v>
      </c>
      <c r="B1757" t="str">
        <f>"1551686037618071"</f>
        <v>1551686037618071</v>
      </c>
      <c r="C1757" t="s">
        <v>40</v>
      </c>
      <c r="D1757">
        <v>4.374606</v>
      </c>
      <c r="E1757">
        <v>0.50606859999999998</v>
      </c>
      <c r="F1757" t="s">
        <v>51</v>
      </c>
      <c r="G1757">
        <v>-482.10340000000002</v>
      </c>
      <c r="H1757" s="1">
        <v>2.2927320000000001E-6</v>
      </c>
      <c r="I1757">
        <v>281.34350000000001</v>
      </c>
      <c r="J1757">
        <v>-430.60599999999999</v>
      </c>
      <c r="K1757">
        <v>1.1102030000000001</v>
      </c>
      <c r="L1757">
        <v>284.44760000000002</v>
      </c>
      <c r="M1757">
        <v>-0.99988060000000001</v>
      </c>
      <c r="N1757">
        <v>-1.478867E-2</v>
      </c>
      <c r="O1757">
        <v>-4.5139610000000004E-3</v>
      </c>
      <c r="P1757">
        <v>-0.98289280000000001</v>
      </c>
      <c r="Q1757">
        <v>0.16535050000000001</v>
      </c>
      <c r="R1757">
        <v>-8.1126219999999999E-2</v>
      </c>
      <c r="S1757">
        <v>-3.047974</v>
      </c>
      <c r="T1757">
        <v>-6.5223690000000001E-2</v>
      </c>
      <c r="U1757">
        <v>-0.1824646</v>
      </c>
      <c r="V1757">
        <v>-7.6638869999999998E-2</v>
      </c>
      <c r="W1757">
        <v>0.17989430000000001</v>
      </c>
      <c r="X1757">
        <v>0.98069600000000001</v>
      </c>
      <c r="Y1757">
        <v>-5.5229019999999997E-2</v>
      </c>
      <c r="Z1757">
        <v>-9.6938220000000004E-4</v>
      </c>
      <c r="AA1757">
        <v>0.99847319999999995</v>
      </c>
      <c r="AB1757">
        <v>36</v>
      </c>
      <c r="AC1757">
        <v>-51.497399999999999</v>
      </c>
      <c r="AD1757">
        <v>-1.110200707268</v>
      </c>
      <c r="AE1757">
        <v>-3.1041000000000101</v>
      </c>
      <c r="AF1757">
        <v>-2.8702565613469</v>
      </c>
      <c r="AG1757">
        <v>-1.110200707268</v>
      </c>
      <c r="AH1757">
        <v>51.487045854966198</v>
      </c>
      <c r="AI1757">
        <v>91.233346993015402</v>
      </c>
      <c r="AJ1757">
        <v>93.190774326497205</v>
      </c>
      <c r="AK1757">
        <v>51.578937651038899</v>
      </c>
      <c r="AL1757">
        <v>79.636397486674497</v>
      </c>
      <c r="AM1757">
        <v>94.468436290392205</v>
      </c>
      <c r="AN1757">
        <v>1.0000000599916801</v>
      </c>
    </row>
    <row r="1758" spans="1:40" x14ac:dyDescent="0.25">
      <c r="A1758" t="str">
        <f>"20190304155357646"</f>
        <v>20190304155357646</v>
      </c>
      <c r="B1758" t="str">
        <f>"1551686037638564"</f>
        <v>1551686037638564</v>
      </c>
      <c r="C1758" t="s">
        <v>40</v>
      </c>
      <c r="D1758">
        <v>4.4022489999999896</v>
      </c>
      <c r="E1758">
        <v>0.50614020000000004</v>
      </c>
      <c r="F1758" t="s">
        <v>51</v>
      </c>
      <c r="G1758">
        <v>-483.21570000000003</v>
      </c>
      <c r="H1758" s="1">
        <v>2.4828390000000002E-6</v>
      </c>
      <c r="I1758">
        <v>281.2611</v>
      </c>
      <c r="J1758">
        <v>-430.95650000000001</v>
      </c>
      <c r="K1758">
        <v>1.1102240000000001</v>
      </c>
      <c r="L1758">
        <v>284.4461</v>
      </c>
      <c r="M1758">
        <v>-0.99988069999999896</v>
      </c>
      <c r="N1758">
        <v>-1.4785299999999901E-2</v>
      </c>
      <c r="O1758">
        <v>-4.4628929999999999E-3</v>
      </c>
      <c r="P1758">
        <v>-0.98271039999999998</v>
      </c>
      <c r="Q1758">
        <v>0.16621610000000001</v>
      </c>
      <c r="R1758">
        <v>-8.1562029999999994E-2</v>
      </c>
      <c r="S1758">
        <v>-3.0477910000000001</v>
      </c>
      <c r="T1758">
        <v>-6.4316269999999995E-2</v>
      </c>
      <c r="U1758">
        <v>-0.18460080000000001</v>
      </c>
      <c r="V1758">
        <v>-7.7133919999999995E-2</v>
      </c>
      <c r="W1758">
        <v>0.18075069999999999</v>
      </c>
      <c r="X1758">
        <v>0.98049960000000003</v>
      </c>
      <c r="Y1758">
        <v>-5.5981059999999999E-2</v>
      </c>
      <c r="Z1758">
        <v>-9.7624449999999998E-4</v>
      </c>
      <c r="AA1758">
        <v>0.99843130000000002</v>
      </c>
      <c r="AB1758">
        <v>36</v>
      </c>
      <c r="AC1758">
        <v>-52.2592</v>
      </c>
      <c r="AD1758">
        <v>-1.1102215171609999</v>
      </c>
      <c r="AE1758">
        <v>-3.1850000000000001</v>
      </c>
      <c r="AF1758">
        <v>-2.9503888828271601</v>
      </c>
      <c r="AG1758">
        <v>-1.1102215171609999</v>
      </c>
      <c r="AH1758">
        <v>52.2494008883221</v>
      </c>
      <c r="AI1758">
        <v>91.215330869744406</v>
      </c>
      <c r="AJ1758">
        <v>93.231912722262805</v>
      </c>
      <c r="AK1758">
        <v>52.344410203628001</v>
      </c>
      <c r="AL1758">
        <v>79.586510592295696</v>
      </c>
      <c r="AM1758">
        <v>94.498079316036893</v>
      </c>
      <c r="AN1758">
        <v>0.99999996138260705</v>
      </c>
    </row>
    <row r="1759" spans="1:40" x14ac:dyDescent="0.25">
      <c r="A1759" t="str">
        <f>"20190304155357668"</f>
        <v>20190304155357668</v>
      </c>
      <c r="B1759" t="str">
        <f>"1551686037658084"</f>
        <v>1551686037658084</v>
      </c>
      <c r="C1759" t="s">
        <v>40</v>
      </c>
      <c r="D1759">
        <v>4.3813700000000004</v>
      </c>
      <c r="E1759">
        <v>0.50576840000000001</v>
      </c>
      <c r="F1759" t="s">
        <v>51</v>
      </c>
      <c r="G1759">
        <v>-486.14049999999997</v>
      </c>
      <c r="H1759" s="1">
        <v>2.9863839999999999E-6</v>
      </c>
      <c r="I1759">
        <v>281.0865</v>
      </c>
      <c r="J1759">
        <v>-431.31439999999998</v>
      </c>
      <c r="K1759">
        <v>1.1102510000000001</v>
      </c>
      <c r="L1759">
        <v>284.44450000000001</v>
      </c>
      <c r="M1759">
        <v>-0.99988100000000002</v>
      </c>
      <c r="N1759">
        <v>-1.4781809999999999E-2</v>
      </c>
      <c r="O1759">
        <v>-4.429812E-3</v>
      </c>
      <c r="P1759">
        <v>-0.98261589999999999</v>
      </c>
      <c r="Q1759">
        <v>0.1667505</v>
      </c>
      <c r="R1759">
        <v>-8.1611699999999995E-2</v>
      </c>
      <c r="S1759">
        <v>-3.0477599999999998</v>
      </c>
      <c r="T1759">
        <v>-6.1316490000000001E-2</v>
      </c>
      <c r="U1759">
        <v>-0.18554689999999999</v>
      </c>
      <c r="V1759">
        <v>-7.7224520000000005E-2</v>
      </c>
      <c r="W1759">
        <v>0.1812764</v>
      </c>
      <c r="X1759">
        <v>0.98039540000000003</v>
      </c>
      <c r="Y1759">
        <v>-5.6324869999999999E-2</v>
      </c>
      <c r="Z1759">
        <v>-9.5917609999999999E-4</v>
      </c>
      <c r="AA1759">
        <v>0.99841199999999997</v>
      </c>
      <c r="AB1759">
        <v>36</v>
      </c>
      <c r="AC1759">
        <v>-54.826099999999997</v>
      </c>
      <c r="AD1759">
        <v>-1.110248013616</v>
      </c>
      <c r="AE1759">
        <v>-3.3580000000000001</v>
      </c>
      <c r="AF1759">
        <v>-3.1137990835185501</v>
      </c>
      <c r="AG1759">
        <v>-1.110248013616</v>
      </c>
      <c r="AH1759">
        <v>54.818043280736298</v>
      </c>
      <c r="AI1759">
        <v>91.158405005561406</v>
      </c>
      <c r="AJ1759">
        <v>93.251047050961404</v>
      </c>
      <c r="AK1759">
        <v>54.917631636050501</v>
      </c>
      <c r="AL1759">
        <v>79.555884150949495</v>
      </c>
      <c r="AM1759">
        <v>94.503817615125499</v>
      </c>
      <c r="AN1759">
        <v>0.99999995001367403</v>
      </c>
    </row>
    <row r="1760" spans="1:40" x14ac:dyDescent="0.25">
      <c r="A1760" t="str">
        <f>"20190304155357691"</f>
        <v>20190304155357691</v>
      </c>
      <c r="B1760" t="str">
        <f>"1551686037688342"</f>
        <v>1551686037688342</v>
      </c>
      <c r="C1760" t="s">
        <v>40</v>
      </c>
      <c r="D1760">
        <v>4.395473</v>
      </c>
      <c r="E1760">
        <v>0.47453479999999998</v>
      </c>
      <c r="F1760" t="s">
        <v>51</v>
      </c>
      <c r="G1760">
        <v>-484.47550000000001</v>
      </c>
      <c r="H1760" s="1">
        <v>2.6957420000000002E-6</v>
      </c>
      <c r="I1760">
        <v>281.14030000000002</v>
      </c>
      <c r="J1760">
        <v>-431.67649999999998</v>
      </c>
      <c r="K1760">
        <v>1.110271</v>
      </c>
      <c r="L1760">
        <v>284.44290000000001</v>
      </c>
      <c r="M1760">
        <v>-0.99988109999999997</v>
      </c>
      <c r="N1760">
        <v>-1.477826E-2</v>
      </c>
      <c r="O1760">
        <v>-4.4108649999999999E-3</v>
      </c>
      <c r="P1760">
        <v>-0.98252530000000005</v>
      </c>
      <c r="Q1760">
        <v>0.1675171</v>
      </c>
      <c r="R1760">
        <v>-8.1131869999999995E-2</v>
      </c>
      <c r="S1760">
        <v>-3.0481569999999998</v>
      </c>
      <c r="T1760">
        <v>-6.3659549999999995E-2</v>
      </c>
      <c r="U1760">
        <v>-0.18945310000000001</v>
      </c>
      <c r="V1760">
        <v>-7.6770370000000004E-2</v>
      </c>
      <c r="W1760">
        <v>0.18203549999999999</v>
      </c>
      <c r="X1760">
        <v>0.98029049999999995</v>
      </c>
      <c r="Y1760">
        <v>-5.7608859999999998E-2</v>
      </c>
      <c r="Z1760">
        <v>-1.000225E-3</v>
      </c>
      <c r="AA1760">
        <v>0.99833879999999997</v>
      </c>
      <c r="AB1760">
        <v>36</v>
      </c>
      <c r="AC1760">
        <v>-52.798999999999999</v>
      </c>
      <c r="AD1760">
        <v>-1.1102683042579999</v>
      </c>
      <c r="AE1760">
        <v>-3.30259999999998</v>
      </c>
      <c r="AF1760">
        <v>-3.0683017061161202</v>
      </c>
      <c r="AG1760">
        <v>-1.1102683042579999</v>
      </c>
      <c r="AH1760">
        <v>52.789803266319502</v>
      </c>
      <c r="AI1760">
        <v>91.202830341856895</v>
      </c>
      <c r="AJ1760">
        <v>93.326460021805502</v>
      </c>
      <c r="AK1760">
        <v>52.890552086019298</v>
      </c>
      <c r="AL1760">
        <v>79.511655984479106</v>
      </c>
      <c r="AM1760">
        <v>94.477916290464293</v>
      </c>
      <c r="AN1760">
        <v>1.0000000386802099</v>
      </c>
    </row>
    <row r="1761" spans="1:40" x14ac:dyDescent="0.25">
      <c r="A1761" t="str">
        <f>"20190304155357713"</f>
        <v>20190304155357713</v>
      </c>
      <c r="B1761" t="str">
        <f>"1551686037707860"</f>
        <v>1551686037707860</v>
      </c>
      <c r="C1761" t="s">
        <v>40</v>
      </c>
      <c r="D1761">
        <v>4.4107609999999999</v>
      </c>
      <c r="E1761">
        <v>0.47258679999999997</v>
      </c>
      <c r="F1761" t="s">
        <v>63</v>
      </c>
      <c r="G1761">
        <v>-465.29910000000001</v>
      </c>
      <c r="H1761">
        <v>5.5894899999999997E-2</v>
      </c>
      <c r="I1761">
        <v>279.61040000000003</v>
      </c>
      <c r="J1761">
        <v>-432.0437</v>
      </c>
      <c r="K1761">
        <v>1.1102890000000001</v>
      </c>
      <c r="L1761">
        <v>284.44130000000001</v>
      </c>
      <c r="M1761">
        <v>-0.99988109999999997</v>
      </c>
      <c r="N1761">
        <v>-1.477462E-2</v>
      </c>
      <c r="O1761">
        <v>-4.408108E-3</v>
      </c>
      <c r="P1761">
        <v>-0.98234149999999998</v>
      </c>
      <c r="Q1761">
        <v>0.16843329999999901</v>
      </c>
      <c r="R1761">
        <v>-8.145761E-2</v>
      </c>
      <c r="S1761">
        <v>-3.033569</v>
      </c>
      <c r="T1761">
        <v>-9.513009E-2</v>
      </c>
      <c r="U1761">
        <v>-0.43600460000000002</v>
      </c>
      <c r="V1761">
        <v>-7.7105880000000002E-2</v>
      </c>
      <c r="W1761">
        <v>0.18294270000000001</v>
      </c>
      <c r="X1761">
        <v>0.98009520000000006</v>
      </c>
      <c r="Y1761">
        <v>-0.13780200000000001</v>
      </c>
      <c r="Z1761">
        <v>-3.1000310000000001E-3</v>
      </c>
      <c r="AA1761">
        <v>0.99045499999999997</v>
      </c>
      <c r="AB1761">
        <v>36</v>
      </c>
      <c r="AC1761">
        <v>-33.255400000000002</v>
      </c>
      <c r="AD1761">
        <v>-1.0543940999999999</v>
      </c>
      <c r="AE1761">
        <v>-4.8308999999999802</v>
      </c>
      <c r="AF1761">
        <v>-4.6796365860403499</v>
      </c>
      <c r="AG1761">
        <v>-1.0543940999999999</v>
      </c>
      <c r="AH1761">
        <v>33.243646171412898</v>
      </c>
      <c r="AI1761">
        <v>91.798926360716706</v>
      </c>
      <c r="AJ1761">
        <v>98.012754664531599</v>
      </c>
      <c r="AK1761">
        <v>33.587955523753102</v>
      </c>
      <c r="AL1761">
        <v>79.458788830232805</v>
      </c>
      <c r="AM1761">
        <v>94.498298545844605</v>
      </c>
      <c r="AN1761">
        <v>0.99999997463845203</v>
      </c>
    </row>
    <row r="1762" spans="1:40" x14ac:dyDescent="0.25">
      <c r="A1762" t="str">
        <f>"20190304155357738"</f>
        <v>20190304155357738</v>
      </c>
      <c r="B1762" t="str">
        <f>"1551686037728356"</f>
        <v>1551686037728356</v>
      </c>
      <c r="C1762" t="s">
        <v>40</v>
      </c>
      <c r="D1762">
        <v>4.3698980000000001</v>
      </c>
      <c r="E1762">
        <v>0.47143259999999998</v>
      </c>
      <c r="F1762" t="s">
        <v>63</v>
      </c>
      <c r="G1762">
        <v>-463.68430000000001</v>
      </c>
      <c r="H1762" s="1">
        <v>6.3760569999999997E-7</v>
      </c>
      <c r="I1762">
        <v>279.7251</v>
      </c>
      <c r="J1762">
        <v>-432.42070000000001</v>
      </c>
      <c r="K1762">
        <v>1.110309</v>
      </c>
      <c r="L1762">
        <v>284.43959999999998</v>
      </c>
      <c r="M1762">
        <v>-0.99988109999999997</v>
      </c>
      <c r="N1762">
        <v>-1.477083E-2</v>
      </c>
      <c r="O1762">
        <v>-4.434894E-3</v>
      </c>
      <c r="P1762">
        <v>-0.98212489999999997</v>
      </c>
      <c r="Q1762">
        <v>0.16979929999999999</v>
      </c>
      <c r="R1762">
        <v>-8.1234130000000002E-2</v>
      </c>
      <c r="S1762">
        <v>-3.0346679999999999</v>
      </c>
      <c r="T1762">
        <v>-0.10648829999999999</v>
      </c>
      <c r="U1762">
        <v>-0.4523315</v>
      </c>
      <c r="V1762">
        <v>-7.6865030000000001E-2</v>
      </c>
      <c r="W1762">
        <v>0.1842974</v>
      </c>
      <c r="X1762">
        <v>0.97986030000000002</v>
      </c>
      <c r="Y1762">
        <v>-0.1429155</v>
      </c>
      <c r="Z1762">
        <v>-3.4652060000000002E-3</v>
      </c>
      <c r="AA1762">
        <v>0.98972879999999996</v>
      </c>
      <c r="AB1762">
        <v>36</v>
      </c>
      <c r="AC1762">
        <v>-31.2636</v>
      </c>
      <c r="AD1762">
        <v>-1.1103083623943</v>
      </c>
      <c r="AE1762">
        <v>-4.7144999999999797</v>
      </c>
      <c r="AF1762">
        <v>-4.5701517045512103</v>
      </c>
      <c r="AG1762">
        <v>-1.1103083623943</v>
      </c>
      <c r="AH1762">
        <v>31.245669983532601</v>
      </c>
      <c r="AI1762">
        <v>92.013728825597795</v>
      </c>
      <c r="AJ1762">
        <v>98.321367902903802</v>
      </c>
      <c r="AK1762">
        <v>31.597641747162701</v>
      </c>
      <c r="AL1762">
        <v>79.379827797554398</v>
      </c>
      <c r="AM1762">
        <v>94.485375566041199</v>
      </c>
      <c r="AN1762">
        <v>0.99999998599987505</v>
      </c>
    </row>
    <row r="1763" spans="1:40" x14ac:dyDescent="0.25">
      <c r="A1763" t="str">
        <f>"20190304155357757"</f>
        <v>20190304155357757</v>
      </c>
      <c r="B1763" t="str">
        <f>"1551686037747876"</f>
        <v>1551686037747876</v>
      </c>
      <c r="C1763" t="s">
        <v>40</v>
      </c>
      <c r="D1763">
        <v>4.4428150000000004</v>
      </c>
      <c r="E1763">
        <v>0.47018840000000001</v>
      </c>
      <c r="F1763" t="s">
        <v>63</v>
      </c>
      <c r="G1763">
        <v>-461.32209999999998</v>
      </c>
      <c r="H1763" s="1">
        <v>-6.3338579999999999E-7</v>
      </c>
      <c r="I1763">
        <v>280.04500000000002</v>
      </c>
      <c r="J1763">
        <v>-432.76249999999999</v>
      </c>
      <c r="K1763">
        <v>1.1103430000000001</v>
      </c>
      <c r="L1763">
        <v>284.43810000000002</v>
      </c>
      <c r="M1763">
        <v>-0.99988089999999996</v>
      </c>
      <c r="N1763">
        <v>-1.476737E-2</v>
      </c>
      <c r="O1763">
        <v>-4.4980719999999997E-3</v>
      </c>
      <c r="P1763">
        <v>-0.98193900000000001</v>
      </c>
      <c r="Q1763">
        <v>0.1709098</v>
      </c>
      <c r="R1763">
        <v>-8.1153520000000007E-2</v>
      </c>
      <c r="S1763">
        <v>-3.036591</v>
      </c>
      <c r="T1763">
        <v>-0.1166568</v>
      </c>
      <c r="U1763">
        <v>-0.461731</v>
      </c>
      <c r="V1763">
        <v>-7.6736289999999999E-2</v>
      </c>
      <c r="W1763">
        <v>0.1853968</v>
      </c>
      <c r="X1763">
        <v>0.97966299999999995</v>
      </c>
      <c r="Y1763">
        <v>-0.1457338</v>
      </c>
      <c r="Z1763">
        <v>-3.759428E-3</v>
      </c>
      <c r="AA1763">
        <v>0.98931670000000005</v>
      </c>
      <c r="AB1763">
        <v>36</v>
      </c>
      <c r="AC1763">
        <v>-28.5595999999999</v>
      </c>
      <c r="AD1763">
        <v>-1.1103436333858001</v>
      </c>
      <c r="AE1763">
        <v>-4.3930999999999996</v>
      </c>
      <c r="AF1763">
        <v>-4.2582907410433801</v>
      </c>
      <c r="AG1763">
        <v>-1.1103436333858001</v>
      </c>
      <c r="AH1763">
        <v>28.536936840927499</v>
      </c>
      <c r="AI1763">
        <v>92.203821053642301</v>
      </c>
      <c r="AJ1763">
        <v>98.487071049472704</v>
      </c>
      <c r="AK1763">
        <v>28.874256133839001</v>
      </c>
      <c r="AL1763">
        <v>79.315732561206005</v>
      </c>
      <c r="AM1763">
        <v>94.478791821987201</v>
      </c>
      <c r="AN1763">
        <v>1.0000000126110999</v>
      </c>
    </row>
    <row r="1764" spans="1:40" x14ac:dyDescent="0.25">
      <c r="A1764" t="str">
        <f>"20190304155357780"</f>
        <v>20190304155357780</v>
      </c>
      <c r="B1764" t="str">
        <f>"1551686037768372"</f>
        <v>1551686037768372</v>
      </c>
      <c r="C1764" t="s">
        <v>40</v>
      </c>
      <c r="D1764">
        <v>4.438688</v>
      </c>
      <c r="E1764">
        <v>0.46940340000000003</v>
      </c>
      <c r="F1764" t="s">
        <v>63</v>
      </c>
      <c r="G1764">
        <v>-460.67520000000002</v>
      </c>
      <c r="H1764" s="1">
        <v>-9.8019040000000007E-7</v>
      </c>
      <c r="I1764">
        <v>280.10270000000003</v>
      </c>
      <c r="J1764">
        <v>-433.11509999999998</v>
      </c>
      <c r="K1764">
        <v>1.110384</v>
      </c>
      <c r="L1764">
        <v>284.43639999999999</v>
      </c>
      <c r="M1764">
        <v>-0.99988049999999995</v>
      </c>
      <c r="N1764">
        <v>-1.476381E-2</v>
      </c>
      <c r="O1764">
        <v>-4.6121540000000003E-3</v>
      </c>
      <c r="P1764">
        <v>-0.98170139999999995</v>
      </c>
      <c r="Q1764">
        <v>0.1717476</v>
      </c>
      <c r="R1764">
        <v>-8.2250950000000003E-2</v>
      </c>
      <c r="S1764">
        <v>-3.0372309999999998</v>
      </c>
      <c r="T1764">
        <v>-0.1208187</v>
      </c>
      <c r="U1764">
        <v>-0.47174070000000001</v>
      </c>
      <c r="V1764">
        <v>-7.7741350000000001E-2</v>
      </c>
      <c r="W1764">
        <v>0.18621989999999999</v>
      </c>
      <c r="X1764">
        <v>0.97942759999999995</v>
      </c>
      <c r="Y1764">
        <v>-0.14876239999999999</v>
      </c>
      <c r="Z1764">
        <v>-3.9307880000000002E-3</v>
      </c>
      <c r="AA1764">
        <v>0.98886510000000005</v>
      </c>
      <c r="AB1764">
        <v>36</v>
      </c>
      <c r="AC1764">
        <v>-27.560099999999998</v>
      </c>
      <c r="AD1764">
        <v>-1.1103849801904</v>
      </c>
      <c r="AE1764">
        <v>-4.3336999999999604</v>
      </c>
      <c r="AF1764">
        <v>-4.1998756827322703</v>
      </c>
      <c r="AG1764">
        <v>-1.1103849801904</v>
      </c>
      <c r="AH1764">
        <v>27.536177100246</v>
      </c>
      <c r="AI1764">
        <v>92.282806196692306</v>
      </c>
      <c r="AJ1764">
        <v>98.672039162663793</v>
      </c>
      <c r="AK1764">
        <v>27.8767458619321</v>
      </c>
      <c r="AL1764">
        <v>79.267736424020896</v>
      </c>
      <c r="AM1764">
        <v>94.538295751383899</v>
      </c>
      <c r="AN1764">
        <v>0.99999999614879598</v>
      </c>
    </row>
    <row r="1765" spans="1:40" x14ac:dyDescent="0.25">
      <c r="A1765" t="str">
        <f>"20190304155357803"</f>
        <v>20190304155357803</v>
      </c>
      <c r="B1765" t="str">
        <f>"1551686037798628"</f>
        <v>1551686037798628</v>
      </c>
      <c r="C1765" t="s">
        <v>40</v>
      </c>
      <c r="D1765">
        <v>4.4775669999999996</v>
      </c>
      <c r="E1765">
        <v>0.46917340000000002</v>
      </c>
      <c r="F1765" t="s">
        <v>63</v>
      </c>
      <c r="G1765">
        <v>-460.14690000000002</v>
      </c>
      <c r="H1765" s="1">
        <v>-1.263429E-6</v>
      </c>
      <c r="I1765">
        <v>280.15100000000001</v>
      </c>
      <c r="J1765">
        <v>-433.476</v>
      </c>
      <c r="K1765">
        <v>1.110441</v>
      </c>
      <c r="L1765">
        <v>284.43459999999999</v>
      </c>
      <c r="M1765">
        <v>-0.99987969999999904</v>
      </c>
      <c r="N1765">
        <v>-1.4760219999999999E-2</v>
      </c>
      <c r="O1765">
        <v>-4.792274E-3</v>
      </c>
      <c r="P1765">
        <v>-0.98138970000000003</v>
      </c>
      <c r="Q1765">
        <v>0.17299629999999999</v>
      </c>
      <c r="R1765">
        <v>-8.3348060000000002E-2</v>
      </c>
      <c r="S1765">
        <v>-3.037445</v>
      </c>
      <c r="T1765">
        <v>-0.1247692</v>
      </c>
      <c r="U1765">
        <v>-0.48153689999999999</v>
      </c>
      <c r="V1765">
        <v>-7.868791E-2</v>
      </c>
      <c r="W1765">
        <v>0.18745010000000001</v>
      </c>
      <c r="X1765">
        <v>0.97911729999999997</v>
      </c>
      <c r="Y1765">
        <v>-0.15167369999999999</v>
      </c>
      <c r="Z1765">
        <v>-4.0963040000000003E-3</v>
      </c>
      <c r="AA1765">
        <v>0.98842220000000003</v>
      </c>
      <c r="AB1765">
        <v>36</v>
      </c>
      <c r="AC1765">
        <v>-26.6709</v>
      </c>
      <c r="AD1765">
        <v>-1.1104422634289901</v>
      </c>
      <c r="AE1765">
        <v>-4.2835999999999697</v>
      </c>
      <c r="AF1765">
        <v>-4.1487118051430301</v>
      </c>
      <c r="AG1765">
        <v>-1.1104422634289901</v>
      </c>
      <c r="AH1765">
        <v>26.6460953858819</v>
      </c>
      <c r="AI1765">
        <v>92.357971607399193</v>
      </c>
      <c r="AJ1765">
        <v>98.849715948297103</v>
      </c>
      <c r="AK1765">
        <v>26.989985012520101</v>
      </c>
      <c r="AL1765">
        <v>79.195987870856797</v>
      </c>
      <c r="AM1765">
        <v>94.594767381930694</v>
      </c>
      <c r="AN1765">
        <v>1.0000000071647299</v>
      </c>
    </row>
    <row r="1766" spans="1:40" x14ac:dyDescent="0.25">
      <c r="A1766" t="str">
        <f>"20190304155357825"</f>
        <v>20190304155357825</v>
      </c>
      <c r="B1766" t="str">
        <f>"1551686037818148"</f>
        <v>1551686037818148</v>
      </c>
      <c r="C1766" t="s">
        <v>40</v>
      </c>
      <c r="D1766">
        <v>4.4405849999999996</v>
      </c>
      <c r="E1766">
        <v>0.46950989999999998</v>
      </c>
      <c r="F1766" t="s">
        <v>63</v>
      </c>
      <c r="G1766">
        <v>-460.91289999999998</v>
      </c>
      <c r="H1766" s="1">
        <v>-8.5092039999999997E-7</v>
      </c>
      <c r="I1766">
        <v>280.0394</v>
      </c>
      <c r="J1766">
        <v>-433.84370000000001</v>
      </c>
      <c r="K1766">
        <v>1.1105039999999999</v>
      </c>
      <c r="L1766">
        <v>284.43259999999998</v>
      </c>
      <c r="M1766">
        <v>-0.99987839999999995</v>
      </c>
      <c r="N1766">
        <v>-1.47566E-2</v>
      </c>
      <c r="O1766">
        <v>-5.0539799999999996E-3</v>
      </c>
      <c r="P1766">
        <v>-0.98109469999999999</v>
      </c>
      <c r="Q1766">
        <v>0.1740158</v>
      </c>
      <c r="R1766">
        <v>-8.4684469999999998E-2</v>
      </c>
      <c r="S1766">
        <v>-3.0372309999999998</v>
      </c>
      <c r="T1766">
        <v>-0.1229243</v>
      </c>
      <c r="U1766">
        <v>-0.48654170000000002</v>
      </c>
      <c r="V1766">
        <v>-7.9797980000000004E-2</v>
      </c>
      <c r="W1766">
        <v>0.18844949999999999</v>
      </c>
      <c r="X1766">
        <v>0.97883560000000003</v>
      </c>
      <c r="Y1766">
        <v>-0.15301689999999901</v>
      </c>
      <c r="Z1766">
        <v>-4.0834269999999997E-3</v>
      </c>
      <c r="AA1766">
        <v>0.98821510000000001</v>
      </c>
      <c r="AB1766">
        <v>36</v>
      </c>
      <c r="AC1766">
        <v>-27.069199999999899</v>
      </c>
      <c r="AD1766">
        <v>-1.1105048509203901</v>
      </c>
      <c r="AE1766">
        <v>-4.39319999999997</v>
      </c>
      <c r="AF1766">
        <v>-4.2493535756018703</v>
      </c>
      <c r="AG1766">
        <v>-1.1105048509203901</v>
      </c>
      <c r="AH1766">
        <v>27.046707759063398</v>
      </c>
      <c r="AI1766">
        <v>92.322713747664594</v>
      </c>
      <c r="AJ1766">
        <v>98.928846575695005</v>
      </c>
      <c r="AK1766">
        <v>27.400996832936201</v>
      </c>
      <c r="AL1766">
        <v>79.137687744131696</v>
      </c>
      <c r="AM1766">
        <v>94.660638494388493</v>
      </c>
      <c r="AN1766">
        <v>1.0000000317448401</v>
      </c>
    </row>
    <row r="1767" spans="1:40" x14ac:dyDescent="0.25">
      <c r="A1767" t="str">
        <f>"20190304155357847"</f>
        <v>20190304155357847</v>
      </c>
      <c r="B1767" t="str">
        <f>"1551686037838644"</f>
        <v>1551686037838644</v>
      </c>
      <c r="C1767" t="s">
        <v>40</v>
      </c>
      <c r="D1767">
        <v>4.4502160000000002</v>
      </c>
      <c r="E1767">
        <v>0.46949730000000001</v>
      </c>
      <c r="F1767" t="s">
        <v>63</v>
      </c>
      <c r="G1767">
        <v>-462.22250000000003</v>
      </c>
      <c r="H1767" s="1">
        <v>-1.4666509999999999E-7</v>
      </c>
      <c r="I1767">
        <v>279.8716</v>
      </c>
      <c r="J1767">
        <v>-434.1986</v>
      </c>
      <c r="K1767">
        <v>1.1105750000000001</v>
      </c>
      <c r="L1767">
        <v>284.43049999999999</v>
      </c>
      <c r="M1767">
        <v>-0.99987680000000001</v>
      </c>
      <c r="N1767">
        <v>-1.475311E-2</v>
      </c>
      <c r="O1767">
        <v>-5.3716569999999898E-3</v>
      </c>
      <c r="P1767">
        <v>-0.9808867</v>
      </c>
      <c r="Q1767">
        <v>0.17452989999999999</v>
      </c>
      <c r="R1767">
        <v>-8.6026409999999998E-2</v>
      </c>
      <c r="S1767">
        <v>-3.0368040000000001</v>
      </c>
      <c r="T1767">
        <v>-0.1188345</v>
      </c>
      <c r="U1767">
        <v>-0.48806759999999899</v>
      </c>
      <c r="V1767">
        <v>-8.0857059999999994E-2</v>
      </c>
      <c r="W1767">
        <v>0.18894540000000001</v>
      </c>
      <c r="X1767">
        <v>0.978653</v>
      </c>
      <c r="Y1767">
        <v>-0.15321789999999999</v>
      </c>
      <c r="Z1767">
        <v>-3.9856400000000004E-3</v>
      </c>
      <c r="AA1767">
        <v>0.98818439999999996</v>
      </c>
      <c r="AB1767">
        <v>36</v>
      </c>
      <c r="AC1767">
        <v>-28.023900000000001</v>
      </c>
      <c r="AD1767">
        <v>-1.1105751466650999</v>
      </c>
      <c r="AE1767">
        <v>-4.5588999999999897</v>
      </c>
      <c r="AF1767">
        <v>-4.4015486359625404</v>
      </c>
      <c r="AG1767">
        <v>-1.1105751466650999</v>
      </c>
      <c r="AH1767">
        <v>28.005138911118099</v>
      </c>
      <c r="AI1767">
        <v>92.243427274925395</v>
      </c>
      <c r="AJ1767">
        <v>98.932069759226394</v>
      </c>
      <c r="AK1767">
        <v>28.3706681800439</v>
      </c>
      <c r="AL1767">
        <v>79.108754222898298</v>
      </c>
      <c r="AM1767">
        <v>94.723093742182598</v>
      </c>
      <c r="AN1767">
        <v>0.999999961371001</v>
      </c>
    </row>
    <row r="1768" spans="1:40" x14ac:dyDescent="0.25">
      <c r="A1768" t="str">
        <f>"20190304155357869"</f>
        <v>20190304155357869</v>
      </c>
      <c r="B1768" t="str">
        <f>"1551686037858164"</f>
        <v>1551686037858164</v>
      </c>
      <c r="C1768" t="s">
        <v>40</v>
      </c>
      <c r="D1768">
        <v>4.5168670000000004</v>
      </c>
      <c r="E1768">
        <v>0.46940510000000002</v>
      </c>
      <c r="F1768" t="s">
        <v>63</v>
      </c>
      <c r="G1768">
        <v>-462.62569999999999</v>
      </c>
      <c r="H1768" s="1">
        <v>7.0297490000000001E-8</v>
      </c>
      <c r="I1768">
        <v>279.8159</v>
      </c>
      <c r="J1768">
        <v>-434.5557</v>
      </c>
      <c r="K1768">
        <v>1.1106370000000001</v>
      </c>
      <c r="L1768">
        <v>284.4282</v>
      </c>
      <c r="M1768">
        <v>-0.99987470000000001</v>
      </c>
      <c r="N1768">
        <v>-1.474963E-2</v>
      </c>
      <c r="O1768">
        <v>-5.7690079999999999E-3</v>
      </c>
      <c r="P1768">
        <v>-0.98069269999999997</v>
      </c>
      <c r="Q1768">
        <v>0.17516709999999999</v>
      </c>
      <c r="R1768">
        <v>-8.6938950000000001E-2</v>
      </c>
      <c r="S1768">
        <v>-3.0363159999999998</v>
      </c>
      <c r="T1768">
        <v>-0.1186213</v>
      </c>
      <c r="U1768">
        <v>-0.49288939999999998</v>
      </c>
      <c r="V1768">
        <v>-8.1409019999999999E-2</v>
      </c>
      <c r="W1768">
        <v>0.18956439999999999</v>
      </c>
      <c r="X1768">
        <v>0.97848760000000001</v>
      </c>
      <c r="Y1768">
        <v>-0.15437879999999901</v>
      </c>
      <c r="Z1768">
        <v>-4.0021659999999997E-3</v>
      </c>
      <c r="AA1768">
        <v>0.98800359999999998</v>
      </c>
      <c r="AB1768">
        <v>36</v>
      </c>
      <c r="AC1768">
        <v>-28.07</v>
      </c>
      <c r="AD1768">
        <v>-1.11063692970251</v>
      </c>
      <c r="AE1768">
        <v>-4.6123000000000003</v>
      </c>
      <c r="AF1768">
        <v>-4.4434960635057603</v>
      </c>
      <c r="AG1768">
        <v>-1.11063692970251</v>
      </c>
      <c r="AH1768">
        <v>28.053380451984999</v>
      </c>
      <c r="AI1768">
        <v>92.239275888304903</v>
      </c>
      <c r="AJ1768">
        <v>99.000552096956199</v>
      </c>
      <c r="AK1768">
        <v>28.424818846209401</v>
      </c>
      <c r="AL1768">
        <v>79.072636228152206</v>
      </c>
      <c r="AM1768">
        <v>94.755988077415594</v>
      </c>
      <c r="AN1768">
        <v>1.0000000368192301</v>
      </c>
    </row>
    <row r="1769" spans="1:40" x14ac:dyDescent="0.25">
      <c r="A1769" t="str">
        <f>"20190304155357892"</f>
        <v>20190304155357892</v>
      </c>
      <c r="B1769" t="str">
        <f>"1551686037888420"</f>
        <v>1551686037888420</v>
      </c>
      <c r="C1769" t="s">
        <v>40</v>
      </c>
      <c r="D1769">
        <v>4.5022289999999998</v>
      </c>
      <c r="E1769">
        <v>0.469331</v>
      </c>
      <c r="F1769" t="s">
        <v>63</v>
      </c>
      <c r="G1769">
        <v>-462.99700000000001</v>
      </c>
      <c r="H1769" s="1">
        <v>2.6955939999999998E-7</v>
      </c>
      <c r="I1769">
        <v>279.77820000000003</v>
      </c>
      <c r="J1769">
        <v>-434.90890000000002</v>
      </c>
      <c r="K1769">
        <v>1.1107070000000001</v>
      </c>
      <c r="L1769">
        <v>284.42570000000001</v>
      </c>
      <c r="M1769">
        <v>-0.99987179999999998</v>
      </c>
      <c r="N1769">
        <v>-1.4746270000000001E-2</v>
      </c>
      <c r="O1769">
        <v>-6.2575010000000004E-3</v>
      </c>
      <c r="P1769">
        <v>-0.98050110000000001</v>
      </c>
      <c r="Q1769">
        <v>0.1758169</v>
      </c>
      <c r="R1769">
        <v>-8.7787489999999996E-2</v>
      </c>
      <c r="S1769">
        <v>-3.0362239999999998</v>
      </c>
      <c r="T1769">
        <v>-0.1185647</v>
      </c>
      <c r="U1769">
        <v>-0.49639889999999998</v>
      </c>
      <c r="V1769">
        <v>-8.1812700000000002E-2</v>
      </c>
      <c r="W1769">
        <v>0.1901941</v>
      </c>
      <c r="X1769">
        <v>0.97833170000000003</v>
      </c>
      <c r="Y1769">
        <v>-0.15501289999999901</v>
      </c>
      <c r="Z1769">
        <v>-4.00571E-3</v>
      </c>
      <c r="AA1769">
        <v>0.98790429999999996</v>
      </c>
      <c r="AB1769">
        <v>36</v>
      </c>
      <c r="AC1769">
        <v>-28.088099999999901</v>
      </c>
      <c r="AD1769">
        <v>-1.1107067304406</v>
      </c>
      <c r="AE1769">
        <v>-4.6474999999999804</v>
      </c>
      <c r="AF1769">
        <v>-4.4648329604168504</v>
      </c>
      <c r="AG1769">
        <v>-1.1107067304406</v>
      </c>
      <c r="AH1769">
        <v>28.073905450788502</v>
      </c>
      <c r="AI1769">
        <v>92.237557942297798</v>
      </c>
      <c r="AJ1769">
        <v>99.036556370748599</v>
      </c>
      <c r="AK1769">
        <v>28.448419465152799</v>
      </c>
      <c r="AL1769">
        <v>79.035888293444103</v>
      </c>
      <c r="AM1769">
        <v>94.7802205350565</v>
      </c>
      <c r="AN1769">
        <v>1.0000000143904899</v>
      </c>
    </row>
    <row r="1770" spans="1:40" x14ac:dyDescent="0.25">
      <c r="A1770" t="str">
        <f>"20190304155357915"</f>
        <v>20190304155357915</v>
      </c>
      <c r="B1770" t="str">
        <f>"1551686037907939"</f>
        <v>1551686037907939</v>
      </c>
      <c r="C1770" t="s">
        <v>40</v>
      </c>
      <c r="D1770">
        <v>4.4730019999999904</v>
      </c>
      <c r="E1770">
        <v>0.46927540000000001</v>
      </c>
      <c r="F1770" t="s">
        <v>63</v>
      </c>
      <c r="G1770">
        <v>-463.35289999999998</v>
      </c>
      <c r="H1770" s="1">
        <v>4.6032780000000001E-7</v>
      </c>
      <c r="I1770">
        <v>279.74610000000001</v>
      </c>
      <c r="J1770">
        <v>-435.27850000000001</v>
      </c>
      <c r="K1770">
        <v>1.1107940000000001</v>
      </c>
      <c r="L1770">
        <v>284.42270000000002</v>
      </c>
      <c r="M1770">
        <v>-0.99986770000000003</v>
      </c>
      <c r="N1770">
        <v>-1.474289E-2</v>
      </c>
      <c r="O1770">
        <v>-6.8889819999999897E-3</v>
      </c>
      <c r="P1770">
        <v>-0.98047660000000003</v>
      </c>
      <c r="Q1770">
        <v>0.17566279999999901</v>
      </c>
      <c r="R1770">
        <v>-8.8367550000000003E-2</v>
      </c>
      <c r="S1770">
        <v>-3.0361940000000001</v>
      </c>
      <c r="T1770">
        <v>-0.118559999999999</v>
      </c>
      <c r="U1770">
        <v>-0.4995117</v>
      </c>
      <c r="V1770">
        <v>-8.1815540000000006E-2</v>
      </c>
      <c r="W1770">
        <v>0.19001899999999999</v>
      </c>
      <c r="X1770">
        <v>0.9783655</v>
      </c>
      <c r="Y1770">
        <v>-0.15537670000000001</v>
      </c>
      <c r="Z1770">
        <v>-3.999725E-3</v>
      </c>
      <c r="AA1770">
        <v>0.98784720000000004</v>
      </c>
      <c r="AB1770">
        <v>36</v>
      </c>
      <c r="AC1770">
        <v>-28.074399999999901</v>
      </c>
      <c r="AD1770">
        <v>-1.1107935396722</v>
      </c>
      <c r="AE1770">
        <v>-4.6765999999999996</v>
      </c>
      <c r="AF1770">
        <v>-4.4762457193548197</v>
      </c>
      <c r="AG1770">
        <v>-1.1107935396722</v>
      </c>
      <c r="AH1770">
        <v>28.0632081105752</v>
      </c>
      <c r="AI1770">
        <v>92.238422451220501</v>
      </c>
      <c r="AJ1770">
        <v>99.062668511881</v>
      </c>
      <c r="AK1770">
        <v>28.439660467123598</v>
      </c>
      <c r="AL1770">
        <v>79.046107283482201</v>
      </c>
      <c r="AM1770">
        <v>94.780221319288898</v>
      </c>
      <c r="AN1770">
        <v>1.00000002726837</v>
      </c>
    </row>
    <row r="1771" spans="1:40" x14ac:dyDescent="0.25">
      <c r="A1771" t="str">
        <f>"20190304155357937"</f>
        <v>20190304155357937</v>
      </c>
      <c r="B1771" t="str">
        <f>"1551686037928438"</f>
        <v>1551686037928438</v>
      </c>
      <c r="C1771" t="s">
        <v>40</v>
      </c>
      <c r="D1771">
        <v>4.513528</v>
      </c>
      <c r="E1771">
        <v>0.46915380000000001</v>
      </c>
      <c r="F1771" t="s">
        <v>63</v>
      </c>
      <c r="G1771">
        <v>-463.26209999999998</v>
      </c>
      <c r="H1771" s="1">
        <v>4.0974249999999998E-7</v>
      </c>
      <c r="I1771">
        <v>279.79790000000003</v>
      </c>
      <c r="J1771">
        <v>-435.62920000000003</v>
      </c>
      <c r="K1771">
        <v>1.1109070000000001</v>
      </c>
      <c r="L1771">
        <v>284.41969999999998</v>
      </c>
      <c r="M1771">
        <v>-0.99986240000000004</v>
      </c>
      <c r="N1771">
        <v>-1.4740049999999999E-2</v>
      </c>
      <c r="O1771">
        <v>-7.6202290000000001E-3</v>
      </c>
      <c r="P1771">
        <v>-0.98044469999999995</v>
      </c>
      <c r="Q1771">
        <v>0.17537710000000001</v>
      </c>
      <c r="R1771">
        <v>-8.9282449999999999E-2</v>
      </c>
      <c r="S1771">
        <v>-3.0360719999999999</v>
      </c>
      <c r="T1771">
        <v>-0.12051530000000001</v>
      </c>
      <c r="U1771">
        <v>-0.50176999999999905</v>
      </c>
      <c r="V1771">
        <v>-8.2062650000000001E-2</v>
      </c>
      <c r="W1771">
        <v>0.1897095</v>
      </c>
      <c r="X1771">
        <v>0.97840479999999996</v>
      </c>
      <c r="Y1771">
        <v>-0.15537179999999901</v>
      </c>
      <c r="Z1771">
        <v>-4.0265090000000002E-3</v>
      </c>
      <c r="AA1771">
        <v>0.9878479</v>
      </c>
      <c r="AB1771">
        <v>36</v>
      </c>
      <c r="AC1771">
        <v>-27.6328999999999</v>
      </c>
      <c r="AD1771">
        <v>-1.1109065902574999</v>
      </c>
      <c r="AE1771">
        <v>-4.6217999999999497</v>
      </c>
      <c r="AF1771">
        <v>-4.4041494990447996</v>
      </c>
      <c r="AG1771">
        <v>-1.1109065902574999</v>
      </c>
      <c r="AH1771">
        <v>27.623889058835601</v>
      </c>
      <c r="AI1771">
        <v>92.274241383767006</v>
      </c>
      <c r="AJ1771">
        <v>99.058578077660201</v>
      </c>
      <c r="AK1771">
        <v>27.994819038477001</v>
      </c>
      <c r="AL1771">
        <v>79.064168146734303</v>
      </c>
      <c r="AM1771">
        <v>94.794400274049494</v>
      </c>
      <c r="AN1771">
        <v>0.99999996278915504</v>
      </c>
    </row>
    <row r="1772" spans="1:40" x14ac:dyDescent="0.25">
      <c r="A1772" t="str">
        <f>"20190304155357958"</f>
        <v>20190304155357958</v>
      </c>
      <c r="B1772" t="str">
        <f>"1551686037947956"</f>
        <v>1551686037947956</v>
      </c>
      <c r="C1772" t="s">
        <v>40</v>
      </c>
      <c r="D1772">
        <v>4.5081540000000002</v>
      </c>
      <c r="E1772">
        <v>0.46908630000000001</v>
      </c>
      <c r="F1772" t="s">
        <v>63</v>
      </c>
      <c r="G1772">
        <v>-463.10599999999999</v>
      </c>
      <c r="H1772" s="1">
        <v>3.246072E-7</v>
      </c>
      <c r="I1772">
        <v>279.84500000000003</v>
      </c>
      <c r="J1772">
        <v>-435.97629999999998</v>
      </c>
      <c r="K1772">
        <v>1.111038</v>
      </c>
      <c r="L1772">
        <v>284.4162</v>
      </c>
      <c r="M1772">
        <v>-0.9998553</v>
      </c>
      <c r="N1772">
        <v>-1.473767E-2</v>
      </c>
      <c r="O1772">
        <v>-8.4964180000000004E-3</v>
      </c>
      <c r="P1772">
        <v>-0.98045740000000003</v>
      </c>
      <c r="Q1772">
        <v>0.1747667</v>
      </c>
      <c r="R1772">
        <v>-9.0332570000000001E-2</v>
      </c>
      <c r="S1772">
        <v>-3.0357970000000001</v>
      </c>
      <c r="T1772">
        <v>-0.1227396</v>
      </c>
      <c r="U1772">
        <v>-0.50543209999999905</v>
      </c>
      <c r="V1772">
        <v>-8.2312300000000005E-2</v>
      </c>
      <c r="W1772">
        <v>0.18907180000000001</v>
      </c>
      <c r="X1772">
        <v>0.97850729999999997</v>
      </c>
      <c r="Y1772">
        <v>-0.15567510000000001</v>
      </c>
      <c r="Z1772">
        <v>-4.063334E-3</v>
      </c>
      <c r="AA1772">
        <v>0.98779989999999995</v>
      </c>
      <c r="AB1772">
        <v>36</v>
      </c>
      <c r="AC1772">
        <v>-27.1297</v>
      </c>
      <c r="AD1772">
        <v>-1.1110376753928</v>
      </c>
      <c r="AE1772">
        <v>-4.57119999999997</v>
      </c>
      <c r="AF1772">
        <v>-4.33343754371964</v>
      </c>
      <c r="AG1772">
        <v>-1.1110376753928</v>
      </c>
      <c r="AH1772">
        <v>27.123329946235501</v>
      </c>
      <c r="AI1772">
        <v>92.316319320081107</v>
      </c>
      <c r="AJ1772">
        <v>99.077310200229107</v>
      </c>
      <c r="AK1772">
        <v>27.4897819750142</v>
      </c>
      <c r="AL1772">
        <v>79.101379509234306</v>
      </c>
      <c r="AM1772">
        <v>94.808416063053002</v>
      </c>
      <c r="AN1772">
        <v>0.99999999821990904</v>
      </c>
    </row>
    <row r="1773" spans="1:40" x14ac:dyDescent="0.25">
      <c r="A1773" t="str">
        <f>"20190304155357981"</f>
        <v>20190304155357981</v>
      </c>
      <c r="B1773" t="str">
        <f>"1551686037978212"</f>
        <v>1551686037978212</v>
      </c>
      <c r="C1773" t="s">
        <v>40</v>
      </c>
      <c r="D1773">
        <v>4.5259929999999997</v>
      </c>
      <c r="E1773">
        <v>0.46888049999999998</v>
      </c>
      <c r="F1773" t="s">
        <v>63</v>
      </c>
      <c r="G1773">
        <v>-462.81979999999999</v>
      </c>
      <c r="H1773" s="1">
        <v>1.694463E-7</v>
      </c>
      <c r="I1773">
        <v>279.91129999999998</v>
      </c>
      <c r="J1773">
        <v>-436.3261</v>
      </c>
      <c r="K1773">
        <v>1.1111949999999999</v>
      </c>
      <c r="L1773">
        <v>284.41230000000002</v>
      </c>
      <c r="M1773">
        <v>-0.99984569999999995</v>
      </c>
      <c r="N1773">
        <v>-1.473587E-2</v>
      </c>
      <c r="O1773">
        <v>-9.556808E-3</v>
      </c>
      <c r="P1773">
        <v>-0.98035870000000003</v>
      </c>
      <c r="Q1773">
        <v>0.17488999999999999</v>
      </c>
      <c r="R1773">
        <v>-9.116262E-2</v>
      </c>
      <c r="S1773">
        <v>-3.0352169999999998</v>
      </c>
      <c r="T1773">
        <v>-0.12562609999999999</v>
      </c>
      <c r="U1773">
        <v>-0.50936890000000001</v>
      </c>
      <c r="V1773">
        <v>-8.2172709999999996E-2</v>
      </c>
      <c r="W1773">
        <v>0.18916359999999999</v>
      </c>
      <c r="X1773">
        <v>0.97850130000000002</v>
      </c>
      <c r="Y1773">
        <v>-0.155897799999999</v>
      </c>
      <c r="Z1773">
        <v>-4.1071479999999997E-3</v>
      </c>
      <c r="AA1773">
        <v>0.98776470000000005</v>
      </c>
      <c r="AB1773">
        <v>36</v>
      </c>
      <c r="AC1773">
        <v>-26.493699999999901</v>
      </c>
      <c r="AD1773">
        <v>-1.1111948305536901</v>
      </c>
      <c r="AE1773">
        <v>-4.5010000000000296</v>
      </c>
      <c r="AF1773">
        <v>-4.2403217174028898</v>
      </c>
      <c r="AG1773">
        <v>-1.1111948305536901</v>
      </c>
      <c r="AH1773">
        <v>26.490217506679301</v>
      </c>
      <c r="AI1773">
        <v>92.371839568732995</v>
      </c>
      <c r="AJ1773">
        <v>99.094256222942093</v>
      </c>
      <c r="AK1773">
        <v>26.850450755428799</v>
      </c>
      <c r="AL1773">
        <v>79.096023204726094</v>
      </c>
      <c r="AM1773">
        <v>94.800329104788304</v>
      </c>
      <c r="AN1773">
        <v>1.0000000079676901</v>
      </c>
    </row>
    <row r="1774" spans="1:40" x14ac:dyDescent="0.25">
      <c r="A1774" t="str">
        <f>"20190304155358003"</f>
        <v>20190304155358003</v>
      </c>
      <c r="B1774" t="str">
        <f>"1551686037997732"</f>
        <v>1551686037997732</v>
      </c>
      <c r="C1774" t="s">
        <v>40</v>
      </c>
      <c r="D1774">
        <v>4.5073319999999999</v>
      </c>
      <c r="E1774">
        <v>0.46866140000000001</v>
      </c>
      <c r="F1774" t="s">
        <v>63</v>
      </c>
      <c r="G1774">
        <v>-463.04059999999998</v>
      </c>
      <c r="H1774" s="1">
        <v>2.87817799999999E-7</v>
      </c>
      <c r="I1774">
        <v>279.8904</v>
      </c>
      <c r="J1774">
        <v>-436.68650000000002</v>
      </c>
      <c r="K1774">
        <v>1.111372</v>
      </c>
      <c r="L1774">
        <v>284.4076</v>
      </c>
      <c r="M1774">
        <v>-0.99983239999999995</v>
      </c>
      <c r="N1774">
        <v>-1.473466E-2</v>
      </c>
      <c r="O1774">
        <v>-1.087203E-2</v>
      </c>
      <c r="P1774">
        <v>-0.98032589999999997</v>
      </c>
      <c r="Q1774">
        <v>0.1743527</v>
      </c>
      <c r="R1774">
        <v>-9.2533219999999999E-2</v>
      </c>
      <c r="S1774">
        <v>-3.0348820000000001</v>
      </c>
      <c r="T1774">
        <v>-0.1262366</v>
      </c>
      <c r="U1774">
        <v>-0.5137024</v>
      </c>
      <c r="V1774">
        <v>-8.2332669999999997E-2</v>
      </c>
      <c r="W1774">
        <v>0.18859049999999999</v>
      </c>
      <c r="X1774">
        <v>0.97859850000000004</v>
      </c>
      <c r="Y1774">
        <v>-0.15598670000000001</v>
      </c>
      <c r="Z1774">
        <v>-4.0882569999999997E-3</v>
      </c>
      <c r="AA1774">
        <v>0.98775069999999998</v>
      </c>
      <c r="AB1774">
        <v>36</v>
      </c>
      <c r="AC1774">
        <v>-26.354099999999899</v>
      </c>
      <c r="AD1774">
        <v>-1.1113717121822</v>
      </c>
      <c r="AE1774">
        <v>-4.5171999999999999</v>
      </c>
      <c r="AF1774">
        <v>-4.2230834506396304</v>
      </c>
      <c r="AG1774">
        <v>-1.1113717121822</v>
      </c>
      <c r="AH1774">
        <v>26.356125312981298</v>
      </c>
      <c r="AI1774">
        <v>92.384212310568003</v>
      </c>
      <c r="AJ1774">
        <v>99.103213493507496</v>
      </c>
      <c r="AK1774">
        <v>26.715443519194601</v>
      </c>
      <c r="AL1774">
        <v>79.129461571011504</v>
      </c>
      <c r="AM1774">
        <v>94.809154304638199</v>
      </c>
      <c r="AN1774">
        <v>1.0000000347209099</v>
      </c>
    </row>
    <row r="1775" spans="1:40" x14ac:dyDescent="0.25">
      <c r="A1775" t="str">
        <f>"20190304155358027"</f>
        <v>20190304155358027</v>
      </c>
      <c r="B1775" t="str">
        <f>"1551686038018230"</f>
        <v>1551686038018230</v>
      </c>
      <c r="C1775" t="s">
        <v>40</v>
      </c>
      <c r="D1775">
        <v>4.4882460000000002</v>
      </c>
      <c r="E1775">
        <v>0.4685068</v>
      </c>
      <c r="F1775" t="s">
        <v>63</v>
      </c>
      <c r="G1775">
        <v>-462.84559999999999</v>
      </c>
      <c r="H1775" s="1">
        <v>1.8236330000000001E-7</v>
      </c>
      <c r="I1775">
        <v>279.92910000000001</v>
      </c>
      <c r="J1775">
        <v>-437.04629999999997</v>
      </c>
      <c r="K1775">
        <v>1.111558</v>
      </c>
      <c r="L1775">
        <v>284.40219999999999</v>
      </c>
      <c r="M1775">
        <v>-0.99981450000000005</v>
      </c>
      <c r="N1775">
        <v>-1.473435E-2</v>
      </c>
      <c r="O1775">
        <v>-1.2414049999999999E-2</v>
      </c>
      <c r="P1775">
        <v>-0.98013329999999999</v>
      </c>
      <c r="Q1775">
        <v>0.1744821</v>
      </c>
      <c r="R1775">
        <v>-9.4313820000000007E-2</v>
      </c>
      <c r="S1775">
        <v>-3.0340880000000001</v>
      </c>
      <c r="T1775">
        <v>-0.12890389999999999</v>
      </c>
      <c r="U1775">
        <v>-0.51943969999999995</v>
      </c>
      <c r="V1775">
        <v>-8.2687689999999994E-2</v>
      </c>
      <c r="W1775">
        <v>0.1886813</v>
      </c>
      <c r="X1775">
        <v>0.97855099999999995</v>
      </c>
      <c r="Y1775">
        <v>-0.1563148</v>
      </c>
      <c r="Z1775">
        <v>-4.1141379999999998E-3</v>
      </c>
      <c r="AA1775">
        <v>0.98769870000000004</v>
      </c>
      <c r="AB1775">
        <v>36</v>
      </c>
      <c r="AC1775">
        <v>-25.799299999999999</v>
      </c>
      <c r="AD1775">
        <v>-1.1115578176367</v>
      </c>
      <c r="AE1775">
        <v>-4.4730999999999801</v>
      </c>
      <c r="AF1775">
        <v>-4.1449769329613</v>
      </c>
      <c r="AG1775">
        <v>-1.1115578176367</v>
      </c>
      <c r="AH1775">
        <v>25.8063405514783</v>
      </c>
      <c r="AI1775">
        <v>92.435205711648393</v>
      </c>
      <c r="AJ1775">
        <v>99.124829115950703</v>
      </c>
      <c r="AK1775">
        <v>26.160726427521201</v>
      </c>
      <c r="AL1775">
        <v>79.124163331889804</v>
      </c>
      <c r="AM1775">
        <v>94.830026914544604</v>
      </c>
      <c r="AN1775">
        <v>0.99999997332411195</v>
      </c>
    </row>
    <row r="1776" spans="1:40" x14ac:dyDescent="0.25">
      <c r="A1776" t="str">
        <f>"20190304155358051"</f>
        <v>20190304155358051</v>
      </c>
      <c r="B1776" t="str">
        <f>"1551686038048484"</f>
        <v>1551686038048484</v>
      </c>
      <c r="C1776" t="s">
        <v>40</v>
      </c>
      <c r="D1776">
        <v>4.5086839999999997</v>
      </c>
      <c r="E1776">
        <v>0.46810410000000002</v>
      </c>
      <c r="F1776" t="s">
        <v>63</v>
      </c>
      <c r="G1776">
        <v>-463.12009999999998</v>
      </c>
      <c r="H1776" s="1">
        <v>3.3069689999999999E-7</v>
      </c>
      <c r="I1776">
        <v>279.87849999999997</v>
      </c>
      <c r="J1776">
        <v>-437.43340000000001</v>
      </c>
      <c r="K1776">
        <v>1.1117509999999999</v>
      </c>
      <c r="L1776">
        <v>284.3954</v>
      </c>
      <c r="M1776">
        <v>-0.9997895</v>
      </c>
      <c r="N1776">
        <v>-1.4734540000000001E-2</v>
      </c>
      <c r="O1776">
        <v>-1.429215E-2</v>
      </c>
      <c r="P1776">
        <v>-0.97988660000000005</v>
      </c>
      <c r="Q1776">
        <v>0.17447470000000001</v>
      </c>
      <c r="R1776">
        <v>-9.6857090000000007E-2</v>
      </c>
      <c r="S1776">
        <v>-3.0332029999999999</v>
      </c>
      <c r="T1776">
        <v>-0.1293087</v>
      </c>
      <c r="U1776">
        <v>-0.52624510000000002</v>
      </c>
      <c r="V1776">
        <v>-8.3477499999999996E-2</v>
      </c>
      <c r="W1776">
        <v>0.18863260000000001</v>
      </c>
      <c r="X1776">
        <v>0.97849330000000001</v>
      </c>
      <c r="Y1776">
        <v>-0.15665879999999999</v>
      </c>
      <c r="Z1776">
        <v>-4.0812419999999997E-3</v>
      </c>
      <c r="AA1776">
        <v>0.98764439999999998</v>
      </c>
      <c r="AB1776">
        <v>36</v>
      </c>
      <c r="AC1776">
        <v>-25.686699999999899</v>
      </c>
      <c r="AD1776">
        <v>-1.1117506693030901</v>
      </c>
      <c r="AE1776">
        <v>-4.5169000000000201</v>
      </c>
      <c r="AF1776">
        <v>-4.1417547293995796</v>
      </c>
      <c r="AG1776">
        <v>-1.1117506693030901</v>
      </c>
      <c r="AH1776">
        <v>25.7019367465649</v>
      </c>
      <c r="AI1776">
        <v>92.445307587931197</v>
      </c>
      <c r="AJ1776">
        <v>99.154266657401706</v>
      </c>
      <c r="AK1776">
        <v>26.057238424545702</v>
      </c>
      <c r="AL1776">
        <v>79.127004340390101</v>
      </c>
      <c r="AM1776">
        <v>94.876226757850802</v>
      </c>
      <c r="AN1776">
        <v>0.99999994446694795</v>
      </c>
    </row>
    <row r="1777" spans="1:40" x14ac:dyDescent="0.25">
      <c r="A1777" t="str">
        <f>"20190304155358071"</f>
        <v>20190304155358071</v>
      </c>
      <c r="B1777" t="str">
        <f>"1551686038068004"</f>
        <v>1551686038068004</v>
      </c>
      <c r="C1777" t="s">
        <v>40</v>
      </c>
      <c r="D1777">
        <v>4.496461</v>
      </c>
      <c r="E1777">
        <v>0.46779720000000002</v>
      </c>
      <c r="F1777" t="s">
        <v>63</v>
      </c>
      <c r="G1777">
        <v>-463.27679999999998</v>
      </c>
      <c r="H1777" s="1">
        <v>4.1687380000000002E-7</v>
      </c>
      <c r="I1777">
        <v>279.81450000000001</v>
      </c>
      <c r="J1777">
        <v>-437.75740000000002</v>
      </c>
      <c r="K1777">
        <v>1.1119049999999999</v>
      </c>
      <c r="L1777">
        <v>284.38920000000002</v>
      </c>
      <c r="M1777">
        <v>-0.99976279999999995</v>
      </c>
      <c r="N1777">
        <v>-1.4734550000000001E-2</v>
      </c>
      <c r="O1777">
        <v>-1.6041130000000001E-2</v>
      </c>
      <c r="P1777">
        <v>-0.97966489999999995</v>
      </c>
      <c r="Q1777">
        <v>0.17439389999999999</v>
      </c>
      <c r="R1777">
        <v>-9.921344E-2</v>
      </c>
      <c r="S1777">
        <v>-3.0316770000000002</v>
      </c>
      <c r="T1777">
        <v>-0.1304188</v>
      </c>
      <c r="U1777">
        <v>-0.53738399999999997</v>
      </c>
      <c r="V1777">
        <v>-8.4189029999999998E-2</v>
      </c>
      <c r="W1777">
        <v>0.18851789999999999</v>
      </c>
      <c r="X1777">
        <v>0.9784545</v>
      </c>
      <c r="Y1777">
        <v>-0.1585307</v>
      </c>
      <c r="Z1777">
        <v>-4.1101430000000001E-3</v>
      </c>
      <c r="AA1777">
        <v>0.98734549999999999</v>
      </c>
      <c r="AB1777">
        <v>35</v>
      </c>
      <c r="AC1777">
        <v>-25.519399999999901</v>
      </c>
      <c r="AD1777">
        <v>-1.1119045831262</v>
      </c>
      <c r="AE1777">
        <v>-4.5747</v>
      </c>
      <c r="AF1777">
        <v>-4.1570606501554597</v>
      </c>
      <c r="AG1777">
        <v>-1.1119045831262</v>
      </c>
      <c r="AH1777">
        <v>25.5425262050641</v>
      </c>
      <c r="AI1777">
        <v>92.460267810424696</v>
      </c>
      <c r="AJ1777">
        <v>99.243872834192501</v>
      </c>
      <c r="AK1777">
        <v>25.902473433775299</v>
      </c>
      <c r="AL1777">
        <v>79.133696838124806</v>
      </c>
      <c r="AM1777">
        <v>94.917780920699897</v>
      </c>
      <c r="AN1777">
        <v>0.99999999998150002</v>
      </c>
    </row>
    <row r="1778" spans="1:40" x14ac:dyDescent="0.25">
      <c r="A1778" t="str">
        <f>"20190304155358094"</f>
        <v>20190304155358094</v>
      </c>
      <c r="B1778" t="str">
        <f>"1551686038088501"</f>
        <v>1551686038088501</v>
      </c>
      <c r="C1778" t="s">
        <v>40</v>
      </c>
      <c r="D1778">
        <v>4.5434609999999997</v>
      </c>
      <c r="E1778">
        <v>0.46147870000000002</v>
      </c>
      <c r="F1778" t="s">
        <v>63</v>
      </c>
      <c r="G1778">
        <v>-463.23140000000001</v>
      </c>
      <c r="H1778" s="1">
        <v>3.938601E-7</v>
      </c>
      <c r="I1778">
        <v>279.7876</v>
      </c>
      <c r="J1778">
        <v>-438.1155</v>
      </c>
      <c r="K1778">
        <v>1.1120749999999999</v>
      </c>
      <c r="L1778">
        <v>284.38139999999999</v>
      </c>
      <c r="M1778">
        <v>-0.99972640000000002</v>
      </c>
      <c r="N1778">
        <v>-1.4734499999999999E-2</v>
      </c>
      <c r="O1778">
        <v>-1.8169620000000001E-2</v>
      </c>
      <c r="P1778">
        <v>-0.97937609999999997</v>
      </c>
      <c r="Q1778">
        <v>0.17441950000000001</v>
      </c>
      <c r="R1778">
        <v>-0.1019824</v>
      </c>
      <c r="S1778">
        <v>-3.0303650000000002</v>
      </c>
      <c r="T1778">
        <v>-0.13227120000000001</v>
      </c>
      <c r="U1778">
        <v>-0.54739380000000004</v>
      </c>
      <c r="V1778">
        <v>-8.4950629999999999E-2</v>
      </c>
      <c r="W1778">
        <v>0.1885057</v>
      </c>
      <c r="X1778">
        <v>0.97839109999999996</v>
      </c>
      <c r="Y1778">
        <v>-0.15965699999999999</v>
      </c>
      <c r="Z1778">
        <v>-4.1209289999999997E-3</v>
      </c>
      <c r="AA1778">
        <v>0.98716400000000004</v>
      </c>
      <c r="AB1778">
        <v>35</v>
      </c>
      <c r="AC1778">
        <v>-25.1159</v>
      </c>
      <c r="AD1778">
        <v>-1.1120746061398901</v>
      </c>
      <c r="AE1778">
        <v>-4.5937999999999803</v>
      </c>
      <c r="AF1778">
        <v>-4.1288130338746498</v>
      </c>
      <c r="AG1778">
        <v>-1.1120746061398901</v>
      </c>
      <c r="AH1778">
        <v>25.147523434144698</v>
      </c>
      <c r="AI1778">
        <v>92.498675823335802</v>
      </c>
      <c r="AJ1778">
        <v>99.323847262727199</v>
      </c>
      <c r="AK1778">
        <v>25.508464122113899</v>
      </c>
      <c r="AL1778">
        <v>79.134409449701806</v>
      </c>
      <c r="AM1778">
        <v>94.962367498691705</v>
      </c>
      <c r="AN1778">
        <v>1.00000007651454</v>
      </c>
    </row>
    <row r="1779" spans="1:40" x14ac:dyDescent="0.25">
      <c r="A1779" t="str">
        <f>"20190304155358117"</f>
        <v>20190304155358117</v>
      </c>
      <c r="B1779" t="str">
        <f>"1551686038108020"</f>
        <v>1551686038108020</v>
      </c>
      <c r="C1779" t="s">
        <v>40</v>
      </c>
      <c r="D1779">
        <v>4.5041799999999999</v>
      </c>
      <c r="E1779">
        <v>0.46148240000000001</v>
      </c>
      <c r="F1779" t="s">
        <v>63</v>
      </c>
      <c r="G1779">
        <v>-459.24459999999999</v>
      </c>
      <c r="H1779" s="1">
        <v>3.577776E-6</v>
      </c>
      <c r="I1779">
        <v>280.15370000000001</v>
      </c>
      <c r="J1779">
        <v>-438.47739999999999</v>
      </c>
      <c r="K1779">
        <v>1.112249</v>
      </c>
      <c r="L1779">
        <v>284.37259999999998</v>
      </c>
      <c r="M1779">
        <v>-0.99968109999999999</v>
      </c>
      <c r="N1779">
        <v>-1.4735130000000001E-2</v>
      </c>
      <c r="O1779">
        <v>-2.0515220000000001E-2</v>
      </c>
      <c r="P1779">
        <v>-0.97900430000000005</v>
      </c>
      <c r="Q1779">
        <v>0.17463049999999999</v>
      </c>
      <c r="R1779">
        <v>-0.1051441</v>
      </c>
      <c r="S1779">
        <v>-3.0284420000000001</v>
      </c>
      <c r="T1779">
        <v>-0.15939429999999999</v>
      </c>
      <c r="U1779">
        <v>-0.60595699999999997</v>
      </c>
      <c r="V1779">
        <v>-8.5896189999999997E-2</v>
      </c>
      <c r="W1779">
        <v>0.1886766</v>
      </c>
      <c r="X1779">
        <v>0.97827549999999996</v>
      </c>
      <c r="Y1779">
        <v>-0.17575250000000001</v>
      </c>
      <c r="Z1779">
        <v>-5.1169520000000001E-3</v>
      </c>
      <c r="AA1779">
        <v>0.98442110000000005</v>
      </c>
      <c r="AB1779">
        <v>35</v>
      </c>
      <c r="AC1779">
        <v>-20.767199999999999</v>
      </c>
      <c r="AD1779">
        <v>-1.1122454222239999</v>
      </c>
      <c r="AE1779">
        <v>-4.2188999999999597</v>
      </c>
      <c r="AF1779">
        <v>-3.7815049396437099</v>
      </c>
      <c r="AG1779">
        <v>-1.1122454222239999</v>
      </c>
      <c r="AH1779">
        <v>20.7921124436327</v>
      </c>
      <c r="AI1779">
        <v>93.0127125159743</v>
      </c>
      <c r="AJ1779">
        <v>100.30783629694299</v>
      </c>
      <c r="AK1779">
        <v>21.162438643891502</v>
      </c>
      <c r="AL1779">
        <v>79.124437668909593</v>
      </c>
      <c r="AM1779">
        <v>95.017911581460396</v>
      </c>
      <c r="AN1779">
        <v>0.99999998437216198</v>
      </c>
    </row>
    <row r="1780" spans="1:40" x14ac:dyDescent="0.25">
      <c r="A1780" t="str">
        <f>"20190304155358140"</f>
        <v>20190304155358140</v>
      </c>
      <c r="B1780" t="str">
        <f>"1551686038128517"</f>
        <v>1551686038128517</v>
      </c>
      <c r="C1780" t="s">
        <v>40</v>
      </c>
      <c r="D1780">
        <v>4.5299519999999998</v>
      </c>
      <c r="E1780">
        <v>0.46192870000000003</v>
      </c>
      <c r="F1780" t="s">
        <v>63</v>
      </c>
      <c r="G1780">
        <v>-460.2371</v>
      </c>
      <c r="H1780" s="1">
        <v>-1.206654E-6</v>
      </c>
      <c r="I1780">
        <v>279.94990000000001</v>
      </c>
      <c r="J1780">
        <v>-438.83210000000003</v>
      </c>
      <c r="K1780">
        <v>1.1124179999999999</v>
      </c>
      <c r="L1780">
        <v>284.363</v>
      </c>
      <c r="M1780">
        <v>-0.99962720000000005</v>
      </c>
      <c r="N1780">
        <v>-1.473607E-2</v>
      </c>
      <c r="O1780">
        <v>-2.2990150000000001E-2</v>
      </c>
      <c r="P1780">
        <v>-0.97859390000000002</v>
      </c>
      <c r="Q1780">
        <v>0.1748951</v>
      </c>
      <c r="R1780">
        <v>-0.10846939999999999</v>
      </c>
      <c r="S1780">
        <v>-3.025909</v>
      </c>
      <c r="T1780">
        <v>-0.1546701</v>
      </c>
      <c r="U1780">
        <v>-0.61502080000000003</v>
      </c>
      <c r="V1780">
        <v>-8.6878929999999993E-2</v>
      </c>
      <c r="W1780">
        <v>0.18890090000000001</v>
      </c>
      <c r="X1780">
        <v>0.97814540000000005</v>
      </c>
      <c r="Y1780">
        <v>-0.17632220000000001</v>
      </c>
      <c r="Z1780">
        <v>-4.9450500000000003E-3</v>
      </c>
      <c r="AA1780">
        <v>0.98432010000000003</v>
      </c>
      <c r="AB1780">
        <v>35</v>
      </c>
      <c r="AC1780">
        <v>-21.404999999999902</v>
      </c>
      <c r="AD1780">
        <v>-1.112419206654</v>
      </c>
      <c r="AE1780">
        <v>-4.4130999999999796</v>
      </c>
      <c r="AF1780">
        <v>-3.9096468182898998</v>
      </c>
      <c r="AG1780">
        <v>-1.112419206654</v>
      </c>
      <c r="AH1780">
        <v>21.445250529917999</v>
      </c>
      <c r="AI1780">
        <v>92.921349950470599</v>
      </c>
      <c r="AJ1780">
        <v>100.332026308707</v>
      </c>
      <c r="AK1780">
        <v>21.8270837499206</v>
      </c>
      <c r="AL1780">
        <v>79.111350637955397</v>
      </c>
      <c r="AM1780">
        <v>95.075694965371497</v>
      </c>
      <c r="AN1780">
        <v>0.99999996101995603</v>
      </c>
    </row>
    <row r="1781" spans="1:40" x14ac:dyDescent="0.25">
      <c r="A1781" t="str">
        <f>"20190304155358184"</f>
        <v>20190304155358184</v>
      </c>
      <c r="B1781" t="str">
        <f>"1551686038178293"</f>
        <v>1551686038178293</v>
      </c>
      <c r="C1781" t="s">
        <v>40</v>
      </c>
      <c r="D1781">
        <v>4.5238209999999999</v>
      </c>
      <c r="E1781">
        <v>0.46318870000000001</v>
      </c>
      <c r="F1781" t="s">
        <v>63</v>
      </c>
      <c r="G1781">
        <v>-460.63299999999998</v>
      </c>
      <c r="H1781" s="1">
        <v>-9.9315799999999998E-7</v>
      </c>
      <c r="I1781">
        <v>279.8854</v>
      </c>
      <c r="J1781">
        <v>-439.51429999999999</v>
      </c>
      <c r="K1781">
        <v>1.112725</v>
      </c>
      <c r="L1781">
        <v>284.34140000000002</v>
      </c>
      <c r="M1781">
        <v>-0.99949330000000003</v>
      </c>
      <c r="N1781">
        <v>-1.473782E-2</v>
      </c>
      <c r="O1781">
        <v>-2.82163E-2</v>
      </c>
      <c r="P1781">
        <v>-0.97763999999999995</v>
      </c>
      <c r="Q1781">
        <v>0.1761828</v>
      </c>
      <c r="R1781">
        <v>-0.1148044</v>
      </c>
      <c r="S1781">
        <v>-3.0243530000000001</v>
      </c>
      <c r="T1781">
        <v>-0.15432170000000001</v>
      </c>
      <c r="U1781">
        <v>-0.62115480000000001</v>
      </c>
      <c r="V1781">
        <v>-8.8254239999999998E-2</v>
      </c>
      <c r="W1781">
        <v>0.19011449999999999</v>
      </c>
      <c r="X1781">
        <v>0.97778710000000002</v>
      </c>
      <c r="Y1781">
        <v>-0.17319960000000001</v>
      </c>
      <c r="Z1781">
        <v>-4.6499439999999996E-3</v>
      </c>
      <c r="AA1781">
        <v>0.98487579999999997</v>
      </c>
      <c r="AB1781">
        <v>35</v>
      </c>
      <c r="AC1781">
        <v>-21.1187</v>
      </c>
      <c r="AD1781">
        <v>-1.112725993158</v>
      </c>
      <c r="AE1781">
        <v>-4.4560000000000102</v>
      </c>
      <c r="AF1781">
        <v>-3.8480417870230501</v>
      </c>
      <c r="AG1781">
        <v>-1.112725993158</v>
      </c>
      <c r="AH1781">
        <v>21.1797431372663</v>
      </c>
      <c r="AI1781">
        <v>92.959045695576606</v>
      </c>
      <c r="AJ1781">
        <v>100.29746013001299</v>
      </c>
      <c r="AK1781">
        <v>21.5552106018731</v>
      </c>
      <c r="AL1781">
        <v>79.040533344143</v>
      </c>
      <c r="AM1781">
        <v>95.157493548353798</v>
      </c>
      <c r="AN1781">
        <v>0.99999997345731795</v>
      </c>
    </row>
    <row r="1782" spans="1:40" x14ac:dyDescent="0.25">
      <c r="A1782" t="str">
        <f>"20190304155358206"</f>
        <v>20190304155358206</v>
      </c>
      <c r="B1782" t="str">
        <f>"1551686038197813"</f>
        <v>1551686038197813</v>
      </c>
      <c r="C1782" t="s">
        <v>40</v>
      </c>
      <c r="D1782">
        <v>4.5842830000000001</v>
      </c>
      <c r="E1782">
        <v>0.46374199999999999</v>
      </c>
      <c r="F1782" t="s">
        <v>63</v>
      </c>
      <c r="G1782">
        <v>-462.15629999999999</v>
      </c>
      <c r="H1782">
        <v>1.1596600000000001E-3</v>
      </c>
      <c r="I1782">
        <v>279.61630000000002</v>
      </c>
      <c r="J1782">
        <v>-439.87909999999999</v>
      </c>
      <c r="K1782">
        <v>1.1128549999999999</v>
      </c>
      <c r="L1782">
        <v>284.32810000000001</v>
      </c>
      <c r="M1782">
        <v>-0.99940390000000001</v>
      </c>
      <c r="N1782">
        <v>-1.4739260000000001E-2</v>
      </c>
      <c r="O1782">
        <v>-3.1221269999999999E-2</v>
      </c>
      <c r="P1782">
        <v>-0.977132</v>
      </c>
      <c r="Q1782">
        <v>0.176600799999999</v>
      </c>
      <c r="R1782">
        <v>-0.11842949999999999</v>
      </c>
      <c r="S1782">
        <v>-3.021271</v>
      </c>
      <c r="T1782">
        <v>-0.14832339999999999</v>
      </c>
      <c r="U1782">
        <v>-0.63049319999999998</v>
      </c>
      <c r="V1782">
        <v>-8.9010249999999999E-2</v>
      </c>
      <c r="W1782">
        <v>0.19049840000000001</v>
      </c>
      <c r="X1782">
        <v>0.97764379999999995</v>
      </c>
      <c r="Y1782">
        <v>-0.17337369999999999</v>
      </c>
      <c r="Z1782">
        <v>-4.4416899999999999E-3</v>
      </c>
      <c r="AA1782">
        <v>0.98484609999999995</v>
      </c>
      <c r="AB1782">
        <v>35</v>
      </c>
      <c r="AC1782">
        <v>-22.277200000000001</v>
      </c>
      <c r="AD1782">
        <v>-1.11169534</v>
      </c>
      <c r="AE1782">
        <v>-4.7117999999999798</v>
      </c>
      <c r="AF1782">
        <v>-4.0043594819382902</v>
      </c>
      <c r="AG1782">
        <v>-1.11169534</v>
      </c>
      <c r="AH1782">
        <v>22.360162808163501</v>
      </c>
      <c r="AI1782">
        <v>92.801768535304106</v>
      </c>
      <c r="AJ1782">
        <v>100.153159768471</v>
      </c>
      <c r="AK1782">
        <v>22.743078995535001</v>
      </c>
      <c r="AL1782">
        <v>79.018127573457406</v>
      </c>
      <c r="AM1782">
        <v>95.202190958855695</v>
      </c>
      <c r="AN1782">
        <v>0.99999993234302897</v>
      </c>
    </row>
    <row r="1783" spans="1:40" x14ac:dyDescent="0.25">
      <c r="A1783" t="str">
        <f>"20190304155358228"</f>
        <v>20190304155358228</v>
      </c>
      <c r="B1783" t="str">
        <f>"1551686038218308"</f>
        <v>1551686038218308</v>
      </c>
      <c r="C1783" t="s">
        <v>40</v>
      </c>
      <c r="D1783">
        <v>4.5193459999999996</v>
      </c>
      <c r="E1783">
        <v>0.46450809999999998</v>
      </c>
      <c r="F1783" t="s">
        <v>63</v>
      </c>
      <c r="G1783">
        <v>-462.22359999999998</v>
      </c>
      <c r="H1783">
        <v>2.9942699999999999E-2</v>
      </c>
      <c r="I1783">
        <v>279.61630000000002</v>
      </c>
      <c r="J1783">
        <v>-440.21249999999998</v>
      </c>
      <c r="K1783">
        <v>1.1129519999999999</v>
      </c>
      <c r="L1783">
        <v>284.31490000000002</v>
      </c>
      <c r="M1783">
        <v>-0.99931130000000001</v>
      </c>
      <c r="N1783">
        <v>-1.473988E-2</v>
      </c>
      <c r="O1783">
        <v>-3.4056530000000002E-2</v>
      </c>
      <c r="P1783">
        <v>-0.97680120000000004</v>
      </c>
      <c r="Q1783">
        <v>0.17601919999999999</v>
      </c>
      <c r="R1783">
        <v>-0.12197139999999999</v>
      </c>
      <c r="S1783">
        <v>-3.0194700000000001</v>
      </c>
      <c r="T1783">
        <v>-0.1463372</v>
      </c>
      <c r="U1783">
        <v>-0.63671880000000003</v>
      </c>
      <c r="V1783">
        <v>-8.9822810000000003E-2</v>
      </c>
      <c r="W1783">
        <v>0.18989120000000001</v>
      </c>
      <c r="X1783">
        <v>0.97768770000000005</v>
      </c>
      <c r="Y1783">
        <v>-0.17265</v>
      </c>
      <c r="Z1783">
        <v>-4.2900309999999997E-3</v>
      </c>
      <c r="AA1783">
        <v>0.98497389999999996</v>
      </c>
      <c r="AB1783">
        <v>35</v>
      </c>
      <c r="AC1783">
        <v>-22.011099999999999</v>
      </c>
      <c r="AD1783">
        <v>-1.0830092999999901</v>
      </c>
      <c r="AE1783">
        <v>-4.6985999999999901</v>
      </c>
      <c r="AF1783">
        <v>-3.9370548077429999</v>
      </c>
      <c r="AG1783">
        <v>-1.0830092999999901</v>
      </c>
      <c r="AH1783">
        <v>22.107176856352702</v>
      </c>
      <c r="AI1783">
        <v>92.761245848305606</v>
      </c>
      <c r="AJ1783">
        <v>100.09790706477099</v>
      </c>
      <c r="AK1783">
        <v>22.481116036823298</v>
      </c>
      <c r="AL1783">
        <v>79.053565417197603</v>
      </c>
      <c r="AM1783">
        <v>95.249182393250805</v>
      </c>
      <c r="AN1783">
        <v>1.00000002188251</v>
      </c>
    </row>
    <row r="1784" spans="1:40" x14ac:dyDescent="0.25">
      <c r="A1784" t="str">
        <f>"20190304155358249"</f>
        <v>20190304155358249</v>
      </c>
      <c r="B1784" t="str">
        <f>"1551686038237829"</f>
        <v>1551686038237829</v>
      </c>
      <c r="C1784" t="s">
        <v>40</v>
      </c>
      <c r="D1784">
        <v>4.6084709999999998</v>
      </c>
      <c r="E1784">
        <v>0.46495750000000002</v>
      </c>
      <c r="F1784" t="s">
        <v>63</v>
      </c>
      <c r="G1784">
        <v>-462.32749999999999</v>
      </c>
      <c r="H1784">
        <v>2.1909270000000002E-2</v>
      </c>
      <c r="I1784">
        <v>279.61630000000002</v>
      </c>
      <c r="J1784">
        <v>-440.55399999999997</v>
      </c>
      <c r="K1784">
        <v>1.113043</v>
      </c>
      <c r="L1784">
        <v>284.30040000000002</v>
      </c>
      <c r="M1784">
        <v>-0.99920450000000005</v>
      </c>
      <c r="N1784">
        <v>-1.474E-2</v>
      </c>
      <c r="O1784">
        <v>-3.7057680000000003E-2</v>
      </c>
      <c r="P1784">
        <v>-0.97644280000000006</v>
      </c>
      <c r="Q1784">
        <v>0.1757677</v>
      </c>
      <c r="R1784">
        <v>-0.12516289999999999</v>
      </c>
      <c r="S1784">
        <v>-3.0179749999999999</v>
      </c>
      <c r="T1784">
        <v>-0.1488912</v>
      </c>
      <c r="U1784">
        <v>-0.64120480000000002</v>
      </c>
      <c r="V1784">
        <v>-9.0122750000000001E-2</v>
      </c>
      <c r="W1784">
        <v>0.1896178</v>
      </c>
      <c r="X1784">
        <v>0.97771319999999995</v>
      </c>
      <c r="Y1784">
        <v>-0.17118829999999999</v>
      </c>
      <c r="Z1784">
        <v>-4.1860389999999999E-3</v>
      </c>
      <c r="AA1784">
        <v>0.98522940000000003</v>
      </c>
      <c r="AB1784">
        <v>35</v>
      </c>
      <c r="AC1784">
        <v>-21.773499999999899</v>
      </c>
      <c r="AD1784">
        <v>-1.0911337299999999</v>
      </c>
      <c r="AE1784">
        <v>-4.6840999999999999</v>
      </c>
      <c r="AF1784">
        <v>-3.86464292950882</v>
      </c>
      <c r="AG1784">
        <v>-1.0911337299999999</v>
      </c>
      <c r="AH1784">
        <v>21.879625911286102</v>
      </c>
      <c r="AI1784">
        <v>92.811517118851597</v>
      </c>
      <c r="AJ1784">
        <v>100.016950605281</v>
      </c>
      <c r="AK1784">
        <v>22.245090869833898</v>
      </c>
      <c r="AL1784">
        <v>79.069520382497004</v>
      </c>
      <c r="AM1784">
        <v>95.266475685723705</v>
      </c>
      <c r="AN1784">
        <v>1.00000006079931</v>
      </c>
    </row>
    <row r="1785" spans="1:40" x14ac:dyDescent="0.25">
      <c r="A1785" t="str">
        <f>"20190304155358271"</f>
        <v>20190304155358271</v>
      </c>
      <c r="B1785" t="str">
        <f>"1551686038268085"</f>
        <v>1551686038268085</v>
      </c>
      <c r="C1785" t="s">
        <v>40</v>
      </c>
      <c r="D1785">
        <v>4.616269</v>
      </c>
      <c r="E1785">
        <v>0.46544550000000001</v>
      </c>
      <c r="F1785" t="s">
        <v>63</v>
      </c>
      <c r="G1785">
        <v>-462.3603</v>
      </c>
      <c r="H1785">
        <v>3.3677770000000003E-2</v>
      </c>
      <c r="I1785">
        <v>279.61630000000002</v>
      </c>
      <c r="J1785">
        <v>-440.904</v>
      </c>
      <c r="K1785">
        <v>1.1131359999999999</v>
      </c>
      <c r="L1785">
        <v>284.28440000000001</v>
      </c>
      <c r="M1785">
        <v>-0.99908189999999997</v>
      </c>
      <c r="N1785">
        <v>-1.474024E-2</v>
      </c>
      <c r="O1785">
        <v>-4.0223389999999998E-2</v>
      </c>
      <c r="P1785">
        <v>-0.97614889999999999</v>
      </c>
      <c r="Q1785">
        <v>0.1749695</v>
      </c>
      <c r="R1785">
        <v>-0.128526</v>
      </c>
      <c r="S1785">
        <v>-3.0161739999999999</v>
      </c>
      <c r="T1785">
        <v>-0.1492945</v>
      </c>
      <c r="U1785">
        <v>-0.64788819999999903</v>
      </c>
      <c r="V1785">
        <v>-9.0425370000000005E-2</v>
      </c>
      <c r="W1785">
        <v>0.1888002</v>
      </c>
      <c r="X1785">
        <v>0.97784340000000003</v>
      </c>
      <c r="Y1785">
        <v>-0.17027610000000001</v>
      </c>
      <c r="Z1785">
        <v>-4.0562139999999998E-3</v>
      </c>
      <c r="AA1785">
        <v>0.98538800000000004</v>
      </c>
      <c r="AB1785">
        <v>35</v>
      </c>
      <c r="AC1785">
        <v>-21.456299999999999</v>
      </c>
      <c r="AD1785">
        <v>-1.07945823</v>
      </c>
      <c r="AE1785">
        <v>-4.6680999999999804</v>
      </c>
      <c r="AF1785">
        <v>-3.7920183258411702</v>
      </c>
      <c r="AG1785">
        <v>-1.07945823</v>
      </c>
      <c r="AH1785">
        <v>21.5745805279793</v>
      </c>
      <c r="AI1785">
        <v>92.821163169570497</v>
      </c>
      <c r="AJ1785">
        <v>99.968671370542395</v>
      </c>
      <c r="AK1785">
        <v>21.931875387483199</v>
      </c>
      <c r="AL1785">
        <v>79.117226354348503</v>
      </c>
      <c r="AM1785">
        <v>95.283360270757697</v>
      </c>
      <c r="AN1785">
        <v>0.99999998899161802</v>
      </c>
    </row>
    <row r="1786" spans="1:40" x14ac:dyDescent="0.25">
      <c r="A1786" t="str">
        <f>"20190304155358317"</f>
        <v>20190304155358317</v>
      </c>
      <c r="B1786" t="str">
        <f>"1551686038308101"</f>
        <v>1551686038308101</v>
      </c>
      <c r="C1786" t="s">
        <v>40</v>
      </c>
      <c r="D1786">
        <v>4.6547409999999996</v>
      </c>
      <c r="E1786">
        <v>0.4658736</v>
      </c>
      <c r="F1786" t="s">
        <v>63</v>
      </c>
      <c r="G1786">
        <v>-462.4083</v>
      </c>
      <c r="H1786">
        <v>2.5798249999999998E-2</v>
      </c>
      <c r="I1786">
        <v>279.61630000000002</v>
      </c>
      <c r="J1786">
        <v>-441.60809999999998</v>
      </c>
      <c r="K1786">
        <v>1.1132899999999999</v>
      </c>
      <c r="L1786">
        <v>284.24849999999998</v>
      </c>
      <c r="M1786">
        <v>-0.99879569999999995</v>
      </c>
      <c r="N1786">
        <v>-1.4740720000000001E-2</v>
      </c>
      <c r="O1786">
        <v>-4.6795080000000003E-2</v>
      </c>
      <c r="P1786">
        <v>-0.97491159999999999</v>
      </c>
      <c r="Q1786">
        <v>0.17575660000000001</v>
      </c>
      <c r="R1786">
        <v>-0.13658999999999999</v>
      </c>
      <c r="S1786">
        <v>-3.0144350000000002</v>
      </c>
      <c r="T1786">
        <v>-0.15242139999999901</v>
      </c>
      <c r="U1786">
        <v>-0.65435790000000005</v>
      </c>
      <c r="V1786">
        <v>-9.2164629999999997E-2</v>
      </c>
      <c r="W1786">
        <v>0.18953629999999999</v>
      </c>
      <c r="X1786">
        <v>0.97753860000000004</v>
      </c>
      <c r="Y1786">
        <v>-0.165932</v>
      </c>
      <c r="Z1786">
        <v>-3.7310970000000001E-3</v>
      </c>
      <c r="AA1786">
        <v>0.98613010000000001</v>
      </c>
      <c r="AB1786">
        <v>35</v>
      </c>
      <c r="AC1786">
        <v>-20.8002</v>
      </c>
      <c r="AD1786">
        <v>-1.0874917500000001</v>
      </c>
      <c r="AE1786">
        <v>-4.6321999999999504</v>
      </c>
      <c r="AF1786">
        <v>-3.6441809102451699</v>
      </c>
      <c r="AG1786">
        <v>-1.0874917500000001</v>
      </c>
      <c r="AH1786">
        <v>20.9396626931151</v>
      </c>
      <c r="AI1786">
        <v>92.929012316575495</v>
      </c>
      <c r="AJ1786">
        <v>99.872447738916193</v>
      </c>
      <c r="AK1786">
        <v>21.282203046544598</v>
      </c>
      <c r="AL1786">
        <v>79.074275794276801</v>
      </c>
      <c r="AM1786">
        <v>95.386058836156806</v>
      </c>
      <c r="AN1786">
        <v>1.0000000212653399</v>
      </c>
    </row>
    <row r="1787" spans="1:40" x14ac:dyDescent="0.25">
      <c r="A1787" t="str">
        <f>"20190304155358351"</f>
        <v>20190304155358351</v>
      </c>
      <c r="B1787" t="str">
        <f>"1551686038348117"</f>
        <v>1551686038348117</v>
      </c>
      <c r="C1787" t="s">
        <v>40</v>
      </c>
      <c r="D1787">
        <v>4.6410339999999897</v>
      </c>
      <c r="E1787">
        <v>0.46633550000000001</v>
      </c>
      <c r="F1787" t="s">
        <v>63</v>
      </c>
      <c r="G1787">
        <v>-462.35359999999997</v>
      </c>
      <c r="H1787">
        <v>7.0110450000000005E-2</v>
      </c>
      <c r="I1787">
        <v>279.59620000000001</v>
      </c>
      <c r="J1787">
        <v>-442.1232</v>
      </c>
      <c r="K1787">
        <v>1.11337</v>
      </c>
      <c r="L1787">
        <v>284.21910000000003</v>
      </c>
      <c r="M1787">
        <v>-0.99855269999999996</v>
      </c>
      <c r="N1787">
        <v>-1.473967E-2</v>
      </c>
      <c r="O1787">
        <v>-5.1721900000000001E-2</v>
      </c>
      <c r="P1787">
        <v>-0.97391179999999999</v>
      </c>
      <c r="Q1787">
        <v>0.17701449999999999</v>
      </c>
      <c r="R1787">
        <v>-0.14199200000000001</v>
      </c>
      <c r="S1787">
        <v>-3.0099179999999999</v>
      </c>
      <c r="T1787">
        <v>-0.15135219999999999</v>
      </c>
      <c r="U1787">
        <v>-0.67498780000000003</v>
      </c>
      <c r="V1787">
        <v>-9.2819810000000003E-2</v>
      </c>
      <c r="W1787">
        <v>0.19076660000000001</v>
      </c>
      <c r="X1787">
        <v>0.97723720000000003</v>
      </c>
      <c r="Y1787">
        <v>-0.16782079999999999</v>
      </c>
      <c r="Z1787">
        <v>-3.6093980000000002E-3</v>
      </c>
      <c r="AA1787">
        <v>0.98581090000000005</v>
      </c>
      <c r="AB1787">
        <v>35</v>
      </c>
      <c r="AC1787">
        <v>-20.2303999999999</v>
      </c>
      <c r="AD1787">
        <v>-1.0432595499999999</v>
      </c>
      <c r="AE1787">
        <v>-4.6229000000000102</v>
      </c>
      <c r="AF1787">
        <v>-3.5612419668527</v>
      </c>
      <c r="AG1787">
        <v>-1.0432595499999999</v>
      </c>
      <c r="AH1787">
        <v>20.390911893415801</v>
      </c>
      <c r="AI1787">
        <v>92.885270867937095</v>
      </c>
      <c r="AJ1787">
        <v>99.906702748577999</v>
      </c>
      <c r="AK1787">
        <v>20.725832255429101</v>
      </c>
      <c r="AL1787">
        <v>79.002474295475494</v>
      </c>
      <c r="AM1787">
        <v>95.425782626697895</v>
      </c>
      <c r="AN1787">
        <v>0.99999997893391701</v>
      </c>
    </row>
    <row r="1788" spans="1:40" x14ac:dyDescent="0.25">
      <c r="A1788" t="str">
        <f>"20190304155358373"</f>
        <v>20190304155358373</v>
      </c>
      <c r="B1788" t="str">
        <f>"1551686038368613"</f>
        <v>1551686038368613</v>
      </c>
      <c r="C1788" t="s">
        <v>40</v>
      </c>
      <c r="D1788">
        <v>4.6540150000000002</v>
      </c>
      <c r="E1788">
        <v>0.46670519999999999</v>
      </c>
      <c r="F1788" t="s">
        <v>63</v>
      </c>
      <c r="G1788">
        <v>-463.02120000000002</v>
      </c>
      <c r="H1788">
        <v>8.0000799999999997E-2</v>
      </c>
      <c r="I1788">
        <v>279.43239999999997</v>
      </c>
      <c r="J1788">
        <v>-442.47120000000001</v>
      </c>
      <c r="K1788">
        <v>1.1134040000000001</v>
      </c>
      <c r="L1788">
        <v>284.19779999999997</v>
      </c>
      <c r="M1788">
        <v>-0.99837299999999995</v>
      </c>
      <c r="N1788">
        <v>-1.4738350000000001E-2</v>
      </c>
      <c r="O1788">
        <v>-5.508358E-2</v>
      </c>
      <c r="P1788">
        <v>-0.97337870000000004</v>
      </c>
      <c r="Q1788">
        <v>0.17723069999999999</v>
      </c>
      <c r="R1788">
        <v>-0.1453381</v>
      </c>
      <c r="S1788">
        <v>-3.0069889999999999</v>
      </c>
      <c r="T1788">
        <v>-0.14869009999999999</v>
      </c>
      <c r="U1788">
        <v>-0.68875120000000001</v>
      </c>
      <c r="V1788">
        <v>-9.2908760000000007E-2</v>
      </c>
      <c r="W1788">
        <v>0.190972</v>
      </c>
      <c r="X1788">
        <v>0.97718859999999996</v>
      </c>
      <c r="Y1788">
        <v>-0.16900490000000001</v>
      </c>
      <c r="Z1788">
        <v>-3.5055939999999999E-3</v>
      </c>
      <c r="AA1788">
        <v>0.98560899999999996</v>
      </c>
      <c r="AB1788">
        <v>35</v>
      </c>
      <c r="AC1788">
        <v>-20.55</v>
      </c>
      <c r="AD1788">
        <v>-1.0334032</v>
      </c>
      <c r="AE1788">
        <v>-4.7653999999999996</v>
      </c>
      <c r="AF1788">
        <v>-3.6173919682022402</v>
      </c>
      <c r="AG1788">
        <v>-1.0334032</v>
      </c>
      <c r="AH1788">
        <v>20.731566074813902</v>
      </c>
      <c r="AI1788">
        <v>92.811247278800906</v>
      </c>
      <c r="AJ1788">
        <v>99.897732272675796</v>
      </c>
      <c r="AK1788">
        <v>21.070151369645099</v>
      </c>
      <c r="AL1788">
        <v>78.990485021533999</v>
      </c>
      <c r="AM1788">
        <v>95.431219616208793</v>
      </c>
      <c r="AN1788">
        <v>0.99999995121934704</v>
      </c>
    </row>
    <row r="1789" spans="1:40" x14ac:dyDescent="0.25">
      <c r="A1789" t="str">
        <f>"20190304155358395"</f>
        <v>20190304155358395</v>
      </c>
      <c r="B1789" t="str">
        <f>"1551686038388641"</f>
        <v>1551686038388641</v>
      </c>
      <c r="C1789" t="s">
        <v>40</v>
      </c>
      <c r="D1789">
        <v>4.6437030000000004</v>
      </c>
      <c r="E1789">
        <v>0.46707559999999898</v>
      </c>
      <c r="F1789" t="s">
        <v>63</v>
      </c>
      <c r="G1789">
        <v>-463.37779999999998</v>
      </c>
      <c r="H1789">
        <v>8.0000699999999994E-2</v>
      </c>
      <c r="I1789">
        <v>279.35300000000001</v>
      </c>
      <c r="J1789">
        <v>-442.8082</v>
      </c>
      <c r="K1789">
        <v>1.1134250000000001</v>
      </c>
      <c r="L1789">
        <v>284.17599999999999</v>
      </c>
      <c r="M1789">
        <v>-0.99818700000000005</v>
      </c>
      <c r="N1789">
        <v>-1.473667E-2</v>
      </c>
      <c r="O1789">
        <v>-5.835601E-2</v>
      </c>
      <c r="P1789">
        <v>-0.97304389999999996</v>
      </c>
      <c r="Q1789">
        <v>0.17708199999999999</v>
      </c>
      <c r="R1789">
        <v>-0.14774200000000001</v>
      </c>
      <c r="S1789">
        <v>-3.005096</v>
      </c>
      <c r="T1789">
        <v>-0.14854049999999999</v>
      </c>
      <c r="U1789">
        <v>-0.69638059999999902</v>
      </c>
      <c r="V1789">
        <v>-9.2124890000000001E-2</v>
      </c>
      <c r="W1789">
        <v>0.1908242</v>
      </c>
      <c r="X1789">
        <v>0.97729180000000004</v>
      </c>
      <c r="Y1789">
        <v>-0.1682884</v>
      </c>
      <c r="Z1789">
        <v>-3.3707170000000001E-3</v>
      </c>
      <c r="AA1789">
        <v>0.98573200000000005</v>
      </c>
      <c r="AB1789">
        <v>35</v>
      </c>
      <c r="AC1789">
        <v>-20.569599999999902</v>
      </c>
      <c r="AD1789">
        <v>-1.0334243000000001</v>
      </c>
      <c r="AE1789">
        <v>-4.8229999999999702</v>
      </c>
      <c r="AF1789">
        <v>-3.60566205456188</v>
      </c>
      <c r="AG1789">
        <v>-1.0334243000000001</v>
      </c>
      <c r="AH1789">
        <v>20.766335350074002</v>
      </c>
      <c r="AI1789">
        <v>92.807010848663793</v>
      </c>
      <c r="AJ1789">
        <v>99.850073794277904</v>
      </c>
      <c r="AK1789">
        <v>21.102356468112099</v>
      </c>
      <c r="AL1789">
        <v>78.999113273401704</v>
      </c>
      <c r="AM1789">
        <v>95.385101689085701</v>
      </c>
      <c r="AN1789">
        <v>1.00000006650519</v>
      </c>
    </row>
    <row r="1790" spans="1:40" x14ac:dyDescent="0.25">
      <c r="A1790" t="str">
        <f>"20190304155358418"</f>
        <v>20190304155358418</v>
      </c>
      <c r="B1790" t="str">
        <f>"1551686038408161"</f>
        <v>1551686038408161</v>
      </c>
      <c r="C1790" t="s">
        <v>40</v>
      </c>
      <c r="D1790">
        <v>4.6405120000000002</v>
      </c>
      <c r="E1790">
        <v>0.47320010000000001</v>
      </c>
      <c r="F1790" t="s">
        <v>63</v>
      </c>
      <c r="G1790">
        <v>-463.56150000000002</v>
      </c>
      <c r="H1790">
        <v>8.0000650000000006E-2</v>
      </c>
      <c r="I1790">
        <v>279.33080000000001</v>
      </c>
      <c r="J1790">
        <v>-443.1551</v>
      </c>
      <c r="K1790">
        <v>1.1134379999999999</v>
      </c>
      <c r="L1790">
        <v>284.1524</v>
      </c>
      <c r="M1790">
        <v>-0.99798410000000004</v>
      </c>
      <c r="N1790">
        <v>-1.473474E-2</v>
      </c>
      <c r="O1790">
        <v>-6.1732639999999998E-2</v>
      </c>
      <c r="P1790">
        <v>-0.97262959999999998</v>
      </c>
      <c r="Q1790">
        <v>0.17717949999999999</v>
      </c>
      <c r="R1790">
        <v>-0.15033060000000001</v>
      </c>
      <c r="S1790">
        <v>-3.0038450000000001</v>
      </c>
      <c r="T1790">
        <v>-0.14957860000000001</v>
      </c>
      <c r="U1790">
        <v>-0.70129390000000003</v>
      </c>
      <c r="V1790">
        <v>-9.1426889999999997E-2</v>
      </c>
      <c r="W1790">
        <v>0.19092200000000001</v>
      </c>
      <c r="X1790">
        <v>0.97733820000000005</v>
      </c>
      <c r="Y1790">
        <v>-0.16657539999999901</v>
      </c>
      <c r="Z1790">
        <v>-3.2091070000000001E-3</v>
      </c>
      <c r="AA1790">
        <v>0.98602350000000005</v>
      </c>
      <c r="AB1790">
        <v>35</v>
      </c>
      <c r="AC1790">
        <v>-20.406400000000001</v>
      </c>
      <c r="AD1790">
        <v>-1.03343734999999</v>
      </c>
      <c r="AE1790">
        <v>-4.8215999999999797</v>
      </c>
      <c r="AF1790">
        <v>-3.54391586876618</v>
      </c>
      <c r="AG1790">
        <v>-1.03343734999999</v>
      </c>
      <c r="AH1790">
        <v>20.615077490114199</v>
      </c>
      <c r="AI1790">
        <v>92.828424201448598</v>
      </c>
      <c r="AJ1790">
        <v>99.754313075572895</v>
      </c>
      <c r="AK1790">
        <v>20.942988143163301</v>
      </c>
      <c r="AL1790">
        <v>78.9934042956978</v>
      </c>
      <c r="AM1790">
        <v>95.344285435761094</v>
      </c>
      <c r="AN1790">
        <v>1.00000002173915</v>
      </c>
    </row>
    <row r="1791" spans="1:40" x14ac:dyDescent="0.25">
      <c r="A1791" t="str">
        <f>"20190304155358462"</f>
        <v>20190304155358462</v>
      </c>
      <c r="B1791" t="str">
        <f>"1551686038457938"</f>
        <v>1551686038457938</v>
      </c>
      <c r="C1791" t="s">
        <v>40</v>
      </c>
      <c r="D1791">
        <v>4.5987780000000003</v>
      </c>
      <c r="E1791">
        <v>0.47270180000000001</v>
      </c>
      <c r="F1791" t="s">
        <v>63</v>
      </c>
      <c r="G1791">
        <v>-463.83620000000002</v>
      </c>
      <c r="H1791">
        <v>1.144937E-2</v>
      </c>
      <c r="I1791">
        <v>279.61630000000002</v>
      </c>
      <c r="J1791">
        <v>-443.8424</v>
      </c>
      <c r="K1791">
        <v>1.113464</v>
      </c>
      <c r="L1791">
        <v>284.10219999999998</v>
      </c>
      <c r="M1791">
        <v>-0.99754739999999997</v>
      </c>
      <c r="N1791">
        <v>-1.473E-2</v>
      </c>
      <c r="O1791">
        <v>-6.8428310000000006E-2</v>
      </c>
      <c r="P1791">
        <v>-0.9717597</v>
      </c>
      <c r="Q1791">
        <v>0.1774773</v>
      </c>
      <c r="R1791">
        <v>-0.155515299999999</v>
      </c>
      <c r="S1791">
        <v>-3.0116269999999998</v>
      </c>
      <c r="T1791">
        <v>-0.16047410000000001</v>
      </c>
      <c r="U1791">
        <v>-0.66055299999999995</v>
      </c>
      <c r="V1791">
        <v>-9.0090450000000002E-2</v>
      </c>
      <c r="W1791">
        <v>0.191222</v>
      </c>
      <c r="X1791">
        <v>0.97740360000000004</v>
      </c>
      <c r="Y1791">
        <v>-0.1466856</v>
      </c>
      <c r="Z1791">
        <v>-2.3595650000000001E-3</v>
      </c>
      <c r="AA1791">
        <v>0.98918030000000001</v>
      </c>
      <c r="AB1791">
        <v>35</v>
      </c>
      <c r="AC1791">
        <v>-19.9938</v>
      </c>
      <c r="AD1791">
        <v>-1.10201463</v>
      </c>
      <c r="AE1791">
        <v>-4.4858999999999503</v>
      </c>
      <c r="AF1791">
        <v>-3.09813173464764</v>
      </c>
      <c r="AG1791">
        <v>-1.10201463</v>
      </c>
      <c r="AH1791">
        <v>20.1955079617188</v>
      </c>
      <c r="AI1791">
        <v>93.087333381536396</v>
      </c>
      <c r="AJ1791">
        <v>98.721579213256504</v>
      </c>
      <c r="AK1791">
        <v>20.4614612948786</v>
      </c>
      <c r="AL1791">
        <v>78.975892354362699</v>
      </c>
      <c r="AM1791">
        <v>95.266257015146095</v>
      </c>
      <c r="AN1791">
        <v>0.99999996987908002</v>
      </c>
    </row>
    <row r="1792" spans="1:40" x14ac:dyDescent="0.25">
      <c r="A1792" t="str">
        <f>"20190304155358484"</f>
        <v>20190304155358484</v>
      </c>
      <c r="B1792" t="str">
        <f>"1551686038478433"</f>
        <v>1551686038478433</v>
      </c>
      <c r="C1792" t="s">
        <v>40</v>
      </c>
      <c r="D1792">
        <v>4.6107509999999996</v>
      </c>
      <c r="E1792">
        <v>0.47263539999999998</v>
      </c>
      <c r="F1792" t="s">
        <v>63</v>
      </c>
      <c r="G1792">
        <v>-463.72410000000002</v>
      </c>
      <c r="H1792">
        <v>7.0101999999999998E-2</v>
      </c>
      <c r="I1792">
        <v>279.59620000000001</v>
      </c>
      <c r="J1792">
        <v>-444.18279999999999</v>
      </c>
      <c r="K1792">
        <v>1.113469</v>
      </c>
      <c r="L1792">
        <v>284.07549999999998</v>
      </c>
      <c r="M1792">
        <v>-0.99731429999999999</v>
      </c>
      <c r="N1792">
        <v>-1.472739E-2</v>
      </c>
      <c r="O1792">
        <v>-7.1743699999999994E-2</v>
      </c>
      <c r="P1792">
        <v>-0.97129600000000005</v>
      </c>
      <c r="Q1792">
        <v>0.17745159999999999</v>
      </c>
      <c r="R1792">
        <v>-0.1584139</v>
      </c>
      <c r="S1792">
        <v>-3.006958</v>
      </c>
      <c r="T1792">
        <v>-0.1578002</v>
      </c>
      <c r="U1792">
        <v>-0.68148799999999998</v>
      </c>
      <c r="V1792">
        <v>-8.9758619999999997E-2</v>
      </c>
      <c r="W1792">
        <v>0.1911958</v>
      </c>
      <c r="X1792">
        <v>0.97743930000000001</v>
      </c>
      <c r="Y1792">
        <v>-0.15027969999999999</v>
      </c>
      <c r="Z1792">
        <v>-2.3529250000000001E-3</v>
      </c>
      <c r="AA1792">
        <v>0.98864070000000004</v>
      </c>
      <c r="AB1792">
        <v>35</v>
      </c>
      <c r="AC1792">
        <v>-19.5413</v>
      </c>
      <c r="AD1792">
        <v>-1.0433669999999999</v>
      </c>
      <c r="AE1792">
        <v>-4.4792999999999603</v>
      </c>
      <c r="AF1792">
        <v>-3.0573566374315901</v>
      </c>
      <c r="AG1792">
        <v>-1.0433669999999999</v>
      </c>
      <c r="AH1792">
        <v>19.758812941412</v>
      </c>
      <c r="AI1792">
        <v>92.987220809944603</v>
      </c>
      <c r="AJ1792">
        <v>98.795839295944603</v>
      </c>
      <c r="AK1792">
        <v>20.0211571383586</v>
      </c>
      <c r="AL1792">
        <v>78.977422219550405</v>
      </c>
      <c r="AM1792">
        <v>95.246777713011298</v>
      </c>
      <c r="AN1792">
        <v>1.00000001449321</v>
      </c>
    </row>
    <row r="1793" spans="1:40" x14ac:dyDescent="0.25">
      <c r="A1793" t="str">
        <f>"20190304155358507"</f>
        <v>20190304155358507</v>
      </c>
      <c r="B1793" t="str">
        <f>"1551686038497954"</f>
        <v>1551686038497954</v>
      </c>
      <c r="C1793" t="s">
        <v>40</v>
      </c>
      <c r="D1793">
        <v>4.6033419999999996</v>
      </c>
      <c r="E1793">
        <v>0.47280450000000002</v>
      </c>
      <c r="F1793" t="s">
        <v>63</v>
      </c>
      <c r="G1793">
        <v>-463.84129999999999</v>
      </c>
      <c r="H1793">
        <v>8.0000559999999998E-2</v>
      </c>
      <c r="I1793">
        <v>279.55669999999998</v>
      </c>
      <c r="J1793">
        <v>-444.5385</v>
      </c>
      <c r="K1793">
        <v>1.11348</v>
      </c>
      <c r="L1793">
        <v>284.04640000000001</v>
      </c>
      <c r="M1793">
        <v>-0.99705920000000003</v>
      </c>
      <c r="N1793">
        <v>-1.4724589999999999E-2</v>
      </c>
      <c r="O1793">
        <v>-7.5207549999999998E-2</v>
      </c>
      <c r="P1793">
        <v>-0.97075860000000003</v>
      </c>
      <c r="Q1793">
        <v>0.17806359999999999</v>
      </c>
      <c r="R1793">
        <v>-0.16100110000000001</v>
      </c>
      <c r="S1793">
        <v>-3.0048219999999999</v>
      </c>
      <c r="T1793">
        <v>-0.1579671</v>
      </c>
      <c r="U1793">
        <v>-0.69070430000000005</v>
      </c>
      <c r="V1793">
        <v>-8.8978689999999999E-2</v>
      </c>
      <c r="W1793">
        <v>0.19181029999999999</v>
      </c>
      <c r="X1793">
        <v>0.97739019999999999</v>
      </c>
      <c r="Y1793">
        <v>-0.14988180000000001</v>
      </c>
      <c r="Z1793">
        <v>-2.2117600000000001E-3</v>
      </c>
      <c r="AA1793">
        <v>0.98870150000000001</v>
      </c>
      <c r="AB1793">
        <v>35</v>
      </c>
      <c r="AC1793">
        <v>-19.302799999999898</v>
      </c>
      <c r="AD1793">
        <v>-1.03347944</v>
      </c>
      <c r="AE1793">
        <v>-4.4897000000000196</v>
      </c>
      <c r="AF1793">
        <v>-3.0169039716462298</v>
      </c>
      <c r="AG1793">
        <v>-1.03347944</v>
      </c>
      <c r="AH1793">
        <v>19.5326984089936</v>
      </c>
      <c r="AI1793">
        <v>92.993280541043504</v>
      </c>
      <c r="AJ1793">
        <v>98.780182558649003</v>
      </c>
      <c r="AK1793">
        <v>19.791313661900698</v>
      </c>
      <c r="AL1793">
        <v>78.941549887504095</v>
      </c>
      <c r="AM1793">
        <v>95.201698471619395</v>
      </c>
      <c r="AN1793">
        <v>1.00000000075812</v>
      </c>
    </row>
    <row r="1794" spans="1:40" x14ac:dyDescent="0.25">
      <c r="A1794" t="str">
        <f>"20190304155358530"</f>
        <v>20190304155358530</v>
      </c>
      <c r="B1794" t="str">
        <f>"1551686038518450"</f>
        <v>1551686038518450</v>
      </c>
      <c r="C1794" t="s">
        <v>40</v>
      </c>
      <c r="D1794">
        <v>4.6215299999999999</v>
      </c>
      <c r="E1794">
        <v>0.47332920000000001</v>
      </c>
      <c r="F1794" t="s">
        <v>63</v>
      </c>
      <c r="G1794">
        <v>-464.49200000000002</v>
      </c>
      <c r="H1794">
        <v>8.0000370000000001E-2</v>
      </c>
      <c r="I1794">
        <v>279.40899999999999</v>
      </c>
      <c r="J1794">
        <v>-444.87180000000001</v>
      </c>
      <c r="K1794">
        <v>1.1134839999999999</v>
      </c>
      <c r="L1794">
        <v>284.01799999999997</v>
      </c>
      <c r="M1794">
        <v>-0.99680919999999895</v>
      </c>
      <c r="N1794">
        <v>-1.4721700000000001E-2</v>
      </c>
      <c r="O1794">
        <v>-7.8452350000000004E-2</v>
      </c>
      <c r="P1794">
        <v>-0.97038849999999999</v>
      </c>
      <c r="Q1794">
        <v>0.17823610000000001</v>
      </c>
      <c r="R1794">
        <v>-0.1630287</v>
      </c>
      <c r="S1794">
        <v>-3.0031430000000001</v>
      </c>
      <c r="T1794">
        <v>-0.1555462</v>
      </c>
      <c r="U1794">
        <v>-0.69796749999999996</v>
      </c>
      <c r="V1794">
        <v>-8.7839719999999996E-2</v>
      </c>
      <c r="W1794">
        <v>0.19198950000000001</v>
      </c>
      <c r="X1794">
        <v>0.9774581</v>
      </c>
      <c r="Y1794">
        <v>-0.14906249999999999</v>
      </c>
      <c r="Z1794">
        <v>-2.0672210000000002E-3</v>
      </c>
      <c r="AA1794">
        <v>0.98882559999999997</v>
      </c>
      <c r="AB1794">
        <v>35</v>
      </c>
      <c r="AC1794">
        <v>-19.620199999999901</v>
      </c>
      <c r="AD1794">
        <v>-1.0334836300000001</v>
      </c>
      <c r="AE1794">
        <v>-4.6089999999999796</v>
      </c>
      <c r="AF1794">
        <v>-3.0473607703646199</v>
      </c>
      <c r="AG1794">
        <v>-1.0334836300000001</v>
      </c>
      <c r="AH1794">
        <v>19.869095115459299</v>
      </c>
      <c r="AI1794">
        <v>92.943182076976797</v>
      </c>
      <c r="AJ1794">
        <v>98.719615621804195</v>
      </c>
      <c r="AK1794">
        <v>20.127976470211902</v>
      </c>
      <c r="AL1794">
        <v>78.931088719254504</v>
      </c>
      <c r="AM1794">
        <v>95.135117725738894</v>
      </c>
      <c r="AN1794">
        <v>1.0000000608877599</v>
      </c>
    </row>
    <row r="1795" spans="1:40" x14ac:dyDescent="0.25">
      <c r="A1795" t="str">
        <f>"20190304155358552"</f>
        <v>20190304155358552</v>
      </c>
      <c r="B1795" t="str">
        <f>"1551686038548706"</f>
        <v>1551686038548706</v>
      </c>
      <c r="C1795" t="s">
        <v>40</v>
      </c>
      <c r="D1795">
        <v>4.628463</v>
      </c>
      <c r="E1795">
        <v>0.47402480000000002</v>
      </c>
      <c r="F1795" t="s">
        <v>63</v>
      </c>
      <c r="G1795">
        <v>-465.22809999999998</v>
      </c>
      <c r="H1795">
        <v>8.0001630000000004E-2</v>
      </c>
      <c r="I1795">
        <v>279.26900000000001</v>
      </c>
      <c r="J1795">
        <v>-445.22019999999998</v>
      </c>
      <c r="K1795">
        <v>1.1134820000000001</v>
      </c>
      <c r="L1795">
        <v>283.98719999999997</v>
      </c>
      <c r="M1795">
        <v>-0.99653630000000004</v>
      </c>
      <c r="N1795">
        <v>-1.4718739999999999E-2</v>
      </c>
      <c r="O1795">
        <v>-8.1846219999999997E-2</v>
      </c>
      <c r="P1795">
        <v>-0.96994919999999996</v>
      </c>
      <c r="Q1795">
        <v>0.17844660000000001</v>
      </c>
      <c r="R1795">
        <v>-0.1653946</v>
      </c>
      <c r="S1795">
        <v>-3.0018919999999998</v>
      </c>
      <c r="T1795">
        <v>-0.1524047</v>
      </c>
      <c r="U1795">
        <v>-0.70031739999999998</v>
      </c>
      <c r="V1795">
        <v>-8.6895349999999996E-2</v>
      </c>
      <c r="W1795">
        <v>0.19220519999999999</v>
      </c>
      <c r="X1795">
        <v>0.97750000000000004</v>
      </c>
      <c r="Y1795">
        <v>-0.14653189999999999</v>
      </c>
      <c r="Z1795">
        <v>-1.869201E-3</v>
      </c>
      <c r="AA1795">
        <v>0.98920419999999998</v>
      </c>
      <c r="AB1795">
        <v>34</v>
      </c>
      <c r="AC1795">
        <v>-20.007899999999999</v>
      </c>
      <c r="AD1795">
        <v>-1.0334803699999999</v>
      </c>
      <c r="AE1795">
        <v>-4.7181999999999604</v>
      </c>
      <c r="AF1795">
        <v>-3.0568920817173599</v>
      </c>
      <c r="AG1795">
        <v>-1.0334803699999999</v>
      </c>
      <c r="AH1795">
        <v>20.275719290614699</v>
      </c>
      <c r="AI1795">
        <v>92.885364329308501</v>
      </c>
      <c r="AJ1795">
        <v>98.573691836747201</v>
      </c>
      <c r="AK1795">
        <v>20.530890473290398</v>
      </c>
      <c r="AL1795">
        <v>78.918494186139199</v>
      </c>
      <c r="AM1795">
        <v>95.079983606429494</v>
      </c>
      <c r="AN1795">
        <v>0.99999994537932901</v>
      </c>
    </row>
    <row r="1796" spans="1:40" x14ac:dyDescent="0.25">
      <c r="A1796" t="str">
        <f>"20190304155358596"</f>
        <v>20190304155358596</v>
      </c>
      <c r="B1796" t="str">
        <f>"1551686038587749"</f>
        <v>1551686038587749</v>
      </c>
      <c r="C1796" t="s">
        <v>40</v>
      </c>
      <c r="D1796">
        <v>4.657254</v>
      </c>
      <c r="E1796">
        <v>0.47977809999999999</v>
      </c>
      <c r="F1796" t="s">
        <v>63</v>
      </c>
      <c r="G1796">
        <v>-465.97059999999999</v>
      </c>
      <c r="H1796">
        <v>8.0001409999999995E-2</v>
      </c>
      <c r="I1796">
        <v>279.13240000000002</v>
      </c>
      <c r="J1796">
        <v>-445.88850000000002</v>
      </c>
      <c r="K1796">
        <v>1.113478</v>
      </c>
      <c r="L1796">
        <v>283.92469999999997</v>
      </c>
      <c r="M1796">
        <v>-0.99598030000000004</v>
      </c>
      <c r="N1796">
        <v>-1.471269E-2</v>
      </c>
      <c r="O1796">
        <v>-8.835635E-2</v>
      </c>
      <c r="P1796">
        <v>-0.96896689999999996</v>
      </c>
      <c r="Q1796">
        <v>0.17925160000000001</v>
      </c>
      <c r="R1796">
        <v>-0.17021229999999901</v>
      </c>
      <c r="S1796">
        <v>-3.0007320000000002</v>
      </c>
      <c r="T1796">
        <v>-0.149452799999999</v>
      </c>
      <c r="U1796">
        <v>-0.70205689999999998</v>
      </c>
      <c r="V1796">
        <v>-8.5375880000000001E-2</v>
      </c>
      <c r="W1796">
        <v>0.19301750000000001</v>
      </c>
      <c r="X1796">
        <v>0.97747390000000001</v>
      </c>
      <c r="Y1796">
        <v>-0.1407117</v>
      </c>
      <c r="Z1796">
        <v>-1.4677799999999999E-3</v>
      </c>
      <c r="AA1796">
        <v>0.99004950000000003</v>
      </c>
      <c r="AB1796">
        <v>34</v>
      </c>
      <c r="AC1796">
        <v>-20.082099999999901</v>
      </c>
      <c r="AD1796">
        <v>-1.03347659</v>
      </c>
      <c r="AE1796">
        <v>-4.7922999999999503</v>
      </c>
      <c r="AF1796">
        <v>-2.991484063028</v>
      </c>
      <c r="AG1796">
        <v>-1.03347659</v>
      </c>
      <c r="AH1796">
        <v>20.375960276008101</v>
      </c>
      <c r="AI1796">
        <v>92.872832247250599</v>
      </c>
      <c r="AJ1796">
        <v>98.352176779310497</v>
      </c>
      <c r="AK1796">
        <v>20.620300869068</v>
      </c>
      <c r="AL1796">
        <v>78.871065445297603</v>
      </c>
      <c r="AM1796">
        <v>94.991739326418298</v>
      </c>
      <c r="AN1796">
        <v>1.00000001068661</v>
      </c>
    </row>
    <row r="1797" spans="1:40" x14ac:dyDescent="0.25">
      <c r="A1797" t="str">
        <f>"20190304155358618"</f>
        <v>20190304155358618</v>
      </c>
      <c r="B1797" t="str">
        <f>"1551686038608242"</f>
        <v>1551686038608242</v>
      </c>
      <c r="C1797" t="s">
        <v>40</v>
      </c>
      <c r="D1797">
        <v>4.6452280000000004</v>
      </c>
      <c r="E1797">
        <v>0.4798983</v>
      </c>
      <c r="F1797" t="s">
        <v>63</v>
      </c>
      <c r="G1797">
        <v>-467.92469999999997</v>
      </c>
      <c r="H1797">
        <v>8.0000849999999998E-2</v>
      </c>
      <c r="I1797">
        <v>278.99029999999999</v>
      </c>
      <c r="J1797">
        <v>-446.22640000000001</v>
      </c>
      <c r="K1797">
        <v>1.11347</v>
      </c>
      <c r="L1797">
        <v>283.89139999999998</v>
      </c>
      <c r="M1797">
        <v>-0.99568299999999998</v>
      </c>
      <c r="N1797">
        <v>-1.470953E-2</v>
      </c>
      <c r="O1797">
        <v>-9.1645569999999996E-2</v>
      </c>
      <c r="P1797">
        <v>-0.96849810000000003</v>
      </c>
      <c r="Q1797">
        <v>0.1799055</v>
      </c>
      <c r="R1797">
        <v>-0.17217869999999999</v>
      </c>
      <c r="S1797">
        <v>-3.0039980000000002</v>
      </c>
      <c r="T1797">
        <v>-0.14088439999999999</v>
      </c>
      <c r="U1797">
        <v>-0.6726685</v>
      </c>
      <c r="V1797">
        <v>-8.4141140000000003E-2</v>
      </c>
      <c r="W1797">
        <v>0.19367860000000001</v>
      </c>
      <c r="X1797">
        <v>0.97745020000000005</v>
      </c>
      <c r="Y1797">
        <v>-0.1280203</v>
      </c>
      <c r="Z1797">
        <v>-1.025453E-3</v>
      </c>
      <c r="AA1797">
        <v>0.99177099999999996</v>
      </c>
      <c r="AB1797">
        <v>34</v>
      </c>
      <c r="AC1797">
        <v>-21.6982999999999</v>
      </c>
      <c r="AD1797">
        <v>-1.0334691499999999</v>
      </c>
      <c r="AE1797">
        <v>-4.90109999999998</v>
      </c>
      <c r="AF1797">
        <v>-2.8854738353868599</v>
      </c>
      <c r="AG1797">
        <v>-1.0334691499999999</v>
      </c>
      <c r="AH1797">
        <v>22.0086761059111</v>
      </c>
      <c r="AI1797">
        <v>92.665703984370495</v>
      </c>
      <c r="AJ1797">
        <v>97.469230408643199</v>
      </c>
      <c r="AK1797">
        <v>22.2210675187671</v>
      </c>
      <c r="AL1797">
        <v>78.832458725450806</v>
      </c>
      <c r="AM1797">
        <v>94.920022435180897</v>
      </c>
      <c r="AN1797">
        <v>1.0000000125092401</v>
      </c>
    </row>
    <row r="1798" spans="1:40" x14ac:dyDescent="0.25">
      <c r="A1798" t="str">
        <f>"20190304155358641"</f>
        <v>20190304155358641</v>
      </c>
      <c r="B1798" t="str">
        <f>"1551686038638498"</f>
        <v>1551686038638498</v>
      </c>
      <c r="C1798" t="s">
        <v>40</v>
      </c>
      <c r="D1798">
        <v>4.6918709999999999</v>
      </c>
      <c r="E1798">
        <v>0.47996339999999998</v>
      </c>
      <c r="F1798" t="s">
        <v>63</v>
      </c>
      <c r="G1798">
        <v>-468.61380000000003</v>
      </c>
      <c r="H1798">
        <v>8.0000650000000006E-2</v>
      </c>
      <c r="I1798">
        <v>278.82819999999998</v>
      </c>
      <c r="J1798">
        <v>-446.57440000000003</v>
      </c>
      <c r="K1798">
        <v>1.113456</v>
      </c>
      <c r="L1798">
        <v>283.85610000000003</v>
      </c>
      <c r="M1798">
        <v>-0.99536630000000004</v>
      </c>
      <c r="N1798">
        <v>-1.470608E-2</v>
      </c>
      <c r="O1798">
        <v>-9.5024880000000006E-2</v>
      </c>
      <c r="P1798">
        <v>-0.96800459999999999</v>
      </c>
      <c r="Q1798">
        <v>0.1800187</v>
      </c>
      <c r="R1798">
        <v>-0.17481640000000001</v>
      </c>
      <c r="S1798">
        <v>-3.0025629999999999</v>
      </c>
      <c r="T1798">
        <v>-0.13860699999999901</v>
      </c>
      <c r="U1798">
        <v>-0.67907709999999999</v>
      </c>
      <c r="V1798">
        <v>-8.3481029999999998E-2</v>
      </c>
      <c r="W1798">
        <v>0.193796</v>
      </c>
      <c r="X1798">
        <v>0.97748349999999995</v>
      </c>
      <c r="Y1798">
        <v>-0.12677550000000001</v>
      </c>
      <c r="Z1798">
        <v>-9.0426790000000003E-4</v>
      </c>
      <c r="AA1798">
        <v>0.99193100000000001</v>
      </c>
      <c r="AB1798">
        <v>34</v>
      </c>
      <c r="AC1798">
        <v>-22.039400000000001</v>
      </c>
      <c r="AD1798">
        <v>-1.0334553500000001</v>
      </c>
      <c r="AE1798">
        <v>-5.0279000000000398</v>
      </c>
      <c r="AF1798">
        <v>-2.9045549669456001</v>
      </c>
      <c r="AG1798">
        <v>-1.0334553500000001</v>
      </c>
      <c r="AH1798">
        <v>22.3707199098091</v>
      </c>
      <c r="AI1798">
        <v>92.623014794767201</v>
      </c>
      <c r="AJ1798">
        <v>97.397747596061095</v>
      </c>
      <c r="AK1798">
        <v>22.582151775231299</v>
      </c>
      <c r="AL1798">
        <v>78.825601954254196</v>
      </c>
      <c r="AM1798">
        <v>94.881445285428597</v>
      </c>
      <c r="AN1798">
        <v>0.99999998237905496</v>
      </c>
    </row>
    <row r="1799" spans="1:40" x14ac:dyDescent="0.25">
      <c r="A1799" t="str">
        <f>"20190304155358663"</f>
        <v>20190304155358663</v>
      </c>
      <c r="B1799" t="str">
        <f>"1551686038658017"</f>
        <v>1551686038658017</v>
      </c>
      <c r="C1799" t="s">
        <v>40</v>
      </c>
      <c r="D1799">
        <v>4.7224269999999997</v>
      </c>
      <c r="E1799">
        <v>0.47317890000000001</v>
      </c>
      <c r="F1799" t="s">
        <v>63</v>
      </c>
      <c r="G1799">
        <v>-469.07709999999997</v>
      </c>
      <c r="H1799">
        <v>8.000053E-2</v>
      </c>
      <c r="I1799">
        <v>278.70080000000002</v>
      </c>
      <c r="J1799">
        <v>-446.90190000000001</v>
      </c>
      <c r="K1799">
        <v>1.1134379999999999</v>
      </c>
      <c r="L1799">
        <v>283.82159999999999</v>
      </c>
      <c r="M1799">
        <v>-0.99505999999999994</v>
      </c>
      <c r="N1799">
        <v>-1.470258E-2</v>
      </c>
      <c r="O1799">
        <v>-9.8181290000000004E-2</v>
      </c>
      <c r="P1799">
        <v>-0.96759519999999999</v>
      </c>
      <c r="Q1799">
        <v>0.1802916</v>
      </c>
      <c r="R1799">
        <v>-0.17678929999999901</v>
      </c>
      <c r="S1799">
        <v>-3.0006409999999999</v>
      </c>
      <c r="T1799">
        <v>-0.13780689999999901</v>
      </c>
      <c r="U1799">
        <v>-0.68743900000000002</v>
      </c>
      <c r="V1799">
        <v>-8.2368350000000007E-2</v>
      </c>
      <c r="W1799">
        <v>0.194079</v>
      </c>
      <c r="X1799">
        <v>0.9775218</v>
      </c>
      <c r="Y1799">
        <v>-0.12639719999999999</v>
      </c>
      <c r="Z1799">
        <v>-8.045986E-4</v>
      </c>
      <c r="AA1799">
        <v>0.99197939999999996</v>
      </c>
      <c r="AB1799">
        <v>34</v>
      </c>
      <c r="AC1799">
        <v>-22.175199999999901</v>
      </c>
      <c r="AD1799">
        <v>-1.03343747</v>
      </c>
      <c r="AE1799">
        <v>-5.1207999999999698</v>
      </c>
      <c r="AF1799">
        <v>-2.9126232027120902</v>
      </c>
      <c r="AG1799">
        <v>-1.03343747</v>
      </c>
      <c r="AH1799">
        <v>22.5244159960288</v>
      </c>
      <c r="AI1799">
        <v>92.605271266047893</v>
      </c>
      <c r="AJ1799">
        <v>97.368009048031396</v>
      </c>
      <c r="AK1799">
        <v>22.735449916101</v>
      </c>
      <c r="AL1799">
        <v>78.809074048312795</v>
      </c>
      <c r="AM1799">
        <v>94.816503089831699</v>
      </c>
      <c r="AN1799">
        <v>1.0000000363989801</v>
      </c>
    </row>
    <row r="1800" spans="1:40" x14ac:dyDescent="0.25">
      <c r="A1800" t="str">
        <f>"20190304155358687"</f>
        <v>20190304155358687</v>
      </c>
      <c r="B1800" t="str">
        <f>"1551686038678513"</f>
        <v>1551686038678513</v>
      </c>
      <c r="C1800" t="s">
        <v>40</v>
      </c>
      <c r="D1800">
        <v>4.6782579999999996</v>
      </c>
      <c r="E1800">
        <v>0.47319250000000002</v>
      </c>
      <c r="F1800" t="s">
        <v>63</v>
      </c>
      <c r="G1800">
        <v>-467.02030000000002</v>
      </c>
      <c r="H1800">
        <v>8.0001119999999995E-2</v>
      </c>
      <c r="I1800">
        <v>278.79629999999997</v>
      </c>
      <c r="J1800">
        <v>-447.2543</v>
      </c>
      <c r="K1800">
        <v>1.113415</v>
      </c>
      <c r="L1800">
        <v>283.78339999999997</v>
      </c>
      <c r="M1800">
        <v>-0.99472300000000002</v>
      </c>
      <c r="N1800">
        <v>-1.469791E-2</v>
      </c>
      <c r="O1800">
        <v>-0.1015392</v>
      </c>
      <c r="P1800">
        <v>-0.96712109999999996</v>
      </c>
      <c r="Q1800">
        <v>0.18064040000000001</v>
      </c>
      <c r="R1800">
        <v>-0.17901400000000001</v>
      </c>
      <c r="S1800">
        <v>-2.9925540000000002</v>
      </c>
      <c r="T1800">
        <v>-0.1537211</v>
      </c>
      <c r="U1800">
        <v>-0.74749759999999998</v>
      </c>
      <c r="V1800">
        <v>-8.1307119999999997E-2</v>
      </c>
      <c r="W1800">
        <v>0.19443730000000001</v>
      </c>
      <c r="X1800">
        <v>0.97753939999999995</v>
      </c>
      <c r="Y1800">
        <v>-0.14239859999999999</v>
      </c>
      <c r="Z1800">
        <v>-1.0277660000000001E-3</v>
      </c>
      <c r="AA1800">
        <v>0.98980889999999999</v>
      </c>
      <c r="AB1800">
        <v>34</v>
      </c>
      <c r="AC1800">
        <v>-19.765999999999998</v>
      </c>
      <c r="AD1800">
        <v>-1.0334138799999999</v>
      </c>
      <c r="AE1800">
        <v>-4.9870999999999901</v>
      </c>
      <c r="AF1800">
        <v>-2.9465061271554198</v>
      </c>
      <c r="AG1800">
        <v>-1.0334138799999999</v>
      </c>
      <c r="AH1800">
        <v>20.118557125772799</v>
      </c>
      <c r="AI1800">
        <v>92.909498115884205</v>
      </c>
      <c r="AJ1800">
        <v>98.332138452981894</v>
      </c>
      <c r="AK1800">
        <v>20.359424928708702</v>
      </c>
      <c r="AL1800">
        <v>78.788145836474797</v>
      </c>
      <c r="AM1800">
        <v>94.754648627594804</v>
      </c>
      <c r="AN1800">
        <v>0.99999999497317205</v>
      </c>
    </row>
    <row r="1801" spans="1:40" x14ac:dyDescent="0.25">
      <c r="A1801" t="str">
        <f>"20190304155358708"</f>
        <v>20190304155358708</v>
      </c>
      <c r="B1801" t="str">
        <f>"1551686038698033"</f>
        <v>1551686038698033</v>
      </c>
      <c r="C1801" t="s">
        <v>40</v>
      </c>
      <c r="D1801">
        <v>4.6849509999999999</v>
      </c>
      <c r="E1801">
        <v>0.47334090000000001</v>
      </c>
      <c r="F1801" t="s">
        <v>63</v>
      </c>
      <c r="G1801">
        <v>-466.98239999999998</v>
      </c>
      <c r="H1801">
        <v>8.0001130000000004E-2</v>
      </c>
      <c r="I1801">
        <v>278.80149999999998</v>
      </c>
      <c r="J1801">
        <v>-447.59129999999999</v>
      </c>
      <c r="K1801">
        <v>1.1133770000000001</v>
      </c>
      <c r="L1801">
        <v>283.7457</v>
      </c>
      <c r="M1801">
        <v>-0.99439409999999895</v>
      </c>
      <c r="N1801">
        <v>-1.469322E-2</v>
      </c>
      <c r="O1801">
        <v>-0.1047126</v>
      </c>
      <c r="P1801">
        <v>-0.96644169999999996</v>
      </c>
      <c r="Q1801">
        <v>0.1815571</v>
      </c>
      <c r="R1801">
        <v>-0.1817356</v>
      </c>
      <c r="S1801">
        <v>-2.9913940000000001</v>
      </c>
      <c r="T1801">
        <v>-0.15669820000000001</v>
      </c>
      <c r="U1801">
        <v>-0.75540160000000001</v>
      </c>
      <c r="V1801">
        <v>-8.0945240000000002E-2</v>
      </c>
      <c r="W1801">
        <v>0.1953577</v>
      </c>
      <c r="X1801">
        <v>0.97738590000000003</v>
      </c>
      <c r="Y1801">
        <v>-0.14178949999999901</v>
      </c>
      <c r="Z1801">
        <v>-8.6198179999999903E-4</v>
      </c>
      <c r="AA1801">
        <v>0.98989649999999996</v>
      </c>
      <c r="AB1801">
        <v>34</v>
      </c>
      <c r="AC1801">
        <v>-19.391099999999899</v>
      </c>
      <c r="AD1801">
        <v>-1.03337587</v>
      </c>
      <c r="AE1801">
        <v>-4.9442000000000199</v>
      </c>
      <c r="AF1801">
        <v>-2.87862589740844</v>
      </c>
      <c r="AG1801">
        <v>-1.03337587</v>
      </c>
      <c r="AH1801">
        <v>19.7495864982047</v>
      </c>
      <c r="AI1801">
        <v>92.963946448450699</v>
      </c>
      <c r="AJ1801">
        <v>98.292820999372793</v>
      </c>
      <c r="AK1801">
        <v>19.985007370426398</v>
      </c>
      <c r="AL1801">
        <v>78.734379590690594</v>
      </c>
      <c r="AM1801">
        <v>94.734323152099506</v>
      </c>
      <c r="AN1801">
        <v>0.99999998017337799</v>
      </c>
    </row>
    <row r="1802" spans="1:40" x14ac:dyDescent="0.25">
      <c r="A1802" t="str">
        <f>"20190304155358730"</f>
        <v>20190304155358730</v>
      </c>
      <c r="B1802" t="str">
        <f>"1551686038718531"</f>
        <v>1551686038718531</v>
      </c>
      <c r="C1802" t="s">
        <v>40</v>
      </c>
      <c r="D1802">
        <v>4.7175580000000004</v>
      </c>
      <c r="E1802">
        <v>0.47336070000000002</v>
      </c>
      <c r="F1802" t="s">
        <v>63</v>
      </c>
      <c r="G1802">
        <v>-467.52859999999998</v>
      </c>
      <c r="H1802">
        <v>8.0000979999999999E-2</v>
      </c>
      <c r="I1802">
        <v>278.65679999999998</v>
      </c>
      <c r="J1802">
        <v>-447.92009999999999</v>
      </c>
      <c r="K1802">
        <v>1.11334</v>
      </c>
      <c r="L1802">
        <v>283.70800000000003</v>
      </c>
      <c r="M1802">
        <v>-0.99406899999999998</v>
      </c>
      <c r="N1802">
        <v>-1.4688369999999999E-2</v>
      </c>
      <c r="O1802">
        <v>-0.107756</v>
      </c>
      <c r="P1802">
        <v>-0.96584449999999999</v>
      </c>
      <c r="Q1802">
        <v>0.18239179999999999</v>
      </c>
      <c r="R1802">
        <v>-0.1840598</v>
      </c>
      <c r="S1802">
        <v>-2.9897459999999998</v>
      </c>
      <c r="T1802">
        <v>-0.15496219999999999</v>
      </c>
      <c r="U1802">
        <v>-0.76312259999999998</v>
      </c>
      <c r="V1802">
        <v>-8.0303199999999894E-2</v>
      </c>
      <c r="W1802">
        <v>0.1961994</v>
      </c>
      <c r="X1802">
        <v>0.97727019999999998</v>
      </c>
      <c r="Y1802">
        <v>-0.1412957</v>
      </c>
      <c r="Z1802">
        <v>-7.5457179999999897E-4</v>
      </c>
      <c r="AA1802">
        <v>0.98996719999999905</v>
      </c>
      <c r="AB1802">
        <v>34</v>
      </c>
      <c r="AC1802">
        <v>-19.6084999999999</v>
      </c>
      <c r="AD1802">
        <v>-1.0333390200000001</v>
      </c>
      <c r="AE1802">
        <v>-5.0511999999999899</v>
      </c>
      <c r="AF1802">
        <v>-2.9010658924791799</v>
      </c>
      <c r="AG1802">
        <v>-1.0333390200000001</v>
      </c>
      <c r="AH1802">
        <v>19.986606640986999</v>
      </c>
      <c r="AI1802">
        <v>92.929006743168202</v>
      </c>
      <c r="AJ1802">
        <v>98.258832343837398</v>
      </c>
      <c r="AK1802">
        <v>20.222473089716399</v>
      </c>
      <c r="AL1802">
        <v>78.685201433879797</v>
      </c>
      <c r="AM1802">
        <v>94.697493797961997</v>
      </c>
      <c r="AN1802">
        <v>0.99999992614931699</v>
      </c>
    </row>
    <row r="1803" spans="1:40" x14ac:dyDescent="0.25">
      <c r="A1803" t="str">
        <f>"20190304155358752"</f>
        <v>20190304155358752</v>
      </c>
      <c r="B1803" t="str">
        <f>"1551686038748786"</f>
        <v>1551686038748786</v>
      </c>
      <c r="C1803" t="s">
        <v>40</v>
      </c>
      <c r="D1803">
        <v>4.7236129999999896</v>
      </c>
      <c r="E1803">
        <v>0.47332649999999998</v>
      </c>
      <c r="F1803" t="s">
        <v>63</v>
      </c>
      <c r="G1803">
        <v>-467.88850000000002</v>
      </c>
      <c r="H1803">
        <v>8.0000879999999996E-2</v>
      </c>
      <c r="I1803">
        <v>278.5641</v>
      </c>
      <c r="J1803">
        <v>-448.26220000000001</v>
      </c>
      <c r="K1803">
        <v>1.1132820000000001</v>
      </c>
      <c r="L1803">
        <v>283.66770000000002</v>
      </c>
      <c r="M1803">
        <v>-0.99372950000000004</v>
      </c>
      <c r="N1803">
        <v>-1.468277E-2</v>
      </c>
      <c r="O1803">
        <v>-0.110842</v>
      </c>
      <c r="P1803">
        <v>-0.96535990000000005</v>
      </c>
      <c r="Q1803">
        <v>0.1828948</v>
      </c>
      <c r="R1803">
        <v>-0.1860908</v>
      </c>
      <c r="S1803">
        <v>-2.9886170000000001</v>
      </c>
      <c r="T1803">
        <v>-0.15465719999999999</v>
      </c>
      <c r="U1803">
        <v>-0.76986690000000002</v>
      </c>
      <c r="V1803">
        <v>-7.9305479999999998E-2</v>
      </c>
      <c r="W1803">
        <v>0.19671559999999999</v>
      </c>
      <c r="X1803">
        <v>0.97724800000000001</v>
      </c>
      <c r="Y1803">
        <v>-0.14041149999999999</v>
      </c>
      <c r="Z1803">
        <v>-6.1787970000000002E-4</v>
      </c>
      <c r="AA1803">
        <v>0.99009309999999995</v>
      </c>
      <c r="AB1803">
        <v>34</v>
      </c>
      <c r="AC1803">
        <v>-19.626300000000001</v>
      </c>
      <c r="AD1803">
        <v>-1.0332811199999901</v>
      </c>
      <c r="AE1803">
        <v>-5.1036000000000197</v>
      </c>
      <c r="AF1803">
        <v>-2.8889914917791302</v>
      </c>
      <c r="AG1803">
        <v>-1.0332811199999901</v>
      </c>
      <c r="AH1803">
        <v>20.019117366272798</v>
      </c>
      <c r="AI1803">
        <v>92.9244419255661</v>
      </c>
      <c r="AJ1803">
        <v>98.211755021147695</v>
      </c>
      <c r="AK1803">
        <v>20.2528763842849</v>
      </c>
      <c r="AL1803">
        <v>78.655038604440193</v>
      </c>
      <c r="AM1803">
        <v>94.639491500762105</v>
      </c>
      <c r="AN1803">
        <v>1.0000000199726899</v>
      </c>
    </row>
    <row r="1804" spans="1:40" x14ac:dyDescent="0.25">
      <c r="A1804" t="str">
        <f>"20190304155358775"</f>
        <v>20190304155358775</v>
      </c>
      <c r="B1804" t="str">
        <f>"1551686038768307"</f>
        <v>1551686038768307</v>
      </c>
      <c r="C1804" t="s">
        <v>40</v>
      </c>
      <c r="D1804">
        <v>4.7266269999999997</v>
      </c>
      <c r="E1804">
        <v>0.47334860000000001</v>
      </c>
      <c r="F1804" t="s">
        <v>63</v>
      </c>
      <c r="G1804">
        <v>-468.21249999999998</v>
      </c>
      <c r="H1804">
        <v>8.0000790000000002E-2</v>
      </c>
      <c r="I1804">
        <v>278.48250000000002</v>
      </c>
      <c r="J1804">
        <v>-448.59899999999999</v>
      </c>
      <c r="K1804">
        <v>1.1131979999999999</v>
      </c>
      <c r="L1804">
        <v>283.62720000000002</v>
      </c>
      <c r="M1804">
        <v>-0.99339820000000001</v>
      </c>
      <c r="N1804">
        <v>-1.4676349999999999E-2</v>
      </c>
      <c r="O1804">
        <v>-0.1137748</v>
      </c>
      <c r="P1804">
        <v>-0.96486050000000001</v>
      </c>
      <c r="Q1804">
        <v>0.1839567</v>
      </c>
      <c r="R1804">
        <v>-0.18762809999999999</v>
      </c>
      <c r="S1804">
        <v>-2.9873349999999999</v>
      </c>
      <c r="T1804">
        <v>-0.15472259999999999</v>
      </c>
      <c r="U1804">
        <v>-0.77642819999999901</v>
      </c>
      <c r="V1804">
        <v>-7.7965209999999993E-2</v>
      </c>
      <c r="W1804">
        <v>0.19779450000000001</v>
      </c>
      <c r="X1804">
        <v>0.97713799999999995</v>
      </c>
      <c r="Y1804">
        <v>-0.1396329</v>
      </c>
      <c r="Z1804">
        <v>-4.8527679999999998E-4</v>
      </c>
      <c r="AA1804">
        <v>0.99020319999999995</v>
      </c>
      <c r="AB1804">
        <v>34</v>
      </c>
      <c r="AC1804">
        <v>-19.613499999999899</v>
      </c>
      <c r="AD1804">
        <v>-1.03319721</v>
      </c>
      <c r="AE1804">
        <v>-5.1447000000000003</v>
      </c>
      <c r="AF1804">
        <v>-2.8720668849733402</v>
      </c>
      <c r="AG1804">
        <v>-1.03319721</v>
      </c>
      <c r="AH1804">
        <v>20.019536588033699</v>
      </c>
      <c r="AI1804">
        <v>92.924492869562798</v>
      </c>
      <c r="AJ1804">
        <v>98.164129779467899</v>
      </c>
      <c r="AK1804">
        <v>20.250879236866101</v>
      </c>
      <c r="AL1804">
        <v>78.5919825322256</v>
      </c>
      <c r="AM1804">
        <v>94.561928696001004</v>
      </c>
      <c r="AN1804">
        <v>0.99999995462229596</v>
      </c>
    </row>
    <row r="1805" spans="1:40" x14ac:dyDescent="0.25">
      <c r="A1805" t="str">
        <f>"20190304155358797"</f>
        <v>20190304155358797</v>
      </c>
      <c r="B1805" t="str">
        <f>"1551686038787827"</f>
        <v>1551686038787827</v>
      </c>
      <c r="C1805" t="s">
        <v>40</v>
      </c>
      <c r="D1805">
        <v>4.7439720000000003</v>
      </c>
      <c r="E1805">
        <v>0.4734023</v>
      </c>
      <c r="F1805" t="s">
        <v>63</v>
      </c>
      <c r="G1805">
        <v>-468.7115</v>
      </c>
      <c r="H1805">
        <v>8.0000650000000006E-2</v>
      </c>
      <c r="I1805">
        <v>278.36689999999999</v>
      </c>
      <c r="J1805">
        <v>-448.92619999999999</v>
      </c>
      <c r="K1805">
        <v>1.1131040000000001</v>
      </c>
      <c r="L1805">
        <v>283.58690000000001</v>
      </c>
      <c r="M1805">
        <v>-0.99308280000000004</v>
      </c>
      <c r="N1805">
        <v>-1.466923E-2</v>
      </c>
      <c r="O1805">
        <v>-0.11649710000000001</v>
      </c>
      <c r="P1805">
        <v>-0.96425620000000001</v>
      </c>
      <c r="Q1805">
        <v>0.18549280000000001</v>
      </c>
      <c r="R1805">
        <v>-0.18921569999999999</v>
      </c>
      <c r="S1805">
        <v>-2.9866030000000001</v>
      </c>
      <c r="T1805">
        <v>-0.15342459999999999</v>
      </c>
      <c r="U1805">
        <v>-0.78112789999999999</v>
      </c>
      <c r="V1805">
        <v>-7.6886999999999997E-2</v>
      </c>
      <c r="W1805">
        <v>0.19934660000000001</v>
      </c>
      <c r="X1805">
        <v>0.976908</v>
      </c>
      <c r="Y1805">
        <v>-0.13844219999999999</v>
      </c>
      <c r="Z1805">
        <v>-3.6747940000000001E-4</v>
      </c>
      <c r="AA1805">
        <v>0.99037050000000004</v>
      </c>
      <c r="AB1805">
        <v>34</v>
      </c>
      <c r="AC1805">
        <v>-19.785299999999999</v>
      </c>
      <c r="AD1805">
        <v>-1.03310335</v>
      </c>
      <c r="AE1805">
        <v>-5.2200000000000202</v>
      </c>
      <c r="AF1805">
        <v>-2.8719509122708602</v>
      </c>
      <c r="AG1805">
        <v>-1.03310335</v>
      </c>
      <c r="AH1805">
        <v>20.207224528499001</v>
      </c>
      <c r="AI1805">
        <v>92.897655133911798</v>
      </c>
      <c r="AJ1805">
        <v>98.088985996589898</v>
      </c>
      <c r="AK1805">
        <v>20.4364215977124</v>
      </c>
      <c r="AL1805">
        <v>78.501246934588096</v>
      </c>
      <c r="AM1805">
        <v>94.500155806079704</v>
      </c>
      <c r="AN1805">
        <v>0.99999995908227901</v>
      </c>
    </row>
    <row r="1806" spans="1:40" x14ac:dyDescent="0.25">
      <c r="A1806" t="str">
        <f>"20190304155358819"</f>
        <v>20190304155358819</v>
      </c>
      <c r="B1806" t="str">
        <f>"1551686038808322"</f>
        <v>1551686038808322</v>
      </c>
      <c r="C1806" t="s">
        <v>40</v>
      </c>
      <c r="D1806">
        <v>4.7412369999999999</v>
      </c>
      <c r="E1806">
        <v>0.47347519999999998</v>
      </c>
      <c r="F1806" t="s">
        <v>63</v>
      </c>
      <c r="G1806">
        <v>-469.43369999999999</v>
      </c>
      <c r="H1806">
        <v>8.0000450000000001E-2</v>
      </c>
      <c r="I1806">
        <v>278.19459999999998</v>
      </c>
      <c r="J1806">
        <v>-449.25130000000001</v>
      </c>
      <c r="K1806">
        <v>1.1129869999999999</v>
      </c>
      <c r="L1806">
        <v>283.54610000000002</v>
      </c>
      <c r="M1806">
        <v>-0.9927802</v>
      </c>
      <c r="N1806">
        <v>-1.4661520000000001E-2</v>
      </c>
      <c r="O1806">
        <v>-0.1190475</v>
      </c>
      <c r="P1806">
        <v>-0.96352879999999996</v>
      </c>
      <c r="Q1806">
        <v>0.18786449999999999</v>
      </c>
      <c r="R1806">
        <v>-0.19057640000000001</v>
      </c>
      <c r="S1806">
        <v>-2.9860530000000001</v>
      </c>
      <c r="T1806">
        <v>-0.15042809999999901</v>
      </c>
      <c r="U1806">
        <v>-0.78515630000000003</v>
      </c>
      <c r="V1806">
        <v>-7.5761439999999999E-2</v>
      </c>
      <c r="W1806">
        <v>0.2017351</v>
      </c>
      <c r="X1806">
        <v>0.97650559999999997</v>
      </c>
      <c r="Y1806">
        <v>-0.13720009999999999</v>
      </c>
      <c r="Z1806">
        <v>-2.845856E-4</v>
      </c>
      <c r="AA1806">
        <v>0.99054330000000002</v>
      </c>
      <c r="AB1806">
        <v>34</v>
      </c>
      <c r="AC1806">
        <v>-20.182399999999902</v>
      </c>
      <c r="AD1806">
        <v>-1.0329865499999999</v>
      </c>
      <c r="AE1806">
        <v>-5.3515000000000397</v>
      </c>
      <c r="AF1806">
        <v>-2.9034058312129201</v>
      </c>
      <c r="AG1806">
        <v>-1.0329865499999999</v>
      </c>
      <c r="AH1806">
        <v>20.625511964312501</v>
      </c>
      <c r="AI1806">
        <v>92.839200537803507</v>
      </c>
      <c r="AJ1806">
        <v>98.012746122520497</v>
      </c>
      <c r="AK1806">
        <v>20.854461643092101</v>
      </c>
      <c r="AL1806">
        <v>78.361558870814704</v>
      </c>
      <c r="AM1806">
        <v>94.436362183287301</v>
      </c>
      <c r="AN1806">
        <v>1.0000000165971199</v>
      </c>
    </row>
    <row r="1807" spans="1:40" x14ac:dyDescent="0.25">
      <c r="A1807" t="str">
        <f>"20190304155358867"</f>
        <v>20190304155358867</v>
      </c>
      <c r="B1807" t="str">
        <f>"1551686038858098"</f>
        <v>1551686038858098</v>
      </c>
      <c r="C1807" t="s">
        <v>40</v>
      </c>
      <c r="D1807">
        <v>4.6958250000000001</v>
      </c>
      <c r="E1807">
        <v>0.50285519999999995</v>
      </c>
      <c r="F1807" t="s">
        <v>51</v>
      </c>
      <c r="G1807">
        <v>-470.56540000000001</v>
      </c>
      <c r="H1807">
        <v>8.0000639999999998E-2</v>
      </c>
      <c r="I1807">
        <v>277.9178</v>
      </c>
      <c r="J1807">
        <v>-449.94729999999998</v>
      </c>
      <c r="K1807">
        <v>1.112668</v>
      </c>
      <c r="L1807">
        <v>283.45670000000001</v>
      </c>
      <c r="M1807">
        <v>-0.99219230000000003</v>
      </c>
      <c r="N1807">
        <v>-1.464355E-2</v>
      </c>
      <c r="O1807">
        <v>-0.1238561</v>
      </c>
      <c r="P1807">
        <v>-0.96265140000000005</v>
      </c>
      <c r="Q1807">
        <v>0.19131229999999999</v>
      </c>
      <c r="R1807">
        <v>-0.19157920000000001</v>
      </c>
      <c r="S1807">
        <v>-2.9858090000000002</v>
      </c>
      <c r="T1807">
        <v>-0.14470720000000001</v>
      </c>
      <c r="U1807">
        <v>-0.78845209999999999</v>
      </c>
      <c r="V1807">
        <v>-7.1966379999999996E-2</v>
      </c>
      <c r="W1807">
        <v>0.20524310000000001</v>
      </c>
      <c r="X1807">
        <v>0.97606150000000003</v>
      </c>
      <c r="Y1807">
        <v>-0.1334572</v>
      </c>
      <c r="Z1807">
        <v>-1.022271E-4</v>
      </c>
      <c r="AA1807">
        <v>0.99105460000000001</v>
      </c>
      <c r="AB1807">
        <v>34</v>
      </c>
      <c r="AC1807">
        <v>-20.618099999999998</v>
      </c>
      <c r="AD1807">
        <v>-1.03266736</v>
      </c>
      <c r="AE1807">
        <v>-5.5389000000000097</v>
      </c>
      <c r="AF1807">
        <v>-2.9354234591631698</v>
      </c>
      <c r="AG1807">
        <v>-1.03266736</v>
      </c>
      <c r="AH1807">
        <v>21.096051954944901</v>
      </c>
      <c r="AI1807">
        <v>92.775733931476694</v>
      </c>
      <c r="AJ1807">
        <v>97.921594040491399</v>
      </c>
      <c r="AK1807">
        <v>21.324317593928999</v>
      </c>
      <c r="AL1807">
        <v>78.156269391992396</v>
      </c>
      <c r="AM1807">
        <v>94.216867619259105</v>
      </c>
      <c r="AN1807">
        <v>0.99999997086508097</v>
      </c>
    </row>
    <row r="1808" spans="1:40" x14ac:dyDescent="0.25">
      <c r="A1808" t="str">
        <f>"20190304155358887"</f>
        <v>20190304155358887</v>
      </c>
      <c r="B1808" t="str">
        <f>"1551686038878594"</f>
        <v>1551686038878594</v>
      </c>
      <c r="C1808" t="s">
        <v>40</v>
      </c>
      <c r="D1808">
        <v>4.6713259999999996</v>
      </c>
      <c r="E1808">
        <v>0.51823770000000002</v>
      </c>
      <c r="F1808" t="s">
        <v>51</v>
      </c>
      <c r="G1808">
        <v>-474.15370000000001</v>
      </c>
      <c r="H1808">
        <v>8.0000189999999999E-2</v>
      </c>
      <c r="I1808">
        <v>278.98360000000002</v>
      </c>
      <c r="J1808">
        <v>-450.26799999999997</v>
      </c>
      <c r="K1808">
        <v>1.112514</v>
      </c>
      <c r="L1808">
        <v>283.41460000000001</v>
      </c>
      <c r="M1808">
        <v>-0.99194959999999999</v>
      </c>
      <c r="N1808">
        <v>-1.463531E-2</v>
      </c>
      <c r="O1808">
        <v>-0.12578499999999901</v>
      </c>
      <c r="P1808">
        <v>-0.96216360000000001</v>
      </c>
      <c r="Q1808">
        <v>0.19421279999999999</v>
      </c>
      <c r="R1808">
        <v>-0.19111</v>
      </c>
      <c r="S1808">
        <v>-3.03064</v>
      </c>
      <c r="T1808">
        <v>-0.1292896</v>
      </c>
      <c r="U1808">
        <v>-0.56002810000000003</v>
      </c>
      <c r="V1808">
        <v>-6.9589949999999998E-2</v>
      </c>
      <c r="W1808">
        <v>0.20816970000000001</v>
      </c>
      <c r="X1808">
        <v>0.97561399999999998</v>
      </c>
      <c r="Y1808">
        <v>-5.6544450000000003E-2</v>
      </c>
      <c r="Z1808">
        <v>1.8458389999999999E-3</v>
      </c>
      <c r="AA1808">
        <v>0.99839840000000002</v>
      </c>
      <c r="AB1808">
        <v>34</v>
      </c>
      <c r="AC1808">
        <v>-23.8856999999999</v>
      </c>
      <c r="AD1808">
        <v>-1.03251381</v>
      </c>
      <c r="AE1808">
        <v>-4.4309999999999796</v>
      </c>
      <c r="AF1808">
        <v>-1.3885065935292999</v>
      </c>
      <c r="AG1808">
        <v>-1.03251381</v>
      </c>
      <c r="AH1808">
        <v>24.2096276084417</v>
      </c>
      <c r="AI1808">
        <v>92.4381197247031</v>
      </c>
      <c r="AJ1808">
        <v>93.282516776064895</v>
      </c>
      <c r="AK1808">
        <v>24.271384473645799</v>
      </c>
      <c r="AL1808">
        <v>77.984886860384506</v>
      </c>
      <c r="AM1808">
        <v>94.079962821575904</v>
      </c>
      <c r="AN1808">
        <v>1.0000000310675401</v>
      </c>
    </row>
    <row r="1809" spans="1:40" x14ac:dyDescent="0.25">
      <c r="A1809" t="str">
        <f>"20190304155358908"</f>
        <v>20190304155358908</v>
      </c>
      <c r="B1809" t="str">
        <f>"1551686038898114"</f>
        <v>1551686038898114</v>
      </c>
      <c r="C1809" t="s">
        <v>40</v>
      </c>
      <c r="D1809">
        <v>4.6347659999999999</v>
      </c>
      <c r="E1809">
        <v>0.52566889999999999</v>
      </c>
      <c r="F1809" t="s">
        <v>51</v>
      </c>
      <c r="G1809">
        <v>-488.05180000000001</v>
      </c>
      <c r="H1809" s="1">
        <v>2.6241539999999998E-6</v>
      </c>
      <c r="I1809">
        <v>277.99610000000001</v>
      </c>
      <c r="J1809">
        <v>-450.59460000000001</v>
      </c>
      <c r="K1809">
        <v>1.1123749999999999</v>
      </c>
      <c r="L1809">
        <v>283.37130000000002</v>
      </c>
      <c r="M1809">
        <v>-0.99172009999999999</v>
      </c>
      <c r="N1809">
        <v>-1.462719E-2</v>
      </c>
      <c r="O1809">
        <v>-0.12758259999999999</v>
      </c>
      <c r="P1809">
        <v>-0.96170259999999996</v>
      </c>
      <c r="Q1809">
        <v>0.19718479999999999</v>
      </c>
      <c r="R1809">
        <v>-0.19038430000000001</v>
      </c>
      <c r="S1809">
        <v>-3.049255</v>
      </c>
      <c r="T1809">
        <v>-8.9782710000000002E-2</v>
      </c>
      <c r="U1809">
        <v>-0.43728640000000002</v>
      </c>
      <c r="V1809">
        <v>-6.7091199999999906E-2</v>
      </c>
      <c r="W1809">
        <v>0.21116480000000001</v>
      </c>
      <c r="X1809">
        <v>0.97514520000000005</v>
      </c>
      <c r="Y1809">
        <v>-1.4495020000000001E-2</v>
      </c>
      <c r="Z1809">
        <v>1.5369839999999999E-3</v>
      </c>
      <c r="AA1809">
        <v>0.99989380000000005</v>
      </c>
      <c r="AB1809">
        <v>34</v>
      </c>
      <c r="AC1809">
        <v>-37.4572</v>
      </c>
      <c r="AD1809">
        <v>-1.11237237584599</v>
      </c>
      <c r="AE1809">
        <v>-5.3752000000000004</v>
      </c>
      <c r="AF1809">
        <v>-0.55138947835633401</v>
      </c>
      <c r="AG1809">
        <v>-1.11237237584599</v>
      </c>
      <c r="AH1809">
        <v>37.804219816892299</v>
      </c>
      <c r="AI1809">
        <v>91.685237419933401</v>
      </c>
      <c r="AJ1809">
        <v>90.835622323854494</v>
      </c>
      <c r="AK1809">
        <v>37.8246009711048</v>
      </c>
      <c r="AL1809">
        <v>77.809378541361099</v>
      </c>
      <c r="AM1809">
        <v>93.935818348578493</v>
      </c>
      <c r="AN1809">
        <v>0.99999998147975899</v>
      </c>
    </row>
    <row r="1810" spans="1:40" x14ac:dyDescent="0.25">
      <c r="A1810" t="str">
        <f>"20190304155358931"</f>
        <v>20190304155358931</v>
      </c>
      <c r="B1810" t="str">
        <f>"1551686038928370"</f>
        <v>1551686038928370</v>
      </c>
      <c r="C1810" t="s">
        <v>40</v>
      </c>
      <c r="D1810">
        <v>4.6788790000000002</v>
      </c>
      <c r="E1810">
        <v>0.53087629999999997</v>
      </c>
      <c r="F1810" t="s">
        <v>51</v>
      </c>
      <c r="G1810">
        <v>-499.95780000000002</v>
      </c>
      <c r="H1810">
        <v>4.7836990000000003E-2</v>
      </c>
      <c r="I1810">
        <v>277.29020000000003</v>
      </c>
      <c r="J1810">
        <v>-450.93290000000002</v>
      </c>
      <c r="K1810">
        <v>1.1122110000000001</v>
      </c>
      <c r="L1810">
        <v>283.32600000000002</v>
      </c>
      <c r="M1810">
        <v>-0.99151219999999995</v>
      </c>
      <c r="N1810">
        <v>-1.461875E-2</v>
      </c>
      <c r="O1810">
        <v>-0.1291891</v>
      </c>
      <c r="P1810">
        <v>-0.96119549999999998</v>
      </c>
      <c r="Q1810">
        <v>0.20008190000000001</v>
      </c>
      <c r="R1810">
        <v>-0.1899227</v>
      </c>
      <c r="S1810">
        <v>-3.058411</v>
      </c>
      <c r="T1810">
        <v>-6.5956000000000001E-2</v>
      </c>
      <c r="U1810">
        <v>-0.37676999999999999</v>
      </c>
      <c r="V1810">
        <v>-6.5033060000000004E-2</v>
      </c>
      <c r="W1810">
        <v>0.21408389999999999</v>
      </c>
      <c r="X1810">
        <v>0.97464810000000002</v>
      </c>
      <c r="Y1810">
        <v>6.9855069999999898E-3</v>
      </c>
      <c r="Z1810">
        <v>1.000952E-3</v>
      </c>
      <c r="AA1810">
        <v>0.99997510000000001</v>
      </c>
      <c r="AB1810">
        <v>34</v>
      </c>
      <c r="AC1810">
        <v>-49.024900000000002</v>
      </c>
      <c r="AD1810">
        <v>-1.0643740100000001</v>
      </c>
      <c r="AE1810">
        <v>-6.0357999999999299</v>
      </c>
      <c r="AF1810">
        <v>0.34878871395969002</v>
      </c>
      <c r="AG1810">
        <v>-1.0643740100000001</v>
      </c>
      <c r="AH1810">
        <v>49.3709007526558</v>
      </c>
      <c r="AI1810">
        <v>91.235002221451694</v>
      </c>
      <c r="AJ1810">
        <v>89.595231432047598</v>
      </c>
      <c r="AK1810">
        <v>49.383604432329001</v>
      </c>
      <c r="AL1810">
        <v>77.638213550347103</v>
      </c>
      <c r="AM1810">
        <v>93.817382711287394</v>
      </c>
      <c r="AN1810">
        <v>1.0000000669828799</v>
      </c>
    </row>
    <row r="1811" spans="1:40" x14ac:dyDescent="0.25">
      <c r="A1811" t="str">
        <f>"20190304155358953"</f>
        <v>20190304155358953</v>
      </c>
      <c r="B1811" t="str">
        <f>"1551686038947890"</f>
        <v>1551686038947890</v>
      </c>
      <c r="C1811" t="s">
        <v>40</v>
      </c>
      <c r="D1811">
        <v>4.5677199999999996</v>
      </c>
      <c r="E1811">
        <v>0.53180989999999995</v>
      </c>
      <c r="F1811" t="s">
        <v>68</v>
      </c>
      <c r="G1811">
        <v>-511.95870000000002</v>
      </c>
      <c r="H1811">
        <v>0.1318318</v>
      </c>
      <c r="I1811">
        <v>276.6696</v>
      </c>
      <c r="J1811">
        <v>-451.26440000000002</v>
      </c>
      <c r="K1811">
        <v>1.112012</v>
      </c>
      <c r="L1811">
        <v>283.28129999999999</v>
      </c>
      <c r="M1811">
        <v>-0.99134270000000002</v>
      </c>
      <c r="N1811">
        <v>-1.461E-2</v>
      </c>
      <c r="O1811">
        <v>-0.13048479999999901</v>
      </c>
      <c r="P1811">
        <v>-0.96063880000000001</v>
      </c>
      <c r="Q1811">
        <v>0.20317859999999999</v>
      </c>
      <c r="R1811">
        <v>-0.18945119999999999</v>
      </c>
      <c r="S1811">
        <v>-3.0653380000000001</v>
      </c>
      <c r="T1811">
        <v>-4.9240470000000001E-2</v>
      </c>
      <c r="U1811">
        <v>-0.3343506</v>
      </c>
      <c r="V1811">
        <v>-6.3259430000000005E-2</v>
      </c>
      <c r="W1811">
        <v>0.21720439999999999</v>
      </c>
      <c r="X1811">
        <v>0.9740742</v>
      </c>
      <c r="Y1811">
        <v>2.221948E-2</v>
      </c>
      <c r="Z1811">
        <v>5.1397200000000002E-4</v>
      </c>
      <c r="AA1811">
        <v>0.999753</v>
      </c>
      <c r="AB1811">
        <v>34</v>
      </c>
      <c r="AC1811">
        <v>-60.694299999999998</v>
      </c>
      <c r="AD1811">
        <v>-0.98018019999999995</v>
      </c>
      <c r="AE1811">
        <v>-6.6116999999999804</v>
      </c>
      <c r="AF1811">
        <v>1.36501690961422</v>
      </c>
      <c r="AG1811">
        <v>-0.98018019999999995</v>
      </c>
      <c r="AH1811">
        <v>61.022361429270802</v>
      </c>
      <c r="AI1811">
        <v>90.920012211232503</v>
      </c>
      <c r="AJ1811">
        <v>88.718557178589293</v>
      </c>
      <c r="AK1811">
        <v>61.045496302287198</v>
      </c>
      <c r="AL1811">
        <v>77.455113523510093</v>
      </c>
      <c r="AM1811">
        <v>93.7157494113805</v>
      </c>
      <c r="AN1811">
        <v>1.00000002698446</v>
      </c>
    </row>
    <row r="1812" spans="1:40" x14ac:dyDescent="0.25">
      <c r="A1812" t="str">
        <f>"20190304155358998"</f>
        <v>20190304155358998</v>
      </c>
      <c r="B1812" t="str">
        <f>"1551686038988199"</f>
        <v>1551686038988199</v>
      </c>
      <c r="C1812" t="s">
        <v>40</v>
      </c>
      <c r="D1812">
        <v>4.699376</v>
      </c>
      <c r="E1812">
        <v>0.53302709999999998</v>
      </c>
      <c r="F1812" t="s">
        <v>68</v>
      </c>
      <c r="G1812">
        <v>-511.95870000000002</v>
      </c>
      <c r="H1812">
        <v>0.1762069</v>
      </c>
      <c r="I1812">
        <v>276.8501</v>
      </c>
      <c r="J1812">
        <v>-451.9255</v>
      </c>
      <c r="K1812">
        <v>1.111513</v>
      </c>
      <c r="L1812">
        <v>283.1918</v>
      </c>
      <c r="M1812">
        <v>-0.99111470000000002</v>
      </c>
      <c r="N1812">
        <v>-1.459331E-2</v>
      </c>
      <c r="O1812">
        <v>-0.132207399999999</v>
      </c>
      <c r="P1812">
        <v>-0.95981369999999999</v>
      </c>
      <c r="Q1812">
        <v>0.20823800000000001</v>
      </c>
      <c r="R1812">
        <v>-0.18813559999999999</v>
      </c>
      <c r="S1812">
        <v>-3.068756</v>
      </c>
      <c r="T1812">
        <v>-4.7310949999999997E-2</v>
      </c>
      <c r="U1812">
        <v>-0.32516479999999998</v>
      </c>
      <c r="V1812">
        <v>-6.0100229999999998E-2</v>
      </c>
      <c r="W1812">
        <v>0.22232189999999999</v>
      </c>
      <c r="X1812">
        <v>0.97311919999999996</v>
      </c>
      <c r="Y1812">
        <v>2.7034349999999999E-2</v>
      </c>
      <c r="Z1812">
        <v>4.9836930000000002E-4</v>
      </c>
      <c r="AA1812">
        <v>0.99963440000000003</v>
      </c>
      <c r="AB1812">
        <v>34</v>
      </c>
      <c r="AC1812">
        <v>-60.033200000000001</v>
      </c>
      <c r="AD1812">
        <v>-0.93530609999999903</v>
      </c>
      <c r="AE1812">
        <v>-6.3417000000000003</v>
      </c>
      <c r="AF1812">
        <v>1.6512605954639601</v>
      </c>
      <c r="AG1812">
        <v>-0.93530609999999903</v>
      </c>
      <c r="AH1812">
        <v>60.330146977801803</v>
      </c>
      <c r="AI1812">
        <v>90.887860303782105</v>
      </c>
      <c r="AJ1812">
        <v>88.432182699160606</v>
      </c>
      <c r="AK1812">
        <v>60.359987520028497</v>
      </c>
      <c r="AL1812">
        <v>77.154554222376404</v>
      </c>
      <c r="AM1812">
        <v>93.534121306419294</v>
      </c>
      <c r="AN1812">
        <v>1.00000002113715</v>
      </c>
    </row>
    <row r="1813" spans="1:40" x14ac:dyDescent="0.25">
      <c r="A1813" t="str">
        <f>"20190304155359020"</f>
        <v>20190304155359020</v>
      </c>
      <c r="B1813" t="str">
        <f>"1551686039008695"</f>
        <v>1551686039008695</v>
      </c>
      <c r="C1813" t="s">
        <v>40</v>
      </c>
      <c r="D1813">
        <v>4.6481539999999999</v>
      </c>
      <c r="E1813">
        <v>0.53354789999999996</v>
      </c>
      <c r="F1813" t="s">
        <v>68</v>
      </c>
      <c r="G1813">
        <v>-511.9588</v>
      </c>
      <c r="H1813">
        <v>0.42609799999999998</v>
      </c>
      <c r="I1813">
        <v>277.1182</v>
      </c>
      <c r="J1813">
        <v>-452.2595</v>
      </c>
      <c r="K1813">
        <v>1.1112550000000001</v>
      </c>
      <c r="L1813">
        <v>283.14659999999998</v>
      </c>
      <c r="M1813">
        <v>-0.99105359999999998</v>
      </c>
      <c r="N1813">
        <v>-1.458634E-2</v>
      </c>
      <c r="O1813">
        <v>-0.1326648</v>
      </c>
      <c r="P1813">
        <v>-0.95940749999999997</v>
      </c>
      <c r="Q1813">
        <v>0.21061559999999999</v>
      </c>
      <c r="R1813">
        <v>-0.18755939999999999</v>
      </c>
      <c r="S1813">
        <v>-3.0722960000000001</v>
      </c>
      <c r="T1813">
        <v>-3.507292E-2</v>
      </c>
      <c r="U1813">
        <v>-0.31082149999999997</v>
      </c>
      <c r="V1813">
        <v>-5.8993080000000003E-2</v>
      </c>
      <c r="W1813">
        <v>0.2247257</v>
      </c>
      <c r="X1813">
        <v>0.97263469999999996</v>
      </c>
      <c r="Y1813">
        <v>3.2234159999999998E-2</v>
      </c>
      <c r="Z1813" s="1">
        <v>-1.3890650000000001E-5</v>
      </c>
      <c r="AA1813">
        <v>0.99948040000000005</v>
      </c>
      <c r="AB1813">
        <v>34</v>
      </c>
      <c r="AC1813">
        <v>-59.699300000000001</v>
      </c>
      <c r="AD1813">
        <v>-0.68515699999999902</v>
      </c>
      <c r="AE1813">
        <v>-6.0283999999999702</v>
      </c>
      <c r="AF1813">
        <v>1.94548155573167</v>
      </c>
      <c r="AG1813">
        <v>-0.68515699999999902</v>
      </c>
      <c r="AH1813">
        <v>59.963525846403897</v>
      </c>
      <c r="AI1813">
        <v>90.654301977849499</v>
      </c>
      <c r="AJ1813">
        <v>88.141723764229795</v>
      </c>
      <c r="AK1813">
        <v>59.998989745917299</v>
      </c>
      <c r="AL1813">
        <v>77.013251684751296</v>
      </c>
      <c r="AM1813">
        <v>93.470901063834503</v>
      </c>
      <c r="AN1813">
        <v>1.00000004168623</v>
      </c>
    </row>
    <row r="1814" spans="1:40" x14ac:dyDescent="0.25">
      <c r="A1814" t="str">
        <f>"20190304155359042"</f>
        <v>20190304155359042</v>
      </c>
      <c r="B1814" t="str">
        <f>"1551686039037976"</f>
        <v>1551686039037976</v>
      </c>
      <c r="C1814" t="s">
        <v>40</v>
      </c>
      <c r="D1814">
        <v>4.9189790000000002</v>
      </c>
      <c r="E1814">
        <v>0.53411059999999999</v>
      </c>
      <c r="F1814" t="s">
        <v>68</v>
      </c>
      <c r="G1814">
        <v>-511.9588</v>
      </c>
      <c r="H1814">
        <v>0.53907879999999997</v>
      </c>
      <c r="I1814">
        <v>277.23219999999998</v>
      </c>
      <c r="J1814">
        <v>-452.58210000000003</v>
      </c>
      <c r="K1814">
        <v>1.111013</v>
      </c>
      <c r="L1814">
        <v>283.10309999999998</v>
      </c>
      <c r="M1814">
        <v>-0.99103459999999999</v>
      </c>
      <c r="N1814">
        <v>-1.4579750000000001E-2</v>
      </c>
      <c r="O1814">
        <v>-0.13280799999999901</v>
      </c>
      <c r="P1814">
        <v>-0.95933349999999995</v>
      </c>
      <c r="Q1814">
        <v>0.2112869</v>
      </c>
      <c r="R1814">
        <v>-0.1871826</v>
      </c>
      <c r="S1814">
        <v>-3.0739139999999998</v>
      </c>
      <c r="T1814">
        <v>-2.9457089999999998E-2</v>
      </c>
      <c r="U1814">
        <v>-0.3045349</v>
      </c>
      <c r="V1814">
        <v>-5.8353559999999999E-2</v>
      </c>
      <c r="W1814">
        <v>0.2254254</v>
      </c>
      <c r="X1814">
        <v>0.97251129999999997</v>
      </c>
      <c r="Y1814">
        <v>3.4454720000000001E-2</v>
      </c>
      <c r="Z1814">
        <v>-2.5805179999999997E-4</v>
      </c>
      <c r="AA1814">
        <v>0.99940620000000002</v>
      </c>
      <c r="AB1814">
        <v>34</v>
      </c>
      <c r="AC1814">
        <v>-59.3766999999999</v>
      </c>
      <c r="AD1814">
        <v>-0.57193419999999995</v>
      </c>
      <c r="AE1814">
        <v>-5.8708999999999998</v>
      </c>
      <c r="AF1814">
        <v>2.0674654310140501</v>
      </c>
      <c r="AG1814">
        <v>-0.57193419999999995</v>
      </c>
      <c r="AH1814">
        <v>59.624922885395598</v>
      </c>
      <c r="AI1814">
        <v>90.549245669546494</v>
      </c>
      <c r="AJ1814">
        <v>88.014092136894902</v>
      </c>
      <c r="AK1814">
        <v>59.663497644095102</v>
      </c>
      <c r="AL1814">
        <v>76.972105385214803</v>
      </c>
      <c r="AM1814">
        <v>93.433799547204003</v>
      </c>
      <c r="AN1814">
        <v>0.99999998877876095</v>
      </c>
    </row>
    <row r="1815" spans="1:40" x14ac:dyDescent="0.25">
      <c r="A1815" t="str">
        <f>"20190304155359065"</f>
        <v>20190304155359065</v>
      </c>
      <c r="B1815" t="str">
        <f>"1551686039058471"</f>
        <v>1551686039058471</v>
      </c>
      <c r="C1815" t="s">
        <v>40</v>
      </c>
      <c r="D1815">
        <v>4.7157859999999996</v>
      </c>
      <c r="E1815">
        <v>0.53428509999999996</v>
      </c>
      <c r="F1815" t="s">
        <v>68</v>
      </c>
      <c r="G1815">
        <v>-511.9588</v>
      </c>
      <c r="H1815">
        <v>0.55378719999999904</v>
      </c>
      <c r="I1815">
        <v>277.34230000000002</v>
      </c>
      <c r="J1815">
        <v>-452.91989999999998</v>
      </c>
      <c r="K1815">
        <v>1.110762</v>
      </c>
      <c r="L1815">
        <v>283.05799999999999</v>
      </c>
      <c r="M1815">
        <v>-0.99106000000000005</v>
      </c>
      <c r="N1815">
        <v>-1.4573590000000001E-2</v>
      </c>
      <c r="O1815">
        <v>-0.1326195</v>
      </c>
      <c r="P1815">
        <v>-0.95929960000000003</v>
      </c>
      <c r="Q1815">
        <v>0.21289830000000001</v>
      </c>
      <c r="R1815">
        <v>-0.18552350000000001</v>
      </c>
      <c r="S1815">
        <v>-3.0753170000000001</v>
      </c>
      <c r="T1815">
        <v>-2.8856280000000002E-2</v>
      </c>
      <c r="U1815">
        <v>-0.29837039999999998</v>
      </c>
      <c r="V1815">
        <v>-5.6758330000000003E-2</v>
      </c>
      <c r="W1815">
        <v>0.22706399999999999</v>
      </c>
      <c r="X1815">
        <v>0.97222450000000005</v>
      </c>
      <c r="Y1815">
        <v>3.6293440000000003E-2</v>
      </c>
      <c r="Z1815">
        <v>-2.6404379999999999E-4</v>
      </c>
      <c r="AA1815">
        <v>0.99934109999999998</v>
      </c>
      <c r="AB1815">
        <v>33</v>
      </c>
      <c r="AC1815">
        <v>-59.038899999999998</v>
      </c>
      <c r="AD1815">
        <v>-0.55697479999999999</v>
      </c>
      <c r="AE1815">
        <v>-5.7156999999999698</v>
      </c>
      <c r="AF1815">
        <v>2.1651465403466599</v>
      </c>
      <c r="AG1815">
        <v>-0.55697479999999999</v>
      </c>
      <c r="AH1815">
        <v>59.270167203697298</v>
      </c>
      <c r="AI1815">
        <v>90.538046339304799</v>
      </c>
      <c r="AJ1815">
        <v>87.907908352510901</v>
      </c>
      <c r="AK1815">
        <v>59.312315760078398</v>
      </c>
      <c r="AL1815">
        <v>76.875721776680706</v>
      </c>
      <c r="AM1815">
        <v>93.341127266248293</v>
      </c>
      <c r="AN1815">
        <v>1.0000000232603099</v>
      </c>
    </row>
    <row r="1816" spans="1:40" x14ac:dyDescent="0.25">
      <c r="A1816" t="str">
        <f>"20190304155359088"</f>
        <v>20190304155359088</v>
      </c>
      <c r="B1816" t="str">
        <f>"1551686039078498"</f>
        <v>1551686039078498</v>
      </c>
      <c r="C1816" t="s">
        <v>40</v>
      </c>
      <c r="D1816">
        <v>4.6982869999999997</v>
      </c>
      <c r="E1816">
        <v>0.53470439999999997</v>
      </c>
      <c r="F1816" t="s">
        <v>68</v>
      </c>
      <c r="G1816">
        <v>-511.9588</v>
      </c>
      <c r="H1816">
        <v>0.64436569999999904</v>
      </c>
      <c r="I1816">
        <v>277.46769999999998</v>
      </c>
      <c r="J1816">
        <v>-453.2518</v>
      </c>
      <c r="K1816">
        <v>1.11053</v>
      </c>
      <c r="L1816">
        <v>283.0138</v>
      </c>
      <c r="M1816">
        <v>-0.99111830000000001</v>
      </c>
      <c r="N1816">
        <v>-1.456823E-2</v>
      </c>
      <c r="O1816">
        <v>-0.13218350000000001</v>
      </c>
      <c r="P1816">
        <v>-0.95968469999999995</v>
      </c>
      <c r="Q1816">
        <v>0.21240919999999999</v>
      </c>
      <c r="R1816">
        <v>-0.18408740000000001</v>
      </c>
      <c r="S1816">
        <v>-3.076355</v>
      </c>
      <c r="T1816">
        <v>-2.429831E-2</v>
      </c>
      <c r="U1816">
        <v>-0.2912903</v>
      </c>
      <c r="V1816">
        <v>-5.5581310000000002E-2</v>
      </c>
      <c r="W1816">
        <v>0.22660469999999999</v>
      </c>
      <c r="X1816">
        <v>0.97239960000000003</v>
      </c>
      <c r="Y1816">
        <v>3.8164599999999903E-2</v>
      </c>
      <c r="Z1816">
        <v>-4.6196600000000002E-4</v>
      </c>
      <c r="AA1816">
        <v>0.99927129999999997</v>
      </c>
      <c r="AB1816">
        <v>33</v>
      </c>
      <c r="AC1816">
        <v>-58.707000000000001</v>
      </c>
      <c r="AD1816">
        <v>-0.46616429999999998</v>
      </c>
      <c r="AE1816">
        <v>-5.5461000000000196</v>
      </c>
      <c r="AF1816">
        <v>2.26335407039678</v>
      </c>
      <c r="AG1816">
        <v>-0.46616429999999998</v>
      </c>
      <c r="AH1816">
        <v>58.9212501988128</v>
      </c>
      <c r="AI1816">
        <v>90.452960635966306</v>
      </c>
      <c r="AJ1816">
        <v>87.800167048737407</v>
      </c>
      <c r="AK1816">
        <v>58.966548192968403</v>
      </c>
      <c r="AL1816">
        <v>76.9027414403363</v>
      </c>
      <c r="AM1816">
        <v>93.271405205407603</v>
      </c>
      <c r="AN1816">
        <v>0.99999997708178201</v>
      </c>
    </row>
    <row r="1817" spans="1:40" x14ac:dyDescent="0.25">
      <c r="A1817" t="str">
        <f>"20190304155359110"</f>
        <v>20190304155359110</v>
      </c>
      <c r="B1817" t="str">
        <f>"1551686039098018"</f>
        <v>1551686039098018</v>
      </c>
      <c r="C1817" t="s">
        <v>40</v>
      </c>
      <c r="D1817">
        <v>4.7167919999999999</v>
      </c>
      <c r="E1817">
        <v>0.53493299999999999</v>
      </c>
      <c r="F1817" t="s">
        <v>68</v>
      </c>
      <c r="G1817">
        <v>-511.9588</v>
      </c>
      <c r="H1817">
        <v>0.5735441</v>
      </c>
      <c r="I1817">
        <v>277.5949</v>
      </c>
      <c r="J1817">
        <v>-453.59010000000001</v>
      </c>
      <c r="K1817">
        <v>1.110317</v>
      </c>
      <c r="L1817">
        <v>282.9692</v>
      </c>
      <c r="M1817">
        <v>-0.99120909999999995</v>
      </c>
      <c r="N1817">
        <v>-1.45632E-2</v>
      </c>
      <c r="O1817">
        <v>-0.1315009</v>
      </c>
      <c r="P1817">
        <v>-0.95959930000000004</v>
      </c>
      <c r="Q1817">
        <v>0.21473490000000001</v>
      </c>
      <c r="R1817">
        <v>-0.1818195</v>
      </c>
      <c r="S1817">
        <v>-3.0777589999999999</v>
      </c>
      <c r="T1817">
        <v>-2.8147579999999998E-2</v>
      </c>
      <c r="U1817">
        <v>-0.28408810000000001</v>
      </c>
      <c r="V1817">
        <v>-5.3888119999999998E-2</v>
      </c>
      <c r="W1817">
        <v>0.2289495</v>
      </c>
      <c r="X1817">
        <v>0.97194559999999997</v>
      </c>
      <c r="Y1817">
        <v>3.9837350000000001E-2</v>
      </c>
      <c r="Z1817">
        <v>-2.5008419999999999E-4</v>
      </c>
      <c r="AA1817">
        <v>0.99920609999999999</v>
      </c>
      <c r="AB1817">
        <v>33</v>
      </c>
      <c r="AC1817">
        <v>-58.368699999999897</v>
      </c>
      <c r="AD1817">
        <v>-0.5367729</v>
      </c>
      <c r="AE1817">
        <v>-5.3742999999999999</v>
      </c>
      <c r="AF1817">
        <v>2.3485335855448799</v>
      </c>
      <c r="AG1817">
        <v>-0.5367729</v>
      </c>
      <c r="AH1817">
        <v>58.563610308481003</v>
      </c>
      <c r="AI1817">
        <v>90.524715986865701</v>
      </c>
      <c r="AJ1817">
        <v>87.703539826617799</v>
      </c>
      <c r="AK1817">
        <v>58.613140058456402</v>
      </c>
      <c r="AL1817">
        <v>76.764768034539998</v>
      </c>
      <c r="AM1817">
        <v>93.173432705514699</v>
      </c>
      <c r="AN1817">
        <v>1.0000000261933699</v>
      </c>
    </row>
    <row r="1818" spans="1:40" x14ac:dyDescent="0.25">
      <c r="A1818" t="str">
        <f>"20190304155359132"</f>
        <v>20190304155359132</v>
      </c>
      <c r="B1818" t="str">
        <f>"1551686039128274"</f>
        <v>1551686039128274</v>
      </c>
      <c r="C1818" t="s">
        <v>40</v>
      </c>
      <c r="D1818">
        <v>4.6830689999999997</v>
      </c>
      <c r="E1818">
        <v>0.53524320000000003</v>
      </c>
      <c r="F1818" t="s">
        <v>68</v>
      </c>
      <c r="G1818">
        <v>-511.9588</v>
      </c>
      <c r="H1818">
        <v>0.67667630000000001</v>
      </c>
      <c r="I1818">
        <v>277.75189999999998</v>
      </c>
      <c r="J1818">
        <v>-453.91070000000002</v>
      </c>
      <c r="K1818">
        <v>1.110123</v>
      </c>
      <c r="L1818">
        <v>282.92739999999998</v>
      </c>
      <c r="M1818">
        <v>-0.99132240000000005</v>
      </c>
      <c r="N1818">
        <v>-1.455859E-2</v>
      </c>
      <c r="O1818">
        <v>-0.13064489999999901</v>
      </c>
      <c r="P1818">
        <v>-0.95921310000000004</v>
      </c>
      <c r="Q1818">
        <v>0.21898500000000001</v>
      </c>
      <c r="R1818">
        <v>-0.17876230000000001</v>
      </c>
      <c r="S1818">
        <v>-3.0792540000000002</v>
      </c>
      <c r="T1818">
        <v>-2.2872449999999999E-2</v>
      </c>
      <c r="U1818">
        <v>-0.27523799999999998</v>
      </c>
      <c r="V1818">
        <v>-5.1627289999999999E-2</v>
      </c>
      <c r="W1818">
        <v>0.2332079</v>
      </c>
      <c r="X1818">
        <v>0.97105540000000001</v>
      </c>
      <c r="Y1818">
        <v>4.1866649999999998E-2</v>
      </c>
      <c r="Z1818">
        <v>-4.7965889999999998E-4</v>
      </c>
      <c r="AA1818">
        <v>0.99912310000000004</v>
      </c>
      <c r="AB1818">
        <v>33</v>
      </c>
      <c r="AC1818">
        <v>-58.048099999999899</v>
      </c>
      <c r="AD1818">
        <v>-0.43344669999999902</v>
      </c>
      <c r="AE1818">
        <v>-5.1755000000000004</v>
      </c>
      <c r="AF1818">
        <v>2.4532232700981602</v>
      </c>
      <c r="AG1818">
        <v>-0.43344669999999902</v>
      </c>
      <c r="AH1818">
        <v>58.223480560160098</v>
      </c>
      <c r="AI1818">
        <v>90.426154418638703</v>
      </c>
      <c r="AJ1818">
        <v>87.587292150451205</v>
      </c>
      <c r="AK1818">
        <v>58.276752388873199</v>
      </c>
      <c r="AL1818">
        <v>76.513991129657597</v>
      </c>
      <c r="AM1818">
        <v>93.043331461580706</v>
      </c>
      <c r="AN1818">
        <v>0.99999994578215501</v>
      </c>
    </row>
    <row r="1819" spans="1:40" x14ac:dyDescent="0.25">
      <c r="A1819" t="str">
        <f>"20190304155359179"</f>
        <v>20190304155359179</v>
      </c>
      <c r="B1819" t="str">
        <f>"1551686039168290"</f>
        <v>1551686039168290</v>
      </c>
      <c r="C1819" t="s">
        <v>40</v>
      </c>
      <c r="D1819">
        <v>4.6052759999999999</v>
      </c>
      <c r="E1819">
        <v>0.52920500000000004</v>
      </c>
      <c r="F1819" t="s">
        <v>68</v>
      </c>
      <c r="G1819">
        <v>-511.95890000000003</v>
      </c>
      <c r="H1819">
        <v>0.86269609999999997</v>
      </c>
      <c r="I1819">
        <v>277.97430000000003</v>
      </c>
      <c r="J1819">
        <v>-454.58940000000001</v>
      </c>
      <c r="K1819">
        <v>1.1097349999999999</v>
      </c>
      <c r="L1819">
        <v>282.84059999999999</v>
      </c>
      <c r="M1819">
        <v>-0.9916393</v>
      </c>
      <c r="N1819">
        <v>-1.455068E-2</v>
      </c>
      <c r="O1819">
        <v>-0.12821859999999999</v>
      </c>
      <c r="P1819">
        <v>-0.95946399999999998</v>
      </c>
      <c r="Q1819">
        <v>0.22396669999999999</v>
      </c>
      <c r="R1819">
        <v>-0.17107990000000001</v>
      </c>
      <c r="S1819">
        <v>-3.0815429999999999</v>
      </c>
      <c r="T1819">
        <v>-1.313055E-2</v>
      </c>
      <c r="U1819">
        <v>-0.26293949999999999</v>
      </c>
      <c r="V1819">
        <v>-4.6106010000000003E-2</v>
      </c>
      <c r="W1819">
        <v>0.23821030000000001</v>
      </c>
      <c r="X1819">
        <v>0.97011860000000005</v>
      </c>
      <c r="Y1819">
        <v>4.3442990000000001E-2</v>
      </c>
      <c r="Z1819">
        <v>-9.1629850000000002E-4</v>
      </c>
      <c r="AA1819">
        <v>0.99905549999999999</v>
      </c>
      <c r="AB1819">
        <v>33</v>
      </c>
      <c r="AC1819">
        <v>-57.369500000000002</v>
      </c>
      <c r="AD1819">
        <v>-0.24703890000000001</v>
      </c>
      <c r="AE1819">
        <v>-4.8662999999999599</v>
      </c>
      <c r="AF1819">
        <v>2.5304436614830599</v>
      </c>
      <c r="AG1819">
        <v>-0.24703890000000001</v>
      </c>
      <c r="AH1819">
        <v>57.518824811972202</v>
      </c>
      <c r="AI1819">
        <v>90.245841640166802</v>
      </c>
      <c r="AJ1819">
        <v>87.4809931073152</v>
      </c>
      <c r="AK1819">
        <v>57.574989197501402</v>
      </c>
      <c r="AL1819">
        <v>76.219065203028293</v>
      </c>
      <c r="AM1819">
        <v>92.721000836604404</v>
      </c>
      <c r="AN1819">
        <v>1.0000000046250801</v>
      </c>
    </row>
    <row r="1820" spans="1:40" x14ac:dyDescent="0.25">
      <c r="A1820" t="str">
        <f>"20190304155359198"</f>
        <v>20190304155359198</v>
      </c>
      <c r="B1820" t="str">
        <f>"1551686039188132"</f>
        <v>1551686039188132</v>
      </c>
      <c r="C1820" t="s">
        <v>40</v>
      </c>
      <c r="D1820">
        <v>4.62324</v>
      </c>
      <c r="E1820">
        <v>0.52991160000000004</v>
      </c>
      <c r="F1820" t="s">
        <v>51</v>
      </c>
      <c r="G1820">
        <v>-500.38369999999998</v>
      </c>
      <c r="H1820">
        <v>8.0000710000000003E-2</v>
      </c>
      <c r="I1820">
        <v>278.6386</v>
      </c>
      <c r="J1820">
        <v>-454.89260000000002</v>
      </c>
      <c r="K1820">
        <v>1.1095809999999999</v>
      </c>
      <c r="L1820">
        <v>282.80270000000002</v>
      </c>
      <c r="M1820">
        <v>-0.99180970000000002</v>
      </c>
      <c r="N1820">
        <v>-1.4547930000000001E-2</v>
      </c>
      <c r="O1820">
        <v>-0.1268928</v>
      </c>
      <c r="P1820">
        <v>-0.96007010000000004</v>
      </c>
      <c r="Q1820">
        <v>0.22427440000000001</v>
      </c>
      <c r="R1820">
        <v>-0.16723170000000001</v>
      </c>
      <c r="S1820">
        <v>-3.0923769999999999</v>
      </c>
      <c r="T1820">
        <v>-6.9535369999999999E-2</v>
      </c>
      <c r="U1820">
        <v>-0.28375240000000002</v>
      </c>
      <c r="V1820">
        <v>-4.341888E-2</v>
      </c>
      <c r="W1820">
        <v>0.2385275</v>
      </c>
      <c r="X1820">
        <v>0.97016469999999999</v>
      </c>
      <c r="Y1820">
        <v>3.5720710000000003E-2</v>
      </c>
      <c r="Z1820">
        <v>1.6496320000000001E-3</v>
      </c>
      <c r="AA1820">
        <v>0.99936040000000004</v>
      </c>
      <c r="AB1820">
        <v>33</v>
      </c>
      <c r="AC1820">
        <v>-45.491099999999904</v>
      </c>
      <c r="AD1820">
        <v>-1.02958029</v>
      </c>
      <c r="AE1820">
        <v>-4.1641000000000101</v>
      </c>
      <c r="AF1820">
        <v>1.64183818263462</v>
      </c>
      <c r="AG1820">
        <v>-1.02958029</v>
      </c>
      <c r="AH1820">
        <v>45.6285636261061</v>
      </c>
      <c r="AI1820">
        <v>91.291788722792504</v>
      </c>
      <c r="AJ1820">
        <v>87.939233164071993</v>
      </c>
      <c r="AK1820">
        <v>45.6696998761008</v>
      </c>
      <c r="AL1820">
        <v>76.200352281616006</v>
      </c>
      <c r="AM1820">
        <v>92.562513001783103</v>
      </c>
      <c r="AN1820">
        <v>1.00000005626139</v>
      </c>
    </row>
    <row r="1821" spans="1:40" x14ac:dyDescent="0.25">
      <c r="A1821" t="str">
        <f>"20190304155359222"</f>
        <v>20190304155359222</v>
      </c>
      <c r="B1821" t="str">
        <f>"1551686039218389"</f>
        <v>1551686039218389</v>
      </c>
      <c r="C1821" t="s">
        <v>40</v>
      </c>
      <c r="D1821">
        <v>4.6490589999999896</v>
      </c>
      <c r="E1821">
        <v>0.52834250000000005</v>
      </c>
      <c r="F1821" t="s">
        <v>51</v>
      </c>
      <c r="G1821">
        <v>-500.3322</v>
      </c>
      <c r="H1821">
        <v>8.0000710000000003E-2</v>
      </c>
      <c r="I1821">
        <v>278.89319999999998</v>
      </c>
      <c r="J1821">
        <v>-455.22840000000002</v>
      </c>
      <c r="K1821">
        <v>1.1094219999999999</v>
      </c>
      <c r="L1821">
        <v>282.76130000000001</v>
      </c>
      <c r="M1821">
        <v>-0.99201790000000001</v>
      </c>
      <c r="N1821">
        <v>-1.4544949999999999E-2</v>
      </c>
      <c r="O1821">
        <v>-0.1252567</v>
      </c>
      <c r="P1821">
        <v>-0.96024509999999996</v>
      </c>
      <c r="Q1821">
        <v>0.22601640000000001</v>
      </c>
      <c r="R1821">
        <v>-0.1638491</v>
      </c>
      <c r="S1821">
        <v>-3.0948180000000001</v>
      </c>
      <c r="T1821">
        <v>-7.0123080000000004E-2</v>
      </c>
      <c r="U1821">
        <v>-0.2662659</v>
      </c>
      <c r="V1821">
        <v>-4.1545770000000003E-2</v>
      </c>
      <c r="W1821">
        <v>0.24027390000000001</v>
      </c>
      <c r="X1821">
        <v>0.96981569999999995</v>
      </c>
      <c r="Y1821">
        <v>3.9744149999999999E-2</v>
      </c>
      <c r="Z1821">
        <v>1.737564E-3</v>
      </c>
      <c r="AA1821">
        <v>0.9992084</v>
      </c>
      <c r="AB1821">
        <v>33</v>
      </c>
      <c r="AC1821">
        <v>-45.1037999999999</v>
      </c>
      <c r="AD1821">
        <v>-1.0294212899999999</v>
      </c>
      <c r="AE1821">
        <v>-3.8681000000000201</v>
      </c>
      <c r="AF1821">
        <v>1.81158338333235</v>
      </c>
      <c r="AG1821">
        <v>-1.0294212899999999</v>
      </c>
      <c r="AH1821">
        <v>45.209682194356702</v>
      </c>
      <c r="AI1821">
        <v>91.303349890991697</v>
      </c>
      <c r="AJ1821">
        <v>87.705345917840901</v>
      </c>
      <c r="AK1821">
        <v>45.257672351346201</v>
      </c>
      <c r="AL1821">
        <v>76.097293917982697</v>
      </c>
      <c r="AM1821">
        <v>92.452984353624103</v>
      </c>
      <c r="AN1821">
        <v>1.00000004499629</v>
      </c>
    </row>
    <row r="1822" spans="1:40" x14ac:dyDescent="0.25">
      <c r="A1822" t="str">
        <f>"20190304155359244"</f>
        <v>20190304155359244</v>
      </c>
      <c r="B1822" t="str">
        <f>"1551686039237909"</f>
        <v>1551686039237909</v>
      </c>
      <c r="C1822" t="s">
        <v>40</v>
      </c>
      <c r="D1822">
        <v>4.6454829999999996</v>
      </c>
      <c r="E1822">
        <v>0.52734309999999995</v>
      </c>
      <c r="F1822" t="s">
        <v>51</v>
      </c>
      <c r="G1822">
        <v>-502.74979999999999</v>
      </c>
      <c r="H1822">
        <v>8.0000210000000002E-2</v>
      </c>
      <c r="I1822">
        <v>278.64240000000001</v>
      </c>
      <c r="J1822">
        <v>-455.55930000000001</v>
      </c>
      <c r="K1822">
        <v>1.1092740000000001</v>
      </c>
      <c r="L1822">
        <v>282.72129999999999</v>
      </c>
      <c r="M1822">
        <v>-0.99224449999999997</v>
      </c>
      <c r="N1822">
        <v>-1.454247E-2</v>
      </c>
      <c r="O1822">
        <v>-0.1234475</v>
      </c>
      <c r="P1822">
        <v>-0.96018139999999996</v>
      </c>
      <c r="Q1822">
        <v>0.22899710000000001</v>
      </c>
      <c r="R1822">
        <v>-0.1600384</v>
      </c>
      <c r="S1822">
        <v>-3.0942080000000001</v>
      </c>
      <c r="T1822">
        <v>-6.7027690000000001E-2</v>
      </c>
      <c r="U1822">
        <v>-0.2681885</v>
      </c>
      <c r="V1822">
        <v>-3.9446050000000003E-2</v>
      </c>
      <c r="W1822">
        <v>0.2432522</v>
      </c>
      <c r="X1822">
        <v>0.96916069999999999</v>
      </c>
      <c r="Y1822">
        <v>3.7291930000000001E-2</v>
      </c>
      <c r="Z1822">
        <v>1.537264E-3</v>
      </c>
      <c r="AA1822">
        <v>0.99930319999999995</v>
      </c>
      <c r="AB1822">
        <v>33</v>
      </c>
      <c r="AC1822">
        <v>-47.190499999999901</v>
      </c>
      <c r="AD1822">
        <v>-1.02927379</v>
      </c>
      <c r="AE1822">
        <v>-4.0788999999999698</v>
      </c>
      <c r="AF1822">
        <v>1.7776319140618599</v>
      </c>
      <c r="AG1822">
        <v>-1.02927379</v>
      </c>
      <c r="AH1822">
        <v>47.310711587931998</v>
      </c>
      <c r="AI1822">
        <v>91.245429969254403</v>
      </c>
      <c r="AJ1822">
        <v>87.8482057595442</v>
      </c>
      <c r="AK1822">
        <v>47.3552828173706</v>
      </c>
      <c r="AL1822">
        <v>75.921432939181301</v>
      </c>
      <c r="AM1822">
        <v>92.330723280361497</v>
      </c>
      <c r="AN1822">
        <v>1.00000004304496</v>
      </c>
    </row>
    <row r="1823" spans="1:40" x14ac:dyDescent="0.25">
      <c r="A1823" t="str">
        <f>"20190304155359266"</f>
        <v>20190304155359266</v>
      </c>
      <c r="B1823" t="str">
        <f>"1551686039258405"</f>
        <v>1551686039258405</v>
      </c>
      <c r="C1823" t="s">
        <v>40</v>
      </c>
      <c r="D1823">
        <v>4.6042820000000004</v>
      </c>
      <c r="E1823">
        <v>0.52672819999999998</v>
      </c>
      <c r="F1823" t="s">
        <v>68</v>
      </c>
      <c r="G1823">
        <v>-511.95859999999999</v>
      </c>
      <c r="H1823">
        <v>7.9611539999999998E-3</v>
      </c>
      <c r="I1823">
        <v>277.87389999999999</v>
      </c>
      <c r="J1823">
        <v>-455.88060000000002</v>
      </c>
      <c r="K1823">
        <v>1.109129</v>
      </c>
      <c r="L1823">
        <v>282.68329999999997</v>
      </c>
      <c r="M1823">
        <v>-0.99248009999999998</v>
      </c>
      <c r="N1823">
        <v>-1.4540920000000001E-2</v>
      </c>
      <c r="O1823">
        <v>-0.1215397</v>
      </c>
      <c r="P1823">
        <v>-0.96053529999999998</v>
      </c>
      <c r="Q1823">
        <v>0.23031940000000001</v>
      </c>
      <c r="R1823">
        <v>-0.15596599999999999</v>
      </c>
      <c r="S1823">
        <v>-3.094452</v>
      </c>
      <c r="T1823">
        <v>-6.0420870000000002E-2</v>
      </c>
      <c r="U1823">
        <v>-0.26596069999999999</v>
      </c>
      <c r="V1823">
        <v>-3.713872E-2</v>
      </c>
      <c r="W1823">
        <v>0.24457480000000001</v>
      </c>
      <c r="X1823">
        <v>0.96891890000000003</v>
      </c>
      <c r="Y1823">
        <v>3.6095780000000001E-2</v>
      </c>
      <c r="Z1823">
        <v>1.206045E-3</v>
      </c>
      <c r="AA1823">
        <v>0.9993476</v>
      </c>
      <c r="AB1823">
        <v>33</v>
      </c>
      <c r="AC1823">
        <v>-56.077999999999903</v>
      </c>
      <c r="AD1823">
        <v>-1.1011678459999901</v>
      </c>
      <c r="AE1823">
        <v>-4.8093999999999797</v>
      </c>
      <c r="AF1823">
        <v>2.04190379616416</v>
      </c>
      <c r="AG1823">
        <v>-1.1011678459999901</v>
      </c>
      <c r="AH1823">
        <v>56.225254927820998</v>
      </c>
      <c r="AI1823">
        <v>91.121251589318902</v>
      </c>
      <c r="AJ1823">
        <v>87.9201325594628</v>
      </c>
      <c r="AK1823">
        <v>56.273095111574598</v>
      </c>
      <c r="AL1823">
        <v>75.843292523016302</v>
      </c>
      <c r="AM1823">
        <v>92.195076115416995</v>
      </c>
      <c r="AN1823">
        <v>0.99999997604774304</v>
      </c>
    </row>
    <row r="1824" spans="1:40" x14ac:dyDescent="0.25">
      <c r="A1824" t="str">
        <f>"20190304155359288"</f>
        <v>20190304155359288</v>
      </c>
      <c r="B1824" t="str">
        <f>"1551686039278432"</f>
        <v>1551686039278432</v>
      </c>
      <c r="C1824" t="s">
        <v>40</v>
      </c>
      <c r="D1824">
        <v>4.6505559999999999</v>
      </c>
      <c r="E1824">
        <v>0.52581299999999997</v>
      </c>
      <c r="F1824" t="s">
        <v>68</v>
      </c>
      <c r="G1824">
        <v>-511.95859999999999</v>
      </c>
      <c r="H1824">
        <v>7.5540540000000002E-3</v>
      </c>
      <c r="I1824">
        <v>277.96190000000001</v>
      </c>
      <c r="J1824">
        <v>-456.2056</v>
      </c>
      <c r="K1824">
        <v>1.1089990000000001</v>
      </c>
      <c r="L1824">
        <v>282.6456</v>
      </c>
      <c r="M1824">
        <v>-0.99272890000000003</v>
      </c>
      <c r="N1824">
        <v>-1.453956E-2</v>
      </c>
      <c r="O1824">
        <v>-0.11949220000000001</v>
      </c>
      <c r="P1824">
        <v>-0.96093839999999997</v>
      </c>
      <c r="Q1824">
        <v>0.23025680000000001</v>
      </c>
      <c r="R1824">
        <v>-0.15355779999999999</v>
      </c>
      <c r="S1824">
        <v>-3.0954899999999999</v>
      </c>
      <c r="T1824">
        <v>-6.0801979999999999E-2</v>
      </c>
      <c r="U1824">
        <v>-0.26062010000000002</v>
      </c>
      <c r="V1824">
        <v>-3.6626850000000002E-2</v>
      </c>
      <c r="W1824">
        <v>0.24452160000000001</v>
      </c>
      <c r="X1824">
        <v>0.96895180000000003</v>
      </c>
      <c r="Y1824">
        <v>3.577462E-2</v>
      </c>
      <c r="Z1824">
        <v>1.2071930000000001E-3</v>
      </c>
      <c r="AA1824">
        <v>0.99935909999999994</v>
      </c>
      <c r="AB1824">
        <v>33</v>
      </c>
      <c r="AC1824">
        <v>-55.752999999999901</v>
      </c>
      <c r="AD1824">
        <v>-1.101444946</v>
      </c>
      <c r="AE1824">
        <v>-4.6836999999999804</v>
      </c>
      <c r="AF1824">
        <v>2.0118368645773099</v>
      </c>
      <c r="AG1824">
        <v>-1.101444946</v>
      </c>
      <c r="AH1824">
        <v>55.891516484899299</v>
      </c>
      <c r="AI1824">
        <v>91.128241905423494</v>
      </c>
      <c r="AJ1824">
        <v>87.938506171584507</v>
      </c>
      <c r="AK1824">
        <v>55.938558110846202</v>
      </c>
      <c r="AL1824">
        <v>75.846435945196006</v>
      </c>
      <c r="AM1824">
        <v>92.164777699081</v>
      </c>
      <c r="AN1824">
        <v>0.99999996486536002</v>
      </c>
    </row>
    <row r="1825" spans="1:40" x14ac:dyDescent="0.25">
      <c r="A1825" t="str">
        <f>"20190304155359309"</f>
        <v>20190304155359309</v>
      </c>
      <c r="B1825" t="str">
        <f>"1551686039297952"</f>
        <v>1551686039297952</v>
      </c>
      <c r="C1825" t="s">
        <v>40</v>
      </c>
      <c r="D1825">
        <v>4.6662319999999999</v>
      </c>
      <c r="E1825">
        <v>0.525034</v>
      </c>
      <c r="F1825" t="s">
        <v>47</v>
      </c>
      <c r="G1825">
        <v>-511.52839999999998</v>
      </c>
      <c r="H1825">
        <v>-0.05</v>
      </c>
      <c r="I1825">
        <v>278.01420000000002</v>
      </c>
      <c r="J1825">
        <v>-456.52890000000002</v>
      </c>
      <c r="K1825">
        <v>1.1088750000000001</v>
      </c>
      <c r="L1825">
        <v>282.60879999999997</v>
      </c>
      <c r="M1825">
        <v>-0.99298520000000001</v>
      </c>
      <c r="N1825">
        <v>-1.453807E-2</v>
      </c>
      <c r="O1825">
        <v>-0.11734269999999999</v>
      </c>
      <c r="P1825">
        <v>-0.96143040000000002</v>
      </c>
      <c r="Q1825">
        <v>0.22899439999999999</v>
      </c>
      <c r="R1825">
        <v>-0.15235870000000001</v>
      </c>
      <c r="S1825">
        <v>-3.096069</v>
      </c>
      <c r="T1825">
        <v>-6.4861769999999999E-2</v>
      </c>
      <c r="U1825">
        <v>-0.25918580000000002</v>
      </c>
      <c r="V1825">
        <v>-3.7418369999999999E-2</v>
      </c>
      <c r="W1825">
        <v>0.2432763</v>
      </c>
      <c r="X1825">
        <v>0.96923499999999996</v>
      </c>
      <c r="Y1825">
        <v>3.4084950000000003E-2</v>
      </c>
      <c r="Z1825">
        <v>1.3430689999999999E-3</v>
      </c>
      <c r="AA1825">
        <v>0.99941800000000003</v>
      </c>
      <c r="AB1825">
        <v>33</v>
      </c>
      <c r="AC1825">
        <v>-54.999499999999898</v>
      </c>
      <c r="AD1825">
        <v>-1.1588750000000001</v>
      </c>
      <c r="AE1825">
        <v>-4.5945999999999501</v>
      </c>
      <c r="AF1825">
        <v>1.8907860454215499</v>
      </c>
      <c r="AG1825">
        <v>-1.1588750000000001</v>
      </c>
      <c r="AH1825">
        <v>55.134345650608999</v>
      </c>
      <c r="AI1825">
        <v>91.203421862886799</v>
      </c>
      <c r="AJ1825">
        <v>88.035859157266501</v>
      </c>
      <c r="AK1825">
        <v>55.178928346389696</v>
      </c>
      <c r="AL1825">
        <v>75.920008568074394</v>
      </c>
      <c r="AM1825">
        <v>92.210867860282207</v>
      </c>
      <c r="AN1825">
        <v>0.99999998889007302</v>
      </c>
    </row>
    <row r="1826" spans="1:40" x14ac:dyDescent="0.25">
      <c r="A1826" t="str">
        <f>"20190304155359333"</f>
        <v>20190304155359333</v>
      </c>
      <c r="B1826" t="str">
        <f>"1551686039328207"</f>
        <v>1551686039328207</v>
      </c>
      <c r="C1826" t="s">
        <v>40</v>
      </c>
      <c r="D1826">
        <v>4.6038920000000001</v>
      </c>
      <c r="E1826">
        <v>0.52371849999999998</v>
      </c>
      <c r="F1826" t="s">
        <v>51</v>
      </c>
      <c r="G1826">
        <v>-500.13049999999998</v>
      </c>
      <c r="H1826">
        <v>8.0000749999999995E-2</v>
      </c>
      <c r="I1826">
        <v>278.94380000000001</v>
      </c>
      <c r="J1826">
        <v>-456.86790000000002</v>
      </c>
      <c r="K1826">
        <v>1.1087640000000001</v>
      </c>
      <c r="L1826">
        <v>282.57119999999998</v>
      </c>
      <c r="M1826">
        <v>-0.99326289999999995</v>
      </c>
      <c r="N1826">
        <v>-1.4536479999999999E-2</v>
      </c>
      <c r="O1826">
        <v>-0.11496770000000001</v>
      </c>
      <c r="P1826">
        <v>-0.96170809999999995</v>
      </c>
      <c r="Q1826">
        <v>0.2290634</v>
      </c>
      <c r="R1826">
        <v>-0.15049029999999899</v>
      </c>
      <c r="S1826">
        <v>-3.0964969999999998</v>
      </c>
      <c r="T1826">
        <v>-7.3068499999999995E-2</v>
      </c>
      <c r="U1826">
        <v>-0.26028440000000003</v>
      </c>
      <c r="V1826">
        <v>-3.7789639999999999E-2</v>
      </c>
      <c r="W1826">
        <v>0.2433553</v>
      </c>
      <c r="X1826">
        <v>0.96920079999999997</v>
      </c>
      <c r="Y1826">
        <v>3.1350429999999999E-2</v>
      </c>
      <c r="Z1826">
        <v>1.624431E-3</v>
      </c>
      <c r="AA1826">
        <v>0.99950709999999998</v>
      </c>
      <c r="AB1826">
        <v>33</v>
      </c>
      <c r="AC1826">
        <v>-43.2625999999999</v>
      </c>
      <c r="AD1826">
        <v>-1.0287632499999999</v>
      </c>
      <c r="AE1826">
        <v>-3.6273999999999602</v>
      </c>
      <c r="AF1826">
        <v>1.37021518563278</v>
      </c>
      <c r="AG1826">
        <v>-1.0287632499999999</v>
      </c>
      <c r="AH1826">
        <v>43.368400636110103</v>
      </c>
      <c r="AI1826">
        <v>91.358209155300997</v>
      </c>
      <c r="AJ1826">
        <v>88.190354295410998</v>
      </c>
      <c r="AK1826">
        <v>43.402235163798203</v>
      </c>
      <c r="AL1826">
        <v>75.915342472908506</v>
      </c>
      <c r="AM1826">
        <v>92.232860997547206</v>
      </c>
      <c r="AN1826">
        <v>1.00000002482502</v>
      </c>
    </row>
    <row r="1827" spans="1:40" x14ac:dyDescent="0.25">
      <c r="A1827" t="str">
        <f>"20190304155359355"</f>
        <v>20190304155359355</v>
      </c>
      <c r="B1827" t="str">
        <f>"1551686039348704"</f>
        <v>1551686039348704</v>
      </c>
      <c r="C1827" t="s">
        <v>40</v>
      </c>
      <c r="D1827">
        <v>4.5966170000000002</v>
      </c>
      <c r="E1827">
        <v>0.52290079999999906</v>
      </c>
      <c r="F1827" t="s">
        <v>51</v>
      </c>
      <c r="G1827">
        <v>-499.91770000000002</v>
      </c>
      <c r="H1827" s="1">
        <v>1.641158E-6</v>
      </c>
      <c r="I1827">
        <v>278.8947</v>
      </c>
      <c r="J1827">
        <v>-457.19260000000003</v>
      </c>
      <c r="K1827">
        <v>1.1086659999999999</v>
      </c>
      <c r="L1827">
        <v>282.536</v>
      </c>
      <c r="M1827">
        <v>-0.99353610000000003</v>
      </c>
      <c r="N1827">
        <v>-1.4535309999999999E-2</v>
      </c>
      <c r="O1827">
        <v>-0.1125821</v>
      </c>
      <c r="P1827">
        <v>-0.96179939999999997</v>
      </c>
      <c r="Q1827">
        <v>0.22988910000000001</v>
      </c>
      <c r="R1827">
        <v>-0.14863699999999999</v>
      </c>
      <c r="S1827">
        <v>-3.0970759999999999</v>
      </c>
      <c r="T1827">
        <v>-7.976627E-2</v>
      </c>
      <c r="U1827">
        <v>-0.2644958</v>
      </c>
      <c r="V1827">
        <v>-3.8208859999999997E-2</v>
      </c>
      <c r="W1827">
        <v>0.24418860000000001</v>
      </c>
      <c r="X1827">
        <v>0.96897469999999997</v>
      </c>
      <c r="Y1827">
        <v>2.7613599999999999E-2</v>
      </c>
      <c r="Z1827">
        <v>1.8037859999999999E-3</v>
      </c>
      <c r="AA1827">
        <v>0.99961699999999998</v>
      </c>
      <c r="AB1827">
        <v>33</v>
      </c>
      <c r="AC1827">
        <v>-42.725099999999998</v>
      </c>
      <c r="AD1827">
        <v>-1.108664358842</v>
      </c>
      <c r="AE1827">
        <v>-3.6413000000000002</v>
      </c>
      <c r="AF1827">
        <v>1.1916478641835999</v>
      </c>
      <c r="AG1827">
        <v>-1.108664358842</v>
      </c>
      <c r="AH1827">
        <v>42.834768594277499</v>
      </c>
      <c r="AI1827">
        <v>91.482045124196802</v>
      </c>
      <c r="AJ1827">
        <v>88.406463022277705</v>
      </c>
      <c r="AK1827">
        <v>42.865680466056702</v>
      </c>
      <c r="AL1827">
        <v>75.866112109317896</v>
      </c>
      <c r="AM1827">
        <v>92.258132031288497</v>
      </c>
      <c r="AN1827">
        <v>0.99999997929627404</v>
      </c>
    </row>
    <row r="1828" spans="1:40" x14ac:dyDescent="0.25">
      <c r="A1828" t="str">
        <f>"20190304155359377"</f>
        <v>20190304155359377</v>
      </c>
      <c r="B1828" t="str">
        <f>"1551686039368224"</f>
        <v>1551686039368224</v>
      </c>
      <c r="C1828" t="s">
        <v>40</v>
      </c>
      <c r="D1828">
        <v>4.67014</v>
      </c>
      <c r="E1828">
        <v>0.52201600000000004</v>
      </c>
      <c r="F1828" t="s">
        <v>51</v>
      </c>
      <c r="G1828">
        <v>-498.46100000000001</v>
      </c>
      <c r="H1828" s="1">
        <v>1.9175490000000001E-6</v>
      </c>
      <c r="I1828">
        <v>278.99680000000001</v>
      </c>
      <c r="J1828">
        <v>-457.51240000000001</v>
      </c>
      <c r="K1828">
        <v>1.1085739999999999</v>
      </c>
      <c r="L1828">
        <v>282.50229999999999</v>
      </c>
      <c r="M1828">
        <v>-0.99381079999999999</v>
      </c>
      <c r="N1828">
        <v>-1.453455E-2</v>
      </c>
      <c r="O1828">
        <v>-0.11013199999999999</v>
      </c>
      <c r="P1828">
        <v>-0.96201650000000005</v>
      </c>
      <c r="Q1828">
        <v>0.22995959999999999</v>
      </c>
      <c r="R1828">
        <v>-0.14711629999999901</v>
      </c>
      <c r="S1828">
        <v>-3.0980219999999998</v>
      </c>
      <c r="T1828">
        <v>-8.3227519999999999E-2</v>
      </c>
      <c r="U1828">
        <v>-0.26568599999999998</v>
      </c>
      <c r="V1828">
        <v>-3.9012909999999998E-2</v>
      </c>
      <c r="W1828">
        <v>0.2442705</v>
      </c>
      <c r="X1828">
        <v>0.96892199999999995</v>
      </c>
      <c r="Y1828">
        <v>2.4792640000000001E-2</v>
      </c>
      <c r="Z1828">
        <v>1.8555850000000001E-3</v>
      </c>
      <c r="AA1828">
        <v>0.99969090000000005</v>
      </c>
      <c r="AB1828">
        <v>33</v>
      </c>
      <c r="AC1828">
        <v>-40.948599999999999</v>
      </c>
      <c r="AD1828">
        <v>-1.1085720824509999</v>
      </c>
      <c r="AE1828">
        <v>-3.5054999999999801</v>
      </c>
      <c r="AF1828">
        <v>1.0253097379145999</v>
      </c>
      <c r="AG1828">
        <v>-1.1085720824509999</v>
      </c>
      <c r="AH1828">
        <v>41.0556930017421</v>
      </c>
      <c r="AI1828">
        <v>91.546223773765703</v>
      </c>
      <c r="AJ1828">
        <v>88.5694136909989</v>
      </c>
      <c r="AK1828">
        <v>41.083453116479198</v>
      </c>
      <c r="AL1828">
        <v>75.861272813360003</v>
      </c>
      <c r="AM1828">
        <v>92.305725655584098</v>
      </c>
      <c r="AN1828">
        <v>0.99999996320045803</v>
      </c>
    </row>
    <row r="1829" spans="1:40" x14ac:dyDescent="0.25">
      <c r="A1829" t="str">
        <f>"20190304155359399"</f>
        <v>20190304155359399</v>
      </c>
      <c r="B1829" t="str">
        <f>"1551686039388721"</f>
        <v>1551686039388721</v>
      </c>
      <c r="C1829" t="s">
        <v>40</v>
      </c>
      <c r="D1829">
        <v>4.700628</v>
      </c>
      <c r="E1829">
        <v>0.52127409999999996</v>
      </c>
      <c r="F1829" t="s">
        <v>51</v>
      </c>
      <c r="G1829">
        <v>-497.50889999999998</v>
      </c>
      <c r="H1829" s="1">
        <v>2.095052E-6</v>
      </c>
      <c r="I1829">
        <v>279.04579999999999</v>
      </c>
      <c r="J1829">
        <v>-457.84109999999998</v>
      </c>
      <c r="K1829">
        <v>1.108476</v>
      </c>
      <c r="L1829">
        <v>282.46839999999997</v>
      </c>
      <c r="M1829">
        <v>-0.99409709999999996</v>
      </c>
      <c r="N1829">
        <v>-1.453423E-2</v>
      </c>
      <c r="O1829">
        <v>-0.1075179</v>
      </c>
      <c r="P1829">
        <v>-0.96247300000000002</v>
      </c>
      <c r="Q1829">
        <v>0.2296926</v>
      </c>
      <c r="R1829">
        <v>-0.14452470000000001</v>
      </c>
      <c r="S1829">
        <v>-3.0980530000000002</v>
      </c>
      <c r="T1829">
        <v>-8.5867760000000001E-2</v>
      </c>
      <c r="U1829">
        <v>-0.26773069999999999</v>
      </c>
      <c r="V1829">
        <v>-3.8888909999999999E-2</v>
      </c>
      <c r="W1829">
        <v>0.24401339999999999</v>
      </c>
      <c r="X1829">
        <v>0.96899179999999996</v>
      </c>
      <c r="Y1829">
        <v>2.1509460000000001E-2</v>
      </c>
      <c r="Z1829">
        <v>1.8564860000000001E-3</v>
      </c>
      <c r="AA1829">
        <v>0.99976690000000001</v>
      </c>
      <c r="AB1829">
        <v>33</v>
      </c>
      <c r="AC1829">
        <v>-39.6678</v>
      </c>
      <c r="AD1829">
        <v>-1.1084739049479999</v>
      </c>
      <c r="AE1829">
        <v>-3.4225999999999801</v>
      </c>
      <c r="AF1829">
        <v>0.86202462744069097</v>
      </c>
      <c r="AG1829">
        <v>-1.1084739049479999</v>
      </c>
      <c r="AH1829">
        <v>39.775003287218098</v>
      </c>
      <c r="AI1829">
        <v>91.595965760184001</v>
      </c>
      <c r="AJ1829">
        <v>88.758450327353799</v>
      </c>
      <c r="AK1829">
        <v>39.7997825038589</v>
      </c>
      <c r="AL1829">
        <v>75.876463724069396</v>
      </c>
      <c r="AM1829">
        <v>92.298239543517695</v>
      </c>
      <c r="AN1829">
        <v>0.99999999758389402</v>
      </c>
    </row>
    <row r="1830" spans="1:40" x14ac:dyDescent="0.25">
      <c r="A1830" t="str">
        <f>"20190304155359421"</f>
        <v>20190304155359421</v>
      </c>
      <c r="B1830" t="str">
        <f>"1551686039418000"</f>
        <v>1551686039418000</v>
      </c>
      <c r="C1830" t="s">
        <v>40</v>
      </c>
      <c r="D1830">
        <v>4.69956</v>
      </c>
      <c r="E1830">
        <v>0.51057759999999996</v>
      </c>
      <c r="F1830" t="s">
        <v>51</v>
      </c>
      <c r="G1830">
        <v>-496.34789999999998</v>
      </c>
      <c r="H1830" s="1">
        <v>2.3232519999999998E-6</v>
      </c>
      <c r="I1830">
        <v>279.17219999999998</v>
      </c>
      <c r="J1830">
        <v>-458.16489999999999</v>
      </c>
      <c r="K1830">
        <v>1.1083889999999901</v>
      </c>
      <c r="L1830">
        <v>282.43610000000001</v>
      </c>
      <c r="M1830">
        <v>-0.99438119999999997</v>
      </c>
      <c r="N1830">
        <v>-1.453393E-2</v>
      </c>
      <c r="O1830">
        <v>-0.10485709999999999</v>
      </c>
      <c r="P1830">
        <v>-0.9626439</v>
      </c>
      <c r="Q1830">
        <v>0.23049269999999999</v>
      </c>
      <c r="R1830">
        <v>-0.142092</v>
      </c>
      <c r="S1830">
        <v>-3.0984189999999998</v>
      </c>
      <c r="T1830">
        <v>-8.9192389999999996E-2</v>
      </c>
      <c r="U1830">
        <v>-0.26522829999999997</v>
      </c>
      <c r="V1830">
        <v>-3.8998100000000001E-2</v>
      </c>
      <c r="W1830">
        <v>0.24481929999999999</v>
      </c>
      <c r="X1830">
        <v>0.96878410000000004</v>
      </c>
      <c r="Y1830">
        <v>1.9644519999999999E-2</v>
      </c>
      <c r="Z1830">
        <v>1.905096E-3</v>
      </c>
      <c r="AA1830">
        <v>0.99980519999999995</v>
      </c>
      <c r="AB1830">
        <v>33</v>
      </c>
      <c r="AC1830">
        <v>-38.1829999999999</v>
      </c>
      <c r="AD1830">
        <v>-1.108386676748</v>
      </c>
      <c r="AE1830">
        <v>-3.2639000000000302</v>
      </c>
      <c r="AF1830">
        <v>0.75764406907697901</v>
      </c>
      <c r="AG1830">
        <v>-1.108386676748</v>
      </c>
      <c r="AH1830">
        <v>38.282718624298099</v>
      </c>
      <c r="AI1830">
        <v>91.658077648640798</v>
      </c>
      <c r="AJ1830">
        <v>88.866221028113401</v>
      </c>
      <c r="AK1830">
        <v>38.306253938851498</v>
      </c>
      <c r="AL1830">
        <v>75.828844635449002</v>
      </c>
      <c r="AM1830">
        <v>92.3051790313678</v>
      </c>
      <c r="AN1830">
        <v>0.99999998693445402</v>
      </c>
    </row>
    <row r="1831" spans="1:40" x14ac:dyDescent="0.25">
      <c r="A1831" t="str">
        <f>"20190304155359443"</f>
        <v>20190304155359443</v>
      </c>
      <c r="B1831" t="str">
        <f>"1551686039438496"</f>
        <v>1551686039438496</v>
      </c>
      <c r="C1831" t="s">
        <v>40</v>
      </c>
      <c r="D1831">
        <v>4.7230109999999996</v>
      </c>
      <c r="E1831">
        <v>0.51007179999999996</v>
      </c>
      <c r="F1831" t="s">
        <v>51</v>
      </c>
      <c r="G1831">
        <v>-486.00560000000002</v>
      </c>
      <c r="H1831" s="1">
        <v>2.7439340000000002E-6</v>
      </c>
      <c r="I1831">
        <v>279.36180000000002</v>
      </c>
      <c r="J1831">
        <v>-458.48660000000001</v>
      </c>
      <c r="K1831">
        <v>1.1083160000000001</v>
      </c>
      <c r="L1831">
        <v>282.40499999999997</v>
      </c>
      <c r="M1831">
        <v>-0.99466469999999996</v>
      </c>
      <c r="N1831">
        <v>-1.4533600000000001E-2</v>
      </c>
      <c r="O1831">
        <v>-0.10213170000000001</v>
      </c>
      <c r="P1831">
        <v>-0.96294120000000005</v>
      </c>
      <c r="Q1831">
        <v>0.23067570000000001</v>
      </c>
      <c r="R1831">
        <v>-0.1397601</v>
      </c>
      <c r="S1831">
        <v>-3.0954899999999999</v>
      </c>
      <c r="T1831">
        <v>-0.123237</v>
      </c>
      <c r="U1831">
        <v>-0.3418274</v>
      </c>
      <c r="V1831">
        <v>-3.9266849999999999E-2</v>
      </c>
      <c r="W1831">
        <v>0.24501029999999999</v>
      </c>
      <c r="X1831">
        <v>0.96872499999999995</v>
      </c>
      <c r="Y1831">
        <v>-7.6845699999999999E-3</v>
      </c>
      <c r="Z1831">
        <v>2.349065E-3</v>
      </c>
      <c r="AA1831">
        <v>0.99996770000000001</v>
      </c>
      <c r="AB1831">
        <v>33</v>
      </c>
      <c r="AC1831">
        <v>-27.518999999999998</v>
      </c>
      <c r="AD1831">
        <v>-1.1083132560660001</v>
      </c>
      <c r="AE1831">
        <v>-3.0431999999999499</v>
      </c>
      <c r="AF1831">
        <v>-0.21607797249487401</v>
      </c>
      <c r="AG1831">
        <v>-1.1083132560660001</v>
      </c>
      <c r="AH1831">
        <v>27.641615609635899</v>
      </c>
      <c r="AI1831">
        <v>92.296021282277806</v>
      </c>
      <c r="AJ1831">
        <v>90.447879164389803</v>
      </c>
      <c r="AK1831">
        <v>27.664669914434899</v>
      </c>
      <c r="AL1831">
        <v>75.817557994496198</v>
      </c>
      <c r="AM1831">
        <v>92.321188986148996</v>
      </c>
      <c r="AN1831">
        <v>1.00000002912</v>
      </c>
    </row>
    <row r="1832" spans="1:40" x14ac:dyDescent="0.25">
      <c r="A1832" t="str">
        <f>"20190304155359465"</f>
        <v>20190304155359465</v>
      </c>
      <c r="B1832" t="str">
        <f>"1551686039458016"</f>
        <v>1551686039458016</v>
      </c>
      <c r="C1832" t="s">
        <v>40</v>
      </c>
      <c r="D1832">
        <v>4.7100059999999999</v>
      </c>
      <c r="E1832">
        <v>0.50957169999999996</v>
      </c>
      <c r="F1832" t="s">
        <v>51</v>
      </c>
      <c r="G1832">
        <v>-486.68400000000003</v>
      </c>
      <c r="H1832" s="1">
        <v>2.8530500000000002E-6</v>
      </c>
      <c r="I1832">
        <v>279.33</v>
      </c>
      <c r="J1832">
        <v>-458.8141</v>
      </c>
      <c r="K1832">
        <v>1.108239</v>
      </c>
      <c r="L1832">
        <v>282.37430000000001</v>
      </c>
      <c r="M1832">
        <v>-0.99495149999999999</v>
      </c>
      <c r="N1832">
        <v>-1.453284E-2</v>
      </c>
      <c r="O1832">
        <v>-9.9299529999999997E-2</v>
      </c>
      <c r="P1832">
        <v>-0.96329299999999995</v>
      </c>
      <c r="Q1832">
        <v>0.2306011</v>
      </c>
      <c r="R1832">
        <v>-0.13744149999999999</v>
      </c>
      <c r="S1832">
        <v>-3.095612</v>
      </c>
      <c r="T1832">
        <v>-0.1216747</v>
      </c>
      <c r="U1832">
        <v>-0.33758539999999998</v>
      </c>
      <c r="V1832">
        <v>-3.9656469999999999E-2</v>
      </c>
      <c r="W1832">
        <v>0.2449432</v>
      </c>
      <c r="X1832">
        <v>0.96872599999999998</v>
      </c>
      <c r="Y1832">
        <v>-9.1697289999999997E-3</v>
      </c>
      <c r="Z1832">
        <v>2.1911560000000001E-3</v>
      </c>
      <c r="AA1832">
        <v>0.9999555</v>
      </c>
      <c r="AB1832">
        <v>33</v>
      </c>
      <c r="AC1832">
        <v>-27.869900000000001</v>
      </c>
      <c r="AD1832">
        <v>-1.1082361469499999</v>
      </c>
      <c r="AE1832">
        <v>-3.0443000000000202</v>
      </c>
      <c r="AF1832">
        <v>-0.26108252154512801</v>
      </c>
      <c r="AG1832">
        <v>-1.1082361469499999</v>
      </c>
      <c r="AH1832">
        <v>27.990718017898001</v>
      </c>
      <c r="AI1832">
        <v>92.267228294952204</v>
      </c>
      <c r="AJ1832">
        <v>90.534409041780194</v>
      </c>
      <c r="AK1832">
        <v>28.0138652562967</v>
      </c>
      <c r="AL1832">
        <v>75.821522007317398</v>
      </c>
      <c r="AM1832">
        <v>92.344192684282802</v>
      </c>
      <c r="AN1832">
        <v>0.99999993495754802</v>
      </c>
    </row>
    <row r="1833" spans="1:40" x14ac:dyDescent="0.25">
      <c r="A1833" t="str">
        <f>"20190304155359489"</f>
        <v>20190304155359489</v>
      </c>
      <c r="B1833" t="str">
        <f>"1551686039478042"</f>
        <v>1551686039478042</v>
      </c>
      <c r="C1833" t="s">
        <v>40</v>
      </c>
      <c r="D1833">
        <v>4.7477330000000002</v>
      </c>
      <c r="E1833">
        <v>0.50914179999999998</v>
      </c>
      <c r="F1833" t="s">
        <v>51</v>
      </c>
      <c r="G1833">
        <v>-486.72840000000002</v>
      </c>
      <c r="H1833" s="1">
        <v>2.8737440000000001E-6</v>
      </c>
      <c r="I1833">
        <v>279.36630000000002</v>
      </c>
      <c r="J1833">
        <v>-459.149</v>
      </c>
      <c r="K1833">
        <v>1.108187</v>
      </c>
      <c r="L1833">
        <v>282.34399999999999</v>
      </c>
      <c r="M1833">
        <v>-0.99524100000000004</v>
      </c>
      <c r="N1833">
        <v>-1.4531769999999999E-2</v>
      </c>
      <c r="O1833">
        <v>-9.6354110000000007E-2</v>
      </c>
      <c r="P1833">
        <v>-0.96385869999999996</v>
      </c>
      <c r="Q1833">
        <v>0.22960520000000001</v>
      </c>
      <c r="R1833">
        <v>-0.1351222</v>
      </c>
      <c r="S1833">
        <v>-3.0961910000000001</v>
      </c>
      <c r="T1833">
        <v>-0.1229233</v>
      </c>
      <c r="U1833">
        <v>-0.33364870000000002</v>
      </c>
      <c r="V1833">
        <v>-4.0148089999999997E-2</v>
      </c>
      <c r="W1833">
        <v>0.24395700000000001</v>
      </c>
      <c r="X1833">
        <v>0.9689546</v>
      </c>
      <c r="Y1833">
        <v>-1.0850780000000001E-2</v>
      </c>
      <c r="Z1833">
        <v>2.1103599999999999E-3</v>
      </c>
      <c r="AA1833">
        <v>0.99993889999999996</v>
      </c>
      <c r="AB1833">
        <v>33</v>
      </c>
      <c r="AC1833">
        <v>-27.5794</v>
      </c>
      <c r="AD1833">
        <v>-1.1081841262559999</v>
      </c>
      <c r="AE1833">
        <v>-2.9776999999999698</v>
      </c>
      <c r="AF1833">
        <v>-0.30568506379975402</v>
      </c>
      <c r="AG1833">
        <v>-1.1081841262559999</v>
      </c>
      <c r="AH1833">
        <v>27.693795000606901</v>
      </c>
      <c r="AI1833">
        <v>92.291363619592303</v>
      </c>
      <c r="AJ1833">
        <v>90.632407106257503</v>
      </c>
      <c r="AK1833">
        <v>27.717644145048801</v>
      </c>
      <c r="AL1833">
        <v>75.879795249969703</v>
      </c>
      <c r="AM1833">
        <v>92.372661281427099</v>
      </c>
      <c r="AN1833">
        <v>0.99999995192040203</v>
      </c>
    </row>
    <row r="1834" spans="1:40" x14ac:dyDescent="0.25">
      <c r="A1834" t="str">
        <f>"20190304155359511"</f>
        <v>20190304155359511</v>
      </c>
      <c r="B1834" t="str">
        <f>"1551686039508299"</f>
        <v>1551686039508299</v>
      </c>
      <c r="C1834" t="s">
        <v>40</v>
      </c>
      <c r="D1834">
        <v>4.7383389999999999</v>
      </c>
      <c r="E1834">
        <v>0.50848930000000003</v>
      </c>
      <c r="F1834" t="s">
        <v>51</v>
      </c>
      <c r="G1834">
        <v>-486.48020000000002</v>
      </c>
      <c r="H1834" s="1">
        <v>2.8551239999999998E-6</v>
      </c>
      <c r="I1834">
        <v>279.43810000000002</v>
      </c>
      <c r="J1834">
        <v>-459.4658</v>
      </c>
      <c r="K1834">
        <v>1.1081460000000001</v>
      </c>
      <c r="L1834">
        <v>282.31619999999998</v>
      </c>
      <c r="M1834">
        <v>-0.99551020000000001</v>
      </c>
      <c r="N1834">
        <v>-1.4530690000000001E-2</v>
      </c>
      <c r="O1834">
        <v>-9.3532320000000002E-2</v>
      </c>
      <c r="P1834">
        <v>-0.96436440000000001</v>
      </c>
      <c r="Q1834">
        <v>0.2282903</v>
      </c>
      <c r="R1834">
        <v>-0.13373579999999999</v>
      </c>
      <c r="S1834">
        <v>-3.0962519999999998</v>
      </c>
      <c r="T1834">
        <v>-0.1255424</v>
      </c>
      <c r="U1834">
        <v>-0.32919310000000002</v>
      </c>
      <c r="V1834">
        <v>-4.1464010000000003E-2</v>
      </c>
      <c r="W1834">
        <v>0.24265639999999999</v>
      </c>
      <c r="X1834">
        <v>0.96922580000000003</v>
      </c>
      <c r="Y1834">
        <v>-1.2259920000000001E-2</v>
      </c>
      <c r="Z1834">
        <v>2.076095E-3</v>
      </c>
      <c r="AA1834">
        <v>0.99992270000000005</v>
      </c>
      <c r="AB1834">
        <v>33</v>
      </c>
      <c r="AC1834">
        <v>-27.014399999999998</v>
      </c>
      <c r="AD1834">
        <v>-1.108143144876</v>
      </c>
      <c r="AE1834">
        <v>-2.8780999999999599</v>
      </c>
      <c r="AF1834">
        <v>-0.33793189033652998</v>
      </c>
      <c r="AG1834">
        <v>-1.108143144876</v>
      </c>
      <c r="AH1834">
        <v>27.1200520334943</v>
      </c>
      <c r="AI1834">
        <v>92.339660154498205</v>
      </c>
      <c r="AJ1834">
        <v>90.713902357412493</v>
      </c>
      <c r="AK1834">
        <v>27.144785898796101</v>
      </c>
      <c r="AL1834">
        <v>75.956623870934607</v>
      </c>
      <c r="AM1834">
        <v>92.449651093251006</v>
      </c>
      <c r="AN1834">
        <v>1.00000002198593</v>
      </c>
    </row>
    <row r="1835" spans="1:40" x14ac:dyDescent="0.25">
      <c r="A1835" t="str">
        <f>"20190304155359534"</f>
        <v>20190304155359534</v>
      </c>
      <c r="B1835" t="str">
        <f>"1551686039527818"</f>
        <v>1551686039527818</v>
      </c>
      <c r="C1835" t="s">
        <v>40</v>
      </c>
      <c r="D1835">
        <v>4.7501769999999999</v>
      </c>
      <c r="E1835">
        <v>0.50471440000000001</v>
      </c>
      <c r="F1835" t="s">
        <v>51</v>
      </c>
      <c r="G1835">
        <v>-485.66640000000001</v>
      </c>
      <c r="H1835" s="1">
        <v>2.7452669999999999E-6</v>
      </c>
      <c r="I1835">
        <v>279.53579999999999</v>
      </c>
      <c r="J1835">
        <v>-459.80180000000001</v>
      </c>
      <c r="K1835">
        <v>1.108123</v>
      </c>
      <c r="L1835">
        <v>282.2878</v>
      </c>
      <c r="M1835">
        <v>-0.99578880000000003</v>
      </c>
      <c r="N1835">
        <v>-1.4529200000000001E-2</v>
      </c>
      <c r="O1835">
        <v>-9.0518440000000006E-2</v>
      </c>
      <c r="P1835">
        <v>-0.96501230000000005</v>
      </c>
      <c r="Q1835">
        <v>0.22674150000000001</v>
      </c>
      <c r="R1835">
        <v>-0.131680399999999</v>
      </c>
      <c r="S1835">
        <v>-3.0962519999999998</v>
      </c>
      <c r="T1835">
        <v>-0.13095509999999999</v>
      </c>
      <c r="U1835">
        <v>-0.32858280000000001</v>
      </c>
      <c r="V1835">
        <v>-4.2295960000000001E-2</v>
      </c>
      <c r="W1835">
        <v>0.241119</v>
      </c>
      <c r="X1835">
        <v>0.96957340000000003</v>
      </c>
      <c r="Y1835">
        <v>-1.5090569999999999E-2</v>
      </c>
      <c r="Z1835">
        <v>2.0653640000000001E-3</v>
      </c>
      <c r="AA1835">
        <v>0.999884</v>
      </c>
      <c r="AB1835">
        <v>33</v>
      </c>
      <c r="AC1835">
        <v>-25.864599999999999</v>
      </c>
      <c r="AD1835">
        <v>-1.108120254733</v>
      </c>
      <c r="AE1835">
        <v>-2.7519999999999998</v>
      </c>
      <c r="AF1835">
        <v>-0.398506387444027</v>
      </c>
      <c r="AG1835">
        <v>-1.108120254733</v>
      </c>
      <c r="AH1835">
        <v>25.9604129148005</v>
      </c>
      <c r="AI1835">
        <v>92.443899117466799</v>
      </c>
      <c r="AJ1835">
        <v>90.879452149300505</v>
      </c>
      <c r="AK1835">
        <v>25.9871078911588</v>
      </c>
      <c r="AL1835">
        <v>76.047405226038506</v>
      </c>
      <c r="AM1835">
        <v>92.497845474146601</v>
      </c>
      <c r="AN1835">
        <v>0.999999949190439</v>
      </c>
    </row>
    <row r="1836" spans="1:40" x14ac:dyDescent="0.25">
      <c r="A1836" t="str">
        <f>"20190304155359557"</f>
        <v>20190304155359557</v>
      </c>
      <c r="B1836" t="str">
        <f>"1551686039548314"</f>
        <v>1551686039548314</v>
      </c>
      <c r="C1836" t="s">
        <v>40</v>
      </c>
      <c r="D1836">
        <v>4.7541190000000002</v>
      </c>
      <c r="E1836">
        <v>0.50365459999999995</v>
      </c>
      <c r="F1836" t="s">
        <v>51</v>
      </c>
      <c r="G1836">
        <v>-483.60700000000003</v>
      </c>
      <c r="H1836" s="1">
        <v>2.3986740000000001E-6</v>
      </c>
      <c r="I1836">
        <v>279.58870000000002</v>
      </c>
      <c r="J1836">
        <v>-460.1277</v>
      </c>
      <c r="K1836">
        <v>1.108098</v>
      </c>
      <c r="L1836">
        <v>282.26119999999997</v>
      </c>
      <c r="M1836">
        <v>-0.99605149999999998</v>
      </c>
      <c r="N1836">
        <v>-1.4527419999999999E-2</v>
      </c>
      <c r="O1836">
        <v>-8.7581539999999999E-2</v>
      </c>
      <c r="P1836">
        <v>-0.96551799999999999</v>
      </c>
      <c r="Q1836">
        <v>0.2254148</v>
      </c>
      <c r="R1836">
        <v>-0.13024430000000001</v>
      </c>
      <c r="S1836">
        <v>-3.0947269999999998</v>
      </c>
      <c r="T1836">
        <v>-0.14405780000000001</v>
      </c>
      <c r="U1836">
        <v>-0.35089110000000001</v>
      </c>
      <c r="V1836">
        <v>-4.3687379999999998E-2</v>
      </c>
      <c r="W1836">
        <v>0.2398045</v>
      </c>
      <c r="X1836">
        <v>0.96983770000000002</v>
      </c>
      <c r="Y1836">
        <v>-2.520412E-2</v>
      </c>
      <c r="Z1836">
        <v>2.0138449999999998E-3</v>
      </c>
      <c r="AA1836">
        <v>0.99968029999999997</v>
      </c>
      <c r="AB1836">
        <v>33</v>
      </c>
      <c r="AC1836">
        <v>-23.479299999999899</v>
      </c>
      <c r="AD1836">
        <v>-1.1080956013259999</v>
      </c>
      <c r="AE1836">
        <v>-2.6724999999999501</v>
      </c>
      <c r="AF1836">
        <v>-0.60432942275088597</v>
      </c>
      <c r="AG1836">
        <v>-1.1080956013259999</v>
      </c>
      <c r="AH1836">
        <v>23.571315088307401</v>
      </c>
      <c r="AI1836">
        <v>92.690629813914796</v>
      </c>
      <c r="AJ1836">
        <v>91.468647017968095</v>
      </c>
      <c r="AK1836">
        <v>23.605083878375599</v>
      </c>
      <c r="AL1836">
        <v>76.124997558305594</v>
      </c>
      <c r="AM1836">
        <v>92.579206288381002</v>
      </c>
      <c r="AN1836">
        <v>0.99999997486640102</v>
      </c>
    </row>
    <row r="1837" spans="1:40" x14ac:dyDescent="0.25">
      <c r="A1837" t="str">
        <f>"20190304155359579"</f>
        <v>20190304155359579</v>
      </c>
      <c r="B1837" t="str">
        <f>"1551686039567834"</f>
        <v>1551686039567834</v>
      </c>
      <c r="C1837" t="s">
        <v>40</v>
      </c>
      <c r="D1837">
        <v>4.7491830000000004</v>
      </c>
      <c r="E1837">
        <v>0.50282890000000002</v>
      </c>
      <c r="F1837" t="s">
        <v>51</v>
      </c>
      <c r="G1837">
        <v>-483.13049999999998</v>
      </c>
      <c r="H1837" s="1">
        <v>2.325155E-6</v>
      </c>
      <c r="I1837">
        <v>279.63040000000001</v>
      </c>
      <c r="J1837">
        <v>-460.45530000000002</v>
      </c>
      <c r="K1837">
        <v>1.108082</v>
      </c>
      <c r="L1837">
        <v>282.23540000000003</v>
      </c>
      <c r="M1837">
        <v>-0.9963071</v>
      </c>
      <c r="N1837">
        <v>-1.45252E-2</v>
      </c>
      <c r="O1837">
        <v>-8.4624550000000007E-2</v>
      </c>
      <c r="P1837">
        <v>-0.96586309999999997</v>
      </c>
      <c r="Q1837">
        <v>0.22445699999999999</v>
      </c>
      <c r="R1837">
        <v>-0.1293366</v>
      </c>
      <c r="S1837">
        <v>-3.0942080000000001</v>
      </c>
      <c r="T1837">
        <v>-0.1490551</v>
      </c>
      <c r="U1837">
        <v>-0.35388180000000002</v>
      </c>
      <c r="V1837">
        <v>-4.5641000000000001E-2</v>
      </c>
      <c r="W1837">
        <v>0.23885999999999999</v>
      </c>
      <c r="X1837">
        <v>0.96998079999999998</v>
      </c>
      <c r="Y1837">
        <v>-2.9138819999999999E-2</v>
      </c>
      <c r="Z1837">
        <v>1.913449E-3</v>
      </c>
      <c r="AA1837">
        <v>0.9995735</v>
      </c>
      <c r="AB1837">
        <v>33</v>
      </c>
      <c r="AC1837">
        <v>-22.675199999999901</v>
      </c>
      <c r="AD1837">
        <v>-1.1080796748449999</v>
      </c>
      <c r="AE1837">
        <v>-2.6050000000000102</v>
      </c>
      <c r="AF1837">
        <v>-0.67498185008359202</v>
      </c>
      <c r="AG1837">
        <v>-1.1080796748449999</v>
      </c>
      <c r="AH1837">
        <v>22.760669871148099</v>
      </c>
      <c r="AI1837">
        <v>92.785962302275607</v>
      </c>
      <c r="AJ1837">
        <v>91.698644205502703</v>
      </c>
      <c r="AK1837">
        <v>22.797621236592502</v>
      </c>
      <c r="AL1837">
        <v>76.180733253201197</v>
      </c>
      <c r="AM1837">
        <v>92.693980444673898</v>
      </c>
      <c r="AN1837">
        <v>0.99999997642481897</v>
      </c>
    </row>
    <row r="1838" spans="1:40" x14ac:dyDescent="0.25">
      <c r="A1838" t="str">
        <f>"20190304155359600"</f>
        <v>20190304155359600</v>
      </c>
      <c r="B1838" t="str">
        <f>"1551686039588331"</f>
        <v>1551686039588331</v>
      </c>
      <c r="C1838" t="s">
        <v>40</v>
      </c>
      <c r="D1838">
        <v>4.7164489999999999</v>
      </c>
      <c r="E1838">
        <v>0.50259019999999999</v>
      </c>
      <c r="F1838" t="s">
        <v>51</v>
      </c>
      <c r="G1838">
        <v>-482.74599999999998</v>
      </c>
      <c r="H1838" s="1">
        <v>2.25988E-6</v>
      </c>
      <c r="I1838">
        <v>279.66379999999998</v>
      </c>
      <c r="J1838">
        <v>-460.76479999999998</v>
      </c>
      <c r="K1838">
        <v>1.1080779999999999</v>
      </c>
      <c r="L1838">
        <v>282.21190000000001</v>
      </c>
      <c r="M1838">
        <v>-0.9965408</v>
      </c>
      <c r="N1838">
        <v>-1.452287E-2</v>
      </c>
      <c r="O1838">
        <v>-8.1828059999999994E-2</v>
      </c>
      <c r="P1838">
        <v>-0.96576079999999997</v>
      </c>
      <c r="Q1838">
        <v>0.22496650000000001</v>
      </c>
      <c r="R1838">
        <v>-0.12921569999999999</v>
      </c>
      <c r="S1838">
        <v>-3.0939939999999999</v>
      </c>
      <c r="T1838">
        <v>-0.15380360000000001</v>
      </c>
      <c r="U1838">
        <v>-0.35693360000000002</v>
      </c>
      <c r="V1838">
        <v>-4.8253259999999999E-2</v>
      </c>
      <c r="W1838">
        <v>0.23938090000000001</v>
      </c>
      <c r="X1838">
        <v>0.96972599999999998</v>
      </c>
      <c r="Y1838">
        <v>-3.2919120000000003E-2</v>
      </c>
      <c r="Z1838">
        <v>1.802183E-3</v>
      </c>
      <c r="AA1838">
        <v>0.99945640000000002</v>
      </c>
      <c r="AB1838">
        <v>32</v>
      </c>
      <c r="AC1838">
        <v>-21.981200000000001</v>
      </c>
      <c r="AD1838">
        <v>-1.1080757401200001</v>
      </c>
      <c r="AE1838">
        <v>-2.54810000000003</v>
      </c>
      <c r="AF1838">
        <v>-0.73883204619050602</v>
      </c>
      <c r="AG1838">
        <v>-1.1080757401200001</v>
      </c>
      <c r="AH1838">
        <v>22.060680771579801</v>
      </c>
      <c r="AI1838">
        <v>92.873858117271297</v>
      </c>
      <c r="AJ1838">
        <v>91.918170251370796</v>
      </c>
      <c r="AK1838">
        <v>22.1008447970631</v>
      </c>
      <c r="AL1838">
        <v>76.149997287801597</v>
      </c>
      <c r="AM1838">
        <v>92.848670345780107</v>
      </c>
      <c r="AN1838">
        <v>1.0000000537307101</v>
      </c>
    </row>
    <row r="1839" spans="1:40" x14ac:dyDescent="0.25">
      <c r="A1839" t="str">
        <f>"20190304155359623"</f>
        <v>20190304155359623</v>
      </c>
      <c r="B1839" t="str">
        <f>"1551686039618586"</f>
        <v>1551686039618586</v>
      </c>
      <c r="C1839" t="s">
        <v>40</v>
      </c>
      <c r="D1839">
        <v>4.7150100000000004</v>
      </c>
      <c r="E1839">
        <v>0.50391759999999997</v>
      </c>
      <c r="F1839" t="s">
        <v>51</v>
      </c>
      <c r="G1839">
        <v>-483.48989999999998</v>
      </c>
      <c r="H1839" s="1">
        <v>2.3763099999999999E-6</v>
      </c>
      <c r="I1839">
        <v>279.58420000000001</v>
      </c>
      <c r="J1839">
        <v>-461.09309999999999</v>
      </c>
      <c r="K1839">
        <v>1.108079</v>
      </c>
      <c r="L1839">
        <v>282.18799999999999</v>
      </c>
      <c r="M1839">
        <v>-0.99677990000000005</v>
      </c>
      <c r="N1839">
        <v>-1.452058E-2</v>
      </c>
      <c r="O1839">
        <v>-7.8861730000000005E-2</v>
      </c>
      <c r="P1839">
        <v>-0.9655726</v>
      </c>
      <c r="Q1839">
        <v>0.2256177</v>
      </c>
      <c r="R1839">
        <v>-0.1294862</v>
      </c>
      <c r="S1839">
        <v>-3.0936279999999998</v>
      </c>
      <c r="T1839">
        <v>-0.150845799999999</v>
      </c>
      <c r="U1839">
        <v>-0.35772710000000002</v>
      </c>
      <c r="V1839">
        <v>-5.1427939999999998E-2</v>
      </c>
      <c r="W1839">
        <v>0.2400457</v>
      </c>
      <c r="X1839">
        <v>0.96939839999999999</v>
      </c>
      <c r="Y1839">
        <v>-3.615252E-2</v>
      </c>
      <c r="Z1839">
        <v>1.538336E-3</v>
      </c>
      <c r="AA1839">
        <v>0.99934509999999999</v>
      </c>
      <c r="AB1839">
        <v>32</v>
      </c>
      <c r="AC1839">
        <v>-22.396799999999899</v>
      </c>
      <c r="AD1839">
        <v>-1.1080766236899999</v>
      </c>
      <c r="AE1839">
        <v>-2.6037999999999699</v>
      </c>
      <c r="AF1839">
        <v>-0.82725454672888599</v>
      </c>
      <c r="AG1839">
        <v>-1.1080766236899999</v>
      </c>
      <c r="AH1839">
        <v>22.4781065593031</v>
      </c>
      <c r="AI1839">
        <v>92.820251516041694</v>
      </c>
      <c r="AJ1839">
        <v>92.107686964944705</v>
      </c>
      <c r="AK1839">
        <v>22.520600755318199</v>
      </c>
      <c r="AL1839">
        <v>76.110762577325403</v>
      </c>
      <c r="AM1839">
        <v>93.036774367008306</v>
      </c>
      <c r="AN1839">
        <v>1.00000001451184</v>
      </c>
    </row>
    <row r="1840" spans="1:40" x14ac:dyDescent="0.25">
      <c r="A1840" t="str">
        <f>"20190304155359645"</f>
        <v>20190304155359645</v>
      </c>
      <c r="B1840" t="str">
        <f>"1551686039638110"</f>
        <v>1551686039638110</v>
      </c>
      <c r="C1840" t="s">
        <v>40</v>
      </c>
      <c r="D1840">
        <v>4.6482729999999997</v>
      </c>
      <c r="E1840">
        <v>0.50448009999999999</v>
      </c>
      <c r="F1840" t="s">
        <v>51</v>
      </c>
      <c r="G1840">
        <v>-485.32209999999998</v>
      </c>
      <c r="H1840" s="1">
        <v>2.660676E-6</v>
      </c>
      <c r="I1840">
        <v>279.4692</v>
      </c>
      <c r="J1840">
        <v>-461.41860000000003</v>
      </c>
      <c r="K1840">
        <v>1.108077</v>
      </c>
      <c r="L1840">
        <v>282.16539999999998</v>
      </c>
      <c r="M1840">
        <v>-0.99700820000000001</v>
      </c>
      <c r="N1840">
        <v>-1.451796E-2</v>
      </c>
      <c r="O1840">
        <v>-7.5921649999999993E-2</v>
      </c>
      <c r="P1840">
        <v>-0.96553060000000002</v>
      </c>
      <c r="Q1840">
        <v>0.22621550000000001</v>
      </c>
      <c r="R1840">
        <v>-0.12875490000000001</v>
      </c>
      <c r="S1840">
        <v>-3.0934750000000002</v>
      </c>
      <c r="T1840">
        <v>-0.1414752</v>
      </c>
      <c r="U1840">
        <v>-0.34713749999999999</v>
      </c>
      <c r="V1840">
        <v>-5.3566669999999997E-2</v>
      </c>
      <c r="W1840">
        <v>0.24065059999999999</v>
      </c>
      <c r="X1840">
        <v>0.96913249999999995</v>
      </c>
      <c r="Y1840">
        <v>-3.5725720000000002E-2</v>
      </c>
      <c r="Z1840">
        <v>1.278632E-3</v>
      </c>
      <c r="AA1840">
        <v>0.99936080000000005</v>
      </c>
      <c r="AB1840">
        <v>32</v>
      </c>
      <c r="AC1840">
        <v>-23.903499999999902</v>
      </c>
      <c r="AD1840">
        <v>-1.108074339324</v>
      </c>
      <c r="AE1840">
        <v>-2.69619999999997</v>
      </c>
      <c r="AF1840">
        <v>-0.87158289559194901</v>
      </c>
      <c r="AG1840">
        <v>-1.108074339324</v>
      </c>
      <c r="AH1840">
        <v>23.988315622109798</v>
      </c>
      <c r="AI1840">
        <v>92.642999645441904</v>
      </c>
      <c r="AJ1840">
        <v>92.080849053161302</v>
      </c>
      <c r="AK1840">
        <v>24.029706029648199</v>
      </c>
      <c r="AL1840">
        <v>76.075056832772106</v>
      </c>
      <c r="AM1840">
        <v>93.163679201599805</v>
      </c>
      <c r="AN1840">
        <v>0.99999995098574801</v>
      </c>
    </row>
    <row r="1841" spans="1:40" x14ac:dyDescent="0.25">
      <c r="A1841" t="str">
        <f>"20190304155359678"</f>
        <v>20190304155359678</v>
      </c>
      <c r="B1841" t="str">
        <f>"1551686039668363"</f>
        <v>1551686039668363</v>
      </c>
      <c r="C1841" t="s">
        <v>40</v>
      </c>
      <c r="D1841">
        <v>4.8002310000000001</v>
      </c>
      <c r="E1841">
        <v>0.50433170000000005</v>
      </c>
      <c r="F1841" t="s">
        <v>51</v>
      </c>
      <c r="G1841">
        <v>-486.0675</v>
      </c>
      <c r="H1841" s="1">
        <v>2.7899830000000001E-6</v>
      </c>
      <c r="I1841">
        <v>279.46100000000001</v>
      </c>
      <c r="J1841">
        <v>-461.89299999999997</v>
      </c>
      <c r="K1841">
        <v>1.10808</v>
      </c>
      <c r="L1841">
        <v>282.13400000000001</v>
      </c>
      <c r="M1841">
        <v>-0.99732520000000002</v>
      </c>
      <c r="N1841">
        <v>-1.4513959999999999E-2</v>
      </c>
      <c r="O1841">
        <v>-7.1636610000000003E-2</v>
      </c>
      <c r="P1841">
        <v>-0.96577049999999998</v>
      </c>
      <c r="Q1841">
        <v>0.2254998</v>
      </c>
      <c r="R1841">
        <v>-0.128207399999999</v>
      </c>
      <c r="S1841">
        <v>-3.0943909999999999</v>
      </c>
      <c r="T1841">
        <v>-0.13910629999999999</v>
      </c>
      <c r="U1841">
        <v>-0.33950809999999998</v>
      </c>
      <c r="V1841">
        <v>-5.7187469999999997E-2</v>
      </c>
      <c r="W1841">
        <v>0.23995259999999999</v>
      </c>
      <c r="X1841">
        <v>0.96909869999999998</v>
      </c>
      <c r="Y1841">
        <v>-3.7548659999999998E-2</v>
      </c>
      <c r="Z1841">
        <v>1.0513790000000001E-3</v>
      </c>
      <c r="AA1841">
        <v>0.99929420000000002</v>
      </c>
      <c r="AB1841">
        <v>32</v>
      </c>
      <c r="AC1841">
        <v>-24.174499999999899</v>
      </c>
      <c r="AD1841">
        <v>-1.108077210017</v>
      </c>
      <c r="AE1841">
        <v>-2.673</v>
      </c>
      <c r="AF1841">
        <v>-0.93223446050883696</v>
      </c>
      <c r="AG1841">
        <v>-1.108077210017</v>
      </c>
      <c r="AH1841">
        <v>24.253541440420001</v>
      </c>
      <c r="AI1841">
        <v>92.613939081362901</v>
      </c>
      <c r="AJ1841">
        <v>92.201196853746794</v>
      </c>
      <c r="AK1841">
        <v>24.2967316442951</v>
      </c>
      <c r="AL1841">
        <v>76.1162568327006</v>
      </c>
      <c r="AM1841">
        <v>93.377163991632202</v>
      </c>
      <c r="AN1841">
        <v>0.99999997365672499</v>
      </c>
    </row>
    <row r="1842" spans="1:40" x14ac:dyDescent="0.25">
      <c r="A1842" t="str">
        <f>"20190304155359700"</f>
        <v>20190304155359700</v>
      </c>
      <c r="B1842" t="str">
        <f>"1551686039698619"</f>
        <v>1551686039698619</v>
      </c>
      <c r="C1842" t="s">
        <v>40</v>
      </c>
      <c r="D1842">
        <v>4.7088859999999997</v>
      </c>
      <c r="E1842">
        <v>0.48073129999999997</v>
      </c>
      <c r="F1842" t="s">
        <v>51</v>
      </c>
      <c r="G1842">
        <v>-486.30599999999998</v>
      </c>
      <c r="H1842" s="1">
        <v>2.8343870000000002E-6</v>
      </c>
      <c r="I1842">
        <v>279.46690000000001</v>
      </c>
      <c r="J1842">
        <v>-462.21620000000001</v>
      </c>
      <c r="K1842">
        <v>1.1080760000000001</v>
      </c>
      <c r="L1842">
        <v>282.11380000000003</v>
      </c>
      <c r="M1842">
        <v>-0.99753049999999999</v>
      </c>
      <c r="N1842">
        <v>-1.4511039999999999E-2</v>
      </c>
      <c r="O1842">
        <v>-6.8717669999999995E-2</v>
      </c>
      <c r="P1842">
        <v>-0.96598720000000005</v>
      </c>
      <c r="Q1842">
        <v>0.2251726</v>
      </c>
      <c r="R1842">
        <v>-0.12714510000000001</v>
      </c>
      <c r="S1842">
        <v>-3.0942379999999998</v>
      </c>
      <c r="T1842">
        <v>-0.14044400000000001</v>
      </c>
      <c r="U1842">
        <v>-0.33804319999999999</v>
      </c>
      <c r="V1842">
        <v>-5.8962939999999998E-2</v>
      </c>
      <c r="W1842">
        <v>0.2396327</v>
      </c>
      <c r="X1842">
        <v>0.96907149999999997</v>
      </c>
      <c r="Y1842">
        <v>-4.0006260000000002E-2</v>
      </c>
      <c r="Z1842">
        <v>9.118962E-4</v>
      </c>
      <c r="AA1842">
        <v>0.99919899999999995</v>
      </c>
      <c r="AB1842">
        <v>32</v>
      </c>
      <c r="AC1842">
        <v>-24.089799999999901</v>
      </c>
      <c r="AD1842">
        <v>-1.1080731656129901</v>
      </c>
      <c r="AE1842">
        <v>-2.6469000000000098</v>
      </c>
      <c r="AF1842">
        <v>-0.983017339386004</v>
      </c>
      <c r="AG1842">
        <v>-1.1080731656129901</v>
      </c>
      <c r="AH1842">
        <v>24.164234879979698</v>
      </c>
      <c r="AI1842">
        <v>92.623344525347207</v>
      </c>
      <c r="AJ1842">
        <v>92.329546373114297</v>
      </c>
      <c r="AK1842">
        <v>24.209593068961599</v>
      </c>
      <c r="AL1842">
        <v>76.135137180455601</v>
      </c>
      <c r="AM1842">
        <v>93.4818564897964</v>
      </c>
      <c r="AN1842">
        <v>1.00000001565749</v>
      </c>
    </row>
    <row r="1843" spans="1:40" x14ac:dyDescent="0.25">
      <c r="A1843" t="str">
        <f>"20190304155359723"</f>
        <v>20190304155359723</v>
      </c>
      <c r="B1843" t="str">
        <f>"1551686039718142"</f>
        <v>1551686039718142</v>
      </c>
      <c r="C1843" t="s">
        <v>40</v>
      </c>
      <c r="D1843">
        <v>4.7067379999999996</v>
      </c>
      <c r="E1843">
        <v>0.47921819999999998</v>
      </c>
      <c r="F1843" t="s">
        <v>51</v>
      </c>
      <c r="G1843">
        <v>-483.96170000000001</v>
      </c>
      <c r="H1843" s="1">
        <v>2.0524850000000001E-6</v>
      </c>
      <c r="I1843">
        <v>278.43130000000002</v>
      </c>
      <c r="J1843">
        <v>-462.53870000000001</v>
      </c>
      <c r="K1843">
        <v>1.108079</v>
      </c>
      <c r="L1843">
        <v>282.09460000000001</v>
      </c>
      <c r="M1843">
        <v>-0.99772700000000003</v>
      </c>
      <c r="N1843">
        <v>-1.4508190000000001E-2</v>
      </c>
      <c r="O1843">
        <v>-6.5804580000000001E-2</v>
      </c>
      <c r="P1843">
        <v>-0.96621380000000001</v>
      </c>
      <c r="Q1843">
        <v>0.22445889999999999</v>
      </c>
      <c r="R1843">
        <v>-0.12668589999999999</v>
      </c>
      <c r="S1843">
        <v>-3.073639</v>
      </c>
      <c r="T1843">
        <v>-0.15662179999999901</v>
      </c>
      <c r="U1843">
        <v>-0.52050779999999996</v>
      </c>
      <c r="V1843">
        <v>-6.1335430000000003E-2</v>
      </c>
      <c r="W1843">
        <v>0.23893039999999999</v>
      </c>
      <c r="X1843">
        <v>0.9690976</v>
      </c>
      <c r="Y1843">
        <v>-0.1015959</v>
      </c>
      <c r="Z1843">
        <v>-9.3985710000000003E-4</v>
      </c>
      <c r="AA1843">
        <v>0.99482530000000002</v>
      </c>
      <c r="AB1843">
        <v>32</v>
      </c>
      <c r="AC1843">
        <v>-21.422999999999998</v>
      </c>
      <c r="AD1843">
        <v>-1.1080769475149901</v>
      </c>
      <c r="AE1843">
        <v>-3.6632999999999898</v>
      </c>
      <c r="AF1843">
        <v>-2.2396566327174301</v>
      </c>
      <c r="AG1843">
        <v>-1.1080769475149901</v>
      </c>
      <c r="AH1843">
        <v>21.5615979602909</v>
      </c>
      <c r="AI1843">
        <v>92.926196089774095</v>
      </c>
      <c r="AJ1843">
        <v>95.930187773797101</v>
      </c>
      <c r="AK1843">
        <v>21.705907098191201</v>
      </c>
      <c r="AL1843">
        <v>76.176579189898007</v>
      </c>
      <c r="AM1843">
        <v>93.621492881200894</v>
      </c>
      <c r="AN1843">
        <v>0.99999996467160102</v>
      </c>
    </row>
    <row r="1844" spans="1:40" x14ac:dyDescent="0.25">
      <c r="A1844" t="str">
        <f>"20190304155359746"</f>
        <v>20190304155359746</v>
      </c>
      <c r="B1844" t="str">
        <f>"1551686039738634"</f>
        <v>1551686039738634</v>
      </c>
      <c r="C1844" t="s">
        <v>40</v>
      </c>
      <c r="D1844">
        <v>4.7071889999999996</v>
      </c>
      <c r="E1844">
        <v>0.4782479</v>
      </c>
      <c r="F1844" t="s">
        <v>51</v>
      </c>
      <c r="G1844">
        <v>-484.79669999999999</v>
      </c>
      <c r="H1844" s="1">
        <v>2.1357140000000001E-6</v>
      </c>
      <c r="I1844">
        <v>278.24779999999998</v>
      </c>
      <c r="J1844">
        <v>-462.8646</v>
      </c>
      <c r="K1844">
        <v>1.1080859999999999</v>
      </c>
      <c r="L1844">
        <v>282.0763</v>
      </c>
      <c r="M1844">
        <v>-0.99791680000000005</v>
      </c>
      <c r="N1844">
        <v>-1.450516E-2</v>
      </c>
      <c r="O1844">
        <v>-6.2865400000000002E-2</v>
      </c>
      <c r="P1844">
        <v>-0.96627090000000004</v>
      </c>
      <c r="Q1844">
        <v>0.2247536</v>
      </c>
      <c r="R1844">
        <v>-0.1257248</v>
      </c>
      <c r="S1844">
        <v>-3.0708310000000001</v>
      </c>
      <c r="T1844">
        <v>-0.1528764</v>
      </c>
      <c r="U1844">
        <v>-0.53073119999999996</v>
      </c>
      <c r="V1844">
        <v>-6.3238989999999995E-2</v>
      </c>
      <c r="W1844">
        <v>0.23923040000000001</v>
      </c>
      <c r="X1844">
        <v>0.96890129999999997</v>
      </c>
      <c r="Y1844">
        <v>-0.1078841</v>
      </c>
      <c r="Z1844">
        <v>-1.2603740000000001E-3</v>
      </c>
      <c r="AA1844">
        <v>0.99416269999999995</v>
      </c>
      <c r="AB1844">
        <v>32</v>
      </c>
      <c r="AC1844">
        <v>-21.932099999999899</v>
      </c>
      <c r="AD1844">
        <v>-1.108083864286</v>
      </c>
      <c r="AE1844">
        <v>-3.82850000000002</v>
      </c>
      <c r="AF1844">
        <v>-2.4359764265565702</v>
      </c>
      <c r="AG1844">
        <v>-1.108083864286</v>
      </c>
      <c r="AH1844">
        <v>22.0747329858063</v>
      </c>
      <c r="AI1844">
        <v>92.856350446734794</v>
      </c>
      <c r="AJ1844">
        <v>96.297187521457602</v>
      </c>
      <c r="AK1844">
        <v>22.236359130839599</v>
      </c>
      <c r="AL1844">
        <v>76.158878177008006</v>
      </c>
      <c r="AM1844">
        <v>93.734327944677204</v>
      </c>
      <c r="AN1844">
        <v>1.00000004164103</v>
      </c>
    </row>
    <row r="1845" spans="1:40" x14ac:dyDescent="0.25">
      <c r="A1845" t="str">
        <f>"20190304155359767"</f>
        <v>20190304155359767</v>
      </c>
      <c r="B1845" t="str">
        <f>"1551686039758155"</f>
        <v>1551686039758155</v>
      </c>
      <c r="C1845" t="s">
        <v>40</v>
      </c>
      <c r="D1845">
        <v>4.6703239999999999</v>
      </c>
      <c r="E1845">
        <v>0.47755239999999999</v>
      </c>
      <c r="F1845" t="s">
        <v>51</v>
      </c>
      <c r="G1845">
        <v>-485.61970000000002</v>
      </c>
      <c r="H1845" s="1">
        <v>2.2319109999999998E-6</v>
      </c>
      <c r="I1845">
        <v>278.10700000000003</v>
      </c>
      <c r="J1845">
        <v>-463.18709999999999</v>
      </c>
      <c r="K1845">
        <v>1.1080909999999999</v>
      </c>
      <c r="L1845">
        <v>282.05900000000003</v>
      </c>
      <c r="M1845">
        <v>-0.99809550000000002</v>
      </c>
      <c r="N1845">
        <v>-1.450192E-2</v>
      </c>
      <c r="O1845">
        <v>-5.9960689999999997E-2</v>
      </c>
      <c r="P1845">
        <v>-0.96649560000000001</v>
      </c>
      <c r="Q1845">
        <v>0.22448860000000001</v>
      </c>
      <c r="R1845">
        <v>-0.1244649</v>
      </c>
      <c r="S1845">
        <v>-3.0698240000000001</v>
      </c>
      <c r="T1845">
        <v>-0.14948819999999999</v>
      </c>
      <c r="U1845">
        <v>-0.53549190000000002</v>
      </c>
      <c r="V1845">
        <v>-6.4803379999999994E-2</v>
      </c>
      <c r="W1845">
        <v>0.23897019999999999</v>
      </c>
      <c r="X1845">
        <v>0.96886209999999995</v>
      </c>
      <c r="Y1845">
        <v>-0.1123238</v>
      </c>
      <c r="Z1845">
        <v>-1.507024E-3</v>
      </c>
      <c r="AA1845">
        <v>0.99367050000000001</v>
      </c>
      <c r="AB1845">
        <v>32</v>
      </c>
      <c r="AC1845">
        <v>-22.432600000000001</v>
      </c>
      <c r="AD1845">
        <v>-1.1080887680889999</v>
      </c>
      <c r="AE1845">
        <v>-3.9519999999999902</v>
      </c>
      <c r="AF1845">
        <v>-2.5935346058118198</v>
      </c>
      <c r="AG1845">
        <v>-1.1080887680889999</v>
      </c>
      <c r="AH1845">
        <v>22.5757922016073</v>
      </c>
      <c r="AI1845">
        <v>92.791664519835706</v>
      </c>
      <c r="AJ1845">
        <v>96.553479684886796</v>
      </c>
      <c r="AK1845">
        <v>22.751278557471501</v>
      </c>
      <c r="AL1845">
        <v>76.174231310698005</v>
      </c>
      <c r="AM1845">
        <v>93.8265900170328</v>
      </c>
      <c r="AN1845">
        <v>1.0000000016819299</v>
      </c>
    </row>
    <row r="1846" spans="1:40" x14ac:dyDescent="0.25">
      <c r="A1846" t="str">
        <f>"20190304155359813"</f>
        <v>20190304155359813</v>
      </c>
      <c r="B1846" t="str">
        <f>"1551686039808907"</f>
        <v>1551686039808907</v>
      </c>
      <c r="C1846" t="s">
        <v>40</v>
      </c>
      <c r="D1846">
        <v>4.7468529999999998</v>
      </c>
      <c r="E1846">
        <v>0.47678140000000002</v>
      </c>
      <c r="F1846" t="s">
        <v>51</v>
      </c>
      <c r="G1846">
        <v>-485.91680000000002</v>
      </c>
      <c r="H1846" s="1">
        <v>2.2760650000000002E-6</v>
      </c>
      <c r="I1846">
        <v>278.08280000000002</v>
      </c>
      <c r="J1846">
        <v>-463.83390000000003</v>
      </c>
      <c r="K1846">
        <v>1.1081160000000001</v>
      </c>
      <c r="L1846">
        <v>282.02719999999999</v>
      </c>
      <c r="M1846">
        <v>-0.99842520000000001</v>
      </c>
      <c r="N1846">
        <v>-1.4495040000000001E-2</v>
      </c>
      <c r="O1846">
        <v>-5.4193690000000003E-2</v>
      </c>
      <c r="P1846">
        <v>-0.9670723</v>
      </c>
      <c r="Q1846">
        <v>0.2230086</v>
      </c>
      <c r="R1846">
        <v>-0.12263060000000001</v>
      </c>
      <c r="S1846">
        <v>-3.0696110000000001</v>
      </c>
      <c r="T1846">
        <v>-0.14964569999999999</v>
      </c>
      <c r="U1846">
        <v>-0.53698729999999995</v>
      </c>
      <c r="V1846">
        <v>-6.8587990000000001E-2</v>
      </c>
      <c r="W1846">
        <v>0.23750170000000001</v>
      </c>
      <c r="X1846">
        <v>0.96896269999999995</v>
      </c>
      <c r="Y1846">
        <v>-0.1185305</v>
      </c>
      <c r="Z1846">
        <v>-1.8960579999999999E-3</v>
      </c>
      <c r="AA1846">
        <v>0.99294859999999896</v>
      </c>
      <c r="AB1846">
        <v>32</v>
      </c>
      <c r="AC1846">
        <v>-22.082899999999899</v>
      </c>
      <c r="AD1846">
        <v>-1.1081137239350001</v>
      </c>
      <c r="AE1846">
        <v>-3.9443999999999702</v>
      </c>
      <c r="AF1846">
        <v>-2.73504870606686</v>
      </c>
      <c r="AG1846">
        <v>-1.1081137239350001</v>
      </c>
      <c r="AH1846">
        <v>22.210029267121801</v>
      </c>
      <c r="AI1846">
        <v>92.834882076903298</v>
      </c>
      <c r="AJ1846">
        <v>97.020330439866598</v>
      </c>
      <c r="AK1846">
        <v>22.405218309495101</v>
      </c>
      <c r="AL1846">
        <v>76.260865141187793</v>
      </c>
      <c r="AM1846">
        <v>94.048926314861106</v>
      </c>
      <c r="AN1846">
        <v>1.0000000419332</v>
      </c>
    </row>
    <row r="1847" spans="1:40" x14ac:dyDescent="0.25">
      <c r="A1847" t="str">
        <f>"20190304155359836"</f>
        <v>20190304155359836</v>
      </c>
      <c r="B1847" t="str">
        <f>"1551686039828427"</f>
        <v>1551686039828427</v>
      </c>
      <c r="C1847" t="s">
        <v>40</v>
      </c>
      <c r="D1847">
        <v>4.7711629999999996</v>
      </c>
      <c r="E1847">
        <v>0.47645460000000001</v>
      </c>
      <c r="F1847" t="s">
        <v>51</v>
      </c>
      <c r="G1847">
        <v>-484.68540000000002</v>
      </c>
      <c r="H1847" s="1">
        <v>2.1704879999999999E-6</v>
      </c>
      <c r="I1847">
        <v>278.40199999999999</v>
      </c>
      <c r="J1847">
        <v>-464.15600000000001</v>
      </c>
      <c r="K1847">
        <v>1.1081449999999999</v>
      </c>
      <c r="L1847">
        <v>282.01260000000002</v>
      </c>
      <c r="M1847">
        <v>-0.99857439999999997</v>
      </c>
      <c r="N1847">
        <v>-1.449082E-2</v>
      </c>
      <c r="O1847">
        <v>-5.1372309999999997E-2</v>
      </c>
      <c r="P1847">
        <v>-0.96733800000000003</v>
      </c>
      <c r="Q1847">
        <v>0.22226380000000001</v>
      </c>
      <c r="R1847">
        <v>-0.1218843</v>
      </c>
      <c r="S1847">
        <v>-3.0720209999999999</v>
      </c>
      <c r="T1847">
        <v>-0.16325709999999999</v>
      </c>
      <c r="U1847">
        <v>-0.53408809999999995</v>
      </c>
      <c r="V1847">
        <v>-7.0599309999999998E-2</v>
      </c>
      <c r="W1847">
        <v>0.23675959999999999</v>
      </c>
      <c r="X1847">
        <v>0.96899979999999997</v>
      </c>
      <c r="Y1847">
        <v>-0.12026820000000001</v>
      </c>
      <c r="Z1847">
        <v>-2.0840540000000001E-3</v>
      </c>
      <c r="AA1847">
        <v>0.99273929999999999</v>
      </c>
      <c r="AB1847">
        <v>32</v>
      </c>
      <c r="AC1847">
        <v>-20.529399999999999</v>
      </c>
      <c r="AD1847">
        <v>-1.1081428295119999</v>
      </c>
      <c r="AE1847">
        <v>-3.61060000000003</v>
      </c>
      <c r="AF1847">
        <v>-2.5438883348049401</v>
      </c>
      <c r="AG1847">
        <v>-1.1081428295119999</v>
      </c>
      <c r="AH1847">
        <v>20.629487158059099</v>
      </c>
      <c r="AI1847">
        <v>93.051700237649001</v>
      </c>
      <c r="AJ1847">
        <v>97.029837733816905</v>
      </c>
      <c r="AK1847">
        <v>20.815260959091599</v>
      </c>
      <c r="AL1847">
        <v>76.304631983537803</v>
      </c>
      <c r="AM1847">
        <v>94.167088381402493</v>
      </c>
      <c r="AN1847">
        <v>0.99999999158233799</v>
      </c>
    </row>
    <row r="1848" spans="1:40" x14ac:dyDescent="0.25">
      <c r="A1848" t="str">
        <f>"20190304155359857"</f>
        <v>20190304155359857</v>
      </c>
      <c r="B1848" t="str">
        <f>"1551686039847947"</f>
        <v>1551686039847947</v>
      </c>
      <c r="C1848" t="s">
        <v>40</v>
      </c>
      <c r="D1848">
        <v>4.736961</v>
      </c>
      <c r="E1848">
        <v>0.47625250000000002</v>
      </c>
      <c r="F1848" t="s">
        <v>51</v>
      </c>
      <c r="G1848">
        <v>-484.37509999999997</v>
      </c>
      <c r="H1848" s="1">
        <v>2.1516120000000002E-6</v>
      </c>
      <c r="I1848">
        <v>278.5043</v>
      </c>
      <c r="J1848">
        <v>-464.4588</v>
      </c>
      <c r="K1848">
        <v>1.1081810000000001</v>
      </c>
      <c r="L1848">
        <v>281.99970000000002</v>
      </c>
      <c r="M1848">
        <v>-0.99870499999999995</v>
      </c>
      <c r="N1848">
        <v>-1.4486509999999999E-2</v>
      </c>
      <c r="O1848">
        <v>-4.8768930000000002E-2</v>
      </c>
      <c r="P1848">
        <v>-0.96760139999999994</v>
      </c>
      <c r="Q1848">
        <v>0.22110579999999999</v>
      </c>
      <c r="R1848">
        <v>-0.1219012</v>
      </c>
      <c r="S1848">
        <v>-3.0728149999999999</v>
      </c>
      <c r="T1848">
        <v>-0.16841130000000001</v>
      </c>
      <c r="U1848">
        <v>-0.5331726</v>
      </c>
      <c r="V1848">
        <v>-7.3168860000000002E-2</v>
      </c>
      <c r="W1848">
        <v>0.23560680000000001</v>
      </c>
      <c r="X1848">
        <v>0.96909020000000001</v>
      </c>
      <c r="Y1848">
        <v>-0.1225106</v>
      </c>
      <c r="Z1848">
        <v>-2.2790279999999998E-3</v>
      </c>
      <c r="AA1848">
        <v>0.99246460000000003</v>
      </c>
      <c r="AB1848">
        <v>32</v>
      </c>
      <c r="AC1848">
        <v>-19.9162999999999</v>
      </c>
      <c r="AD1848">
        <v>-1.108178848388</v>
      </c>
      <c r="AE1848">
        <v>-3.4954000000000098</v>
      </c>
      <c r="AF1848">
        <v>-2.5122956332360502</v>
      </c>
      <c r="AG1848">
        <v>-1.108178848388</v>
      </c>
      <c r="AH1848">
        <v>20.0030022261863</v>
      </c>
      <c r="AI1848">
        <v>93.146312405435296</v>
      </c>
      <c r="AJ1848">
        <v>97.158632760487706</v>
      </c>
      <c r="AK1848">
        <v>20.190586612815501</v>
      </c>
      <c r="AL1848">
        <v>76.372606184511994</v>
      </c>
      <c r="AM1848">
        <v>94.317789814845099</v>
      </c>
      <c r="AN1848">
        <v>1.00000003100798</v>
      </c>
    </row>
    <row r="1849" spans="1:40" x14ac:dyDescent="0.25">
      <c r="A1849" t="str">
        <f>"20190304155359879"</f>
        <v>20190304155359879</v>
      </c>
      <c r="B1849" t="str">
        <f>"1551686039868443"</f>
        <v>1551686039868443</v>
      </c>
      <c r="C1849" t="s">
        <v>40</v>
      </c>
      <c r="D1849">
        <v>4.7348619999999997</v>
      </c>
      <c r="E1849">
        <v>0.47599429999999998</v>
      </c>
      <c r="F1849" t="s">
        <v>51</v>
      </c>
      <c r="G1849">
        <v>-484.0804</v>
      </c>
      <c r="H1849" s="1">
        <v>2.129089E-6</v>
      </c>
      <c r="I1849">
        <v>278.58850000000001</v>
      </c>
      <c r="J1849">
        <v>-464.78070000000002</v>
      </c>
      <c r="K1849">
        <v>1.1082419999999999</v>
      </c>
      <c r="L1849">
        <v>281.98680000000002</v>
      </c>
      <c r="M1849">
        <v>-0.99883290000000002</v>
      </c>
      <c r="N1849">
        <v>-1.448149E-2</v>
      </c>
      <c r="O1849">
        <v>-4.6077769999999997E-2</v>
      </c>
      <c r="P1849">
        <v>-0.96787210000000001</v>
      </c>
      <c r="Q1849">
        <v>0.2194159</v>
      </c>
      <c r="R1849">
        <v>-0.1228032</v>
      </c>
      <c r="S1849">
        <v>-3.072784</v>
      </c>
      <c r="T1849">
        <v>-0.173542899999999</v>
      </c>
      <c r="U1849">
        <v>-0.53421019999999997</v>
      </c>
      <c r="V1849">
        <v>-7.672118E-2</v>
      </c>
      <c r="W1849">
        <v>0.23392279999999999</v>
      </c>
      <c r="X1849">
        <v>0.96922339999999996</v>
      </c>
      <c r="Y1849">
        <v>-0.12549389999999999</v>
      </c>
      <c r="Z1849">
        <v>-2.5161150000000002E-3</v>
      </c>
      <c r="AA1849">
        <v>0.99209119999999995</v>
      </c>
      <c r="AB1849">
        <v>32</v>
      </c>
      <c r="AC1849">
        <v>-19.299699999999898</v>
      </c>
      <c r="AD1849">
        <v>-1.108239870911</v>
      </c>
      <c r="AE1849">
        <v>-3.3982999999999999</v>
      </c>
      <c r="AF1849">
        <v>-2.4973224305948301</v>
      </c>
      <c r="AG1849">
        <v>-1.108239870911</v>
      </c>
      <c r="AH1849">
        <v>19.373837679681799</v>
      </c>
      <c r="AI1849">
        <v>93.247110299255297</v>
      </c>
      <c r="AJ1849">
        <v>97.345026605453896</v>
      </c>
      <c r="AK1849">
        <v>19.5655411724922</v>
      </c>
      <c r="AL1849">
        <v>76.471866067627502</v>
      </c>
      <c r="AM1849">
        <v>94.525946213433301</v>
      </c>
      <c r="AN1849">
        <v>1.0000000074639901</v>
      </c>
    </row>
    <row r="1850" spans="1:40" x14ac:dyDescent="0.25">
      <c r="A1850" t="str">
        <f>"20190304155359901"</f>
        <v>20190304155359901</v>
      </c>
      <c r="B1850" t="str">
        <f>"1551686039898700"</f>
        <v>1551686039898700</v>
      </c>
      <c r="C1850" t="s">
        <v>40</v>
      </c>
      <c r="D1850">
        <v>4.7053029999999998</v>
      </c>
      <c r="E1850">
        <v>0.47568490000000002</v>
      </c>
      <c r="F1850" t="s">
        <v>51</v>
      </c>
      <c r="G1850">
        <v>-483.67290000000003</v>
      </c>
      <c r="H1850" s="1">
        <v>2.0870609999999999E-6</v>
      </c>
      <c r="I1850">
        <v>278.67399999999998</v>
      </c>
      <c r="J1850">
        <v>-465.09690000000001</v>
      </c>
      <c r="K1850">
        <v>1.1083179999999999</v>
      </c>
      <c r="L1850">
        <v>281.97489999999999</v>
      </c>
      <c r="M1850">
        <v>-0.99894729999999998</v>
      </c>
      <c r="N1850">
        <v>-1.4475770000000001E-2</v>
      </c>
      <c r="O1850">
        <v>-4.3529709999999999E-2</v>
      </c>
      <c r="P1850">
        <v>-0.96788909999999995</v>
      </c>
      <c r="Q1850">
        <v>0.21846850000000001</v>
      </c>
      <c r="R1850">
        <v>-0.1243484</v>
      </c>
      <c r="S1850">
        <v>-3.0721129999999999</v>
      </c>
      <c r="T1850">
        <v>-0.18021319999999999</v>
      </c>
      <c r="U1850">
        <v>-0.53869630000000002</v>
      </c>
      <c r="V1850">
        <v>-8.0793450000000003E-2</v>
      </c>
      <c r="W1850">
        <v>0.23297699999999999</v>
      </c>
      <c r="X1850">
        <v>0.96912030000000005</v>
      </c>
      <c r="Y1850">
        <v>-0.12944230000000001</v>
      </c>
      <c r="Z1850">
        <v>-2.8064119999999999E-3</v>
      </c>
      <c r="AA1850">
        <v>0.99158299999999999</v>
      </c>
      <c r="AB1850">
        <v>32</v>
      </c>
      <c r="AC1850">
        <v>-18.576000000000001</v>
      </c>
      <c r="AD1850">
        <v>-1.1083159129389999</v>
      </c>
      <c r="AE1850">
        <v>-3.3008999999999502</v>
      </c>
      <c r="AF1850">
        <v>-2.4805181358062498</v>
      </c>
      <c r="AG1850">
        <v>-1.1083159129389999</v>
      </c>
      <c r="AH1850">
        <v>18.637775526280201</v>
      </c>
      <c r="AI1850">
        <v>93.373472464295403</v>
      </c>
      <c r="AJ1850">
        <v>97.580994603029396</v>
      </c>
      <c r="AK1850">
        <v>18.8347553993395</v>
      </c>
      <c r="AL1850">
        <v>76.527596344248707</v>
      </c>
      <c r="AM1850">
        <v>94.765604190465098</v>
      </c>
      <c r="AN1850">
        <v>1.0000000099819899</v>
      </c>
    </row>
    <row r="1851" spans="1:40" x14ac:dyDescent="0.25">
      <c r="A1851" t="str">
        <f>"20190304155359924"</f>
        <v>20190304155359924</v>
      </c>
      <c r="B1851" t="str">
        <f>"1551686039918219"</f>
        <v>1551686039918219</v>
      </c>
      <c r="C1851" t="s">
        <v>40</v>
      </c>
      <c r="D1851">
        <v>4.7155199999999997</v>
      </c>
      <c r="E1851">
        <v>0.47539619999999999</v>
      </c>
      <c r="F1851" t="s">
        <v>51</v>
      </c>
      <c r="G1851">
        <v>-483.22289999999998</v>
      </c>
      <c r="H1851" s="1">
        <v>2.0371610000000001E-6</v>
      </c>
      <c r="I1851">
        <v>278.75869999999998</v>
      </c>
      <c r="J1851">
        <v>-465.41539999999998</v>
      </c>
      <c r="K1851">
        <v>1.1084099999999999</v>
      </c>
      <c r="L1851">
        <v>281.96359999999999</v>
      </c>
      <c r="M1851">
        <v>-0.99905089999999996</v>
      </c>
      <c r="N1851">
        <v>-1.446939E-2</v>
      </c>
      <c r="O1851">
        <v>-4.1084719999999998E-2</v>
      </c>
      <c r="P1851">
        <v>-0.96767950000000003</v>
      </c>
      <c r="Q1851">
        <v>0.2182299</v>
      </c>
      <c r="R1851">
        <v>-0.12638079999999999</v>
      </c>
      <c r="S1851">
        <v>-3.0719599999999998</v>
      </c>
      <c r="T1851">
        <v>-0.18783569999999999</v>
      </c>
      <c r="U1851">
        <v>-0.54507450000000002</v>
      </c>
      <c r="V1851">
        <v>-8.5266350000000005E-2</v>
      </c>
      <c r="W1851">
        <v>0.23273260000000001</v>
      </c>
      <c r="X1851">
        <v>0.96879570000000004</v>
      </c>
      <c r="Y1851">
        <v>-0.1338442</v>
      </c>
      <c r="Z1851">
        <v>-3.136055E-3</v>
      </c>
      <c r="AA1851">
        <v>0.99099740000000003</v>
      </c>
      <c r="AB1851">
        <v>32</v>
      </c>
      <c r="AC1851">
        <v>-17.807500000000001</v>
      </c>
      <c r="AD1851">
        <v>-1.108407962839</v>
      </c>
      <c r="AE1851">
        <v>-3.2048999999999999</v>
      </c>
      <c r="AF1851">
        <v>-2.4612641850916099</v>
      </c>
      <c r="AG1851">
        <v>-1.108407962839</v>
      </c>
      <c r="AH1851">
        <v>17.857134290703598</v>
      </c>
      <c r="AI1851">
        <v>93.518661768998797</v>
      </c>
      <c r="AJ1851">
        <v>97.847680834436105</v>
      </c>
      <c r="AK1851">
        <v>18.060000960053198</v>
      </c>
      <c r="AL1851">
        <v>76.541994564028499</v>
      </c>
      <c r="AM1851">
        <v>95.029797094958795</v>
      </c>
      <c r="AN1851">
        <v>0.999999960941785</v>
      </c>
    </row>
    <row r="1852" spans="1:40" x14ac:dyDescent="0.25">
      <c r="A1852" t="str">
        <f>"20190304155359948"</f>
        <v>20190304155359948</v>
      </c>
      <c r="B1852" t="str">
        <f>"1551686039938715"</f>
        <v>1551686039938715</v>
      </c>
      <c r="C1852" t="s">
        <v>40</v>
      </c>
      <c r="D1852">
        <v>4.6704749999999997</v>
      </c>
      <c r="E1852">
        <v>0.4750182</v>
      </c>
      <c r="F1852" t="s">
        <v>51</v>
      </c>
      <c r="G1852">
        <v>-483.38380000000001</v>
      </c>
      <c r="H1852" s="1">
        <v>2.0558919999999999E-6</v>
      </c>
      <c r="I1852">
        <v>278.73099999999999</v>
      </c>
      <c r="J1852">
        <v>-465.76600000000002</v>
      </c>
      <c r="K1852">
        <v>1.108519</v>
      </c>
      <c r="L1852">
        <v>281.952</v>
      </c>
      <c r="M1852">
        <v>-0.99915359999999998</v>
      </c>
      <c r="N1852">
        <v>-1.446223E-2</v>
      </c>
      <c r="O1852">
        <v>-3.8514100000000002E-2</v>
      </c>
      <c r="P1852">
        <v>-0.9676112</v>
      </c>
      <c r="Q1852">
        <v>0.21763589999999999</v>
      </c>
      <c r="R1852">
        <v>-0.1279216</v>
      </c>
      <c r="S1852">
        <v>-3.0708009999999999</v>
      </c>
      <c r="T1852">
        <v>-0.1894274</v>
      </c>
      <c r="U1852">
        <v>-0.5524597</v>
      </c>
      <c r="V1852">
        <v>-8.936993E-2</v>
      </c>
      <c r="W1852">
        <v>0.23212830000000001</v>
      </c>
      <c r="X1852">
        <v>0.96857079999999995</v>
      </c>
      <c r="Y1852">
        <v>-0.1387486</v>
      </c>
      <c r="Z1852">
        <v>-3.4544910000000001E-3</v>
      </c>
      <c r="AA1852">
        <v>0.99032160000000002</v>
      </c>
      <c r="AB1852">
        <v>32</v>
      </c>
      <c r="AC1852">
        <v>-17.617799999999999</v>
      </c>
      <c r="AD1852">
        <v>-1.1085169441080001</v>
      </c>
      <c r="AE1852">
        <v>-3.2210000000000001</v>
      </c>
      <c r="AF1852">
        <v>-2.5303117576864498</v>
      </c>
      <c r="AG1852">
        <v>-1.1085169441080001</v>
      </c>
      <c r="AH1852">
        <v>17.661134482592001</v>
      </c>
      <c r="AI1852">
        <v>93.555300894726201</v>
      </c>
      <c r="AJ1852">
        <v>98.153286129109404</v>
      </c>
      <c r="AK1852">
        <v>17.875876443370899</v>
      </c>
      <c r="AL1852">
        <v>76.577593381560206</v>
      </c>
      <c r="AM1852">
        <v>95.271748854167797</v>
      </c>
      <c r="AN1852">
        <v>0.99999996333086605</v>
      </c>
    </row>
    <row r="1853" spans="1:40" x14ac:dyDescent="0.25">
      <c r="A1853" t="str">
        <f>"20190304155359973"</f>
        <v>20190304155359973</v>
      </c>
      <c r="B1853" t="str">
        <f>"1551686039967994"</f>
        <v>1551686039967994</v>
      </c>
      <c r="C1853" t="s">
        <v>40</v>
      </c>
      <c r="D1853">
        <v>4.6777369999999996</v>
      </c>
      <c r="E1853">
        <v>0.47440389999999999</v>
      </c>
      <c r="F1853" t="s">
        <v>51</v>
      </c>
      <c r="G1853">
        <v>-483.50189999999998</v>
      </c>
      <c r="H1853" s="1">
        <v>2.0732049999999998E-6</v>
      </c>
      <c r="I1853">
        <v>278.72070000000002</v>
      </c>
      <c r="J1853">
        <v>-466.11770000000001</v>
      </c>
      <c r="K1853">
        <v>1.1086180000000001</v>
      </c>
      <c r="L1853">
        <v>281.94110000000001</v>
      </c>
      <c r="M1853">
        <v>-0.99924420000000003</v>
      </c>
      <c r="N1853">
        <v>-1.445522E-2</v>
      </c>
      <c r="O1853">
        <v>-3.6081969999999998E-2</v>
      </c>
      <c r="P1853">
        <v>-0.96747419999999995</v>
      </c>
      <c r="Q1853">
        <v>0.217284</v>
      </c>
      <c r="R1853">
        <v>-0.12954099999999999</v>
      </c>
      <c r="S1853">
        <v>-3.0696720000000002</v>
      </c>
      <c r="T1853">
        <v>-0.19185830000000001</v>
      </c>
      <c r="U1853">
        <v>-0.55926509999999996</v>
      </c>
      <c r="V1853">
        <v>-9.3420600000000006E-2</v>
      </c>
      <c r="W1853">
        <v>0.23176089999999999</v>
      </c>
      <c r="X1853">
        <v>0.96827660000000004</v>
      </c>
      <c r="Y1853">
        <v>-0.14332739999999999</v>
      </c>
      <c r="Z1853">
        <v>-3.7689469999999999E-3</v>
      </c>
      <c r="AA1853">
        <v>0.98966810000000005</v>
      </c>
      <c r="AB1853">
        <v>32</v>
      </c>
      <c r="AC1853">
        <v>-17.3841999999999</v>
      </c>
      <c r="AD1853">
        <v>-1.108615926795</v>
      </c>
      <c r="AE1853">
        <v>-3.2203999999999802</v>
      </c>
      <c r="AF1853">
        <v>-2.5808332661218398</v>
      </c>
      <c r="AG1853">
        <v>-1.108615926795</v>
      </c>
      <c r="AH1853">
        <v>17.420592654257501</v>
      </c>
      <c r="AI1853">
        <v>93.602083138497093</v>
      </c>
      <c r="AJ1853">
        <v>98.426984227299499</v>
      </c>
      <c r="AK1853">
        <v>17.645588061785698</v>
      </c>
      <c r="AL1853">
        <v>76.599235178855196</v>
      </c>
      <c r="AM1853">
        <v>95.510914698223701</v>
      </c>
      <c r="AN1853">
        <v>1.00000004869036</v>
      </c>
    </row>
    <row r="1854" spans="1:40" x14ac:dyDescent="0.25">
      <c r="A1854" t="str">
        <f>"20190304155400013"</f>
        <v>20190304155400013</v>
      </c>
      <c r="B1854" t="str">
        <f>"1551686040008011"</f>
        <v>1551686040008011</v>
      </c>
      <c r="C1854" t="s">
        <v>40</v>
      </c>
      <c r="D1854">
        <v>4.6104450000000003</v>
      </c>
      <c r="E1854">
        <v>0.4690473</v>
      </c>
      <c r="F1854" t="s">
        <v>51</v>
      </c>
      <c r="G1854">
        <v>-483.71159999999998</v>
      </c>
      <c r="H1854" s="1">
        <v>2.0963460000000002E-6</v>
      </c>
      <c r="I1854">
        <v>278.68090000000001</v>
      </c>
      <c r="J1854">
        <v>-466.68900000000002</v>
      </c>
      <c r="K1854">
        <v>1.108854</v>
      </c>
      <c r="L1854">
        <v>281.9248</v>
      </c>
      <c r="M1854">
        <v>-0.99936469999999999</v>
      </c>
      <c r="N1854">
        <v>-1.4442480000000001E-2</v>
      </c>
      <c r="O1854">
        <v>-3.258689E-2</v>
      </c>
      <c r="P1854">
        <v>-0.96728749999999997</v>
      </c>
      <c r="Q1854">
        <v>0.21680240000000001</v>
      </c>
      <c r="R1854">
        <v>-0.1317276</v>
      </c>
      <c r="S1854">
        <v>-3.0682070000000001</v>
      </c>
      <c r="T1854">
        <v>-0.193332</v>
      </c>
      <c r="U1854">
        <v>-0.56854249999999995</v>
      </c>
      <c r="V1854">
        <v>-9.9143599999999998E-2</v>
      </c>
      <c r="W1854">
        <v>0.2312312</v>
      </c>
      <c r="X1854">
        <v>0.96783399999999997</v>
      </c>
      <c r="Y1854">
        <v>-0.1497406</v>
      </c>
      <c r="Z1854">
        <v>-4.1996239999999999E-3</v>
      </c>
      <c r="AA1854">
        <v>0.98871640000000005</v>
      </c>
      <c r="AB1854">
        <v>32</v>
      </c>
      <c r="AC1854">
        <v>-17.022599999999901</v>
      </c>
      <c r="AD1854">
        <v>-1.1088519036540001</v>
      </c>
      <c r="AE1854">
        <v>-3.2438999999999898</v>
      </c>
      <c r="AF1854">
        <v>-2.6764466721500999</v>
      </c>
      <c r="AG1854">
        <v>-1.1088519036540001</v>
      </c>
      <c r="AH1854">
        <v>17.049467656273901</v>
      </c>
      <c r="AI1854">
        <v>93.676228538521599</v>
      </c>
      <c r="AJ1854">
        <v>98.921553372436193</v>
      </c>
      <c r="AK1854">
        <v>17.293850545654401</v>
      </c>
      <c r="AL1854">
        <v>76.630431344660096</v>
      </c>
      <c r="AM1854">
        <v>95.848899926526499</v>
      </c>
      <c r="AN1854">
        <v>0.99999998641519905</v>
      </c>
    </row>
    <row r="1855" spans="1:40" x14ac:dyDescent="0.25">
      <c r="A1855" t="str">
        <f>"20190304155400038"</f>
        <v>20190304155400038</v>
      </c>
      <c r="B1855" t="str">
        <f>"1551686040028507"</f>
        <v>1551686040028507</v>
      </c>
      <c r="C1855" t="s">
        <v>40</v>
      </c>
      <c r="D1855">
        <v>4.6888310000000004</v>
      </c>
      <c r="E1855">
        <v>0.46904220000000002</v>
      </c>
      <c r="F1855" t="s">
        <v>51</v>
      </c>
      <c r="G1855">
        <v>-480.23649999999998</v>
      </c>
      <c r="H1855" s="1">
        <v>1.7144780000000001E-6</v>
      </c>
      <c r="I1855">
        <v>279.21100000000001</v>
      </c>
      <c r="J1855">
        <v>-467.01870000000002</v>
      </c>
      <c r="K1855">
        <v>1.1090230000000001</v>
      </c>
      <c r="L1855">
        <v>281.91590000000002</v>
      </c>
      <c r="M1855">
        <v>-0.99941970000000002</v>
      </c>
      <c r="N1855">
        <v>-1.443442E-2</v>
      </c>
      <c r="O1855">
        <v>-3.0854820000000002E-2</v>
      </c>
      <c r="P1855">
        <v>-0.96741619999999995</v>
      </c>
      <c r="Q1855">
        <v>0.21582689999999999</v>
      </c>
      <c r="R1855">
        <v>-0.13238</v>
      </c>
      <c r="S1855">
        <v>-3.074036</v>
      </c>
      <c r="T1855">
        <v>-0.25160660000000001</v>
      </c>
      <c r="U1855">
        <v>-0.61578369999999905</v>
      </c>
      <c r="V1855">
        <v>-0.1015765</v>
      </c>
      <c r="W1855">
        <v>0.23021510000000001</v>
      </c>
      <c r="X1855">
        <v>0.96782400000000002</v>
      </c>
      <c r="Y1855">
        <v>-0.16550379999999901</v>
      </c>
      <c r="Z1855">
        <v>-5.8507100000000003E-3</v>
      </c>
      <c r="AA1855">
        <v>0.98619179999999995</v>
      </c>
      <c r="AB1855">
        <v>32</v>
      </c>
      <c r="AC1855">
        <v>-13.217799999999899</v>
      </c>
      <c r="AD1855">
        <v>-1.1090212855220001</v>
      </c>
      <c r="AE1855">
        <v>-2.7048999999999999</v>
      </c>
      <c r="AF1855">
        <v>-2.2803287040302802</v>
      </c>
      <c r="AG1855">
        <v>-1.1090212855220001</v>
      </c>
      <c r="AH1855">
        <v>13.205743979071499</v>
      </c>
      <c r="AI1855">
        <v>94.730761443957505</v>
      </c>
      <c r="AJ1855">
        <v>99.797053576843993</v>
      </c>
      <c r="AK1855">
        <v>13.446988556957599</v>
      </c>
      <c r="AL1855">
        <v>76.690264582381502</v>
      </c>
      <c r="AM1855">
        <v>95.991456788060006</v>
      </c>
      <c r="AN1855">
        <v>1.0000000362981201</v>
      </c>
    </row>
    <row r="1856" spans="1:40" x14ac:dyDescent="0.25">
      <c r="A1856" t="str">
        <f>"20190304155400062"</f>
        <v>20190304155400062</v>
      </c>
      <c r="B1856" t="str">
        <f>"1551686040058763"</f>
        <v>1551686040058763</v>
      </c>
      <c r="C1856" t="s">
        <v>40</v>
      </c>
      <c r="D1856">
        <v>4.7588679999999997</v>
      </c>
      <c r="E1856">
        <v>0.46961049999999899</v>
      </c>
      <c r="F1856" t="s">
        <v>51</v>
      </c>
      <c r="G1856">
        <v>-480.32870000000003</v>
      </c>
      <c r="H1856" s="1">
        <v>1.728122E-6</v>
      </c>
      <c r="I1856">
        <v>279.24200000000002</v>
      </c>
      <c r="J1856">
        <v>-467.37180000000001</v>
      </c>
      <c r="K1856">
        <v>1.109246</v>
      </c>
      <c r="L1856">
        <v>281.90679999999998</v>
      </c>
      <c r="M1856">
        <v>-0.99946670000000004</v>
      </c>
      <c r="N1856">
        <v>-1.4425810000000001E-2</v>
      </c>
      <c r="O1856">
        <v>-2.9296610000000001E-2</v>
      </c>
      <c r="P1856">
        <v>-0.96746989999999999</v>
      </c>
      <c r="Q1856">
        <v>0.21499080000000001</v>
      </c>
      <c r="R1856">
        <v>-0.13334589999999999</v>
      </c>
      <c r="S1856">
        <v>-3.0737299999999999</v>
      </c>
      <c r="T1856">
        <v>-0.25611089999999997</v>
      </c>
      <c r="U1856">
        <v>-0.61749270000000001</v>
      </c>
      <c r="V1856">
        <v>-0.1041817</v>
      </c>
      <c r="W1856">
        <v>0.2293222</v>
      </c>
      <c r="X1856">
        <v>0.96775900000000004</v>
      </c>
      <c r="Y1856">
        <v>-0.16755729999999999</v>
      </c>
      <c r="Z1856">
        <v>-6.1303549999999997E-3</v>
      </c>
      <c r="AA1856">
        <v>0.98584329999999998</v>
      </c>
      <c r="AB1856">
        <v>32</v>
      </c>
      <c r="AC1856">
        <v>-12.956899999999999</v>
      </c>
      <c r="AD1856">
        <v>-1.109244271878</v>
      </c>
      <c r="AE1856">
        <v>-2.6647999999999499</v>
      </c>
      <c r="AF1856">
        <v>-2.26807478604099</v>
      </c>
      <c r="AG1856">
        <v>-1.109244271878</v>
      </c>
      <c r="AH1856">
        <v>12.938435853954701</v>
      </c>
      <c r="AI1856">
        <v>94.826881414177095</v>
      </c>
      <c r="AJ1856">
        <v>99.942780766948999</v>
      </c>
      <c r="AK1856">
        <v>13.1824773254753</v>
      </c>
      <c r="AL1856">
        <v>76.742829742856998</v>
      </c>
      <c r="AM1856">
        <v>96.144372405507198</v>
      </c>
      <c r="AN1856">
        <v>0.99999999005436502</v>
      </c>
    </row>
    <row r="1857" spans="1:40" x14ac:dyDescent="0.25">
      <c r="A1857" t="str">
        <f>"20190304155400081"</f>
        <v>20190304155400081</v>
      </c>
      <c r="B1857" t="str">
        <f>"1551686040078283"</f>
        <v>1551686040078283</v>
      </c>
      <c r="C1857" t="s">
        <v>40</v>
      </c>
      <c r="D1857">
        <v>4.6598240000000004</v>
      </c>
      <c r="E1857">
        <v>0.47221800000000003</v>
      </c>
      <c r="F1857" t="s">
        <v>51</v>
      </c>
      <c r="G1857">
        <v>-483.6746</v>
      </c>
      <c r="H1857" s="1">
        <v>2.070196E-6</v>
      </c>
      <c r="I1857">
        <v>278.62549999999999</v>
      </c>
      <c r="J1857">
        <v>-467.64690000000002</v>
      </c>
      <c r="K1857">
        <v>1.1094599999999999</v>
      </c>
      <c r="L1857">
        <v>281.89980000000003</v>
      </c>
      <c r="M1857">
        <v>-0.99949290000000002</v>
      </c>
      <c r="N1857">
        <v>-1.4419100000000001E-2</v>
      </c>
      <c r="O1857">
        <v>-2.8394260000000001E-2</v>
      </c>
      <c r="P1857">
        <v>-0.96746650000000001</v>
      </c>
      <c r="Q1857">
        <v>0.21408820000000001</v>
      </c>
      <c r="R1857">
        <v>-0.13481589999999999</v>
      </c>
      <c r="S1857">
        <v>-3.062195</v>
      </c>
      <c r="T1857">
        <v>-0.2083517</v>
      </c>
      <c r="U1857">
        <v>-0.61633300000000002</v>
      </c>
      <c r="V1857">
        <v>-0.1066537</v>
      </c>
      <c r="W1857">
        <v>0.2283627</v>
      </c>
      <c r="X1857">
        <v>0.96771660000000004</v>
      </c>
      <c r="Y1857">
        <v>-0.16897799999999999</v>
      </c>
      <c r="Z1857">
        <v>-5.4135190000000003E-3</v>
      </c>
      <c r="AA1857">
        <v>0.98560490000000001</v>
      </c>
      <c r="AB1857">
        <v>32</v>
      </c>
      <c r="AC1857">
        <v>-16.0276999999999</v>
      </c>
      <c r="AD1857">
        <v>-1.1094579298039999</v>
      </c>
      <c r="AE1857">
        <v>-3.27430000000003</v>
      </c>
      <c r="AF1857">
        <v>-2.8049359334130601</v>
      </c>
      <c r="AG1857">
        <v>-1.1094579298039999</v>
      </c>
      <c r="AH1857">
        <v>16.040437332207599</v>
      </c>
      <c r="AI1857">
        <v>93.897679383477794</v>
      </c>
      <c r="AJ1857">
        <v>99.918826409498294</v>
      </c>
      <c r="AK1857">
        <v>16.321586696673702</v>
      </c>
      <c r="AL1857">
        <v>76.799303482067401</v>
      </c>
      <c r="AM1857">
        <v>96.289283208831705</v>
      </c>
      <c r="AN1857">
        <v>0.99999997619526904</v>
      </c>
    </row>
    <row r="1858" spans="1:40" x14ac:dyDescent="0.25">
      <c r="A1858" t="str">
        <f>"20190304155400103"</f>
        <v>20190304155400103</v>
      </c>
      <c r="B1858" t="str">
        <f>"1551686040098779"</f>
        <v>1551686040098779</v>
      </c>
      <c r="C1858" t="s">
        <v>40</v>
      </c>
      <c r="D1858">
        <v>4.7062359999999996</v>
      </c>
      <c r="E1858">
        <v>0.4725183</v>
      </c>
      <c r="F1858" t="s">
        <v>51</v>
      </c>
      <c r="G1858">
        <v>-480.40260000000001</v>
      </c>
      <c r="H1858" s="1">
        <v>1.769677E-6</v>
      </c>
      <c r="I1858">
        <v>279.41719999999998</v>
      </c>
      <c r="J1858">
        <v>-467.95229999999998</v>
      </c>
      <c r="K1858">
        <v>1.1097189999999999</v>
      </c>
      <c r="L1858">
        <v>281.892</v>
      </c>
      <c r="M1858">
        <v>-0.99951310000000004</v>
      </c>
      <c r="N1858">
        <v>-1.441257E-2</v>
      </c>
      <c r="O1858">
        <v>-2.7673059999999999E-2</v>
      </c>
      <c r="P1858">
        <v>-0.9675726</v>
      </c>
      <c r="Q1858">
        <v>0.2126796</v>
      </c>
      <c r="R1858">
        <v>-0.136274799999999</v>
      </c>
      <c r="S1858">
        <v>-3.07666</v>
      </c>
      <c r="T1858">
        <v>-0.2675997</v>
      </c>
      <c r="U1858">
        <v>-0.59878540000000002</v>
      </c>
      <c r="V1858">
        <v>-0.10895580000000001</v>
      </c>
      <c r="W1858">
        <v>0.22688710000000001</v>
      </c>
      <c r="X1858">
        <v>0.96780719999999998</v>
      </c>
      <c r="Y1858">
        <v>-0.1631735</v>
      </c>
      <c r="Z1858">
        <v>-6.2232119999999997E-3</v>
      </c>
      <c r="AA1858">
        <v>0.9865777</v>
      </c>
      <c r="AB1858">
        <v>32</v>
      </c>
      <c r="AC1858">
        <v>-12.4503</v>
      </c>
      <c r="AD1858">
        <v>-1.1097172303229901</v>
      </c>
      <c r="AE1858">
        <v>-2.4748000000000099</v>
      </c>
      <c r="AF1858">
        <v>-2.1131287260003</v>
      </c>
      <c r="AG1858">
        <v>-1.1097172303229901</v>
      </c>
      <c r="AH1858">
        <v>12.419110156319899</v>
      </c>
      <c r="AI1858">
        <v>95.034165043255697</v>
      </c>
      <c r="AJ1858">
        <v>99.656474894166905</v>
      </c>
      <c r="AK1858">
        <v>12.6463861406622</v>
      </c>
      <c r="AL1858">
        <v>76.886128038861401</v>
      </c>
      <c r="AM1858">
        <v>96.4233168901564</v>
      </c>
      <c r="AN1858">
        <v>0.99999994943594295</v>
      </c>
    </row>
    <row r="1859" spans="1:40" x14ac:dyDescent="0.25">
      <c r="A1859" t="str">
        <f>"20190304155400126"</f>
        <v>20190304155400126</v>
      </c>
      <c r="B1859" t="str">
        <f>"1551686040118299"</f>
        <v>1551686040118299</v>
      </c>
      <c r="C1859" t="s">
        <v>40</v>
      </c>
      <c r="D1859">
        <v>4.6902609999999996</v>
      </c>
      <c r="E1859">
        <v>0.47049839999999998</v>
      </c>
      <c r="F1859" t="s">
        <v>51</v>
      </c>
      <c r="G1859">
        <v>-480.76569999999998</v>
      </c>
      <c r="H1859" s="1">
        <v>1.8218939999999999E-6</v>
      </c>
      <c r="I1859">
        <v>279.38279999999997</v>
      </c>
      <c r="J1859">
        <v>-468.27409999999998</v>
      </c>
      <c r="K1859">
        <v>1.1100080000000001</v>
      </c>
      <c r="L1859">
        <v>281.88369999999998</v>
      </c>
      <c r="M1859">
        <v>-0.99952379999999996</v>
      </c>
      <c r="N1859">
        <v>-1.4406189999999999E-2</v>
      </c>
      <c r="O1859">
        <v>-2.7292830000000001E-2</v>
      </c>
      <c r="P1859">
        <v>-0.96748520000000005</v>
      </c>
      <c r="Q1859">
        <v>0.21177950000000001</v>
      </c>
      <c r="R1859">
        <v>-0.1382823</v>
      </c>
      <c r="S1859">
        <v>-3.074249</v>
      </c>
      <c r="T1859">
        <v>-0.26624920000000002</v>
      </c>
      <c r="U1859">
        <v>-0.60202029999999995</v>
      </c>
      <c r="V1859">
        <v>-0.1114976</v>
      </c>
      <c r="W1859">
        <v>0.2259052</v>
      </c>
      <c r="X1859">
        <v>0.96774740000000004</v>
      </c>
      <c r="Y1859">
        <v>-0.16469129999999901</v>
      </c>
      <c r="Z1859">
        <v>-6.3054770000000003E-3</v>
      </c>
      <c r="AA1859">
        <v>0.98632500000000001</v>
      </c>
      <c r="AB1859">
        <v>31</v>
      </c>
      <c r="AC1859">
        <v>-12.4916</v>
      </c>
      <c r="AD1859">
        <v>-1.11000617810599</v>
      </c>
      <c r="AE1859">
        <v>-2.5009000000000001</v>
      </c>
      <c r="AF1859">
        <v>-2.1427344332713898</v>
      </c>
      <c r="AG1859">
        <v>-1.11000617810599</v>
      </c>
      <c r="AH1859">
        <v>12.4606104873388</v>
      </c>
      <c r="AI1859">
        <v>95.017283013748795</v>
      </c>
      <c r="AJ1859">
        <v>99.757190351013406</v>
      </c>
      <c r="AK1859">
        <v>12.692132928871301</v>
      </c>
      <c r="AL1859">
        <v>76.943886486545296</v>
      </c>
      <c r="AM1859">
        <v>96.572271132518395</v>
      </c>
      <c r="AN1859">
        <v>0.999999952199778</v>
      </c>
    </row>
    <row r="1860" spans="1:40" x14ac:dyDescent="0.25">
      <c r="A1860" t="str">
        <f>"20190304155400151"</f>
        <v>20190304155400151</v>
      </c>
      <c r="B1860" t="str">
        <f>"1551686040138795"</f>
        <v>1551686040138795</v>
      </c>
      <c r="C1860" t="s">
        <v>40</v>
      </c>
      <c r="D1860">
        <v>4.6656680000000001</v>
      </c>
      <c r="E1860">
        <v>0.4705259</v>
      </c>
      <c r="F1860" t="s">
        <v>51</v>
      </c>
      <c r="G1860">
        <v>-483.46890000000002</v>
      </c>
      <c r="H1860" s="1">
        <v>2.0879170000000002E-6</v>
      </c>
      <c r="I1860">
        <v>278.77890000000002</v>
      </c>
      <c r="J1860">
        <v>-468.6189</v>
      </c>
      <c r="K1860">
        <v>1.1103190000000001</v>
      </c>
      <c r="L1860">
        <v>281.87439999999998</v>
      </c>
      <c r="M1860">
        <v>-0.99952439999999998</v>
      </c>
      <c r="N1860">
        <v>-1.4400609999999999E-2</v>
      </c>
      <c r="O1860">
        <v>-2.727017E-2</v>
      </c>
      <c r="P1860">
        <v>-0.96721069999999998</v>
      </c>
      <c r="Q1860">
        <v>0.21139160000000001</v>
      </c>
      <c r="R1860">
        <v>-0.14077379999999901</v>
      </c>
      <c r="S1860">
        <v>-3.0603639999999999</v>
      </c>
      <c r="T1860">
        <v>-0.22356490000000001</v>
      </c>
      <c r="U1860">
        <v>-0.62533570000000005</v>
      </c>
      <c r="V1860">
        <v>-0.1141847</v>
      </c>
      <c r="W1860">
        <v>0.22542860000000001</v>
      </c>
      <c r="X1860">
        <v>0.96754519999999999</v>
      </c>
      <c r="Y1860">
        <v>-0.1729147</v>
      </c>
      <c r="Z1860">
        <v>-5.9238989999999998E-3</v>
      </c>
      <c r="AA1860">
        <v>0.98491899999999999</v>
      </c>
      <c r="AB1860">
        <v>31</v>
      </c>
      <c r="AC1860">
        <v>-14.85</v>
      </c>
      <c r="AD1860">
        <v>-1.1103169120829901</v>
      </c>
      <c r="AE1860">
        <v>-3.0954999999999502</v>
      </c>
      <c r="AF1860">
        <v>-2.6750129435999401</v>
      </c>
      <c r="AG1860">
        <v>-1.1103169120829901</v>
      </c>
      <c r="AH1860">
        <v>14.849343171912899</v>
      </c>
      <c r="AI1860">
        <v>94.208674956571002</v>
      </c>
      <c r="AJ1860">
        <v>100.21193852691999</v>
      </c>
      <c r="AK1860">
        <v>15.1291602718367</v>
      </c>
      <c r="AL1860">
        <v>76.971916769791605</v>
      </c>
      <c r="AM1860">
        <v>96.730621021404602</v>
      </c>
      <c r="AN1860">
        <v>0.99999995672754405</v>
      </c>
    </row>
    <row r="1861" spans="1:40" x14ac:dyDescent="0.25">
      <c r="A1861" t="str">
        <f>"20190304155400173"</f>
        <v>20190304155400173</v>
      </c>
      <c r="B1861" t="str">
        <f>"1551686040168075"</f>
        <v>1551686040168075</v>
      </c>
      <c r="C1861" t="s">
        <v>40</v>
      </c>
      <c r="D1861">
        <v>4.59551</v>
      </c>
      <c r="E1861">
        <v>0.47050609999999998</v>
      </c>
      <c r="F1861" t="s">
        <v>51</v>
      </c>
      <c r="G1861">
        <v>-483.9871</v>
      </c>
      <c r="H1861" s="1">
        <v>2.1512880000000001E-6</v>
      </c>
      <c r="I1861">
        <v>278.69810000000001</v>
      </c>
      <c r="J1861">
        <v>-468.94189999999998</v>
      </c>
      <c r="K1861">
        <v>1.1106</v>
      </c>
      <c r="L1861">
        <v>281.86540000000002</v>
      </c>
      <c r="M1861">
        <v>-0.99951480000000004</v>
      </c>
      <c r="N1861">
        <v>-1.4395949999999999E-2</v>
      </c>
      <c r="O1861">
        <v>-2.7623379999999999E-2</v>
      </c>
      <c r="P1861">
        <v>-0.96696420000000005</v>
      </c>
      <c r="Q1861">
        <v>0.21084600000000001</v>
      </c>
      <c r="R1861">
        <v>-0.143264</v>
      </c>
      <c r="S1861">
        <v>-3.0579830000000001</v>
      </c>
      <c r="T1861">
        <v>-0.22093280000000001</v>
      </c>
      <c r="U1861">
        <v>-0.632019</v>
      </c>
      <c r="V1861">
        <v>-0.116492</v>
      </c>
      <c r="W1861">
        <v>0.2247982</v>
      </c>
      <c r="X1861">
        <v>0.96741690000000002</v>
      </c>
      <c r="Y1861">
        <v>-0.17478659999999999</v>
      </c>
      <c r="Z1861">
        <v>-5.9359649999999996E-3</v>
      </c>
      <c r="AA1861">
        <v>0.98458840000000003</v>
      </c>
      <c r="AB1861">
        <v>31</v>
      </c>
      <c r="AC1861">
        <v>-15.045199999999999</v>
      </c>
      <c r="AD1861">
        <v>-1.1105978487119901</v>
      </c>
      <c r="AE1861">
        <v>-3.1673000000000102</v>
      </c>
      <c r="AF1861">
        <v>-2.7361720771590301</v>
      </c>
      <c r="AG1861">
        <v>-1.1105978487119901</v>
      </c>
      <c r="AH1861">
        <v>15.0484388991714</v>
      </c>
      <c r="AI1861">
        <v>94.153016979007205</v>
      </c>
      <c r="AJ1861">
        <v>100.305186564352</v>
      </c>
      <c r="AK1861">
        <v>15.3354353873466</v>
      </c>
      <c r="AL1861">
        <v>77.008988611997907</v>
      </c>
      <c r="AM1861">
        <v>96.866241308569499</v>
      </c>
      <c r="AN1861">
        <v>1.00000003759642</v>
      </c>
    </row>
    <row r="1862" spans="1:40" x14ac:dyDescent="0.25">
      <c r="A1862" t="str">
        <f>"20190304155400195"</f>
        <v>20190304155400195</v>
      </c>
      <c r="B1862" t="str">
        <f>"1551686040188571"</f>
        <v>1551686040188571</v>
      </c>
      <c r="C1862" t="s">
        <v>40</v>
      </c>
      <c r="D1862">
        <v>4.6399369999999998</v>
      </c>
      <c r="E1862">
        <v>0.47058729999999999</v>
      </c>
      <c r="F1862" t="s">
        <v>51</v>
      </c>
      <c r="G1862">
        <v>-484.26429999999999</v>
      </c>
      <c r="H1862" s="1">
        <v>2.1884429999999998E-6</v>
      </c>
      <c r="I1862">
        <v>278.66410000000002</v>
      </c>
      <c r="J1862">
        <v>-469.24689999999998</v>
      </c>
      <c r="K1862">
        <v>1.1108769999999999</v>
      </c>
      <c r="L1862">
        <v>281.85640000000001</v>
      </c>
      <c r="M1862">
        <v>-0.99949529999999998</v>
      </c>
      <c r="N1862">
        <v>-1.439226E-2</v>
      </c>
      <c r="O1862">
        <v>-2.8322480000000001E-2</v>
      </c>
      <c r="P1862">
        <v>-0.96675869999999997</v>
      </c>
      <c r="Q1862">
        <v>0.2099734</v>
      </c>
      <c r="R1862">
        <v>-0.14590829999999999</v>
      </c>
      <c r="S1862">
        <v>-3.0561829999999999</v>
      </c>
      <c r="T1862">
        <v>-0.2215174</v>
      </c>
      <c r="U1862">
        <v>-0.63851930000000001</v>
      </c>
      <c r="V1862">
        <v>-0.1186147</v>
      </c>
      <c r="W1862">
        <v>0.22384090000000001</v>
      </c>
      <c r="X1862">
        <v>0.96738089999999999</v>
      </c>
      <c r="Y1862">
        <v>-0.1762145</v>
      </c>
      <c r="Z1862">
        <v>-5.9700860000000003E-3</v>
      </c>
      <c r="AA1862">
        <v>0.98433369999999998</v>
      </c>
      <c r="AB1862">
        <v>31</v>
      </c>
      <c r="AC1862">
        <v>-15.0174</v>
      </c>
      <c r="AD1862">
        <v>-1.110874811557</v>
      </c>
      <c r="AE1862">
        <v>-3.1922999999999799</v>
      </c>
      <c r="AF1862">
        <v>-2.7512413309026802</v>
      </c>
      <c r="AG1862">
        <v>-1.110874811557</v>
      </c>
      <c r="AH1862">
        <v>15.023145977303599</v>
      </c>
      <c r="AI1862">
        <v>94.160059699637202</v>
      </c>
      <c r="AJ1862">
        <v>100.377780236153</v>
      </c>
      <c r="AK1862">
        <v>15.3133368918466</v>
      </c>
      <c r="AL1862">
        <v>77.065271726989494</v>
      </c>
      <c r="AM1862">
        <v>96.990387596423304</v>
      </c>
      <c r="AN1862">
        <v>1.0000000006268499</v>
      </c>
    </row>
    <row r="1863" spans="1:40" x14ac:dyDescent="0.25">
      <c r="A1863" t="str">
        <f>"20190304155400215"</f>
        <v>20190304155400215</v>
      </c>
      <c r="B1863" t="str">
        <f>"1551686040208091"</f>
        <v>1551686040208091</v>
      </c>
      <c r="C1863" t="s">
        <v>40</v>
      </c>
      <c r="D1863">
        <v>4.5566300000000002</v>
      </c>
      <c r="E1863">
        <v>0.46855819999999998</v>
      </c>
      <c r="F1863" t="s">
        <v>51</v>
      </c>
      <c r="G1863">
        <v>-484.44560000000001</v>
      </c>
      <c r="H1863" s="1">
        <v>2.2141850000000001E-6</v>
      </c>
      <c r="I1863">
        <v>278.64600000000002</v>
      </c>
      <c r="J1863">
        <v>-469.52870000000001</v>
      </c>
      <c r="K1863">
        <v>1.1111580000000001</v>
      </c>
      <c r="L1863">
        <v>281.8476</v>
      </c>
      <c r="M1863">
        <v>-0.99946729999999995</v>
      </c>
      <c r="N1863">
        <v>-1.4390399999999999E-2</v>
      </c>
      <c r="O1863">
        <v>-2.929551E-2</v>
      </c>
      <c r="P1863">
        <v>-0.96644620000000003</v>
      </c>
      <c r="Q1863">
        <v>0.2094028</v>
      </c>
      <c r="R1863">
        <v>-0.14876929999999999</v>
      </c>
      <c r="S1863">
        <v>-3.0543209999999998</v>
      </c>
      <c r="T1863">
        <v>-0.22324189999999999</v>
      </c>
      <c r="U1863">
        <v>-0.64517209999999903</v>
      </c>
      <c r="V1863">
        <v>-0.12069000000000001</v>
      </c>
      <c r="W1863">
        <v>0.22318370000000001</v>
      </c>
      <c r="X1863">
        <v>0.96727600000000002</v>
      </c>
      <c r="Y1863">
        <v>-0.17742049999999901</v>
      </c>
      <c r="Z1863">
        <v>-6.0010430000000002E-3</v>
      </c>
      <c r="AA1863">
        <v>0.98411689999999996</v>
      </c>
      <c r="AB1863">
        <v>31</v>
      </c>
      <c r="AC1863">
        <v>-14.916899999999901</v>
      </c>
      <c r="AD1863">
        <v>-1.1111557858149901</v>
      </c>
      <c r="AE1863">
        <v>-3.20160000000004</v>
      </c>
      <c r="AF1863">
        <v>-2.7486025606423898</v>
      </c>
      <c r="AG1863">
        <v>-1.1111557858149901</v>
      </c>
      <c r="AH1863">
        <v>14.9251300539485</v>
      </c>
      <c r="AI1863">
        <v>94.187577459327301</v>
      </c>
      <c r="AJ1863">
        <v>100.43464052784699</v>
      </c>
      <c r="AK1863">
        <v>15.216733892133201</v>
      </c>
      <c r="AL1863">
        <v>77.103903201632605</v>
      </c>
      <c r="AM1863">
        <v>97.112214123048901</v>
      </c>
      <c r="AN1863">
        <v>0.99999995011084297</v>
      </c>
    </row>
    <row r="1864" spans="1:40" x14ac:dyDescent="0.25">
      <c r="A1864" t="str">
        <f>"20190304155400237"</f>
        <v>20190304155400237</v>
      </c>
      <c r="B1864" t="str">
        <f>"1551686040228587"</f>
        <v>1551686040228587</v>
      </c>
      <c r="C1864" t="s">
        <v>40</v>
      </c>
      <c r="D1864">
        <v>4.577947</v>
      </c>
      <c r="E1864">
        <v>0.46855950000000002</v>
      </c>
      <c r="F1864" t="s">
        <v>51</v>
      </c>
      <c r="G1864">
        <v>-485.88260000000002</v>
      </c>
      <c r="H1864" s="1">
        <v>2.3276439999999999E-6</v>
      </c>
      <c r="I1864">
        <v>278.24579999999997</v>
      </c>
      <c r="J1864">
        <v>-469.81790000000001</v>
      </c>
      <c r="K1864">
        <v>1.1114520000000001</v>
      </c>
      <c r="L1864">
        <v>281.83800000000002</v>
      </c>
      <c r="M1864">
        <v>-0.99942790000000004</v>
      </c>
      <c r="N1864">
        <v>-1.4390139999999999E-2</v>
      </c>
      <c r="O1864">
        <v>-3.0612899999999998E-2</v>
      </c>
      <c r="P1864">
        <v>-0.96596530000000003</v>
      </c>
      <c r="Q1864">
        <v>0.20935090000000001</v>
      </c>
      <c r="R1864">
        <v>-0.15193329999999999</v>
      </c>
      <c r="S1864">
        <v>-3.0458069999999999</v>
      </c>
      <c r="T1864">
        <v>-0.2069453</v>
      </c>
      <c r="U1864">
        <v>-0.67080689999999998</v>
      </c>
      <c r="V1864">
        <v>-0.122752</v>
      </c>
      <c r="W1864">
        <v>0.2230355</v>
      </c>
      <c r="X1864">
        <v>0.96705070000000004</v>
      </c>
      <c r="Y1864">
        <v>-0.1846313</v>
      </c>
      <c r="Z1864">
        <v>-5.9214480000000002E-3</v>
      </c>
      <c r="AA1864">
        <v>0.98279000000000005</v>
      </c>
      <c r="AB1864">
        <v>31</v>
      </c>
      <c r="AC1864">
        <v>-16.064699999999998</v>
      </c>
      <c r="AD1864">
        <v>-1.1114496723559999</v>
      </c>
      <c r="AE1864">
        <v>-3.5921999999999898</v>
      </c>
      <c r="AF1864">
        <v>-3.0846161862804702</v>
      </c>
      <c r="AG1864">
        <v>-1.1114496723559999</v>
      </c>
      <c r="AH1864">
        <v>16.093780835113101</v>
      </c>
      <c r="AI1864">
        <v>93.880214302859898</v>
      </c>
      <c r="AJ1864">
        <v>100.850018298257</v>
      </c>
      <c r="AK1864">
        <v>16.42437088474</v>
      </c>
      <c r="AL1864">
        <v>77.112614294519304</v>
      </c>
      <c r="AM1864">
        <v>97.234118053746201</v>
      </c>
      <c r="AN1864">
        <v>0.99999997206736901</v>
      </c>
    </row>
    <row r="1865" spans="1:40" x14ac:dyDescent="0.25">
      <c r="A1865" t="str">
        <f>"20190304155400262"</f>
        <v>20190304155400262</v>
      </c>
      <c r="B1865" t="str">
        <f>"1551686040257867"</f>
        <v>1551686040257867</v>
      </c>
      <c r="C1865" t="s">
        <v>40</v>
      </c>
      <c r="D1865">
        <v>4.506723</v>
      </c>
      <c r="E1865">
        <v>0.468553</v>
      </c>
      <c r="F1865" t="s">
        <v>51</v>
      </c>
      <c r="G1865">
        <v>-486.37779999999998</v>
      </c>
      <c r="H1865" s="1">
        <v>2.3770479999999999E-6</v>
      </c>
      <c r="I1865">
        <v>278.13709999999998</v>
      </c>
      <c r="J1865">
        <v>-470.16629999999998</v>
      </c>
      <c r="K1865">
        <v>1.1118220000000001</v>
      </c>
      <c r="L1865">
        <v>281.82530000000003</v>
      </c>
      <c r="M1865">
        <v>-0.99936480000000005</v>
      </c>
      <c r="N1865">
        <v>-1.439183E-2</v>
      </c>
      <c r="O1865">
        <v>-3.2600120000000003E-2</v>
      </c>
      <c r="P1865">
        <v>-0.96523519999999896</v>
      </c>
      <c r="Q1865">
        <v>0.2099628</v>
      </c>
      <c r="R1865">
        <v>-0.15568119999999999</v>
      </c>
      <c r="S1865">
        <v>-3.0429689999999998</v>
      </c>
      <c r="T1865">
        <v>-0.20423450000000001</v>
      </c>
      <c r="U1865">
        <v>-0.68005369999999998</v>
      </c>
      <c r="V1865">
        <v>-0.1247934</v>
      </c>
      <c r="W1865">
        <v>0.22352810000000001</v>
      </c>
      <c r="X1865">
        <v>0.96667559999999997</v>
      </c>
      <c r="Y1865">
        <v>-0.18572559999999999</v>
      </c>
      <c r="Z1865">
        <v>-5.8114119999999898E-3</v>
      </c>
      <c r="AA1865">
        <v>0.98258449999999997</v>
      </c>
      <c r="AB1865">
        <v>31</v>
      </c>
      <c r="AC1865">
        <v>-16.211500000000001</v>
      </c>
      <c r="AD1865">
        <v>-1.1118196229520001</v>
      </c>
      <c r="AE1865">
        <v>-3.6882000000000499</v>
      </c>
      <c r="AF1865">
        <v>-3.14362915661235</v>
      </c>
      <c r="AG1865">
        <v>-1.1118196229520001</v>
      </c>
      <c r="AH1865">
        <v>16.250456836379001</v>
      </c>
      <c r="AI1865">
        <v>93.842922806158001</v>
      </c>
      <c r="AJ1865">
        <v>100.948555114553</v>
      </c>
      <c r="AK1865">
        <v>16.589029342891099</v>
      </c>
      <c r="AL1865">
        <v>77.083659235321903</v>
      </c>
      <c r="AM1865">
        <v>97.355939410218596</v>
      </c>
      <c r="AN1865">
        <v>0.99999995990426405</v>
      </c>
    </row>
    <row r="1866" spans="1:40" x14ac:dyDescent="0.25">
      <c r="A1866" t="str">
        <f>"20190304155400284"</f>
        <v>20190304155400284</v>
      </c>
      <c r="B1866" t="str">
        <f>"1551686040278364"</f>
        <v>1551686040278364</v>
      </c>
      <c r="C1866" t="s">
        <v>40</v>
      </c>
      <c r="D1866">
        <v>4.5510760000000001</v>
      </c>
      <c r="E1866">
        <v>0.46889819999999999</v>
      </c>
      <c r="F1866" t="s">
        <v>51</v>
      </c>
      <c r="G1866">
        <v>-486.79410000000001</v>
      </c>
      <c r="H1866" s="1">
        <v>2.418846E-6</v>
      </c>
      <c r="I1866">
        <v>278.04649999999998</v>
      </c>
      <c r="J1866">
        <v>-470.47719999999998</v>
      </c>
      <c r="K1866">
        <v>1.1121379999999901</v>
      </c>
      <c r="L1866">
        <v>281.81299999999999</v>
      </c>
      <c r="M1866">
        <v>-0.99929089999999998</v>
      </c>
      <c r="N1866">
        <v>-1.4394789999999999E-2</v>
      </c>
      <c r="O1866">
        <v>-3.479173E-2</v>
      </c>
      <c r="P1866">
        <v>-0.96445259999999999</v>
      </c>
      <c r="Q1866">
        <v>0.2100669</v>
      </c>
      <c r="R1866">
        <v>-0.16032070000000001</v>
      </c>
      <c r="S1866">
        <v>-3.0408330000000001</v>
      </c>
      <c r="T1866">
        <v>-0.20332629999999999</v>
      </c>
      <c r="U1866">
        <v>-0.69107059999999998</v>
      </c>
      <c r="V1866">
        <v>-0.12749869999999999</v>
      </c>
      <c r="W1866">
        <v>0.22352669999999999</v>
      </c>
      <c r="X1866">
        <v>0.96632280000000004</v>
      </c>
      <c r="Y1866">
        <v>-0.18710779999999999</v>
      </c>
      <c r="Z1866">
        <v>-5.7382659999999997E-3</v>
      </c>
      <c r="AA1866">
        <v>0.98232260000000005</v>
      </c>
      <c r="AB1866">
        <v>31</v>
      </c>
      <c r="AC1866">
        <v>-16.3169</v>
      </c>
      <c r="AD1866">
        <v>-1.1121355811539999</v>
      </c>
      <c r="AE1866">
        <v>-3.7665000000000002</v>
      </c>
      <c r="AF1866">
        <v>-3.1824308923220999</v>
      </c>
      <c r="AG1866">
        <v>-1.1121355811539999</v>
      </c>
      <c r="AH1866">
        <v>16.365893199963399</v>
      </c>
      <c r="AI1866">
        <v>93.816262573545899</v>
      </c>
      <c r="AJ1866">
        <v>101.004127418506</v>
      </c>
      <c r="AK1866">
        <v>16.7094934743062</v>
      </c>
      <c r="AL1866">
        <v>77.083741125076997</v>
      </c>
      <c r="AM1866">
        <v>97.516312047666403</v>
      </c>
      <c r="AN1866">
        <v>0.99999992895720702</v>
      </c>
    </row>
    <row r="1867" spans="1:40" x14ac:dyDescent="0.25">
      <c r="A1867" t="str">
        <f>"20190304155400304"</f>
        <v>20190304155400304</v>
      </c>
      <c r="B1867" t="str">
        <f>"1551686040297883"</f>
        <v>1551686040297883</v>
      </c>
      <c r="C1867" t="s">
        <v>40</v>
      </c>
      <c r="D1867">
        <v>4.5423770000000001</v>
      </c>
      <c r="E1867">
        <v>0.46944439999999998</v>
      </c>
      <c r="F1867" t="s">
        <v>51</v>
      </c>
      <c r="G1867">
        <v>-487.2509</v>
      </c>
      <c r="H1867" s="1">
        <v>2.460854E-6</v>
      </c>
      <c r="I1867">
        <v>277.93610000000001</v>
      </c>
      <c r="J1867">
        <v>-470.75959999999998</v>
      </c>
      <c r="K1867">
        <v>1.112382</v>
      </c>
      <c r="L1867">
        <v>281.80099999999999</v>
      </c>
      <c r="M1867">
        <v>-0.9992105</v>
      </c>
      <c r="N1867">
        <v>-1.439764E-2</v>
      </c>
      <c r="O1867">
        <v>-3.7029310000000003E-2</v>
      </c>
      <c r="P1867">
        <v>-0.96393879999999998</v>
      </c>
      <c r="Q1867">
        <v>0.20949100000000001</v>
      </c>
      <c r="R1867">
        <v>-0.16412119999999999</v>
      </c>
      <c r="S1867">
        <v>-3.03775</v>
      </c>
      <c r="T1867">
        <v>-0.2014097</v>
      </c>
      <c r="U1867">
        <v>-0.70211789999999996</v>
      </c>
      <c r="V1867">
        <v>-0.12927359999999999</v>
      </c>
      <c r="W1867">
        <v>0.22287000000000001</v>
      </c>
      <c r="X1867">
        <v>0.96623870000000001</v>
      </c>
      <c r="Y1867">
        <v>-0.18852350000000001</v>
      </c>
      <c r="Z1867">
        <v>-5.6473529999999999E-3</v>
      </c>
      <c r="AA1867">
        <v>0.98205240000000005</v>
      </c>
      <c r="AB1867">
        <v>31</v>
      </c>
      <c r="AC1867">
        <v>-16.491299999999999</v>
      </c>
      <c r="AD1867">
        <v>-1.1123795391460001</v>
      </c>
      <c r="AE1867">
        <v>-3.8648999999999698</v>
      </c>
      <c r="AF1867">
        <v>-3.2375606391089198</v>
      </c>
      <c r="AG1867">
        <v>-1.1123795391460001</v>
      </c>
      <c r="AH1867">
        <v>16.5517301557419</v>
      </c>
      <c r="AI1867">
        <v>93.773553516079403</v>
      </c>
      <c r="AJ1867">
        <v>101.067464183243</v>
      </c>
      <c r="AK1867">
        <v>16.902040062652599</v>
      </c>
      <c r="AL1867">
        <v>77.122341470409296</v>
      </c>
      <c r="AM1867">
        <v>97.620380414440405</v>
      </c>
      <c r="AN1867">
        <v>0.99999996296732396</v>
      </c>
    </row>
    <row r="1868" spans="1:40" x14ac:dyDescent="0.25">
      <c r="A1868" t="str">
        <f>"20190304155400326"</f>
        <v>20190304155400326</v>
      </c>
      <c r="B1868" t="str">
        <f>"1551686040318379"</f>
        <v>1551686040318379</v>
      </c>
      <c r="C1868" t="s">
        <v>40</v>
      </c>
      <c r="D1868">
        <v>4.5607569999999997</v>
      </c>
      <c r="E1868">
        <v>0.47220889999999999</v>
      </c>
      <c r="F1868" t="s">
        <v>51</v>
      </c>
      <c r="G1868">
        <v>-487.33870000000002</v>
      </c>
      <c r="H1868" s="1">
        <v>2.4755369999999998E-6</v>
      </c>
      <c r="I1868">
        <v>277.93360000000001</v>
      </c>
      <c r="J1868">
        <v>-471.05599999999998</v>
      </c>
      <c r="K1868">
        <v>1.112603</v>
      </c>
      <c r="L1868">
        <v>281.78730000000002</v>
      </c>
      <c r="M1868">
        <v>-0.99911099999999997</v>
      </c>
      <c r="N1868">
        <v>-1.4399729999999999E-2</v>
      </c>
      <c r="O1868">
        <v>-3.962661E-2</v>
      </c>
      <c r="P1868">
        <v>-0.9632695</v>
      </c>
      <c r="Q1868">
        <v>0.20900050000000001</v>
      </c>
      <c r="R1868">
        <v>-0.1686164</v>
      </c>
      <c r="S1868">
        <v>-3.0359189999999998</v>
      </c>
      <c r="T1868">
        <v>-0.2036965</v>
      </c>
      <c r="U1868">
        <v>-0.70819089999999996</v>
      </c>
      <c r="V1868">
        <v>-0.13138710000000001</v>
      </c>
      <c r="W1868">
        <v>0.22230140000000001</v>
      </c>
      <c r="X1868">
        <v>0.96608459999999996</v>
      </c>
      <c r="Y1868">
        <v>-0.18796080000000001</v>
      </c>
      <c r="Z1868">
        <v>-5.5346359999999999E-3</v>
      </c>
      <c r="AA1868">
        <v>0.9821609</v>
      </c>
      <c r="AB1868">
        <v>31</v>
      </c>
      <c r="AC1868">
        <v>-16.282699999999998</v>
      </c>
      <c r="AD1868">
        <v>-1.112600524463</v>
      </c>
      <c r="AE1868">
        <v>-3.8536999999999999</v>
      </c>
      <c r="AF1868">
        <v>-3.1912678011098801</v>
      </c>
      <c r="AG1868">
        <v>-1.112600524463</v>
      </c>
      <c r="AH1868">
        <v>16.3503423822145</v>
      </c>
      <c r="AI1868">
        <v>93.820954961233795</v>
      </c>
      <c r="AJ1868">
        <v>101.044171032926</v>
      </c>
      <c r="AK1868">
        <v>16.695980537874298</v>
      </c>
      <c r="AL1868">
        <v>77.155758244270103</v>
      </c>
      <c r="AM1868">
        <v>97.744686928259895</v>
      </c>
      <c r="AN1868">
        <v>0.99999996842276395</v>
      </c>
    </row>
    <row r="1869" spans="1:40" x14ac:dyDescent="0.25">
      <c r="A1869" t="str">
        <f>"20190304155400349"</f>
        <v>20190304155400349</v>
      </c>
      <c r="B1869" t="str">
        <f>"1551686040337899"</f>
        <v>1551686040337899</v>
      </c>
      <c r="C1869" t="s">
        <v>40</v>
      </c>
      <c r="D1869">
        <v>4.482621</v>
      </c>
      <c r="E1869">
        <v>0.47226469999999998</v>
      </c>
      <c r="F1869" t="s">
        <v>51</v>
      </c>
      <c r="G1869">
        <v>-486.45870000000002</v>
      </c>
      <c r="H1869" s="1">
        <v>2.4304059999999998E-6</v>
      </c>
      <c r="I1869">
        <v>278.2475</v>
      </c>
      <c r="J1869">
        <v>-471.38119999999998</v>
      </c>
      <c r="K1869">
        <v>1.112811</v>
      </c>
      <c r="L1869">
        <v>281.77120000000002</v>
      </c>
      <c r="M1869">
        <v>-0.99898220000000004</v>
      </c>
      <c r="N1869">
        <v>-1.4401850000000001E-2</v>
      </c>
      <c r="O1869">
        <v>-4.2744459999999998E-2</v>
      </c>
      <c r="P1869">
        <v>-0.96237189999999995</v>
      </c>
      <c r="Q1869">
        <v>0.20875740000000001</v>
      </c>
      <c r="R1869">
        <v>-0.17395659999999999</v>
      </c>
      <c r="S1869">
        <v>-3.0397949999999998</v>
      </c>
      <c r="T1869">
        <v>-0.21957660000000001</v>
      </c>
      <c r="U1869">
        <v>-0.69860840000000002</v>
      </c>
      <c r="V1869">
        <v>-0.13384849999999901</v>
      </c>
      <c r="W1869">
        <v>0.22197649999999999</v>
      </c>
      <c r="X1869">
        <v>0.96582140000000005</v>
      </c>
      <c r="Y1869">
        <v>-0.18163979999999999</v>
      </c>
      <c r="Z1869">
        <v>-5.3629130000000004E-3</v>
      </c>
      <c r="AA1869">
        <v>0.98335050000000002</v>
      </c>
      <c r="AB1869">
        <v>31</v>
      </c>
      <c r="AC1869">
        <v>-15.077500000000001</v>
      </c>
      <c r="AD1869">
        <v>-1.112808569594</v>
      </c>
      <c r="AE1869">
        <v>-3.5237000000000198</v>
      </c>
      <c r="AF1869">
        <v>-2.8611539165668298</v>
      </c>
      <c r="AG1869">
        <v>-1.112808569594</v>
      </c>
      <c r="AH1869">
        <v>15.136169856728401</v>
      </c>
      <c r="AI1869">
        <v>94.131899429041198</v>
      </c>
      <c r="AJ1869">
        <v>100.70418451266799</v>
      </c>
      <c r="AK1869">
        <v>15.4443576291985</v>
      </c>
      <c r="AL1869">
        <v>77.174850846007701</v>
      </c>
      <c r="AM1869">
        <v>97.890088183243805</v>
      </c>
      <c r="AN1869">
        <v>0.99999998210122898</v>
      </c>
    </row>
    <row r="1870" spans="1:40" x14ac:dyDescent="0.25">
      <c r="A1870" t="str">
        <f>"20190304155400374"</f>
        <v>20190304155400374</v>
      </c>
      <c r="B1870" t="str">
        <f>"1551686040368155"</f>
        <v>1551686040368155</v>
      </c>
      <c r="C1870" t="s">
        <v>40</v>
      </c>
      <c r="D1870">
        <v>4.5350219999999997</v>
      </c>
      <c r="E1870">
        <v>0.47258549999999999</v>
      </c>
      <c r="F1870" t="s">
        <v>51</v>
      </c>
      <c r="G1870">
        <v>-486.74829999999997</v>
      </c>
      <c r="H1870" s="1">
        <v>2.4522610000000002E-6</v>
      </c>
      <c r="I1870">
        <v>278.16390000000001</v>
      </c>
      <c r="J1870">
        <v>-471.72230000000002</v>
      </c>
      <c r="K1870">
        <v>1.113005</v>
      </c>
      <c r="L1870">
        <v>281.75299999999999</v>
      </c>
      <c r="M1870">
        <v>-0.99882539999999997</v>
      </c>
      <c r="N1870">
        <v>-1.4404739999999999E-2</v>
      </c>
      <c r="O1870">
        <v>-4.6264470000000002E-2</v>
      </c>
      <c r="P1870">
        <v>-0.96150590000000002</v>
      </c>
      <c r="Q1870">
        <v>0.20787430000000001</v>
      </c>
      <c r="R1870">
        <v>-0.1797078</v>
      </c>
      <c r="S1870">
        <v>-3.0361630000000002</v>
      </c>
      <c r="T1870">
        <v>-0.2198638</v>
      </c>
      <c r="U1870">
        <v>-0.71270749999999905</v>
      </c>
      <c r="V1870">
        <v>-0.13632320000000001</v>
      </c>
      <c r="W1870">
        <v>0.22101390000000001</v>
      </c>
      <c r="X1870">
        <v>0.965696</v>
      </c>
      <c r="Y1870">
        <v>-0.1827646</v>
      </c>
      <c r="Z1870">
        <v>-5.2186239999999998E-3</v>
      </c>
      <c r="AA1870">
        <v>0.98314290000000004</v>
      </c>
      <c r="AB1870">
        <v>31</v>
      </c>
      <c r="AC1870">
        <v>-15.0259999999999</v>
      </c>
      <c r="AD1870">
        <v>-1.113002547739</v>
      </c>
      <c r="AE1870">
        <v>-3.58909999999997</v>
      </c>
      <c r="AF1870">
        <v>-2.8750909201255999</v>
      </c>
      <c r="AG1870">
        <v>-1.113002547739</v>
      </c>
      <c r="AH1870">
        <v>15.0976082403948</v>
      </c>
      <c r="AI1870">
        <v>94.142072889717696</v>
      </c>
      <c r="AJ1870">
        <v>100.781939483413</v>
      </c>
      <c r="AK1870">
        <v>15.4091757420927</v>
      </c>
      <c r="AL1870">
        <v>77.231408312637797</v>
      </c>
      <c r="AM1870">
        <v>98.035108461814701</v>
      </c>
      <c r="AN1870">
        <v>0.99999996163372395</v>
      </c>
    </row>
    <row r="1871" spans="1:40" x14ac:dyDescent="0.25">
      <c r="A1871" t="str">
        <f>"20190304155400397"</f>
        <v>20190304155400397</v>
      </c>
      <c r="B1871" t="str">
        <f>"1551686040388651"</f>
        <v>1551686040388651</v>
      </c>
      <c r="C1871" t="s">
        <v>40</v>
      </c>
      <c r="D1871">
        <v>4.5443300000000004</v>
      </c>
      <c r="E1871">
        <v>0.47258689999999998</v>
      </c>
      <c r="F1871" t="s">
        <v>51</v>
      </c>
      <c r="G1871">
        <v>-487.05340000000001</v>
      </c>
      <c r="H1871" s="1">
        <v>2.478153E-6</v>
      </c>
      <c r="I1871">
        <v>278.08409999999998</v>
      </c>
      <c r="J1871">
        <v>-472.04</v>
      </c>
      <c r="K1871">
        <v>1.113178</v>
      </c>
      <c r="L1871">
        <v>281.73469999999998</v>
      </c>
      <c r="M1871">
        <v>-0.99865789999999999</v>
      </c>
      <c r="N1871">
        <v>-1.44081E-2</v>
      </c>
      <c r="O1871">
        <v>-4.974812E-2</v>
      </c>
      <c r="P1871">
        <v>-0.96046069999999995</v>
      </c>
      <c r="Q1871">
        <v>0.2074143</v>
      </c>
      <c r="R1871">
        <v>-0.18572820000000001</v>
      </c>
      <c r="S1871">
        <v>-3.0321039999999999</v>
      </c>
      <c r="T1871">
        <v>-0.2201235</v>
      </c>
      <c r="U1871">
        <v>-0.7256165</v>
      </c>
      <c r="V1871">
        <v>-0.13910149999999999</v>
      </c>
      <c r="W1871">
        <v>0.2204767</v>
      </c>
      <c r="X1871">
        <v>0.96542260000000002</v>
      </c>
      <c r="Y1871">
        <v>-0.18359259999999999</v>
      </c>
      <c r="Z1871">
        <v>-5.0631039999999997E-3</v>
      </c>
      <c r="AA1871">
        <v>0.98298940000000001</v>
      </c>
      <c r="AB1871">
        <v>31</v>
      </c>
      <c r="AC1871">
        <v>-15.013399999999899</v>
      </c>
      <c r="AD1871">
        <v>-1.1131755218470001</v>
      </c>
      <c r="AE1871">
        <v>-3.6505999999999901</v>
      </c>
      <c r="AF1871">
        <v>-2.88414235477171</v>
      </c>
      <c r="AG1871">
        <v>-1.1131755218470001</v>
      </c>
      <c r="AH1871">
        <v>15.0980669879531</v>
      </c>
      <c r="AI1871">
        <v>94.142137896305002</v>
      </c>
      <c r="AJ1871">
        <v>100.814763254331</v>
      </c>
      <c r="AK1871">
        <v>15.4113290678561</v>
      </c>
      <c r="AL1871">
        <v>77.262966581776396</v>
      </c>
      <c r="AM1871">
        <v>98.198952194974794</v>
      </c>
      <c r="AN1871">
        <v>0.99999999956794905</v>
      </c>
    </row>
    <row r="1872" spans="1:40" x14ac:dyDescent="0.25">
      <c r="A1872" t="str">
        <f>"20190304155400416"</f>
        <v>20190304155400416</v>
      </c>
      <c r="B1872" t="str">
        <f>"1551686040408171"</f>
        <v>1551686040408171</v>
      </c>
      <c r="C1872" t="s">
        <v>40</v>
      </c>
      <c r="D1872">
        <v>4.513312</v>
      </c>
      <c r="E1872">
        <v>0.47258600000000001</v>
      </c>
      <c r="F1872" t="s">
        <v>51</v>
      </c>
      <c r="G1872">
        <v>-487.28100000000001</v>
      </c>
      <c r="H1872" s="1">
        <v>2.4880449999999999E-6</v>
      </c>
      <c r="I1872">
        <v>277.99790000000002</v>
      </c>
      <c r="J1872">
        <v>-472.29770000000002</v>
      </c>
      <c r="K1872">
        <v>1.1133189999999999</v>
      </c>
      <c r="L1872">
        <v>281.71890000000002</v>
      </c>
      <c r="M1872">
        <v>-0.99850499999999998</v>
      </c>
      <c r="N1872">
        <v>-1.4411220000000001E-2</v>
      </c>
      <c r="O1872">
        <v>-5.272868E-2</v>
      </c>
      <c r="P1872">
        <v>-0.95979440000000005</v>
      </c>
      <c r="Q1872">
        <v>0.205681</v>
      </c>
      <c r="R1872">
        <v>-0.19102440000000001</v>
      </c>
      <c r="S1872">
        <v>-3.027679</v>
      </c>
      <c r="T1872">
        <v>-0.2211359</v>
      </c>
      <c r="U1872">
        <v>-0.74234009999999995</v>
      </c>
      <c r="V1872">
        <v>-0.141599</v>
      </c>
      <c r="W1872">
        <v>0.21868290000000001</v>
      </c>
      <c r="X1872">
        <v>0.96546750000000003</v>
      </c>
      <c r="Y1872">
        <v>-0.18610460000000001</v>
      </c>
      <c r="Z1872">
        <v>-5.0180550000000004E-3</v>
      </c>
      <c r="AA1872">
        <v>0.98251710000000003</v>
      </c>
      <c r="AB1872">
        <v>31</v>
      </c>
      <c r="AC1872">
        <v>-14.9832999999999</v>
      </c>
      <c r="AD1872">
        <v>-1.1133165119549999</v>
      </c>
      <c r="AE1872">
        <v>-3.7210000000000001</v>
      </c>
      <c r="AF1872">
        <v>-2.9105551072018399</v>
      </c>
      <c r="AG1872">
        <v>-1.1133165119549999</v>
      </c>
      <c r="AH1872">
        <v>15.0802534911042</v>
      </c>
      <c r="AI1872">
        <v>94.146024125607397</v>
      </c>
      <c r="AJ1872">
        <v>100.924016240802</v>
      </c>
      <c r="AK1872">
        <v>15.398858725367001</v>
      </c>
      <c r="AL1872">
        <v>77.368314724499598</v>
      </c>
      <c r="AM1872">
        <v>98.343723107249104</v>
      </c>
      <c r="AN1872">
        <v>0.99999999055482902</v>
      </c>
    </row>
    <row r="1873" spans="1:40" x14ac:dyDescent="0.25">
      <c r="A1873" t="str">
        <f>"20190304155400438"</f>
        <v>20190304155400438</v>
      </c>
      <c r="B1873" t="str">
        <f>"1551686040428667"</f>
        <v>1551686040428667</v>
      </c>
      <c r="C1873" t="s">
        <v>40</v>
      </c>
      <c r="D1873">
        <v>4.4978280000000002</v>
      </c>
      <c r="E1873">
        <v>0.4727285</v>
      </c>
      <c r="F1873" t="s">
        <v>51</v>
      </c>
      <c r="G1873">
        <v>-487.16809999999998</v>
      </c>
      <c r="H1873" s="1">
        <v>2.46736E-6</v>
      </c>
      <c r="I1873">
        <v>277.99599999999998</v>
      </c>
      <c r="J1873">
        <v>-472.60629999999998</v>
      </c>
      <c r="K1873">
        <v>1.1134759999999999</v>
      </c>
      <c r="L1873">
        <v>281.69880000000001</v>
      </c>
      <c r="M1873">
        <v>-0.99830039999999998</v>
      </c>
      <c r="N1873">
        <v>-1.441578E-2</v>
      </c>
      <c r="O1873">
        <v>-5.6466019999999999E-2</v>
      </c>
      <c r="P1873">
        <v>-0.95898430000000001</v>
      </c>
      <c r="Q1873">
        <v>0.20346429999999999</v>
      </c>
      <c r="R1873">
        <v>-0.19736139999999999</v>
      </c>
      <c r="S1873">
        <v>-3.0235599999999998</v>
      </c>
      <c r="T1873">
        <v>-0.22636870000000001</v>
      </c>
      <c r="U1873">
        <v>-0.75695800000000002</v>
      </c>
      <c r="V1873">
        <v>-0.14441860000000001</v>
      </c>
      <c r="W1873">
        <v>0.21639449999999999</v>
      </c>
      <c r="X1873">
        <v>0.96556549999999997</v>
      </c>
      <c r="Y1873">
        <v>-0.18719450000000001</v>
      </c>
      <c r="Z1873">
        <v>-4.9174809999999996E-3</v>
      </c>
      <c r="AA1873">
        <v>0.98231049999999998</v>
      </c>
      <c r="AB1873">
        <v>31</v>
      </c>
      <c r="AC1873">
        <v>-14.5618</v>
      </c>
      <c r="AD1873">
        <v>-1.11347353264</v>
      </c>
      <c r="AE1873">
        <v>-3.7028000000000199</v>
      </c>
      <c r="AF1873">
        <v>-2.8588582222441299</v>
      </c>
      <c r="AG1873">
        <v>-1.11347353264</v>
      </c>
      <c r="AH1873">
        <v>14.667116566117601</v>
      </c>
      <c r="AI1873">
        <v>94.261464371653503</v>
      </c>
      <c r="AJ1873">
        <v>101.029581909219</v>
      </c>
      <c r="AK1873">
        <v>14.984565459394</v>
      </c>
      <c r="AL1873">
        <v>77.502647878228302</v>
      </c>
      <c r="AM1873">
        <v>98.506609156312805</v>
      </c>
      <c r="AN1873">
        <v>1.00000002322322</v>
      </c>
    </row>
    <row r="1874" spans="1:40" x14ac:dyDescent="0.25">
      <c r="A1874" t="str">
        <f>"20190304155400460"</f>
        <v>20190304155400460</v>
      </c>
      <c r="B1874" t="str">
        <f>"1551686040457948"</f>
        <v>1551686040457948</v>
      </c>
      <c r="C1874" t="s">
        <v>40</v>
      </c>
      <c r="D1874">
        <v>4.5483159999999998</v>
      </c>
      <c r="E1874">
        <v>0.47337430000000003</v>
      </c>
      <c r="F1874" t="s">
        <v>51</v>
      </c>
      <c r="G1874">
        <v>-487.05509999999998</v>
      </c>
      <c r="H1874" s="1">
        <v>2.446248E-6</v>
      </c>
      <c r="I1874">
        <v>277.99299999999999</v>
      </c>
      <c r="J1874">
        <v>-472.90219999999999</v>
      </c>
      <c r="K1874">
        <v>1.113623</v>
      </c>
      <c r="L1874">
        <v>281.6782</v>
      </c>
      <c r="M1874">
        <v>-0.99808039999999998</v>
      </c>
      <c r="N1874">
        <v>-1.442102E-2</v>
      </c>
      <c r="O1874">
        <v>-6.023075E-2</v>
      </c>
      <c r="P1874">
        <v>-0.95826210000000001</v>
      </c>
      <c r="Q1874">
        <v>0.2012034</v>
      </c>
      <c r="R1874">
        <v>-0.2031037</v>
      </c>
      <c r="S1874">
        <v>-3.0183409999999999</v>
      </c>
      <c r="T1874">
        <v>-0.2326037</v>
      </c>
      <c r="U1874">
        <v>-0.77413940000000003</v>
      </c>
      <c r="V1874">
        <v>-0.1466066</v>
      </c>
      <c r="W1874">
        <v>0.21406990000000001</v>
      </c>
      <c r="X1874">
        <v>0.96575390000000005</v>
      </c>
      <c r="Y1874">
        <v>-0.1891197</v>
      </c>
      <c r="Z1874">
        <v>-4.8540170000000004E-3</v>
      </c>
      <c r="AA1874">
        <v>0.98194210000000004</v>
      </c>
      <c r="AB1874">
        <v>31</v>
      </c>
      <c r="AC1874">
        <v>-14.152899999999899</v>
      </c>
      <c r="AD1874">
        <v>-1.1136205537520001</v>
      </c>
      <c r="AE1874">
        <v>-3.6852</v>
      </c>
      <c r="AF1874">
        <v>-2.80968855232486</v>
      </c>
      <c r="AG1874">
        <v>-1.1136205537520001</v>
      </c>
      <c r="AH1874">
        <v>14.2664653151345</v>
      </c>
      <c r="AI1874">
        <v>94.379588366087404</v>
      </c>
      <c r="AJ1874">
        <v>101.14144857015999</v>
      </c>
      <c r="AK1874">
        <v>14.583090656192899</v>
      </c>
      <c r="AL1874">
        <v>77.639033966873797</v>
      </c>
      <c r="AM1874">
        <v>98.631900982329299</v>
      </c>
      <c r="AN1874">
        <v>1.0000000063073899</v>
      </c>
    </row>
    <row r="1875" spans="1:40" x14ac:dyDescent="0.25">
      <c r="A1875" t="str">
        <f>"20190304155400483"</f>
        <v>20190304155400483</v>
      </c>
      <c r="B1875" t="str">
        <f>"1551686040478443"</f>
        <v>1551686040478443</v>
      </c>
      <c r="C1875" t="s">
        <v>40</v>
      </c>
      <c r="D1875">
        <v>4.5038799999999997</v>
      </c>
      <c r="E1875">
        <v>0.4734351</v>
      </c>
      <c r="F1875" t="s">
        <v>51</v>
      </c>
      <c r="G1875">
        <v>-487.11950000000002</v>
      </c>
      <c r="H1875" s="1">
        <v>2.4468629999999999E-6</v>
      </c>
      <c r="I1875">
        <v>277.9624</v>
      </c>
      <c r="J1875">
        <v>-473.20490000000001</v>
      </c>
      <c r="K1875">
        <v>1.113766</v>
      </c>
      <c r="L1875">
        <v>281.65570000000002</v>
      </c>
      <c r="M1875">
        <v>-0.99782760000000004</v>
      </c>
      <c r="N1875">
        <v>-1.4427219999999999E-2</v>
      </c>
      <c r="O1875">
        <v>-6.4280290000000004E-2</v>
      </c>
      <c r="P1875">
        <v>-0.95746160000000002</v>
      </c>
      <c r="Q1875">
        <v>0.19892589999999999</v>
      </c>
      <c r="R1875">
        <v>-0.20903559999999999</v>
      </c>
      <c r="S1875">
        <v>-3.013306</v>
      </c>
      <c r="T1875">
        <v>-0.23602690000000001</v>
      </c>
      <c r="U1875">
        <v>-0.78753660000000003</v>
      </c>
      <c r="V1875">
        <v>-0.14871110000000001</v>
      </c>
      <c r="W1875">
        <v>0.21172730000000001</v>
      </c>
      <c r="X1875">
        <v>0.96594849999999999</v>
      </c>
      <c r="Y1875">
        <v>-0.18961339999999999</v>
      </c>
      <c r="Z1875">
        <v>-4.6671560000000004E-3</v>
      </c>
      <c r="AA1875">
        <v>0.98184769999999999</v>
      </c>
      <c r="AB1875">
        <v>31</v>
      </c>
      <c r="AC1875">
        <v>-13.9146</v>
      </c>
      <c r="AD1875">
        <v>-1.113763553137</v>
      </c>
      <c r="AE1875">
        <v>-3.6933000000000198</v>
      </c>
      <c r="AF1875">
        <v>-2.7745265589622901</v>
      </c>
      <c r="AG1875">
        <v>-1.113763553137</v>
      </c>
      <c r="AH1875">
        <v>14.039220733856</v>
      </c>
      <c r="AI1875">
        <v>94.450189709246104</v>
      </c>
      <c r="AJ1875">
        <v>101.179129585059</v>
      </c>
      <c r="AK1875">
        <v>14.3540302944022</v>
      </c>
      <c r="AL1875">
        <v>77.776403992819397</v>
      </c>
      <c r="AM1875">
        <v>98.752167403630807</v>
      </c>
      <c r="AN1875">
        <v>0.999999972740374</v>
      </c>
    </row>
    <row r="1876" spans="1:40" x14ac:dyDescent="0.25">
      <c r="A1876" t="str">
        <f>"20190304155400506"</f>
        <v>20190304155400506</v>
      </c>
      <c r="B1876" t="str">
        <f>"1551686040497964"</f>
        <v>1551686040497964</v>
      </c>
      <c r="C1876" t="s">
        <v>40</v>
      </c>
      <c r="D1876">
        <v>4.5324879999999999</v>
      </c>
      <c r="E1876">
        <v>0.47365099999999999</v>
      </c>
      <c r="F1876" t="s">
        <v>51</v>
      </c>
      <c r="G1876">
        <v>-486.99180000000001</v>
      </c>
      <c r="H1876" s="1">
        <v>2.4264030000000001E-6</v>
      </c>
      <c r="I1876">
        <v>277.96859999999998</v>
      </c>
      <c r="J1876">
        <v>-473.52929999999998</v>
      </c>
      <c r="K1876">
        <v>1.1139289999999999</v>
      </c>
      <c r="L1876">
        <v>281.62990000000002</v>
      </c>
      <c r="M1876">
        <v>-0.9975231</v>
      </c>
      <c r="N1876">
        <v>-1.443495E-2</v>
      </c>
      <c r="O1876">
        <v>-6.8844169999999996E-2</v>
      </c>
      <c r="P1876">
        <v>-0.95616230000000002</v>
      </c>
      <c r="Q1876">
        <v>0.19747799999999999</v>
      </c>
      <c r="R1876">
        <v>-0.2162326</v>
      </c>
      <c r="S1876">
        <v>-3.0081479999999998</v>
      </c>
      <c r="T1876">
        <v>-0.24301039999999999</v>
      </c>
      <c r="U1876">
        <v>-0.80447389999999996</v>
      </c>
      <c r="V1876">
        <v>-0.1516219</v>
      </c>
      <c r="W1876">
        <v>0.21020079999999999</v>
      </c>
      <c r="X1876">
        <v>0.96582939999999995</v>
      </c>
      <c r="Y1876">
        <v>-0.19067870000000001</v>
      </c>
      <c r="Z1876">
        <v>-4.4965359999999998E-3</v>
      </c>
      <c r="AA1876">
        <v>0.98164220000000002</v>
      </c>
      <c r="AB1876">
        <v>31</v>
      </c>
      <c r="AC1876">
        <v>-13.4625</v>
      </c>
      <c r="AD1876">
        <v>-1.1139265735969901</v>
      </c>
      <c r="AE1876">
        <v>-3.6613000000000402</v>
      </c>
      <c r="AF1876">
        <v>-2.7084344268506801</v>
      </c>
      <c r="AG1876">
        <v>-1.1139265735969901</v>
      </c>
      <c r="AH1876">
        <v>13.595965299968499</v>
      </c>
      <c r="AI1876">
        <v>94.593951335564299</v>
      </c>
      <c r="AJ1876">
        <v>101.266330881241</v>
      </c>
      <c r="AK1876">
        <v>13.9077935666971</v>
      </c>
      <c r="AL1876">
        <v>77.8658801483639</v>
      </c>
      <c r="AM1876">
        <v>98.921831134772006</v>
      </c>
      <c r="AN1876">
        <v>1.0000000033923</v>
      </c>
    </row>
    <row r="1877" spans="1:40" x14ac:dyDescent="0.25">
      <c r="A1877" t="str">
        <f>"20190304155400531"</f>
        <v>20190304155400531</v>
      </c>
      <c r="B1877" t="str">
        <f>"1551686040518460"</f>
        <v>1551686040518460</v>
      </c>
      <c r="C1877" t="s">
        <v>40</v>
      </c>
      <c r="D1877">
        <v>4.4966460000000001</v>
      </c>
      <c r="E1877">
        <v>0.4787669</v>
      </c>
      <c r="F1877" t="s">
        <v>51</v>
      </c>
      <c r="G1877">
        <v>-487.06560000000002</v>
      </c>
      <c r="H1877" s="1">
        <v>2.4201619999999999E-6</v>
      </c>
      <c r="I1877">
        <v>277.91399999999999</v>
      </c>
      <c r="J1877">
        <v>-473.85449999999997</v>
      </c>
      <c r="K1877">
        <v>1.1140840000000001</v>
      </c>
      <c r="L1877">
        <v>281.60239999999999</v>
      </c>
      <c r="M1877">
        <v>-0.99718280000000004</v>
      </c>
      <c r="N1877">
        <v>-1.4442959999999999E-2</v>
      </c>
      <c r="O1877">
        <v>-7.3604859999999994E-2</v>
      </c>
      <c r="P1877">
        <v>-0.95468960000000003</v>
      </c>
      <c r="Q1877">
        <v>0.19689960000000001</v>
      </c>
      <c r="R1877">
        <v>-0.22315470000000001</v>
      </c>
      <c r="S1877">
        <v>-3.002167</v>
      </c>
      <c r="T1877">
        <v>-0.24705460000000001</v>
      </c>
      <c r="U1877">
        <v>-0.82415769999999899</v>
      </c>
      <c r="V1877">
        <v>-0.1540801</v>
      </c>
      <c r="W1877">
        <v>0.20954999999999999</v>
      </c>
      <c r="X1877">
        <v>0.96558180000000005</v>
      </c>
      <c r="Y1877">
        <v>-0.19246360000000001</v>
      </c>
      <c r="Z1877">
        <v>-4.3075819999999999E-3</v>
      </c>
      <c r="AA1877">
        <v>0.98129469999999996</v>
      </c>
      <c r="AB1877">
        <v>31</v>
      </c>
      <c r="AC1877">
        <v>-13.2111</v>
      </c>
      <c r="AD1877">
        <v>-1.1140815798379999</v>
      </c>
      <c r="AE1877">
        <v>-3.6884000000000001</v>
      </c>
      <c r="AF1877">
        <v>-2.6881561017100002</v>
      </c>
      <c r="AG1877">
        <v>-1.1140815798379999</v>
      </c>
      <c r="AH1877">
        <v>13.3586402579108</v>
      </c>
      <c r="AI1877">
        <v>94.674044154480001</v>
      </c>
      <c r="AJ1877">
        <v>101.37766700992999</v>
      </c>
      <c r="AK1877">
        <v>13.6718919880889</v>
      </c>
      <c r="AL1877">
        <v>77.904018159522806</v>
      </c>
      <c r="AM1877">
        <v>99.066381100947595</v>
      </c>
      <c r="AN1877">
        <v>1.00000004610362</v>
      </c>
    </row>
    <row r="1878" spans="1:40" x14ac:dyDescent="0.25">
      <c r="A1878" t="str">
        <f>"20190304155400552"</f>
        <v>20190304155400552</v>
      </c>
      <c r="B1878" t="str">
        <f>"1551686040548716"</f>
        <v>1551686040548716</v>
      </c>
      <c r="C1878" t="s">
        <v>40</v>
      </c>
      <c r="D1878">
        <v>4.5283819999999997</v>
      </c>
      <c r="E1878">
        <v>0.47979559999999999</v>
      </c>
      <c r="F1878" t="s">
        <v>51</v>
      </c>
      <c r="G1878">
        <v>-488.54570000000001</v>
      </c>
      <c r="H1878" s="1">
        <v>2.591128E-6</v>
      </c>
      <c r="I1878">
        <v>277.65480000000002</v>
      </c>
      <c r="J1878">
        <v>-474.14710000000002</v>
      </c>
      <c r="K1878">
        <v>1.11422</v>
      </c>
      <c r="L1878">
        <v>281.57619999999997</v>
      </c>
      <c r="M1878">
        <v>-0.99684399999999995</v>
      </c>
      <c r="N1878">
        <v>-1.44498E-2</v>
      </c>
      <c r="O1878">
        <v>-7.8059119999999996E-2</v>
      </c>
      <c r="P1878">
        <v>-0.95321840000000002</v>
      </c>
      <c r="Q1878">
        <v>0.19680310000000001</v>
      </c>
      <c r="R1878">
        <v>-0.22944210000000001</v>
      </c>
      <c r="S1878">
        <v>-3.0008539999999999</v>
      </c>
      <c r="T1878">
        <v>-0.22756390000000001</v>
      </c>
      <c r="U1878">
        <v>-0.80633540000000004</v>
      </c>
      <c r="V1878">
        <v>-0.15620049999999999</v>
      </c>
      <c r="W1878">
        <v>0.20938870000000001</v>
      </c>
      <c r="X1878">
        <v>0.96527600000000002</v>
      </c>
      <c r="Y1878">
        <v>-0.18286189999999999</v>
      </c>
      <c r="Z1878">
        <v>-3.4716360000000002E-3</v>
      </c>
      <c r="AA1878">
        <v>0.98313249999999996</v>
      </c>
      <c r="AB1878">
        <v>31</v>
      </c>
      <c r="AC1878">
        <v>-14.398599999999901</v>
      </c>
      <c r="AD1878">
        <v>-1.114217408872</v>
      </c>
      <c r="AE1878">
        <v>-3.9213999999999398</v>
      </c>
      <c r="AF1878">
        <v>-2.7699311694258602</v>
      </c>
      <c r="AG1878">
        <v>-1.114217408872</v>
      </c>
      <c r="AH1878">
        <v>14.579512678258499</v>
      </c>
      <c r="AI1878">
        <v>94.293738842402405</v>
      </c>
      <c r="AJ1878">
        <v>100.757298618229</v>
      </c>
      <c r="AK1878">
        <v>14.882076100231799</v>
      </c>
      <c r="AL1878">
        <v>77.913468959623998</v>
      </c>
      <c r="AM1878">
        <v>99.191896639669906</v>
      </c>
      <c r="AN1878">
        <v>0.99999999003197004</v>
      </c>
    </row>
    <row r="1879" spans="1:40" x14ac:dyDescent="0.25">
      <c r="A1879" t="str">
        <f>"20190304155400595"</f>
        <v>20190304155400595</v>
      </c>
      <c r="B1879" t="str">
        <f>"1551686040588731"</f>
        <v>1551686040588731</v>
      </c>
      <c r="C1879" t="s">
        <v>40</v>
      </c>
      <c r="D1879">
        <v>4.4798749999999998</v>
      </c>
      <c r="E1879">
        <v>0.47763080000000002</v>
      </c>
      <c r="F1879" t="s">
        <v>51</v>
      </c>
      <c r="G1879">
        <v>-488.82960000000003</v>
      </c>
      <c r="H1879" s="1">
        <v>2.6127520000000002E-6</v>
      </c>
      <c r="I1879">
        <v>277.5736</v>
      </c>
      <c r="J1879">
        <v>-474.7244</v>
      </c>
      <c r="K1879">
        <v>1.114498</v>
      </c>
      <c r="L1879">
        <v>281.52</v>
      </c>
      <c r="M1879">
        <v>-0.99606910000000004</v>
      </c>
      <c r="N1879">
        <v>-1.446626E-2</v>
      </c>
      <c r="O1879">
        <v>-8.7390540000000003E-2</v>
      </c>
      <c r="P1879">
        <v>-0.9501811</v>
      </c>
      <c r="Q1879">
        <v>0.19702410000000001</v>
      </c>
      <c r="R1879">
        <v>-0.241532</v>
      </c>
      <c r="S1879">
        <v>-2.9975589999999999</v>
      </c>
      <c r="T1879">
        <v>-0.22747709999999999</v>
      </c>
      <c r="U1879">
        <v>-0.81716919999999904</v>
      </c>
      <c r="V1879">
        <v>-0.15958079999999999</v>
      </c>
      <c r="W1879">
        <v>0.20947959999999999</v>
      </c>
      <c r="X1879">
        <v>0.96470319999999998</v>
      </c>
      <c r="Y1879">
        <v>-0.17726839999999999</v>
      </c>
      <c r="Z1879">
        <v>-2.6702409999999998E-3</v>
      </c>
      <c r="AA1879">
        <v>0.98415889999999995</v>
      </c>
      <c r="AB1879">
        <v>31</v>
      </c>
      <c r="AC1879">
        <v>-14.1052</v>
      </c>
      <c r="AD1879">
        <v>-1.1144953872479999</v>
      </c>
      <c r="AE1879">
        <v>-3.9463999999999801</v>
      </c>
      <c r="AF1879">
        <v>-2.6829743774975698</v>
      </c>
      <c r="AG1879">
        <v>-1.1144953872479999</v>
      </c>
      <c r="AH1879">
        <v>14.3132665000361</v>
      </c>
      <c r="AI1879">
        <v>94.376406291534906</v>
      </c>
      <c r="AJ1879">
        <v>100.616704347981</v>
      </c>
      <c r="AK1879">
        <v>14.605137773385101</v>
      </c>
      <c r="AL1879">
        <v>77.908142764311293</v>
      </c>
      <c r="AM1879">
        <v>99.392786639952803</v>
      </c>
      <c r="AN1879">
        <v>0.99999999931752004</v>
      </c>
    </row>
    <row r="1880" spans="1:40" x14ac:dyDescent="0.25">
      <c r="A1880" t="str">
        <f>"20190304155400616"</f>
        <v>20190304155400616</v>
      </c>
      <c r="B1880" t="str">
        <f>"1551686040608251"</f>
        <v>1551686040608251</v>
      </c>
      <c r="C1880" t="s">
        <v>40</v>
      </c>
      <c r="D1880">
        <v>4.4104349999999997</v>
      </c>
      <c r="E1880">
        <v>0.45026359999999899</v>
      </c>
      <c r="F1880" t="s">
        <v>51</v>
      </c>
      <c r="G1880">
        <v>-489.28800000000001</v>
      </c>
      <c r="H1880" s="1">
        <v>2.5883599999999998E-6</v>
      </c>
      <c r="I1880">
        <v>277.27460000000002</v>
      </c>
      <c r="J1880">
        <v>-475.01479999999998</v>
      </c>
      <c r="K1880">
        <v>1.1146370000000001</v>
      </c>
      <c r="L1880">
        <v>281.48930000000001</v>
      </c>
      <c r="M1880">
        <v>-0.99562200000000001</v>
      </c>
      <c r="N1880">
        <v>-1.447678E-2</v>
      </c>
      <c r="O1880">
        <v>-9.2342240000000006E-2</v>
      </c>
      <c r="P1880">
        <v>-0.9486966</v>
      </c>
      <c r="Q1880">
        <v>0.19648160000000001</v>
      </c>
      <c r="R1880">
        <v>-0.2477297</v>
      </c>
      <c r="S1880">
        <v>-2.9835210000000001</v>
      </c>
      <c r="T1880">
        <v>-0.22831760000000001</v>
      </c>
      <c r="U1880">
        <v>-0.86972050000000001</v>
      </c>
      <c r="V1880">
        <v>-0.16114429999999999</v>
      </c>
      <c r="W1880">
        <v>0.2088739</v>
      </c>
      <c r="X1880">
        <v>0.96457459999999995</v>
      </c>
      <c r="Y1880">
        <v>-0.1895529</v>
      </c>
      <c r="Z1880">
        <v>-2.9286899999999999E-3</v>
      </c>
      <c r="AA1880">
        <v>0.98186609999999996</v>
      </c>
      <c r="AB1880">
        <v>31</v>
      </c>
      <c r="AC1880">
        <v>-14.273199999999999</v>
      </c>
      <c r="AD1880">
        <v>-1.11463441164</v>
      </c>
      <c r="AE1880">
        <v>-4.2146999999999899</v>
      </c>
      <c r="AF1880">
        <v>-2.86247397354439</v>
      </c>
      <c r="AG1880">
        <v>-1.11463441164</v>
      </c>
      <c r="AH1880">
        <v>14.519989996606</v>
      </c>
      <c r="AI1880">
        <v>94.307151948903595</v>
      </c>
      <c r="AJ1880">
        <v>101.152294718859</v>
      </c>
      <c r="AK1880">
        <v>14.841370442865699</v>
      </c>
      <c r="AL1880">
        <v>77.943631620378497</v>
      </c>
      <c r="AM1880">
        <v>99.484390637955798</v>
      </c>
      <c r="AN1880">
        <v>0.99999997524442896</v>
      </c>
    </row>
    <row r="1881" spans="1:40" x14ac:dyDescent="0.25">
      <c r="A1881" t="str">
        <f>"20190304155400639"</f>
        <v>20190304155400639</v>
      </c>
      <c r="B1881" t="str">
        <f>"1551686040628748"</f>
        <v>1551686040628748</v>
      </c>
      <c r="C1881" t="s">
        <v>40</v>
      </c>
      <c r="D1881">
        <v>4.4417869999999997</v>
      </c>
      <c r="E1881">
        <v>0.44780189999999997</v>
      </c>
      <c r="F1881" t="s">
        <v>51</v>
      </c>
      <c r="G1881">
        <v>-490.38990000000001</v>
      </c>
      <c r="H1881" s="1">
        <v>2.1100550000000002E-6</v>
      </c>
      <c r="I1881">
        <v>275.69380000000001</v>
      </c>
      <c r="J1881">
        <v>-475.32139999999998</v>
      </c>
      <c r="K1881">
        <v>1.1147959999999999</v>
      </c>
      <c r="L1881">
        <v>281.45530000000002</v>
      </c>
      <c r="M1881">
        <v>-0.99510350000000003</v>
      </c>
      <c r="N1881">
        <v>-1.448751E-2</v>
      </c>
      <c r="O1881">
        <v>-9.7771579999999997E-2</v>
      </c>
      <c r="P1881">
        <v>-0.94709410000000005</v>
      </c>
      <c r="Q1881">
        <v>0.19594790000000001</v>
      </c>
      <c r="R1881">
        <v>-0.25419999999999998</v>
      </c>
      <c r="S1881">
        <v>-2.918793</v>
      </c>
      <c r="T1881">
        <v>-0.2116016</v>
      </c>
      <c r="U1881">
        <v>-1.10022</v>
      </c>
      <c r="V1881">
        <v>-0.1625356</v>
      </c>
      <c r="W1881">
        <v>0.20827319999999999</v>
      </c>
      <c r="X1881">
        <v>0.96447099999999997</v>
      </c>
      <c r="Y1881">
        <v>-0.25894889999999998</v>
      </c>
      <c r="Z1881">
        <v>-5.5750340000000004E-3</v>
      </c>
      <c r="AA1881">
        <v>0.96587489999999998</v>
      </c>
      <c r="AB1881">
        <v>31</v>
      </c>
      <c r="AC1881">
        <v>-15.0685</v>
      </c>
      <c r="AD1881">
        <v>-1.1147938899449901</v>
      </c>
      <c r="AE1881">
        <v>-5.7615000000000096</v>
      </c>
      <c r="AF1881">
        <v>-4.2402167388662804</v>
      </c>
      <c r="AG1881">
        <v>-1.1147938899449901</v>
      </c>
      <c r="AH1881">
        <v>15.485712651409299</v>
      </c>
      <c r="AI1881">
        <v>93.971828482479694</v>
      </c>
      <c r="AJ1881">
        <v>105.313097605973</v>
      </c>
      <c r="AK1881">
        <v>16.094393425402401</v>
      </c>
      <c r="AL1881">
        <v>77.978822604985496</v>
      </c>
      <c r="AM1881">
        <v>99.565779522177706</v>
      </c>
      <c r="AN1881">
        <v>0.999999928473297</v>
      </c>
    </row>
    <row r="1882" spans="1:40" x14ac:dyDescent="0.25">
      <c r="A1882" t="str">
        <f>"20190304155400661"</f>
        <v>20190304155400661</v>
      </c>
      <c r="B1882" t="str">
        <f>"1551686040658028"</f>
        <v>1551686040658028</v>
      </c>
      <c r="C1882" t="s">
        <v>40</v>
      </c>
      <c r="D1882">
        <v>4.4480500000000003</v>
      </c>
      <c r="E1882">
        <v>0.44615700000000003</v>
      </c>
      <c r="F1882" t="s">
        <v>51</v>
      </c>
      <c r="G1882">
        <v>-491.3639</v>
      </c>
      <c r="H1882" s="1">
        <v>1.8355869999999999E-6</v>
      </c>
      <c r="I1882">
        <v>275.16180000000003</v>
      </c>
      <c r="J1882">
        <v>-475.61340000000001</v>
      </c>
      <c r="K1882">
        <v>1.1149560000000001</v>
      </c>
      <c r="L1882">
        <v>281.42099999999999</v>
      </c>
      <c r="M1882">
        <v>-0.99455830000000001</v>
      </c>
      <c r="N1882">
        <v>-1.4498820000000001E-2</v>
      </c>
      <c r="O1882">
        <v>-0.1031676</v>
      </c>
      <c r="P1882">
        <v>-0.94551249999999998</v>
      </c>
      <c r="Q1882">
        <v>0.19543369999999999</v>
      </c>
      <c r="R1882">
        <v>-0.26040740000000001</v>
      </c>
      <c r="S1882">
        <v>-2.9036249999999999</v>
      </c>
      <c r="T1882">
        <v>-0.2017728</v>
      </c>
      <c r="U1882">
        <v>-1.1390990000000001</v>
      </c>
      <c r="V1882">
        <v>-0.16369990000000001</v>
      </c>
      <c r="W1882">
        <v>0.2076935</v>
      </c>
      <c r="X1882">
        <v>0.96439920000000001</v>
      </c>
      <c r="Y1882">
        <v>-0.26665450000000002</v>
      </c>
      <c r="Z1882">
        <v>-5.5167710000000002E-3</v>
      </c>
      <c r="AA1882">
        <v>0.96377639999999998</v>
      </c>
      <c r="AB1882">
        <v>30</v>
      </c>
      <c r="AC1882">
        <v>-15.750499999999899</v>
      </c>
      <c r="AD1882">
        <v>-1.1149541644130001</v>
      </c>
      <c r="AE1882">
        <v>-6.2591999999999599</v>
      </c>
      <c r="AF1882">
        <v>-4.5808576325327497</v>
      </c>
      <c r="AG1882">
        <v>-1.1149541644130001</v>
      </c>
      <c r="AH1882">
        <v>16.241963526060299</v>
      </c>
      <c r="AI1882">
        <v>93.779983314847399</v>
      </c>
      <c r="AJ1882">
        <v>105.750490705148</v>
      </c>
      <c r="AK1882">
        <v>16.9123847703436</v>
      </c>
      <c r="AL1882">
        <v>78.012780789395507</v>
      </c>
      <c r="AM1882">
        <v>99.633726744403802</v>
      </c>
      <c r="AN1882">
        <v>1.0000000320814399</v>
      </c>
    </row>
    <row r="1883" spans="1:40" x14ac:dyDescent="0.25">
      <c r="A1883" t="str">
        <f>"20190304155400683"</f>
        <v>20190304155400683</v>
      </c>
      <c r="B1883" t="str">
        <f>"1551686040677833"</f>
        <v>1551686040677833</v>
      </c>
      <c r="C1883" t="s">
        <v>40</v>
      </c>
      <c r="D1883">
        <v>4.4162280000000003</v>
      </c>
      <c r="E1883">
        <v>0.4460422</v>
      </c>
      <c r="F1883" t="s">
        <v>51</v>
      </c>
      <c r="G1883">
        <v>-492.524</v>
      </c>
      <c r="H1883" s="1">
        <v>1.53291E-6</v>
      </c>
      <c r="I1883">
        <v>274.57670000000002</v>
      </c>
      <c r="J1883">
        <v>-475.91539999999998</v>
      </c>
      <c r="K1883">
        <v>1.1151359999999999</v>
      </c>
      <c r="L1883">
        <v>281.38350000000003</v>
      </c>
      <c r="M1883">
        <v>-0.99393569999999998</v>
      </c>
      <c r="N1883">
        <v>-1.451334E-2</v>
      </c>
      <c r="O1883">
        <v>-0.1090013</v>
      </c>
      <c r="P1883">
        <v>-0.94363419999999998</v>
      </c>
      <c r="Q1883">
        <v>0.19475770000000001</v>
      </c>
      <c r="R1883">
        <v>-0.26762720000000001</v>
      </c>
      <c r="S1883">
        <v>-2.8901370000000002</v>
      </c>
      <c r="T1883">
        <v>-0.1905539</v>
      </c>
      <c r="U1883">
        <v>-1.1697390000000001</v>
      </c>
      <c r="V1883">
        <v>-0.1654851</v>
      </c>
      <c r="W1883">
        <v>0.2069397</v>
      </c>
      <c r="X1883">
        <v>0.96425649999999996</v>
      </c>
      <c r="Y1883">
        <v>-0.2713796</v>
      </c>
      <c r="Z1883">
        <v>-5.3162620000000004E-3</v>
      </c>
      <c r="AA1883">
        <v>0.96245769999999997</v>
      </c>
      <c r="AB1883">
        <v>30</v>
      </c>
      <c r="AC1883">
        <v>-16.608599999999999</v>
      </c>
      <c r="AD1883">
        <v>-1.1151344670899901</v>
      </c>
      <c r="AE1883">
        <v>-6.8068000000000097</v>
      </c>
      <c r="AF1883">
        <v>-4.93663012043588</v>
      </c>
      <c r="AG1883">
        <v>-1.1151344670899901</v>
      </c>
      <c r="AH1883">
        <v>17.185315790207898</v>
      </c>
      <c r="AI1883">
        <v>93.568722334624695</v>
      </c>
      <c r="AJ1883">
        <v>106.027168367287</v>
      </c>
      <c r="AK1883">
        <v>17.915047324382201</v>
      </c>
      <c r="AL1883">
        <v>78.056928869425093</v>
      </c>
      <c r="AM1883">
        <v>99.738198474155595</v>
      </c>
      <c r="AN1883">
        <v>0.99999997777517402</v>
      </c>
    </row>
    <row r="1884" spans="1:40" x14ac:dyDescent="0.25">
      <c r="A1884" t="str">
        <f>"20190304155400706"</f>
        <v>20190304155400706</v>
      </c>
      <c r="B1884" t="str">
        <f>"1551686040698393"</f>
        <v>1551686040698393</v>
      </c>
      <c r="C1884" t="s">
        <v>40</v>
      </c>
      <c r="D1884">
        <v>4.4431699999999896</v>
      </c>
      <c r="E1884">
        <v>0.4460924</v>
      </c>
      <c r="F1884" t="s">
        <v>51</v>
      </c>
      <c r="G1884">
        <v>-492.79419999999999</v>
      </c>
      <c r="H1884" s="1">
        <v>1.4772229999999901E-6</v>
      </c>
      <c r="I1884">
        <v>274.39659999999998</v>
      </c>
      <c r="J1884">
        <v>-476.21089999999998</v>
      </c>
      <c r="K1884">
        <v>1.115308</v>
      </c>
      <c r="L1884">
        <v>281.34480000000002</v>
      </c>
      <c r="M1884">
        <v>-0.99326700000000001</v>
      </c>
      <c r="N1884">
        <v>-1.4528920000000001E-2</v>
      </c>
      <c r="O1884">
        <v>-0.1149332</v>
      </c>
      <c r="P1884">
        <v>-0.94161729999999999</v>
      </c>
      <c r="Q1884">
        <v>0.19486290000000001</v>
      </c>
      <c r="R1884">
        <v>-0.27456370000000002</v>
      </c>
      <c r="S1884">
        <v>-2.8802490000000001</v>
      </c>
      <c r="T1884">
        <v>-0.19028970000000001</v>
      </c>
      <c r="U1884">
        <v>-1.192261</v>
      </c>
      <c r="V1884">
        <v>-0.1669194</v>
      </c>
      <c r="W1884">
        <v>0.2069705</v>
      </c>
      <c r="X1884">
        <v>0.96400269999999999</v>
      </c>
      <c r="Y1884">
        <v>-0.27322729999999901</v>
      </c>
      <c r="Z1884">
        <v>-5.1088280000000002E-3</v>
      </c>
      <c r="AA1884">
        <v>0.96193589999999995</v>
      </c>
      <c r="AB1884">
        <v>30</v>
      </c>
      <c r="AC1884">
        <v>-16.583300000000001</v>
      </c>
      <c r="AD1884">
        <v>-1.115306522777</v>
      </c>
      <c r="AE1884">
        <v>-6.9482000000000399</v>
      </c>
      <c r="AF1884">
        <v>-4.9768237023186304</v>
      </c>
      <c r="AG1884">
        <v>-1.115306522777</v>
      </c>
      <c r="AH1884">
        <v>17.205842498059798</v>
      </c>
      <c r="AI1884">
        <v>93.563138446714802</v>
      </c>
      <c r="AJ1884">
        <v>106.132616551806</v>
      </c>
      <c r="AK1884">
        <v>17.945854643113201</v>
      </c>
      <c r="AL1884">
        <v>78.055125860397098</v>
      </c>
      <c r="AM1884">
        <v>99.823500408935502</v>
      </c>
      <c r="AN1884">
        <v>1.00000003978694</v>
      </c>
    </row>
    <row r="1885" spans="1:40" x14ac:dyDescent="0.25">
      <c r="A1885" t="str">
        <f>"20190304155400727"</f>
        <v>20190304155400727</v>
      </c>
      <c r="B1885" t="str">
        <f>"1551686040717913"</f>
        <v>1551686040717913</v>
      </c>
      <c r="C1885" t="s">
        <v>40</v>
      </c>
      <c r="D1885">
        <v>4.4538120000000001</v>
      </c>
      <c r="E1885">
        <v>0.44619399999999998</v>
      </c>
      <c r="F1885" t="s">
        <v>51</v>
      </c>
      <c r="G1885">
        <v>-493.20659999999998</v>
      </c>
      <c r="H1885" s="1">
        <v>1.400768E-6</v>
      </c>
      <c r="I1885">
        <v>274.17020000000002</v>
      </c>
      <c r="J1885">
        <v>-476.50569999999999</v>
      </c>
      <c r="K1885">
        <v>1.115467</v>
      </c>
      <c r="L1885">
        <v>281.30430000000001</v>
      </c>
      <c r="M1885">
        <v>-0.99254140000000002</v>
      </c>
      <c r="N1885">
        <v>-1.454399E-2</v>
      </c>
      <c r="O1885">
        <v>-0.1210384</v>
      </c>
      <c r="P1885">
        <v>-0.93939790000000001</v>
      </c>
      <c r="Q1885">
        <v>0.19550129999999999</v>
      </c>
      <c r="R1885">
        <v>-0.2816225</v>
      </c>
      <c r="S1885">
        <v>-2.8715820000000001</v>
      </c>
      <c r="T1885">
        <v>-0.18844089999999999</v>
      </c>
      <c r="U1885">
        <v>-1.2122189999999999</v>
      </c>
      <c r="V1885">
        <v>-0.1683326</v>
      </c>
      <c r="W1885">
        <v>0.20753859999999999</v>
      </c>
      <c r="X1885">
        <v>0.96363469999999996</v>
      </c>
      <c r="Y1885">
        <v>-0.27403899999999998</v>
      </c>
      <c r="Z1885">
        <v>-4.8433069999999998E-3</v>
      </c>
      <c r="AA1885">
        <v>0.96170639999999996</v>
      </c>
      <c r="AB1885">
        <v>30</v>
      </c>
      <c r="AC1885">
        <v>-16.700899999999901</v>
      </c>
      <c r="AD1885">
        <v>-1.1154655992319999</v>
      </c>
      <c r="AE1885">
        <v>-7.1340999999999797</v>
      </c>
      <c r="AF1885">
        <v>-5.0409563994219999</v>
      </c>
      <c r="AG1885">
        <v>-1.1154655992319999</v>
      </c>
      <c r="AH1885">
        <v>17.376124050971502</v>
      </c>
      <c r="AI1885">
        <v>93.528005828257406</v>
      </c>
      <c r="AJ1885">
        <v>106.17787832713</v>
      </c>
      <c r="AK1885">
        <v>18.126918986929201</v>
      </c>
      <c r="AL1885">
        <v>78.021853024493396</v>
      </c>
      <c r="AM1885">
        <v>99.908736879996994</v>
      </c>
      <c r="AN1885">
        <v>0.99999998487840402</v>
      </c>
    </row>
    <row r="1886" spans="1:40" x14ac:dyDescent="0.25">
      <c r="A1886" t="str">
        <f>"20190304155400751"</f>
        <v>20190304155400751</v>
      </c>
      <c r="B1886" t="str">
        <f>"1551686040748169"</f>
        <v>1551686040748169</v>
      </c>
      <c r="C1886" t="s">
        <v>40</v>
      </c>
      <c r="D1886">
        <v>4.4769540000000001</v>
      </c>
      <c r="E1886">
        <v>0.4464437</v>
      </c>
      <c r="F1886" t="s">
        <v>51</v>
      </c>
      <c r="G1886">
        <v>-493.65210000000002</v>
      </c>
      <c r="H1886" s="1">
        <v>1.3187420000000001E-6</v>
      </c>
      <c r="I1886">
        <v>273.92880000000002</v>
      </c>
      <c r="J1886">
        <v>-476.80939999999998</v>
      </c>
      <c r="K1886">
        <v>1.1156109999999999</v>
      </c>
      <c r="L1886">
        <v>281.26029999999997</v>
      </c>
      <c r="M1886">
        <v>-0.99172859999999996</v>
      </c>
      <c r="N1886">
        <v>-1.45579E-2</v>
      </c>
      <c r="O1886">
        <v>-0.12752430000000001</v>
      </c>
      <c r="P1886">
        <v>-0.93699679999999996</v>
      </c>
      <c r="Q1886">
        <v>0.1963269</v>
      </c>
      <c r="R1886">
        <v>-0.28895179999999998</v>
      </c>
      <c r="S1886">
        <v>-2.8630680000000002</v>
      </c>
      <c r="T1886">
        <v>-0.18625739999999999</v>
      </c>
      <c r="U1886">
        <v>-1.2315370000000001</v>
      </c>
      <c r="V1886">
        <v>-0.16966870000000001</v>
      </c>
      <c r="W1886">
        <v>0.2082975</v>
      </c>
      <c r="X1886">
        <v>0.9632366</v>
      </c>
      <c r="Y1886">
        <v>-0.27428029999999998</v>
      </c>
      <c r="Z1886">
        <v>-4.5427410000000003E-3</v>
      </c>
      <c r="AA1886">
        <v>0.96163900000000002</v>
      </c>
      <c r="AB1886">
        <v>30</v>
      </c>
      <c r="AC1886">
        <v>-16.842700000000001</v>
      </c>
      <c r="AD1886">
        <v>-1.1156096812580001</v>
      </c>
      <c r="AE1886">
        <v>-7.3314999999999397</v>
      </c>
      <c r="AF1886">
        <v>-5.1047191538385501</v>
      </c>
      <c r="AG1886">
        <v>-1.1156096812580001</v>
      </c>
      <c r="AH1886">
        <v>17.5753751691711</v>
      </c>
      <c r="AI1886">
        <v>93.488241931882996</v>
      </c>
      <c r="AJ1886">
        <v>106.195793104028</v>
      </c>
      <c r="AK1886">
        <v>18.335663471431801</v>
      </c>
      <c r="AL1886">
        <v>77.977400359525205</v>
      </c>
      <c r="AM1886">
        <v>99.9898521183475</v>
      </c>
      <c r="AN1886">
        <v>1.00000003192274</v>
      </c>
    </row>
    <row r="1887" spans="1:40" x14ac:dyDescent="0.25">
      <c r="A1887" t="str">
        <f>"20190304155400773"</f>
        <v>20190304155400773</v>
      </c>
      <c r="B1887" t="str">
        <f>"1551686040768667"</f>
        <v>1551686040768667</v>
      </c>
      <c r="C1887" t="s">
        <v>40</v>
      </c>
      <c r="D1887">
        <v>4.4574109999999996</v>
      </c>
      <c r="E1887">
        <v>0.4465654</v>
      </c>
      <c r="F1887" t="s">
        <v>51</v>
      </c>
      <c r="G1887">
        <v>-494.1071</v>
      </c>
      <c r="H1887" s="1">
        <v>1.233856E-6</v>
      </c>
      <c r="I1887">
        <v>273.67590000000001</v>
      </c>
      <c r="J1887">
        <v>-477.10669999999999</v>
      </c>
      <c r="K1887">
        <v>1.115745</v>
      </c>
      <c r="L1887">
        <v>281.21510000000001</v>
      </c>
      <c r="M1887">
        <v>-0.990865</v>
      </c>
      <c r="N1887">
        <v>-1.457138E-2</v>
      </c>
      <c r="O1887">
        <v>-0.1340684</v>
      </c>
      <c r="P1887">
        <v>-0.93454800000000005</v>
      </c>
      <c r="Q1887">
        <v>0.19693469999999999</v>
      </c>
      <c r="R1887">
        <v>-0.296373</v>
      </c>
      <c r="S1887">
        <v>-2.8543699999999999</v>
      </c>
      <c r="T1887">
        <v>-0.18409200000000001</v>
      </c>
      <c r="U1887">
        <v>-1.2515259999999999</v>
      </c>
      <c r="V1887">
        <v>-0.17104549999999999</v>
      </c>
      <c r="W1887">
        <v>0.20884079999999999</v>
      </c>
      <c r="X1887">
        <v>0.96287540000000005</v>
      </c>
      <c r="Y1887">
        <v>-0.27467249999999999</v>
      </c>
      <c r="Z1887">
        <v>-4.2539400000000003E-3</v>
      </c>
      <c r="AA1887">
        <v>0.96152839999999995</v>
      </c>
      <c r="AB1887">
        <v>30</v>
      </c>
      <c r="AC1887">
        <v>-17.000399999999999</v>
      </c>
      <c r="AD1887">
        <v>-1.1157437661439999</v>
      </c>
      <c r="AE1887">
        <v>-7.5391999999999904</v>
      </c>
      <c r="AF1887">
        <v>-5.1730437283788397</v>
      </c>
      <c r="AG1887">
        <v>-1.1157437661439999</v>
      </c>
      <c r="AH1887">
        <v>17.793717025471501</v>
      </c>
      <c r="AI1887">
        <v>93.445701485867602</v>
      </c>
      <c r="AJ1887">
        <v>106.210365673114</v>
      </c>
      <c r="AK1887">
        <v>18.563987479794399</v>
      </c>
      <c r="AL1887">
        <v>77.945571663519004</v>
      </c>
      <c r="AM1887">
        <v>100.07296367891099</v>
      </c>
      <c r="AN1887">
        <v>1.0000000393700199</v>
      </c>
    </row>
    <row r="1888" spans="1:40" x14ac:dyDescent="0.25">
      <c r="A1888" t="str">
        <f>"20190304155400795"</f>
        <v>20190304155400795</v>
      </c>
      <c r="B1888" t="str">
        <f>"1551686040788185"</f>
        <v>1551686040788185</v>
      </c>
      <c r="C1888" t="s">
        <v>40</v>
      </c>
      <c r="D1888">
        <v>4.456137</v>
      </c>
      <c r="E1888">
        <v>0.44672269999999997</v>
      </c>
      <c r="F1888" t="s">
        <v>51</v>
      </c>
      <c r="G1888">
        <v>-494.58139999999997</v>
      </c>
      <c r="H1888" s="1">
        <v>1.1424080000000001E-6</v>
      </c>
      <c r="I1888">
        <v>273.39550000000003</v>
      </c>
      <c r="J1888">
        <v>-477.40339999999998</v>
      </c>
      <c r="K1888">
        <v>1.1158809999999999</v>
      </c>
      <c r="L1888">
        <v>281.16789999999997</v>
      </c>
      <c r="M1888">
        <v>-0.98993039999999999</v>
      </c>
      <c r="N1888">
        <v>-1.458627E-2</v>
      </c>
      <c r="O1888">
        <v>-0.1408025</v>
      </c>
      <c r="P1888">
        <v>-0.93221270000000001</v>
      </c>
      <c r="Q1888">
        <v>0.1972439</v>
      </c>
      <c r="R1888">
        <v>-0.3034385</v>
      </c>
      <c r="S1888">
        <v>-2.8446959999999999</v>
      </c>
      <c r="T1888">
        <v>-0.18163080000000001</v>
      </c>
      <c r="U1888">
        <v>-1.2729490000000001</v>
      </c>
      <c r="V1888">
        <v>-0.17187479999999999</v>
      </c>
      <c r="W1888">
        <v>0.20909259999999999</v>
      </c>
      <c r="X1888">
        <v>0.962673</v>
      </c>
      <c r="Y1888">
        <v>-0.2754009</v>
      </c>
      <c r="Z1888">
        <v>-3.9786400000000003E-3</v>
      </c>
      <c r="AA1888">
        <v>0.96132119999999999</v>
      </c>
      <c r="AB1888">
        <v>30</v>
      </c>
      <c r="AC1888">
        <v>-17.177999999999901</v>
      </c>
      <c r="AD1888">
        <v>-1.1158798575919999</v>
      </c>
      <c r="AE1888">
        <v>-7.7723999999999398</v>
      </c>
      <c r="AF1888">
        <v>-5.25757449428035</v>
      </c>
      <c r="AG1888">
        <v>-1.1158798575919999</v>
      </c>
      <c r="AH1888">
        <v>18.038138601155499</v>
      </c>
      <c r="AI1888">
        <v>93.3988554935992</v>
      </c>
      <c r="AJ1888">
        <v>106.24981425018601</v>
      </c>
      <c r="AK1888">
        <v>18.821841610585899</v>
      </c>
      <c r="AL1888">
        <v>77.930818202768194</v>
      </c>
      <c r="AM1888">
        <v>100.122878266648</v>
      </c>
      <c r="AN1888">
        <v>0.99999998358939901</v>
      </c>
    </row>
    <row r="1889" spans="1:40" x14ac:dyDescent="0.25">
      <c r="A1889" t="str">
        <f>"20190304155400830"</f>
        <v>20190304155400830</v>
      </c>
      <c r="B1889" t="str">
        <f>"1551686040818442"</f>
        <v>1551686040818442</v>
      </c>
      <c r="C1889" t="s">
        <v>40</v>
      </c>
      <c r="D1889">
        <v>4.4756519999999904</v>
      </c>
      <c r="E1889">
        <v>0.44695509999999999</v>
      </c>
      <c r="F1889" t="s">
        <v>51</v>
      </c>
      <c r="G1889">
        <v>-494.87779999999998</v>
      </c>
      <c r="H1889" s="1">
        <v>1.0819979999999999E-6</v>
      </c>
      <c r="I1889">
        <v>273.20179999999999</v>
      </c>
      <c r="J1889">
        <v>-477.6952</v>
      </c>
      <c r="K1889">
        <v>1.1160319999999999</v>
      </c>
      <c r="L1889">
        <v>281.11930000000001</v>
      </c>
      <c r="M1889">
        <v>-0.98893560000000003</v>
      </c>
      <c r="N1889">
        <v>-1.460262E-2</v>
      </c>
      <c r="O1889">
        <v>-0.14762449999999999</v>
      </c>
      <c r="P1889">
        <v>-0.92975870000000005</v>
      </c>
      <c r="Q1889">
        <v>0.19724929999999999</v>
      </c>
      <c r="R1889">
        <v>-0.31087199999999998</v>
      </c>
      <c r="S1889">
        <v>-2.835693</v>
      </c>
      <c r="T1889">
        <v>-0.18108179999999999</v>
      </c>
      <c r="U1889">
        <v>-1.2927249999999999</v>
      </c>
      <c r="V1889">
        <v>-0.1730034</v>
      </c>
      <c r="W1889">
        <v>0.20903430000000001</v>
      </c>
      <c r="X1889">
        <v>0.96248350000000005</v>
      </c>
      <c r="Y1889">
        <v>-0.2754836</v>
      </c>
      <c r="Z1889">
        <v>-3.6800119999999999E-3</v>
      </c>
      <c r="AA1889">
        <v>0.96129869999999995</v>
      </c>
      <c r="AB1889">
        <v>30</v>
      </c>
      <c r="AC1889">
        <v>-17.182599999999901</v>
      </c>
      <c r="AD1889">
        <v>-1.1160309180019901</v>
      </c>
      <c r="AE1889">
        <v>-7.9175000000000102</v>
      </c>
      <c r="AF1889">
        <v>-5.2755318574847498</v>
      </c>
      <c r="AG1889">
        <v>-1.1160309180019901</v>
      </c>
      <c r="AH1889">
        <v>18.100254283624299</v>
      </c>
      <c r="AI1889">
        <v>93.387683520174406</v>
      </c>
      <c r="AJ1889">
        <v>106.249383935645</v>
      </c>
      <c r="AK1889">
        <v>18.886396334958501</v>
      </c>
      <c r="AL1889">
        <v>77.934234247333194</v>
      </c>
      <c r="AM1889">
        <v>100.189925179315</v>
      </c>
      <c r="AN1889">
        <v>1.00000000138015</v>
      </c>
    </row>
    <row r="1890" spans="1:40" x14ac:dyDescent="0.25">
      <c r="A1890" t="str">
        <f>"20190304155400847"</f>
        <v>20190304155400847</v>
      </c>
      <c r="B1890" t="str">
        <f>"1551686040837962"</f>
        <v>1551686040837962</v>
      </c>
      <c r="C1890" t="s">
        <v>40</v>
      </c>
      <c r="D1890">
        <v>4.4661220000000004</v>
      </c>
      <c r="E1890">
        <v>0.44722990000000001</v>
      </c>
      <c r="F1890" t="s">
        <v>51</v>
      </c>
      <c r="G1890">
        <v>-495.01990000000001</v>
      </c>
      <c r="H1890" s="1">
        <v>1.0471910000000001E-6</v>
      </c>
      <c r="I1890">
        <v>273.07569999999998</v>
      </c>
      <c r="J1890">
        <v>-478.0729</v>
      </c>
      <c r="K1890">
        <v>1.116233</v>
      </c>
      <c r="L1890">
        <v>281.05270000000002</v>
      </c>
      <c r="M1890">
        <v>-0.98752459999999997</v>
      </c>
      <c r="N1890">
        <v>-1.4626399999999999E-2</v>
      </c>
      <c r="O1890">
        <v>-0.15678349999999999</v>
      </c>
      <c r="P1890">
        <v>-0.92627170000000003</v>
      </c>
      <c r="Q1890">
        <v>0.19786210000000001</v>
      </c>
      <c r="R1890">
        <v>-0.32073620000000003</v>
      </c>
      <c r="S1890">
        <v>-2.8264770000000001</v>
      </c>
      <c r="T1890">
        <v>-0.1820773</v>
      </c>
      <c r="U1890">
        <v>-1.3122860000000001</v>
      </c>
      <c r="V1890">
        <v>-0.1744523</v>
      </c>
      <c r="W1890">
        <v>0.20955750000000001</v>
      </c>
      <c r="X1890">
        <v>0.96210810000000002</v>
      </c>
      <c r="Y1890">
        <v>-0.27325389999999999</v>
      </c>
      <c r="Z1890">
        <v>-3.1834630000000001E-3</v>
      </c>
      <c r="AA1890">
        <v>0.96193669999999998</v>
      </c>
      <c r="AB1890">
        <v>30</v>
      </c>
      <c r="AC1890">
        <v>-16.946999999999999</v>
      </c>
      <c r="AD1890">
        <v>-1.1162319528089999</v>
      </c>
      <c r="AE1890">
        <v>-7.9770000000000296</v>
      </c>
      <c r="AF1890">
        <v>-5.2025559803094596</v>
      </c>
      <c r="AG1890">
        <v>-1.1162319528089999</v>
      </c>
      <c r="AH1890">
        <v>17.9245087591081</v>
      </c>
      <c r="AI1890">
        <v>93.422546210760402</v>
      </c>
      <c r="AJ1890">
        <v>106.185274518474</v>
      </c>
      <c r="AK1890">
        <v>18.697608851296199</v>
      </c>
      <c r="AL1890">
        <v>77.903577791224194</v>
      </c>
      <c r="AM1890">
        <v>100.277378589685</v>
      </c>
      <c r="AN1890">
        <v>0.99999997343357405</v>
      </c>
    </row>
    <row r="1891" spans="1:40" x14ac:dyDescent="0.25">
      <c r="A1891" t="str">
        <f>"20190304155400863"</f>
        <v>20190304155400863</v>
      </c>
      <c r="B1891" t="str">
        <f>"1551686040858457"</f>
        <v>1551686040858457</v>
      </c>
      <c r="C1891" t="s">
        <v>40</v>
      </c>
      <c r="D1891">
        <v>4.4908599999999996</v>
      </c>
      <c r="E1891">
        <v>0.44737060000000001</v>
      </c>
      <c r="F1891" t="s">
        <v>51</v>
      </c>
      <c r="G1891">
        <v>-495.38959999999997</v>
      </c>
      <c r="H1891" s="1">
        <v>9.6702819999999897E-7</v>
      </c>
      <c r="I1891">
        <v>272.80669999999998</v>
      </c>
      <c r="J1891">
        <v>-478.28989999999999</v>
      </c>
      <c r="K1891">
        <v>1.116355</v>
      </c>
      <c r="L1891">
        <v>281.01280000000003</v>
      </c>
      <c r="M1891">
        <v>-0.9866492</v>
      </c>
      <c r="N1891">
        <v>-1.4640800000000001E-2</v>
      </c>
      <c r="O1891">
        <v>-0.1622006</v>
      </c>
      <c r="P1891">
        <v>-0.92428670000000002</v>
      </c>
      <c r="Q1891">
        <v>0.19661809999999999</v>
      </c>
      <c r="R1891">
        <v>-0.32716269999999997</v>
      </c>
      <c r="S1891">
        <v>-2.8136290000000002</v>
      </c>
      <c r="T1891">
        <v>-0.18136540000000001</v>
      </c>
      <c r="U1891">
        <v>-1.3398129999999999</v>
      </c>
      <c r="V1891">
        <v>-0.17586370000000001</v>
      </c>
      <c r="W1891">
        <v>0.208255</v>
      </c>
      <c r="X1891">
        <v>0.96213400000000004</v>
      </c>
      <c r="Y1891">
        <v>-0.27734779999999998</v>
      </c>
      <c r="Z1891">
        <v>-3.1034769999999999E-3</v>
      </c>
      <c r="AA1891">
        <v>0.96076459999999997</v>
      </c>
      <c r="AB1891">
        <v>30</v>
      </c>
      <c r="AC1891">
        <v>-17.099699999999899</v>
      </c>
      <c r="AD1891">
        <v>-1.1163540329718</v>
      </c>
      <c r="AE1891">
        <v>-8.2061000000000401</v>
      </c>
      <c r="AF1891">
        <v>-5.3051522701723197</v>
      </c>
      <c r="AG1891">
        <v>-1.1163540329718</v>
      </c>
      <c r="AH1891">
        <v>18.141542838961499</v>
      </c>
      <c r="AI1891">
        <v>93.3800881105131</v>
      </c>
      <c r="AJ1891">
        <v>106.300564127602</v>
      </c>
      <c r="AK1891">
        <v>18.934266912519298</v>
      </c>
      <c r="AL1891">
        <v>77.979889760710805</v>
      </c>
      <c r="AM1891">
        <v>100.358461425679</v>
      </c>
      <c r="AN1891">
        <v>1.00000000997934</v>
      </c>
    </row>
    <row r="1892" spans="1:40" x14ac:dyDescent="0.25">
      <c r="A1892" t="str">
        <f>"20190304155400884"</f>
        <v>20190304155400884</v>
      </c>
      <c r="B1892" t="str">
        <f>"1551686040877977"</f>
        <v>1551686040877977</v>
      </c>
      <c r="C1892" t="s">
        <v>40</v>
      </c>
      <c r="D1892">
        <v>4.4915949999999896</v>
      </c>
      <c r="E1892">
        <v>0.45151590000000003</v>
      </c>
      <c r="F1892" t="s">
        <v>51</v>
      </c>
      <c r="G1892">
        <v>-495.14240000000001</v>
      </c>
      <c r="H1892" s="1">
        <v>9.9739530000000007E-7</v>
      </c>
      <c r="I1892">
        <v>272.8546</v>
      </c>
      <c r="J1892">
        <v>-478.5677</v>
      </c>
      <c r="K1892">
        <v>1.116503</v>
      </c>
      <c r="L1892">
        <v>280.95960000000002</v>
      </c>
      <c r="M1892">
        <v>-0.98545240000000001</v>
      </c>
      <c r="N1892">
        <v>-1.466024E-2</v>
      </c>
      <c r="O1892">
        <v>-0.1693181</v>
      </c>
      <c r="P1892">
        <v>-0.92170419999999997</v>
      </c>
      <c r="Q1892">
        <v>0.1952197</v>
      </c>
      <c r="R1892">
        <v>-0.33518730000000002</v>
      </c>
      <c r="S1892">
        <v>-2.8046880000000001</v>
      </c>
      <c r="T1892">
        <v>-0.18578910000000001</v>
      </c>
      <c r="U1892">
        <v>-1.3577269999999999</v>
      </c>
      <c r="V1892">
        <v>-0.1772957</v>
      </c>
      <c r="W1892">
        <v>0.2067908</v>
      </c>
      <c r="X1892">
        <v>0.96218700000000001</v>
      </c>
      <c r="Y1892">
        <v>-0.2765784</v>
      </c>
      <c r="Z1892">
        <v>-2.7149959999999999E-3</v>
      </c>
      <c r="AA1892">
        <v>0.96098760000000005</v>
      </c>
      <c r="AB1892">
        <v>30</v>
      </c>
      <c r="AC1892">
        <v>-16.5747</v>
      </c>
      <c r="AD1892">
        <v>-1.1165020026046999</v>
      </c>
      <c r="AE1892">
        <v>-8.1050000000000093</v>
      </c>
      <c r="AF1892">
        <v>-5.1623475199391597</v>
      </c>
      <c r="AG1892">
        <v>-1.1165020026046999</v>
      </c>
      <c r="AH1892">
        <v>17.643195513843601</v>
      </c>
      <c r="AI1892">
        <v>93.475635318364397</v>
      </c>
      <c r="AJ1892">
        <v>106.30932185487301</v>
      </c>
      <c r="AK1892">
        <v>18.416806362074698</v>
      </c>
      <c r="AL1892">
        <v>78.065649238223401</v>
      </c>
      <c r="AM1892">
        <v>100.440396809974</v>
      </c>
      <c r="AN1892">
        <v>1.0000000115860599</v>
      </c>
    </row>
    <row r="1893" spans="1:40" x14ac:dyDescent="0.25">
      <c r="A1893" t="str">
        <f>"20190304155400907"</f>
        <v>20190304155400907</v>
      </c>
      <c r="B1893" t="str">
        <f>"1551686040898473"</f>
        <v>1551686040898473</v>
      </c>
      <c r="C1893" t="s">
        <v>40</v>
      </c>
      <c r="D1893">
        <v>4.4837499999999997</v>
      </c>
      <c r="E1893">
        <v>0.451735</v>
      </c>
      <c r="F1893" t="s">
        <v>51</v>
      </c>
      <c r="G1893">
        <v>-493.77390000000003</v>
      </c>
      <c r="H1893" s="1">
        <v>1.2585539999999999E-6</v>
      </c>
      <c r="I1893">
        <v>273.64839999999998</v>
      </c>
      <c r="J1893">
        <v>-478.86040000000003</v>
      </c>
      <c r="K1893">
        <v>1.1166689999999999</v>
      </c>
      <c r="L1893">
        <v>280.90100000000001</v>
      </c>
      <c r="M1893">
        <v>-0.98409380000000002</v>
      </c>
      <c r="N1893">
        <v>-1.468014E-2</v>
      </c>
      <c r="O1893">
        <v>-0.17704239999999999</v>
      </c>
      <c r="P1893">
        <v>-0.91850980000000004</v>
      </c>
      <c r="Q1893">
        <v>0.1947179</v>
      </c>
      <c r="R1893">
        <v>-0.34412930000000003</v>
      </c>
      <c r="S1893">
        <v>-2.807617</v>
      </c>
      <c r="T1893">
        <v>-0.2061471</v>
      </c>
      <c r="U1893">
        <v>-1.349915</v>
      </c>
      <c r="V1893">
        <v>-0.17916000000000001</v>
      </c>
      <c r="W1893">
        <v>0.206209</v>
      </c>
      <c r="X1893">
        <v>0.96196649999999995</v>
      </c>
      <c r="Y1893">
        <v>-0.26642850000000001</v>
      </c>
      <c r="Z1893">
        <v>-1.6830090000000001E-3</v>
      </c>
      <c r="AA1893">
        <v>0.96385319999999997</v>
      </c>
      <c r="AB1893">
        <v>30</v>
      </c>
      <c r="AC1893">
        <v>-14.913500000000001</v>
      </c>
      <c r="AD1893">
        <v>-1.116667741446</v>
      </c>
      <c r="AE1893">
        <v>-7.2526000000000197</v>
      </c>
      <c r="AF1893">
        <v>-4.47710139811866</v>
      </c>
      <c r="AG1893">
        <v>-1.116667741446</v>
      </c>
      <c r="AH1893">
        <v>15.8899722445937</v>
      </c>
      <c r="AI1893">
        <v>93.869669712514906</v>
      </c>
      <c r="AJ1893">
        <v>105.735522075438</v>
      </c>
      <c r="AK1893">
        <v>16.5463772986047</v>
      </c>
      <c r="AL1893">
        <v>78.099718111342497</v>
      </c>
      <c r="AM1893">
        <v>100.55009189622</v>
      </c>
      <c r="AN1893">
        <v>1.00000000220162</v>
      </c>
    </row>
    <row r="1894" spans="1:40" x14ac:dyDescent="0.25">
      <c r="A1894" t="str">
        <f>"20190304155400929"</f>
        <v>20190304155400929</v>
      </c>
      <c r="B1894" t="str">
        <f>"1551686040917994"</f>
        <v>1551686040917994</v>
      </c>
      <c r="C1894" t="s">
        <v>40</v>
      </c>
      <c r="D1894">
        <v>4.5110869999999998</v>
      </c>
      <c r="E1894">
        <v>0.45226169999999999</v>
      </c>
      <c r="F1894" t="s">
        <v>51</v>
      </c>
      <c r="G1894">
        <v>-493.74209999999999</v>
      </c>
      <c r="H1894" s="1">
        <v>1.249704E-6</v>
      </c>
      <c r="I1894">
        <v>273.58210000000003</v>
      </c>
      <c r="J1894">
        <v>-479.1431</v>
      </c>
      <c r="K1894">
        <v>1.116833</v>
      </c>
      <c r="L1894">
        <v>280.84190000000001</v>
      </c>
      <c r="M1894">
        <v>-0.98267649999999995</v>
      </c>
      <c r="N1894">
        <v>-1.470102E-2</v>
      </c>
      <c r="O1894">
        <v>-0.18474489999999999</v>
      </c>
      <c r="P1894">
        <v>-0.9149796</v>
      </c>
      <c r="Q1894">
        <v>0.195384</v>
      </c>
      <c r="R1894">
        <v>-0.35304089999999999</v>
      </c>
      <c r="S1894">
        <v>-2.795563</v>
      </c>
      <c r="T1894">
        <v>-0.20976839999999999</v>
      </c>
      <c r="U1894">
        <v>-1.374878</v>
      </c>
      <c r="V1894">
        <v>-0.18109929999999999</v>
      </c>
      <c r="W1894">
        <v>0.20678849999999999</v>
      </c>
      <c r="X1894">
        <v>0.96147879999999997</v>
      </c>
      <c r="Y1894">
        <v>-0.26745140000000001</v>
      </c>
      <c r="Z1894">
        <v>-1.2619879999999999E-3</v>
      </c>
      <c r="AA1894">
        <v>0.9635705</v>
      </c>
      <c r="AB1894">
        <v>30</v>
      </c>
      <c r="AC1894">
        <v>-14.598999999999901</v>
      </c>
      <c r="AD1894">
        <v>-1.1168317502959999</v>
      </c>
      <c r="AE1894">
        <v>-7.2597999999999798</v>
      </c>
      <c r="AF1894">
        <v>-4.4167004370443399</v>
      </c>
      <c r="AG1894">
        <v>-1.1168317502959999</v>
      </c>
      <c r="AH1894">
        <v>15.6157316875058</v>
      </c>
      <c r="AI1894">
        <v>93.936884141442505</v>
      </c>
      <c r="AJ1894">
        <v>105.79284470307699</v>
      </c>
      <c r="AK1894">
        <v>16.266703170748201</v>
      </c>
      <c r="AL1894">
        <v>78.065783323536607</v>
      </c>
      <c r="AM1894">
        <v>100.666969823355</v>
      </c>
      <c r="AN1894">
        <v>0.99999996152108905</v>
      </c>
    </row>
    <row r="1895" spans="1:40" x14ac:dyDescent="0.25">
      <c r="A1895" t="str">
        <f>"20190304155400951"</f>
        <v>20190304155400951</v>
      </c>
      <c r="B1895" t="str">
        <f>"1551686040948250"</f>
        <v>1551686040948250</v>
      </c>
      <c r="C1895" t="s">
        <v>40</v>
      </c>
      <c r="D1895">
        <v>4.5035679999999996</v>
      </c>
      <c r="E1895">
        <v>0.45286690000000002</v>
      </c>
      <c r="F1895" t="s">
        <v>51</v>
      </c>
      <c r="G1895">
        <v>-493.96690000000001</v>
      </c>
      <c r="H1895" s="1">
        <v>1.1969830000000001E-6</v>
      </c>
      <c r="I1895">
        <v>273.39589999999998</v>
      </c>
      <c r="J1895">
        <v>-479.42989999999998</v>
      </c>
      <c r="K1895">
        <v>1.1170180000000001</v>
      </c>
      <c r="L1895">
        <v>280.77940000000001</v>
      </c>
      <c r="M1895">
        <v>-0.9811242</v>
      </c>
      <c r="N1895">
        <v>-1.4725159999999999E-2</v>
      </c>
      <c r="O1895">
        <v>-0.19281709999999999</v>
      </c>
      <c r="P1895">
        <v>-0.91153499999999998</v>
      </c>
      <c r="Q1895">
        <v>0.1956253</v>
      </c>
      <c r="R1895">
        <v>-0.36171110000000001</v>
      </c>
      <c r="S1895">
        <v>-2.7839969999999998</v>
      </c>
      <c r="T1895">
        <v>-0.20974870000000001</v>
      </c>
      <c r="U1895">
        <v>-1.398407</v>
      </c>
      <c r="V1895">
        <v>-0.1824315</v>
      </c>
      <c r="W1895">
        <v>0.20694950000000001</v>
      </c>
      <c r="X1895">
        <v>0.9611923</v>
      </c>
      <c r="Y1895">
        <v>-0.26764949999999998</v>
      </c>
      <c r="Z1895">
        <v>-8.3711419999999998E-4</v>
      </c>
      <c r="AA1895">
        <v>0.96351600000000004</v>
      </c>
      <c r="AB1895">
        <v>30</v>
      </c>
      <c r="AC1895">
        <v>-14.537000000000001</v>
      </c>
      <c r="AD1895">
        <v>-1.117016803017</v>
      </c>
      <c r="AE1895">
        <v>-7.3835000000000202</v>
      </c>
      <c r="AF1895">
        <v>-4.4208805261623301</v>
      </c>
      <c r="AG1895">
        <v>-1.117016803017</v>
      </c>
      <c r="AH1895">
        <v>15.6146810059979</v>
      </c>
      <c r="AI1895">
        <v>93.937503642331095</v>
      </c>
      <c r="AJ1895">
        <v>105.808055321607</v>
      </c>
      <c r="AK1895">
        <v>16.266842781680101</v>
      </c>
      <c r="AL1895">
        <v>78.056355127288299</v>
      </c>
      <c r="AM1895">
        <v>100.7467457712</v>
      </c>
      <c r="AN1895">
        <v>0.99999999266089501</v>
      </c>
    </row>
    <row r="1896" spans="1:40" x14ac:dyDescent="0.25">
      <c r="A1896" t="str">
        <f>"20190304155400975"</f>
        <v>20190304155400975</v>
      </c>
      <c r="B1896" t="str">
        <f>"1551686040968745"</f>
        <v>1551686040968745</v>
      </c>
      <c r="C1896" t="s">
        <v>40</v>
      </c>
      <c r="D1896">
        <v>4.4870929999999998</v>
      </c>
      <c r="E1896">
        <v>0.4562406</v>
      </c>
      <c r="F1896" t="s">
        <v>51</v>
      </c>
      <c r="G1896">
        <v>-494.19900000000001</v>
      </c>
      <c r="H1896" s="1">
        <v>1.144056E-6</v>
      </c>
      <c r="I1896">
        <v>273.21230000000003</v>
      </c>
      <c r="J1896">
        <v>-479.72770000000003</v>
      </c>
      <c r="K1896">
        <v>1.1172340000000001</v>
      </c>
      <c r="L1896">
        <v>280.7115</v>
      </c>
      <c r="M1896">
        <v>-0.97937739999999995</v>
      </c>
      <c r="N1896">
        <v>-1.4754E-2</v>
      </c>
      <c r="O1896">
        <v>-0.20149990000000001</v>
      </c>
      <c r="P1896">
        <v>-0.90757549999999998</v>
      </c>
      <c r="Q1896">
        <v>0.19590250000000001</v>
      </c>
      <c r="R1896">
        <v>-0.3713881</v>
      </c>
      <c r="S1896">
        <v>-2.772491</v>
      </c>
      <c r="T1896">
        <v>-0.20968880000000001</v>
      </c>
      <c r="U1896">
        <v>-1.4205019999999999</v>
      </c>
      <c r="V1896">
        <v>-0.18427070000000001</v>
      </c>
      <c r="W1896">
        <v>0.20712720000000001</v>
      </c>
      <c r="X1896">
        <v>0.96080319999999997</v>
      </c>
      <c r="Y1896">
        <v>-0.26683319999999999</v>
      </c>
      <c r="Z1896">
        <v>-3.3734230000000002E-4</v>
      </c>
      <c r="AA1896">
        <v>0.96374269999999995</v>
      </c>
      <c r="AB1896">
        <v>30</v>
      </c>
      <c r="AC1896">
        <v>-14.4712999999999</v>
      </c>
      <c r="AD1896">
        <v>-1.1172328559439999</v>
      </c>
      <c r="AE1896">
        <v>-7.4991999999999699</v>
      </c>
      <c r="AF1896">
        <v>-4.4083506203757103</v>
      </c>
      <c r="AG1896">
        <v>-1.1172328559439999</v>
      </c>
      <c r="AH1896">
        <v>15.6123039777031</v>
      </c>
      <c r="AI1896">
        <v>93.939641364489205</v>
      </c>
      <c r="AJ1896">
        <v>105.767762650196</v>
      </c>
      <c r="AK1896">
        <v>16.261174617436801</v>
      </c>
      <c r="AL1896">
        <v>78.045949219219693</v>
      </c>
      <c r="AM1896">
        <v>100.85682014746099</v>
      </c>
      <c r="AN1896">
        <v>1.00000007849428</v>
      </c>
    </row>
    <row r="1897" spans="1:40" x14ac:dyDescent="0.25">
      <c r="A1897" t="str">
        <f>"20190304155400996"</f>
        <v>20190304155400996</v>
      </c>
      <c r="B1897" t="str">
        <f>"1551686040988150"</f>
        <v>1551686040988150</v>
      </c>
      <c r="C1897" t="s">
        <v>40</v>
      </c>
      <c r="D1897">
        <v>4.5181779999999998</v>
      </c>
      <c r="E1897">
        <v>0.45673970000000003</v>
      </c>
      <c r="F1897" t="s">
        <v>51</v>
      </c>
      <c r="G1897">
        <v>-494.0752</v>
      </c>
      <c r="H1897" s="1">
        <v>1.1742459999999999E-6</v>
      </c>
      <c r="I1897">
        <v>273.32139999999998</v>
      </c>
      <c r="J1897">
        <v>-480.0093</v>
      </c>
      <c r="K1897">
        <v>1.1174550000000001</v>
      </c>
      <c r="L1897">
        <v>280.64449999999999</v>
      </c>
      <c r="M1897">
        <v>-0.97758590000000001</v>
      </c>
      <c r="N1897">
        <v>-1.478488E-2</v>
      </c>
      <c r="O1897">
        <v>-0.21001719999999999</v>
      </c>
      <c r="P1897">
        <v>-0.90342809999999996</v>
      </c>
      <c r="Q1897">
        <v>0.19631950000000001</v>
      </c>
      <c r="R1897">
        <v>-0.38115149999999998</v>
      </c>
      <c r="S1897">
        <v>-2.768494</v>
      </c>
      <c r="T1897">
        <v>-0.21558069999999999</v>
      </c>
      <c r="U1897">
        <v>-1.4259949999999999</v>
      </c>
      <c r="V1897">
        <v>-0.18640789999999999</v>
      </c>
      <c r="W1897">
        <v>0.20743510000000001</v>
      </c>
      <c r="X1897">
        <v>0.96032430000000002</v>
      </c>
      <c r="Y1897">
        <v>-0.26052900000000001</v>
      </c>
      <c r="Z1897">
        <v>5.3946669999999997E-4</v>
      </c>
      <c r="AA1897">
        <v>0.96546589999999999</v>
      </c>
      <c r="AB1897">
        <v>30</v>
      </c>
      <c r="AC1897">
        <v>-14.065899999999999</v>
      </c>
      <c r="AD1897">
        <v>-1.1174538257540001</v>
      </c>
      <c r="AE1897">
        <v>-7.3231000000000099</v>
      </c>
      <c r="AF1897">
        <v>-4.1845597016474203</v>
      </c>
      <c r="AG1897">
        <v>-1.1174538257540001</v>
      </c>
      <c r="AH1897">
        <v>15.2147254072226</v>
      </c>
      <c r="AI1897">
        <v>94.050694815351505</v>
      </c>
      <c r="AJ1897">
        <v>105.378037517724</v>
      </c>
      <c r="AK1897">
        <v>15.8192007436068</v>
      </c>
      <c r="AL1897">
        <v>78.027915166119399</v>
      </c>
      <c r="AM1897">
        <v>100.98503817917199</v>
      </c>
      <c r="AN1897">
        <v>0.99999999353245494</v>
      </c>
    </row>
    <row r="1898" spans="1:40" x14ac:dyDescent="0.25">
      <c r="A1898" t="str">
        <f>"20190304155401019"</f>
        <v>20190304155401019</v>
      </c>
      <c r="B1898" t="str">
        <f>"1551686041008646"</f>
        <v>1551686041008646</v>
      </c>
      <c r="C1898" t="s">
        <v>40</v>
      </c>
      <c r="D1898">
        <v>4.5060750000000001</v>
      </c>
      <c r="E1898">
        <v>0.45737220000000001</v>
      </c>
      <c r="F1898" t="s">
        <v>51</v>
      </c>
      <c r="G1898">
        <v>-494.13690000000003</v>
      </c>
      <c r="H1898" s="1">
        <v>1.1468890000000001E-6</v>
      </c>
      <c r="I1898">
        <v>273.19709999999998</v>
      </c>
      <c r="J1898">
        <v>-480.29509999999999</v>
      </c>
      <c r="K1898">
        <v>1.117694</v>
      </c>
      <c r="L1898">
        <v>280.57350000000002</v>
      </c>
      <c r="M1898">
        <v>-0.97561540000000002</v>
      </c>
      <c r="N1898">
        <v>-1.481967E-2</v>
      </c>
      <c r="O1898">
        <v>-0.21898609999999999</v>
      </c>
      <c r="P1898">
        <v>-0.89889379999999997</v>
      </c>
      <c r="Q1898">
        <v>0.196767</v>
      </c>
      <c r="R1898">
        <v>-0.39150119999999999</v>
      </c>
      <c r="S1898">
        <v>-2.7552189999999999</v>
      </c>
      <c r="T1898">
        <v>-0.2179307</v>
      </c>
      <c r="U1898">
        <v>-1.452423</v>
      </c>
      <c r="V1898">
        <v>-0.18877289999999999</v>
      </c>
      <c r="W1898">
        <v>0.2077611</v>
      </c>
      <c r="X1898">
        <v>0.95979170000000003</v>
      </c>
      <c r="Y1898">
        <v>-0.2608356</v>
      </c>
      <c r="Z1898">
        <v>1.0901179999999999E-3</v>
      </c>
      <c r="AA1898">
        <v>0.96538259999999998</v>
      </c>
      <c r="AB1898">
        <v>30</v>
      </c>
      <c r="AC1898">
        <v>-13.841799999999999</v>
      </c>
      <c r="AD1898">
        <v>-1.117692853111</v>
      </c>
      <c r="AE1898">
        <v>-7.3764000000000403</v>
      </c>
      <c r="AF1898">
        <v>-4.1447777965539903</v>
      </c>
      <c r="AG1898">
        <v>-1.117692853111</v>
      </c>
      <c r="AH1898">
        <v>15.0448645610828</v>
      </c>
      <c r="AI1898">
        <v>94.096665122875095</v>
      </c>
      <c r="AJ1898">
        <v>105.402589924125</v>
      </c>
      <c r="AK1898">
        <v>15.645330611975901</v>
      </c>
      <c r="AL1898">
        <v>78.008820771688605</v>
      </c>
      <c r="AM1898">
        <v>101.126971892445</v>
      </c>
      <c r="AN1898">
        <v>0.99999999491825498</v>
      </c>
    </row>
    <row r="1899" spans="1:40" x14ac:dyDescent="0.25">
      <c r="A1899" t="str">
        <f>"20190304155401040"</f>
        <v>20190304155401040</v>
      </c>
      <c r="B1899" t="str">
        <f>"1551686041037926"</f>
        <v>1551686041037926</v>
      </c>
      <c r="C1899" t="s">
        <v>40</v>
      </c>
      <c r="D1899">
        <v>4.549531</v>
      </c>
      <c r="E1899">
        <v>0.458092</v>
      </c>
      <c r="F1899" t="s">
        <v>51</v>
      </c>
      <c r="G1899">
        <v>-494.39350000000002</v>
      </c>
      <c r="H1899" s="1">
        <v>1.0832460000000001E-6</v>
      </c>
      <c r="I1899">
        <v>272.9649</v>
      </c>
      <c r="J1899">
        <v>-480.5702</v>
      </c>
      <c r="K1899">
        <v>1.117928</v>
      </c>
      <c r="L1899">
        <v>280.50220000000002</v>
      </c>
      <c r="M1899">
        <v>-0.97355919999999896</v>
      </c>
      <c r="N1899">
        <v>-1.4856589999999999E-2</v>
      </c>
      <c r="O1899">
        <v>-0.2279513</v>
      </c>
      <c r="P1899">
        <v>-0.89449679999999998</v>
      </c>
      <c r="Q1899">
        <v>0.19647770000000001</v>
      </c>
      <c r="R1899">
        <v>-0.40158739999999998</v>
      </c>
      <c r="S1899">
        <v>-2.7407530000000002</v>
      </c>
      <c r="T1899">
        <v>-0.21728249999999999</v>
      </c>
      <c r="U1899">
        <v>-1.4791259999999999</v>
      </c>
      <c r="V1899">
        <v>-0.19084719999999999</v>
      </c>
      <c r="W1899">
        <v>0.20735719999999999</v>
      </c>
      <c r="X1899">
        <v>0.95946880000000001</v>
      </c>
      <c r="Y1899">
        <v>-0.26138109999999998</v>
      </c>
      <c r="Z1899">
        <v>1.5501180000000001E-3</v>
      </c>
      <c r="AA1899">
        <v>0.96523440000000005</v>
      </c>
      <c r="AB1899">
        <v>30</v>
      </c>
      <c r="AC1899">
        <v>-13.8233</v>
      </c>
      <c r="AD1899">
        <v>-1.117926916754</v>
      </c>
      <c r="AE1899">
        <v>-7.5373000000000099</v>
      </c>
      <c r="AF1899">
        <v>-4.1664255968109103</v>
      </c>
      <c r="AG1899">
        <v>-1.117926916754</v>
      </c>
      <c r="AH1899">
        <v>15.1014789504358</v>
      </c>
      <c r="AI1899">
        <v>94.081793174812304</v>
      </c>
      <c r="AJ1899">
        <v>105.423925476275</v>
      </c>
      <c r="AK1899">
        <v>15.705525439647699</v>
      </c>
      <c r="AL1899">
        <v>78.032478033936002</v>
      </c>
      <c r="AM1899">
        <v>101.249827070471</v>
      </c>
      <c r="AN1899">
        <v>1.00000002015655</v>
      </c>
    </row>
    <row r="1900" spans="1:40" x14ac:dyDescent="0.25">
      <c r="A1900" t="str">
        <f>"20190304155401075"</f>
        <v>20190304155401075</v>
      </c>
      <c r="B1900" t="str">
        <f>"1551686041068186"</f>
        <v>1551686041068186</v>
      </c>
      <c r="C1900" t="s">
        <v>40</v>
      </c>
      <c r="D1900">
        <v>4.8835050000000004</v>
      </c>
      <c r="E1900">
        <v>0.45857350000000002</v>
      </c>
      <c r="F1900" t="s">
        <v>51</v>
      </c>
      <c r="G1900">
        <v>-494.53339999999997</v>
      </c>
      <c r="H1900" s="1">
        <v>1.041191E-6</v>
      </c>
      <c r="I1900">
        <v>272.79660000000001</v>
      </c>
      <c r="J1900">
        <v>-481.00009999999997</v>
      </c>
      <c r="K1900">
        <v>1.1183080000000001</v>
      </c>
      <c r="L1900">
        <v>280.38420000000002</v>
      </c>
      <c r="M1900">
        <v>-0.96999150000000001</v>
      </c>
      <c r="N1900">
        <v>-1.4921469999999999E-2</v>
      </c>
      <c r="O1900">
        <v>-0.2426808</v>
      </c>
      <c r="P1900">
        <v>-0.88739849999999998</v>
      </c>
      <c r="Q1900">
        <v>0.19497629999999999</v>
      </c>
      <c r="R1900">
        <v>-0.4177418</v>
      </c>
      <c r="S1900">
        <v>-2.726318</v>
      </c>
      <c r="T1900">
        <v>-0.21827530000000001</v>
      </c>
      <c r="U1900">
        <v>-1.5045170000000001</v>
      </c>
      <c r="V1900">
        <v>-0.19379679999999999</v>
      </c>
      <c r="W1900">
        <v>0.2056846</v>
      </c>
      <c r="X1900">
        <v>0.95923749999999997</v>
      </c>
      <c r="Y1900">
        <v>-0.25583329999999999</v>
      </c>
      <c r="Z1900">
        <v>2.6520039999999999E-3</v>
      </c>
      <c r="AA1900">
        <v>0.9667173</v>
      </c>
      <c r="AB1900">
        <v>30</v>
      </c>
      <c r="AC1900">
        <v>-13.533299999999899</v>
      </c>
      <c r="AD1900">
        <v>-1.118306958809</v>
      </c>
      <c r="AE1900">
        <v>-7.5876000000000001</v>
      </c>
      <c r="AF1900">
        <v>-4.0550221089158498</v>
      </c>
      <c r="AG1900">
        <v>-1.118306958809</v>
      </c>
      <c r="AH1900">
        <v>14.892844422528899</v>
      </c>
      <c r="AI1900">
        <v>94.143984293161196</v>
      </c>
      <c r="AJ1900">
        <v>105.23125769735</v>
      </c>
      <c r="AK1900">
        <v>15.4754847985957</v>
      </c>
      <c r="AL1900">
        <v>78.130421803315798</v>
      </c>
      <c r="AM1900">
        <v>101.421843167782</v>
      </c>
      <c r="AN1900">
        <v>0.99999996788682399</v>
      </c>
    </row>
    <row r="1901" spans="1:40" x14ac:dyDescent="0.25">
      <c r="A1901" t="str">
        <f>"20190304155401096"</f>
        <v>20190304155401096</v>
      </c>
      <c r="B1901" t="str">
        <f>"1551686041088678"</f>
        <v>1551686041088678</v>
      </c>
      <c r="C1901" t="s">
        <v>40</v>
      </c>
      <c r="D1901">
        <v>4.5482329999999997</v>
      </c>
      <c r="E1901">
        <v>0.45925909999999898</v>
      </c>
      <c r="F1901" t="s">
        <v>51</v>
      </c>
      <c r="G1901">
        <v>-494.54489999999998</v>
      </c>
      <c r="H1901" s="1">
        <v>1.0055960000000001E-6</v>
      </c>
      <c r="I1901">
        <v>272.6003</v>
      </c>
      <c r="J1901">
        <v>-481.27050000000003</v>
      </c>
      <c r="K1901">
        <v>1.1185339999999999</v>
      </c>
      <c r="L1901">
        <v>280.30610000000001</v>
      </c>
      <c r="M1901">
        <v>-0.96752819999999995</v>
      </c>
      <c r="N1901">
        <v>-1.4964180000000001E-2</v>
      </c>
      <c r="O1901">
        <v>-0.25232060000000001</v>
      </c>
      <c r="P1901">
        <v>-0.88230940000000002</v>
      </c>
      <c r="Q1901">
        <v>0.1944649</v>
      </c>
      <c r="R1901">
        <v>-0.42861880000000002</v>
      </c>
      <c r="S1901">
        <v>-2.6993710000000002</v>
      </c>
      <c r="T1901">
        <v>-0.22286900000000001</v>
      </c>
      <c r="U1901">
        <v>-1.5512699999999999</v>
      </c>
      <c r="V1901">
        <v>-0.19612599999999999</v>
      </c>
      <c r="W1901">
        <v>0.20505880000000001</v>
      </c>
      <c r="X1901">
        <v>0.95889809999999998</v>
      </c>
      <c r="Y1901">
        <v>-0.262943599999999</v>
      </c>
      <c r="Z1901">
        <v>3.0683149999999998E-3</v>
      </c>
      <c r="AA1901">
        <v>0.96480630000000001</v>
      </c>
      <c r="AB1901">
        <v>30</v>
      </c>
      <c r="AC1901">
        <v>-13.274399999999901</v>
      </c>
      <c r="AD1901">
        <v>-1.1185329944039999</v>
      </c>
      <c r="AE1901">
        <v>-7.7058000000000098</v>
      </c>
      <c r="AF1901">
        <v>-4.0849397402334597</v>
      </c>
      <c r="AG1901">
        <v>-1.1185329944039999</v>
      </c>
      <c r="AH1901">
        <v>14.711216009347501</v>
      </c>
      <c r="AI1901">
        <v>94.190047691586201</v>
      </c>
      <c r="AJ1901">
        <v>105.51865419847501</v>
      </c>
      <c r="AK1901">
        <v>15.308746689869499</v>
      </c>
      <c r="AL1901">
        <v>78.167059347795401</v>
      </c>
      <c r="AM1901">
        <v>101.559428359084</v>
      </c>
      <c r="AN1901">
        <v>1.0000000427585201</v>
      </c>
    </row>
    <row r="1902" spans="1:40" x14ac:dyDescent="0.25">
      <c r="A1902" t="str">
        <f>"20190304155401118"</f>
        <v>20190304155401118</v>
      </c>
      <c r="B1902" t="str">
        <f>"1551686041108198"</f>
        <v>1551686041108198</v>
      </c>
      <c r="C1902" t="s">
        <v>40</v>
      </c>
      <c r="D1902">
        <v>4.5211769999999998</v>
      </c>
      <c r="E1902">
        <v>0.4596769</v>
      </c>
      <c r="F1902" t="s">
        <v>51</v>
      </c>
      <c r="G1902">
        <v>-494.49160000000001</v>
      </c>
      <c r="H1902" s="1">
        <v>9.9514569999999998E-7</v>
      </c>
      <c r="I1902">
        <v>272.51409999999998</v>
      </c>
      <c r="J1902">
        <v>-481.54969999999997</v>
      </c>
      <c r="K1902">
        <v>1.1187549999999999</v>
      </c>
      <c r="L1902">
        <v>280.22210000000001</v>
      </c>
      <c r="M1902">
        <v>-0.96479239999999999</v>
      </c>
      <c r="N1902">
        <v>-1.5007329999999999E-2</v>
      </c>
      <c r="O1902">
        <v>-0.2625845</v>
      </c>
      <c r="P1902">
        <v>-0.87660490000000002</v>
      </c>
      <c r="Q1902">
        <v>0.19438659999999999</v>
      </c>
      <c r="R1902">
        <v>-0.44020239999999999</v>
      </c>
      <c r="S1902">
        <v>-2.68222</v>
      </c>
      <c r="T1902">
        <v>-0.2269207</v>
      </c>
      <c r="U1902">
        <v>-1.5807800000000001</v>
      </c>
      <c r="V1902">
        <v>-0.19868150000000001</v>
      </c>
      <c r="W1902">
        <v>0.20485900000000001</v>
      </c>
      <c r="X1902">
        <v>0.95841460000000001</v>
      </c>
      <c r="Y1902">
        <v>-0.26327800000000001</v>
      </c>
      <c r="Z1902">
        <v>3.821451E-3</v>
      </c>
      <c r="AA1902">
        <v>0.96471240000000003</v>
      </c>
      <c r="AB1902">
        <v>30</v>
      </c>
      <c r="AC1902">
        <v>-12.9419</v>
      </c>
      <c r="AD1902">
        <v>-1.1187540048543001</v>
      </c>
      <c r="AE1902">
        <v>-7.7080000000000197</v>
      </c>
      <c r="AF1902">
        <v>-4.0165764927267498</v>
      </c>
      <c r="AG1902">
        <v>-1.1187540048543001</v>
      </c>
      <c r="AH1902">
        <v>14.4322725915333</v>
      </c>
      <c r="AI1902">
        <v>94.270884013270702</v>
      </c>
      <c r="AJ1902">
        <v>105.552161493234</v>
      </c>
      <c r="AK1902">
        <v>15.0224827975147</v>
      </c>
      <c r="AL1902">
        <v>78.178755393009695</v>
      </c>
      <c r="AM1902">
        <v>101.711657830044</v>
      </c>
      <c r="AN1902">
        <v>1.0000000469082</v>
      </c>
    </row>
    <row r="1903" spans="1:40" x14ac:dyDescent="0.25">
      <c r="A1903" t="str">
        <f>"20190304155401142"</f>
        <v>20190304155401142</v>
      </c>
      <c r="B1903" t="str">
        <f>"1551686041138454"</f>
        <v>1551686041138454</v>
      </c>
      <c r="C1903" t="s">
        <v>40</v>
      </c>
      <c r="D1903">
        <v>4.5681200000000004</v>
      </c>
      <c r="E1903">
        <v>0.46100069999999999</v>
      </c>
      <c r="F1903" t="s">
        <v>51</v>
      </c>
      <c r="G1903">
        <v>-494.51170000000002</v>
      </c>
      <c r="H1903" s="1">
        <v>9.6890319999999991E-7</v>
      </c>
      <c r="I1903">
        <v>272.37520000000001</v>
      </c>
      <c r="J1903">
        <v>-481.82839999999999</v>
      </c>
      <c r="K1903">
        <v>1.118981</v>
      </c>
      <c r="L1903">
        <v>280.13479999999998</v>
      </c>
      <c r="M1903">
        <v>-0.9618487</v>
      </c>
      <c r="N1903">
        <v>-1.50509999999999E-2</v>
      </c>
      <c r="O1903">
        <v>-0.27316750000000001</v>
      </c>
      <c r="P1903">
        <v>-0.87071160000000003</v>
      </c>
      <c r="Q1903">
        <v>0.1938436</v>
      </c>
      <c r="R1903">
        <v>-0.4519804</v>
      </c>
      <c r="S1903">
        <v>-2.6635740000000001</v>
      </c>
      <c r="T1903">
        <v>-0.22989390000000001</v>
      </c>
      <c r="U1903">
        <v>-1.612457</v>
      </c>
      <c r="V1903">
        <v>-0.20114989999999999</v>
      </c>
      <c r="W1903">
        <v>0.20419390000000001</v>
      </c>
      <c r="X1903">
        <v>0.95804149999999999</v>
      </c>
      <c r="Y1903">
        <v>-0.26407770000000003</v>
      </c>
      <c r="Z1903">
        <v>4.5505570000000002E-3</v>
      </c>
      <c r="AA1903">
        <v>0.96449070000000003</v>
      </c>
      <c r="AB1903">
        <v>30</v>
      </c>
      <c r="AC1903">
        <v>-12.683299999999999</v>
      </c>
      <c r="AD1903">
        <v>-1.1189800310968001</v>
      </c>
      <c r="AE1903">
        <v>-7.7595999999999696</v>
      </c>
      <c r="AF1903">
        <v>-3.9768254210134701</v>
      </c>
      <c r="AG1903">
        <v>-1.1189800310968001</v>
      </c>
      <c r="AH1903">
        <v>14.240057348912</v>
      </c>
      <c r="AI1903">
        <v>94.328110218666595</v>
      </c>
      <c r="AJ1903">
        <v>105.603471136753</v>
      </c>
      <c r="AK1903">
        <v>14.8272212514521</v>
      </c>
      <c r="AL1903">
        <v>78.217684883960402</v>
      </c>
      <c r="AM1903">
        <v>101.857555814416</v>
      </c>
      <c r="AN1903">
        <v>0.99999997339473401</v>
      </c>
    </row>
    <row r="1904" spans="1:40" x14ac:dyDescent="0.25">
      <c r="A1904" t="str">
        <f>"20190304155401163"</f>
        <v>20190304155401163</v>
      </c>
      <c r="B1904" t="str">
        <f>"1551686041157977"</f>
        <v>1551686041157977</v>
      </c>
      <c r="C1904" t="s">
        <v>40</v>
      </c>
      <c r="D1904">
        <v>4.5773229999999998</v>
      </c>
      <c r="E1904">
        <v>0.46207199999999998</v>
      </c>
      <c r="F1904" t="s">
        <v>51</v>
      </c>
      <c r="G1904">
        <v>-494.63310000000001</v>
      </c>
      <c r="H1904" s="1">
        <v>9.1861610000000004E-7</v>
      </c>
      <c r="I1904">
        <v>272.21499999999997</v>
      </c>
      <c r="J1904">
        <v>-482.10129999999998</v>
      </c>
      <c r="K1904">
        <v>1.1192120000000001</v>
      </c>
      <c r="L1904">
        <v>280.0453</v>
      </c>
      <c r="M1904">
        <v>-0.95873319999999995</v>
      </c>
      <c r="N1904">
        <v>-1.5099069999999999E-2</v>
      </c>
      <c r="O1904">
        <v>-0.2839063</v>
      </c>
      <c r="P1904">
        <v>-0.86503419999999898</v>
      </c>
      <c r="Q1904">
        <v>0.19280079999999999</v>
      </c>
      <c r="R1904">
        <v>-0.46318920000000002</v>
      </c>
      <c r="S1904">
        <v>-2.6470950000000002</v>
      </c>
      <c r="T1904">
        <v>-0.2313238</v>
      </c>
      <c r="U1904">
        <v>-1.637238</v>
      </c>
      <c r="V1904">
        <v>-0.202844</v>
      </c>
      <c r="W1904">
        <v>0.2030478</v>
      </c>
      <c r="X1904">
        <v>0.95792790000000005</v>
      </c>
      <c r="Y1904">
        <v>-0.26252490000000001</v>
      </c>
      <c r="Z1904">
        <v>5.3434329999999999E-3</v>
      </c>
      <c r="AA1904">
        <v>0.96491039999999995</v>
      </c>
      <c r="AB1904">
        <v>29</v>
      </c>
      <c r="AC1904">
        <v>-12.5318</v>
      </c>
      <c r="AD1904">
        <v>-1.11921108138389</v>
      </c>
      <c r="AE1904">
        <v>-7.8303000000000198</v>
      </c>
      <c r="AF1904">
        <v>-3.92723282087589</v>
      </c>
      <c r="AG1904">
        <v>-1.11921108138389</v>
      </c>
      <c r="AH1904">
        <v>14.1581276490411</v>
      </c>
      <c r="AI1904">
        <v>94.356069650061499</v>
      </c>
      <c r="AJ1904">
        <v>105.503143479313</v>
      </c>
      <c r="AK1904">
        <v>14.735276366617599</v>
      </c>
      <c r="AL1904">
        <v>78.284756823271593</v>
      </c>
      <c r="AM1904">
        <v>101.955936227187</v>
      </c>
      <c r="AN1904">
        <v>0.99999997950962405</v>
      </c>
    </row>
    <row r="1905" spans="1:40" x14ac:dyDescent="0.25">
      <c r="A1905" t="str">
        <f>"20190304155401187"</f>
        <v>20190304155401187</v>
      </c>
      <c r="B1905" t="str">
        <f>"1551686041178470"</f>
        <v>1551686041178470</v>
      </c>
      <c r="C1905" t="s">
        <v>40</v>
      </c>
      <c r="D1905">
        <v>4.5405239999999996</v>
      </c>
      <c r="E1905">
        <v>0.46308139999999998</v>
      </c>
      <c r="F1905" t="s">
        <v>51</v>
      </c>
      <c r="G1905">
        <v>-494.60219999999998</v>
      </c>
      <c r="H1905" s="1">
        <v>8.9347619999999996E-7</v>
      </c>
      <c r="I1905">
        <v>272.14389999999997</v>
      </c>
      <c r="J1905">
        <v>-482.38339999999999</v>
      </c>
      <c r="K1905">
        <v>1.1194379999999999</v>
      </c>
      <c r="L1905">
        <v>279.94889999999998</v>
      </c>
      <c r="M1905">
        <v>-0.95528069999999998</v>
      </c>
      <c r="N1905">
        <v>-1.515236E-2</v>
      </c>
      <c r="O1905">
        <v>-0.29531230000000003</v>
      </c>
      <c r="P1905">
        <v>-0.85928389999999999</v>
      </c>
      <c r="Q1905">
        <v>0.19067480000000001</v>
      </c>
      <c r="R1905">
        <v>-0.47463080000000002</v>
      </c>
      <c r="S1905">
        <v>-2.6303709999999998</v>
      </c>
      <c r="T1905">
        <v>-0.23549809999999999</v>
      </c>
      <c r="U1905">
        <v>-1.6625669999999999</v>
      </c>
      <c r="V1905">
        <v>-0.20407620000000001</v>
      </c>
      <c r="W1905">
        <v>0.2008365</v>
      </c>
      <c r="X1905">
        <v>0.9581324</v>
      </c>
      <c r="Y1905">
        <v>-0.2604515</v>
      </c>
      <c r="Z1905">
        <v>6.358313E-3</v>
      </c>
      <c r="AA1905">
        <v>0.96546600000000005</v>
      </c>
      <c r="AB1905">
        <v>29</v>
      </c>
      <c r="AC1905">
        <v>-12.2187999999999</v>
      </c>
      <c r="AD1905">
        <v>-1.1194371065238</v>
      </c>
      <c r="AE1905">
        <v>-7.8049999999999997</v>
      </c>
      <c r="AF1905">
        <v>-3.82524247255343</v>
      </c>
      <c r="AG1905">
        <v>-1.1194371065238</v>
      </c>
      <c r="AH1905">
        <v>13.8960632307592</v>
      </c>
      <c r="AI1905">
        <v>94.441181442726801</v>
      </c>
      <c r="AJ1905">
        <v>105.390912815465</v>
      </c>
      <c r="AK1905">
        <v>14.456354752237701</v>
      </c>
      <c r="AL1905">
        <v>78.414121004957593</v>
      </c>
      <c r="AM1905">
        <v>102.02396337583301</v>
      </c>
      <c r="AN1905">
        <v>1.00000004553422</v>
      </c>
    </row>
    <row r="1906" spans="1:40" x14ac:dyDescent="0.25">
      <c r="A1906" t="str">
        <f>"20190304155401209"</f>
        <v>20190304155401209</v>
      </c>
      <c r="B1906" t="str">
        <f>"1551686041197990"</f>
        <v>1551686041197990</v>
      </c>
      <c r="C1906" t="s">
        <v>40</v>
      </c>
      <c r="D1906">
        <v>4.5919619999999997</v>
      </c>
      <c r="E1906">
        <v>0.46411980000000003</v>
      </c>
      <c r="F1906" t="s">
        <v>51</v>
      </c>
      <c r="G1906">
        <v>-494.40730000000002</v>
      </c>
      <c r="H1906" s="1">
        <v>9.0183329999999998E-7</v>
      </c>
      <c r="I1906">
        <v>272.16750000000002</v>
      </c>
      <c r="J1906">
        <v>-482.65100000000001</v>
      </c>
      <c r="K1906">
        <v>1.1196469999999901</v>
      </c>
      <c r="L1906">
        <v>279.8537</v>
      </c>
      <c r="M1906">
        <v>-0.95176970000000005</v>
      </c>
      <c r="N1906">
        <v>-1.520197E-2</v>
      </c>
      <c r="O1906">
        <v>-0.3064364</v>
      </c>
      <c r="P1906">
        <v>-0.85307770000000005</v>
      </c>
      <c r="Q1906">
        <v>0.18892030000000001</v>
      </c>
      <c r="R1906">
        <v>-0.48638199999999998</v>
      </c>
      <c r="S1906">
        <v>-2.6116640000000002</v>
      </c>
      <c r="T1906">
        <v>-0.24314640000000001</v>
      </c>
      <c r="U1906">
        <v>-1.6901550000000001</v>
      </c>
      <c r="V1906">
        <v>-0.2060053</v>
      </c>
      <c r="W1906">
        <v>0.19898070000000001</v>
      </c>
      <c r="X1906">
        <v>0.95810680000000004</v>
      </c>
      <c r="Y1906">
        <v>-0.25954110000000002</v>
      </c>
      <c r="Z1906">
        <v>7.5392150000000002E-3</v>
      </c>
      <c r="AA1906">
        <v>0.96570270000000002</v>
      </c>
      <c r="AB1906">
        <v>29</v>
      </c>
      <c r="AC1906">
        <v>-11.7563</v>
      </c>
      <c r="AD1906">
        <v>-1.11964609816669</v>
      </c>
      <c r="AE1906">
        <v>-7.6861999999999799</v>
      </c>
      <c r="AF1906">
        <v>-3.6899168163601401</v>
      </c>
      <c r="AG1906">
        <v>-1.11964609816669</v>
      </c>
      <c r="AH1906">
        <v>13.460655829743301</v>
      </c>
      <c r="AI1906">
        <v>94.586428619894605</v>
      </c>
      <c r="AJ1906">
        <v>105.329689381299</v>
      </c>
      <c r="AK1906">
        <v>14.002083732916301</v>
      </c>
      <c r="AL1906">
        <v>78.522641352372304</v>
      </c>
      <c r="AM1906">
        <v>102.134585394875</v>
      </c>
      <c r="AN1906">
        <v>1.0000000714034001</v>
      </c>
    </row>
    <row r="1907" spans="1:40" x14ac:dyDescent="0.25">
      <c r="A1907" t="str">
        <f>"20190304155401242"</f>
        <v>20190304155401242</v>
      </c>
      <c r="B1907" t="str">
        <f>"1551686041238009"</f>
        <v>1551686041238009</v>
      </c>
      <c r="C1907" t="s">
        <v>40</v>
      </c>
      <c r="D1907">
        <v>4.3852080000000004</v>
      </c>
      <c r="E1907">
        <v>0.42362650000000002</v>
      </c>
      <c r="F1907" t="s">
        <v>51</v>
      </c>
      <c r="G1907">
        <v>-494.34370000000001</v>
      </c>
      <c r="H1907" s="1">
        <v>8.7630809999999897E-7</v>
      </c>
      <c r="I1907">
        <v>272.09530000000001</v>
      </c>
      <c r="J1907">
        <v>-483.05079999999998</v>
      </c>
      <c r="K1907">
        <v>1.1199730000000001</v>
      </c>
      <c r="L1907">
        <v>279.7047</v>
      </c>
      <c r="M1907">
        <v>-0.94606639999999997</v>
      </c>
      <c r="N1907">
        <v>-1.5276730000000001E-2</v>
      </c>
      <c r="O1907">
        <v>-0.32361230000000002</v>
      </c>
      <c r="P1907">
        <v>-0.84182659999999998</v>
      </c>
      <c r="Q1907">
        <v>0.18819530000000001</v>
      </c>
      <c r="R1907">
        <v>-0.50587579999999999</v>
      </c>
      <c r="S1907">
        <v>-2.5913390000000001</v>
      </c>
      <c r="T1907">
        <v>-0.24813650000000001</v>
      </c>
      <c r="U1907">
        <v>-1.7194210000000001</v>
      </c>
      <c r="V1907">
        <v>-0.21080740000000001</v>
      </c>
      <c r="W1907">
        <v>0.19804040000000001</v>
      </c>
      <c r="X1907">
        <v>0.95725660000000001</v>
      </c>
      <c r="Y1907">
        <v>-0.25316470000000002</v>
      </c>
      <c r="Z1907">
        <v>9.2788469999999998E-3</v>
      </c>
      <c r="AA1907">
        <v>0.96737870000000004</v>
      </c>
      <c r="AB1907">
        <v>29</v>
      </c>
      <c r="AC1907">
        <v>-11.292899999999999</v>
      </c>
      <c r="AD1907">
        <v>-1.11997212369189</v>
      </c>
      <c r="AE1907">
        <v>-7.6093999999999902</v>
      </c>
      <c r="AF1907">
        <v>-3.5210722214396801</v>
      </c>
      <c r="AG1907">
        <v>-1.11997212369189</v>
      </c>
      <c r="AH1907">
        <v>13.0595237618412</v>
      </c>
      <c r="AI1907">
        <v>94.733420560306797</v>
      </c>
      <c r="AJ1907">
        <v>105.089130557049</v>
      </c>
      <c r="AK1907">
        <v>13.5721570884121</v>
      </c>
      <c r="AL1907">
        <v>78.577609458719195</v>
      </c>
      <c r="AM1907">
        <v>102.41946119153199</v>
      </c>
      <c r="AN1907">
        <v>0.99999997908523897</v>
      </c>
    </row>
    <row r="1908" spans="1:40" x14ac:dyDescent="0.25">
      <c r="A1908" t="str">
        <f>"20190304155401264"</f>
        <v>20190304155401264</v>
      </c>
      <c r="B1908" t="str">
        <f>"1551686041258502"</f>
        <v>1551686041258502</v>
      </c>
      <c r="C1908" t="s">
        <v>40</v>
      </c>
      <c r="D1908">
        <v>4.2972669999999997</v>
      </c>
      <c r="E1908">
        <v>0.42396080000000003</v>
      </c>
      <c r="F1908" t="s">
        <v>47</v>
      </c>
      <c r="G1908">
        <v>-510.88310000000001</v>
      </c>
      <c r="H1908">
        <v>-0.05</v>
      </c>
      <c r="I1908">
        <v>255.38239999999999</v>
      </c>
      <c r="J1908">
        <v>-483.31630000000001</v>
      </c>
      <c r="K1908">
        <v>1.1201989999999999</v>
      </c>
      <c r="L1908">
        <v>279.60019999999997</v>
      </c>
      <c r="M1908">
        <v>-0.94192189999999998</v>
      </c>
      <c r="N1908">
        <v>-1.533353E-2</v>
      </c>
      <c r="O1908">
        <v>-0.3354819</v>
      </c>
      <c r="P1908">
        <v>-0.83327260000000003</v>
      </c>
      <c r="Q1908">
        <v>0.18928059999999999</v>
      </c>
      <c r="R1908">
        <v>-0.51945169999999996</v>
      </c>
      <c r="S1908">
        <v>-2.351105</v>
      </c>
      <c r="T1908">
        <v>-9.8832370000000003E-2</v>
      </c>
      <c r="U1908">
        <v>-2.0545960000000001</v>
      </c>
      <c r="V1908">
        <v>-0.21451480000000001</v>
      </c>
      <c r="W1908">
        <v>0.19895959999999999</v>
      </c>
      <c r="X1908">
        <v>0.95624180000000003</v>
      </c>
      <c r="Y1908">
        <v>-0.36701780000000001</v>
      </c>
      <c r="Z1908">
        <v>-2.943321E-3</v>
      </c>
      <c r="AA1908">
        <v>0.93020930000000002</v>
      </c>
      <c r="AB1908">
        <v>29</v>
      </c>
      <c r="AC1908">
        <v>-27.566800000000001</v>
      </c>
      <c r="AD1908">
        <v>-1.170199</v>
      </c>
      <c r="AE1908">
        <v>-24.217799999999901</v>
      </c>
      <c r="AF1908">
        <v>-13.5509261372314</v>
      </c>
      <c r="AG1908">
        <v>-1.170199</v>
      </c>
      <c r="AH1908">
        <v>34.059773060327103</v>
      </c>
      <c r="AI1908">
        <v>91.828455602805803</v>
      </c>
      <c r="AJ1908">
        <v>111.695492493161</v>
      </c>
      <c r="AK1908">
        <v>36.675129253995699</v>
      </c>
      <c r="AL1908">
        <v>78.523873557486894</v>
      </c>
      <c r="AM1908">
        <v>102.643901278038</v>
      </c>
      <c r="AN1908">
        <v>0.99999995095921801</v>
      </c>
    </row>
    <row r="1909" spans="1:40" x14ac:dyDescent="0.25">
      <c r="A1909" t="str">
        <f>"20190304155401286"</f>
        <v>20190304155401286</v>
      </c>
      <c r="B1909" t="str">
        <f>"1551686041278022"</f>
        <v>1551686041278022</v>
      </c>
      <c r="C1909" t="s">
        <v>40</v>
      </c>
      <c r="D1909">
        <v>4.2453620000000001</v>
      </c>
      <c r="E1909">
        <v>0.42390080000000002</v>
      </c>
      <c r="F1909" t="s">
        <v>47</v>
      </c>
      <c r="G1909">
        <v>-508.1182</v>
      </c>
      <c r="H1909">
        <v>-0.05</v>
      </c>
      <c r="I1909">
        <v>257.26979999999998</v>
      </c>
      <c r="J1909">
        <v>-483.57740000000001</v>
      </c>
      <c r="K1909">
        <v>1.1204240000000001</v>
      </c>
      <c r="L1909">
        <v>279.49329999999998</v>
      </c>
      <c r="M1909">
        <v>-0.9375696</v>
      </c>
      <c r="N1909">
        <v>-1.539315E-2</v>
      </c>
      <c r="O1909">
        <v>-0.34745679999999901</v>
      </c>
      <c r="P1909">
        <v>-0.82469729999999997</v>
      </c>
      <c r="Q1909">
        <v>0.1899759</v>
      </c>
      <c r="R1909">
        <v>-0.53271349999999995</v>
      </c>
      <c r="S1909">
        <v>-2.32193</v>
      </c>
      <c r="T1909">
        <v>-0.109553</v>
      </c>
      <c r="U1909">
        <v>-2.0905459999999998</v>
      </c>
      <c r="V1909">
        <v>-0.2178156</v>
      </c>
      <c r="W1909">
        <v>0.19950499999999999</v>
      </c>
      <c r="X1909">
        <v>0.9553817</v>
      </c>
      <c r="Y1909">
        <v>-0.3689114</v>
      </c>
      <c r="Z1909">
        <v>-2.2137849999999998E-3</v>
      </c>
      <c r="AA1909">
        <v>0.92946200000000001</v>
      </c>
      <c r="AB1909">
        <v>29</v>
      </c>
      <c r="AC1909">
        <v>-24.540799999999901</v>
      </c>
      <c r="AD1909">
        <v>-1.1704239999999999</v>
      </c>
      <c r="AE1909">
        <v>-22.223500000000001</v>
      </c>
      <c r="AF1909">
        <v>-12.2953031443234</v>
      </c>
      <c r="AG1909">
        <v>-1.1704239999999999</v>
      </c>
      <c r="AH1909">
        <v>30.695694817277101</v>
      </c>
      <c r="AI1909">
        <v>92.027192593617599</v>
      </c>
      <c r="AJ1909">
        <v>111.82879978416899</v>
      </c>
      <c r="AK1909">
        <v>33.0873095319943</v>
      </c>
      <c r="AL1909">
        <v>78.491986147443498</v>
      </c>
      <c r="AM1909">
        <v>102.84323137941</v>
      </c>
      <c r="AN1909">
        <v>1.00000003666162</v>
      </c>
    </row>
    <row r="1910" spans="1:40" x14ac:dyDescent="0.25">
      <c r="A1910" t="str">
        <f>"20190304155401309"</f>
        <v>20190304155401309</v>
      </c>
      <c r="B1910" t="str">
        <f>"1551686041298518"</f>
        <v>1551686041298518</v>
      </c>
      <c r="C1910" t="s">
        <v>40</v>
      </c>
      <c r="D1910">
        <v>4.2434890000000003</v>
      </c>
      <c r="E1910">
        <v>0.42410219999999998</v>
      </c>
      <c r="F1910" t="s">
        <v>46</v>
      </c>
      <c r="G1910">
        <v>-504.6497</v>
      </c>
      <c r="H1910">
        <v>7.9986940000000006E-2</v>
      </c>
      <c r="I1910">
        <v>259.90519999999998</v>
      </c>
      <c r="J1910">
        <v>-483.8424</v>
      </c>
      <c r="K1910">
        <v>1.12064599999999</v>
      </c>
      <c r="L1910">
        <v>279.38060000000002</v>
      </c>
      <c r="M1910">
        <v>-0.93284310000000004</v>
      </c>
      <c r="N1910">
        <v>-1.5454259999999999E-2</v>
      </c>
      <c r="O1910">
        <v>-0.35995189999999999</v>
      </c>
      <c r="P1910">
        <v>-0.8166194</v>
      </c>
      <c r="Q1910">
        <v>0.18865309999999999</v>
      </c>
      <c r="R1910">
        <v>-0.54547489999999998</v>
      </c>
      <c r="S1910">
        <v>-2.2891849999999998</v>
      </c>
      <c r="T1910">
        <v>-0.113028</v>
      </c>
      <c r="U1910">
        <v>-2.1279599999999999</v>
      </c>
      <c r="V1910">
        <v>-0.21988779999999999</v>
      </c>
      <c r="W1910">
        <v>0.19806509999999999</v>
      </c>
      <c r="X1910">
        <v>0.95520660000000002</v>
      </c>
      <c r="Y1910">
        <v>-0.37126819999999999</v>
      </c>
      <c r="Z1910">
        <v>-1.819228E-3</v>
      </c>
      <c r="AA1910">
        <v>0.92852389999999996</v>
      </c>
      <c r="AB1910">
        <v>29</v>
      </c>
      <c r="AC1910">
        <v>-20.807300000000001</v>
      </c>
      <c r="AD1910">
        <v>-1.0406590600000001</v>
      </c>
      <c r="AE1910">
        <v>-19.4754</v>
      </c>
      <c r="AF1910">
        <v>-10.664918487840501</v>
      </c>
      <c r="AG1910">
        <v>-1.0406590600000001</v>
      </c>
      <c r="AH1910">
        <v>26.388119177041901</v>
      </c>
      <c r="AI1910">
        <v>92.093994401882</v>
      </c>
      <c r="AJ1910">
        <v>112.00639514549199</v>
      </c>
      <c r="AK1910">
        <v>28.480805665100299</v>
      </c>
      <c r="AL1910">
        <v>78.576166341636394</v>
      </c>
      <c r="AM1910">
        <v>102.96360420672799</v>
      </c>
      <c r="AN1910">
        <v>1.0000000385551999</v>
      </c>
    </row>
    <row r="1911" spans="1:40" x14ac:dyDescent="0.25">
      <c r="A1911" t="str">
        <f>"20190304155401330"</f>
        <v>20190304155401330</v>
      </c>
      <c r="B1911" t="str">
        <f>"1551686041328774"</f>
        <v>1551686041328774</v>
      </c>
      <c r="C1911" t="s">
        <v>40</v>
      </c>
      <c r="D1911">
        <v>4.0377720000000004</v>
      </c>
      <c r="E1911">
        <v>0.4246164</v>
      </c>
      <c r="F1911" t="s">
        <v>46</v>
      </c>
      <c r="G1911">
        <v>-503.46379999999999</v>
      </c>
      <c r="H1911">
        <v>7.9986689999999999E-2</v>
      </c>
      <c r="I1911">
        <v>260.5668</v>
      </c>
      <c r="J1911">
        <v>-484.09969999999998</v>
      </c>
      <c r="K1911">
        <v>1.1208769999999999</v>
      </c>
      <c r="L1911">
        <v>279.26679999999999</v>
      </c>
      <c r="M1911">
        <v>-0.927929</v>
      </c>
      <c r="N1911">
        <v>-1.551659E-2</v>
      </c>
      <c r="O1911">
        <v>-0.3724343</v>
      </c>
      <c r="P1911">
        <v>-0.80879999999999996</v>
      </c>
      <c r="Q1911">
        <v>0.1857164</v>
      </c>
      <c r="R1911">
        <v>-0.55798979999999998</v>
      </c>
      <c r="S1911">
        <v>-2.2562259999999998</v>
      </c>
      <c r="T1911">
        <v>-0.1196634</v>
      </c>
      <c r="U1911">
        <v>-2.1633610000000001</v>
      </c>
      <c r="V1911">
        <v>-0.2215799</v>
      </c>
      <c r="W1911">
        <v>0.19502340000000001</v>
      </c>
      <c r="X1911">
        <v>0.9554414</v>
      </c>
      <c r="Y1911">
        <v>-0.3731621</v>
      </c>
      <c r="Z1911">
        <v>-1.188953E-3</v>
      </c>
      <c r="AA1911">
        <v>0.92776539999999996</v>
      </c>
      <c r="AB1911">
        <v>29</v>
      </c>
      <c r="AC1911">
        <v>-19.364100000000001</v>
      </c>
      <c r="AD1911">
        <v>-1.04089031</v>
      </c>
      <c r="AE1911">
        <v>-18.6999999999999</v>
      </c>
      <c r="AF1911">
        <v>-10.126496342580699</v>
      </c>
      <c r="AG1911">
        <v>-1.04089031</v>
      </c>
      <c r="AH1911">
        <v>24.8988028903116</v>
      </c>
      <c r="AI1911">
        <v>92.217649119566204</v>
      </c>
      <c r="AJ1911">
        <v>112.13187805934101</v>
      </c>
      <c r="AK1911">
        <v>26.8994380272961</v>
      </c>
      <c r="AL1911">
        <v>78.753909712275103</v>
      </c>
      <c r="AM1911">
        <v>103.056856057747</v>
      </c>
      <c r="AN1911">
        <v>1.00000002373276</v>
      </c>
    </row>
    <row r="1912" spans="1:40" x14ac:dyDescent="0.25">
      <c r="A1912" t="str">
        <f>"20190304155401354"</f>
        <v>20190304155401354</v>
      </c>
      <c r="B1912" t="str">
        <f>"1551686041348294"</f>
        <v>1551686041348294</v>
      </c>
      <c r="C1912" t="s">
        <v>40</v>
      </c>
      <c r="D1912">
        <v>4.2513439999999996</v>
      </c>
      <c r="E1912">
        <v>0.42504969999999997</v>
      </c>
      <c r="F1912" t="s">
        <v>46</v>
      </c>
      <c r="G1912">
        <v>-501.73770000000002</v>
      </c>
      <c r="H1912">
        <v>7.9986230000000005E-2</v>
      </c>
      <c r="I1912">
        <v>261.86770000000001</v>
      </c>
      <c r="J1912">
        <v>-484.36320000000001</v>
      </c>
      <c r="K1912">
        <v>1.121119</v>
      </c>
      <c r="L1912">
        <v>279.1454</v>
      </c>
      <c r="M1912">
        <v>-0.92253879999999999</v>
      </c>
      <c r="N1912">
        <v>-1.5586289999999999E-2</v>
      </c>
      <c r="O1912">
        <v>-0.38558959999999998</v>
      </c>
      <c r="P1912">
        <v>-0.79955050000000005</v>
      </c>
      <c r="Q1912">
        <v>0.1854304</v>
      </c>
      <c r="R1912">
        <v>-0.57125700000000001</v>
      </c>
      <c r="S1912">
        <v>-2.2250670000000001</v>
      </c>
      <c r="T1912">
        <v>-0.13130999999999901</v>
      </c>
      <c r="U1912">
        <v>-2.1949160000000001</v>
      </c>
      <c r="V1912">
        <v>-0.22385150000000001</v>
      </c>
      <c r="W1912">
        <v>0.19460569999999999</v>
      </c>
      <c r="X1912">
        <v>0.95499690000000004</v>
      </c>
      <c r="Y1912">
        <v>-0.373108</v>
      </c>
      <c r="Z1912" s="1">
        <v>-9.9785629999999998E-5</v>
      </c>
      <c r="AA1912">
        <v>0.9277879</v>
      </c>
      <c r="AB1912">
        <v>29</v>
      </c>
      <c r="AC1912">
        <v>-17.374500000000001</v>
      </c>
      <c r="AD1912">
        <v>-1.0411327699999999</v>
      </c>
      <c r="AE1912">
        <v>-17.2776999999999</v>
      </c>
      <c r="AF1912">
        <v>-9.2243902970384202</v>
      </c>
      <c r="AG1912">
        <v>-1.0411327699999999</v>
      </c>
      <c r="AH1912">
        <v>22.652609853586501</v>
      </c>
      <c r="AI1912">
        <v>92.437432037910696</v>
      </c>
      <c r="AJ1912">
        <v>112.15669028504701</v>
      </c>
      <c r="AK1912">
        <v>24.4808918745962</v>
      </c>
      <c r="AL1912">
        <v>78.778309114429703</v>
      </c>
      <c r="AM1912">
        <v>103.191981401801</v>
      </c>
      <c r="AN1912">
        <v>0.99999997576717403</v>
      </c>
    </row>
    <row r="1913" spans="1:40" x14ac:dyDescent="0.25">
      <c r="A1913" t="str">
        <f>"20190304155401376"</f>
        <v>20190304155401376</v>
      </c>
      <c r="B1913" t="str">
        <f>"1551686041368790"</f>
        <v>1551686041368790</v>
      </c>
      <c r="C1913" t="s">
        <v>40</v>
      </c>
      <c r="D1913">
        <v>4.290381</v>
      </c>
      <c r="E1913">
        <v>0.42502980000000001</v>
      </c>
      <c r="F1913" t="s">
        <v>46</v>
      </c>
      <c r="G1913">
        <v>-501.19319999999999</v>
      </c>
      <c r="H1913">
        <v>7.9986160000000001E-2</v>
      </c>
      <c r="I1913">
        <v>262.02449999999999</v>
      </c>
      <c r="J1913">
        <v>-484.61869999999999</v>
      </c>
      <c r="K1913">
        <v>1.121359</v>
      </c>
      <c r="L1913">
        <v>279.0231</v>
      </c>
      <c r="M1913">
        <v>-0.9169389</v>
      </c>
      <c r="N1913">
        <v>-1.5659019999999999E-2</v>
      </c>
      <c r="O1913">
        <v>-0.39872030000000003</v>
      </c>
      <c r="P1913">
        <v>-0.78965350000000001</v>
      </c>
      <c r="Q1913">
        <v>0.18539749999999999</v>
      </c>
      <c r="R1913">
        <v>-0.58487219999999995</v>
      </c>
      <c r="S1913">
        <v>-2.1910400000000001</v>
      </c>
      <c r="T1913">
        <v>-0.13554140000000001</v>
      </c>
      <c r="U1913">
        <v>-2.2289119999999998</v>
      </c>
      <c r="V1913">
        <v>-0.22670360000000001</v>
      </c>
      <c r="W1913">
        <v>0.19442329999999999</v>
      </c>
      <c r="X1913">
        <v>0.95436109999999996</v>
      </c>
      <c r="Y1913">
        <v>-0.3741333</v>
      </c>
      <c r="Z1913">
        <v>5.356162E-4</v>
      </c>
      <c r="AA1913">
        <v>0.92737480000000005</v>
      </c>
      <c r="AB1913">
        <v>29</v>
      </c>
      <c r="AC1913">
        <v>-16.5745</v>
      </c>
      <c r="AD1913">
        <v>-1.04137284</v>
      </c>
      <c r="AE1913">
        <v>-16.9986</v>
      </c>
      <c r="AF1913">
        <v>-8.9619465824780598</v>
      </c>
      <c r="AG1913">
        <v>-1.04137284</v>
      </c>
      <c r="AH1913">
        <v>21.9359817226464</v>
      </c>
      <c r="AI1913">
        <v>92.516362355817705</v>
      </c>
      <c r="AJ1913">
        <v>112.222472688237</v>
      </c>
      <c r="AK1913">
        <v>23.7189426002796</v>
      </c>
      <c r="AL1913">
        <v>78.788963929829805</v>
      </c>
      <c r="AM1913">
        <v>103.36265295356201</v>
      </c>
      <c r="AN1913">
        <v>1.0000000255145201</v>
      </c>
    </row>
    <row r="1914" spans="1:40" x14ac:dyDescent="0.25">
      <c r="A1914" t="str">
        <f>"20190304155401400"</f>
        <v>20190304155401400</v>
      </c>
      <c r="B1914" t="str">
        <f>"1551686041388310"</f>
        <v>1551686041388310</v>
      </c>
      <c r="C1914" t="s">
        <v>40</v>
      </c>
      <c r="D1914">
        <v>4.268732</v>
      </c>
      <c r="E1914">
        <v>0.42498259999999999</v>
      </c>
      <c r="F1914" t="s">
        <v>46</v>
      </c>
      <c r="G1914">
        <v>-501.11250000000001</v>
      </c>
      <c r="H1914">
        <v>7.9986269999999998E-2</v>
      </c>
      <c r="I1914">
        <v>261.65190000000001</v>
      </c>
      <c r="J1914">
        <v>-484.87880000000001</v>
      </c>
      <c r="K1914">
        <v>1.12161</v>
      </c>
      <c r="L1914">
        <v>278.89359999999999</v>
      </c>
      <c r="M1914">
        <v>-0.91083740000000002</v>
      </c>
      <c r="N1914">
        <v>-1.5737000000000001E-2</v>
      </c>
      <c r="O1914">
        <v>-0.41246569999999999</v>
      </c>
      <c r="P1914">
        <v>-0.77959619999999996</v>
      </c>
      <c r="Q1914">
        <v>0.1838948</v>
      </c>
      <c r="R1914">
        <v>-0.59867599999999999</v>
      </c>
      <c r="S1914">
        <v>-2.1521910000000002</v>
      </c>
      <c r="T1914">
        <v>-0.135884</v>
      </c>
      <c r="U1914">
        <v>-2.2666930000000001</v>
      </c>
      <c r="V1914">
        <v>-0.2290865</v>
      </c>
      <c r="W1914">
        <v>0.1927855</v>
      </c>
      <c r="X1914">
        <v>0.95412430000000004</v>
      </c>
      <c r="Y1914">
        <v>-0.37626369999999998</v>
      </c>
      <c r="Z1914">
        <v>9.0107410000000001E-4</v>
      </c>
      <c r="AA1914">
        <v>0.92651220000000001</v>
      </c>
      <c r="AB1914">
        <v>29</v>
      </c>
      <c r="AC1914">
        <v>-16.233699999999999</v>
      </c>
      <c r="AD1914">
        <v>-1.04162373</v>
      </c>
      <c r="AE1914">
        <v>-17.241699999999899</v>
      </c>
      <c r="AF1914">
        <v>-8.9922577366091208</v>
      </c>
      <c r="AG1914">
        <v>-1.04162373</v>
      </c>
      <c r="AH1914">
        <v>21.858290336020598</v>
      </c>
      <c r="AI1914">
        <v>92.523390149360793</v>
      </c>
      <c r="AJ1914">
        <v>112.36172141246</v>
      </c>
      <c r="AK1914">
        <v>23.658624972941201</v>
      </c>
      <c r="AL1914">
        <v>78.884612685141605</v>
      </c>
      <c r="AM1914">
        <v>103.501221974309</v>
      </c>
      <c r="AN1914">
        <v>1.0000000266714899</v>
      </c>
    </row>
    <row r="1915" spans="1:40" x14ac:dyDescent="0.25">
      <c r="A1915" t="str">
        <f>"20190304155401420"</f>
        <v>20190304155401420</v>
      </c>
      <c r="B1915" t="str">
        <f>"1551686041418566"</f>
        <v>1551686041418566</v>
      </c>
      <c r="C1915" t="s">
        <v>40</v>
      </c>
      <c r="D1915">
        <v>4.410336</v>
      </c>
      <c r="E1915">
        <v>0.42476819999999998</v>
      </c>
      <c r="F1915" t="s">
        <v>46</v>
      </c>
      <c r="G1915">
        <v>-500.53109999999998</v>
      </c>
      <c r="H1915">
        <v>7.9986199999999993E-2</v>
      </c>
      <c r="I1915">
        <v>261.81029999999998</v>
      </c>
      <c r="J1915">
        <v>-485.11720000000003</v>
      </c>
      <c r="K1915">
        <v>1.1218349999999999</v>
      </c>
      <c r="L1915">
        <v>278.77010000000001</v>
      </c>
      <c r="M1915">
        <v>-0.90485559999999998</v>
      </c>
      <c r="N1915">
        <v>-1.5812240000000002E-2</v>
      </c>
      <c r="O1915">
        <v>-0.42542479999999999</v>
      </c>
      <c r="P1915">
        <v>-0.77010690000000004</v>
      </c>
      <c r="Q1915">
        <v>0.18093500000000001</v>
      </c>
      <c r="R1915">
        <v>-0.61171750000000003</v>
      </c>
      <c r="S1915">
        <v>-2.1115110000000001</v>
      </c>
      <c r="T1915">
        <v>-0.1405169</v>
      </c>
      <c r="U1915">
        <v>-2.3045650000000002</v>
      </c>
      <c r="V1915">
        <v>-0.2312738</v>
      </c>
      <c r="W1915">
        <v>0.18970490000000001</v>
      </c>
      <c r="X1915">
        <v>0.95421400000000001</v>
      </c>
      <c r="Y1915">
        <v>-0.37950070000000002</v>
      </c>
      <c r="Z1915">
        <v>1.5526590000000001E-3</v>
      </c>
      <c r="AA1915">
        <v>0.92519019999999996</v>
      </c>
      <c r="AB1915">
        <v>29</v>
      </c>
      <c r="AC1915">
        <v>-15.4138999999999</v>
      </c>
      <c r="AD1915">
        <v>-1.0418487999999999</v>
      </c>
      <c r="AE1915">
        <v>-16.959800000000001</v>
      </c>
      <c r="AF1915">
        <v>-8.7716858921477101</v>
      </c>
      <c r="AG1915">
        <v>-1.0418487999999999</v>
      </c>
      <c r="AH1915">
        <v>21.1214693908091</v>
      </c>
      <c r="AI1915">
        <v>92.608265921810201</v>
      </c>
      <c r="AJ1915">
        <v>112.552972204855</v>
      </c>
      <c r="AK1915">
        <v>22.8941999541249</v>
      </c>
      <c r="AL1915">
        <v>79.064436315505404</v>
      </c>
      <c r="AM1915">
        <v>103.62411350842299</v>
      </c>
      <c r="AN1915">
        <v>0.99999993872322301</v>
      </c>
    </row>
    <row r="1916" spans="1:40" x14ac:dyDescent="0.25">
      <c r="A1916" t="str">
        <f>"20190304155401443"</f>
        <v>20190304155401443</v>
      </c>
      <c r="B1916" t="str">
        <f>"1551686041438089"</f>
        <v>1551686041438089</v>
      </c>
      <c r="C1916" t="s">
        <v>40</v>
      </c>
      <c r="D1916">
        <v>4.388064</v>
      </c>
      <c r="E1916">
        <v>0.42460249999999999</v>
      </c>
      <c r="F1916" t="s">
        <v>46</v>
      </c>
      <c r="G1916">
        <v>-499.97019999999998</v>
      </c>
      <c r="H1916">
        <v>6.2452790000000001E-2</v>
      </c>
      <c r="I1916">
        <v>261.97149999999999</v>
      </c>
      <c r="J1916">
        <v>-485.36529999999999</v>
      </c>
      <c r="K1916">
        <v>1.122077</v>
      </c>
      <c r="L1916">
        <v>278.63619999999997</v>
      </c>
      <c r="M1916">
        <v>-0.89819559999999998</v>
      </c>
      <c r="N1916">
        <v>-1.589527E-2</v>
      </c>
      <c r="O1916">
        <v>-0.43930859999999999</v>
      </c>
      <c r="P1916">
        <v>-0.75934709999999905</v>
      </c>
      <c r="Q1916">
        <v>0.17823059999999999</v>
      </c>
      <c r="R1916">
        <v>-0.62580029999999998</v>
      </c>
      <c r="S1916">
        <v>-2.0703429999999998</v>
      </c>
      <c r="T1916">
        <v>-0.14766570000000001</v>
      </c>
      <c r="U1916">
        <v>-2.3415219999999999</v>
      </c>
      <c r="V1916">
        <v>-0.2339263</v>
      </c>
      <c r="W1916">
        <v>0.18686130000000001</v>
      </c>
      <c r="X1916">
        <v>0.95412859999999999</v>
      </c>
      <c r="Y1916">
        <v>-0.38161420000000001</v>
      </c>
      <c r="Z1916">
        <v>2.5175330000000002E-3</v>
      </c>
      <c r="AA1916">
        <v>0.92431830000000004</v>
      </c>
      <c r="AB1916">
        <v>29</v>
      </c>
      <c r="AC1916">
        <v>-14.604899999999899</v>
      </c>
      <c r="AD1916">
        <v>-1.05962421</v>
      </c>
      <c r="AE1916">
        <v>-16.6646999999999</v>
      </c>
      <c r="AF1916">
        <v>-8.5336685383506197</v>
      </c>
      <c r="AG1916">
        <v>-1.05962421</v>
      </c>
      <c r="AH1916">
        <v>20.394947991166799</v>
      </c>
      <c r="AI1916">
        <v>92.744016552980895</v>
      </c>
      <c r="AJ1916">
        <v>112.705443921178</v>
      </c>
      <c r="AK1916">
        <v>22.133689384087099</v>
      </c>
      <c r="AL1916">
        <v>79.230330615512102</v>
      </c>
      <c r="AM1916">
        <v>103.775635829652</v>
      </c>
      <c r="AN1916">
        <v>1.00000002230366</v>
      </c>
    </row>
    <row r="1917" spans="1:40" x14ac:dyDescent="0.25">
      <c r="A1917" t="str">
        <f>"20190304155401466"</f>
        <v>20190304155401466</v>
      </c>
      <c r="B1917" t="str">
        <f>"1551686041458582"</f>
        <v>1551686041458582</v>
      </c>
      <c r="C1917" t="s">
        <v>40</v>
      </c>
      <c r="D1917">
        <v>4.4110899999999997</v>
      </c>
      <c r="E1917">
        <v>0.42470020000000003</v>
      </c>
      <c r="F1917" t="s">
        <v>46</v>
      </c>
      <c r="G1917">
        <v>-499.95780000000002</v>
      </c>
      <c r="H1917">
        <v>1.292342E-2</v>
      </c>
      <c r="I1917">
        <v>261.47460000000001</v>
      </c>
      <c r="J1917">
        <v>-485.60860000000002</v>
      </c>
      <c r="K1917">
        <v>1.1223099999999999</v>
      </c>
      <c r="L1917">
        <v>278.49959999999999</v>
      </c>
      <c r="M1917">
        <v>-0.89120869999999996</v>
      </c>
      <c r="N1917">
        <v>-1.5981510000000001E-2</v>
      </c>
      <c r="O1917">
        <v>-0.4533122</v>
      </c>
      <c r="P1917">
        <v>-0.74757390000000001</v>
      </c>
      <c r="Q1917">
        <v>0.17663699999999999</v>
      </c>
      <c r="R1917">
        <v>-0.64026019999999995</v>
      </c>
      <c r="S1917">
        <v>-2.024597</v>
      </c>
      <c r="T1917">
        <v>-0.15388660000000001</v>
      </c>
      <c r="U1917">
        <v>-2.3810419999999999</v>
      </c>
      <c r="V1917">
        <v>-0.23721349999999999</v>
      </c>
      <c r="W1917">
        <v>0.1851072</v>
      </c>
      <c r="X1917">
        <v>0.95365880000000003</v>
      </c>
      <c r="Y1917">
        <v>-0.38501039999999997</v>
      </c>
      <c r="Z1917">
        <v>3.428356E-3</v>
      </c>
      <c r="AA1917">
        <v>0.92290589999999995</v>
      </c>
      <c r="AB1917">
        <v>29</v>
      </c>
      <c r="AC1917">
        <v>-14.3491999999999</v>
      </c>
      <c r="AD1917">
        <v>-1.10938658</v>
      </c>
      <c r="AE1917">
        <v>-17.024999999999899</v>
      </c>
      <c r="AF1917">
        <v>-8.64779770844215</v>
      </c>
      <c r="AG1917">
        <v>-1.10938658</v>
      </c>
      <c r="AH1917">
        <v>20.457600524826901</v>
      </c>
      <c r="AI1917">
        <v>92.859500347014603</v>
      </c>
      <c r="AJ1917">
        <v>112.914659654549</v>
      </c>
      <c r="AK1917">
        <v>22.2379981793196</v>
      </c>
      <c r="AL1917">
        <v>79.332617691559804</v>
      </c>
      <c r="AM1917">
        <v>103.968300498494</v>
      </c>
      <c r="AN1917">
        <v>1.0000000134457601</v>
      </c>
    </row>
    <row r="1918" spans="1:40" x14ac:dyDescent="0.25">
      <c r="A1918" t="str">
        <f>"20190304155401488"</f>
        <v>20190304155401488</v>
      </c>
      <c r="B1918" t="str">
        <f>"1551686041478103"</f>
        <v>1551686041478103</v>
      </c>
      <c r="C1918" t="s">
        <v>40</v>
      </c>
      <c r="D1918">
        <v>4.3983299999999996</v>
      </c>
      <c r="E1918">
        <v>0.42517969999999999</v>
      </c>
      <c r="F1918" t="s">
        <v>46</v>
      </c>
      <c r="G1918">
        <v>-499.5779</v>
      </c>
      <c r="H1918" s="1">
        <v>-3.2101220000000002E-6</v>
      </c>
      <c r="I1918">
        <v>261.42739999999998</v>
      </c>
      <c r="J1918">
        <v>-485.85669999999999</v>
      </c>
      <c r="K1918">
        <v>1.1225419999999999</v>
      </c>
      <c r="L1918">
        <v>278.3546</v>
      </c>
      <c r="M1918">
        <v>-0.88361769999999995</v>
      </c>
      <c r="N1918">
        <v>-1.6071419999999999E-2</v>
      </c>
      <c r="O1918">
        <v>-0.46793309999999999</v>
      </c>
      <c r="P1918">
        <v>-0.7345756</v>
      </c>
      <c r="Q1918">
        <v>0.1755381</v>
      </c>
      <c r="R1918">
        <v>-0.65542730000000005</v>
      </c>
      <c r="S1918">
        <v>-1.979095</v>
      </c>
      <c r="T1918">
        <v>-0.15900410000000001</v>
      </c>
      <c r="U1918">
        <v>-2.418701</v>
      </c>
      <c r="V1918">
        <v>-0.24098359999999999</v>
      </c>
      <c r="W1918">
        <v>0.18383659999999999</v>
      </c>
      <c r="X1918">
        <v>0.95295909999999995</v>
      </c>
      <c r="Y1918">
        <v>-0.38723800000000003</v>
      </c>
      <c r="Z1918">
        <v>4.3577659999999999E-3</v>
      </c>
      <c r="AA1918">
        <v>0.9219695</v>
      </c>
      <c r="AB1918">
        <v>29</v>
      </c>
      <c r="AC1918">
        <v>-13.7212</v>
      </c>
      <c r="AD1918">
        <v>-1.1225452101219999</v>
      </c>
      <c r="AE1918">
        <v>-16.927199999999999</v>
      </c>
      <c r="AF1918">
        <v>-8.5150741745892695</v>
      </c>
      <c r="AG1918">
        <v>-1.1225452101219999</v>
      </c>
      <c r="AH1918">
        <v>19.994617352055698</v>
      </c>
      <c r="AI1918">
        <v>92.956893918876503</v>
      </c>
      <c r="AJ1918">
        <v>113.067618617362</v>
      </c>
      <c r="AK1918">
        <v>21.7612343170752</v>
      </c>
      <c r="AL1918">
        <v>79.406688995501298</v>
      </c>
      <c r="AM1918">
        <v>104.191403783873</v>
      </c>
      <c r="AN1918">
        <v>1.0000000186206599</v>
      </c>
    </row>
    <row r="1919" spans="1:40" x14ac:dyDescent="0.25">
      <c r="A1919" t="str">
        <f>"20190304155401510"</f>
        <v>20190304155401510</v>
      </c>
      <c r="B1919" t="str">
        <f>"1551686041498598"</f>
        <v>1551686041498598</v>
      </c>
      <c r="C1919" t="s">
        <v>40</v>
      </c>
      <c r="D1919">
        <v>4.4014509999999998</v>
      </c>
      <c r="E1919">
        <v>0.42537399999999997</v>
      </c>
      <c r="F1919" t="s">
        <v>46</v>
      </c>
      <c r="G1919">
        <v>-499.09399999999999</v>
      </c>
      <c r="H1919" s="1">
        <v>-3.1543780000000001E-6</v>
      </c>
      <c r="I1919">
        <v>261.51580000000001</v>
      </c>
      <c r="J1919">
        <v>-486.08969999999999</v>
      </c>
      <c r="K1919">
        <v>1.1227389999999999</v>
      </c>
      <c r="L1919">
        <v>278.2131</v>
      </c>
      <c r="M1919">
        <v>-0.8760329</v>
      </c>
      <c r="N1919">
        <v>-1.615432E-2</v>
      </c>
      <c r="O1919">
        <v>-0.48198089999999999</v>
      </c>
      <c r="P1919">
        <v>-0.72093869999999904</v>
      </c>
      <c r="Q1919">
        <v>0.17544969999999999</v>
      </c>
      <c r="R1919">
        <v>-0.67042170000000001</v>
      </c>
      <c r="S1919">
        <v>-1.9311830000000001</v>
      </c>
      <c r="T1919">
        <v>-0.16376779999999999</v>
      </c>
      <c r="U1919">
        <v>-2.456604</v>
      </c>
      <c r="V1919">
        <v>-0.24549409999999999</v>
      </c>
      <c r="W1919">
        <v>0.18355260000000001</v>
      </c>
      <c r="X1919">
        <v>0.95186190000000004</v>
      </c>
      <c r="Y1919">
        <v>-0.39053120000000002</v>
      </c>
      <c r="Z1919">
        <v>5.2491459999999997E-3</v>
      </c>
      <c r="AA1919">
        <v>0.92057469999999997</v>
      </c>
      <c r="AB1919">
        <v>29</v>
      </c>
      <c r="AC1919">
        <v>-13.004300000000001</v>
      </c>
      <c r="AD1919">
        <v>-1.1227421543779901</v>
      </c>
      <c r="AE1919">
        <v>-16.697299999999899</v>
      </c>
      <c r="AF1919">
        <v>-8.3371868984650206</v>
      </c>
      <c r="AG1919">
        <v>-1.1227421543779901</v>
      </c>
      <c r="AH1919">
        <v>19.387946341625799</v>
      </c>
      <c r="AI1919">
        <v>93.045213812886104</v>
      </c>
      <c r="AJ1919">
        <v>113.26862753968101</v>
      </c>
      <c r="AK1919">
        <v>21.1343724456373</v>
      </c>
      <c r="AL1919">
        <v>79.4232424147676</v>
      </c>
      <c r="AM1919">
        <v>104.461959436154</v>
      </c>
      <c r="AN1919">
        <v>0.99999999338658996</v>
      </c>
    </row>
    <row r="1920" spans="1:40" x14ac:dyDescent="0.25">
      <c r="A1920" t="str">
        <f>"20190304155401532"</f>
        <v>20190304155401532</v>
      </c>
      <c r="B1920" t="str">
        <f>"1551686041527878"</f>
        <v>1551686041527878</v>
      </c>
      <c r="C1920" t="s">
        <v>40</v>
      </c>
      <c r="D1920">
        <v>4.3836879999999896</v>
      </c>
      <c r="E1920">
        <v>0.42545719999999998</v>
      </c>
      <c r="F1920" t="s">
        <v>46</v>
      </c>
      <c r="G1920">
        <v>-498.86660000000001</v>
      </c>
      <c r="H1920" s="1">
        <v>-3.034902E-6</v>
      </c>
      <c r="I1920">
        <v>261.2833</v>
      </c>
      <c r="J1920">
        <v>-486.32850000000002</v>
      </c>
      <c r="K1920">
        <v>1.1229450000000001</v>
      </c>
      <c r="L1920">
        <v>278.06240000000003</v>
      </c>
      <c r="M1920">
        <v>-0.86776600000000004</v>
      </c>
      <c r="N1920">
        <v>-1.6238269999999999E-2</v>
      </c>
      <c r="O1920">
        <v>-0.49670760000000003</v>
      </c>
      <c r="P1920">
        <v>-0.7059223</v>
      </c>
      <c r="Q1920">
        <v>0.1757917</v>
      </c>
      <c r="R1920">
        <v>-0.6861275</v>
      </c>
      <c r="S1920">
        <v>-1.882233</v>
      </c>
      <c r="T1920">
        <v>-0.1653966</v>
      </c>
      <c r="U1920">
        <v>-2.4940190000000002</v>
      </c>
      <c r="V1920">
        <v>-0.25052740000000001</v>
      </c>
      <c r="W1920">
        <v>0.1836768</v>
      </c>
      <c r="X1920">
        <v>0.95052559999999997</v>
      </c>
      <c r="Y1920">
        <v>-0.3931325</v>
      </c>
      <c r="Z1920">
        <v>5.920753E-3</v>
      </c>
      <c r="AA1920">
        <v>0.91946280000000002</v>
      </c>
      <c r="AB1920">
        <v>29</v>
      </c>
      <c r="AC1920">
        <v>-12.538099999999901</v>
      </c>
      <c r="AD1920">
        <v>-1.122948034902</v>
      </c>
      <c r="AE1920">
        <v>-16.7791</v>
      </c>
      <c r="AF1920">
        <v>-8.3097783404628807</v>
      </c>
      <c r="AG1920">
        <v>-1.122948034902</v>
      </c>
      <c r="AH1920">
        <v>19.1619033314654</v>
      </c>
      <c r="AI1920">
        <v>93.077556987171903</v>
      </c>
      <c r="AJ1920">
        <v>113.44451742303301</v>
      </c>
      <c r="AK1920">
        <v>20.9163086523684</v>
      </c>
      <c r="AL1920">
        <v>79.416003598633097</v>
      </c>
      <c r="AM1920">
        <v>104.76549485213501</v>
      </c>
      <c r="AN1920">
        <v>1.0000000306321699</v>
      </c>
    </row>
    <row r="1921" spans="1:40" x14ac:dyDescent="0.25">
      <c r="A1921" t="str">
        <f>"20190304155401556"</f>
        <v>20190304155401556</v>
      </c>
      <c r="B1921" t="str">
        <f>"1551686041548375"</f>
        <v>1551686041548375</v>
      </c>
      <c r="C1921" t="s">
        <v>40</v>
      </c>
      <c r="D1921">
        <v>4.3003010000000002</v>
      </c>
      <c r="E1921">
        <v>0.41039569999999997</v>
      </c>
      <c r="F1921" t="s">
        <v>46</v>
      </c>
      <c r="G1921">
        <v>-498.77710000000002</v>
      </c>
      <c r="H1921" s="1">
        <v>-2.8513469999999999E-6</v>
      </c>
      <c r="I1921">
        <v>260.7919</v>
      </c>
      <c r="J1921">
        <v>-486.57040000000001</v>
      </c>
      <c r="K1921">
        <v>1.1231500000000001</v>
      </c>
      <c r="L1921">
        <v>277.90370000000001</v>
      </c>
      <c r="M1921">
        <v>-0.858855699999999</v>
      </c>
      <c r="N1921">
        <v>-1.6324689999999999E-2</v>
      </c>
      <c r="O1921">
        <v>-0.51195729999999995</v>
      </c>
      <c r="P1921">
        <v>-0.69130209999999903</v>
      </c>
      <c r="Q1921">
        <v>0.17599500000000001</v>
      </c>
      <c r="R1921">
        <v>-0.70080500000000001</v>
      </c>
      <c r="S1921">
        <v>-1.8270569999999999</v>
      </c>
      <c r="T1921">
        <v>-0.16481219999999999</v>
      </c>
      <c r="U1921">
        <v>-2.5347599999999999</v>
      </c>
      <c r="V1921">
        <v>-0.25384109999999999</v>
      </c>
      <c r="W1921">
        <v>0.18371950000000001</v>
      </c>
      <c r="X1921">
        <v>0.94963779999999998</v>
      </c>
      <c r="Y1921">
        <v>-0.39707249999999999</v>
      </c>
      <c r="Z1921">
        <v>6.3510819999999897E-3</v>
      </c>
      <c r="AA1921">
        <v>0.91776530000000001</v>
      </c>
      <c r="AB1921">
        <v>29</v>
      </c>
      <c r="AC1921">
        <v>-12.2067</v>
      </c>
      <c r="AD1921">
        <v>-1.1231528513469999</v>
      </c>
      <c r="AE1921">
        <v>-17.111799999999999</v>
      </c>
      <c r="AF1921">
        <v>-8.4243310087749901</v>
      </c>
      <c r="AG1921">
        <v>-1.1231528513469999</v>
      </c>
      <c r="AH1921">
        <v>19.192073644412801</v>
      </c>
      <c r="AI1921">
        <v>93.067349217569202</v>
      </c>
      <c r="AJ1921">
        <v>113.698997982512</v>
      </c>
      <c r="AK1921">
        <v>20.989676415930301</v>
      </c>
      <c r="AL1921">
        <v>79.413514975353095</v>
      </c>
      <c r="AM1921">
        <v>104.965454249163</v>
      </c>
      <c r="AN1921">
        <v>1.0000000549591399</v>
      </c>
    </row>
    <row r="1922" spans="1:40" x14ac:dyDescent="0.25">
      <c r="A1922" t="str">
        <f>"20190304155401578"</f>
        <v>20190304155401578</v>
      </c>
      <c r="B1922" t="str">
        <f>"1551686041567895"</f>
        <v>1551686041567895</v>
      </c>
      <c r="C1922" t="s">
        <v>40</v>
      </c>
      <c r="D1922">
        <v>4.2584589999999896</v>
      </c>
      <c r="E1922">
        <v>0.40905520000000001</v>
      </c>
      <c r="F1922" t="s">
        <v>68</v>
      </c>
      <c r="G1922">
        <v>-512.82510000000002</v>
      </c>
      <c r="H1922">
        <v>-2.508235E-2</v>
      </c>
      <c r="I1922">
        <v>236.19929999999999</v>
      </c>
      <c r="J1922">
        <v>-486.79450000000003</v>
      </c>
      <c r="K1922">
        <v>1.1233470000000001</v>
      </c>
      <c r="L1922">
        <v>277.75069999999999</v>
      </c>
      <c r="M1922">
        <v>-0.85008169999999905</v>
      </c>
      <c r="N1922">
        <v>-1.640718E-2</v>
      </c>
      <c r="O1922">
        <v>-0.52639539999999996</v>
      </c>
      <c r="P1922">
        <v>-0.67708769999999996</v>
      </c>
      <c r="Q1922">
        <v>0.17651629999999999</v>
      </c>
      <c r="R1922">
        <v>-0.71441880000000002</v>
      </c>
      <c r="S1922">
        <v>-1.6696470000000001</v>
      </c>
      <c r="T1922">
        <v>-7.3015930000000007E-2</v>
      </c>
      <c r="U1922">
        <v>-2.6521300000000001</v>
      </c>
      <c r="V1922">
        <v>-0.25687130000000002</v>
      </c>
      <c r="W1922">
        <v>0.18409249999999999</v>
      </c>
      <c r="X1922">
        <v>0.94875030000000005</v>
      </c>
      <c r="Y1922">
        <v>-0.43881959999999998</v>
      </c>
      <c r="Z1922">
        <v>-4.1769249999999997E-3</v>
      </c>
      <c r="AA1922">
        <v>0.89856550000000002</v>
      </c>
      <c r="AB1922">
        <v>28</v>
      </c>
      <c r="AC1922">
        <v>-26.0306</v>
      </c>
      <c r="AD1922">
        <v>-1.14842934999999</v>
      </c>
      <c r="AE1922">
        <v>-41.551400000000001</v>
      </c>
      <c r="AF1922">
        <v>-21.6107493273777</v>
      </c>
      <c r="AG1922">
        <v>-1.14842934999999</v>
      </c>
      <c r="AH1922">
        <v>43.982392851220403</v>
      </c>
      <c r="AI1922">
        <v>91.342481660046204</v>
      </c>
      <c r="AJ1922">
        <v>116.167194799759</v>
      </c>
      <c r="AK1922">
        <v>49.018305329558103</v>
      </c>
      <c r="AL1922">
        <v>79.391772464812902</v>
      </c>
      <c r="AM1922">
        <v>105.14945959302401</v>
      </c>
      <c r="AN1922">
        <v>1.0000000225350101</v>
      </c>
    </row>
    <row r="1923" spans="1:40" x14ac:dyDescent="0.25">
      <c r="A1923" t="str">
        <f>"20190304155401644"</f>
        <v>20190304155401644</v>
      </c>
      <c r="B1923" t="str">
        <f>"1551686041638170"</f>
        <v>1551686041638170</v>
      </c>
      <c r="C1923" t="s">
        <v>40</v>
      </c>
      <c r="D1923">
        <v>4.2009740000000004</v>
      </c>
      <c r="E1923">
        <v>0.41063119999999997</v>
      </c>
      <c r="F1923" t="s">
        <v>68</v>
      </c>
      <c r="G1923">
        <v>-512.8252</v>
      </c>
      <c r="H1923">
        <v>7.6248999999999997E-2</v>
      </c>
      <c r="I1923">
        <v>234.11449999999999</v>
      </c>
      <c r="J1923">
        <v>-487.4547</v>
      </c>
      <c r="K1923">
        <v>1.1239059999999901</v>
      </c>
      <c r="L1923">
        <v>277.26330000000002</v>
      </c>
      <c r="M1923">
        <v>-0.82098329999999997</v>
      </c>
      <c r="N1923">
        <v>-1.666285E-2</v>
      </c>
      <c r="O1923">
        <v>-0.57070929999999997</v>
      </c>
      <c r="P1923">
        <v>-0.63182799999999995</v>
      </c>
      <c r="Q1923">
        <v>0.18166550000000001</v>
      </c>
      <c r="R1923">
        <v>-0.75351950000000001</v>
      </c>
      <c r="S1923">
        <v>-1.6063229999999999</v>
      </c>
      <c r="T1923">
        <v>-6.4610600000000004E-2</v>
      </c>
      <c r="U1923">
        <v>-2.6927189999999999</v>
      </c>
      <c r="V1923">
        <v>-0.26443480000000003</v>
      </c>
      <c r="W1923">
        <v>0.18884519999999999</v>
      </c>
      <c r="X1923">
        <v>0.94573339999999995</v>
      </c>
      <c r="Y1923">
        <v>-0.41258060000000002</v>
      </c>
      <c r="Z1923">
        <v>-4.3584060000000004E-3</v>
      </c>
      <c r="AA1923">
        <v>0.91091069999999996</v>
      </c>
      <c r="AB1923">
        <v>28</v>
      </c>
      <c r="AC1923">
        <v>-25.3705</v>
      </c>
      <c r="AD1923">
        <v>-1.0476569999999901</v>
      </c>
      <c r="AE1923">
        <v>-43.148800000000001</v>
      </c>
      <c r="AF1923">
        <v>-20.938995930671702</v>
      </c>
      <c r="AG1923">
        <v>-1.0476569999999901</v>
      </c>
      <c r="AH1923">
        <v>45.440575836505801</v>
      </c>
      <c r="AI1923">
        <v>91.199562626523303</v>
      </c>
      <c r="AJ1923">
        <v>114.740227944678</v>
      </c>
      <c r="AK1923">
        <v>50.043831469298702</v>
      </c>
      <c r="AL1923">
        <v>79.114600587516406</v>
      </c>
      <c r="AM1923">
        <v>105.621427098273</v>
      </c>
      <c r="AN1923">
        <v>0.99999996844481898</v>
      </c>
    </row>
    <row r="1924" spans="1:40" x14ac:dyDescent="0.25">
      <c r="A1924" t="str">
        <f>"20190304155401667"</f>
        <v>20190304155401667</v>
      </c>
      <c r="B1924" t="str">
        <f>"1551686041658662"</f>
        <v>1551686041658662</v>
      </c>
      <c r="C1924" t="s">
        <v>40</v>
      </c>
      <c r="D1924">
        <v>4.215598</v>
      </c>
      <c r="E1924">
        <v>0.41231960000000001</v>
      </c>
      <c r="F1924" t="s">
        <v>44</v>
      </c>
      <c r="G1924">
        <v>-501.9624</v>
      </c>
      <c r="H1924">
        <v>0.54853969999999996</v>
      </c>
      <c r="I1924">
        <v>249.46039999999999</v>
      </c>
      <c r="J1924">
        <v>-487.66930000000002</v>
      </c>
      <c r="K1924">
        <v>1.124069</v>
      </c>
      <c r="L1924">
        <v>277.09179999999998</v>
      </c>
      <c r="M1924">
        <v>-0.8103667</v>
      </c>
      <c r="N1924">
        <v>-1.674788E-2</v>
      </c>
      <c r="O1924">
        <v>-0.58568390000000004</v>
      </c>
      <c r="P1924">
        <v>-0.61760269999999995</v>
      </c>
      <c r="Q1924">
        <v>0.18227670000000001</v>
      </c>
      <c r="R1924">
        <v>-0.76507689999999995</v>
      </c>
      <c r="S1924">
        <v>-1.4501949999999999</v>
      </c>
      <c r="T1924">
        <v>-5.7513590000000003E-2</v>
      </c>
      <c r="U1924">
        <v>-2.779175</v>
      </c>
      <c r="V1924">
        <v>-0.2647717</v>
      </c>
      <c r="W1924">
        <v>0.18941740000000001</v>
      </c>
      <c r="X1924">
        <v>0.94552480000000005</v>
      </c>
      <c r="Y1924">
        <v>-0.44740229999999998</v>
      </c>
      <c r="Z1924">
        <v>-5.7832140000000001E-3</v>
      </c>
      <c r="AA1924">
        <v>0.8943141</v>
      </c>
      <c r="AB1924">
        <v>28</v>
      </c>
      <c r="AC1924">
        <v>-14.2930999999999</v>
      </c>
      <c r="AD1924">
        <v>-0.57552930000000002</v>
      </c>
      <c r="AE1924">
        <v>-27.6313999999999</v>
      </c>
      <c r="AF1924">
        <v>-14.017494793279701</v>
      </c>
      <c r="AG1924">
        <v>-0.57552930000000002</v>
      </c>
      <c r="AH1924">
        <v>27.760307730436299</v>
      </c>
      <c r="AI1924">
        <v>91.060227895764697</v>
      </c>
      <c r="AJ1924">
        <v>116.79137353690101</v>
      </c>
      <c r="AK1924">
        <v>31.103956011146</v>
      </c>
      <c r="AL1924">
        <v>79.081214550368202</v>
      </c>
      <c r="AM1924">
        <v>105.643637521974</v>
      </c>
      <c r="AN1924">
        <v>1.0000000759793399</v>
      </c>
    </row>
    <row r="1925" spans="1:40" x14ac:dyDescent="0.25">
      <c r="A1925" t="str">
        <f>"20190304155401688"</f>
        <v>20190304155401688</v>
      </c>
      <c r="B1925" t="str">
        <f>"1551686041678182"</f>
        <v>1551686041678182</v>
      </c>
      <c r="C1925" t="s">
        <v>40</v>
      </c>
      <c r="D1925">
        <v>4.2383220000000001</v>
      </c>
      <c r="E1925">
        <v>0.41343679999999999</v>
      </c>
      <c r="F1925" t="s">
        <v>68</v>
      </c>
      <c r="G1925">
        <v>-512.82510000000002</v>
      </c>
      <c r="H1925">
        <v>-3.0206710000000001E-2</v>
      </c>
      <c r="I1925">
        <v>227.1311</v>
      </c>
      <c r="J1925">
        <v>-487.87520000000001</v>
      </c>
      <c r="K1925">
        <v>1.1242179999999999</v>
      </c>
      <c r="L1925">
        <v>276.92090000000002</v>
      </c>
      <c r="M1925">
        <v>-0.79960889999999996</v>
      </c>
      <c r="N1925">
        <v>-1.682759E-2</v>
      </c>
      <c r="O1925">
        <v>-0.60028539999999997</v>
      </c>
      <c r="P1925">
        <v>-0.60274519999999998</v>
      </c>
      <c r="Q1925">
        <v>0.18288099999999999</v>
      </c>
      <c r="R1925">
        <v>-0.77669370000000004</v>
      </c>
      <c r="S1925">
        <v>-1.4093020000000001</v>
      </c>
      <c r="T1925">
        <v>-6.4661739999999995E-2</v>
      </c>
      <c r="U1925">
        <v>-2.7989199999999999</v>
      </c>
      <c r="V1925">
        <v>-0.26582430000000001</v>
      </c>
      <c r="W1925">
        <v>0.1899595</v>
      </c>
      <c r="X1925">
        <v>0.94512050000000003</v>
      </c>
      <c r="Y1925">
        <v>-0.44411460000000003</v>
      </c>
      <c r="Z1925">
        <v>-4.7346460000000003E-3</v>
      </c>
      <c r="AA1925">
        <v>0.89595749999999996</v>
      </c>
      <c r="AB1925">
        <v>28</v>
      </c>
      <c r="AC1925">
        <v>-24.9499</v>
      </c>
      <c r="AD1925">
        <v>-1.15442471</v>
      </c>
      <c r="AE1925">
        <v>-49.7898</v>
      </c>
      <c r="AF1925">
        <v>-24.828153578262501</v>
      </c>
      <c r="AG1925">
        <v>-1.15442471</v>
      </c>
      <c r="AH1925">
        <v>49.8238979615396</v>
      </c>
      <c r="AI1925">
        <v>91.188023855197002</v>
      </c>
      <c r="AJ1925">
        <v>116.487909849384</v>
      </c>
      <c r="AK1925">
        <v>55.679356269615397</v>
      </c>
      <c r="AL1925">
        <v>79.049578934602906</v>
      </c>
      <c r="AM1925">
        <v>105.709152391205</v>
      </c>
      <c r="AN1925">
        <v>0.99999996481549402</v>
      </c>
    </row>
    <row r="1926" spans="1:40" x14ac:dyDescent="0.25">
      <c r="A1926" t="str">
        <f>"20190304155401712"</f>
        <v>20190304155401712</v>
      </c>
      <c r="B1926" t="str">
        <f>"1551686041708439"</f>
        <v>1551686041708439</v>
      </c>
      <c r="C1926" t="s">
        <v>40</v>
      </c>
      <c r="D1926">
        <v>4.2191589999999897</v>
      </c>
      <c r="E1926">
        <v>0.41438449999999999</v>
      </c>
      <c r="F1926" t="s">
        <v>47</v>
      </c>
      <c r="G1926">
        <v>-510.91820000000001</v>
      </c>
      <c r="H1926">
        <v>-0.05</v>
      </c>
      <c r="I1926">
        <v>229.25630000000001</v>
      </c>
      <c r="J1926">
        <v>-488.08589999999998</v>
      </c>
      <c r="K1926">
        <v>1.124369</v>
      </c>
      <c r="L1926">
        <v>276.73899999999998</v>
      </c>
      <c r="M1926">
        <v>-0.78796239999999995</v>
      </c>
      <c r="N1926">
        <v>-1.6907640000000002E-2</v>
      </c>
      <c r="O1926">
        <v>-0.61549140000000002</v>
      </c>
      <c r="P1926">
        <v>-0.58681190000000005</v>
      </c>
      <c r="Q1926">
        <v>0.1833476</v>
      </c>
      <c r="R1926">
        <v>-0.78869250000000002</v>
      </c>
      <c r="S1926">
        <v>-1.3636469999999901</v>
      </c>
      <c r="T1926">
        <v>-6.9488289999999994E-2</v>
      </c>
      <c r="U1926">
        <v>-2.8207089999999999</v>
      </c>
      <c r="V1926">
        <v>-0.26696249999999999</v>
      </c>
      <c r="W1926">
        <v>0.19036069999999999</v>
      </c>
      <c r="X1926">
        <v>0.94471890000000003</v>
      </c>
      <c r="Y1926">
        <v>-0.44140299999999999</v>
      </c>
      <c r="Z1926">
        <v>-3.9239599999999998E-3</v>
      </c>
      <c r="AA1926">
        <v>0.8973004</v>
      </c>
      <c r="AB1926">
        <v>28</v>
      </c>
      <c r="AC1926">
        <v>-22.8323</v>
      </c>
      <c r="AD1926">
        <v>-1.174369</v>
      </c>
      <c r="AE1926">
        <v>-47.482700000000001</v>
      </c>
      <c r="AF1926">
        <v>-23.353232176055201</v>
      </c>
      <c r="AG1926">
        <v>-1.174369</v>
      </c>
      <c r="AH1926">
        <v>47.199481338519398</v>
      </c>
      <c r="AI1926">
        <v>91.277519144586606</v>
      </c>
      <c r="AJ1926">
        <v>116.325160723029</v>
      </c>
      <c r="AK1926">
        <v>52.673936954077597</v>
      </c>
      <c r="AL1926">
        <v>79.026164866475497</v>
      </c>
      <c r="AM1926">
        <v>105.77944604865399</v>
      </c>
      <c r="AN1926">
        <v>0.99999998626397402</v>
      </c>
    </row>
    <row r="1927" spans="1:40" x14ac:dyDescent="0.25">
      <c r="A1927" t="str">
        <f>"20190304155401733"</f>
        <v>20190304155401733</v>
      </c>
      <c r="B1927" t="str">
        <f>"1551686041727962"</f>
        <v>1551686041727962</v>
      </c>
      <c r="C1927" t="s">
        <v>40</v>
      </c>
      <c r="D1927">
        <v>4.2347869999999999</v>
      </c>
      <c r="E1927">
        <v>0.42234189999999999</v>
      </c>
      <c r="F1927" t="s">
        <v>47</v>
      </c>
      <c r="G1927">
        <v>-508.99950000000001</v>
      </c>
      <c r="H1927">
        <v>-0.05</v>
      </c>
      <c r="I1927">
        <v>231.4205</v>
      </c>
      <c r="J1927">
        <v>-488.2885</v>
      </c>
      <c r="K1927">
        <v>1.124509</v>
      </c>
      <c r="L1927">
        <v>276.55700000000002</v>
      </c>
      <c r="M1927">
        <v>-0.77611869999999905</v>
      </c>
      <c r="N1927">
        <v>-1.698527E-2</v>
      </c>
      <c r="O1927">
        <v>-0.63035799999999997</v>
      </c>
      <c r="P1927">
        <v>-0.57191819999999904</v>
      </c>
      <c r="Q1927">
        <v>0.18277889999999999</v>
      </c>
      <c r="R1927">
        <v>-0.79968839999999997</v>
      </c>
      <c r="S1927">
        <v>-1.312592</v>
      </c>
      <c r="T1927">
        <v>-7.3706389999999997E-2</v>
      </c>
      <c r="U1927">
        <v>-2.8442989999999999</v>
      </c>
      <c r="V1927">
        <v>-0.26687060000000001</v>
      </c>
      <c r="W1927">
        <v>0.18977930000000001</v>
      </c>
      <c r="X1927">
        <v>0.94486179999999997</v>
      </c>
      <c r="Y1927">
        <v>-0.44044440000000001</v>
      </c>
      <c r="Z1927">
        <v>-3.176155E-3</v>
      </c>
      <c r="AA1927">
        <v>0.89777430000000003</v>
      </c>
      <c r="AB1927">
        <v>28</v>
      </c>
      <c r="AC1927">
        <v>-20.710999999999999</v>
      </c>
      <c r="AD1927">
        <v>-1.174509</v>
      </c>
      <c r="AE1927">
        <v>-45.136499999999998</v>
      </c>
      <c r="AF1927">
        <v>-21.966821569650499</v>
      </c>
      <c r="AG1927">
        <v>-1.174509</v>
      </c>
      <c r="AH1927">
        <v>44.507878781736402</v>
      </c>
      <c r="AI1927">
        <v>91.355571137829699</v>
      </c>
      <c r="AJ1927">
        <v>116.268599378831</v>
      </c>
      <c r="AK1927">
        <v>49.647477226075502</v>
      </c>
      <c r="AL1927">
        <v>79.060094879085298</v>
      </c>
      <c r="AM1927">
        <v>105.77201750570801</v>
      </c>
      <c r="AN1927">
        <v>0.999999960476044</v>
      </c>
    </row>
    <row r="1928" spans="1:40" x14ac:dyDescent="0.25">
      <c r="A1928" t="str">
        <f>"20190304155401756"</f>
        <v>20190304155401756</v>
      </c>
      <c r="B1928" t="str">
        <f>"1551686041748454"</f>
        <v>1551686041748454</v>
      </c>
      <c r="C1928" t="s">
        <v>40</v>
      </c>
      <c r="D1928">
        <v>4.2775439999999998</v>
      </c>
      <c r="E1928">
        <v>0.42270429999999998</v>
      </c>
      <c r="F1928" t="s">
        <v>46</v>
      </c>
      <c r="G1928">
        <v>-499.95780000000002</v>
      </c>
      <c r="H1928">
        <v>2.1913950000000001E-2</v>
      </c>
      <c r="I1928">
        <v>251.41489999999999</v>
      </c>
      <c r="J1928">
        <v>-488.48390000000001</v>
      </c>
      <c r="K1928">
        <v>1.124647</v>
      </c>
      <c r="L1928">
        <v>276.37450000000001</v>
      </c>
      <c r="M1928">
        <v>-0.76404939999999999</v>
      </c>
      <c r="N1928">
        <v>-1.706212E-2</v>
      </c>
      <c r="O1928">
        <v>-0.64493219999999996</v>
      </c>
      <c r="P1928">
        <v>-0.55646219999999902</v>
      </c>
      <c r="Q1928">
        <v>0.18282200000000001</v>
      </c>
      <c r="R1928">
        <v>-0.81051010000000001</v>
      </c>
      <c r="S1928">
        <v>-1.317169</v>
      </c>
      <c r="T1928">
        <v>-0.1244557</v>
      </c>
      <c r="U1928">
        <v>-2.8379210000000001</v>
      </c>
      <c r="V1928">
        <v>-0.26718829999999999</v>
      </c>
      <c r="W1928">
        <v>0.18979480000000001</v>
      </c>
      <c r="X1928">
        <v>0.94476890000000002</v>
      </c>
      <c r="Y1928">
        <v>-0.42131679999999999</v>
      </c>
      <c r="Z1928">
        <v>5.046905E-3</v>
      </c>
      <c r="AA1928">
        <v>0.90689949999999997</v>
      </c>
      <c r="AB1928">
        <v>28</v>
      </c>
      <c r="AC1928">
        <v>-11.4739</v>
      </c>
      <c r="AD1928">
        <v>-1.1027330500000001</v>
      </c>
      <c r="AE1928">
        <v>-24.959599999999998</v>
      </c>
      <c r="AF1928">
        <v>-11.6533997120065</v>
      </c>
      <c r="AG1928">
        <v>-1.1027330500000001</v>
      </c>
      <c r="AH1928">
        <v>24.8274870672149</v>
      </c>
      <c r="AI1928">
        <v>92.3024531894185</v>
      </c>
      <c r="AJ1928">
        <v>115.144182920451</v>
      </c>
      <c r="AK1928">
        <v>27.4485310918468</v>
      </c>
      <c r="AL1928">
        <v>79.059190394970301</v>
      </c>
      <c r="AM1928">
        <v>105.791332920494</v>
      </c>
      <c r="AN1928">
        <v>0.99999996408556902</v>
      </c>
    </row>
    <row r="1929" spans="1:40" x14ac:dyDescent="0.25">
      <c r="A1929" t="str">
        <f>"20190304155401779"</f>
        <v>20190304155401779</v>
      </c>
      <c r="B1929" t="str">
        <f>"1551686041767974"</f>
        <v>1551686041767974</v>
      </c>
      <c r="C1929" t="s">
        <v>40</v>
      </c>
      <c r="D1929">
        <v>4.2420390000000001</v>
      </c>
      <c r="E1929">
        <v>0.42426150000000001</v>
      </c>
      <c r="F1929" t="s">
        <v>46</v>
      </c>
      <c r="G1929">
        <v>-499.78870000000001</v>
      </c>
      <c r="H1929" s="1">
        <v>-3.0295139999999999E-6</v>
      </c>
      <c r="I1929">
        <v>250.7868</v>
      </c>
      <c r="J1929">
        <v>-488.68529999999998</v>
      </c>
      <c r="K1929">
        <v>1.124779</v>
      </c>
      <c r="L1929">
        <v>276.17869999999999</v>
      </c>
      <c r="M1929">
        <v>-0.75089289999999997</v>
      </c>
      <c r="N1929">
        <v>-1.7143220000000001E-2</v>
      </c>
      <c r="O1929">
        <v>-0.6602017</v>
      </c>
      <c r="P1929">
        <v>-0.54011149999999997</v>
      </c>
      <c r="Q1929">
        <v>0.18309049999999999</v>
      </c>
      <c r="R1929">
        <v>-0.82143650000000001</v>
      </c>
      <c r="S1929">
        <v>-1.264343</v>
      </c>
      <c r="T1929">
        <v>-0.1257819</v>
      </c>
      <c r="U1929">
        <v>-2.861755</v>
      </c>
      <c r="V1929">
        <v>-0.26710640000000002</v>
      </c>
      <c r="W1929">
        <v>0.19005179999999999</v>
      </c>
      <c r="X1929">
        <v>0.94474049999999998</v>
      </c>
      <c r="Y1929">
        <v>-0.41983589999999998</v>
      </c>
      <c r="Z1929">
        <v>5.7384089999999999E-3</v>
      </c>
      <c r="AA1929">
        <v>0.90758190000000005</v>
      </c>
      <c r="AB1929">
        <v>28</v>
      </c>
      <c r="AC1929">
        <v>-11.103400000000001</v>
      </c>
      <c r="AD1929">
        <v>-1.1247820295140001</v>
      </c>
      <c r="AE1929">
        <v>-25.3919</v>
      </c>
      <c r="AF1929">
        <v>-11.718533715713599</v>
      </c>
      <c r="AG1929">
        <v>-1.1247820295140001</v>
      </c>
      <c r="AH1929">
        <v>25.063639275348098</v>
      </c>
      <c r="AI1929">
        <v>92.327965163312797</v>
      </c>
      <c r="AJ1929">
        <v>115.058494483806</v>
      </c>
      <c r="AK1929">
        <v>27.690705675099899</v>
      </c>
      <c r="AL1929">
        <v>79.044193507357605</v>
      </c>
      <c r="AM1929">
        <v>105.787184708746</v>
      </c>
      <c r="AN1929">
        <v>1.00000006397222</v>
      </c>
    </row>
    <row r="1930" spans="1:40" x14ac:dyDescent="0.25">
      <c r="A1930" t="str">
        <f>"20190304155401802"</f>
        <v>20190304155401802</v>
      </c>
      <c r="B1930" t="str">
        <f>"1551686041798231"</f>
        <v>1551686041798231</v>
      </c>
      <c r="C1930" t="s">
        <v>40</v>
      </c>
      <c r="D1930">
        <v>4.3134430000000004</v>
      </c>
      <c r="E1930">
        <v>0.42426730000000001</v>
      </c>
      <c r="F1930" t="s">
        <v>46</v>
      </c>
      <c r="G1930">
        <v>-499.02080000000001</v>
      </c>
      <c r="H1930" s="1">
        <v>-3.20829E-6</v>
      </c>
      <c r="I1930">
        <v>251.7124</v>
      </c>
      <c r="J1930">
        <v>-488.87240000000003</v>
      </c>
      <c r="K1930">
        <v>1.1249180000000001</v>
      </c>
      <c r="L1930">
        <v>275.98930000000001</v>
      </c>
      <c r="M1930">
        <v>-0.73795710000000003</v>
      </c>
      <c r="N1930">
        <v>-1.7220579999999999E-2</v>
      </c>
      <c r="O1930">
        <v>-0.67462809999999995</v>
      </c>
      <c r="P1930">
        <v>-0.5247001</v>
      </c>
      <c r="Q1930">
        <v>0.18342149999999999</v>
      </c>
      <c r="R1930">
        <v>-0.83129219999999904</v>
      </c>
      <c r="S1930">
        <v>-1.2171940000000001</v>
      </c>
      <c r="T1930">
        <v>-0.1324632</v>
      </c>
      <c r="U1930">
        <v>-2.881348</v>
      </c>
      <c r="V1930">
        <v>-0.266435799999999</v>
      </c>
      <c r="W1930">
        <v>0.19039719999999999</v>
      </c>
      <c r="X1930">
        <v>0.94486020000000004</v>
      </c>
      <c r="Y1930">
        <v>-0.41705360000000002</v>
      </c>
      <c r="Z1930">
        <v>7.3373519999999897E-3</v>
      </c>
      <c r="AA1930">
        <v>0.90885229999999995</v>
      </c>
      <c r="AB1930">
        <v>28</v>
      </c>
      <c r="AC1930">
        <v>-10.148399999999899</v>
      </c>
      <c r="AD1930">
        <v>-1.12492120829</v>
      </c>
      <c r="AE1930">
        <v>-24.276900000000001</v>
      </c>
      <c r="AF1930">
        <v>-11.050357691131</v>
      </c>
      <c r="AG1930">
        <v>-1.12492120829</v>
      </c>
      <c r="AH1930">
        <v>23.826949394791399</v>
      </c>
      <c r="AI1930">
        <v>92.452489261298396</v>
      </c>
      <c r="AJ1930">
        <v>114.880719640615</v>
      </c>
      <c r="AK1930">
        <v>26.288768900211899</v>
      </c>
      <c r="AL1930">
        <v>79.024034355654805</v>
      </c>
      <c r="AM1930">
        <v>105.747621874141</v>
      </c>
      <c r="AN1930">
        <v>0.99999996341675901</v>
      </c>
    </row>
    <row r="1931" spans="1:40" x14ac:dyDescent="0.25">
      <c r="A1931" t="str">
        <f>"20190304155401824"</f>
        <v>20190304155401824</v>
      </c>
      <c r="B1931" t="str">
        <f>"1551686041818726"</f>
        <v>1551686041818726</v>
      </c>
      <c r="C1931" t="s">
        <v>40</v>
      </c>
      <c r="D1931">
        <v>4.2903289999999998</v>
      </c>
      <c r="E1931">
        <v>0.42453150000000001</v>
      </c>
      <c r="F1931" t="s">
        <v>46</v>
      </c>
      <c r="G1931">
        <v>-498.8854</v>
      </c>
      <c r="H1931" s="1">
        <v>-2.934376E-6</v>
      </c>
      <c r="I1931">
        <v>250.97800000000001</v>
      </c>
      <c r="J1931">
        <v>-489.06079999999997</v>
      </c>
      <c r="K1931">
        <v>1.125048</v>
      </c>
      <c r="L1931">
        <v>275.78980000000001</v>
      </c>
      <c r="M1931">
        <v>-0.72414149999999999</v>
      </c>
      <c r="N1931">
        <v>-1.7300969999999999E-2</v>
      </c>
      <c r="O1931">
        <v>-0.68943430000000006</v>
      </c>
      <c r="P1931">
        <v>-0.50850890000000004</v>
      </c>
      <c r="Q1931">
        <v>0.18373800000000001</v>
      </c>
      <c r="R1931">
        <v>-0.841225</v>
      </c>
      <c r="S1931">
        <v>-1.1625369999999999</v>
      </c>
      <c r="T1931">
        <v>-0.13060639999999901</v>
      </c>
      <c r="U1931">
        <v>-2.90387</v>
      </c>
      <c r="V1931">
        <v>-0.26561499999999999</v>
      </c>
      <c r="W1931">
        <v>0.19073709999999999</v>
      </c>
      <c r="X1931">
        <v>0.94502280000000005</v>
      </c>
      <c r="Y1931">
        <v>-0.41582839999999999</v>
      </c>
      <c r="Z1931">
        <v>7.5357050000000002E-3</v>
      </c>
      <c r="AA1931">
        <v>0.90941179999999999</v>
      </c>
      <c r="AB1931">
        <v>28</v>
      </c>
      <c r="AC1931">
        <v>-9.8246000000000304</v>
      </c>
      <c r="AD1931">
        <v>-1.125050934376</v>
      </c>
      <c r="AE1931">
        <v>-24.811800000000002</v>
      </c>
      <c r="AF1931">
        <v>-11.175651039071299</v>
      </c>
      <c r="AG1931">
        <v>-1.125050934376</v>
      </c>
      <c r="AH1931">
        <v>24.181155102427802</v>
      </c>
      <c r="AI1931">
        <v>92.418370446436001</v>
      </c>
      <c r="AJ1931">
        <v>114.80466401115901</v>
      </c>
      <c r="AK1931">
        <v>26.6625050931023</v>
      </c>
      <c r="AL1931">
        <v>79.004196716945899</v>
      </c>
      <c r="AM1931">
        <v>105.6989363773</v>
      </c>
      <c r="AN1931">
        <v>1.0000000310306201</v>
      </c>
    </row>
    <row r="1932" spans="1:40" x14ac:dyDescent="0.25">
      <c r="A1932" t="str">
        <f>"20190304155401846"</f>
        <v>20190304155401846</v>
      </c>
      <c r="B1932" t="str">
        <f>"1551686041838250"</f>
        <v>1551686041838250</v>
      </c>
      <c r="C1932" t="s">
        <v>40</v>
      </c>
      <c r="D1932">
        <v>4.2513800000000002</v>
      </c>
      <c r="E1932">
        <v>0.42487900000000001</v>
      </c>
      <c r="F1932" t="s">
        <v>48</v>
      </c>
      <c r="G1932">
        <v>-489.428</v>
      </c>
      <c r="H1932">
        <v>1.08168</v>
      </c>
      <c r="I1932">
        <v>274.82100000000003</v>
      </c>
      <c r="J1932">
        <v>-489.23489999999998</v>
      </c>
      <c r="K1932">
        <v>1.12517</v>
      </c>
      <c r="L1932">
        <v>275.59780000000001</v>
      </c>
      <c r="M1932">
        <v>-0.71064359999999904</v>
      </c>
      <c r="N1932">
        <v>-1.737706E-2</v>
      </c>
      <c r="O1932">
        <v>-0.70333769999999995</v>
      </c>
      <c r="P1932">
        <v>-0.49318440000000002</v>
      </c>
      <c r="Q1932">
        <v>0.18237149999999999</v>
      </c>
      <c r="R1932">
        <v>-0.85059390000000001</v>
      </c>
      <c r="S1932">
        <v>-1.107605</v>
      </c>
      <c r="T1932">
        <v>-0.13084419999999999</v>
      </c>
      <c r="U1932">
        <v>-2.9252009999999999</v>
      </c>
      <c r="V1932">
        <v>-0.26463880000000001</v>
      </c>
      <c r="W1932">
        <v>0.18940760000000001</v>
      </c>
      <c r="X1932">
        <v>0.94556390000000001</v>
      </c>
      <c r="Y1932">
        <v>-0.41533880000000001</v>
      </c>
      <c r="Z1932">
        <v>8.0376059999999992E-3</v>
      </c>
      <c r="AA1932">
        <v>0.90963130000000003</v>
      </c>
      <c r="AB1932">
        <v>28</v>
      </c>
      <c r="AC1932">
        <v>-0.19310000000007199</v>
      </c>
      <c r="AD1932">
        <v>-4.3490000000000001E-2</v>
      </c>
      <c r="AE1932">
        <v>-0.77680000000003602</v>
      </c>
      <c r="AF1932">
        <v>-0.41505100854309201</v>
      </c>
      <c r="AG1932">
        <v>-4.3490000000000001E-2</v>
      </c>
      <c r="AH1932">
        <v>0.68166885995192505</v>
      </c>
      <c r="AI1932">
        <v>93.119130397188002</v>
      </c>
      <c r="AJ1932">
        <v>121.33618284478401</v>
      </c>
      <c r="AK1932">
        <v>0.79926913766315</v>
      </c>
      <c r="AL1932">
        <v>79.081785684789693</v>
      </c>
      <c r="AM1932">
        <v>105.63555456927899</v>
      </c>
      <c r="AN1932">
        <v>1.0000000111931999</v>
      </c>
    </row>
    <row r="1933" spans="1:40" x14ac:dyDescent="0.25">
      <c r="A1933" t="str">
        <f>"20190304155401859"</f>
        <v>20190304155401859</v>
      </c>
      <c r="B1933" t="str">
        <f>"1551686041848007"</f>
        <v>1551686041848007</v>
      </c>
      <c r="C1933" t="s">
        <v>40</v>
      </c>
      <c r="D1933">
        <v>4.2859410000000002</v>
      </c>
      <c r="E1933">
        <v>0.42505280000000001</v>
      </c>
      <c r="F1933" t="s">
        <v>48</v>
      </c>
      <c r="G1933">
        <v>-489.58690000000001</v>
      </c>
      <c r="H1933">
        <v>1.08002</v>
      </c>
      <c r="I1933">
        <v>274.6148</v>
      </c>
      <c r="J1933">
        <v>-489.34530000000001</v>
      </c>
      <c r="K1933">
        <v>1.1252439999999999</v>
      </c>
      <c r="L1933">
        <v>275.47239999999999</v>
      </c>
      <c r="M1933">
        <v>-0.7017215</v>
      </c>
      <c r="N1933">
        <v>-1.7425670000000001E-2</v>
      </c>
      <c r="O1933">
        <v>-0.71223840000000005</v>
      </c>
      <c r="P1933">
        <v>-0.48313840000000002</v>
      </c>
      <c r="Q1933">
        <v>0.18127199999999999</v>
      </c>
      <c r="R1933">
        <v>-0.85657369999999899</v>
      </c>
      <c r="S1933">
        <v>-1.054657</v>
      </c>
      <c r="T1933">
        <v>-0.13527249999999999</v>
      </c>
      <c r="U1933">
        <v>-2.9444270000000001</v>
      </c>
      <c r="V1933">
        <v>-0.26400879999999999</v>
      </c>
      <c r="W1933">
        <v>0.18833569999999999</v>
      </c>
      <c r="X1933">
        <v>0.94595399999999996</v>
      </c>
      <c r="Y1933">
        <v>-0.42024060000000002</v>
      </c>
      <c r="Z1933">
        <v>9.0008269999999994E-3</v>
      </c>
      <c r="AA1933">
        <v>0.90736810000000001</v>
      </c>
      <c r="AB1933">
        <v>28</v>
      </c>
      <c r="AC1933">
        <v>-0.24160000000000501</v>
      </c>
      <c r="AD1933">
        <v>-4.5224000000000097E-2</v>
      </c>
      <c r="AE1933">
        <v>-0.85759999999999004</v>
      </c>
      <c r="AF1933">
        <v>-0.42868034452931902</v>
      </c>
      <c r="AG1933">
        <v>-4.5224000000000097E-2</v>
      </c>
      <c r="AH1933">
        <v>0.77846439552911695</v>
      </c>
      <c r="AI1933">
        <v>92.913169932855197</v>
      </c>
      <c r="AJ1933">
        <v>118.840447612132</v>
      </c>
      <c r="AK1933">
        <v>0.88984204388660404</v>
      </c>
      <c r="AL1933">
        <v>79.144326275620401</v>
      </c>
      <c r="AM1933">
        <v>105.59402679179099</v>
      </c>
      <c r="AN1933">
        <v>0.99999997624396397</v>
      </c>
    </row>
    <row r="1934" spans="1:40" x14ac:dyDescent="0.25">
      <c r="A1934" t="str">
        <f>"20190304155401873"</f>
        <v>20190304155401873</v>
      </c>
      <c r="B1934" t="str">
        <f>"1551686041868502"</f>
        <v>1551686041868502</v>
      </c>
      <c r="C1934" t="s">
        <v>40</v>
      </c>
      <c r="D1934">
        <v>4.2441170000000001</v>
      </c>
      <c r="E1934">
        <v>0.42502410000000002</v>
      </c>
      <c r="F1934" t="s">
        <v>46</v>
      </c>
      <c r="G1934">
        <v>-497.60840000000002</v>
      </c>
      <c r="H1934" s="1">
        <v>-2.8571670000000001E-6</v>
      </c>
      <c r="I1934">
        <v>251.53030000000001</v>
      </c>
      <c r="J1934">
        <v>-489.44799999999998</v>
      </c>
      <c r="K1934">
        <v>1.125308</v>
      </c>
      <c r="L1934">
        <v>275.35180000000003</v>
      </c>
      <c r="M1934">
        <v>-0.69308380000000003</v>
      </c>
      <c r="N1934">
        <v>-1.7471529999999999E-2</v>
      </c>
      <c r="O1934">
        <v>-0.7206456</v>
      </c>
      <c r="P1934">
        <v>-0.47337610000000002</v>
      </c>
      <c r="Q1934">
        <v>0.17980099999999999</v>
      </c>
      <c r="R1934">
        <v>-0.86231519999999995</v>
      </c>
      <c r="S1934">
        <v>-1.020294</v>
      </c>
      <c r="T1934">
        <v>-0.1389408</v>
      </c>
      <c r="U1934">
        <v>-2.9562680000000001</v>
      </c>
      <c r="V1934">
        <v>-0.26354240000000001</v>
      </c>
      <c r="W1934">
        <v>0.1868889</v>
      </c>
      <c r="X1934">
        <v>0.94637090000000001</v>
      </c>
      <c r="Y1934">
        <v>-0.41984399999999999</v>
      </c>
      <c r="Z1934">
        <v>9.9699490000000005E-3</v>
      </c>
      <c r="AA1934">
        <v>0.9075415</v>
      </c>
      <c r="AB1934">
        <v>28</v>
      </c>
      <c r="AC1934">
        <v>-8.1603999999999797</v>
      </c>
      <c r="AD1934">
        <v>-1.1253108571670001</v>
      </c>
      <c r="AE1934">
        <v>-23.8215</v>
      </c>
      <c r="AF1934">
        <v>-10.6099694869799</v>
      </c>
      <c r="AG1934">
        <v>-1.1253108571670001</v>
      </c>
      <c r="AH1934">
        <v>22.780681638804701</v>
      </c>
      <c r="AI1934">
        <v>92.563939720256997</v>
      </c>
      <c r="AJ1934">
        <v>114.97347481155199</v>
      </c>
      <c r="AK1934">
        <v>25.155461295084201</v>
      </c>
      <c r="AL1934">
        <v>79.228720313166406</v>
      </c>
      <c r="AM1934">
        <v>105.561289708662</v>
      </c>
      <c r="AN1934">
        <v>0.99999996895388898</v>
      </c>
    </row>
    <row r="1935" spans="1:40" x14ac:dyDescent="0.25">
      <c r="A1935" t="str">
        <f>"20190304155401886"</f>
        <v>20190304155401886</v>
      </c>
      <c r="B1935" t="str">
        <f>"1551686041878265"</f>
        <v>1551686041878265</v>
      </c>
      <c r="C1935" t="s">
        <v>40</v>
      </c>
      <c r="D1935">
        <v>4.2769750000000002</v>
      </c>
      <c r="E1935">
        <v>0.42487079999999999</v>
      </c>
      <c r="F1935" t="s">
        <v>46</v>
      </c>
      <c r="G1935">
        <v>-497.2226</v>
      </c>
      <c r="H1935" s="1">
        <v>-2.9269899999999998E-6</v>
      </c>
      <c r="I1935">
        <v>251.9323</v>
      </c>
      <c r="J1935">
        <v>-489.54820000000001</v>
      </c>
      <c r="K1935">
        <v>1.125372</v>
      </c>
      <c r="L1935">
        <v>275.2319</v>
      </c>
      <c r="M1935">
        <v>-0.68441700000000005</v>
      </c>
      <c r="N1935">
        <v>-1.7515659999999999E-2</v>
      </c>
      <c r="O1935">
        <v>-0.72888059999999999</v>
      </c>
      <c r="P1935">
        <v>-0.46379160000000003</v>
      </c>
      <c r="Q1935">
        <v>0.17842529999999901</v>
      </c>
      <c r="R1935">
        <v>-0.86779169999999906</v>
      </c>
      <c r="S1935">
        <v>-0.98526000000000002</v>
      </c>
      <c r="T1935">
        <v>-0.14260819999999999</v>
      </c>
      <c r="U1935">
        <v>-2.9678960000000001</v>
      </c>
      <c r="V1935">
        <v>-0.26288669999999997</v>
      </c>
      <c r="W1935">
        <v>0.18554480000000001</v>
      </c>
      <c r="X1935">
        <v>0.94681760000000004</v>
      </c>
      <c r="Y1935">
        <v>-0.41970210000000002</v>
      </c>
      <c r="Z1935">
        <v>1.0953340000000001E-2</v>
      </c>
      <c r="AA1935">
        <v>0.90759590000000001</v>
      </c>
      <c r="AB1935">
        <v>28</v>
      </c>
      <c r="AC1935">
        <v>-7.6743999999999897</v>
      </c>
      <c r="AD1935">
        <v>-1.12537492699</v>
      </c>
      <c r="AE1935">
        <v>-23.299600000000002</v>
      </c>
      <c r="AF1935">
        <v>-10.332761572728501</v>
      </c>
      <c r="AG1935">
        <v>-1.12537492699</v>
      </c>
      <c r="AH1935">
        <v>22.191819441530999</v>
      </c>
      <c r="AI1935">
        <v>92.632162985654602</v>
      </c>
      <c r="AJ1935">
        <v>114.96721828189</v>
      </c>
      <c r="AK1935">
        <v>24.505290868925901</v>
      </c>
      <c r="AL1935">
        <v>79.307102154997494</v>
      </c>
      <c r="AM1935">
        <v>105.51747102057</v>
      </c>
      <c r="AN1935">
        <v>0.99999992875684196</v>
      </c>
    </row>
    <row r="1936" spans="1:40" x14ac:dyDescent="0.25">
      <c r="A1936" t="str">
        <f>"20190304155401902"</f>
        <v>20190304155401902</v>
      </c>
      <c r="B1936" t="str">
        <f>"1551686041898758"</f>
        <v>1551686041898758</v>
      </c>
      <c r="C1936" t="s">
        <v>40</v>
      </c>
      <c r="D1936">
        <v>4.3746460000000003</v>
      </c>
      <c r="E1936">
        <v>0.42484889999999997</v>
      </c>
      <c r="F1936" t="s">
        <v>48</v>
      </c>
      <c r="G1936">
        <v>-489.86880000000002</v>
      </c>
      <c r="H1936">
        <v>1.0762419999999999</v>
      </c>
      <c r="I1936">
        <v>274.22620000000001</v>
      </c>
      <c r="J1936">
        <v>-489.66820000000001</v>
      </c>
      <c r="K1936">
        <v>1.125445</v>
      </c>
      <c r="L1936">
        <v>275.08449999999999</v>
      </c>
      <c r="M1936">
        <v>-0.6736721</v>
      </c>
      <c r="N1936">
        <v>-1.7568029999999998E-2</v>
      </c>
      <c r="O1936">
        <v>-0.73882139999999996</v>
      </c>
      <c r="P1936">
        <v>-0.45252789999999998</v>
      </c>
      <c r="Q1936">
        <v>0.1766181</v>
      </c>
      <c r="R1936">
        <v>-0.87408490000000005</v>
      </c>
      <c r="S1936">
        <v>-0.94989009999999996</v>
      </c>
      <c r="T1936">
        <v>-0.14556379999999999</v>
      </c>
      <c r="U1936">
        <v>-2.979279</v>
      </c>
      <c r="V1936">
        <v>-0.26148500000000002</v>
      </c>
      <c r="W1936">
        <v>0.1838024</v>
      </c>
      <c r="X1936">
        <v>0.94754539999999998</v>
      </c>
      <c r="Y1936">
        <v>-0.41719850000000003</v>
      </c>
      <c r="Z1936">
        <v>1.195564E-2</v>
      </c>
      <c r="AA1936">
        <v>0.90873680000000001</v>
      </c>
      <c r="AB1936">
        <v>28</v>
      </c>
      <c r="AC1936">
        <v>-0.20060000000000799</v>
      </c>
      <c r="AD1936">
        <v>-4.9203000000000101E-2</v>
      </c>
      <c r="AE1936">
        <v>-0.85829999999998496</v>
      </c>
      <c r="AF1936">
        <v>-0.428735637001458</v>
      </c>
      <c r="AG1936">
        <v>-4.9203000000000101E-2</v>
      </c>
      <c r="AH1936">
        <v>0.76699782978738595</v>
      </c>
      <c r="AI1936">
        <v>93.204971450449193</v>
      </c>
      <c r="AJ1936">
        <v>119.204271175402</v>
      </c>
      <c r="AK1936">
        <v>0.88006866353859303</v>
      </c>
      <c r="AL1936">
        <v>79.408682347706005</v>
      </c>
      <c r="AM1936">
        <v>105.427396289654</v>
      </c>
      <c r="AN1936">
        <v>1.00000000626596</v>
      </c>
    </row>
    <row r="1937" spans="1:40" x14ac:dyDescent="0.25">
      <c r="A1937" t="str">
        <f>"20190304155401925"</f>
        <v>20190304155401925</v>
      </c>
      <c r="B1937" t="str">
        <f>"1551686041918281"</f>
        <v>1551686041918281</v>
      </c>
      <c r="C1937" t="s">
        <v>40</v>
      </c>
      <c r="D1937">
        <v>4.3797930000000003</v>
      </c>
      <c r="E1937">
        <v>0.41966520000000002</v>
      </c>
      <c r="F1937" t="s">
        <v>48</v>
      </c>
      <c r="G1937">
        <v>-489.97629999999998</v>
      </c>
      <c r="H1937">
        <v>1.074894</v>
      </c>
      <c r="I1937">
        <v>274.07089999999999</v>
      </c>
      <c r="J1937">
        <v>-489.8381</v>
      </c>
      <c r="K1937">
        <v>1.125551</v>
      </c>
      <c r="L1937">
        <v>274.86649999999997</v>
      </c>
      <c r="M1937">
        <v>-0.65760459999999998</v>
      </c>
      <c r="N1937">
        <v>-1.7643610000000001E-2</v>
      </c>
      <c r="O1937">
        <v>-0.75315659999999995</v>
      </c>
      <c r="P1937">
        <v>-0.43545689999999998</v>
      </c>
      <c r="Q1937">
        <v>0.17536089999999999</v>
      </c>
      <c r="R1937">
        <v>-0.88296430000000004</v>
      </c>
      <c r="S1937">
        <v>-0.90856930000000002</v>
      </c>
      <c r="T1937">
        <v>-0.14912800000000001</v>
      </c>
      <c r="U1937">
        <v>-2.9918819999999999</v>
      </c>
      <c r="V1937">
        <v>-0.25965579999999999</v>
      </c>
      <c r="W1937">
        <v>0.1826305</v>
      </c>
      <c r="X1937">
        <v>0.94827470000000003</v>
      </c>
      <c r="Y1937">
        <v>-0.4101766</v>
      </c>
      <c r="Z1937">
        <v>1.33969E-2</v>
      </c>
      <c r="AA1937">
        <v>0.91190769999999999</v>
      </c>
      <c r="AB1937">
        <v>27</v>
      </c>
      <c r="AC1937">
        <v>-0.138199999999983</v>
      </c>
      <c r="AD1937">
        <v>-5.0656999999999897E-2</v>
      </c>
      <c r="AE1937">
        <v>-0.79559999999997899</v>
      </c>
      <c r="AF1937">
        <v>-0.417526136927097</v>
      </c>
      <c r="AG1937">
        <v>-5.0656999999999897E-2</v>
      </c>
      <c r="AH1937">
        <v>0.68749429021106401</v>
      </c>
      <c r="AI1937">
        <v>93.603666991934006</v>
      </c>
      <c r="AJ1937">
        <v>121.270970706863</v>
      </c>
      <c r="AK1937">
        <v>0.80594206103111399</v>
      </c>
      <c r="AL1937">
        <v>79.476983053218305</v>
      </c>
      <c r="AM1937">
        <v>105.3133329894</v>
      </c>
      <c r="AN1937">
        <v>0.99999997033198895</v>
      </c>
    </row>
    <row r="1938" spans="1:40" x14ac:dyDescent="0.25">
      <c r="A1938" t="str">
        <f>"20190304155401938"</f>
        <v>20190304155401938</v>
      </c>
      <c r="B1938" t="str">
        <f>"1551686041929015"</f>
        <v>1551686041929015</v>
      </c>
      <c r="C1938" t="s">
        <v>40</v>
      </c>
      <c r="D1938">
        <v>4.4221959999999996</v>
      </c>
      <c r="E1938">
        <v>0.41912349999999998</v>
      </c>
      <c r="F1938" t="s">
        <v>48</v>
      </c>
      <c r="G1938">
        <v>-490.10149999999999</v>
      </c>
      <c r="H1938">
        <v>1.0909819999999999</v>
      </c>
      <c r="I1938">
        <v>273.87689999999998</v>
      </c>
      <c r="J1938">
        <v>-489.93630000000002</v>
      </c>
      <c r="K1938">
        <v>1.1255999999999999</v>
      </c>
      <c r="L1938">
        <v>274.73599999999999</v>
      </c>
      <c r="M1938">
        <v>-0.64788849999999998</v>
      </c>
      <c r="N1938">
        <v>-1.7687850000000001E-2</v>
      </c>
      <c r="O1938">
        <v>-0.76153019999999905</v>
      </c>
      <c r="P1938">
        <v>-0.42523899999999998</v>
      </c>
      <c r="Q1938">
        <v>0.1751954</v>
      </c>
      <c r="R1938">
        <v>-0.88796339999999996</v>
      </c>
      <c r="S1938">
        <v>-0.80462650000000002</v>
      </c>
      <c r="T1938">
        <v>-0.10557709999999999</v>
      </c>
      <c r="U1938">
        <v>-3.0218509999999998</v>
      </c>
      <c r="V1938">
        <v>-0.25847350000000002</v>
      </c>
      <c r="W1938">
        <v>0.1825203</v>
      </c>
      <c r="X1938">
        <v>0.94861890000000004</v>
      </c>
      <c r="Y1938">
        <v>-0.42996279999999998</v>
      </c>
      <c r="Z1938">
        <v>4.7016559999999898E-3</v>
      </c>
      <c r="AA1938">
        <v>0.90283440000000004</v>
      </c>
      <c r="AB1938">
        <v>27</v>
      </c>
      <c r="AC1938">
        <v>-0.16519999999997001</v>
      </c>
      <c r="AD1938">
        <v>-3.4618000000000003E-2</v>
      </c>
      <c r="AE1938">
        <v>-0.85910000000001197</v>
      </c>
      <c r="AF1938">
        <v>-0.43018988579505002</v>
      </c>
      <c r="AG1938">
        <v>-3.4618000000000003E-2</v>
      </c>
      <c r="AH1938">
        <v>0.76019031703693696</v>
      </c>
      <c r="AI1938">
        <v>92.269596102764694</v>
      </c>
      <c r="AJ1938">
        <v>119.50541786860801</v>
      </c>
      <c r="AK1938">
        <v>0.87415734389243505</v>
      </c>
      <c r="AL1938">
        <v>79.483405451231405</v>
      </c>
      <c r="AM1938">
        <v>105.241583681729</v>
      </c>
      <c r="AN1938">
        <v>1.0000000137757701</v>
      </c>
    </row>
    <row r="1939" spans="1:40" x14ac:dyDescent="0.25">
      <c r="A1939" t="str">
        <f>"20190304155401951"</f>
        <v>20190304155401951</v>
      </c>
      <c r="B1939" t="str">
        <f>"1551686041948535"</f>
        <v>1551686041948535</v>
      </c>
      <c r="C1939" t="s">
        <v>40</v>
      </c>
      <c r="D1939">
        <v>4.415292</v>
      </c>
      <c r="E1939">
        <v>0.41938809999999899</v>
      </c>
      <c r="F1939" t="s">
        <v>46</v>
      </c>
      <c r="G1939">
        <v>-498.54840000000002</v>
      </c>
      <c r="H1939" s="1">
        <v>-2.6894559999999999E-6</v>
      </c>
      <c r="I1939">
        <v>240.55629999999999</v>
      </c>
      <c r="J1939">
        <v>-490.02170000000001</v>
      </c>
      <c r="K1939">
        <v>1.1256489999999999</v>
      </c>
      <c r="L1939">
        <v>274.6191</v>
      </c>
      <c r="M1939">
        <v>-0.63913019999999998</v>
      </c>
      <c r="N1939">
        <v>-1.7726539999999999E-2</v>
      </c>
      <c r="O1939">
        <v>-0.76889449999999904</v>
      </c>
      <c r="P1939">
        <v>-0.41623529999999997</v>
      </c>
      <c r="Q1939">
        <v>0.17483580000000001</v>
      </c>
      <c r="R1939">
        <v>-0.89228969999999896</v>
      </c>
      <c r="S1939">
        <v>-0.76403809999999905</v>
      </c>
      <c r="T1939">
        <v>-9.9860069999999995E-2</v>
      </c>
      <c r="U1939">
        <v>-3.0323180000000001</v>
      </c>
      <c r="V1939">
        <v>-0.25726349999999998</v>
      </c>
      <c r="W1939">
        <v>0.1822194</v>
      </c>
      <c r="X1939">
        <v>0.9490056</v>
      </c>
      <c r="Y1939">
        <v>-0.43173899999999998</v>
      </c>
      <c r="Z1939">
        <v>3.713063E-3</v>
      </c>
      <c r="AA1939">
        <v>0.90199099999999999</v>
      </c>
      <c r="AB1939">
        <v>27</v>
      </c>
      <c r="AC1939">
        <v>-8.5266999999999999</v>
      </c>
      <c r="AD1939">
        <v>-1.12565168945599</v>
      </c>
      <c r="AE1939">
        <v>-34.062800000000003</v>
      </c>
      <c r="AF1939">
        <v>-15.201197650009499</v>
      </c>
      <c r="AG1939">
        <v>-1.12565168945599</v>
      </c>
      <c r="AH1939">
        <v>31.612849671967801</v>
      </c>
      <c r="AI1939">
        <v>91.8380016591246</v>
      </c>
      <c r="AJ1939">
        <v>115.68080835692599</v>
      </c>
      <c r="AK1939">
        <v>35.095808383666899</v>
      </c>
      <c r="AL1939">
        <v>79.5009399053896</v>
      </c>
      <c r="AM1939">
        <v>105.16763154584299</v>
      </c>
      <c r="AN1939">
        <v>1.00000002349998</v>
      </c>
    </row>
    <row r="1940" spans="1:40" x14ac:dyDescent="0.25">
      <c r="A1940" t="str">
        <f>"20190304155401969"</f>
        <v>20190304155401969</v>
      </c>
      <c r="B1940" t="str">
        <f>"1551686041958295"</f>
        <v>1551686041958295</v>
      </c>
      <c r="C1940" t="s">
        <v>40</v>
      </c>
      <c r="D1940">
        <v>4.4433920000000002</v>
      </c>
      <c r="E1940">
        <v>0.41938809999999899</v>
      </c>
      <c r="F1940" t="s">
        <v>46</v>
      </c>
      <c r="G1940">
        <v>-498.37180000000001</v>
      </c>
      <c r="H1940" s="1">
        <v>-2.4167199999999998E-6</v>
      </c>
      <c r="I1940">
        <v>240.0301</v>
      </c>
      <c r="J1940">
        <v>-490.1456</v>
      </c>
      <c r="K1940">
        <v>1.125713</v>
      </c>
      <c r="L1940">
        <v>274.44470000000001</v>
      </c>
      <c r="M1940">
        <v>-0.62595970000000001</v>
      </c>
      <c r="N1940">
        <v>-1.7781870000000002E-2</v>
      </c>
      <c r="O1940">
        <v>-0.77965260000000003</v>
      </c>
      <c r="P1940">
        <v>-0.40306199999999998</v>
      </c>
      <c r="Q1940">
        <v>0.1745205</v>
      </c>
      <c r="R1940">
        <v>-0.89837860000000003</v>
      </c>
      <c r="S1940">
        <v>-0.73370360000000001</v>
      </c>
      <c r="T1940">
        <v>-9.8908190000000007E-2</v>
      </c>
      <c r="U1940">
        <v>-3.0392459999999999</v>
      </c>
      <c r="V1940">
        <v>-0.25513809999999998</v>
      </c>
      <c r="W1940">
        <v>0.1820051</v>
      </c>
      <c r="X1940">
        <v>0.94962029999999997</v>
      </c>
      <c r="Y1940">
        <v>-0.42536800000000002</v>
      </c>
      <c r="Z1940">
        <v>3.8873760000000001E-3</v>
      </c>
      <c r="AA1940">
        <v>0.90501209999999999</v>
      </c>
      <c r="AB1940">
        <v>27</v>
      </c>
      <c r="AC1940">
        <v>-8.2262000000000004</v>
      </c>
      <c r="AD1940">
        <v>-1.1257154167200001</v>
      </c>
      <c r="AE1940">
        <v>-34.4146</v>
      </c>
      <c r="AF1940">
        <v>-15.115668275679599</v>
      </c>
      <c r="AG1940">
        <v>-1.1257154167200001</v>
      </c>
      <c r="AH1940">
        <v>31.953419292059301</v>
      </c>
      <c r="AI1940">
        <v>91.824045179903095</v>
      </c>
      <c r="AJ1940">
        <v>115.31664155208701</v>
      </c>
      <c r="AK1940">
        <v>35.3662503960199</v>
      </c>
      <c r="AL1940">
        <v>79.513427066851904</v>
      </c>
      <c r="AM1940">
        <v>105.038729131357</v>
      </c>
      <c r="AN1940">
        <v>1.0000000103348501</v>
      </c>
    </row>
    <row r="1941" spans="1:40" x14ac:dyDescent="0.25">
      <c r="A1941" t="str">
        <f>"20190304155401982"</f>
        <v>20190304155401982</v>
      </c>
      <c r="B1941" t="str">
        <f>"1551686041978790"</f>
        <v>1551686041978790</v>
      </c>
      <c r="C1941" t="s">
        <v>40</v>
      </c>
      <c r="D1941">
        <v>4.4284999999999997</v>
      </c>
      <c r="E1941">
        <v>0.42526710000000001</v>
      </c>
      <c r="F1941" t="s">
        <v>46</v>
      </c>
      <c r="G1941">
        <v>-498.04539999999997</v>
      </c>
      <c r="H1941" s="1">
        <v>-5.6309259999999899E-6</v>
      </c>
      <c r="I1941">
        <v>239.3399</v>
      </c>
      <c r="J1941">
        <v>-490.23110000000003</v>
      </c>
      <c r="K1941">
        <v>1.1257509999999999</v>
      </c>
      <c r="L1941">
        <v>274.32139999999998</v>
      </c>
      <c r="M1941">
        <v>-0.61656129999999998</v>
      </c>
      <c r="N1941">
        <v>-1.7819249999999998E-2</v>
      </c>
      <c r="O1941">
        <v>-0.78710539999999996</v>
      </c>
      <c r="P1941">
        <v>-0.39372079999999998</v>
      </c>
      <c r="Q1941">
        <v>0.1742011</v>
      </c>
      <c r="R1941">
        <v>-0.90257330000000002</v>
      </c>
      <c r="S1941">
        <v>-0.68643189999999998</v>
      </c>
      <c r="T1941">
        <v>-9.7816710000000001E-2</v>
      </c>
      <c r="U1941">
        <v>-3.050354</v>
      </c>
      <c r="V1941">
        <v>-0.2536408</v>
      </c>
      <c r="W1941">
        <v>0.181758</v>
      </c>
      <c r="X1941">
        <v>0.95006860000000004</v>
      </c>
      <c r="Y1941">
        <v>-0.4285639</v>
      </c>
      <c r="Z1941">
        <v>3.7764080000000002E-3</v>
      </c>
      <c r="AA1941">
        <v>0.90350359999999996</v>
      </c>
      <c r="AB1941">
        <v>27</v>
      </c>
      <c r="AC1941">
        <v>-7.8142999999999398</v>
      </c>
      <c r="AD1941">
        <v>-1.1257566309260001</v>
      </c>
      <c r="AE1941">
        <v>-34.981499999999897</v>
      </c>
      <c r="AF1941">
        <v>-15.40481190899</v>
      </c>
      <c r="AG1941">
        <v>-1.1257566309260001</v>
      </c>
      <c r="AH1941">
        <v>32.325369081424</v>
      </c>
      <c r="AI1941">
        <v>91.800693729500196</v>
      </c>
      <c r="AJ1941">
        <v>115.48036147148299</v>
      </c>
      <c r="AK1941">
        <v>35.826038633844497</v>
      </c>
      <c r="AL1941">
        <v>79.527824740402806</v>
      </c>
      <c r="AM1941">
        <v>104.947697330474</v>
      </c>
      <c r="AN1941">
        <v>0.99999998534729995</v>
      </c>
    </row>
    <row r="1942" spans="1:40" x14ac:dyDescent="0.25">
      <c r="A1942" t="str">
        <f>"20190304155402004"</f>
        <v>20190304155402004</v>
      </c>
      <c r="B1942" t="str">
        <f>"1551686041998311"</f>
        <v>1551686041998311</v>
      </c>
      <c r="C1942" t="s">
        <v>40</v>
      </c>
      <c r="D1942">
        <v>4.3967640000000001</v>
      </c>
      <c r="E1942">
        <v>0.42999369999999998</v>
      </c>
      <c r="F1942" t="s">
        <v>48</v>
      </c>
      <c r="G1942">
        <v>-490.47519999999997</v>
      </c>
      <c r="H1942">
        <v>1.075617</v>
      </c>
      <c r="I1942">
        <v>273.26389999999998</v>
      </c>
      <c r="J1942">
        <v>-490.37430000000001</v>
      </c>
      <c r="K1942">
        <v>1.1258159999999999</v>
      </c>
      <c r="L1942">
        <v>274.1053</v>
      </c>
      <c r="M1942">
        <v>-0.59999349999999996</v>
      </c>
      <c r="N1942">
        <v>-1.7880790000000001E-2</v>
      </c>
      <c r="O1942">
        <v>-0.79980509999999905</v>
      </c>
      <c r="P1942">
        <v>-0.37740099999999999</v>
      </c>
      <c r="Q1942">
        <v>0.17197779999999999</v>
      </c>
      <c r="R1942">
        <v>-0.909941</v>
      </c>
      <c r="S1942">
        <v>-0.70190430000000004</v>
      </c>
      <c r="T1942">
        <v>-0.14430000000000001</v>
      </c>
      <c r="U1942">
        <v>-3.045563</v>
      </c>
      <c r="V1942">
        <v>-0.25111129999999998</v>
      </c>
      <c r="W1942">
        <v>0.17966489999999999</v>
      </c>
      <c r="X1942">
        <v>0.95113809999999999</v>
      </c>
      <c r="Y1942">
        <v>-0.40485599999999999</v>
      </c>
      <c r="Z1942">
        <v>1.4480369999999999E-2</v>
      </c>
      <c r="AA1942">
        <v>0.91426580000000002</v>
      </c>
      <c r="AB1942">
        <v>27</v>
      </c>
      <c r="AC1942">
        <v>-0.100899999999967</v>
      </c>
      <c r="AD1942">
        <v>-5.0198999999999799E-2</v>
      </c>
      <c r="AE1942">
        <v>-0.84140000000002102</v>
      </c>
      <c r="AF1942">
        <v>-0.42271866705813199</v>
      </c>
      <c r="AG1942">
        <v>-5.0198999999999799E-2</v>
      </c>
      <c r="AH1942">
        <v>0.73104734675735905</v>
      </c>
      <c r="AI1942">
        <v>93.401928841666702</v>
      </c>
      <c r="AJ1942">
        <v>120.03809231001701</v>
      </c>
      <c r="AK1942">
        <v>0.84595581106898199</v>
      </c>
      <c r="AL1942">
        <v>79.649758451087905</v>
      </c>
      <c r="AM1942">
        <v>104.78928814955</v>
      </c>
      <c r="AN1942">
        <v>1.0000000232756501</v>
      </c>
    </row>
    <row r="1943" spans="1:40" x14ac:dyDescent="0.25">
      <c r="A1943" t="str">
        <f>"20190304155402026"</f>
        <v>20190304155402026</v>
      </c>
      <c r="B1943" t="str">
        <f>"1551686042018806"</f>
        <v>1551686042018806</v>
      </c>
      <c r="C1943" t="s">
        <v>40</v>
      </c>
      <c r="D1943">
        <v>4.4058679999999999</v>
      </c>
      <c r="E1943">
        <v>0.43126759999999997</v>
      </c>
      <c r="F1943" t="s">
        <v>46</v>
      </c>
      <c r="G1943">
        <v>-494.82350000000002</v>
      </c>
      <c r="H1943" s="1">
        <v>-3.2640699999999998E-6</v>
      </c>
      <c r="I1943">
        <v>254.20609999999999</v>
      </c>
      <c r="J1943">
        <v>-490.51639999999998</v>
      </c>
      <c r="K1943">
        <v>1.1258729999999999</v>
      </c>
      <c r="L1943">
        <v>273.8802</v>
      </c>
      <c r="M1943">
        <v>-0.58257910000000002</v>
      </c>
      <c r="N1943">
        <v>-1.7938929999999999E-2</v>
      </c>
      <c r="O1943">
        <v>-0.81257619999999997</v>
      </c>
      <c r="P1943">
        <v>-0.36028949999999998</v>
      </c>
      <c r="Q1943">
        <v>0.1701249</v>
      </c>
      <c r="R1943">
        <v>-0.91719649999999997</v>
      </c>
      <c r="S1943">
        <v>-0.68124390000000001</v>
      </c>
      <c r="T1943">
        <v>-0.17238200000000001</v>
      </c>
      <c r="U1943">
        <v>-3.0469059999999999</v>
      </c>
      <c r="V1943">
        <v>-0.24853600000000001</v>
      </c>
      <c r="W1943">
        <v>0.17794679999999999</v>
      </c>
      <c r="X1943">
        <v>0.95213689999999995</v>
      </c>
      <c r="Y1943">
        <v>-0.39104539999999999</v>
      </c>
      <c r="Z1943">
        <v>2.1576129999999999E-2</v>
      </c>
      <c r="AA1943">
        <v>0.92011849999999995</v>
      </c>
      <c r="AB1943">
        <v>27</v>
      </c>
      <c r="AC1943">
        <v>-4.3071000000000401</v>
      </c>
      <c r="AD1943">
        <v>-1.12587626407</v>
      </c>
      <c r="AE1943">
        <v>-19.674099999999999</v>
      </c>
      <c r="AF1943">
        <v>-7.9383448165147001</v>
      </c>
      <c r="AG1943">
        <v>-1.12587626407</v>
      </c>
      <c r="AH1943">
        <v>18.441275518746199</v>
      </c>
      <c r="AI1943">
        <v>93.209618252360897</v>
      </c>
      <c r="AJ1943">
        <v>113.290241506334</v>
      </c>
      <c r="AK1943">
        <v>20.108842794805199</v>
      </c>
      <c r="AL1943">
        <v>79.7498099003964</v>
      </c>
      <c r="AM1943">
        <v>104.62946356735399</v>
      </c>
      <c r="AN1943">
        <v>0.99999994163392303</v>
      </c>
    </row>
    <row r="1944" spans="1:40" x14ac:dyDescent="0.25">
      <c r="A1944" t="str">
        <f>"20190304155402048"</f>
        <v>20190304155402048</v>
      </c>
      <c r="B1944" t="str">
        <f>"1551686042038327"</f>
        <v>1551686042038327</v>
      </c>
      <c r="C1944" t="s">
        <v>40</v>
      </c>
      <c r="D1944">
        <v>4.4407819999999996</v>
      </c>
      <c r="E1944">
        <v>0.43229519999999999</v>
      </c>
      <c r="F1944" t="s">
        <v>46</v>
      </c>
      <c r="G1944">
        <v>-494.38529999999997</v>
      </c>
      <c r="H1944" s="1">
        <v>-3.5537599999999999E-6</v>
      </c>
      <c r="I1944">
        <v>255.15309999999999</v>
      </c>
      <c r="J1944">
        <v>-490.6463</v>
      </c>
      <c r="K1944">
        <v>1.125928</v>
      </c>
      <c r="L1944">
        <v>273.66469999999998</v>
      </c>
      <c r="M1944">
        <v>-0.56575569999999997</v>
      </c>
      <c r="N1944">
        <v>-1.7988549999999999E-2</v>
      </c>
      <c r="O1944">
        <v>-0.82437669999999996</v>
      </c>
      <c r="P1944">
        <v>-0.34359640000000002</v>
      </c>
      <c r="Q1944">
        <v>0.16922279999999901</v>
      </c>
      <c r="R1944">
        <v>-0.92374529999999999</v>
      </c>
      <c r="S1944">
        <v>-0.63153079999999995</v>
      </c>
      <c r="T1944">
        <v>-0.183778</v>
      </c>
      <c r="U1944">
        <v>-3.056854</v>
      </c>
      <c r="V1944">
        <v>-0.24630879999999999</v>
      </c>
      <c r="W1944">
        <v>0.17716319999999999</v>
      </c>
      <c r="X1944">
        <v>0.95286159999999998</v>
      </c>
      <c r="Y1944">
        <v>-0.38707180000000002</v>
      </c>
      <c r="Z1944">
        <v>2.4906609999999999E-2</v>
      </c>
      <c r="AA1944">
        <v>0.92171309999999995</v>
      </c>
      <c r="AB1944">
        <v>27</v>
      </c>
      <c r="AC1944">
        <v>-3.7389999999999701</v>
      </c>
      <c r="AD1944">
        <v>-1.1259315537600001</v>
      </c>
      <c r="AE1944">
        <v>-18.511599999999898</v>
      </c>
      <c r="AF1944">
        <v>-7.3657137044872201</v>
      </c>
      <c r="AG1944">
        <v>-1.1259315537600001</v>
      </c>
      <c r="AH1944">
        <v>17.317151260189299</v>
      </c>
      <c r="AI1944">
        <v>93.423980366958403</v>
      </c>
      <c r="AJ1944">
        <v>113.042092711243</v>
      </c>
      <c r="AK1944">
        <v>18.852193188287099</v>
      </c>
      <c r="AL1944">
        <v>79.795432644669802</v>
      </c>
      <c r="AM1944">
        <v>104.493351204218</v>
      </c>
      <c r="AN1944">
        <v>1.0000000265731099</v>
      </c>
    </row>
    <row r="1945" spans="1:40" x14ac:dyDescent="0.25">
      <c r="A1945" t="str">
        <f>"20190304155402071"</f>
        <v>20190304155402071</v>
      </c>
      <c r="B1945" t="str">
        <f>"1551686042068583"</f>
        <v>1551686042068583</v>
      </c>
      <c r="C1945" t="s">
        <v>40</v>
      </c>
      <c r="D1945">
        <v>4.4246480000000004</v>
      </c>
      <c r="E1945">
        <v>0.43315090000000001</v>
      </c>
      <c r="F1945" t="s">
        <v>46</v>
      </c>
      <c r="G1945">
        <v>-494.15480000000002</v>
      </c>
      <c r="H1945" s="1">
        <v>-3.5054100000000002E-6</v>
      </c>
      <c r="I1945">
        <v>255.18340000000001</v>
      </c>
      <c r="J1945">
        <v>-490.77870000000001</v>
      </c>
      <c r="K1945">
        <v>1.125966</v>
      </c>
      <c r="L1945">
        <v>273.43369999999999</v>
      </c>
      <c r="M1945">
        <v>-0.54758999999999902</v>
      </c>
      <c r="N1945">
        <v>-1.8034749999999999E-2</v>
      </c>
      <c r="O1945">
        <v>-0.83655239999999997</v>
      </c>
      <c r="P1945">
        <v>-0.32463509999999901</v>
      </c>
      <c r="Q1945">
        <v>0.16917860000000001</v>
      </c>
      <c r="R1945">
        <v>-0.93058629999999998</v>
      </c>
      <c r="S1945">
        <v>-0.58193969999999995</v>
      </c>
      <c r="T1945">
        <v>-0.1867539</v>
      </c>
      <c r="U1945">
        <v>-3.0654300000000001</v>
      </c>
      <c r="V1945">
        <v>-0.2449693</v>
      </c>
      <c r="W1945">
        <v>0.17720030000000001</v>
      </c>
      <c r="X1945">
        <v>0.95319989999999999</v>
      </c>
      <c r="Y1945">
        <v>-0.3817681</v>
      </c>
      <c r="Z1945">
        <v>2.647482E-2</v>
      </c>
      <c r="AA1945">
        <v>0.92387889999999995</v>
      </c>
      <c r="AB1945">
        <v>27</v>
      </c>
      <c r="AC1945">
        <v>-3.3761000000000001</v>
      </c>
      <c r="AD1945">
        <v>-1.1259695054100001</v>
      </c>
      <c r="AE1945">
        <v>-18.2502999999999</v>
      </c>
      <c r="AF1945">
        <v>-7.1442694447805302</v>
      </c>
      <c r="AG1945">
        <v>-1.1259695054100001</v>
      </c>
      <c r="AH1945">
        <v>17.0560614047054</v>
      </c>
      <c r="AI1945">
        <v>93.484433707341495</v>
      </c>
      <c r="AJ1945">
        <v>112.72733907516501</v>
      </c>
      <c r="AK1945">
        <v>18.526133538000298</v>
      </c>
      <c r="AL1945">
        <v>79.793272285195698</v>
      </c>
      <c r="AM1945">
        <v>104.412922060341</v>
      </c>
      <c r="AN1945">
        <v>0.99999997681129404</v>
      </c>
    </row>
    <row r="1946" spans="1:40" x14ac:dyDescent="0.25">
      <c r="A1946" t="str">
        <f>"20190304155402092"</f>
        <v>20190304155402092</v>
      </c>
      <c r="B1946" t="str">
        <f>"1551686042088103"</f>
        <v>1551686042088103</v>
      </c>
      <c r="C1946" t="s">
        <v>40</v>
      </c>
      <c r="D1946">
        <v>4.4345699999999999</v>
      </c>
      <c r="E1946">
        <v>0.43860300000000002</v>
      </c>
      <c r="F1946" t="s">
        <v>46</v>
      </c>
      <c r="G1946">
        <v>-493.94709999999998</v>
      </c>
      <c r="H1946" s="1">
        <v>-3.324574E-6</v>
      </c>
      <c r="I1946">
        <v>254.89070000000001</v>
      </c>
      <c r="J1946">
        <v>-490.90140000000002</v>
      </c>
      <c r="K1946">
        <v>1.1259859999999999</v>
      </c>
      <c r="L1946">
        <v>273.20859999999999</v>
      </c>
      <c r="M1946">
        <v>-0.52977050000000003</v>
      </c>
      <c r="N1946">
        <v>-1.8073120000000002E-2</v>
      </c>
      <c r="O1946">
        <v>-0.84794859999999905</v>
      </c>
      <c r="P1946">
        <v>-0.30612040000000001</v>
      </c>
      <c r="Q1946">
        <v>0.1687382</v>
      </c>
      <c r="R1946">
        <v>-0.93691939999999996</v>
      </c>
      <c r="S1946">
        <v>-0.52532959999999995</v>
      </c>
      <c r="T1946">
        <v>-0.18668999999999999</v>
      </c>
      <c r="U1946">
        <v>-3.0744929999999999</v>
      </c>
      <c r="V1946">
        <v>-0.24373710000000001</v>
      </c>
      <c r="W1946">
        <v>0.17683699999999999</v>
      </c>
      <c r="X1946">
        <v>0.95358319999999996</v>
      </c>
      <c r="Y1946">
        <v>-0.3791969</v>
      </c>
      <c r="Z1946">
        <v>2.724917E-2</v>
      </c>
      <c r="AA1946">
        <v>0.92491469999999998</v>
      </c>
      <c r="AB1946">
        <v>27</v>
      </c>
      <c r="AC1946">
        <v>-3.0456999999999499</v>
      </c>
      <c r="AD1946">
        <v>-1.125989324574</v>
      </c>
      <c r="AE1946">
        <v>-18.317899999999899</v>
      </c>
      <c r="AF1946">
        <v>-7.09675491369065</v>
      </c>
      <c r="AG1946">
        <v>-1.125989324574</v>
      </c>
      <c r="AH1946">
        <v>17.086135650556699</v>
      </c>
      <c r="AI1946">
        <v>93.482716643114699</v>
      </c>
      <c r="AJ1946">
        <v>112.555636577524</v>
      </c>
      <c r="AK1946">
        <v>18.535582368333401</v>
      </c>
      <c r="AL1946">
        <v>79.814422177403699</v>
      </c>
      <c r="AM1946">
        <v>104.33789536359799</v>
      </c>
      <c r="AN1946">
        <v>1.0000000089038199</v>
      </c>
    </row>
    <row r="1947" spans="1:40" x14ac:dyDescent="0.25">
      <c r="A1947" t="str">
        <f>"20190304155402116"</f>
        <v>20190304155402116</v>
      </c>
      <c r="B1947" t="str">
        <f>"1551686042108602"</f>
        <v>1551686042108602</v>
      </c>
      <c r="C1947" t="s">
        <v>40</v>
      </c>
      <c r="D1947">
        <v>4.4416289999999998</v>
      </c>
      <c r="E1947">
        <v>0.43963999999999998</v>
      </c>
      <c r="F1947" t="s">
        <v>46</v>
      </c>
      <c r="G1947">
        <v>-493.86219999999997</v>
      </c>
      <c r="H1947" s="1">
        <v>-3.4426279999999998E-6</v>
      </c>
      <c r="I1947">
        <v>255.21860000000001</v>
      </c>
      <c r="J1947">
        <v>-491.02480000000003</v>
      </c>
      <c r="K1947">
        <v>1.12599</v>
      </c>
      <c r="L1947">
        <v>272.96980000000002</v>
      </c>
      <c r="M1947">
        <v>-0.51073400000000002</v>
      </c>
      <c r="N1947">
        <v>-1.8107330000000001E-2</v>
      </c>
      <c r="O1947">
        <v>-0.85954819999999998</v>
      </c>
      <c r="P1947">
        <v>-0.2867827</v>
      </c>
      <c r="Q1947">
        <v>0.1667294</v>
      </c>
      <c r="R1947">
        <v>-0.94337530000000003</v>
      </c>
      <c r="S1947">
        <v>-0.50549319999999998</v>
      </c>
      <c r="T1947">
        <v>-0.19223960000000001</v>
      </c>
      <c r="U1947">
        <v>-3.0714419999999998</v>
      </c>
      <c r="V1947">
        <v>-0.24220120000000001</v>
      </c>
      <c r="W1947">
        <v>0.17492369999999999</v>
      </c>
      <c r="X1947">
        <v>0.95432709999999998</v>
      </c>
      <c r="Y1947">
        <v>-0.36419610000000002</v>
      </c>
      <c r="Z1947">
        <v>2.9772449999999999E-2</v>
      </c>
      <c r="AA1947">
        <v>0.93084630000000002</v>
      </c>
      <c r="AB1947">
        <v>27</v>
      </c>
      <c r="AC1947">
        <v>-2.8373999999999402</v>
      </c>
      <c r="AD1947">
        <v>-1.1259934426279901</v>
      </c>
      <c r="AE1947">
        <v>-17.751200000000001</v>
      </c>
      <c r="AF1947">
        <v>-6.6024415327377097</v>
      </c>
      <c r="AG1947">
        <v>-1.1259934426279901</v>
      </c>
      <c r="AH1947">
        <v>16.6446035920066</v>
      </c>
      <c r="AI1947">
        <v>93.598168805213206</v>
      </c>
      <c r="AJ1947">
        <v>111.63682164799501</v>
      </c>
      <c r="AK1947">
        <v>17.941653328528499</v>
      </c>
      <c r="AL1947">
        <v>79.9257817223953</v>
      </c>
      <c r="AM1947">
        <v>104.240580363752</v>
      </c>
      <c r="AN1947">
        <v>0.999999967948769</v>
      </c>
    </row>
    <row r="1948" spans="1:40" x14ac:dyDescent="0.25">
      <c r="A1948" t="str">
        <f>"20190304155402129"</f>
        <v>20190304155402129</v>
      </c>
      <c r="B1948" t="str">
        <f>"1551686042118359"</f>
        <v>1551686042118359</v>
      </c>
      <c r="C1948" t="s">
        <v>40</v>
      </c>
      <c r="D1948">
        <v>4.4331449999999997</v>
      </c>
      <c r="E1948">
        <v>0.43963999999999998</v>
      </c>
      <c r="F1948" t="s">
        <v>46</v>
      </c>
      <c r="G1948">
        <v>-493.5292</v>
      </c>
      <c r="H1948" s="1">
        <v>-3.5919179999999999E-6</v>
      </c>
      <c r="I1948">
        <v>255.7731</v>
      </c>
      <c r="J1948">
        <v>-491.09500000000003</v>
      </c>
      <c r="K1948">
        <v>1.125988</v>
      </c>
      <c r="L1948">
        <v>272.8272</v>
      </c>
      <c r="M1948">
        <v>-0.49933169999999999</v>
      </c>
      <c r="N1948">
        <v>-1.8124700000000001E-2</v>
      </c>
      <c r="O1948">
        <v>-0.86622140000000003</v>
      </c>
      <c r="P1948">
        <v>-0.27516620000000003</v>
      </c>
      <c r="Q1948">
        <v>0.1659513</v>
      </c>
      <c r="R1948">
        <v>-0.94696570000000002</v>
      </c>
      <c r="S1948">
        <v>-0.44845580000000002</v>
      </c>
      <c r="T1948">
        <v>-0.2016271</v>
      </c>
      <c r="U1948">
        <v>-3.0793460000000001</v>
      </c>
      <c r="V1948">
        <v>-0.2413594</v>
      </c>
      <c r="W1948">
        <v>0.17419789999999999</v>
      </c>
      <c r="X1948">
        <v>0.95467310000000005</v>
      </c>
      <c r="Y1948">
        <v>-0.36909910000000001</v>
      </c>
      <c r="Z1948">
        <v>3.2438580000000002E-2</v>
      </c>
      <c r="AA1948">
        <v>0.92882379999999998</v>
      </c>
      <c r="AB1948">
        <v>27</v>
      </c>
      <c r="AC1948">
        <v>-2.4341999999999699</v>
      </c>
      <c r="AD1948">
        <v>-1.1259915919179999</v>
      </c>
      <c r="AE1948">
        <v>-17.054099999999998</v>
      </c>
      <c r="AF1948">
        <v>-6.3808881583299604</v>
      </c>
      <c r="AG1948">
        <v>-1.1259915919179999</v>
      </c>
      <c r="AH1948">
        <v>15.9226997163438</v>
      </c>
      <c r="AI1948">
        <v>93.755591477522003</v>
      </c>
      <c r="AJ1948">
        <v>111.838029894013</v>
      </c>
      <c r="AK1948">
        <v>17.1905775647894</v>
      </c>
      <c r="AL1948">
        <v>79.968015746912698</v>
      </c>
      <c r="AM1948">
        <v>104.18815260696699</v>
      </c>
      <c r="AN1948">
        <v>0.99999999809818996</v>
      </c>
    </row>
    <row r="1949" spans="1:40" x14ac:dyDescent="0.25">
      <c r="A1949" t="str">
        <f>"20190304155402149"</f>
        <v>20190304155402149</v>
      </c>
      <c r="B1949" t="str">
        <f>"1551686042138855"</f>
        <v>1551686042138855</v>
      </c>
      <c r="C1949" t="s">
        <v>40</v>
      </c>
      <c r="D1949">
        <v>4.4373100000000001</v>
      </c>
      <c r="E1949">
        <v>0.44458819999999999</v>
      </c>
      <c r="F1949" t="s">
        <v>46</v>
      </c>
      <c r="G1949">
        <v>-493.36169999999998</v>
      </c>
      <c r="H1949" s="1">
        <v>-3.5552829999999998E-6</v>
      </c>
      <c r="I1949">
        <v>255.79159999999999</v>
      </c>
      <c r="J1949">
        <v>-491.1925</v>
      </c>
      <c r="K1949">
        <v>1.12598</v>
      </c>
      <c r="L1949">
        <v>272.62130000000002</v>
      </c>
      <c r="M1949">
        <v>-0.48277750000000003</v>
      </c>
      <c r="N1949">
        <v>-1.8146470000000001E-2</v>
      </c>
      <c r="O1949">
        <v>-0.87555499999999997</v>
      </c>
      <c r="P1949">
        <v>-0.25860759999999999</v>
      </c>
      <c r="Q1949">
        <v>0.1644185</v>
      </c>
      <c r="R1949">
        <v>-0.95188680000000003</v>
      </c>
      <c r="S1949">
        <v>-0.4104004</v>
      </c>
      <c r="T1949">
        <v>-0.20387350000000001</v>
      </c>
      <c r="U1949">
        <v>-3.0845030000000002</v>
      </c>
      <c r="V1949">
        <v>-0.23993210000000001</v>
      </c>
      <c r="W1949">
        <v>0.1727505</v>
      </c>
      <c r="X1949">
        <v>0.95529569999999997</v>
      </c>
      <c r="Y1949">
        <v>-0.36290020000000001</v>
      </c>
      <c r="Z1949">
        <v>3.3818359999999999E-2</v>
      </c>
      <c r="AA1949">
        <v>0.93121419999999999</v>
      </c>
      <c r="AB1949">
        <v>27</v>
      </c>
      <c r="AC1949">
        <v>-2.16919999999998</v>
      </c>
      <c r="AD1949">
        <v>-1.125983555283</v>
      </c>
      <c r="AE1949">
        <v>-16.829699999999999</v>
      </c>
      <c r="AF1949">
        <v>-6.1994752623564597</v>
      </c>
      <c r="AG1949">
        <v>-1.125983555283</v>
      </c>
      <c r="AH1949">
        <v>15.7159698600999</v>
      </c>
      <c r="AI1949">
        <v>93.812999256417498</v>
      </c>
      <c r="AJ1949">
        <v>111.527736279769</v>
      </c>
      <c r="AK1949">
        <v>16.932012318059101</v>
      </c>
      <c r="AL1949">
        <v>80.052222503638603</v>
      </c>
      <c r="AM1949">
        <v>104.098781688893</v>
      </c>
      <c r="AN1949">
        <v>1.0000000111495699</v>
      </c>
    </row>
    <row r="1950" spans="1:40" x14ac:dyDescent="0.25">
      <c r="A1950" t="str">
        <f>"20190304155402172"</f>
        <v>20190304155402172</v>
      </c>
      <c r="B1950" t="str">
        <f>"1551686042168135"</f>
        <v>1551686042168135</v>
      </c>
      <c r="C1950" t="s">
        <v>40</v>
      </c>
      <c r="D1950">
        <v>4.5197760000000002</v>
      </c>
      <c r="E1950">
        <v>0.44580429999999999</v>
      </c>
      <c r="F1950" t="s">
        <v>46</v>
      </c>
      <c r="G1950">
        <v>-493.20499999999998</v>
      </c>
      <c r="H1950" s="1">
        <v>-3.9450780000000004E-6</v>
      </c>
      <c r="I1950">
        <v>256.90890000000002</v>
      </c>
      <c r="J1950">
        <v>-491.29989999999998</v>
      </c>
      <c r="K1950">
        <v>1.125964</v>
      </c>
      <c r="L1950">
        <v>272.38159999999999</v>
      </c>
      <c r="M1950">
        <v>-0.46342680000000003</v>
      </c>
      <c r="N1950">
        <v>-1.8166849999999998E-2</v>
      </c>
      <c r="O1950">
        <v>-0.88594899999999999</v>
      </c>
      <c r="P1950">
        <v>-0.23920759999999999</v>
      </c>
      <c r="Q1950">
        <v>0.16299330000000001</v>
      </c>
      <c r="R1950">
        <v>-0.95719019999999999</v>
      </c>
      <c r="S1950">
        <v>-0.39483639999999998</v>
      </c>
      <c r="T1950">
        <v>-0.22090299999999999</v>
      </c>
      <c r="U1950">
        <v>-3.0825499999999999</v>
      </c>
      <c r="V1950">
        <v>-0.2384144</v>
      </c>
      <c r="W1950">
        <v>0.17141700000000001</v>
      </c>
      <c r="X1950">
        <v>0.95591570000000003</v>
      </c>
      <c r="Y1950">
        <v>-0.34694589999999997</v>
      </c>
      <c r="Z1950">
        <v>3.9378910000000003E-2</v>
      </c>
      <c r="AA1950">
        <v>0.9370581</v>
      </c>
      <c r="AB1950">
        <v>27</v>
      </c>
      <c r="AC1950">
        <v>-1.9051</v>
      </c>
      <c r="AD1950">
        <v>-1.125967945078</v>
      </c>
      <c r="AE1950">
        <v>-15.4726999999999</v>
      </c>
      <c r="AF1950">
        <v>-5.4550903108184503</v>
      </c>
      <c r="AG1950">
        <v>-1.125967945078</v>
      </c>
      <c r="AH1950">
        <v>14.5175733867781</v>
      </c>
      <c r="AI1950">
        <v>94.152537628826394</v>
      </c>
      <c r="AJ1950">
        <v>110.594097583555</v>
      </c>
      <c r="AK1950">
        <v>15.5494614425393</v>
      </c>
      <c r="AL1950">
        <v>80.129783546265898</v>
      </c>
      <c r="AM1950">
        <v>104.004392870308</v>
      </c>
      <c r="AN1950">
        <v>1.0000000197614201</v>
      </c>
    </row>
    <row r="1951" spans="1:40" x14ac:dyDescent="0.25">
      <c r="A1951" t="str">
        <f>"20190304155402195"</f>
        <v>20190304155402195</v>
      </c>
      <c r="B1951" t="str">
        <f>"1551686042188631"</f>
        <v>1551686042188631</v>
      </c>
      <c r="C1951" t="s">
        <v>40</v>
      </c>
      <c r="D1951">
        <v>4.5759790000000002</v>
      </c>
      <c r="E1951">
        <v>0.45036619999999999</v>
      </c>
      <c r="F1951" t="s">
        <v>46</v>
      </c>
      <c r="G1951">
        <v>-492.98840000000001</v>
      </c>
      <c r="H1951" s="1">
        <v>-3.9741840000000004E-6</v>
      </c>
      <c r="I1951">
        <v>257.10739999999998</v>
      </c>
      <c r="J1951">
        <v>-491.40609999999998</v>
      </c>
      <c r="K1951">
        <v>1.125947</v>
      </c>
      <c r="L1951">
        <v>272.1293</v>
      </c>
      <c r="M1951">
        <v>-0.44296659999999999</v>
      </c>
      <c r="N1951">
        <v>-1.8183250000000001E-2</v>
      </c>
      <c r="O1951">
        <v>-0.89635370000000003</v>
      </c>
      <c r="P1951">
        <v>-0.2195725</v>
      </c>
      <c r="Q1951">
        <v>0.1619833</v>
      </c>
      <c r="R1951">
        <v>-0.96205490000000005</v>
      </c>
      <c r="S1951">
        <v>-0.34133909999999901</v>
      </c>
      <c r="T1951">
        <v>-0.2276137</v>
      </c>
      <c r="U1951">
        <v>-3.0876769999999998</v>
      </c>
      <c r="V1951">
        <v>-0.23605370000000001</v>
      </c>
      <c r="W1951">
        <v>0.17053370000000001</v>
      </c>
      <c r="X1951">
        <v>0.95665929999999999</v>
      </c>
      <c r="Y1951">
        <v>-0.34162379999999998</v>
      </c>
      <c r="Z1951">
        <v>4.2133879999999999E-2</v>
      </c>
      <c r="AA1951">
        <v>0.93889180000000005</v>
      </c>
      <c r="AB1951">
        <v>27</v>
      </c>
      <c r="AC1951">
        <v>-1.58230000000003</v>
      </c>
      <c r="AD1951">
        <v>-1.1259509741839999</v>
      </c>
      <c r="AE1951">
        <v>-15.0219</v>
      </c>
      <c r="AF1951">
        <v>-5.2078282842095103</v>
      </c>
      <c r="AG1951">
        <v>-1.1259509741839999</v>
      </c>
      <c r="AH1951">
        <v>14.0898943788232</v>
      </c>
      <c r="AI1951">
        <v>94.2866334507777</v>
      </c>
      <c r="AJ1951">
        <v>110.285039910583</v>
      </c>
      <c r="AK1951">
        <v>15.0636769960217</v>
      </c>
      <c r="AL1951">
        <v>80.181149594895601</v>
      </c>
      <c r="AM1951">
        <v>103.860740306178</v>
      </c>
      <c r="AN1951">
        <v>1.0000000541979299</v>
      </c>
    </row>
    <row r="1952" spans="1:40" x14ac:dyDescent="0.25">
      <c r="A1952" t="str">
        <f>"20190304155402219"</f>
        <v>20190304155402219</v>
      </c>
      <c r="B1952" t="str">
        <f>"1551686042208151"</f>
        <v>1551686042208151</v>
      </c>
      <c r="C1952" t="s">
        <v>40</v>
      </c>
      <c r="D1952">
        <v>4.5529469999999996</v>
      </c>
      <c r="E1952">
        <v>0.45095849999999998</v>
      </c>
      <c r="F1952" t="s">
        <v>46</v>
      </c>
      <c r="G1952">
        <v>-492.88490000000002</v>
      </c>
      <c r="H1952" s="1">
        <v>-4.102372E-6</v>
      </c>
      <c r="I1952">
        <v>257.53800000000001</v>
      </c>
      <c r="J1952">
        <v>-491.5034</v>
      </c>
      <c r="K1952">
        <v>1.1259239999999999</v>
      </c>
      <c r="L1952">
        <v>271.88319999999999</v>
      </c>
      <c r="M1952">
        <v>-0.42292350000000001</v>
      </c>
      <c r="N1952">
        <v>-1.8194410000000001E-2</v>
      </c>
      <c r="O1952">
        <v>-0.90598259999999997</v>
      </c>
      <c r="P1952">
        <v>-0.1995652</v>
      </c>
      <c r="Q1952">
        <v>0.16214149999999999</v>
      </c>
      <c r="R1952">
        <v>-0.96637660000000003</v>
      </c>
      <c r="S1952">
        <v>-0.31286619999999998</v>
      </c>
      <c r="T1952">
        <v>-0.2382138</v>
      </c>
      <c r="U1952">
        <v>-3.0870359999999999</v>
      </c>
      <c r="V1952">
        <v>-0.23460919999999999</v>
      </c>
      <c r="W1952">
        <v>0.17077619999999999</v>
      </c>
      <c r="X1952">
        <v>0.95697129999999997</v>
      </c>
      <c r="Y1952">
        <v>-0.3292564</v>
      </c>
      <c r="Z1952">
        <v>4.613768E-2</v>
      </c>
      <c r="AA1952">
        <v>0.94311270000000003</v>
      </c>
      <c r="AB1952">
        <v>27</v>
      </c>
      <c r="AC1952">
        <v>-1.3815000000000099</v>
      </c>
      <c r="AD1952">
        <v>-1.125928102372</v>
      </c>
      <c r="AE1952">
        <v>-14.345199999999901</v>
      </c>
      <c r="AF1952">
        <v>-4.7868868429382401</v>
      </c>
      <c r="AG1952">
        <v>-1.125928102372</v>
      </c>
      <c r="AH1952">
        <v>13.5006154493399</v>
      </c>
      <c r="AI1952">
        <v>94.494410911646497</v>
      </c>
      <c r="AJ1952">
        <v>109.522880135392</v>
      </c>
      <c r="AK1952">
        <v>14.3683199174351</v>
      </c>
      <c r="AL1952">
        <v>80.167048259326407</v>
      </c>
      <c r="AM1952">
        <v>103.774842182714</v>
      </c>
      <c r="AN1952">
        <v>1.00000002811738</v>
      </c>
    </row>
    <row r="1953" spans="1:40" x14ac:dyDescent="0.25">
      <c r="A1953" t="str">
        <f>"20190304155402239"</f>
        <v>20190304155402239</v>
      </c>
      <c r="B1953" t="str">
        <f>"1551686042228647"</f>
        <v>1551686042228647</v>
      </c>
      <c r="C1953" t="s">
        <v>40</v>
      </c>
      <c r="D1953">
        <v>4.5526299999999997</v>
      </c>
      <c r="E1953">
        <v>0.45723419999999998</v>
      </c>
      <c r="F1953" t="s">
        <v>46</v>
      </c>
      <c r="G1953">
        <v>-492.71589999999998</v>
      </c>
      <c r="H1953" s="1">
        <v>-3.9173319999999998E-6</v>
      </c>
      <c r="I1953">
        <v>257.08240000000001</v>
      </c>
      <c r="J1953">
        <v>-491.58699999999999</v>
      </c>
      <c r="K1953">
        <v>1.1258969999999999</v>
      </c>
      <c r="L1953">
        <v>271.65710000000001</v>
      </c>
      <c r="M1953">
        <v>-0.40446209999999999</v>
      </c>
      <c r="N1953">
        <v>-1.8199860000000002E-2</v>
      </c>
      <c r="O1953">
        <v>-0.91437360000000001</v>
      </c>
      <c r="P1953">
        <v>-0.18066699999999999</v>
      </c>
      <c r="Q1953">
        <v>0.16289300000000001</v>
      </c>
      <c r="R1953">
        <v>-0.96996159999999998</v>
      </c>
      <c r="S1953">
        <v>-0.25326539999999997</v>
      </c>
      <c r="T1953">
        <v>-0.23518030000000001</v>
      </c>
      <c r="U1953">
        <v>-3.0915530000000002</v>
      </c>
      <c r="V1953">
        <v>-0.2338404</v>
      </c>
      <c r="W1953">
        <v>0.17158039999999999</v>
      </c>
      <c r="X1953">
        <v>0.95701559999999997</v>
      </c>
      <c r="Y1953">
        <v>-0.32827899999999999</v>
      </c>
      <c r="Z1953">
        <v>4.6135889999999999E-2</v>
      </c>
      <c r="AA1953">
        <v>0.9434534</v>
      </c>
      <c r="AB1953">
        <v>27</v>
      </c>
      <c r="AC1953">
        <v>-1.12889999999998</v>
      </c>
      <c r="AD1953">
        <v>-1.12590091733199</v>
      </c>
      <c r="AE1953">
        <v>-14.5747</v>
      </c>
      <c r="AF1953">
        <v>-4.8348029884865902</v>
      </c>
      <c r="AG1953">
        <v>-1.12590091733199</v>
      </c>
      <c r="AH1953">
        <v>13.7043077811565</v>
      </c>
      <c r="AI1953">
        <v>94.430229553542702</v>
      </c>
      <c r="AJ1953">
        <v>109.43255614885101</v>
      </c>
      <c r="AK1953">
        <v>14.575699797052501</v>
      </c>
      <c r="AL1953">
        <v>80.120280551504706</v>
      </c>
      <c r="AM1953">
        <v>103.730802614797</v>
      </c>
      <c r="AN1953">
        <v>1.0000000124898401</v>
      </c>
    </row>
    <row r="1954" spans="1:40" x14ac:dyDescent="0.25">
      <c r="A1954" t="str">
        <f>"20190304155402262"</f>
        <v>20190304155402262</v>
      </c>
      <c r="B1954" t="str">
        <f>"1551686042258903"</f>
        <v>1551686042258903</v>
      </c>
      <c r="C1954" t="s">
        <v>40</v>
      </c>
      <c r="D1954">
        <v>4.5308479999999998</v>
      </c>
      <c r="E1954">
        <v>0.4590921</v>
      </c>
      <c r="F1954" t="s">
        <v>46</v>
      </c>
      <c r="G1954">
        <v>-492.81349999999998</v>
      </c>
      <c r="H1954" s="1">
        <v>-3.5224599999999999E-6</v>
      </c>
      <c r="I1954">
        <v>256.05509999999998</v>
      </c>
      <c r="J1954">
        <v>-491.6703</v>
      </c>
      <c r="K1954">
        <v>1.1258570000000001</v>
      </c>
      <c r="L1954">
        <v>271.41669999999999</v>
      </c>
      <c r="M1954">
        <v>-0.38480219999999998</v>
      </c>
      <c r="N1954">
        <v>-1.8199750000000001E-2</v>
      </c>
      <c r="O1954">
        <v>-0.92281979999999997</v>
      </c>
      <c r="P1954">
        <v>-0.1612354</v>
      </c>
      <c r="Q1954">
        <v>0.16271389999999999</v>
      </c>
      <c r="R1954">
        <v>-0.97341049999999996</v>
      </c>
      <c r="S1954">
        <v>-0.24252319999999999</v>
      </c>
      <c r="T1954">
        <v>-0.22263469999999999</v>
      </c>
      <c r="U1954">
        <v>-3.0851440000000001</v>
      </c>
      <c r="V1954">
        <v>-0.23247970000000001</v>
      </c>
      <c r="W1954">
        <v>0.1714842</v>
      </c>
      <c r="X1954">
        <v>0.95736429999999995</v>
      </c>
      <c r="Y1954">
        <v>-0.31114309999999901</v>
      </c>
      <c r="Z1954">
        <v>4.3948670000000002E-2</v>
      </c>
      <c r="AA1954">
        <v>0.94934640000000003</v>
      </c>
      <c r="AB1954">
        <v>27</v>
      </c>
      <c r="AC1954">
        <v>-1.14319999999997</v>
      </c>
      <c r="AD1954">
        <v>-1.12586052245999</v>
      </c>
      <c r="AE1954">
        <v>-15.361599999999999</v>
      </c>
      <c r="AF1954">
        <v>-4.8312055677570003</v>
      </c>
      <c r="AG1954">
        <v>-1.12586052245999</v>
      </c>
      <c r="AH1954">
        <v>14.5406382137127</v>
      </c>
      <c r="AI1954">
        <v>94.202478358099398</v>
      </c>
      <c r="AJ1954">
        <v>108.379345938375</v>
      </c>
      <c r="AK1954">
        <v>15.363536989119501</v>
      </c>
      <c r="AL1954">
        <v>80.125875426648193</v>
      </c>
      <c r="AM1954">
        <v>103.649115990155</v>
      </c>
      <c r="AN1954">
        <v>1.0000000223381</v>
      </c>
    </row>
    <row r="1955" spans="1:40" x14ac:dyDescent="0.25">
      <c r="A1955" t="str">
        <f>"20190304155402284"</f>
        <v>20190304155402284</v>
      </c>
      <c r="B1955" t="str">
        <f>"1551686042278423"</f>
        <v>1551686042278423</v>
      </c>
      <c r="C1955" t="s">
        <v>40</v>
      </c>
      <c r="D1955">
        <v>4.5619839999999998</v>
      </c>
      <c r="E1955">
        <v>0.46030389999999999</v>
      </c>
      <c r="F1955" t="s">
        <v>46</v>
      </c>
      <c r="G1955">
        <v>-492.64710000000002</v>
      </c>
      <c r="H1955" s="1">
        <v>-3.4982409999999999E-6</v>
      </c>
      <c r="I1955">
        <v>256.10180000000003</v>
      </c>
      <c r="J1955">
        <v>-491.75130000000001</v>
      </c>
      <c r="K1955">
        <v>1.1257889999999999</v>
      </c>
      <c r="L1955">
        <v>271.1635</v>
      </c>
      <c r="M1955">
        <v>-0.36409979999999997</v>
      </c>
      <c r="N1955">
        <v>-1.8190339999999999E-2</v>
      </c>
      <c r="O1955">
        <v>-0.93118230000000002</v>
      </c>
      <c r="P1955">
        <v>-0.14011129999999999</v>
      </c>
      <c r="Q1955">
        <v>0.162003799999999</v>
      </c>
      <c r="R1955">
        <v>-0.97679269999999996</v>
      </c>
      <c r="S1955">
        <v>-0.1968994</v>
      </c>
      <c r="T1955">
        <v>-0.22695770000000001</v>
      </c>
      <c r="U1955">
        <v>-3.0872799999999998</v>
      </c>
      <c r="V1955">
        <v>-0.23182610000000001</v>
      </c>
      <c r="W1955">
        <v>0.17083110000000001</v>
      </c>
      <c r="X1955">
        <v>0.95763949999999998</v>
      </c>
      <c r="Y1955">
        <v>-0.30393179999999997</v>
      </c>
      <c r="Z1955">
        <v>4.6066839999999998E-2</v>
      </c>
      <c r="AA1955">
        <v>0.95157939999999996</v>
      </c>
      <c r="AB1955">
        <v>26</v>
      </c>
      <c r="AC1955">
        <v>-0.89580000000000803</v>
      </c>
      <c r="AD1955">
        <v>-1.1257924982409999</v>
      </c>
      <c r="AE1955">
        <v>-15.061699999999901</v>
      </c>
      <c r="AF1955">
        <v>-4.6248309995217296</v>
      </c>
      <c r="AG1955">
        <v>-1.1257924982409999</v>
      </c>
      <c r="AH1955">
        <v>14.274256439213699</v>
      </c>
      <c r="AI1955">
        <v>94.290800938554696</v>
      </c>
      <c r="AJ1955">
        <v>107.95222228155301</v>
      </c>
      <c r="AK1955">
        <v>15.046955420139501</v>
      </c>
      <c r="AL1955">
        <v>80.163855615084898</v>
      </c>
      <c r="AM1955">
        <v>103.60840581054001</v>
      </c>
      <c r="AN1955">
        <v>1.0000000086643299</v>
      </c>
    </row>
    <row r="1956" spans="1:40" x14ac:dyDescent="0.25">
      <c r="A1956" t="str">
        <f>"20190304155402307"</f>
        <v>20190304155402307</v>
      </c>
      <c r="B1956" t="str">
        <f>"1551686042298918"</f>
        <v>1551686042298918</v>
      </c>
      <c r="C1956" t="s">
        <v>40</v>
      </c>
      <c r="D1956">
        <v>4.5594409999999996</v>
      </c>
      <c r="E1956">
        <v>0.46149430000000002</v>
      </c>
      <c r="F1956" t="s">
        <v>46</v>
      </c>
      <c r="G1956">
        <v>-492.44450000000001</v>
      </c>
      <c r="H1956" s="1">
        <v>-3.302312E-6</v>
      </c>
      <c r="I1956">
        <v>255.77080000000001</v>
      </c>
      <c r="J1956">
        <v>-491.82400000000001</v>
      </c>
      <c r="K1956">
        <v>1.1257140000000001</v>
      </c>
      <c r="L1956">
        <v>270.91789999999997</v>
      </c>
      <c r="M1956">
        <v>-0.34403600000000001</v>
      </c>
      <c r="N1956">
        <v>-1.817291E-2</v>
      </c>
      <c r="O1956">
        <v>-0.93878070000000002</v>
      </c>
      <c r="P1956">
        <v>-0.1201195</v>
      </c>
      <c r="Q1956">
        <v>0.16063949999999999</v>
      </c>
      <c r="R1956">
        <v>-0.97967700000000002</v>
      </c>
      <c r="S1956">
        <v>-0.1390991</v>
      </c>
      <c r="T1956">
        <v>-0.2259071</v>
      </c>
      <c r="U1956">
        <v>-3.0887760000000002</v>
      </c>
      <c r="V1956">
        <v>-0.23083989999999999</v>
      </c>
      <c r="W1956">
        <v>0.16953799999999999</v>
      </c>
      <c r="X1956">
        <v>0.95810740000000005</v>
      </c>
      <c r="Y1956">
        <v>-0.30127720000000002</v>
      </c>
      <c r="Z1956">
        <v>4.6566940000000001E-2</v>
      </c>
      <c r="AA1956">
        <v>0.95239879999999999</v>
      </c>
      <c r="AB1956">
        <v>26</v>
      </c>
      <c r="AC1956">
        <v>-0.62049999999999195</v>
      </c>
      <c r="AD1956">
        <v>-1.125717302312</v>
      </c>
      <c r="AE1956">
        <v>-15.147099999999901</v>
      </c>
      <c r="AF1956">
        <v>-4.6040114532883099</v>
      </c>
      <c r="AG1956">
        <v>-1.125717302312</v>
      </c>
      <c r="AH1956">
        <v>14.356499160548999</v>
      </c>
      <c r="AI1956">
        <v>94.270133054604997</v>
      </c>
      <c r="AJ1956">
        <v>107.780619412875</v>
      </c>
      <c r="AK1956">
        <v>15.118638465601901</v>
      </c>
      <c r="AL1956">
        <v>80.239041419983593</v>
      </c>
      <c r="AM1956">
        <v>103.546279965121</v>
      </c>
      <c r="AN1956">
        <v>0.99999999140538498</v>
      </c>
    </row>
    <row r="1957" spans="1:40" x14ac:dyDescent="0.25">
      <c r="A1957" t="str">
        <f>"20190304155402329"</f>
        <v>20190304155402329</v>
      </c>
      <c r="B1957" t="str">
        <f>"1551686042318439"</f>
        <v>1551686042318439</v>
      </c>
      <c r="C1957" t="s">
        <v>40</v>
      </c>
      <c r="D1957">
        <v>4.5449460000000004</v>
      </c>
      <c r="E1957">
        <v>0.47040359999999998</v>
      </c>
      <c r="F1957" t="s">
        <v>46</v>
      </c>
      <c r="G1957">
        <v>-492.23419999999999</v>
      </c>
      <c r="H1957" s="1">
        <v>-3.2803620000000002E-6</v>
      </c>
      <c r="I1957">
        <v>255.85</v>
      </c>
      <c r="J1957">
        <v>-491.8904</v>
      </c>
      <c r="K1957">
        <v>1.125615</v>
      </c>
      <c r="L1957">
        <v>270.67540000000002</v>
      </c>
      <c r="M1957">
        <v>-0.3242524</v>
      </c>
      <c r="N1957">
        <v>-1.8147960000000001E-2</v>
      </c>
      <c r="O1957">
        <v>-0.94579669999999905</v>
      </c>
      <c r="P1957">
        <v>-0.10003629999999999</v>
      </c>
      <c r="Q1957">
        <v>0.15912899999999999</v>
      </c>
      <c r="R1957">
        <v>-0.98217690000000002</v>
      </c>
      <c r="S1957">
        <v>-8.4106449999999999E-2</v>
      </c>
      <c r="T1957">
        <v>-0.23083870000000001</v>
      </c>
      <c r="U1957">
        <v>-3.0898129999999999</v>
      </c>
      <c r="V1957">
        <v>-0.23032430000000001</v>
      </c>
      <c r="W1957">
        <v>0.16808010000000001</v>
      </c>
      <c r="X1957">
        <v>0.95848829999999996</v>
      </c>
      <c r="Y1957">
        <v>-0.29820219999999997</v>
      </c>
      <c r="Z1957">
        <v>4.8742479999999998E-2</v>
      </c>
      <c r="AA1957">
        <v>0.95325740000000003</v>
      </c>
      <c r="AB1957">
        <v>26</v>
      </c>
      <c r="AC1957">
        <v>-0.343799999999987</v>
      </c>
      <c r="AD1957">
        <v>-1.1256182803620001</v>
      </c>
      <c r="AE1957">
        <v>-14.8254</v>
      </c>
      <c r="AF1957">
        <v>-4.4570646597404497</v>
      </c>
      <c r="AG1957">
        <v>-1.1256182803620001</v>
      </c>
      <c r="AH1957">
        <v>14.0546418640943</v>
      </c>
      <c r="AI1957">
        <v>94.365600959271504</v>
      </c>
      <c r="AJ1957">
        <v>107.595072313865</v>
      </c>
      <c r="AK1957">
        <v>14.787339173162399</v>
      </c>
      <c r="AL1957">
        <v>80.323789383527696</v>
      </c>
      <c r="AM1957">
        <v>103.511959978162</v>
      </c>
      <c r="AN1957">
        <v>1.0000000122116901</v>
      </c>
    </row>
    <row r="1958" spans="1:40" x14ac:dyDescent="0.25">
      <c r="A1958" t="str">
        <f>"20190304155402351"</f>
        <v>20190304155402351</v>
      </c>
      <c r="B1958" t="str">
        <f>"1551686042348695"</f>
        <v>1551686042348695</v>
      </c>
      <c r="C1958" t="s">
        <v>40</v>
      </c>
      <c r="D1958">
        <v>4.559018</v>
      </c>
      <c r="E1958">
        <v>0.47421170000000001</v>
      </c>
      <c r="F1958" t="s">
        <v>46</v>
      </c>
      <c r="G1958">
        <v>-492.34679999999997</v>
      </c>
      <c r="H1958" s="1">
        <v>-3.0388189999999999E-6</v>
      </c>
      <c r="I1958">
        <v>255.21709999999999</v>
      </c>
      <c r="J1958">
        <v>-491.952</v>
      </c>
      <c r="K1958">
        <v>1.125491</v>
      </c>
      <c r="L1958">
        <v>270.43049999999999</v>
      </c>
      <c r="M1958">
        <v>-0.30436010000000002</v>
      </c>
      <c r="N1958">
        <v>-1.8113770000000001E-2</v>
      </c>
      <c r="O1958">
        <v>-0.95238480000000003</v>
      </c>
      <c r="P1958">
        <v>-8.0098790000000003E-2</v>
      </c>
      <c r="Q1958">
        <v>0.15804799999999999</v>
      </c>
      <c r="R1958">
        <v>-0.98417730000000003</v>
      </c>
      <c r="S1958">
        <v>-9.0972899999999995E-2</v>
      </c>
      <c r="T1958">
        <v>-0.224387</v>
      </c>
      <c r="U1958">
        <v>-3.0815429999999999</v>
      </c>
      <c r="V1958">
        <v>-0.2296347</v>
      </c>
      <c r="W1958">
        <v>0.16706279999999901</v>
      </c>
      <c r="X1958">
        <v>0.95883149999999995</v>
      </c>
      <c r="Y1958">
        <v>-0.27595710000000001</v>
      </c>
      <c r="Z1958">
        <v>4.8048140000000003E-2</v>
      </c>
      <c r="AA1958">
        <v>0.9599683</v>
      </c>
      <c r="AB1958">
        <v>26</v>
      </c>
      <c r="AC1958">
        <v>-0.394799999999975</v>
      </c>
      <c r="AD1958">
        <v>-1.125494038819</v>
      </c>
      <c r="AE1958">
        <v>-15.2134</v>
      </c>
      <c r="AF1958">
        <v>-4.23190250978453</v>
      </c>
      <c r="AG1958">
        <v>-1.125494038819</v>
      </c>
      <c r="AH1958">
        <v>14.5320875477237</v>
      </c>
      <c r="AI1958">
        <v>94.252689494316201</v>
      </c>
      <c r="AJ1958">
        <v>106.23613633900899</v>
      </c>
      <c r="AK1958">
        <v>15.1775262865344</v>
      </c>
      <c r="AL1958">
        <v>80.382911878270406</v>
      </c>
      <c r="AM1958">
        <v>103.468334889711</v>
      </c>
      <c r="AN1958">
        <v>0.99999995999008895</v>
      </c>
    </row>
    <row r="1959" spans="1:40" x14ac:dyDescent="0.25">
      <c r="A1959" t="str">
        <f>"20190304155402374"</f>
        <v>20190304155402374</v>
      </c>
      <c r="B1959" t="str">
        <f>"1551686042368215"</f>
        <v>1551686042368215</v>
      </c>
      <c r="C1959" t="s">
        <v>40</v>
      </c>
      <c r="D1959">
        <v>4.5400989999999997</v>
      </c>
      <c r="E1959">
        <v>0.47646749999999999</v>
      </c>
      <c r="F1959" t="s">
        <v>46</v>
      </c>
      <c r="G1959">
        <v>-492.26029999999997</v>
      </c>
      <c r="H1959" s="1">
        <v>-2.6766290000000001E-6</v>
      </c>
      <c r="I1959">
        <v>254.4265</v>
      </c>
      <c r="J1959">
        <v>-492.00940000000003</v>
      </c>
      <c r="K1959">
        <v>1.1253299999999999</v>
      </c>
      <c r="L1959">
        <v>270.1807</v>
      </c>
      <c r="M1959">
        <v>-0.28421750000000001</v>
      </c>
      <c r="N1959">
        <v>-1.806642E-2</v>
      </c>
      <c r="O1959">
        <v>-0.95858960000000004</v>
      </c>
      <c r="P1959">
        <v>-5.9840409999999997E-2</v>
      </c>
      <c r="Q1959">
        <v>0.1568485</v>
      </c>
      <c r="R1959">
        <v>-0.98580800000000002</v>
      </c>
      <c r="S1959">
        <v>-5.9295649999999998E-2</v>
      </c>
      <c r="T1959">
        <v>-0.2164758</v>
      </c>
      <c r="U1959">
        <v>-3.0781860000000001</v>
      </c>
      <c r="V1959">
        <v>-0.2290875</v>
      </c>
      <c r="W1959">
        <v>0.1659282</v>
      </c>
      <c r="X1959">
        <v>0.9591594</v>
      </c>
      <c r="Y1959">
        <v>-0.26553959999999999</v>
      </c>
      <c r="Z1959">
        <v>4.6571410000000001E-2</v>
      </c>
      <c r="AA1959">
        <v>0.96297449999999996</v>
      </c>
      <c r="AB1959">
        <v>26</v>
      </c>
      <c r="AC1959">
        <v>-0.250899999999944</v>
      </c>
      <c r="AD1959">
        <v>-1.1253326766289999</v>
      </c>
      <c r="AE1959">
        <v>-15.7541999999999</v>
      </c>
      <c r="AF1959">
        <v>-4.21629336020853</v>
      </c>
      <c r="AG1959">
        <v>-1.1253326766289999</v>
      </c>
      <c r="AH1959">
        <v>15.0985807277604</v>
      </c>
      <c r="AI1959">
        <v>94.105986511862397</v>
      </c>
      <c r="AJ1959">
        <v>105.602442652628</v>
      </c>
      <c r="AK1959">
        <v>15.7165722511343</v>
      </c>
      <c r="AL1959">
        <v>80.448840294217902</v>
      </c>
      <c r="AM1959">
        <v>103.432979045366</v>
      </c>
      <c r="AN1959">
        <v>1.00000000240992</v>
      </c>
    </row>
    <row r="1960" spans="1:40" x14ac:dyDescent="0.25">
      <c r="A1960" t="str">
        <f>"20190304155402399"</f>
        <v>20190304155402399</v>
      </c>
      <c r="B1960" t="str">
        <f>"1551686042388711"</f>
        <v>1551686042388711</v>
      </c>
      <c r="C1960" t="s">
        <v>40</v>
      </c>
      <c r="D1960">
        <v>4.4815569999999996</v>
      </c>
      <c r="E1960">
        <v>0.48658849999999998</v>
      </c>
      <c r="F1960" t="s">
        <v>46</v>
      </c>
      <c r="G1960">
        <v>-492.0838</v>
      </c>
      <c r="H1960" s="1">
        <v>-2.5117739999999999E-6</v>
      </c>
      <c r="I1960">
        <v>254.15170000000001</v>
      </c>
      <c r="J1960">
        <v>-492.06639999999999</v>
      </c>
      <c r="K1960">
        <v>1.1251089999999999</v>
      </c>
      <c r="L1960">
        <v>269.90679999999998</v>
      </c>
      <c r="M1960">
        <v>-0.26234390000000002</v>
      </c>
      <c r="N1960">
        <v>-1.7998090000000001E-2</v>
      </c>
      <c r="O1960">
        <v>-0.96480670000000002</v>
      </c>
      <c r="P1960">
        <v>-3.8116549999999999E-2</v>
      </c>
      <c r="Q1960">
        <v>0.15551509999999999</v>
      </c>
      <c r="R1960">
        <v>-0.98709829999999998</v>
      </c>
      <c r="S1960">
        <v>-1.428223E-2</v>
      </c>
      <c r="T1960">
        <v>-0.21600140000000001</v>
      </c>
      <c r="U1960">
        <v>-3.0766909999999998</v>
      </c>
      <c r="V1960">
        <v>-0.2283135</v>
      </c>
      <c r="W1960">
        <v>0.16467870000000001</v>
      </c>
      <c r="X1960">
        <v>0.95955919999999895</v>
      </c>
      <c r="Y1960">
        <v>-0.25769120000000001</v>
      </c>
      <c r="Z1960">
        <v>4.7219949999999997E-2</v>
      </c>
      <c r="AA1960">
        <v>0.96507279999999995</v>
      </c>
      <c r="AB1960">
        <v>26</v>
      </c>
      <c r="AC1960">
        <v>-1.7400000000009099E-2</v>
      </c>
      <c r="AD1960">
        <v>-1.12511151177399</v>
      </c>
      <c r="AE1960">
        <v>-15.755099999999899</v>
      </c>
      <c r="AF1960">
        <v>-4.0962433863902099</v>
      </c>
      <c r="AG1960">
        <v>-1.12511151177399</v>
      </c>
      <c r="AH1960">
        <v>15.130490842417499</v>
      </c>
      <c r="AI1960">
        <v>94.105459582390694</v>
      </c>
      <c r="AJ1960">
        <v>105.148430575185</v>
      </c>
      <c r="AK1960">
        <v>15.7154967763336</v>
      </c>
      <c r="AL1960">
        <v>80.521429924239499</v>
      </c>
      <c r="AM1960">
        <v>103.383853192205</v>
      </c>
      <c r="AN1960">
        <v>0.999999993410289</v>
      </c>
    </row>
    <row r="1961" spans="1:40" x14ac:dyDescent="0.25">
      <c r="A1961" t="str">
        <f>"20190304155402419"</f>
        <v>20190304155402419</v>
      </c>
      <c r="B1961" t="str">
        <f>"1551686042408231"</f>
        <v>1551686042408231</v>
      </c>
      <c r="C1961" t="s">
        <v>40</v>
      </c>
      <c r="D1961">
        <v>4.4850070000000004</v>
      </c>
      <c r="E1961">
        <v>0.48890630000000002</v>
      </c>
      <c r="F1961" t="s">
        <v>46</v>
      </c>
      <c r="G1961">
        <v>-492.2149</v>
      </c>
      <c r="H1961" s="1">
        <v>-1.9845400000000001E-6</v>
      </c>
      <c r="I1961">
        <v>252.84139999999999</v>
      </c>
      <c r="J1961">
        <v>-492.11040000000003</v>
      </c>
      <c r="K1961">
        <v>1.124876</v>
      </c>
      <c r="L1961">
        <v>269.67110000000002</v>
      </c>
      <c r="M1961">
        <v>-0.24379219999999999</v>
      </c>
      <c r="N1961">
        <v>-1.792349E-2</v>
      </c>
      <c r="O1961">
        <v>-0.96966200000000002</v>
      </c>
      <c r="P1961">
        <v>-2.0703909999999999E-2</v>
      </c>
      <c r="Q1961">
        <v>0.15453900000000001</v>
      </c>
      <c r="R1961">
        <v>-0.98776980000000003</v>
      </c>
      <c r="S1961">
        <v>-2.6702879999999998E-2</v>
      </c>
      <c r="T1961">
        <v>-0.2024059</v>
      </c>
      <c r="U1961">
        <v>-3.0700379999999998</v>
      </c>
      <c r="V1961">
        <v>-0.22673740000000001</v>
      </c>
      <c r="W1961">
        <v>0.16381799999999999</v>
      </c>
      <c r="X1961">
        <v>0.96008009999999999</v>
      </c>
      <c r="Y1961">
        <v>-0.23520940000000001</v>
      </c>
      <c r="Z1961">
        <v>4.4011920000000003E-2</v>
      </c>
      <c r="AA1961">
        <v>0.97094769999999997</v>
      </c>
      <c r="AB1961">
        <v>26</v>
      </c>
      <c r="AC1961">
        <v>-0.104499999999973</v>
      </c>
      <c r="AD1961">
        <v>-1.1248779845399901</v>
      </c>
      <c r="AE1961">
        <v>-16.829699999999999</v>
      </c>
      <c r="AF1961">
        <v>-3.98446262680348</v>
      </c>
      <c r="AG1961">
        <v>-1.1248779845399901</v>
      </c>
      <c r="AH1961">
        <v>16.274518010130802</v>
      </c>
      <c r="AI1961">
        <v>93.840854602923997</v>
      </c>
      <c r="AJ1961">
        <v>103.75701986385501</v>
      </c>
      <c r="AK1961">
        <v>16.792892227563701</v>
      </c>
      <c r="AL1961">
        <v>80.571423350736197</v>
      </c>
      <c r="AM1961">
        <v>103.28779571750199</v>
      </c>
      <c r="AN1961">
        <v>0.99999999204938494</v>
      </c>
    </row>
    <row r="1962" spans="1:40" x14ac:dyDescent="0.25">
      <c r="A1962" t="str">
        <f>"20190304155402443"</f>
        <v>20190304155402443</v>
      </c>
      <c r="B1962" t="str">
        <f>"1551686042438487"</f>
        <v>1551686042438487</v>
      </c>
      <c r="C1962" t="s">
        <v>40</v>
      </c>
      <c r="D1962">
        <v>4.4338009999999999</v>
      </c>
      <c r="E1962">
        <v>0.49259389999999997</v>
      </c>
      <c r="F1962" t="s">
        <v>46</v>
      </c>
      <c r="G1962">
        <v>-492.06490000000002</v>
      </c>
      <c r="H1962" s="1">
        <v>-1.845058E-6</v>
      </c>
      <c r="I1962">
        <v>252.60929999999999</v>
      </c>
      <c r="J1962">
        <v>-492.15230000000003</v>
      </c>
      <c r="K1962">
        <v>1.124584</v>
      </c>
      <c r="L1962">
        <v>269.42020000000002</v>
      </c>
      <c r="M1962">
        <v>-0.22437660000000001</v>
      </c>
      <c r="N1962">
        <v>-1.7827799999999901E-2</v>
      </c>
      <c r="O1962">
        <v>-0.97433939999999997</v>
      </c>
      <c r="P1962">
        <v>-3.08005E-3</v>
      </c>
      <c r="Q1962">
        <v>0.15370239999999999</v>
      </c>
      <c r="R1962">
        <v>-0.9881124</v>
      </c>
      <c r="S1962">
        <v>8.178711E-3</v>
      </c>
      <c r="T1962">
        <v>-0.20233370000000001</v>
      </c>
      <c r="U1962">
        <v>-3.0689389999999999</v>
      </c>
      <c r="V1962">
        <v>-0.22456490000000001</v>
      </c>
      <c r="W1962">
        <v>0.1631302</v>
      </c>
      <c r="X1962">
        <v>0.96070770000000005</v>
      </c>
      <c r="Y1962">
        <v>-0.22682840000000001</v>
      </c>
      <c r="Z1962">
        <v>4.4609219999999998E-2</v>
      </c>
      <c r="AA1962">
        <v>0.97291260000000002</v>
      </c>
      <c r="AB1962">
        <v>26</v>
      </c>
      <c r="AC1962">
        <v>8.7400000000002295E-2</v>
      </c>
      <c r="AD1962">
        <v>-1.124585845058</v>
      </c>
      <c r="AE1962">
        <v>-16.8109</v>
      </c>
      <c r="AF1962">
        <v>-3.8405566050759399</v>
      </c>
      <c r="AG1962">
        <v>-1.124585845058</v>
      </c>
      <c r="AH1962">
        <v>16.289616741855799</v>
      </c>
      <c r="AI1962">
        <v>93.844192975306697</v>
      </c>
      <c r="AJ1962">
        <v>103.266198482839</v>
      </c>
      <c r="AK1962">
        <v>16.773973350290198</v>
      </c>
      <c r="AL1962">
        <v>80.611369494154204</v>
      </c>
      <c r="AM1962">
        <v>103.156631123827</v>
      </c>
      <c r="AN1962">
        <v>1.0000000706516601</v>
      </c>
    </row>
    <row r="1963" spans="1:40" x14ac:dyDescent="0.25">
      <c r="A1963" t="str">
        <f>"20190304155402462"</f>
        <v>20190304155402462</v>
      </c>
      <c r="B1963" t="str">
        <f>"1551686042458007"</f>
        <v>1551686042458007</v>
      </c>
      <c r="C1963" t="s">
        <v>40</v>
      </c>
      <c r="D1963">
        <v>4.4225399999999997</v>
      </c>
      <c r="E1963">
        <v>0.49441360000000001</v>
      </c>
      <c r="F1963" t="s">
        <v>46</v>
      </c>
      <c r="G1963">
        <v>-491.97430000000003</v>
      </c>
      <c r="H1963" s="1">
        <v>-1.84831E-6</v>
      </c>
      <c r="I1963">
        <v>252.67310000000001</v>
      </c>
      <c r="J1963">
        <v>-492.18689999999998</v>
      </c>
      <c r="K1963">
        <v>1.1242730000000001</v>
      </c>
      <c r="L1963">
        <v>269.18680000000001</v>
      </c>
      <c r="M1963">
        <v>-0.20670359999999999</v>
      </c>
      <c r="N1963">
        <v>-1.7723409999999998E-2</v>
      </c>
      <c r="O1963">
        <v>-0.97824310000000003</v>
      </c>
      <c r="P1963">
        <v>1.1439990000000001E-2</v>
      </c>
      <c r="Q1963">
        <v>0.15310550000000001</v>
      </c>
      <c r="R1963">
        <v>-0.98814369999999996</v>
      </c>
      <c r="S1963">
        <v>3.2623289999999999E-2</v>
      </c>
      <c r="T1963">
        <v>-0.20603940000000001</v>
      </c>
      <c r="U1963">
        <v>-3.068298</v>
      </c>
      <c r="V1963">
        <v>-0.22115489999999999</v>
      </c>
      <c r="W1963">
        <v>0.16272890000000001</v>
      </c>
      <c r="X1963">
        <v>0.96156629999999998</v>
      </c>
      <c r="Y1963">
        <v>-0.21694479999999999</v>
      </c>
      <c r="Z1963">
        <v>4.6316740000000002E-2</v>
      </c>
      <c r="AA1963">
        <v>0.97508450000000002</v>
      </c>
      <c r="AB1963">
        <v>26</v>
      </c>
      <c r="AC1963">
        <v>0.21259999999995199</v>
      </c>
      <c r="AD1963">
        <v>-1.12427484830999</v>
      </c>
      <c r="AE1963">
        <v>-16.5137</v>
      </c>
      <c r="AF1963">
        <v>-3.6052765888442999</v>
      </c>
      <c r="AG1963">
        <v>-1.12427484830999</v>
      </c>
      <c r="AH1963">
        <v>16.0386702853868</v>
      </c>
      <c r="AI1963">
        <v>93.912433808478397</v>
      </c>
      <c r="AJ1963">
        <v>102.66873985277</v>
      </c>
      <c r="AK1963">
        <v>16.47728611574</v>
      </c>
      <c r="AL1963">
        <v>80.634672706916504</v>
      </c>
      <c r="AM1963">
        <v>102.952461801542</v>
      </c>
      <c r="AN1963">
        <v>0.99999996699245397</v>
      </c>
    </row>
    <row r="1964" spans="1:40" x14ac:dyDescent="0.25">
      <c r="A1964" t="str">
        <f>"20190304155402487"</f>
        <v>20190304155402487</v>
      </c>
      <c r="B1964" t="str">
        <f>"1551686042478503"</f>
        <v>1551686042478503</v>
      </c>
      <c r="C1964" t="s">
        <v>40</v>
      </c>
      <c r="D1964">
        <v>4.395543</v>
      </c>
      <c r="E1964">
        <v>0.51019629999999905</v>
      </c>
      <c r="F1964" t="s">
        <v>46</v>
      </c>
      <c r="G1964">
        <v>-491.84140000000002</v>
      </c>
      <c r="H1964" s="1">
        <v>-1.7324239999999999E-6</v>
      </c>
      <c r="I1964">
        <v>252.4853</v>
      </c>
      <c r="J1964">
        <v>-492.2208</v>
      </c>
      <c r="K1964">
        <v>1.123918</v>
      </c>
      <c r="L1964">
        <v>268.92509999999999</v>
      </c>
      <c r="M1964">
        <v>-0.18727630000000001</v>
      </c>
      <c r="N1964">
        <v>-1.759577E-2</v>
      </c>
      <c r="O1964">
        <v>-0.98214979999999996</v>
      </c>
      <c r="P1964">
        <v>2.706076E-2</v>
      </c>
      <c r="Q1964">
        <v>0.15309790000000001</v>
      </c>
      <c r="R1964">
        <v>-0.98784079999999996</v>
      </c>
      <c r="S1964">
        <v>6.3446039999999995E-2</v>
      </c>
      <c r="T1964">
        <v>-0.20647309999999999</v>
      </c>
      <c r="U1964">
        <v>-3.0672299999999999</v>
      </c>
      <c r="V1964">
        <v>-0.21714420000000001</v>
      </c>
      <c r="W1964">
        <v>0.16293260000000001</v>
      </c>
      <c r="X1964">
        <v>0.96244549999999995</v>
      </c>
      <c r="Y1964">
        <v>-0.2073961</v>
      </c>
      <c r="Z1964">
        <v>4.7043380000000003E-2</v>
      </c>
      <c r="AA1964">
        <v>0.97712529999999997</v>
      </c>
      <c r="AB1964">
        <v>26</v>
      </c>
      <c r="AC1964">
        <v>0.37939999999997498</v>
      </c>
      <c r="AD1964">
        <v>-1.123919732424</v>
      </c>
      <c r="AE1964">
        <v>-16.439799999999899</v>
      </c>
      <c r="AF1964">
        <v>-3.4358961187277801</v>
      </c>
      <c r="AG1964">
        <v>-1.123919732424</v>
      </c>
      <c r="AH1964">
        <v>16.003024343991299</v>
      </c>
      <c r="AI1964">
        <v>93.928155009130407</v>
      </c>
      <c r="AJ1964">
        <v>102.11761001603701</v>
      </c>
      <c r="AK1964">
        <v>16.406259959478898</v>
      </c>
      <c r="AL1964">
        <v>80.622843886035497</v>
      </c>
      <c r="AM1964">
        <v>102.714034674874</v>
      </c>
      <c r="AN1964">
        <v>0.99999998810332402</v>
      </c>
    </row>
    <row r="1965" spans="1:40" x14ac:dyDescent="0.25">
      <c r="A1965" t="str">
        <f>"20190304155402511"</f>
        <v>20190304155402511</v>
      </c>
      <c r="B1965" t="str">
        <f>"1551686042508569"</f>
        <v>1551686042508569</v>
      </c>
      <c r="C1965" t="s">
        <v>40</v>
      </c>
      <c r="D1965">
        <v>4.4053279999999999</v>
      </c>
      <c r="E1965">
        <v>0.51409859999999996</v>
      </c>
      <c r="F1965" t="s">
        <v>46</v>
      </c>
      <c r="G1965">
        <v>-492.31169999999997</v>
      </c>
      <c r="H1965" s="1">
        <v>-4.5535739999999996E-6</v>
      </c>
      <c r="I1965">
        <v>249.1627</v>
      </c>
      <c r="J1965">
        <v>-492.25060000000002</v>
      </c>
      <c r="K1965">
        <v>1.123551</v>
      </c>
      <c r="L1965">
        <v>268.65719999999999</v>
      </c>
      <c r="M1965">
        <v>-0.1678616</v>
      </c>
      <c r="N1965">
        <v>-1.7462209999999999E-2</v>
      </c>
      <c r="O1965">
        <v>-0.98565599999999998</v>
      </c>
      <c r="P1965">
        <v>4.1833719999999998E-2</v>
      </c>
      <c r="Q1965">
        <v>0.15333559999999999</v>
      </c>
      <c r="R1965">
        <v>-0.98728850000000001</v>
      </c>
      <c r="S1965">
        <v>-1.409912E-2</v>
      </c>
      <c r="T1965">
        <v>-0.17427400000000001</v>
      </c>
      <c r="U1965">
        <v>-3.0643310000000001</v>
      </c>
      <c r="V1965">
        <v>-0.2123863</v>
      </c>
      <c r="W1965">
        <v>0.16340499999999999</v>
      </c>
      <c r="X1965">
        <v>0.96342660000000002</v>
      </c>
      <c r="Y1965">
        <v>-0.16324459999999999</v>
      </c>
      <c r="Z1965">
        <v>3.77551E-2</v>
      </c>
      <c r="AA1965">
        <v>0.98586289999999999</v>
      </c>
      <c r="AB1965">
        <v>26</v>
      </c>
      <c r="AC1965">
        <v>-6.1099999999953497E-2</v>
      </c>
      <c r="AD1965">
        <v>-1.1235555535740001</v>
      </c>
      <c r="AE1965">
        <v>-19.494499999999899</v>
      </c>
      <c r="AF1965">
        <v>-3.2020078011826398</v>
      </c>
      <c r="AG1965">
        <v>-1.1235555535740001</v>
      </c>
      <c r="AH1965">
        <v>19.164398753243301</v>
      </c>
      <c r="AI1965">
        <v>93.309480220860195</v>
      </c>
      <c r="AJ1965">
        <v>99.485421194325795</v>
      </c>
      <c r="AK1965">
        <v>19.462512957326901</v>
      </c>
      <c r="AL1965">
        <v>80.595409557023103</v>
      </c>
      <c r="AM1965">
        <v>102.431946968566</v>
      </c>
      <c r="AN1965">
        <v>0.99999997402012397</v>
      </c>
    </row>
    <row r="1966" spans="1:40" x14ac:dyDescent="0.25">
      <c r="A1966" t="str">
        <f>"20190304155402534"</f>
        <v>20190304155402534</v>
      </c>
      <c r="B1966" t="str">
        <f>"1551686042528090"</f>
        <v>1551686042528090</v>
      </c>
      <c r="C1966" t="s">
        <v>40</v>
      </c>
      <c r="D1966">
        <v>4.383165</v>
      </c>
      <c r="E1966">
        <v>0.51590809999999998</v>
      </c>
      <c r="F1966" t="s">
        <v>46</v>
      </c>
      <c r="G1966">
        <v>-492.24579999999997</v>
      </c>
      <c r="H1966" s="1">
        <v>-3.6990559999999999E-6</v>
      </c>
      <c r="I1966">
        <v>246.81880000000001</v>
      </c>
      <c r="J1966">
        <v>-492.27550000000002</v>
      </c>
      <c r="K1966">
        <v>1.1231690000000001</v>
      </c>
      <c r="L1966">
        <v>268.39280000000002</v>
      </c>
      <c r="M1966">
        <v>-0.14922289999999999</v>
      </c>
      <c r="N1966">
        <v>-1.732527E-2</v>
      </c>
      <c r="O1966">
        <v>-0.98865199999999998</v>
      </c>
      <c r="P1966">
        <v>5.5077210000000001E-2</v>
      </c>
      <c r="Q1966">
        <v>0.1541151</v>
      </c>
      <c r="R1966">
        <v>-0.98651679999999997</v>
      </c>
      <c r="S1966">
        <v>6.7138669999999997E-4</v>
      </c>
      <c r="T1966">
        <v>-0.15758910000000001</v>
      </c>
      <c r="U1966">
        <v>-3.0630489999999999</v>
      </c>
      <c r="V1966">
        <v>-0.206957</v>
      </c>
      <c r="W1966">
        <v>0.16443459999999999</v>
      </c>
      <c r="X1966">
        <v>0.96443250000000003</v>
      </c>
      <c r="Y1966">
        <v>-0.14937139999999999</v>
      </c>
      <c r="Z1966">
        <v>3.2919200000000003E-2</v>
      </c>
      <c r="AA1966">
        <v>0.98823300000000003</v>
      </c>
      <c r="AB1966">
        <v>26</v>
      </c>
      <c r="AC1966">
        <v>2.9700000000048001E-2</v>
      </c>
      <c r="AD1966">
        <v>-1.123172699056</v>
      </c>
      <c r="AE1966">
        <v>-21.574000000000002</v>
      </c>
      <c r="AF1966">
        <v>-3.2404020798920401</v>
      </c>
      <c r="AG1966">
        <v>-1.123172699056</v>
      </c>
      <c r="AH1966">
        <v>21.270292411490701</v>
      </c>
      <c r="AI1966">
        <v>92.988268140631106</v>
      </c>
      <c r="AJ1966">
        <v>98.662067970716905</v>
      </c>
      <c r="AK1966">
        <v>21.545000854527501</v>
      </c>
      <c r="AL1966">
        <v>80.535609109454597</v>
      </c>
      <c r="AM1966">
        <v>102.11139253465601</v>
      </c>
      <c r="AN1966">
        <v>0.99999999229120495</v>
      </c>
    </row>
    <row r="1967" spans="1:40" x14ac:dyDescent="0.25">
      <c r="A1967" t="str">
        <f>"20190304155402554"</f>
        <v>20190304155402554</v>
      </c>
      <c r="B1967" t="str">
        <f>"1551686042548585"</f>
        <v>1551686042548585</v>
      </c>
      <c r="C1967" t="s">
        <v>40</v>
      </c>
      <c r="D1967">
        <v>4.4563829999999998</v>
      </c>
      <c r="E1967">
        <v>0.51643530000000004</v>
      </c>
      <c r="F1967" t="s">
        <v>46</v>
      </c>
      <c r="G1967">
        <v>-492.07260000000002</v>
      </c>
      <c r="H1967" s="1">
        <v>-3.2956619999999999E-6</v>
      </c>
      <c r="I1967">
        <v>245.98589999999999</v>
      </c>
      <c r="J1967">
        <v>-492.29320000000001</v>
      </c>
      <c r="K1967">
        <v>1.122825</v>
      </c>
      <c r="L1967">
        <v>268.1653</v>
      </c>
      <c r="M1967">
        <v>-0.1336822</v>
      </c>
      <c r="N1967">
        <v>-1.7198060000000001E-2</v>
      </c>
      <c r="O1967">
        <v>-0.99087510000000001</v>
      </c>
      <c r="P1967">
        <v>6.5007670000000004E-2</v>
      </c>
      <c r="Q1967">
        <v>0.15525720000000001</v>
      </c>
      <c r="R1967">
        <v>-0.98573299999999997</v>
      </c>
      <c r="S1967">
        <v>2.7740480000000001E-2</v>
      </c>
      <c r="T1967">
        <v>-0.15355729999999901</v>
      </c>
      <c r="U1967">
        <v>-3.0634160000000001</v>
      </c>
      <c r="V1967">
        <v>-0.20137169999999999</v>
      </c>
      <c r="W1967">
        <v>0.16581770000000001</v>
      </c>
      <c r="X1967">
        <v>0.96537759999999995</v>
      </c>
      <c r="Y1967">
        <v>-0.14258189999999901</v>
      </c>
      <c r="Z1967">
        <v>3.1938220000000003E-2</v>
      </c>
      <c r="AA1967">
        <v>0.98926760000000002</v>
      </c>
      <c r="AB1967">
        <v>26</v>
      </c>
      <c r="AC1967">
        <v>0.22059999999999</v>
      </c>
      <c r="AD1967">
        <v>-1.1228282956619999</v>
      </c>
      <c r="AE1967">
        <v>-22.179400000000001</v>
      </c>
      <c r="AF1967">
        <v>-3.1759100304405101</v>
      </c>
      <c r="AG1967">
        <v>-1.1228282956619999</v>
      </c>
      <c r="AH1967">
        <v>21.894661834363799</v>
      </c>
      <c r="AI1967">
        <v>92.9053853983837</v>
      </c>
      <c r="AJ1967">
        <v>98.253421958666493</v>
      </c>
      <c r="AK1967">
        <v>22.1522767395169</v>
      </c>
      <c r="AL1967">
        <v>80.455260303928895</v>
      </c>
      <c r="AM1967">
        <v>101.782586380002</v>
      </c>
      <c r="AN1967">
        <v>0.99999999088796998</v>
      </c>
    </row>
    <row r="1968" spans="1:40" x14ac:dyDescent="0.25">
      <c r="A1968" t="str">
        <f>"20190304155402576"</f>
        <v>20190304155402576</v>
      </c>
      <c r="B1968" t="str">
        <f>"1551686042568106"</f>
        <v>1551686042568106</v>
      </c>
      <c r="C1968" t="s">
        <v>40</v>
      </c>
      <c r="D1968">
        <v>4.3182269999999896</v>
      </c>
      <c r="E1968">
        <v>0.53344040000000004</v>
      </c>
      <c r="F1968" t="s">
        <v>46</v>
      </c>
      <c r="G1968">
        <v>-491.89819999999997</v>
      </c>
      <c r="H1968" s="1">
        <v>-3.0043569999999999E-6</v>
      </c>
      <c r="I1968">
        <v>245.41499999999999</v>
      </c>
      <c r="J1968">
        <v>-492.30880000000002</v>
      </c>
      <c r="K1968">
        <v>1.122401</v>
      </c>
      <c r="L1968">
        <v>267.91989999999998</v>
      </c>
      <c r="M1968">
        <v>-0.1174795</v>
      </c>
      <c r="N1968">
        <v>-1.70499E-2</v>
      </c>
      <c r="O1968">
        <v>-0.99292899999999995</v>
      </c>
      <c r="P1968">
        <v>7.5368080000000004E-2</v>
      </c>
      <c r="Q1968">
        <v>0.15583620000000001</v>
      </c>
      <c r="R1968">
        <v>-0.98490370000000005</v>
      </c>
      <c r="S1968">
        <v>5.3192139999999999E-2</v>
      </c>
      <c r="T1968">
        <v>-0.15120720000000001</v>
      </c>
      <c r="U1968">
        <v>-3.0636899999999998</v>
      </c>
      <c r="V1968">
        <v>-0.19556609999999999</v>
      </c>
      <c r="W1968">
        <v>0.16664670000000001</v>
      </c>
      <c r="X1968">
        <v>0.96642790000000001</v>
      </c>
      <c r="Y1968">
        <v>-0.13463240000000001</v>
      </c>
      <c r="Z1968">
        <v>3.1500720000000003E-2</v>
      </c>
      <c r="AA1968">
        <v>0.99039480000000002</v>
      </c>
      <c r="AB1968">
        <v>26</v>
      </c>
      <c r="AC1968">
        <v>0.41060000000004399</v>
      </c>
      <c r="AD1968">
        <v>-1.1224040043570001</v>
      </c>
      <c r="AE1968">
        <v>-22.5048999999999</v>
      </c>
      <c r="AF1968">
        <v>-3.0444343049317899</v>
      </c>
      <c r="AG1968">
        <v>-1.1224040043570001</v>
      </c>
      <c r="AH1968">
        <v>22.2454561928168</v>
      </c>
      <c r="AI1968">
        <v>92.861802597486601</v>
      </c>
      <c r="AJ1968">
        <v>97.792885220262704</v>
      </c>
      <c r="AK1968">
        <v>22.480851678986198</v>
      </c>
      <c r="AL1968">
        <v>80.4070925275837</v>
      </c>
      <c r="AM1968">
        <v>101.439876386276</v>
      </c>
      <c r="AN1968">
        <v>1.00000005399425</v>
      </c>
    </row>
    <row r="1969" spans="1:40" x14ac:dyDescent="0.25">
      <c r="A1969" t="str">
        <f>"20190304155402600"</f>
        <v>20190304155402600</v>
      </c>
      <c r="B1969" t="str">
        <f>"1551686042588604"</f>
        <v>1551686042588604</v>
      </c>
      <c r="C1969" t="s">
        <v>40</v>
      </c>
      <c r="D1969">
        <v>4.3352199999999996</v>
      </c>
      <c r="E1969">
        <v>0.53146340000000003</v>
      </c>
      <c r="F1969" t="s">
        <v>46</v>
      </c>
      <c r="G1969">
        <v>-492.86110000000002</v>
      </c>
      <c r="H1969" s="1">
        <v>-2.7529360000000001E-6</v>
      </c>
      <c r="I1969">
        <v>234.23179999999999</v>
      </c>
      <c r="J1969">
        <v>-492.32190000000003</v>
      </c>
      <c r="K1969">
        <v>1.1219030000000001</v>
      </c>
      <c r="L1969">
        <v>267.65519999999998</v>
      </c>
      <c r="M1969">
        <v>-0.10067039999999999</v>
      </c>
      <c r="N1969">
        <v>-1.688015E-2</v>
      </c>
      <c r="O1969">
        <v>-0.99477660000000001</v>
      </c>
      <c r="P1969">
        <v>8.4500820000000004E-2</v>
      </c>
      <c r="Q1969">
        <v>0.15533150000000001</v>
      </c>
      <c r="R1969">
        <v>-0.98424179999999994</v>
      </c>
      <c r="S1969">
        <v>-5.026245E-2</v>
      </c>
      <c r="T1969">
        <v>-0.10214959999999999</v>
      </c>
      <c r="U1969">
        <v>-3.0659480000000001</v>
      </c>
      <c r="V1969">
        <v>-0.187947</v>
      </c>
      <c r="W1969">
        <v>0.16645209999999999</v>
      </c>
      <c r="X1969">
        <v>0.9679719</v>
      </c>
      <c r="Y1969">
        <v>-8.4329169999999995E-2</v>
      </c>
      <c r="Z1969">
        <v>1.6122210000000001E-2</v>
      </c>
      <c r="AA1969">
        <v>0.99630750000000001</v>
      </c>
      <c r="AB1969">
        <v>26</v>
      </c>
      <c r="AC1969">
        <v>-0.53919999999999302</v>
      </c>
      <c r="AD1969">
        <v>-1.1219057529359999</v>
      </c>
      <c r="AE1969">
        <v>-33.423399999999901</v>
      </c>
      <c r="AF1969">
        <v>-2.8255838332821299</v>
      </c>
      <c r="AG1969">
        <v>-1.1219057529359999</v>
      </c>
      <c r="AH1969">
        <v>33.270367929261901</v>
      </c>
      <c r="AI1969">
        <v>91.924409279196297</v>
      </c>
      <c r="AJ1969">
        <v>94.854363813996599</v>
      </c>
      <c r="AK1969">
        <v>33.408980509225898</v>
      </c>
      <c r="AL1969">
        <v>80.418399578679598</v>
      </c>
      <c r="AM1969">
        <v>100.988154341308</v>
      </c>
      <c r="AN1969">
        <v>0.999999987796509</v>
      </c>
    </row>
    <row r="1970" spans="1:40" x14ac:dyDescent="0.25">
      <c r="A1970" t="str">
        <f>"20190304155402623"</f>
        <v>20190304155402623</v>
      </c>
      <c r="B1970" t="str">
        <f>"1551686042618857"</f>
        <v>1551686042618857</v>
      </c>
      <c r="C1970" t="s">
        <v>40</v>
      </c>
      <c r="D1970">
        <v>4.4049820000000004</v>
      </c>
      <c r="E1970">
        <v>0.5308505</v>
      </c>
      <c r="F1970" t="s">
        <v>46</v>
      </c>
      <c r="G1970">
        <v>-492.39010000000002</v>
      </c>
      <c r="H1970" s="1">
        <v>-4.2456859999999999E-6</v>
      </c>
      <c r="I1970">
        <v>238.21709999999999</v>
      </c>
      <c r="J1970">
        <v>-492.33109999999999</v>
      </c>
      <c r="K1970">
        <v>1.121386</v>
      </c>
      <c r="L1970">
        <v>267.39319999999998</v>
      </c>
      <c r="M1970">
        <v>-8.4792179999999995E-2</v>
      </c>
      <c r="N1970">
        <v>-1.6706229999999999E-2</v>
      </c>
      <c r="O1970">
        <v>-0.99625870000000005</v>
      </c>
      <c r="P1970">
        <v>9.1910130000000007E-2</v>
      </c>
      <c r="Q1970">
        <v>0.15597949999999999</v>
      </c>
      <c r="R1970">
        <v>-0.98347510000000005</v>
      </c>
      <c r="S1970">
        <v>-7.1105959999999899E-3</v>
      </c>
      <c r="T1970">
        <v>-0.11688949999999999</v>
      </c>
      <c r="U1970">
        <v>-3.0671080000000002</v>
      </c>
      <c r="V1970">
        <v>-0.1795591</v>
      </c>
      <c r="W1970">
        <v>0.16742009999999999</v>
      </c>
      <c r="X1970">
        <v>0.96939620000000004</v>
      </c>
      <c r="Y1970">
        <v>-8.2456409999999994E-2</v>
      </c>
      <c r="Z1970">
        <v>2.1114629999999999E-2</v>
      </c>
      <c r="AA1970">
        <v>0.99637100000000001</v>
      </c>
      <c r="AB1970">
        <v>26</v>
      </c>
      <c r="AC1970">
        <v>-5.90000000000259E-2</v>
      </c>
      <c r="AD1970">
        <v>-1.1213902456860001</v>
      </c>
      <c r="AE1970">
        <v>-29.176099999999899</v>
      </c>
      <c r="AF1970">
        <v>-2.41189970006385</v>
      </c>
      <c r="AG1970">
        <v>-1.1213902456860001</v>
      </c>
      <c r="AH1970">
        <v>29.0331114757428</v>
      </c>
      <c r="AI1970">
        <v>92.204337162959007</v>
      </c>
      <c r="AJ1970">
        <v>94.748891017264796</v>
      </c>
      <c r="AK1970">
        <v>29.154696674964601</v>
      </c>
      <c r="AL1970">
        <v>80.362147811178104</v>
      </c>
      <c r="AM1970">
        <v>100.493836232254</v>
      </c>
      <c r="AN1970">
        <v>0.99999997642562899</v>
      </c>
    </row>
    <row r="1971" spans="1:40" x14ac:dyDescent="0.25">
      <c r="A1971" t="str">
        <f>"20190304155402644"</f>
        <v>20190304155402644</v>
      </c>
      <c r="B1971" t="str">
        <f>"1551686042638378"</f>
        <v>1551686042638378</v>
      </c>
      <c r="C1971" t="s">
        <v>40</v>
      </c>
      <c r="D1971">
        <v>4.4129839999999998</v>
      </c>
      <c r="E1971">
        <v>0.53006430000000004</v>
      </c>
      <c r="F1971" t="s">
        <v>46</v>
      </c>
      <c r="G1971">
        <v>-492.15600000000001</v>
      </c>
      <c r="H1971" s="1">
        <v>-9.8996370000000009E-7</v>
      </c>
      <c r="I1971">
        <v>240.55950000000001</v>
      </c>
      <c r="J1971">
        <v>-492.33629999999999</v>
      </c>
      <c r="K1971">
        <v>1.120886</v>
      </c>
      <c r="L1971">
        <v>267.15120000000002</v>
      </c>
      <c r="M1971">
        <v>-7.0834889999999998E-2</v>
      </c>
      <c r="N1971">
        <v>-1.654371E-2</v>
      </c>
      <c r="O1971">
        <v>-0.99735079999999998</v>
      </c>
      <c r="P1971">
        <v>9.5496650000000002E-2</v>
      </c>
      <c r="Q1971">
        <v>0.15828439999999999</v>
      </c>
      <c r="R1971">
        <v>-0.982765</v>
      </c>
      <c r="S1971">
        <v>2.0019530000000001E-2</v>
      </c>
      <c r="T1971">
        <v>-0.128249</v>
      </c>
      <c r="U1971">
        <v>-3.0688780000000002</v>
      </c>
      <c r="V1971">
        <v>-0.16930619999999999</v>
      </c>
      <c r="W1971">
        <v>0.17007369999999999</v>
      </c>
      <c r="X1971">
        <v>0.97077820000000004</v>
      </c>
      <c r="Y1971">
        <v>-7.7310489999999996E-2</v>
      </c>
      <c r="Z1971">
        <v>2.499471E-2</v>
      </c>
      <c r="AA1971">
        <v>0.99669370000000002</v>
      </c>
      <c r="AB1971">
        <v>26</v>
      </c>
      <c r="AC1971">
        <v>0.180299999999988</v>
      </c>
      <c r="AD1971">
        <v>-1.1208869899637</v>
      </c>
      <c r="AE1971">
        <v>-26.591699999999999</v>
      </c>
      <c r="AF1971">
        <v>-2.06006494171706</v>
      </c>
      <c r="AG1971">
        <v>-1.1208869899637</v>
      </c>
      <c r="AH1971">
        <v>26.465091251121599</v>
      </c>
      <c r="AI1971">
        <v>92.417916949780803</v>
      </c>
      <c r="AJ1971">
        <v>94.450976322891194</v>
      </c>
      <c r="AK1971">
        <v>26.568803325301499</v>
      </c>
      <c r="AL1971">
        <v>80.207895677244807</v>
      </c>
      <c r="AM1971">
        <v>99.893028329942993</v>
      </c>
      <c r="AN1971">
        <v>0.99999998319268402</v>
      </c>
    </row>
    <row r="1972" spans="1:40" x14ac:dyDescent="0.25">
      <c r="A1972" t="str">
        <f>"20190304155402666"</f>
        <v>20190304155402666</v>
      </c>
      <c r="B1972" t="str">
        <f>"1551686042658874"</f>
        <v>1551686042658874</v>
      </c>
      <c r="C1972" t="s">
        <v>40</v>
      </c>
      <c r="D1972">
        <v>4.4058549999999999</v>
      </c>
      <c r="E1972">
        <v>0.53030279999999996</v>
      </c>
      <c r="F1972" t="s">
        <v>46</v>
      </c>
      <c r="G1972">
        <v>-492.03100000000001</v>
      </c>
      <c r="H1972" s="1">
        <v>-1.3920969999999999E-6</v>
      </c>
      <c r="I1972">
        <v>241.5744</v>
      </c>
      <c r="J1972">
        <v>-492.33879999999999</v>
      </c>
      <c r="K1972">
        <v>1.120417</v>
      </c>
      <c r="L1972">
        <v>266.90429999999998</v>
      </c>
      <c r="M1972">
        <v>-5.718032E-2</v>
      </c>
      <c r="N1972">
        <v>-1.6382230000000001E-2</v>
      </c>
      <c r="O1972">
        <v>-0.99822960000000005</v>
      </c>
      <c r="P1972">
        <v>9.8539790000000002E-2</v>
      </c>
      <c r="Q1972">
        <v>0.16152230000000001</v>
      </c>
      <c r="R1972">
        <v>-0.98193730000000001</v>
      </c>
      <c r="S1972">
        <v>3.6651610000000001E-2</v>
      </c>
      <c r="T1972">
        <v>-0.1345731</v>
      </c>
      <c r="U1972">
        <v>-3.0707399999999998</v>
      </c>
      <c r="V1972">
        <v>-0.15883599999999901</v>
      </c>
      <c r="W1972">
        <v>0.17362820000000001</v>
      </c>
      <c r="X1972">
        <v>0.9719179</v>
      </c>
      <c r="Y1972">
        <v>-6.9060720000000006E-2</v>
      </c>
      <c r="Z1972">
        <v>2.7243059999999999E-2</v>
      </c>
      <c r="AA1972">
        <v>0.99724040000000003</v>
      </c>
      <c r="AB1972">
        <v>26</v>
      </c>
      <c r="AC1972">
        <v>0.30779999999998597</v>
      </c>
      <c r="AD1972">
        <v>-1.1204183920969999</v>
      </c>
      <c r="AE1972">
        <v>-25.329899999999899</v>
      </c>
      <c r="AF1972">
        <v>-1.7524339884015001</v>
      </c>
      <c r="AG1972">
        <v>-1.1204183920969999</v>
      </c>
      <c r="AH1972">
        <v>25.221503194621</v>
      </c>
      <c r="AI1972">
        <v>92.537476482692298</v>
      </c>
      <c r="AJ1972">
        <v>93.974622695456503</v>
      </c>
      <c r="AK1972">
        <v>25.3071251953542</v>
      </c>
      <c r="AL1972">
        <v>80.001162448712805</v>
      </c>
      <c r="AM1972">
        <v>99.281531988136095</v>
      </c>
      <c r="AN1972">
        <v>1.00000001553582</v>
      </c>
    </row>
    <row r="1973" spans="1:40" x14ac:dyDescent="0.25">
      <c r="A1973" t="str">
        <f>"20190304155402689"</f>
        <v>20190304155402689</v>
      </c>
      <c r="B1973" t="str">
        <f>"1551686042678393"</f>
        <v>1551686042678393</v>
      </c>
      <c r="C1973" t="s">
        <v>40</v>
      </c>
      <c r="D1973">
        <v>4.3782329999999998</v>
      </c>
      <c r="E1973">
        <v>0.53051590000000004</v>
      </c>
      <c r="F1973" t="s">
        <v>46</v>
      </c>
      <c r="G1973">
        <v>-491.97320000000002</v>
      </c>
      <c r="H1973" s="1">
        <v>-9.4124759999999996E-7</v>
      </c>
      <c r="I1973">
        <v>240.55930000000001</v>
      </c>
      <c r="J1973">
        <v>-492.33850000000001</v>
      </c>
      <c r="K1973">
        <v>1.119955</v>
      </c>
      <c r="L1973">
        <v>266.64940000000001</v>
      </c>
      <c r="M1973">
        <v>-4.3741889999999999E-2</v>
      </c>
      <c r="N1973">
        <v>-1.6223120000000001E-2</v>
      </c>
      <c r="O1973">
        <v>-0.99891129999999995</v>
      </c>
      <c r="P1973">
        <v>0.10113270000000001</v>
      </c>
      <c r="Q1973">
        <v>0.16378190000000001</v>
      </c>
      <c r="R1973">
        <v>-0.98129909999999998</v>
      </c>
      <c r="S1973">
        <v>4.263306E-2</v>
      </c>
      <c r="T1973">
        <v>-0.13066610000000001</v>
      </c>
      <c r="U1973">
        <v>-3.0724179999999999</v>
      </c>
      <c r="V1973">
        <v>-0.14811769999999999</v>
      </c>
      <c r="W1973">
        <v>0.17618410000000001</v>
      </c>
      <c r="X1973">
        <v>0.97314970000000001</v>
      </c>
      <c r="Y1973">
        <v>-5.7572650000000003E-2</v>
      </c>
      <c r="Z1973">
        <v>2.6173100000000001E-2</v>
      </c>
      <c r="AA1973">
        <v>0.99799819999999995</v>
      </c>
      <c r="AB1973">
        <v>26</v>
      </c>
      <c r="AC1973">
        <v>0.36529999999999002</v>
      </c>
      <c r="AD1973">
        <v>-1.1199559412475999</v>
      </c>
      <c r="AE1973">
        <v>-26.0901</v>
      </c>
      <c r="AF1973">
        <v>-1.50356053271231</v>
      </c>
      <c r="AG1973">
        <v>-1.1199559412475999</v>
      </c>
      <c r="AH1973">
        <v>26.0012380607157</v>
      </c>
      <c r="AI1973">
        <v>92.462278438071806</v>
      </c>
      <c r="AJ1973">
        <v>93.309528630310794</v>
      </c>
      <c r="AK1973">
        <v>26.068743281483201</v>
      </c>
      <c r="AL1973">
        <v>79.852427376716804</v>
      </c>
      <c r="AM1973">
        <v>98.654250967985007</v>
      </c>
      <c r="AN1973">
        <v>1.0000000143780901</v>
      </c>
    </row>
    <row r="1974" spans="1:40" x14ac:dyDescent="0.25">
      <c r="A1974" t="str">
        <f>"20190304155402710"</f>
        <v>20190304155402710</v>
      </c>
      <c r="B1974" t="str">
        <f>"1551686042698890"</f>
        <v>1551686042698890</v>
      </c>
      <c r="C1974" t="s">
        <v>40</v>
      </c>
      <c r="D1974">
        <v>4.4326040000000004</v>
      </c>
      <c r="E1974">
        <v>0.53124150000000003</v>
      </c>
      <c r="F1974" t="s">
        <v>46</v>
      </c>
      <c r="G1974">
        <v>-491.9153</v>
      </c>
      <c r="H1974" s="1">
        <v>-5.3221260000000003E-7</v>
      </c>
      <c r="I1974">
        <v>239.64179999999999</v>
      </c>
      <c r="J1974">
        <v>-492.3356</v>
      </c>
      <c r="K1974">
        <v>1.1195090000000001</v>
      </c>
      <c r="L1974">
        <v>266.40550000000002</v>
      </c>
      <c r="M1974">
        <v>-3.1532379999999999E-2</v>
      </c>
      <c r="N1974">
        <v>-1.6073230000000001E-2</v>
      </c>
      <c r="O1974">
        <v>-0.99937339999999997</v>
      </c>
      <c r="P1974">
        <v>0.10187839999999999</v>
      </c>
      <c r="Q1974">
        <v>0.16299</v>
      </c>
      <c r="R1974">
        <v>-0.9813537</v>
      </c>
      <c r="S1974">
        <v>4.8156740000000003E-2</v>
      </c>
      <c r="T1974">
        <v>-0.1274527</v>
      </c>
      <c r="U1974">
        <v>-3.0735169999999998</v>
      </c>
      <c r="V1974">
        <v>-0.13671459999999999</v>
      </c>
      <c r="W1974">
        <v>0.1756885</v>
      </c>
      <c r="X1974">
        <v>0.97490650000000001</v>
      </c>
      <c r="Y1974">
        <v>-4.7164320000000003E-2</v>
      </c>
      <c r="Z1974">
        <v>2.5307199999999998E-2</v>
      </c>
      <c r="AA1974">
        <v>0.99856650000000002</v>
      </c>
      <c r="AB1974">
        <v>26</v>
      </c>
      <c r="AC1974">
        <v>0.42029999999999701</v>
      </c>
      <c r="AD1974">
        <v>-1.1195095322126001</v>
      </c>
      <c r="AE1974">
        <v>-26.7637</v>
      </c>
      <c r="AF1974">
        <v>-1.2619157793806799</v>
      </c>
      <c r="AG1974">
        <v>-1.1195095322126001</v>
      </c>
      <c r="AH1974">
        <v>26.690444300018999</v>
      </c>
      <c r="AI1974">
        <v>92.399141352727</v>
      </c>
      <c r="AJ1974">
        <v>92.706910585048107</v>
      </c>
      <c r="AK1974">
        <v>26.743701126795798</v>
      </c>
      <c r="AL1974">
        <v>79.881273041403801</v>
      </c>
      <c r="AM1974">
        <v>97.982734202142893</v>
      </c>
      <c r="AN1974">
        <v>1.00000000731383</v>
      </c>
    </row>
    <row r="1975" spans="1:40" x14ac:dyDescent="0.25">
      <c r="A1975" t="str">
        <f>"20190304155402732"</f>
        <v>20190304155402732</v>
      </c>
      <c r="B1975" t="str">
        <f>"1551686042728170"</f>
        <v>1551686042728170</v>
      </c>
      <c r="C1975" t="s">
        <v>40</v>
      </c>
      <c r="D1975">
        <v>4.448709</v>
      </c>
      <c r="E1975">
        <v>0.53198330000000005</v>
      </c>
      <c r="F1975" t="s">
        <v>46</v>
      </c>
      <c r="G1975">
        <v>-491.96690000000001</v>
      </c>
      <c r="H1975" s="1">
        <v>-9.2902000000000004E-7</v>
      </c>
      <c r="I1975">
        <v>240.53479999999999</v>
      </c>
      <c r="J1975">
        <v>-492.33030000000002</v>
      </c>
      <c r="K1975">
        <v>1.1190310000000001</v>
      </c>
      <c r="L1975">
        <v>266.15870000000001</v>
      </c>
      <c r="M1975">
        <v>-1.9875130000000001E-2</v>
      </c>
      <c r="N1975">
        <v>-1.591886E-2</v>
      </c>
      <c r="O1975">
        <v>-0.99967589999999995</v>
      </c>
      <c r="P1975">
        <v>0.1017378</v>
      </c>
      <c r="Q1975">
        <v>0.16281180000000001</v>
      </c>
      <c r="R1975">
        <v>-0.98139799999999999</v>
      </c>
      <c r="S1975">
        <v>4.3823239999999999E-2</v>
      </c>
      <c r="T1975">
        <v>-0.13304839999999901</v>
      </c>
      <c r="U1975">
        <v>-3.0746150000000001</v>
      </c>
      <c r="V1975">
        <v>-0.1249507</v>
      </c>
      <c r="W1975">
        <v>0.17578940000000001</v>
      </c>
      <c r="X1975">
        <v>0.97646580000000005</v>
      </c>
      <c r="Y1975">
        <v>-3.4103219999999997E-2</v>
      </c>
      <c r="Z1975">
        <v>2.7293439999999999E-2</v>
      </c>
      <c r="AA1975">
        <v>0.99904559999999998</v>
      </c>
      <c r="AB1975">
        <v>26</v>
      </c>
      <c r="AC1975">
        <v>0.36340000000001199</v>
      </c>
      <c r="AD1975">
        <v>-1.1190319290199999</v>
      </c>
      <c r="AE1975">
        <v>-25.623899999999999</v>
      </c>
      <c r="AF1975">
        <v>-0.871010148058462</v>
      </c>
      <c r="AG1975">
        <v>-1.1190319290199999</v>
      </c>
      <c r="AH1975">
        <v>25.5628701892139</v>
      </c>
      <c r="AI1975">
        <v>92.505109271322695</v>
      </c>
      <c r="AJ1975">
        <v>91.951498614141201</v>
      </c>
      <c r="AK1975">
        <v>25.602172240784299</v>
      </c>
      <c r="AL1975">
        <v>79.875400678425393</v>
      </c>
      <c r="AM1975">
        <v>97.292064737720395</v>
      </c>
      <c r="AN1975">
        <v>1.0000000245762399</v>
      </c>
    </row>
    <row r="1976" spans="1:40" x14ac:dyDescent="0.25">
      <c r="A1976" t="str">
        <f>"20190304155402765"</f>
        <v>20190304155402765</v>
      </c>
      <c r="B1976" t="str">
        <f>"1551686042758426"</f>
        <v>1551686042758426</v>
      </c>
      <c r="C1976" t="s">
        <v>40</v>
      </c>
      <c r="D1976">
        <v>4.4847720000000004</v>
      </c>
      <c r="E1976">
        <v>0.53321439999999998</v>
      </c>
      <c r="F1976" t="s">
        <v>46</v>
      </c>
      <c r="G1976">
        <v>-492.01859999999999</v>
      </c>
      <c r="H1976" s="1">
        <v>-1.421851E-6</v>
      </c>
      <c r="I1976">
        <v>241.6515</v>
      </c>
      <c r="J1976">
        <v>-492.31819999999999</v>
      </c>
      <c r="K1976">
        <v>1.118214</v>
      </c>
      <c r="L1976">
        <v>265.7851</v>
      </c>
      <c r="M1976">
        <v>-3.6109269999999999E-3</v>
      </c>
      <c r="N1976">
        <v>-1.5681790000000001E-2</v>
      </c>
      <c r="O1976">
        <v>-0.9998705</v>
      </c>
      <c r="P1976">
        <v>0.10367220000000001</v>
      </c>
      <c r="Q1976">
        <v>0.1676887</v>
      </c>
      <c r="R1976">
        <v>-0.98037390000000002</v>
      </c>
      <c r="S1976">
        <v>3.9123539999999998E-2</v>
      </c>
      <c r="T1976">
        <v>-0.14045929999999901</v>
      </c>
      <c r="U1976">
        <v>-3.076111</v>
      </c>
      <c r="V1976">
        <v>-0.1106693</v>
      </c>
      <c r="W1976">
        <v>0.18096690000000001</v>
      </c>
      <c r="X1976">
        <v>0.97724270000000002</v>
      </c>
      <c r="Y1976">
        <v>-1.6314929999999998E-2</v>
      </c>
      <c r="Z1976">
        <v>2.993705E-2</v>
      </c>
      <c r="AA1976">
        <v>0.99941860000000005</v>
      </c>
      <c r="AB1976">
        <v>26</v>
      </c>
      <c r="AC1976">
        <v>0.29959999999999798</v>
      </c>
      <c r="AD1976">
        <v>-1.1182154218510001</v>
      </c>
      <c r="AE1976">
        <v>-24.133600000000001</v>
      </c>
      <c r="AF1976">
        <v>-0.38592502742028501</v>
      </c>
      <c r="AG1976">
        <v>-1.1182154218510001</v>
      </c>
      <c r="AH1976">
        <v>24.0806704371542</v>
      </c>
      <c r="AI1976">
        <v>92.658348909711506</v>
      </c>
      <c r="AJ1976">
        <v>90.918163077361001</v>
      </c>
      <c r="AK1976">
        <v>24.1097082636702</v>
      </c>
      <c r="AL1976">
        <v>79.573915987133901</v>
      </c>
      <c r="AM1976">
        <v>96.461019067826697</v>
      </c>
      <c r="AN1976">
        <v>1.00000000378069</v>
      </c>
    </row>
    <row r="1977" spans="1:40" x14ac:dyDescent="0.25">
      <c r="A1977" t="str">
        <f>"20190304155402788"</f>
        <v>20190304155402788</v>
      </c>
      <c r="B1977" t="str">
        <f>"1551686042777964"</f>
        <v>1551686042777964</v>
      </c>
      <c r="C1977" t="s">
        <v>40</v>
      </c>
      <c r="D1977">
        <v>4.3560670000000004</v>
      </c>
      <c r="E1977">
        <v>0.53366169999999902</v>
      </c>
      <c r="F1977" t="s">
        <v>46</v>
      </c>
      <c r="G1977">
        <v>-492.04149999999998</v>
      </c>
      <c r="H1977" s="1">
        <v>-4.367779E-6</v>
      </c>
      <c r="I1977">
        <v>238.7576</v>
      </c>
      <c r="J1977">
        <v>-492.30709999999999</v>
      </c>
      <c r="K1977">
        <v>1.1175930000000001</v>
      </c>
      <c r="L1977">
        <v>265.5215</v>
      </c>
      <c r="M1977">
        <v>6.7893629999999996E-3</v>
      </c>
      <c r="N1977">
        <v>-1.551841E-2</v>
      </c>
      <c r="O1977">
        <v>-0.99985650000000004</v>
      </c>
      <c r="P1977">
        <v>0.10556359999999999</v>
      </c>
      <c r="Q1977">
        <v>0.1725071</v>
      </c>
      <c r="R1977">
        <v>-0.97933539999999997</v>
      </c>
      <c r="S1977">
        <v>3.1524660000000003E-2</v>
      </c>
      <c r="T1977">
        <v>-0.12736889999999901</v>
      </c>
      <c r="U1977">
        <v>-3.078522</v>
      </c>
      <c r="V1977">
        <v>-0.10216939999999999</v>
      </c>
      <c r="W1977">
        <v>0.18594169999999999</v>
      </c>
      <c r="X1977">
        <v>0.97723439999999995</v>
      </c>
      <c r="Y1977">
        <v>-3.4446580000000002E-3</v>
      </c>
      <c r="Z1977">
        <v>2.5825819999999999E-2</v>
      </c>
      <c r="AA1977">
        <v>0.99966060000000001</v>
      </c>
      <c r="AB1977">
        <v>26</v>
      </c>
      <c r="AC1977">
        <v>0.265600000000006</v>
      </c>
      <c r="AD1977">
        <v>-1.1175973677789901</v>
      </c>
      <c r="AE1977">
        <v>-26.7639</v>
      </c>
      <c r="AF1977">
        <v>-8.3716193525404603E-2</v>
      </c>
      <c r="AG1977">
        <v>-1.1175973677789901</v>
      </c>
      <c r="AH1977">
        <v>26.718501986254601</v>
      </c>
      <c r="AI1977">
        <v>92.395193889143002</v>
      </c>
      <c r="AJ1977">
        <v>90.179522372619004</v>
      </c>
      <c r="AK1977">
        <v>26.741996572189901</v>
      </c>
      <c r="AL1977">
        <v>79.283959358492098</v>
      </c>
      <c r="AM1977">
        <v>95.968563340431402</v>
      </c>
      <c r="AN1977">
        <v>0.99999998731930395</v>
      </c>
    </row>
    <row r="1978" spans="1:40" x14ac:dyDescent="0.25">
      <c r="A1978" t="str">
        <f>"20190304155402813"</f>
        <v>20190304155402813</v>
      </c>
      <c r="B1978" t="str">
        <f>"1551686042808709"</f>
        <v>1551686042808709</v>
      </c>
      <c r="C1978" t="s">
        <v>40</v>
      </c>
      <c r="D1978">
        <v>4.4236870000000001</v>
      </c>
      <c r="E1978">
        <v>0.53289929999999996</v>
      </c>
      <c r="F1978" t="s">
        <v>46</v>
      </c>
      <c r="G1978">
        <v>-491.9785</v>
      </c>
      <c r="H1978" s="1">
        <v>-2.4457120000000001E-6</v>
      </c>
      <c r="I1978">
        <v>234.06299999999999</v>
      </c>
      <c r="J1978">
        <v>-492.29379999999998</v>
      </c>
      <c r="K1978">
        <v>1.1169830000000001</v>
      </c>
      <c r="L1978">
        <v>265.25029999999998</v>
      </c>
      <c r="M1978">
        <v>1.6705439999999998E-2</v>
      </c>
      <c r="N1978">
        <v>-1.5362260000000001E-2</v>
      </c>
      <c r="O1978">
        <v>-0.99974249999999998</v>
      </c>
      <c r="P1978">
        <v>0.1047363</v>
      </c>
      <c r="Q1978">
        <v>0.173676</v>
      </c>
      <c r="R1978">
        <v>-0.97921760000000002</v>
      </c>
      <c r="S1978">
        <v>3.2165529999999998E-2</v>
      </c>
      <c r="T1978">
        <v>-0.109386999999999</v>
      </c>
      <c r="U1978">
        <v>-3.0790709999999999</v>
      </c>
      <c r="V1978">
        <v>-9.1355350000000002E-2</v>
      </c>
      <c r="W1978">
        <v>0.18729270000000001</v>
      </c>
      <c r="X1978">
        <v>0.97804679999999999</v>
      </c>
      <c r="Y1978">
        <v>6.2616969999999897E-3</v>
      </c>
      <c r="Z1978">
        <v>2.013943E-2</v>
      </c>
      <c r="AA1978">
        <v>0.99977760000000004</v>
      </c>
      <c r="AB1978">
        <v>26</v>
      </c>
      <c r="AC1978">
        <v>0.31529999999997899</v>
      </c>
      <c r="AD1978">
        <v>-1.1169854457120001</v>
      </c>
      <c r="AE1978">
        <v>-31.1873</v>
      </c>
      <c r="AF1978">
        <v>0.205539403471102</v>
      </c>
      <c r="AG1978">
        <v>-1.1169854457120001</v>
      </c>
      <c r="AH1978">
        <v>31.148263652089</v>
      </c>
      <c r="AI1978">
        <v>92.053717952645897</v>
      </c>
      <c r="AJ1978">
        <v>89.621925332716202</v>
      </c>
      <c r="AK1978">
        <v>31.168962630674098</v>
      </c>
      <c r="AL1978">
        <v>79.205168196117697</v>
      </c>
      <c r="AM1978">
        <v>95.336281199805697</v>
      </c>
      <c r="AN1978">
        <v>0.99999994921857405</v>
      </c>
    </row>
    <row r="1979" spans="1:40" x14ac:dyDescent="0.25">
      <c r="A1979" t="str">
        <f>"20190304155402835"</f>
        <v>20190304155402835</v>
      </c>
      <c r="B1979" t="str">
        <f>"1551686042828229"</f>
        <v>1551686042828229</v>
      </c>
      <c r="C1979" t="s">
        <v>40</v>
      </c>
      <c r="D1979">
        <v>4.4467699999999999</v>
      </c>
      <c r="E1979">
        <v>0.53250940000000002</v>
      </c>
      <c r="F1979" t="s">
        <v>46</v>
      </c>
      <c r="G1979">
        <v>-491.88760000000002</v>
      </c>
      <c r="H1979" s="1">
        <v>-5.865577E-7</v>
      </c>
      <c r="I1979">
        <v>229.78569999999999</v>
      </c>
      <c r="J1979">
        <v>-492.28030000000001</v>
      </c>
      <c r="K1979">
        <v>1.116431</v>
      </c>
      <c r="L1979">
        <v>265.00599999999997</v>
      </c>
      <c r="M1979">
        <v>2.4835059999999999E-2</v>
      </c>
      <c r="N1979">
        <v>-1.5228739999999999E-2</v>
      </c>
      <c r="O1979">
        <v>-0.99957560000000001</v>
      </c>
      <c r="P1979">
        <v>0.1081191</v>
      </c>
      <c r="Q1979">
        <v>0.17344770000000001</v>
      </c>
      <c r="R1979">
        <v>-0.97889040000000005</v>
      </c>
      <c r="S1979">
        <v>3.5247800000000003E-2</v>
      </c>
      <c r="T1979">
        <v>-9.6914890000000004E-2</v>
      </c>
      <c r="U1979">
        <v>-3.0770870000000001</v>
      </c>
      <c r="V1979">
        <v>-8.6505769999999996E-2</v>
      </c>
      <c r="W1979">
        <v>0.18713160000000001</v>
      </c>
      <c r="X1979">
        <v>0.97851849999999996</v>
      </c>
      <c r="Y1979">
        <v>1.3382420000000001E-2</v>
      </c>
      <c r="Z1979">
        <v>1.624037E-2</v>
      </c>
      <c r="AA1979">
        <v>0.99977859999999996</v>
      </c>
      <c r="AB1979">
        <v>26</v>
      </c>
      <c r="AC1979">
        <v>0.39269999999999</v>
      </c>
      <c r="AD1979">
        <v>-1.1164315865576999</v>
      </c>
      <c r="AE1979">
        <v>-35.220299999999902</v>
      </c>
      <c r="AF1979">
        <v>0.481736840459906</v>
      </c>
      <c r="AG1979">
        <v>-1.1164315865576999</v>
      </c>
      <c r="AH1979">
        <v>35.183839866087197</v>
      </c>
      <c r="AI1979">
        <v>91.817293768372195</v>
      </c>
      <c r="AJ1979">
        <v>89.215555684923999</v>
      </c>
      <c r="AK1979">
        <v>35.204844518807199</v>
      </c>
      <c r="AL1979">
        <v>79.214564901493006</v>
      </c>
      <c r="AM1979">
        <v>95.052090060618696</v>
      </c>
      <c r="AN1979">
        <v>0.99999996940205005</v>
      </c>
    </row>
    <row r="1980" spans="1:40" x14ac:dyDescent="0.25">
      <c r="A1980" t="str">
        <f>"20190304155402855"</f>
        <v>20190304155402855</v>
      </c>
      <c r="B1980" t="str">
        <f>"1551686042848726"</f>
        <v>1551686042848726</v>
      </c>
      <c r="C1980" t="s">
        <v>40</v>
      </c>
      <c r="D1980">
        <v>4.4299860000000004</v>
      </c>
      <c r="E1980">
        <v>0.53222729999999996</v>
      </c>
      <c r="F1980" t="s">
        <v>51</v>
      </c>
      <c r="G1980">
        <v>-491.6893</v>
      </c>
      <c r="H1980" s="1">
        <v>5.7791689999999999E-6</v>
      </c>
      <c r="I1980">
        <v>228.1</v>
      </c>
      <c r="J1980">
        <v>-492.26639999999998</v>
      </c>
      <c r="K1980">
        <v>1.115885</v>
      </c>
      <c r="L1980">
        <v>264.77170000000001</v>
      </c>
      <c r="M1980">
        <v>3.1838230000000002E-2</v>
      </c>
      <c r="N1980">
        <v>-1.51025E-2</v>
      </c>
      <c r="O1980">
        <v>-0.99937909999999996</v>
      </c>
      <c r="P1980">
        <v>0.1077596</v>
      </c>
      <c r="Q1980">
        <v>0.1759416</v>
      </c>
      <c r="R1980">
        <v>-0.97848500000000005</v>
      </c>
      <c r="S1980">
        <v>4.925537E-2</v>
      </c>
      <c r="T1980">
        <v>-9.3042970000000003E-2</v>
      </c>
      <c r="U1980">
        <v>-3.075745</v>
      </c>
      <c r="V1980">
        <v>-7.9060000000000005E-2</v>
      </c>
      <c r="W1980">
        <v>0.1897161</v>
      </c>
      <c r="X1980">
        <v>0.97865069999999998</v>
      </c>
      <c r="Y1980">
        <v>1.5830219999999999E-2</v>
      </c>
      <c r="Z1980">
        <v>1.511471E-2</v>
      </c>
      <c r="AA1980">
        <v>0.99976039999999999</v>
      </c>
      <c r="AB1980">
        <v>26</v>
      </c>
      <c r="AC1980">
        <v>0.57709999999997297</v>
      </c>
      <c r="AD1980">
        <v>-1.115879220831</v>
      </c>
      <c r="AE1980">
        <v>-36.671700000000001</v>
      </c>
      <c r="AF1980">
        <v>0.59034115728038405</v>
      </c>
      <c r="AG1980">
        <v>-1.115879220831</v>
      </c>
      <c r="AH1980">
        <v>36.637565468346502</v>
      </c>
      <c r="AI1980">
        <v>91.744305875506399</v>
      </c>
      <c r="AJ1980">
        <v>89.076872887834696</v>
      </c>
      <c r="AK1980">
        <v>36.659308402707701</v>
      </c>
      <c r="AL1980">
        <v>79.063782719140207</v>
      </c>
      <c r="AM1980">
        <v>94.618592362062302</v>
      </c>
      <c r="AN1980">
        <v>0.99999993740484805</v>
      </c>
    </row>
    <row r="1981" spans="1:40" x14ac:dyDescent="0.25">
      <c r="A1981" t="str">
        <f>"20190304155402878"</f>
        <v>20190304155402878</v>
      </c>
      <c r="B1981" t="str">
        <f>"1551686042868248"</f>
        <v>1551686042868248</v>
      </c>
      <c r="C1981" t="s">
        <v>40</v>
      </c>
      <c r="D1981">
        <v>4.6037730000000003</v>
      </c>
      <c r="E1981">
        <v>0.53237409999999996</v>
      </c>
      <c r="F1981" t="s">
        <v>51</v>
      </c>
      <c r="G1981">
        <v>-491.5874</v>
      </c>
      <c r="H1981" s="1">
        <v>4.094909E-6</v>
      </c>
      <c r="I1981">
        <v>222.3569</v>
      </c>
      <c r="J1981">
        <v>-492.25009999999997</v>
      </c>
      <c r="K1981">
        <v>1.1152610000000001</v>
      </c>
      <c r="L1981">
        <v>264.51530000000002</v>
      </c>
      <c r="M1981">
        <v>3.862877E-2</v>
      </c>
      <c r="N1981">
        <v>-1.496722E-2</v>
      </c>
      <c r="O1981">
        <v>-0.99914159999999996</v>
      </c>
      <c r="P1981">
        <v>0.1085945</v>
      </c>
      <c r="Q1981">
        <v>0.17856459999999999</v>
      </c>
      <c r="R1981">
        <v>-0.97791719999999904</v>
      </c>
      <c r="S1981">
        <v>4.9224850000000001E-2</v>
      </c>
      <c r="T1981">
        <v>-8.0902219999999997E-2</v>
      </c>
      <c r="U1981">
        <v>-3.0751040000000001</v>
      </c>
      <c r="V1981">
        <v>-7.2978370000000001E-2</v>
      </c>
      <c r="W1981">
        <v>0.1923966</v>
      </c>
      <c r="X1981">
        <v>0.97859980000000002</v>
      </c>
      <c r="Y1981">
        <v>2.2628639999999998E-2</v>
      </c>
      <c r="Z1981">
        <v>1.130483E-2</v>
      </c>
      <c r="AA1981">
        <v>0.99968000000000001</v>
      </c>
      <c r="AB1981">
        <v>26</v>
      </c>
      <c r="AC1981">
        <v>0.66269999999997198</v>
      </c>
      <c r="AD1981">
        <v>-1.115256905091</v>
      </c>
      <c r="AE1981">
        <v>-42.1584</v>
      </c>
      <c r="AF1981">
        <v>0.96582846428626601</v>
      </c>
      <c r="AG1981">
        <v>-1.115256905091</v>
      </c>
      <c r="AH1981">
        <v>42.123058406247097</v>
      </c>
      <c r="AI1981">
        <v>91.516219691701195</v>
      </c>
      <c r="AJ1981">
        <v>88.686510373457395</v>
      </c>
      <c r="AK1981">
        <v>42.148886961376398</v>
      </c>
      <c r="AL1981">
        <v>78.907319046156303</v>
      </c>
      <c r="AM1981">
        <v>94.264896718339799</v>
      </c>
      <c r="AN1981">
        <v>0.99999993136972598</v>
      </c>
    </row>
    <row r="1982" spans="1:40" x14ac:dyDescent="0.25">
      <c r="A1982" t="str">
        <f>"20190304155402900"</f>
        <v>20190304155402900</v>
      </c>
      <c r="B1982" t="str">
        <f>"1551686042898501"</f>
        <v>1551686042898501</v>
      </c>
      <c r="C1982" t="s">
        <v>40</v>
      </c>
      <c r="D1982">
        <v>4.4622380000000001</v>
      </c>
      <c r="E1982">
        <v>0.53217490000000001</v>
      </c>
      <c r="F1982" t="s">
        <v>51</v>
      </c>
      <c r="G1982">
        <v>-491.4692</v>
      </c>
      <c r="H1982" s="1">
        <v>3.0650139999999998E-6</v>
      </c>
      <c r="I1982">
        <v>214.9982</v>
      </c>
      <c r="J1982">
        <v>-492.23329999999999</v>
      </c>
      <c r="K1982">
        <v>1.11463</v>
      </c>
      <c r="L1982">
        <v>264.26280000000003</v>
      </c>
      <c r="M1982">
        <v>4.4444879999999999E-2</v>
      </c>
      <c r="N1982">
        <v>-1.484251E-2</v>
      </c>
      <c r="O1982">
        <v>-0.99890159999999995</v>
      </c>
      <c r="P1982">
        <v>0.10665470000000001</v>
      </c>
      <c r="Q1982">
        <v>0.17893580000000001</v>
      </c>
      <c r="R1982">
        <v>-0.97806289999999996</v>
      </c>
      <c r="S1982">
        <v>4.8492430000000003E-2</v>
      </c>
      <c r="T1982">
        <v>-6.9258210000000001E-2</v>
      </c>
      <c r="U1982">
        <v>-3.075043</v>
      </c>
      <c r="V1982">
        <v>-6.5018339999999994E-2</v>
      </c>
      <c r="W1982">
        <v>0.1928444</v>
      </c>
      <c r="X1982">
        <v>0.97907290000000002</v>
      </c>
      <c r="Y1982">
        <v>2.8684620000000001E-2</v>
      </c>
      <c r="Z1982">
        <v>7.6415490000000001E-3</v>
      </c>
      <c r="AA1982">
        <v>0.99955930000000004</v>
      </c>
      <c r="AB1982">
        <v>26</v>
      </c>
      <c r="AC1982">
        <v>0.76409999999998401</v>
      </c>
      <c r="AD1982">
        <v>-1.1146269349860001</v>
      </c>
      <c r="AE1982">
        <v>-49.264600000000002</v>
      </c>
      <c r="AF1982">
        <v>1.42572595668802</v>
      </c>
      <c r="AG1982">
        <v>-1.1146269349860001</v>
      </c>
      <c r="AH1982">
        <v>49.224679656237903</v>
      </c>
      <c r="AI1982">
        <v>91.2966209466679</v>
      </c>
      <c r="AJ1982">
        <v>88.340969415845194</v>
      </c>
      <c r="AK1982">
        <v>49.257935147212699</v>
      </c>
      <c r="AL1982">
        <v>78.881173636724398</v>
      </c>
      <c r="AM1982">
        <v>93.799323545778194</v>
      </c>
      <c r="AN1982">
        <v>1.00000004533106</v>
      </c>
    </row>
    <row r="1983" spans="1:40" x14ac:dyDescent="0.25">
      <c r="A1983" t="str">
        <f>"20190304155402921"</f>
        <v>20190304155402921</v>
      </c>
      <c r="B1983" t="str">
        <f>"1551686042918021"</f>
        <v>1551686042918021</v>
      </c>
      <c r="C1983" t="s">
        <v>40</v>
      </c>
      <c r="D1983">
        <v>4.4224709999999998</v>
      </c>
      <c r="E1983">
        <v>0.53231070000000003</v>
      </c>
      <c r="F1983" t="s">
        <v>51</v>
      </c>
      <c r="G1983">
        <v>-491.48129999999998</v>
      </c>
      <c r="H1983" s="1">
        <v>2.8941279999999999E-6</v>
      </c>
      <c r="I1983">
        <v>211.13800000000001</v>
      </c>
      <c r="J1983">
        <v>-492.21690000000001</v>
      </c>
      <c r="K1983">
        <v>1.1140380000000001</v>
      </c>
      <c r="L1983">
        <v>264.0224</v>
      </c>
      <c r="M1983">
        <v>4.916686E-2</v>
      </c>
      <c r="N1983">
        <v>-1.473437E-2</v>
      </c>
      <c r="O1983">
        <v>-0.99868190000000001</v>
      </c>
      <c r="P1983">
        <v>0.10381029999999999</v>
      </c>
      <c r="Q1983">
        <v>0.1789029</v>
      </c>
      <c r="R1983">
        <v>-0.97837470000000004</v>
      </c>
      <c r="S1983">
        <v>4.3518069999999999E-2</v>
      </c>
      <c r="T1983">
        <v>-6.4502950000000003E-2</v>
      </c>
      <c r="U1983">
        <v>-3.0743100000000001</v>
      </c>
      <c r="V1983">
        <v>-5.7232110000000003E-2</v>
      </c>
      <c r="W1983">
        <v>0.1928734</v>
      </c>
      <c r="X1983">
        <v>0.97955309999999995</v>
      </c>
      <c r="Y1983">
        <v>3.5021469999999999E-2</v>
      </c>
      <c r="Z1983">
        <v>6.2028459999999997E-3</v>
      </c>
      <c r="AA1983">
        <v>0.99936729999999996</v>
      </c>
      <c r="AB1983">
        <v>25</v>
      </c>
      <c r="AC1983">
        <v>0.73560000000003301</v>
      </c>
      <c r="AD1983">
        <v>-1.1140351058719999</v>
      </c>
      <c r="AE1983">
        <v>-52.884399999999999</v>
      </c>
      <c r="AF1983">
        <v>1.86490460582396</v>
      </c>
      <c r="AG1983">
        <v>-1.1140351058719999</v>
      </c>
      <c r="AH1983">
        <v>52.8331572404757</v>
      </c>
      <c r="AI1983">
        <v>91.207202946163605</v>
      </c>
      <c r="AJ1983">
        <v>87.978413087264997</v>
      </c>
      <c r="AK1983">
        <v>52.877797300972802</v>
      </c>
      <c r="AL1983">
        <v>78.879479412256302</v>
      </c>
      <c r="AM1983">
        <v>93.343805089095099</v>
      </c>
      <c r="AN1983">
        <v>0.99999996928111001</v>
      </c>
    </row>
    <row r="1984" spans="1:40" x14ac:dyDescent="0.25">
      <c r="A1984" t="str">
        <f>"20190304155402943"</f>
        <v>20190304155402943</v>
      </c>
      <c r="B1984" t="str">
        <f>"1551686042938517"</f>
        <v>1551686042938517</v>
      </c>
      <c r="C1984" t="s">
        <v>40</v>
      </c>
      <c r="D1984">
        <v>4.4163779999999999</v>
      </c>
      <c r="E1984">
        <v>0.53232489999999999</v>
      </c>
      <c r="F1984" t="s">
        <v>51</v>
      </c>
      <c r="G1984">
        <v>-491.59769999999997</v>
      </c>
      <c r="H1984" s="1">
        <v>2.7089189999999999E-6</v>
      </c>
      <c r="I1984">
        <v>208.8758</v>
      </c>
      <c r="J1984">
        <v>-492.19979999999998</v>
      </c>
      <c r="K1984">
        <v>1.113467</v>
      </c>
      <c r="L1984">
        <v>263.77659999999997</v>
      </c>
      <c r="M1984">
        <v>5.3174390000000002E-2</v>
      </c>
      <c r="N1984">
        <v>-1.463392E-2</v>
      </c>
      <c r="O1984">
        <v>-0.99847819999999998</v>
      </c>
      <c r="P1984">
        <v>0.1019714</v>
      </c>
      <c r="Q1984">
        <v>0.18058109999999999</v>
      </c>
      <c r="R1984">
        <v>-0.97826000000000002</v>
      </c>
      <c r="S1984">
        <v>3.4515379999999998E-2</v>
      </c>
      <c r="T1984">
        <v>-6.2099580000000001E-2</v>
      </c>
      <c r="U1984">
        <v>-3.074036</v>
      </c>
      <c r="V1984">
        <v>-5.1193700000000002E-2</v>
      </c>
      <c r="W1984">
        <v>0.1945762</v>
      </c>
      <c r="X1984">
        <v>0.97955049999999999</v>
      </c>
      <c r="Y1984">
        <v>4.1954739999999997E-2</v>
      </c>
      <c r="Z1984">
        <v>5.5160919999999898E-3</v>
      </c>
      <c r="AA1984">
        <v>0.99910429999999995</v>
      </c>
      <c r="AB1984">
        <v>25</v>
      </c>
      <c r="AC1984">
        <v>0.60210000000000696</v>
      </c>
      <c r="AD1984">
        <v>-1.113464291081</v>
      </c>
      <c r="AE1984">
        <v>-54.900799999999897</v>
      </c>
      <c r="AF1984">
        <v>2.31742751428474</v>
      </c>
      <c r="AG1984">
        <v>-1.113464291081</v>
      </c>
      <c r="AH1984">
        <v>54.832579897446401</v>
      </c>
      <c r="AI1984">
        <v>91.162286360294104</v>
      </c>
      <c r="AJ1984">
        <v>87.579908817520206</v>
      </c>
      <c r="AK1984">
        <v>54.8928236768825</v>
      </c>
      <c r="AL1984">
        <v>78.7800318418209</v>
      </c>
      <c r="AM1984">
        <v>92.991695463174395</v>
      </c>
      <c r="AN1984">
        <v>0.99999993728818803</v>
      </c>
    </row>
    <row r="1985" spans="1:40" x14ac:dyDescent="0.25">
      <c r="A1985" t="str">
        <f>"20190304155402966"</f>
        <v>20190304155402966</v>
      </c>
      <c r="B1985" t="str">
        <f>"1551686042959013"</f>
        <v>1551686042959013</v>
      </c>
      <c r="C1985" t="s">
        <v>40</v>
      </c>
      <c r="D1985">
        <v>4.6281140000000001</v>
      </c>
      <c r="E1985">
        <v>0.53255710000000001</v>
      </c>
      <c r="F1985" t="s">
        <v>51</v>
      </c>
      <c r="G1985">
        <v>-491.64120000000003</v>
      </c>
      <c r="H1985" s="1">
        <v>5.0892529999999999E-7</v>
      </c>
      <c r="I1985">
        <v>201.25909999999999</v>
      </c>
      <c r="J1985">
        <v>-492.18130000000002</v>
      </c>
      <c r="K1985">
        <v>1.112959</v>
      </c>
      <c r="L1985">
        <v>263.51620000000003</v>
      </c>
      <c r="M1985">
        <v>5.6715960000000003E-2</v>
      </c>
      <c r="N1985">
        <v>-1.4537370000000001E-2</v>
      </c>
      <c r="O1985">
        <v>-0.99828479999999997</v>
      </c>
      <c r="P1985">
        <v>0.1007391</v>
      </c>
      <c r="Q1985">
        <v>0.18141789999999999</v>
      </c>
      <c r="R1985">
        <v>-0.97823300000000002</v>
      </c>
      <c r="S1985">
        <v>2.7465819999999998E-2</v>
      </c>
      <c r="T1985">
        <v>-5.4747339999999999E-2</v>
      </c>
      <c r="U1985">
        <v>-3.0738829999999999</v>
      </c>
      <c r="V1985">
        <v>-4.6235980000000003E-2</v>
      </c>
      <c r="W1985">
        <v>0.195412</v>
      </c>
      <c r="X1985">
        <v>0.97963080000000002</v>
      </c>
      <c r="Y1985">
        <v>4.7787999999999997E-2</v>
      </c>
      <c r="Z1985">
        <v>3.2208789999999998E-3</v>
      </c>
      <c r="AA1985">
        <v>0.99885230000000003</v>
      </c>
      <c r="AB1985">
        <v>25</v>
      </c>
      <c r="AC1985">
        <v>0.54009999999999503</v>
      </c>
      <c r="AD1985">
        <v>-1.1129584910746999</v>
      </c>
      <c r="AE1985">
        <v>-62.257100000000001</v>
      </c>
      <c r="AF1985">
        <v>2.9911570519880799</v>
      </c>
      <c r="AG1985">
        <v>-1.1129584910746999</v>
      </c>
      <c r="AH1985">
        <v>62.167636449199698</v>
      </c>
      <c r="AI1985">
        <v>91.024445469690605</v>
      </c>
      <c r="AJ1985">
        <v>87.245373642233204</v>
      </c>
      <c r="AK1985">
        <v>62.249503763422702</v>
      </c>
      <c r="AL1985">
        <v>78.7312081996687</v>
      </c>
      <c r="AM1985">
        <v>92.702203814521596</v>
      </c>
      <c r="AN1985">
        <v>1.00000005994959</v>
      </c>
    </row>
    <row r="1986" spans="1:40" x14ac:dyDescent="0.25">
      <c r="A1986" t="str">
        <f>"20190304155402990"</f>
        <v>20190304155402990</v>
      </c>
      <c r="B1986" t="str">
        <f>"1551686042978533"</f>
        <v>1551686042978533</v>
      </c>
      <c r="C1986" t="s">
        <v>40</v>
      </c>
      <c r="D1986">
        <v>4.4171329999999998</v>
      </c>
      <c r="E1986">
        <v>0.53292130000000004</v>
      </c>
      <c r="F1986" t="s">
        <v>46</v>
      </c>
      <c r="G1986">
        <v>-491.70830000000001</v>
      </c>
      <c r="H1986" s="1">
        <v>-1.2967490000000001E-6</v>
      </c>
      <c r="I1986">
        <v>191.5523</v>
      </c>
      <c r="J1986">
        <v>-492.1628</v>
      </c>
      <c r="K1986">
        <v>1.112528</v>
      </c>
      <c r="L1986">
        <v>263.25670000000002</v>
      </c>
      <c r="M1986">
        <v>5.9588219999999997E-2</v>
      </c>
      <c r="N1986">
        <v>-1.4449780000000001E-2</v>
      </c>
      <c r="O1986">
        <v>-0.99811859999999997</v>
      </c>
      <c r="P1986">
        <v>9.7398769999999996E-2</v>
      </c>
      <c r="Q1986">
        <v>0.18034030000000001</v>
      </c>
      <c r="R1986">
        <v>-0.97877029999999998</v>
      </c>
      <c r="S1986">
        <v>2.0202640000000001E-2</v>
      </c>
      <c r="T1986">
        <v>-4.7533150000000003E-2</v>
      </c>
      <c r="U1986">
        <v>-3.0734859999999999</v>
      </c>
      <c r="V1986">
        <v>-3.9828240000000001E-2</v>
      </c>
      <c r="W1986">
        <v>0.1943349</v>
      </c>
      <c r="X1986">
        <v>0.98012639999999995</v>
      </c>
      <c r="Y1986">
        <v>5.3020310000000001E-2</v>
      </c>
      <c r="Z1986">
        <v>9.6460820000000001E-4</v>
      </c>
      <c r="AA1986">
        <v>0.99859299999999995</v>
      </c>
      <c r="AB1986">
        <v>25</v>
      </c>
      <c r="AC1986">
        <v>0.45449999999999502</v>
      </c>
      <c r="AD1986">
        <v>-1.1125292967489999</v>
      </c>
      <c r="AE1986">
        <v>-71.704400000000007</v>
      </c>
      <c r="AF1986">
        <v>3.81857165937737</v>
      </c>
      <c r="AG1986">
        <v>-1.1125292967489999</v>
      </c>
      <c r="AH1986">
        <v>71.5868110113135</v>
      </c>
      <c r="AI1986">
        <v>90.889097171415401</v>
      </c>
      <c r="AJ1986">
        <v>86.946631918462103</v>
      </c>
      <c r="AK1986">
        <v>71.697215578594395</v>
      </c>
      <c r="AL1986">
        <v>78.794127650896996</v>
      </c>
      <c r="AM1986">
        <v>92.326980724067894</v>
      </c>
      <c r="AN1986">
        <v>1.0000000510182301</v>
      </c>
    </row>
    <row r="1987" spans="1:40" x14ac:dyDescent="0.25">
      <c r="A1987" t="str">
        <f>"20190304155403012"</f>
        <v>20190304155403012</v>
      </c>
      <c r="B1987" t="str">
        <f>"1551686043008789"</f>
        <v>1551686043008789</v>
      </c>
      <c r="C1987" t="s">
        <v>40</v>
      </c>
      <c r="D1987">
        <v>4.5431280000000003</v>
      </c>
      <c r="E1987">
        <v>0.53244320000000001</v>
      </c>
      <c r="F1987" t="s">
        <v>46</v>
      </c>
      <c r="G1987">
        <v>-491.98950000000002</v>
      </c>
      <c r="H1987" s="1">
        <v>-1.3164819999999999E-6</v>
      </c>
      <c r="I1987">
        <v>191.4239</v>
      </c>
      <c r="J1987">
        <v>-492.14519999999999</v>
      </c>
      <c r="K1987">
        <v>1.1121399999999999</v>
      </c>
      <c r="L1987">
        <v>263.00979999999998</v>
      </c>
      <c r="M1987">
        <v>6.1715190000000003E-2</v>
      </c>
      <c r="N1987">
        <v>-1.43742E-2</v>
      </c>
      <c r="O1987">
        <v>-0.99799040000000006</v>
      </c>
      <c r="P1987">
        <v>9.3540150000000002E-2</v>
      </c>
      <c r="Q1987">
        <v>0.1780098</v>
      </c>
      <c r="R1987">
        <v>-0.97957289999999997</v>
      </c>
      <c r="S1987">
        <v>7.4157709999999998E-3</v>
      </c>
      <c r="T1987">
        <v>-4.759526E-2</v>
      </c>
      <c r="U1987">
        <v>-3.0730900000000001</v>
      </c>
      <c r="V1987">
        <v>-3.3639019999999999E-2</v>
      </c>
      <c r="W1987">
        <v>0.19200030000000001</v>
      </c>
      <c r="X1987">
        <v>0.98081819999999997</v>
      </c>
      <c r="Y1987">
        <v>5.9300110000000003E-2</v>
      </c>
      <c r="Z1987">
        <v>1.054964E-3</v>
      </c>
      <c r="AA1987">
        <v>0.9982396</v>
      </c>
      <c r="AB1987">
        <v>25</v>
      </c>
      <c r="AC1987">
        <v>0.155699999999967</v>
      </c>
      <c r="AD1987">
        <v>-1.112141316482</v>
      </c>
      <c r="AE1987">
        <v>-71.585899999999896</v>
      </c>
      <c r="AF1987">
        <v>4.2619616096681696</v>
      </c>
      <c r="AG1987">
        <v>-1.112141316482</v>
      </c>
      <c r="AH1987">
        <v>71.441781775186698</v>
      </c>
      <c r="AI1987">
        <v>90.890274523611893</v>
      </c>
      <c r="AJ1987">
        <v>86.585984573515404</v>
      </c>
      <c r="AK1987">
        <v>71.577436097442799</v>
      </c>
      <c r="AL1987">
        <v>78.930457738000896</v>
      </c>
      <c r="AM1987">
        <v>91.964297458270707</v>
      </c>
      <c r="AN1987">
        <v>1.0000000201589401</v>
      </c>
    </row>
    <row r="1988" spans="1:40" x14ac:dyDescent="0.25">
      <c r="A1988" t="str">
        <f>"20190304155403035"</f>
        <v>20190304155403035</v>
      </c>
      <c r="B1988" t="str">
        <f>"1551686043028309"</f>
        <v>1551686043028309</v>
      </c>
      <c r="C1988" t="s">
        <v>40</v>
      </c>
      <c r="D1988">
        <v>4.5389999999999997</v>
      </c>
      <c r="E1988">
        <v>0.53215170000000001</v>
      </c>
      <c r="F1988" t="s">
        <v>51</v>
      </c>
      <c r="G1988">
        <v>-492.154</v>
      </c>
      <c r="H1988" s="1">
        <v>1.249329E-6</v>
      </c>
      <c r="I1988">
        <v>203.82470000000001</v>
      </c>
      <c r="J1988">
        <v>-492.1266</v>
      </c>
      <c r="K1988">
        <v>1.1117079999999999</v>
      </c>
      <c r="L1988">
        <v>262.74880000000002</v>
      </c>
      <c r="M1988">
        <v>6.3339199999999998E-2</v>
      </c>
      <c r="N1988">
        <v>-1.430317E-2</v>
      </c>
      <c r="O1988">
        <v>-0.99788980000000005</v>
      </c>
      <c r="P1988">
        <v>9.1100799999999996E-2</v>
      </c>
      <c r="Q1988">
        <v>0.176341</v>
      </c>
      <c r="R1988">
        <v>-0.98010450000000005</v>
      </c>
      <c r="S1988">
        <v>-4.577637E-4</v>
      </c>
      <c r="T1988">
        <v>-5.7745930000000001E-2</v>
      </c>
      <c r="U1988">
        <v>-3.0730900000000001</v>
      </c>
      <c r="V1988">
        <v>-2.93659E-2</v>
      </c>
      <c r="W1988">
        <v>0.19031439999999999</v>
      </c>
      <c r="X1988">
        <v>0.98128389999999999</v>
      </c>
      <c r="Y1988">
        <v>6.3479270000000004E-2</v>
      </c>
      <c r="Z1988">
        <v>4.4093520000000001E-3</v>
      </c>
      <c r="AA1988">
        <v>0.99797340000000001</v>
      </c>
      <c r="AB1988">
        <v>25</v>
      </c>
      <c r="AC1988">
        <v>-2.7400000000000001E-2</v>
      </c>
      <c r="AD1988">
        <v>-1.1117067506710001</v>
      </c>
      <c r="AE1988">
        <v>-58.924100000000003</v>
      </c>
      <c r="AF1988">
        <v>3.7585933540830201</v>
      </c>
      <c r="AG1988">
        <v>-1.1117067506710001</v>
      </c>
      <c r="AH1988">
        <v>58.783099806895102</v>
      </c>
      <c r="AI1988">
        <v>91.0812419163138</v>
      </c>
      <c r="AJ1988">
        <v>86.341486265488598</v>
      </c>
      <c r="AK1988">
        <v>58.913629482558903</v>
      </c>
      <c r="AL1988">
        <v>79.028867320629999</v>
      </c>
      <c r="AM1988">
        <v>91.714121800880207</v>
      </c>
      <c r="AN1988">
        <v>1.0000000096646899</v>
      </c>
    </row>
    <row r="1989" spans="1:40" x14ac:dyDescent="0.25">
      <c r="A1989" t="str">
        <f>"20190304155403058"</f>
        <v>20190304155403058</v>
      </c>
      <c r="B1989" t="str">
        <f>"1551686043048806"</f>
        <v>1551686043048806</v>
      </c>
      <c r="C1989" t="s">
        <v>40</v>
      </c>
      <c r="D1989">
        <v>4.568111</v>
      </c>
      <c r="E1989">
        <v>0.53200829999999999</v>
      </c>
      <c r="F1989" t="s">
        <v>51</v>
      </c>
      <c r="G1989">
        <v>-492.22739999999999</v>
      </c>
      <c r="H1989" s="1">
        <v>2.719157E-6</v>
      </c>
      <c r="I1989">
        <v>210.1627</v>
      </c>
      <c r="J1989">
        <v>-492.10829999999999</v>
      </c>
      <c r="K1989">
        <v>1.111256</v>
      </c>
      <c r="L1989">
        <v>262.48849999999999</v>
      </c>
      <c r="M1989">
        <v>6.4354179999999997E-2</v>
      </c>
      <c r="N1989">
        <v>-1.424249E-2</v>
      </c>
      <c r="O1989">
        <v>-0.99782559999999998</v>
      </c>
      <c r="P1989">
        <v>8.7710280000000002E-2</v>
      </c>
      <c r="Q1989">
        <v>0.176099799999999</v>
      </c>
      <c r="R1989">
        <v>-0.98045689999999996</v>
      </c>
      <c r="S1989">
        <v>-5.8898930000000002E-3</v>
      </c>
      <c r="T1989">
        <v>-6.4967750000000005E-2</v>
      </c>
      <c r="U1989">
        <v>-3.0731199999999999</v>
      </c>
      <c r="V1989">
        <v>-2.4746210000000001E-2</v>
      </c>
      <c r="W1989">
        <v>0.190056</v>
      </c>
      <c r="X1989">
        <v>0.98146129999999998</v>
      </c>
      <c r="Y1989">
        <v>6.625644E-2</v>
      </c>
      <c r="Z1989">
        <v>6.8046309999999898E-3</v>
      </c>
      <c r="AA1989">
        <v>0.99777939999999998</v>
      </c>
      <c r="AB1989">
        <v>25</v>
      </c>
      <c r="AC1989">
        <v>-0.119100000000003</v>
      </c>
      <c r="AD1989">
        <v>-1.111253280843</v>
      </c>
      <c r="AE1989">
        <v>-52.325800000000001</v>
      </c>
      <c r="AF1989">
        <v>3.4850064148884301</v>
      </c>
      <c r="AG1989">
        <v>-1.111253280843</v>
      </c>
      <c r="AH1989">
        <v>52.186110823506901</v>
      </c>
      <c r="AI1989">
        <v>91.217164224762399</v>
      </c>
      <c r="AJ1989">
        <v>86.179440822438707</v>
      </c>
      <c r="AK1989">
        <v>52.314150250666799</v>
      </c>
      <c r="AL1989">
        <v>79.043947363349602</v>
      </c>
      <c r="AM1989">
        <v>91.444329032989302</v>
      </c>
      <c r="AN1989">
        <v>0.99999997072152602</v>
      </c>
    </row>
    <row r="1990" spans="1:40" x14ac:dyDescent="0.25">
      <c r="A1990" t="str">
        <f>"20190304155403080"</f>
        <v>20190304155403080</v>
      </c>
      <c r="B1990" t="str">
        <f>"1551686043068325"</f>
        <v>1551686043068325</v>
      </c>
      <c r="C1990" t="s">
        <v>40</v>
      </c>
      <c r="D1990">
        <v>4.5230399999999999</v>
      </c>
      <c r="E1990">
        <v>0.53186109999999998</v>
      </c>
      <c r="F1990" t="s">
        <v>51</v>
      </c>
      <c r="G1990">
        <v>-492.3759</v>
      </c>
      <c r="H1990" s="1">
        <v>2.7327999999999999E-6</v>
      </c>
      <c r="I1990">
        <v>211.07740000000001</v>
      </c>
      <c r="J1990">
        <v>-492.0917</v>
      </c>
      <c r="K1990">
        <v>1.110822</v>
      </c>
      <c r="L1990">
        <v>262.24520000000001</v>
      </c>
      <c r="M1990">
        <v>6.4755170000000001E-2</v>
      </c>
      <c r="N1990">
        <v>-1.419483E-2</v>
      </c>
      <c r="O1990">
        <v>-0.99780049999999998</v>
      </c>
      <c r="P1990">
        <v>8.5021810000000003E-2</v>
      </c>
      <c r="Q1990">
        <v>0.17644409999999999</v>
      </c>
      <c r="R1990">
        <v>-0.9806319</v>
      </c>
      <c r="S1990">
        <v>-1.5991209999999999E-2</v>
      </c>
      <c r="T1990">
        <v>-6.6425559999999995E-2</v>
      </c>
      <c r="U1990">
        <v>-3.0731199999999999</v>
      </c>
      <c r="V1990">
        <v>-2.1453280000000002E-2</v>
      </c>
      <c r="W1990">
        <v>0.19038179999999999</v>
      </c>
      <c r="X1990">
        <v>0.98147569999999995</v>
      </c>
      <c r="Y1990">
        <v>6.9935449999999996E-2</v>
      </c>
      <c r="Z1990">
        <v>7.3192519999999896E-3</v>
      </c>
      <c r="AA1990">
        <v>0.99752470000000004</v>
      </c>
      <c r="AB1990">
        <v>25</v>
      </c>
      <c r="AC1990">
        <v>-0.28419999999999801</v>
      </c>
      <c r="AD1990">
        <v>-1.1108192671999999</v>
      </c>
      <c r="AE1990">
        <v>-51.1678</v>
      </c>
      <c r="AF1990">
        <v>3.5956213644166</v>
      </c>
      <c r="AG1990">
        <v>-1.1108192671999999</v>
      </c>
      <c r="AH1990">
        <v>51.017937414871199</v>
      </c>
      <c r="AI1990">
        <v>91.244225059957799</v>
      </c>
      <c r="AJ1990">
        <v>85.968597406086204</v>
      </c>
      <c r="AK1990">
        <v>51.156547484250197</v>
      </c>
      <c r="AL1990">
        <v>79.0249336834015</v>
      </c>
      <c r="AM1990">
        <v>91.252182501382507</v>
      </c>
      <c r="AN1990">
        <v>1.00000001134224</v>
      </c>
    </row>
    <row r="1991" spans="1:40" x14ac:dyDescent="0.25">
      <c r="A1991" t="str">
        <f>"20190304155403103"</f>
        <v>20190304155403103</v>
      </c>
      <c r="B1991" t="str">
        <f>"1551686043098582"</f>
        <v>1551686043098582</v>
      </c>
      <c r="C1991" t="s">
        <v>40</v>
      </c>
      <c r="D1991">
        <v>4.5484980000000004</v>
      </c>
      <c r="E1991">
        <v>0.53175399999999995</v>
      </c>
      <c r="F1991" t="s">
        <v>51</v>
      </c>
      <c r="G1991">
        <v>-492.4821</v>
      </c>
      <c r="H1991" s="1">
        <v>2.701559E-6</v>
      </c>
      <c r="I1991">
        <v>210.7937</v>
      </c>
      <c r="J1991">
        <v>-492.07530000000003</v>
      </c>
      <c r="K1991">
        <v>1.1103799999999999</v>
      </c>
      <c r="L1991">
        <v>261.9966</v>
      </c>
      <c r="M1991">
        <v>6.4590099999999998E-2</v>
      </c>
      <c r="N1991">
        <v>-1.415422E-2</v>
      </c>
      <c r="O1991">
        <v>-0.99781160000000002</v>
      </c>
      <c r="P1991">
        <v>8.156186E-2</v>
      </c>
      <c r="Q1991">
        <v>0.17558579999999999</v>
      </c>
      <c r="R1991">
        <v>-0.98107960000000005</v>
      </c>
      <c r="S1991">
        <v>-2.3315430000000002E-2</v>
      </c>
      <c r="T1991">
        <v>-6.634951E-2</v>
      </c>
      <c r="U1991">
        <v>-3.0732119999999998</v>
      </c>
      <c r="V1991">
        <v>-1.792842E-2</v>
      </c>
      <c r="W1991">
        <v>0.1895087</v>
      </c>
      <c r="X1991">
        <v>0.98171529999999996</v>
      </c>
      <c r="Y1991">
        <v>7.2146840000000004E-2</v>
      </c>
      <c r="Z1991">
        <v>7.3320019999999998E-3</v>
      </c>
      <c r="AA1991">
        <v>0.99736709999999995</v>
      </c>
      <c r="AB1991">
        <v>25</v>
      </c>
      <c r="AC1991">
        <v>-0.40679999999997501</v>
      </c>
      <c r="AD1991">
        <v>-1.1103772984410001</v>
      </c>
      <c r="AE1991">
        <v>-51.2029</v>
      </c>
      <c r="AF1991">
        <v>3.7117363709064</v>
      </c>
      <c r="AG1991">
        <v>-1.1103772984410001</v>
      </c>
      <c r="AH1991">
        <v>51.045678862498598</v>
      </c>
      <c r="AI1991">
        <v>91.242856515218406</v>
      </c>
      <c r="AJ1991">
        <v>85.841113196674499</v>
      </c>
      <c r="AK1991">
        <v>51.192492175760897</v>
      </c>
      <c r="AL1991">
        <v>79.075885591193696</v>
      </c>
      <c r="AM1991">
        <v>91.0462387871098</v>
      </c>
      <c r="AN1991">
        <v>0.99999995293673705</v>
      </c>
    </row>
    <row r="1992" spans="1:40" x14ac:dyDescent="0.25">
      <c r="A1992" t="str">
        <f>"20190304155403123"</f>
        <v>20190304155403123</v>
      </c>
      <c r="B1992" t="str">
        <f>"1551686043118101"</f>
        <v>1551686043118101</v>
      </c>
      <c r="C1992" t="s">
        <v>40</v>
      </c>
      <c r="D1992">
        <v>4.5598089999999996</v>
      </c>
      <c r="E1992">
        <v>0.53168890000000002</v>
      </c>
      <c r="F1992" t="s">
        <v>51</v>
      </c>
      <c r="G1992">
        <v>-492.59210000000002</v>
      </c>
      <c r="H1992" s="1">
        <v>2.817549E-6</v>
      </c>
      <c r="I1992">
        <v>213.8939</v>
      </c>
      <c r="J1992">
        <v>-492.06020000000001</v>
      </c>
      <c r="K1992">
        <v>1.1099779999999999</v>
      </c>
      <c r="L1992">
        <v>261.75560000000002</v>
      </c>
      <c r="M1992">
        <v>6.3850560000000001E-2</v>
      </c>
      <c r="N1992">
        <v>-1.412244E-2</v>
      </c>
      <c r="O1992">
        <v>-0.99785970000000002</v>
      </c>
      <c r="P1992">
        <v>7.8471289999999999E-2</v>
      </c>
      <c r="Q1992">
        <v>0.175154</v>
      </c>
      <c r="R1992">
        <v>-0.98140930000000004</v>
      </c>
      <c r="S1992">
        <v>-3.3020019999999997E-2</v>
      </c>
      <c r="T1992">
        <v>-7.0941809999999994E-2</v>
      </c>
      <c r="U1992">
        <v>-3.0732729999999999</v>
      </c>
      <c r="V1992">
        <v>-1.536675E-2</v>
      </c>
      <c r="W1992">
        <v>0.18906149999999999</v>
      </c>
      <c r="X1992">
        <v>0.98184499999999997</v>
      </c>
      <c r="Y1992">
        <v>7.4554910000000002E-2</v>
      </c>
      <c r="Z1992">
        <v>8.8480840000000009E-3</v>
      </c>
      <c r="AA1992">
        <v>0.99717769999999994</v>
      </c>
      <c r="AB1992">
        <v>25</v>
      </c>
      <c r="AC1992">
        <v>-0.53190000000000703</v>
      </c>
      <c r="AD1992">
        <v>-1.109975182451</v>
      </c>
      <c r="AE1992">
        <v>-47.861699999999999</v>
      </c>
      <c r="AF1992">
        <v>3.58518707563353</v>
      </c>
      <c r="AG1992">
        <v>-1.109975182451</v>
      </c>
      <c r="AH1992">
        <v>47.704397853530502</v>
      </c>
      <c r="AI1992">
        <v>91.329157774161601</v>
      </c>
      <c r="AJ1992">
        <v>85.702059726795696</v>
      </c>
      <c r="AK1992">
        <v>47.851804415725702</v>
      </c>
      <c r="AL1992">
        <v>79.101980469467904</v>
      </c>
      <c r="AM1992">
        <v>90.896656846587305</v>
      </c>
      <c r="AN1992">
        <v>0.99999999590640598</v>
      </c>
    </row>
    <row r="1993" spans="1:40" x14ac:dyDescent="0.25">
      <c r="A1993" t="str">
        <f>"20190304155403146"</f>
        <v>20190304155403146</v>
      </c>
      <c r="B1993" t="str">
        <f>"1551686043138598"</f>
        <v>1551686043138598</v>
      </c>
      <c r="C1993" t="s">
        <v>40</v>
      </c>
      <c r="D1993">
        <v>4.5484359999999997</v>
      </c>
      <c r="E1993">
        <v>0.53163099999999996</v>
      </c>
      <c r="F1993" t="s">
        <v>51</v>
      </c>
      <c r="G1993">
        <v>-492.68770000000001</v>
      </c>
      <c r="H1993" s="1">
        <v>2.8573580000000001E-6</v>
      </c>
      <c r="I1993">
        <v>215.19239999999999</v>
      </c>
      <c r="J1993">
        <v>-492.04500000000002</v>
      </c>
      <c r="K1993">
        <v>1.1096239999999999</v>
      </c>
      <c r="L1993">
        <v>261.50060000000002</v>
      </c>
      <c r="M1993">
        <v>6.257451E-2</v>
      </c>
      <c r="N1993">
        <v>-1.409448E-2</v>
      </c>
      <c r="O1993">
        <v>-0.99794099999999997</v>
      </c>
      <c r="P1993">
        <v>7.6493320000000004E-2</v>
      </c>
      <c r="Q1993">
        <v>0.1748709</v>
      </c>
      <c r="R1993">
        <v>-0.98161580000000004</v>
      </c>
      <c r="S1993">
        <v>-4.1412350000000001E-2</v>
      </c>
      <c r="T1993">
        <v>-7.3259350000000001E-2</v>
      </c>
      <c r="U1993">
        <v>-3.0732119999999998</v>
      </c>
      <c r="V1993">
        <v>-1.447618E-2</v>
      </c>
      <c r="W1993">
        <v>0.18876329999999999</v>
      </c>
      <c r="X1993">
        <v>0.98191589999999995</v>
      </c>
      <c r="Y1993">
        <v>7.6001699999999894E-2</v>
      </c>
      <c r="Z1993">
        <v>9.6268770000000007E-3</v>
      </c>
      <c r="AA1993">
        <v>0.99706119999999998</v>
      </c>
      <c r="AB1993">
        <v>25</v>
      </c>
      <c r="AC1993">
        <v>-0.64269999999998995</v>
      </c>
      <c r="AD1993">
        <v>-1.109621142642</v>
      </c>
      <c r="AE1993">
        <v>-46.308199999999999</v>
      </c>
      <c r="AF1993">
        <v>3.5374097137096001</v>
      </c>
      <c r="AG1993">
        <v>-1.109621142642</v>
      </c>
      <c r="AH1993">
        <v>46.150718127449998</v>
      </c>
      <c r="AI1993">
        <v>91.373294531883602</v>
      </c>
      <c r="AJ1993">
        <v>85.616901951897503</v>
      </c>
      <c r="AK1993">
        <v>46.299387795544199</v>
      </c>
      <c r="AL1993">
        <v>79.119379279720604</v>
      </c>
      <c r="AM1993">
        <v>90.844638459949294</v>
      </c>
      <c r="AN1993">
        <v>0.99999998894354603</v>
      </c>
    </row>
    <row r="1994" spans="1:40" x14ac:dyDescent="0.25">
      <c r="A1994" t="str">
        <f>"20190304155403167"</f>
        <v>20190304155403167</v>
      </c>
      <c r="B1994" t="str">
        <f>"1551686043158121"</f>
        <v>1551686043158121</v>
      </c>
      <c r="C1994" t="s">
        <v>40</v>
      </c>
      <c r="D1994">
        <v>4.5947279999999999</v>
      </c>
      <c r="E1994">
        <v>0.53152319999999997</v>
      </c>
      <c r="F1994" t="s">
        <v>51</v>
      </c>
      <c r="G1994">
        <v>-492.7543</v>
      </c>
      <c r="H1994" s="1">
        <v>2.868197E-6</v>
      </c>
      <c r="I1994">
        <v>215.7107</v>
      </c>
      <c r="J1994">
        <v>-492.03109999999998</v>
      </c>
      <c r="K1994">
        <v>1.109343</v>
      </c>
      <c r="L1994">
        <v>261.25490000000002</v>
      </c>
      <c r="M1994">
        <v>6.09161999999999E-2</v>
      </c>
      <c r="N1994">
        <v>-1.407101E-2</v>
      </c>
      <c r="O1994">
        <v>-0.99804369999999998</v>
      </c>
      <c r="P1994">
        <v>7.4970300000000004E-2</v>
      </c>
      <c r="Q1994">
        <v>0.17409530000000001</v>
      </c>
      <c r="R1994">
        <v>-0.9818711</v>
      </c>
      <c r="S1994">
        <v>-4.7607419999999998E-2</v>
      </c>
      <c r="T1994">
        <v>-7.4472780000000002E-2</v>
      </c>
      <c r="U1994">
        <v>-3.0732119999999998</v>
      </c>
      <c r="V1994">
        <v>-1.4447969999999999E-2</v>
      </c>
      <c r="W1994">
        <v>0.18797700000000001</v>
      </c>
      <c r="X1994">
        <v>0.98206720000000003</v>
      </c>
      <c r="Y1994">
        <v>7.6354019999999995E-2</v>
      </c>
      <c r="Z1994">
        <v>1.004555E-2</v>
      </c>
      <c r="AA1994">
        <v>0.99703010000000003</v>
      </c>
      <c r="AB1994">
        <v>25</v>
      </c>
      <c r="AC1994">
        <v>-0.72320000000001905</v>
      </c>
      <c r="AD1994">
        <v>-1.1093401318030001</v>
      </c>
      <c r="AE1994">
        <v>-45.544199999999996</v>
      </c>
      <c r="AF1994">
        <v>3.4944382783462502</v>
      </c>
      <c r="AG1994">
        <v>-1.1093401318030001</v>
      </c>
      <c r="AH1994">
        <v>45.3886218122177</v>
      </c>
      <c r="AI1994">
        <v>91.395953999400604</v>
      </c>
      <c r="AJ1994">
        <v>85.597522609122606</v>
      </c>
      <c r="AK1994">
        <v>45.536454895190602</v>
      </c>
      <c r="AL1994">
        <v>79.1652527336974</v>
      </c>
      <c r="AM1994">
        <v>90.842862880037799</v>
      </c>
      <c r="AN1994">
        <v>1.0000000408409699</v>
      </c>
    </row>
    <row r="1995" spans="1:40" x14ac:dyDescent="0.25">
      <c r="A1995" t="str">
        <f>"20190304155403190"</f>
        <v>20190304155403190</v>
      </c>
      <c r="B1995" t="str">
        <f>"1551686043188374"</f>
        <v>1551686043188374</v>
      </c>
      <c r="C1995" t="s">
        <v>40</v>
      </c>
      <c r="D1995">
        <v>4.5592030000000001</v>
      </c>
      <c r="E1995">
        <v>0.53139399999999903</v>
      </c>
      <c r="F1995" t="s">
        <v>51</v>
      </c>
      <c r="G1995">
        <v>-492.78179999999998</v>
      </c>
      <c r="H1995" s="1">
        <v>2.9185399999999999E-6</v>
      </c>
      <c r="I1995">
        <v>216.97380000000001</v>
      </c>
      <c r="J1995">
        <v>-492.0181</v>
      </c>
      <c r="K1995">
        <v>1.1091009999999999</v>
      </c>
      <c r="L1995">
        <v>261.00720000000001</v>
      </c>
      <c r="M1995">
        <v>5.8866799999999997E-2</v>
      </c>
      <c r="N1995">
        <v>-1.405052E-2</v>
      </c>
      <c r="O1995">
        <v>-0.99816700000000003</v>
      </c>
      <c r="P1995">
        <v>7.2963929999999996E-2</v>
      </c>
      <c r="Q1995">
        <v>0.17408560000000001</v>
      </c>
      <c r="R1995">
        <v>-0.98202350000000005</v>
      </c>
      <c r="S1995">
        <v>-5.2093510000000003E-2</v>
      </c>
      <c r="T1995">
        <v>-7.6986189999999996E-2</v>
      </c>
      <c r="U1995">
        <v>-3.073029</v>
      </c>
      <c r="V1995">
        <v>-1.434641E-2</v>
      </c>
      <c r="W1995">
        <v>0.1879555</v>
      </c>
      <c r="X1995">
        <v>0.98207279999999997</v>
      </c>
      <c r="Y1995">
        <v>7.5762319999999994E-2</v>
      </c>
      <c r="Z1995">
        <v>1.0885830000000001E-2</v>
      </c>
      <c r="AA1995">
        <v>0.99706649999999997</v>
      </c>
      <c r="AB1995">
        <v>25</v>
      </c>
      <c r="AC1995">
        <v>-0.76369999999997096</v>
      </c>
      <c r="AD1995">
        <v>-1.10909808146</v>
      </c>
      <c r="AE1995">
        <v>-44.0334</v>
      </c>
      <c r="AF1995">
        <v>3.3526102006376002</v>
      </c>
      <c r="AG1995">
        <v>-1.10909808146</v>
      </c>
      <c r="AH1995">
        <v>43.884230647148897</v>
      </c>
      <c r="AI1995">
        <v>91.443538949618201</v>
      </c>
      <c r="AJ1995">
        <v>85.631277881657994</v>
      </c>
      <c r="AK1995">
        <v>44.026080829479703</v>
      </c>
      <c r="AL1995">
        <v>79.166506906341297</v>
      </c>
      <c r="AM1995">
        <v>90.836934166406294</v>
      </c>
      <c r="AN1995">
        <v>1.00000003697998</v>
      </c>
    </row>
    <row r="1996" spans="1:40" x14ac:dyDescent="0.25">
      <c r="A1996" t="str">
        <f>"20190304155403213"</f>
        <v>20190304155403213</v>
      </c>
      <c r="B1996" t="str">
        <f>"1551686043208869"</f>
        <v>1551686043208869</v>
      </c>
      <c r="C1996" t="s">
        <v>40</v>
      </c>
      <c r="D1996">
        <v>4.579917</v>
      </c>
      <c r="E1996">
        <v>0.53139060000000005</v>
      </c>
      <c r="F1996" t="s">
        <v>51</v>
      </c>
      <c r="G1996">
        <v>-492.83769999999998</v>
      </c>
      <c r="H1996" s="1">
        <v>2.9155330000000001E-6</v>
      </c>
      <c r="I1996">
        <v>217.1319</v>
      </c>
      <c r="J1996">
        <v>-492.00529999999998</v>
      </c>
      <c r="K1996">
        <v>1.108897</v>
      </c>
      <c r="L1996">
        <v>260.74869999999999</v>
      </c>
      <c r="M1996">
        <v>5.6406930000000001E-2</v>
      </c>
      <c r="N1996">
        <v>-1.403339E-2</v>
      </c>
      <c r="O1996">
        <v>-0.99830929999999996</v>
      </c>
      <c r="P1996">
        <v>7.0028720000000003E-2</v>
      </c>
      <c r="Q1996">
        <v>0.174533299999999</v>
      </c>
      <c r="R1996">
        <v>-0.98215799999999998</v>
      </c>
      <c r="S1996">
        <v>-5.7403559999999999E-2</v>
      </c>
      <c r="T1996">
        <v>-7.767963E-2</v>
      </c>
      <c r="U1996">
        <v>-3.0729679999999999</v>
      </c>
      <c r="V1996">
        <v>-1.373225E-2</v>
      </c>
      <c r="W1996">
        <v>0.188391</v>
      </c>
      <c r="X1996">
        <v>0.98199809999999998</v>
      </c>
      <c r="Y1996">
        <v>7.5027930000000007E-2</v>
      </c>
      <c r="Z1996">
        <v>1.113334E-2</v>
      </c>
      <c r="AA1996">
        <v>0.99711930000000004</v>
      </c>
      <c r="AB1996">
        <v>25</v>
      </c>
      <c r="AC1996">
        <v>-0.83240000000000602</v>
      </c>
      <c r="AD1996">
        <v>-1.1088940844670001</v>
      </c>
      <c r="AE1996">
        <v>-43.616799999999898</v>
      </c>
      <c r="AF1996">
        <v>3.2894809500732101</v>
      </c>
      <c r="AG1996">
        <v>-1.1088940844670001</v>
      </c>
      <c r="AH1996">
        <v>43.472296193663801</v>
      </c>
      <c r="AI1996">
        <v>91.457024020868204</v>
      </c>
      <c r="AJ1996">
        <v>85.672763860891095</v>
      </c>
      <c r="AK1996">
        <v>43.610673777884898</v>
      </c>
      <c r="AL1996">
        <v>79.141100394812597</v>
      </c>
      <c r="AM1996">
        <v>90.801171292983398</v>
      </c>
      <c r="AN1996">
        <v>1.00000000598733</v>
      </c>
    </row>
    <row r="1997" spans="1:40" x14ac:dyDescent="0.25">
      <c r="A1997" t="str">
        <f>"20190304155403236"</f>
        <v>20190304155403236</v>
      </c>
      <c r="B1997" t="str">
        <f>"1551686043228391"</f>
        <v>1551686043228391</v>
      </c>
      <c r="C1997" t="s">
        <v>40</v>
      </c>
      <c r="D1997">
        <v>4.6056429999999997</v>
      </c>
      <c r="E1997">
        <v>0.53134169999999903</v>
      </c>
      <c r="F1997" t="s">
        <v>51</v>
      </c>
      <c r="G1997">
        <v>-492.9665</v>
      </c>
      <c r="H1997" s="1">
        <v>2.8567710000000002E-6</v>
      </c>
      <c r="I1997">
        <v>216.31039999999999</v>
      </c>
      <c r="J1997">
        <v>-491.99369999999999</v>
      </c>
      <c r="K1997">
        <v>1.1087309999999999</v>
      </c>
      <c r="L1997">
        <v>260.49380000000002</v>
      </c>
      <c r="M1997">
        <v>5.374222E-2</v>
      </c>
      <c r="N1997">
        <v>-1.4019759999999999E-2</v>
      </c>
      <c r="O1997">
        <v>-0.99845669999999997</v>
      </c>
      <c r="P1997">
        <v>6.7420620000000001E-2</v>
      </c>
      <c r="Q1997">
        <v>0.17641490000000001</v>
      </c>
      <c r="R1997">
        <v>-0.9820044</v>
      </c>
      <c r="S1997">
        <v>-6.6467289999999998E-2</v>
      </c>
      <c r="T1997">
        <v>-7.6679230000000001E-2</v>
      </c>
      <c r="U1997">
        <v>-3.0728759999999999</v>
      </c>
      <c r="V1997">
        <v>-1.3673380000000001E-2</v>
      </c>
      <c r="W1997">
        <v>0.1902605</v>
      </c>
      <c r="X1997">
        <v>0.98163840000000002</v>
      </c>
      <c r="Y1997">
        <v>7.5307059999999995E-2</v>
      </c>
      <c r="Z1997">
        <v>1.0827389999999999E-2</v>
      </c>
      <c r="AA1997">
        <v>0.99710160000000003</v>
      </c>
      <c r="AB1997">
        <v>25</v>
      </c>
      <c r="AC1997">
        <v>-0.97280000000000599</v>
      </c>
      <c r="AD1997">
        <v>-1.1087281432289999</v>
      </c>
      <c r="AE1997">
        <v>-44.183399999999999</v>
      </c>
      <c r="AF1997">
        <v>3.34403589507968</v>
      </c>
      <c r="AG1997">
        <v>-1.1087281432289999</v>
      </c>
      <c r="AH1997">
        <v>44.039531812784901</v>
      </c>
      <c r="AI1997">
        <v>91.438021515327705</v>
      </c>
      <c r="AJ1997">
        <v>85.657715557253695</v>
      </c>
      <c r="AK1997">
        <v>44.180224268924498</v>
      </c>
      <c r="AL1997">
        <v>79.032012752833595</v>
      </c>
      <c r="AM1997">
        <v>90.798029401139303</v>
      </c>
      <c r="AN1997">
        <v>0.99999998376771704</v>
      </c>
    </row>
    <row r="1998" spans="1:40" x14ac:dyDescent="0.25">
      <c r="A1998" t="str">
        <f>"20190304155403257"</f>
        <v>20190304155403257</v>
      </c>
      <c r="B1998" t="str">
        <f>"1551686043248885"</f>
        <v>1551686043248885</v>
      </c>
      <c r="C1998" t="s">
        <v>40</v>
      </c>
      <c r="D1998">
        <v>4.5842460000000003</v>
      </c>
      <c r="E1998">
        <v>0.53134159999999997</v>
      </c>
      <c r="F1998" t="s">
        <v>51</v>
      </c>
      <c r="G1998">
        <v>-493.13679999999999</v>
      </c>
      <c r="H1998" s="1">
        <v>2.6718890000000001E-6</v>
      </c>
      <c r="I1998">
        <v>212.77180000000001</v>
      </c>
      <c r="J1998">
        <v>-491.98379999999997</v>
      </c>
      <c r="K1998">
        <v>1.1086199999999999</v>
      </c>
      <c r="L1998">
        <v>260.25749999999999</v>
      </c>
      <c r="M1998">
        <v>5.1112829999999998E-2</v>
      </c>
      <c r="N1998">
        <v>-1.4008710000000001E-2</v>
      </c>
      <c r="O1998">
        <v>-0.9985948</v>
      </c>
      <c r="P1998">
        <v>6.4938979999999993E-2</v>
      </c>
      <c r="Q1998">
        <v>0.17876520000000001</v>
      </c>
      <c r="R1998">
        <v>-0.98174669999999997</v>
      </c>
      <c r="S1998">
        <v>-7.3608399999999893E-2</v>
      </c>
      <c r="T1998">
        <v>-7.1392300000000006E-2</v>
      </c>
      <c r="U1998">
        <v>-3.0728759999999999</v>
      </c>
      <c r="V1998">
        <v>-1.3732060000000001E-2</v>
      </c>
      <c r="W1998">
        <v>0.1925983</v>
      </c>
      <c r="X1998">
        <v>0.98118159999999999</v>
      </c>
      <c r="Y1998">
        <v>7.499865E-2</v>
      </c>
      <c r="Z1998">
        <v>9.1294229999999994E-3</v>
      </c>
      <c r="AA1998">
        <v>0.99714179999999997</v>
      </c>
      <c r="AB1998">
        <v>25</v>
      </c>
      <c r="AC1998">
        <v>-1.15300000000002</v>
      </c>
      <c r="AD1998">
        <v>-1.1086173281109999</v>
      </c>
      <c r="AE1998">
        <v>-47.485699999999902</v>
      </c>
      <c r="AF1998">
        <v>3.5769104374354699</v>
      </c>
      <c r="AG1998">
        <v>-1.1086173281109999</v>
      </c>
      <c r="AH1998">
        <v>47.338892757103601</v>
      </c>
      <c r="AI1998">
        <v>91.337737955193106</v>
      </c>
      <c r="AJ1998">
        <v>85.678961458197193</v>
      </c>
      <c r="AK1998">
        <v>47.486778034798</v>
      </c>
      <c r="AL1998">
        <v>78.895543040473896</v>
      </c>
      <c r="AM1998">
        <v>90.801826815795494</v>
      </c>
      <c r="AN1998">
        <v>1.0000000034066401</v>
      </c>
    </row>
    <row r="1999" spans="1:40" x14ac:dyDescent="0.25">
      <c r="A1999" t="str">
        <f>"20190304155403280"</f>
        <v>20190304155403280</v>
      </c>
      <c r="B1999" t="str">
        <f>"1551686043268405"</f>
        <v>1551686043268405</v>
      </c>
      <c r="C1999" t="s">
        <v>40</v>
      </c>
      <c r="D1999">
        <v>4.6086109999999998</v>
      </c>
      <c r="E1999">
        <v>0.5313312</v>
      </c>
      <c r="F1999" t="s">
        <v>51</v>
      </c>
      <c r="G1999">
        <v>-493.36599999999999</v>
      </c>
      <c r="H1999" s="1">
        <v>2.176706E-6</v>
      </c>
      <c r="I1999">
        <v>207.61859999999999</v>
      </c>
      <c r="J1999">
        <v>-491.9742</v>
      </c>
      <c r="K1999">
        <v>1.1085449999999999</v>
      </c>
      <c r="L1999">
        <v>260.00790000000001</v>
      </c>
      <c r="M1999">
        <v>4.8225190000000001E-2</v>
      </c>
      <c r="N1999">
        <v>-1.399771E-2</v>
      </c>
      <c r="O1999">
        <v>-0.99873829999999997</v>
      </c>
      <c r="P1999">
        <v>6.1865259999999998E-2</v>
      </c>
      <c r="Q1999">
        <v>0.18150279999999999</v>
      </c>
      <c r="R1999">
        <v>-0.98144219999999904</v>
      </c>
      <c r="S1999">
        <v>-8.0688480000000007E-2</v>
      </c>
      <c r="T1999">
        <v>-6.471789E-2</v>
      </c>
      <c r="U1999">
        <v>-3.0729060000000001</v>
      </c>
      <c r="V1999">
        <v>-1.346922E-2</v>
      </c>
      <c r="W1999">
        <v>0.19531979999999999</v>
      </c>
      <c r="X1999">
        <v>0.98064709999999999</v>
      </c>
      <c r="Y1999">
        <v>7.4412820000000005E-2</v>
      </c>
      <c r="Z1999">
        <v>6.9810360000000004E-3</v>
      </c>
      <c r="AA1999">
        <v>0.99720310000000001</v>
      </c>
      <c r="AB1999">
        <v>25</v>
      </c>
      <c r="AC1999">
        <v>-1.3917999999999799</v>
      </c>
      <c r="AD1999">
        <v>-1.108542823294</v>
      </c>
      <c r="AE1999">
        <v>-52.389299999999999</v>
      </c>
      <c r="AF1999">
        <v>3.9151603483678801</v>
      </c>
      <c r="AG1999">
        <v>-1.108542823294</v>
      </c>
      <c r="AH1999">
        <v>52.237833944972202</v>
      </c>
      <c r="AI1999">
        <v>91.212296243739601</v>
      </c>
      <c r="AJ1999">
        <v>85.713766675418299</v>
      </c>
      <c r="AK1999">
        <v>52.3960746908296</v>
      </c>
      <c r="AL1999">
        <v>78.736593860649194</v>
      </c>
      <c r="AM1999">
        <v>90.786909924697298</v>
      </c>
      <c r="AN1999">
        <v>0.99999998944892898</v>
      </c>
    </row>
    <row r="2000" spans="1:40" x14ac:dyDescent="0.25">
      <c r="A2000" t="str">
        <f>"20190304155403301"</f>
        <v>20190304155403301</v>
      </c>
      <c r="B2000" t="str">
        <f>"1551686043298662"</f>
        <v>1551686043298662</v>
      </c>
      <c r="C2000" t="s">
        <v>40</v>
      </c>
      <c r="D2000">
        <v>4.6352200000000003</v>
      </c>
      <c r="E2000">
        <v>0.53123949999999998</v>
      </c>
      <c r="F2000" t="s">
        <v>51</v>
      </c>
      <c r="G2000">
        <v>-493.72809999999998</v>
      </c>
      <c r="H2000" s="1">
        <v>1.5688310000000001E-7</v>
      </c>
      <c r="I2000">
        <v>200.12270000000001</v>
      </c>
      <c r="J2000">
        <v>-491.96559999999999</v>
      </c>
      <c r="K2000">
        <v>1.1085210000000001</v>
      </c>
      <c r="L2000">
        <v>259.7647</v>
      </c>
      <c r="M2000">
        <v>4.5342470000000003E-2</v>
      </c>
      <c r="N2000">
        <v>-1.398756E-2</v>
      </c>
      <c r="O2000">
        <v>-0.99887349999999997</v>
      </c>
      <c r="P2000">
        <v>5.9427019999999997E-2</v>
      </c>
      <c r="Q2000">
        <v>0.18350459999999999</v>
      </c>
      <c r="R2000">
        <v>-0.98122089999999995</v>
      </c>
      <c r="S2000">
        <v>-8.9996339999999994E-2</v>
      </c>
      <c r="T2000">
        <v>-5.6883099999999999E-2</v>
      </c>
      <c r="U2000">
        <v>-3.0729060000000001</v>
      </c>
      <c r="V2000">
        <v>-1.385544E-2</v>
      </c>
      <c r="W2000">
        <v>0.19730880000000001</v>
      </c>
      <c r="X2000">
        <v>0.98024339999999999</v>
      </c>
      <c r="Y2000">
        <v>7.4554599999999999E-2</v>
      </c>
      <c r="Z2000">
        <v>4.4534630000000004E-3</v>
      </c>
      <c r="AA2000">
        <v>0.99720699999999995</v>
      </c>
      <c r="AB2000">
        <v>25</v>
      </c>
      <c r="AC2000">
        <v>-1.76249999999998</v>
      </c>
      <c r="AD2000">
        <v>-1.10852084311689</v>
      </c>
      <c r="AE2000">
        <v>-59.642000000000003</v>
      </c>
      <c r="AF2000">
        <v>4.4637266490539602</v>
      </c>
      <c r="AG2000">
        <v>-1.10852084311689</v>
      </c>
      <c r="AH2000">
        <v>59.480192917620798</v>
      </c>
      <c r="AI2000">
        <v>91.064693559899197</v>
      </c>
      <c r="AJ2000">
        <v>85.708248718290406</v>
      </c>
      <c r="AK2000">
        <v>59.657749065603198</v>
      </c>
      <c r="AL2000">
        <v>78.620370261841302</v>
      </c>
      <c r="AM2000">
        <v>90.809804354140496</v>
      </c>
      <c r="AN2000">
        <v>0.99999992950929395</v>
      </c>
    </row>
    <row r="2001" spans="1:40" x14ac:dyDescent="0.25">
      <c r="A2001" t="str">
        <f>"20190304155403323"</f>
        <v>20190304155403323</v>
      </c>
      <c r="B2001" t="str">
        <f>"1551686043318182"</f>
        <v>1551686043318182</v>
      </c>
      <c r="C2001" t="s">
        <v>40</v>
      </c>
      <c r="D2001">
        <v>4.6229449999999996</v>
      </c>
      <c r="E2001">
        <v>0.53110900000000005</v>
      </c>
      <c r="F2001" t="s">
        <v>46</v>
      </c>
      <c r="G2001">
        <v>-494.03519999999997</v>
      </c>
      <c r="H2001" s="1">
        <v>-3.0028010000000001E-6</v>
      </c>
      <c r="I2001">
        <v>194.08590000000001</v>
      </c>
      <c r="J2001">
        <v>-491.95800000000003</v>
      </c>
      <c r="K2001">
        <v>1.108527</v>
      </c>
      <c r="L2001">
        <v>259.52480000000003</v>
      </c>
      <c r="M2001">
        <v>4.2474499999999998E-2</v>
      </c>
      <c r="N2001">
        <v>-1.3978279999999999E-2</v>
      </c>
      <c r="O2001">
        <v>-0.99899990000000005</v>
      </c>
      <c r="P2001">
        <v>5.7204310000000001E-2</v>
      </c>
      <c r="Q2001">
        <v>0.18457470000000001</v>
      </c>
      <c r="R2001">
        <v>-0.98115260000000004</v>
      </c>
      <c r="S2001">
        <v>-9.6832280000000007E-2</v>
      </c>
      <c r="T2001">
        <v>-5.1865460000000002E-2</v>
      </c>
      <c r="U2001">
        <v>-3.0729679999999999</v>
      </c>
      <c r="V2001">
        <v>-1.4456190000000001E-2</v>
      </c>
      <c r="W2001">
        <v>0.19836989999999999</v>
      </c>
      <c r="X2001">
        <v>0.98002060000000002</v>
      </c>
      <c r="Y2001">
        <v>7.3908429999999997E-2</v>
      </c>
      <c r="Z2001">
        <v>2.8381669999999999E-3</v>
      </c>
      <c r="AA2001">
        <v>0.99726099999999995</v>
      </c>
      <c r="AB2001">
        <v>25</v>
      </c>
      <c r="AC2001">
        <v>-2.07719999999994</v>
      </c>
      <c r="AD2001">
        <v>-1.1085300028009999</v>
      </c>
      <c r="AE2001">
        <v>-65.438900000000004</v>
      </c>
      <c r="AF2001">
        <v>4.8536894092563401</v>
      </c>
      <c r="AG2001">
        <v>-1.1085300028009999</v>
      </c>
      <c r="AH2001">
        <v>65.272884653982601</v>
      </c>
      <c r="AI2001">
        <v>90.970282887425498</v>
      </c>
      <c r="AJ2001">
        <v>85.747314596899201</v>
      </c>
      <c r="AK2001">
        <v>65.4624824666828</v>
      </c>
      <c r="AL2001">
        <v>78.558348467630196</v>
      </c>
      <c r="AM2001">
        <v>90.845103264009296</v>
      </c>
      <c r="AN2001">
        <v>0.99999998753984298</v>
      </c>
    </row>
    <row r="2002" spans="1:40" x14ac:dyDescent="0.25">
      <c r="A2002" t="str">
        <f>"20190304155403346"</f>
        <v>20190304155403346</v>
      </c>
      <c r="B2002" t="str">
        <f>"1551686043338677"</f>
        <v>1551686043338677</v>
      </c>
      <c r="C2002" t="s">
        <v>40</v>
      </c>
      <c r="D2002">
        <v>4.6229430000000002</v>
      </c>
      <c r="E2002">
        <v>0.53100899999999995</v>
      </c>
      <c r="F2002" t="s">
        <v>46</v>
      </c>
      <c r="G2002">
        <v>-494.25869999999998</v>
      </c>
      <c r="H2002" s="1">
        <v>-1.6084520000000001E-6</v>
      </c>
      <c r="I2002">
        <v>190.69710000000001</v>
      </c>
      <c r="J2002">
        <v>-491.95060000000001</v>
      </c>
      <c r="K2002">
        <v>1.1085560000000001</v>
      </c>
      <c r="L2002">
        <v>259.267</v>
      </c>
      <c r="M2002">
        <v>3.9401909999999998E-2</v>
      </c>
      <c r="N2002">
        <v>-1.396906E-2</v>
      </c>
      <c r="O2002">
        <v>-0.99912610000000002</v>
      </c>
      <c r="P2002">
        <v>5.5048180000000002E-2</v>
      </c>
      <c r="Q2002">
        <v>0.18529409999999999</v>
      </c>
      <c r="R2002">
        <v>-0.98114040000000002</v>
      </c>
      <c r="S2002">
        <v>-0.1027222</v>
      </c>
      <c r="T2002">
        <v>-4.9492719999999997E-2</v>
      </c>
      <c r="U2002">
        <v>-3.0729679999999999</v>
      </c>
      <c r="V2002">
        <v>-1.5333869999999999E-2</v>
      </c>
      <c r="W2002">
        <v>0.1990816</v>
      </c>
      <c r="X2002">
        <v>0.97986289999999998</v>
      </c>
      <c r="Y2002">
        <v>7.2751469999999999E-2</v>
      </c>
      <c r="Z2002">
        <v>2.081149E-3</v>
      </c>
      <c r="AA2002">
        <v>0.99734800000000001</v>
      </c>
      <c r="AB2002">
        <v>25</v>
      </c>
      <c r="AC2002">
        <v>-2.3080999999999601</v>
      </c>
      <c r="AD2002">
        <v>-1.1085576084519999</v>
      </c>
      <c r="AE2002">
        <v>-68.569899999999905</v>
      </c>
      <c r="AF2002">
        <v>5.0070479384853801</v>
      </c>
      <c r="AG2002">
        <v>-1.1085576084519999</v>
      </c>
      <c r="AH2002">
        <v>68.4078295575342</v>
      </c>
      <c r="AI2002">
        <v>90.9259276330191</v>
      </c>
      <c r="AJ2002">
        <v>85.813753418268206</v>
      </c>
      <c r="AK2002">
        <v>68.5997855230044</v>
      </c>
      <c r="AL2002">
        <v>78.516740852346501</v>
      </c>
      <c r="AM2002">
        <v>90.896548208411005</v>
      </c>
      <c r="AN2002">
        <v>0.999999956912072</v>
      </c>
    </row>
    <row r="2003" spans="1:40" x14ac:dyDescent="0.25">
      <c r="A2003" t="str">
        <f>"20190304155403367"</f>
        <v>20190304155403367</v>
      </c>
      <c r="B2003" t="str">
        <f>"1551686043358201"</f>
        <v>1551686043358201</v>
      </c>
      <c r="C2003" t="s">
        <v>40</v>
      </c>
      <c r="D2003">
        <v>4.6247410000000002</v>
      </c>
      <c r="E2003">
        <v>0.5309431</v>
      </c>
      <c r="F2003" t="s">
        <v>46</v>
      </c>
      <c r="G2003">
        <v>-494.4409</v>
      </c>
      <c r="H2003" s="1">
        <v>-4.7971589999999999E-6</v>
      </c>
      <c r="I2003">
        <v>188.76859999999999</v>
      </c>
      <c r="J2003">
        <v>-491.94409999999999</v>
      </c>
      <c r="K2003">
        <v>1.108592</v>
      </c>
      <c r="L2003">
        <v>259.01839999999999</v>
      </c>
      <c r="M2003">
        <v>3.6468090000000002E-2</v>
      </c>
      <c r="N2003">
        <v>-1.3960790000000001E-2</v>
      </c>
      <c r="O2003">
        <v>-0.99923729999999999</v>
      </c>
      <c r="P2003">
        <v>5.3493279999999997E-2</v>
      </c>
      <c r="Q2003">
        <v>0.18649489999999999</v>
      </c>
      <c r="R2003">
        <v>-0.98099860000000005</v>
      </c>
      <c r="S2003">
        <v>-0.10855099999999999</v>
      </c>
      <c r="T2003">
        <v>-4.8319819999999999E-2</v>
      </c>
      <c r="U2003">
        <v>-3.0728759999999999</v>
      </c>
      <c r="V2003">
        <v>-1.668095E-2</v>
      </c>
      <c r="W2003">
        <v>0.20027590000000001</v>
      </c>
      <c r="X2003">
        <v>0.97959750000000001</v>
      </c>
      <c r="Y2003">
        <v>7.1714040000000007E-2</v>
      </c>
      <c r="Z2003">
        <v>1.7122610000000001E-3</v>
      </c>
      <c r="AA2003">
        <v>0.99742379999999997</v>
      </c>
      <c r="AB2003">
        <v>25</v>
      </c>
      <c r="AC2003">
        <v>-2.4967999999999999</v>
      </c>
      <c r="AD2003">
        <v>-1.1085967971590001</v>
      </c>
      <c r="AE2003">
        <v>-70.249799999999993</v>
      </c>
      <c r="AF2003">
        <v>5.05600704110023</v>
      </c>
      <c r="AG2003">
        <v>-1.1085967971590001</v>
      </c>
      <c r="AH2003">
        <v>70.094565738549093</v>
      </c>
      <c r="AI2003">
        <v>90.903751462826804</v>
      </c>
      <c r="AJ2003">
        <v>85.874330382517599</v>
      </c>
      <c r="AK2003">
        <v>70.285420537506198</v>
      </c>
      <c r="AL2003">
        <v>78.446906347398098</v>
      </c>
      <c r="AM2003">
        <v>90.975559524573995</v>
      </c>
      <c r="AN2003">
        <v>0.99999997610998004</v>
      </c>
    </row>
    <row r="2004" spans="1:40" x14ac:dyDescent="0.25">
      <c r="A2004" t="str">
        <f>"20190304155403401"</f>
        <v>20190304155403401</v>
      </c>
      <c r="B2004" t="str">
        <f>"1551686043398214"</f>
        <v>1551686043398214</v>
      </c>
      <c r="C2004" t="s">
        <v>40</v>
      </c>
      <c r="D2004">
        <v>4.6379919999999997</v>
      </c>
      <c r="E2004">
        <v>0.5307866</v>
      </c>
      <c r="F2004" t="s">
        <v>46</v>
      </c>
      <c r="G2004">
        <v>-494.65949999999998</v>
      </c>
      <c r="H2004" s="1">
        <v>-3.474969E-6</v>
      </c>
      <c r="I2004">
        <v>184.79939999999999</v>
      </c>
      <c r="J2004">
        <v>-491.9359</v>
      </c>
      <c r="K2004">
        <v>1.1086229999999999</v>
      </c>
      <c r="L2004">
        <v>258.65339999999998</v>
      </c>
      <c r="M2004">
        <v>3.222183E-2</v>
      </c>
      <c r="N2004">
        <v>-1.3949690000000001E-2</v>
      </c>
      <c r="O2004">
        <v>-0.99938349999999998</v>
      </c>
      <c r="P2004">
        <v>5.0702669999999998E-2</v>
      </c>
      <c r="Q2004">
        <v>0.18439330000000001</v>
      </c>
      <c r="R2004">
        <v>-0.98154410000000003</v>
      </c>
      <c r="S2004">
        <v>-0.11242679999999999</v>
      </c>
      <c r="T2004">
        <v>-4.5900339999999998E-2</v>
      </c>
      <c r="U2004">
        <v>-3.0729679999999999</v>
      </c>
      <c r="V2004">
        <v>-1.8082210000000001E-2</v>
      </c>
      <c r="W2004">
        <v>0.19817360000000001</v>
      </c>
      <c r="X2004">
        <v>0.98000010000000004</v>
      </c>
      <c r="Y2004">
        <v>6.8731840000000002E-2</v>
      </c>
      <c r="Z2004">
        <v>9.430625E-4</v>
      </c>
      <c r="AA2004">
        <v>0.99763469999999999</v>
      </c>
      <c r="AB2004">
        <v>25</v>
      </c>
      <c r="AC2004">
        <v>-2.72359999999997</v>
      </c>
      <c r="AD2004">
        <v>-1.108626474969</v>
      </c>
      <c r="AE2004">
        <v>-73.8539999999999</v>
      </c>
      <c r="AF2004">
        <v>5.1009799651739103</v>
      </c>
      <c r="AG2004">
        <v>-1.108626474969</v>
      </c>
      <c r="AH2004">
        <v>73.711288419681594</v>
      </c>
      <c r="AI2004">
        <v>90.859614763688597</v>
      </c>
      <c r="AJ2004">
        <v>86.041319859005498</v>
      </c>
      <c r="AK2004">
        <v>73.8958935919689</v>
      </c>
      <c r="AL2004">
        <v>78.569823226507694</v>
      </c>
      <c r="AM2004">
        <v>91.057057820040299</v>
      </c>
      <c r="AN2004">
        <v>0.99999996902772603</v>
      </c>
    </row>
    <row r="2005" spans="1:40" x14ac:dyDescent="0.25">
      <c r="A2005" t="str">
        <f>"20190304155403426"</f>
        <v>20190304155403426</v>
      </c>
      <c r="B2005" t="str">
        <f>"1551686043418709"</f>
        <v>1551686043418709</v>
      </c>
      <c r="C2005" t="s">
        <v>40</v>
      </c>
      <c r="D2005">
        <v>4.5884280000000004</v>
      </c>
      <c r="E2005">
        <v>0.53084100000000001</v>
      </c>
      <c r="F2005" t="s">
        <v>46</v>
      </c>
      <c r="G2005">
        <v>-494.36419999999998</v>
      </c>
      <c r="H2005" s="1">
        <v>-3.9413260000000002E-6</v>
      </c>
      <c r="I2005">
        <v>196.2937</v>
      </c>
      <c r="J2005">
        <v>-491.93090000000001</v>
      </c>
      <c r="K2005">
        <v>1.1086480000000001</v>
      </c>
      <c r="L2005">
        <v>258.39049999999997</v>
      </c>
      <c r="M2005">
        <v>2.9208100000000001E-2</v>
      </c>
      <c r="N2005">
        <v>-1.394249E-2</v>
      </c>
      <c r="O2005">
        <v>-0.99947629999999998</v>
      </c>
      <c r="P2005">
        <v>4.888692E-2</v>
      </c>
      <c r="Q2005">
        <v>0.18289559999999999</v>
      </c>
      <c r="R2005">
        <v>-0.98191620000000002</v>
      </c>
      <c r="S2005">
        <v>-0.1196594</v>
      </c>
      <c r="T2005">
        <v>-5.4629089999999998E-2</v>
      </c>
      <c r="U2005">
        <v>-3.0728610000000001</v>
      </c>
      <c r="V2005">
        <v>-1.9241399999999999E-2</v>
      </c>
      <c r="W2005">
        <v>0.19667680000000001</v>
      </c>
      <c r="X2005">
        <v>0.98027960000000003</v>
      </c>
      <c r="Y2005">
        <v>6.8068119999999996E-2</v>
      </c>
      <c r="Z2005">
        <v>3.7864679999999999E-3</v>
      </c>
      <c r="AA2005">
        <v>0.99767349999999999</v>
      </c>
      <c r="AB2005">
        <v>25</v>
      </c>
      <c r="AC2005">
        <v>-2.4332999999999698</v>
      </c>
      <c r="AD2005">
        <v>-1.1086519413260001</v>
      </c>
      <c r="AE2005">
        <v>-62.096799999999902</v>
      </c>
      <c r="AF2005">
        <v>4.2448161835128397</v>
      </c>
      <c r="AG2005">
        <v>-1.1086519413260001</v>
      </c>
      <c r="AH2005">
        <v>61.979496686282403</v>
      </c>
      <c r="AI2005">
        <v>91.022368733012698</v>
      </c>
      <c r="AJ2005">
        <v>86.082077613341795</v>
      </c>
      <c r="AK2005">
        <v>62.134576389026002</v>
      </c>
      <c r="AL2005">
        <v>78.657306258560396</v>
      </c>
      <c r="AM2005">
        <v>91.124484750607706</v>
      </c>
      <c r="AN2005">
        <v>1.0000000446541699</v>
      </c>
    </row>
    <row r="2006" spans="1:40" x14ac:dyDescent="0.25">
      <c r="A2006" t="str">
        <f>"20190304155403447"</f>
        <v>20190304155403447</v>
      </c>
      <c r="B2006" t="str">
        <f>"1551686043438229"</f>
        <v>1551686043438229</v>
      </c>
      <c r="C2006" t="s">
        <v>40</v>
      </c>
      <c r="D2006">
        <v>4.6784670000000004</v>
      </c>
      <c r="E2006">
        <v>0.51034979999999996</v>
      </c>
      <c r="F2006" t="s">
        <v>51</v>
      </c>
      <c r="G2006">
        <v>-494.26119999999997</v>
      </c>
      <c r="H2006" s="1">
        <v>5.2730750000000001E-7</v>
      </c>
      <c r="I2006">
        <v>201.3185</v>
      </c>
      <c r="J2006">
        <v>-491.92700000000002</v>
      </c>
      <c r="K2006">
        <v>1.1086670000000001</v>
      </c>
      <c r="L2006">
        <v>258.14060000000001</v>
      </c>
      <c r="M2006">
        <v>2.6366009999999999E-2</v>
      </c>
      <c r="N2006">
        <v>-1.393604E-2</v>
      </c>
      <c r="O2006">
        <v>-0.99955519999999998</v>
      </c>
      <c r="P2006">
        <v>4.7093799999999998E-2</v>
      </c>
      <c r="Q2006">
        <v>0.18299560000000001</v>
      </c>
      <c r="R2006">
        <v>-0.98198529999999995</v>
      </c>
      <c r="S2006">
        <v>-0.12545780000000001</v>
      </c>
      <c r="T2006">
        <v>-5.9686900000000001E-2</v>
      </c>
      <c r="U2006">
        <v>-3.0726170000000002</v>
      </c>
      <c r="V2006">
        <v>-2.025393E-2</v>
      </c>
      <c r="W2006">
        <v>0.19677310000000001</v>
      </c>
      <c r="X2006">
        <v>0.98023979999999999</v>
      </c>
      <c r="Y2006">
        <v>6.7113160000000005E-2</v>
      </c>
      <c r="Z2006">
        <v>5.4388750000000001E-3</v>
      </c>
      <c r="AA2006">
        <v>0.99773060000000002</v>
      </c>
      <c r="AB2006">
        <v>25</v>
      </c>
      <c r="AC2006">
        <v>-2.3342000000000098</v>
      </c>
      <c r="AD2006">
        <v>-1.1086664726925</v>
      </c>
      <c r="AE2006">
        <v>-56.822099999999999</v>
      </c>
      <c r="AF2006">
        <v>3.8302502822684898</v>
      </c>
      <c r="AG2006">
        <v>-1.1086664726925</v>
      </c>
      <c r="AH2006">
        <v>56.719236937807104</v>
      </c>
      <c r="AI2006">
        <v>91.117249351892298</v>
      </c>
      <c r="AJ2006">
        <v>86.136681303444803</v>
      </c>
      <c r="AK2006">
        <v>56.859227899959997</v>
      </c>
      <c r="AL2006">
        <v>78.651677847574703</v>
      </c>
      <c r="AM2006">
        <v>91.183689547341501</v>
      </c>
      <c r="AN2006">
        <v>0.99999997003404695</v>
      </c>
    </row>
    <row r="2007" spans="1:40" x14ac:dyDescent="0.25">
      <c r="A2007" t="str">
        <f>"20190304155403469"</f>
        <v>20190304155403469</v>
      </c>
      <c r="B2007" t="str">
        <f>"1551686043458725"</f>
        <v>1551686043458725</v>
      </c>
      <c r="C2007" t="s">
        <v>40</v>
      </c>
      <c r="D2007">
        <v>4.6479509999999999</v>
      </c>
      <c r="E2007">
        <v>0.50451789999999996</v>
      </c>
      <c r="F2007" t="s">
        <v>51</v>
      </c>
      <c r="G2007">
        <v>-491.57870000000003</v>
      </c>
      <c r="H2007" s="1">
        <v>4.503071E-6</v>
      </c>
      <c r="I2007">
        <v>223.6695</v>
      </c>
      <c r="J2007">
        <v>-491.92380000000003</v>
      </c>
      <c r="K2007">
        <v>1.1086929999999999</v>
      </c>
      <c r="L2007">
        <v>257.90440000000001</v>
      </c>
      <c r="M2007">
        <v>2.369044E-2</v>
      </c>
      <c r="N2007">
        <v>-1.3930369999999999E-2</v>
      </c>
      <c r="O2007">
        <v>-0.99962240000000002</v>
      </c>
      <c r="P2007">
        <v>4.5987790000000001E-2</v>
      </c>
      <c r="Q2007">
        <v>0.1827635</v>
      </c>
      <c r="R2007">
        <v>-0.98208079999999998</v>
      </c>
      <c r="S2007">
        <v>3.1036379999999999E-2</v>
      </c>
      <c r="T2007">
        <v>-9.8800659999999998E-2</v>
      </c>
      <c r="U2007">
        <v>-3.0719599999999998</v>
      </c>
      <c r="V2007">
        <v>-2.178805E-2</v>
      </c>
      <c r="W2007">
        <v>0.19654170000000001</v>
      </c>
      <c r="X2007">
        <v>0.98025329999999999</v>
      </c>
      <c r="Y2007">
        <v>1.358907E-2</v>
      </c>
      <c r="Z2007">
        <v>1.8205010000000001E-2</v>
      </c>
      <c r="AA2007">
        <v>0.99974189999999996</v>
      </c>
      <c r="AB2007">
        <v>25</v>
      </c>
      <c r="AC2007">
        <v>0.34510000000000202</v>
      </c>
      <c r="AD2007">
        <v>-1.1086884969289901</v>
      </c>
      <c r="AE2007">
        <v>-34.234900000000003</v>
      </c>
      <c r="AF2007">
        <v>0.46562704080901501</v>
      </c>
      <c r="AG2007">
        <v>-1.1086884969289901</v>
      </c>
      <c r="AH2007">
        <v>34.197604371347403</v>
      </c>
      <c r="AI2007">
        <v>91.856710434302101</v>
      </c>
      <c r="AJ2007">
        <v>89.219921503158005</v>
      </c>
      <c r="AK2007">
        <v>34.2187396533472</v>
      </c>
      <c r="AL2007">
        <v>78.665199870264402</v>
      </c>
      <c r="AM2007">
        <v>91.273301288778995</v>
      </c>
      <c r="AN2007">
        <v>0.99999994556128902</v>
      </c>
    </row>
    <row r="2008" spans="1:40" x14ac:dyDescent="0.25">
      <c r="A2008" t="str">
        <f>"20190304155403491"</f>
        <v>20190304155403491</v>
      </c>
      <c r="B2008" t="str">
        <f>"1551686043488006"</f>
        <v>1551686043488006</v>
      </c>
      <c r="C2008" t="s">
        <v>40</v>
      </c>
      <c r="D2008">
        <v>4.6200700000000001</v>
      </c>
      <c r="E2008">
        <v>0.50649129999999998</v>
      </c>
      <c r="F2008" t="s">
        <v>51</v>
      </c>
      <c r="G2008">
        <v>-491.18810000000002</v>
      </c>
      <c r="H2008" s="1">
        <v>5.5914789999999998E-6</v>
      </c>
      <c r="I2008">
        <v>227.1353</v>
      </c>
      <c r="J2008">
        <v>-491.9212</v>
      </c>
      <c r="K2008">
        <v>1.1087149999999999</v>
      </c>
      <c r="L2008">
        <v>257.65269999999998</v>
      </c>
      <c r="M2008">
        <v>2.0850420000000001E-2</v>
      </c>
      <c r="N2008">
        <v>-1.3924890000000001E-2</v>
      </c>
      <c r="O2008">
        <v>-0.99968570000000001</v>
      </c>
      <c r="P2008">
        <v>4.5322899999999999E-2</v>
      </c>
      <c r="Q2008">
        <v>0.18311620000000001</v>
      </c>
      <c r="R2008">
        <v>-0.98204610000000003</v>
      </c>
      <c r="S2008">
        <v>7.3455809999999996E-2</v>
      </c>
      <c r="T2008">
        <v>-0.11068740000000001</v>
      </c>
      <c r="U2008">
        <v>-3.071869</v>
      </c>
      <c r="V2008">
        <v>-2.3924709999999998E-2</v>
      </c>
      <c r="W2008">
        <v>0.1968965</v>
      </c>
      <c r="X2008">
        <v>0.98013229999999996</v>
      </c>
      <c r="Y2008">
        <v>-3.047016E-3</v>
      </c>
      <c r="Z2008">
        <v>2.207638E-2</v>
      </c>
      <c r="AA2008">
        <v>0.99975159999999996</v>
      </c>
      <c r="AB2008">
        <v>25</v>
      </c>
      <c r="AC2008">
        <v>0.73309999999997899</v>
      </c>
      <c r="AD2008">
        <v>-1.1087094085210001</v>
      </c>
      <c r="AE2008">
        <v>-30.517399999999899</v>
      </c>
      <c r="AF2008">
        <v>-9.6451104175155497E-2</v>
      </c>
      <c r="AG2008">
        <v>-1.1087094085210001</v>
      </c>
      <c r="AH2008">
        <v>30.485836358892598</v>
      </c>
      <c r="AI2008">
        <v>92.082805513276696</v>
      </c>
      <c r="AJ2008">
        <v>90.181271810788303</v>
      </c>
      <c r="AK2008">
        <v>30.5061429530056</v>
      </c>
      <c r="AL2008">
        <v>78.644466520762407</v>
      </c>
      <c r="AM2008">
        <v>91.398293632168006</v>
      </c>
      <c r="AN2008">
        <v>0.99999997448206102</v>
      </c>
    </row>
    <row r="2009" spans="1:40" x14ac:dyDescent="0.25">
      <c r="A2009" t="str">
        <f>"20190304155403514"</f>
        <v>20190304155403514</v>
      </c>
      <c r="B2009" t="str">
        <f>"1551686043508502"</f>
        <v>1551686043508502</v>
      </c>
      <c r="C2009" t="s">
        <v>40</v>
      </c>
      <c r="D2009">
        <v>4.6306469999999997</v>
      </c>
      <c r="E2009">
        <v>0.50646840000000004</v>
      </c>
      <c r="F2009" t="s">
        <v>51</v>
      </c>
      <c r="G2009">
        <v>-491.34530000000001</v>
      </c>
      <c r="H2009" s="1">
        <v>5.169071E-6</v>
      </c>
      <c r="I2009">
        <v>225.8843</v>
      </c>
      <c r="J2009">
        <v>-491.91930000000002</v>
      </c>
      <c r="K2009">
        <v>1.108746</v>
      </c>
      <c r="L2009">
        <v>257.40660000000003</v>
      </c>
      <c r="M2009">
        <v>1.8082290000000001E-2</v>
      </c>
      <c r="N2009">
        <v>-1.3919799999999901E-2</v>
      </c>
      <c r="O2009">
        <v>-0.99973970000000001</v>
      </c>
      <c r="P2009">
        <v>4.4952310000000002E-2</v>
      </c>
      <c r="Q2009">
        <v>0.18331310000000001</v>
      </c>
      <c r="R2009">
        <v>-0.98202659999999997</v>
      </c>
      <c r="S2009">
        <v>5.569458E-2</v>
      </c>
      <c r="T2009">
        <v>-0.1072215</v>
      </c>
      <c r="U2009">
        <v>-3.0722659999999999</v>
      </c>
      <c r="V2009">
        <v>-2.6284680000000001E-2</v>
      </c>
      <c r="W2009">
        <v>0.19709660000000001</v>
      </c>
      <c r="X2009">
        <v>0.98003169999999995</v>
      </c>
      <c r="Y2009" s="1">
        <v>-3.7167360000000003E-5</v>
      </c>
      <c r="Z2009">
        <v>2.0954730000000001E-2</v>
      </c>
      <c r="AA2009">
        <v>0.99978040000000001</v>
      </c>
      <c r="AB2009">
        <v>25</v>
      </c>
      <c r="AC2009">
        <v>0.57400000000001195</v>
      </c>
      <c r="AD2009">
        <v>-1.1087408309289899</v>
      </c>
      <c r="AE2009">
        <v>-31.522300000000001</v>
      </c>
      <c r="AF2009">
        <v>-3.8508284066447402E-3</v>
      </c>
      <c r="AG2009">
        <v>-1.1087408309289899</v>
      </c>
      <c r="AH2009">
        <v>31.4885820498132</v>
      </c>
      <c r="AI2009">
        <v>92.016601946040197</v>
      </c>
      <c r="AJ2009">
        <v>90.007006864071499</v>
      </c>
      <c r="AK2009">
        <v>31.508096111426099</v>
      </c>
      <c r="AL2009">
        <v>78.632773276471198</v>
      </c>
      <c r="AM2009">
        <v>91.536317941743704</v>
      </c>
      <c r="AN2009">
        <v>1.00000004356957</v>
      </c>
    </row>
    <row r="2010" spans="1:40" x14ac:dyDescent="0.25">
      <c r="A2010" t="str">
        <f>"20190304155403537"</f>
        <v>20190304155403537</v>
      </c>
      <c r="B2010" t="str">
        <f>"1551686043528998"</f>
        <v>1551686043528998</v>
      </c>
      <c r="C2010" t="s">
        <v>40</v>
      </c>
      <c r="D2010">
        <v>4.6777040000000003</v>
      </c>
      <c r="E2010">
        <v>0.5069477</v>
      </c>
      <c r="F2010" t="s">
        <v>51</v>
      </c>
      <c r="G2010">
        <v>-491.33659999999998</v>
      </c>
      <c r="H2010" s="1">
        <v>4.8594579999999999E-6</v>
      </c>
      <c r="I2010">
        <v>224.87870000000001</v>
      </c>
      <c r="J2010">
        <v>-491.91800000000001</v>
      </c>
      <c r="K2010">
        <v>1.1087640000000001</v>
      </c>
      <c r="L2010">
        <v>257.16129999999998</v>
      </c>
      <c r="M2010">
        <v>1.53359E-2</v>
      </c>
      <c r="N2010">
        <v>-1.39148E-2</v>
      </c>
      <c r="O2010">
        <v>-0.9997857</v>
      </c>
      <c r="P2010">
        <v>4.4625480000000002E-2</v>
      </c>
      <c r="Q2010">
        <v>0.1835658</v>
      </c>
      <c r="R2010">
        <v>-0.98199420000000004</v>
      </c>
      <c r="S2010">
        <v>5.502319E-2</v>
      </c>
      <c r="T2010">
        <v>-0.1047111</v>
      </c>
      <c r="U2010">
        <v>-3.0719759999999998</v>
      </c>
      <c r="V2010">
        <v>-2.8666879999999999E-2</v>
      </c>
      <c r="W2010">
        <v>0.1973519</v>
      </c>
      <c r="X2010">
        <v>0.97991349999999999</v>
      </c>
      <c r="Y2010">
        <v>-2.5669439999999998E-3</v>
      </c>
      <c r="Z2010">
        <v>2.0149210000000001E-2</v>
      </c>
      <c r="AA2010">
        <v>0.99979370000000001</v>
      </c>
      <c r="AB2010">
        <v>25</v>
      </c>
      <c r="AC2010">
        <v>0.58140000000003</v>
      </c>
      <c r="AD2010">
        <v>-1.1087591405420001</v>
      </c>
      <c r="AE2010">
        <v>-32.282599999999903</v>
      </c>
      <c r="AF2010">
        <v>-8.6099484499315398E-2</v>
      </c>
      <c r="AG2010">
        <v>-1.1087591405420001</v>
      </c>
      <c r="AH2010">
        <v>32.249690295193801</v>
      </c>
      <c r="AI2010">
        <v>91.969072577439604</v>
      </c>
      <c r="AJ2010">
        <v>90.152966596401399</v>
      </c>
      <c r="AK2010">
        <v>32.268859355249603</v>
      </c>
      <c r="AL2010">
        <v>78.617852268649898</v>
      </c>
      <c r="AM2010">
        <v>91.675681490396499</v>
      </c>
      <c r="AN2010">
        <v>1.00000001496239</v>
      </c>
    </row>
    <row r="2011" spans="1:40" x14ac:dyDescent="0.25">
      <c r="A2011" t="str">
        <f>"20190304155403559"</f>
        <v>20190304155403559</v>
      </c>
      <c r="B2011" t="str">
        <f>"1551686043548518"</f>
        <v>1551686043548518</v>
      </c>
      <c r="C2011" t="s">
        <v>40</v>
      </c>
      <c r="D2011">
        <v>4.6100130000000004</v>
      </c>
      <c r="E2011">
        <v>0.50707919999999995</v>
      </c>
      <c r="F2011" t="s">
        <v>51</v>
      </c>
      <c r="G2011">
        <v>-491.37650000000002</v>
      </c>
      <c r="H2011" s="1">
        <v>4.5989390000000002E-6</v>
      </c>
      <c r="I2011">
        <v>223.86320000000001</v>
      </c>
      <c r="J2011">
        <v>-491.91739999999999</v>
      </c>
      <c r="K2011">
        <v>1.1087819999999999</v>
      </c>
      <c r="L2011">
        <v>256.916</v>
      </c>
      <c r="M2011">
        <v>1.26058E-2</v>
      </c>
      <c r="N2011">
        <v>-1.3909889999999999E-2</v>
      </c>
      <c r="O2011">
        <v>-0.99982389999999999</v>
      </c>
      <c r="P2011">
        <v>4.4974479999999997E-2</v>
      </c>
      <c r="Q2011">
        <v>0.18301319999999999</v>
      </c>
      <c r="R2011">
        <v>-0.98208119999999999</v>
      </c>
      <c r="S2011">
        <v>4.995728E-2</v>
      </c>
      <c r="T2011">
        <v>-0.10228810000000001</v>
      </c>
      <c r="U2011">
        <v>-3.0718990000000002</v>
      </c>
      <c r="V2011">
        <v>-3.1710729999999999E-2</v>
      </c>
      <c r="W2011">
        <v>0.1968068</v>
      </c>
      <c r="X2011">
        <v>0.9799293</v>
      </c>
      <c r="Y2011">
        <v>-3.6496219999999999E-3</v>
      </c>
      <c r="Z2011">
        <v>1.9369310000000001E-2</v>
      </c>
      <c r="AA2011">
        <v>0.99980570000000002</v>
      </c>
      <c r="AB2011">
        <v>25</v>
      </c>
      <c r="AC2011">
        <v>0.54089999999996496</v>
      </c>
      <c r="AD2011">
        <v>-1.1087774010610001</v>
      </c>
      <c r="AE2011">
        <v>-33.052799999999898</v>
      </c>
      <c r="AF2011">
        <v>-0.124020235721059</v>
      </c>
      <c r="AG2011">
        <v>-1.1087774010610001</v>
      </c>
      <c r="AH2011">
        <v>33.0198447600918</v>
      </c>
      <c r="AI2011">
        <v>91.923205795139495</v>
      </c>
      <c r="AJ2011">
        <v>90.215197942900801</v>
      </c>
      <c r="AK2011">
        <v>33.038688174994697</v>
      </c>
      <c r="AL2011">
        <v>78.649708354035099</v>
      </c>
      <c r="AM2011">
        <v>91.853457372969302</v>
      </c>
      <c r="AN2011">
        <v>0.99999995996093005</v>
      </c>
    </row>
    <row r="2012" spans="1:40" x14ac:dyDescent="0.25">
      <c r="A2012" t="str">
        <f>"20190304155403580"</f>
        <v>20190304155403580</v>
      </c>
      <c r="B2012" t="str">
        <f>"1551686043578773"</f>
        <v>1551686043578773</v>
      </c>
      <c r="C2012" t="s">
        <v>40</v>
      </c>
      <c r="D2012">
        <v>4.6021080000000003</v>
      </c>
      <c r="E2012">
        <v>0.50716850000000002</v>
      </c>
      <c r="F2012" t="s">
        <v>51</v>
      </c>
      <c r="G2012">
        <v>-491.37450000000001</v>
      </c>
      <c r="H2012" s="1">
        <v>4.5114079999999999E-6</v>
      </c>
      <c r="I2012">
        <v>223.5795</v>
      </c>
      <c r="J2012">
        <v>-491.91739999999999</v>
      </c>
      <c r="K2012">
        <v>1.1087990000000001</v>
      </c>
      <c r="L2012">
        <v>256.6782</v>
      </c>
      <c r="M2012">
        <v>9.9806059999999995E-3</v>
      </c>
      <c r="N2012">
        <v>-1.3905290000000001E-2</v>
      </c>
      <c r="O2012">
        <v>-0.99985360000000001</v>
      </c>
      <c r="P2012">
        <v>4.479636E-2</v>
      </c>
      <c r="Q2012">
        <v>0.18224199999999999</v>
      </c>
      <c r="R2012">
        <v>-0.98223269999999996</v>
      </c>
      <c r="S2012">
        <v>5.0018310000000003E-2</v>
      </c>
      <c r="T2012">
        <v>-0.102159</v>
      </c>
      <c r="U2012">
        <v>-3.0715180000000002</v>
      </c>
      <c r="V2012">
        <v>-3.4125669999999997E-2</v>
      </c>
      <c r="W2012">
        <v>0.19604050000000001</v>
      </c>
      <c r="X2012">
        <v>0.98000180000000003</v>
      </c>
      <c r="Y2012">
        <v>-6.2962309999999898E-3</v>
      </c>
      <c r="Z2012">
        <v>1.9337030000000002E-2</v>
      </c>
      <c r="AA2012">
        <v>0.99979320000000005</v>
      </c>
      <c r="AB2012">
        <v>24</v>
      </c>
      <c r="AC2012">
        <v>0.54289999999997396</v>
      </c>
      <c r="AD2012">
        <v>-1.10879448859199</v>
      </c>
      <c r="AE2012">
        <v>-33.098700000000001</v>
      </c>
      <c r="AF2012">
        <v>-0.212257822989879</v>
      </c>
      <c r="AG2012">
        <v>-1.10879448859199</v>
      </c>
      <c r="AH2012">
        <v>33.0653732787666</v>
      </c>
      <c r="AI2012">
        <v>91.920563242114696</v>
      </c>
      <c r="AJ2012">
        <v>90.367795950097999</v>
      </c>
      <c r="AK2012">
        <v>33.084639769317803</v>
      </c>
      <c r="AL2012">
        <v>78.694486698758595</v>
      </c>
      <c r="AM2012">
        <v>91.994350561371704</v>
      </c>
      <c r="AN2012">
        <v>0.99999998349821895</v>
      </c>
    </row>
    <row r="2013" spans="1:40" x14ac:dyDescent="0.25">
      <c r="A2013" t="str">
        <f>"20190304155403603"</f>
        <v>20190304155403603</v>
      </c>
      <c r="B2013" t="str">
        <f>"1551686043598294"</f>
        <v>1551686043598294</v>
      </c>
      <c r="C2013" t="s">
        <v>40</v>
      </c>
      <c r="D2013">
        <v>4.6063299999999998</v>
      </c>
      <c r="E2013">
        <v>0.50711729999999999</v>
      </c>
      <c r="F2013" t="s">
        <v>51</v>
      </c>
      <c r="G2013">
        <v>-491.3965</v>
      </c>
      <c r="H2013" s="1">
        <v>4.5795470000000002E-6</v>
      </c>
      <c r="I2013">
        <v>223.81200000000001</v>
      </c>
      <c r="J2013">
        <v>-491.91789999999997</v>
      </c>
      <c r="K2013">
        <v>1.1088169999999999</v>
      </c>
      <c r="L2013">
        <v>256.44130000000001</v>
      </c>
      <c r="M2013">
        <v>7.4050009999999996E-3</v>
      </c>
      <c r="N2013">
        <v>-1.390047E-2</v>
      </c>
      <c r="O2013">
        <v>-0.99987590000000004</v>
      </c>
      <c r="P2013">
        <v>4.4591369999999998E-2</v>
      </c>
      <c r="Q2013">
        <v>0.18155109999999999</v>
      </c>
      <c r="R2013">
        <v>-0.98237010000000002</v>
      </c>
      <c r="S2013">
        <v>4.8675540000000003E-2</v>
      </c>
      <c r="T2013">
        <v>-0.1036146</v>
      </c>
      <c r="U2013">
        <v>-3.0712739999999998</v>
      </c>
      <c r="V2013">
        <v>-3.6467649999999997E-2</v>
      </c>
      <c r="W2013">
        <v>0.1953531</v>
      </c>
      <c r="X2013">
        <v>0.98005469999999895</v>
      </c>
      <c r="Y2013">
        <v>-8.4355300000000001E-3</v>
      </c>
      <c r="Z2013">
        <v>1.981838E-2</v>
      </c>
      <c r="AA2013">
        <v>0.99976799999999999</v>
      </c>
      <c r="AB2013">
        <v>24</v>
      </c>
      <c r="AC2013">
        <v>0.521399999999971</v>
      </c>
      <c r="AD2013">
        <v>-1.1088124204530001</v>
      </c>
      <c r="AE2013">
        <v>-32.629300000000001</v>
      </c>
      <c r="AF2013">
        <v>-0.27941975359710203</v>
      </c>
      <c r="AG2013">
        <v>-1.1088124204530001</v>
      </c>
      <c r="AH2013">
        <v>32.594636410759499</v>
      </c>
      <c r="AI2013">
        <v>91.948279158276605</v>
      </c>
      <c r="AJ2013">
        <v>90.491159963675699</v>
      </c>
      <c r="AK2013">
        <v>32.614687843547699</v>
      </c>
      <c r="AL2013">
        <v>78.734648202637104</v>
      </c>
      <c r="AM2013">
        <v>92.130981982559305</v>
      </c>
      <c r="AN2013">
        <v>0.99999996908411004</v>
      </c>
    </row>
    <row r="2014" spans="1:40" x14ac:dyDescent="0.25">
      <c r="A2014" t="str">
        <f>"20190304155403627"</f>
        <v>20190304155403627</v>
      </c>
      <c r="B2014" t="str">
        <f>"1551686043618790"</f>
        <v>1551686043618790</v>
      </c>
      <c r="C2014" t="s">
        <v>40</v>
      </c>
      <c r="D2014">
        <v>4.6086210000000003</v>
      </c>
      <c r="E2014">
        <v>0.50709029999999999</v>
      </c>
      <c r="F2014" t="s">
        <v>51</v>
      </c>
      <c r="G2014">
        <v>-491.4101</v>
      </c>
      <c r="H2014" s="1">
        <v>4.6701560000000003E-6</v>
      </c>
      <c r="I2014">
        <v>224.20150000000001</v>
      </c>
      <c r="J2014">
        <v>-491.9194</v>
      </c>
      <c r="K2014">
        <v>1.108851</v>
      </c>
      <c r="L2014">
        <v>256.17290000000003</v>
      </c>
      <c r="M2014">
        <v>4.5511689999999999E-3</v>
      </c>
      <c r="N2014">
        <v>-1.3894760000000001E-2</v>
      </c>
      <c r="O2014">
        <v>-0.99989320000000004</v>
      </c>
      <c r="P2014">
        <v>4.4017349999999997E-2</v>
      </c>
      <c r="Q2014">
        <v>0.18067130000000001</v>
      </c>
      <c r="R2014">
        <v>-0.98255840000000005</v>
      </c>
      <c r="S2014">
        <v>4.8370360000000001E-2</v>
      </c>
      <c r="T2014">
        <v>-0.1056265</v>
      </c>
      <c r="U2014">
        <v>-3.0711979999999999</v>
      </c>
      <c r="V2014">
        <v>-3.8723220000000003E-2</v>
      </c>
      <c r="W2014">
        <v>0.19447429999999999</v>
      </c>
      <c r="X2014">
        <v>0.98014299999999999</v>
      </c>
      <c r="Y2014">
        <v>-1.118946E-2</v>
      </c>
      <c r="Z2014">
        <v>2.0479170000000001E-2</v>
      </c>
      <c r="AA2014">
        <v>0.9997277</v>
      </c>
      <c r="AB2014">
        <v>24</v>
      </c>
      <c r="AC2014">
        <v>0.50929999999999598</v>
      </c>
      <c r="AD2014">
        <v>-1.1088463298439999</v>
      </c>
      <c r="AE2014">
        <v>-31.971399999999999</v>
      </c>
      <c r="AF2014">
        <v>-0.36333650893057601</v>
      </c>
      <c r="AG2014">
        <v>-1.1088463298439999</v>
      </c>
      <c r="AH2014">
        <v>31.9349830025918</v>
      </c>
      <c r="AI2014">
        <v>91.9884962778779</v>
      </c>
      <c r="AJ2014">
        <v>90.651847859983803</v>
      </c>
      <c r="AK2014">
        <v>31.9562934799666</v>
      </c>
      <c r="AL2014">
        <v>78.785984931359593</v>
      </c>
      <c r="AM2014">
        <v>92.262449261666404</v>
      </c>
      <c r="AN2014">
        <v>1.00000002078832</v>
      </c>
    </row>
    <row r="2015" spans="1:40" x14ac:dyDescent="0.25">
      <c r="A2015" t="str">
        <f>"20190304155403649"</f>
        <v>20190304155403649</v>
      </c>
      <c r="B2015" t="str">
        <f>"1551686043638310"</f>
        <v>1551686043638310</v>
      </c>
      <c r="C2015" t="s">
        <v>40</v>
      </c>
      <c r="D2015">
        <v>4.5848779999999998</v>
      </c>
      <c r="E2015">
        <v>0.50692999999999999</v>
      </c>
      <c r="F2015" t="s">
        <v>51</v>
      </c>
      <c r="G2015">
        <v>-491.4402</v>
      </c>
      <c r="H2015" s="1">
        <v>4.7804739999999999E-6</v>
      </c>
      <c r="I2015">
        <v>224.6979</v>
      </c>
      <c r="J2015">
        <v>-491.92110000000002</v>
      </c>
      <c r="K2015">
        <v>1.1088960000000001</v>
      </c>
      <c r="L2015">
        <v>255.93770000000001</v>
      </c>
      <c r="M2015">
        <v>2.1033639999999999E-3</v>
      </c>
      <c r="N2015">
        <v>-1.3889449999999999E-2</v>
      </c>
      <c r="O2015">
        <v>-0.99990120000000005</v>
      </c>
      <c r="P2015">
        <v>4.3776889999999999E-2</v>
      </c>
      <c r="Q2015">
        <v>0.1786017</v>
      </c>
      <c r="R2015">
        <v>-0.98294720000000002</v>
      </c>
      <c r="S2015">
        <v>4.6752929999999998E-2</v>
      </c>
      <c r="T2015">
        <v>-0.1081905</v>
      </c>
      <c r="U2015">
        <v>-3.0710299999999999</v>
      </c>
      <c r="V2015">
        <v>-4.091711E-2</v>
      </c>
      <c r="W2015">
        <v>0.19240879999999999</v>
      </c>
      <c r="X2015">
        <v>0.98046140000000004</v>
      </c>
      <c r="Y2015">
        <v>-1.3110810000000001E-2</v>
      </c>
      <c r="Z2015">
        <v>2.1319879999999999E-2</v>
      </c>
      <c r="AA2015">
        <v>0.99968670000000004</v>
      </c>
      <c r="AB2015">
        <v>24</v>
      </c>
      <c r="AC2015">
        <v>0.48090000000001898</v>
      </c>
      <c r="AD2015">
        <v>-1.1088912195259999</v>
      </c>
      <c r="AE2015">
        <v>-31.239799999999999</v>
      </c>
      <c r="AF2015">
        <v>-0.41466157924923402</v>
      </c>
      <c r="AG2015">
        <v>-1.1088912195259999</v>
      </c>
      <c r="AH2015">
        <v>31.201438816150301</v>
      </c>
      <c r="AI2015">
        <v>92.035241221560696</v>
      </c>
      <c r="AJ2015">
        <v>90.761405907482995</v>
      </c>
      <c r="AK2015">
        <v>31.2238909836685</v>
      </c>
      <c r="AL2015">
        <v>78.906607011564603</v>
      </c>
      <c r="AM2015">
        <v>92.389709724785007</v>
      </c>
      <c r="AN2015">
        <v>0.99999995654907503</v>
      </c>
    </row>
    <row r="2016" spans="1:40" x14ac:dyDescent="0.25">
      <c r="A2016" t="str">
        <f>"20190304155403671"</f>
        <v>20190304155403671</v>
      </c>
      <c r="B2016" t="str">
        <f>"1551686043668566"</f>
        <v>1551686043668566</v>
      </c>
      <c r="C2016" t="s">
        <v>40</v>
      </c>
      <c r="D2016">
        <v>4.5793169999999996</v>
      </c>
      <c r="E2016">
        <v>0.50677309999999998</v>
      </c>
      <c r="F2016" t="s">
        <v>51</v>
      </c>
      <c r="G2016">
        <v>-491.46300000000002</v>
      </c>
      <c r="H2016" s="1">
        <v>5.2527980000000003E-6</v>
      </c>
      <c r="I2016">
        <v>226.2389</v>
      </c>
      <c r="J2016">
        <v>-491.92349999999999</v>
      </c>
      <c r="K2016">
        <v>1.108948</v>
      </c>
      <c r="L2016">
        <v>255.69049999999999</v>
      </c>
      <c r="M2016">
        <v>-3.9675700000000002E-4</v>
      </c>
      <c r="N2016">
        <v>-1.38838E-2</v>
      </c>
      <c r="O2016">
        <v>-0.99990349999999995</v>
      </c>
      <c r="P2016">
        <v>4.3810880000000003E-2</v>
      </c>
      <c r="Q2016">
        <v>0.17569119999999999</v>
      </c>
      <c r="R2016">
        <v>-0.98346979999999995</v>
      </c>
      <c r="S2016">
        <v>4.7363280000000001E-2</v>
      </c>
      <c r="T2016">
        <v>-0.11465640000000001</v>
      </c>
      <c r="U2016">
        <v>-3.070786</v>
      </c>
      <c r="V2016">
        <v>-4.3446020000000002E-2</v>
      </c>
      <c r="W2016">
        <v>0.18950359999999999</v>
      </c>
      <c r="X2016">
        <v>0.98091830000000002</v>
      </c>
      <c r="Y2016">
        <v>-1.5808889999999999E-2</v>
      </c>
      <c r="Z2016">
        <v>2.3429499999999999E-2</v>
      </c>
      <c r="AA2016">
        <v>0.9996005</v>
      </c>
      <c r="AB2016">
        <v>24</v>
      </c>
      <c r="AC2016">
        <v>0.46049999999996699</v>
      </c>
      <c r="AD2016">
        <v>-1.1089427472019999</v>
      </c>
      <c r="AE2016">
        <v>-29.4515999999999</v>
      </c>
      <c r="AF2016">
        <v>-0.47151788668018202</v>
      </c>
      <c r="AG2016">
        <v>-1.1089427472019999</v>
      </c>
      <c r="AH2016">
        <v>29.409729427129001</v>
      </c>
      <c r="AI2016">
        <v>92.159132388582506</v>
      </c>
      <c r="AJ2016">
        <v>90.918528356190706</v>
      </c>
      <c r="AK2016">
        <v>29.434406195997401</v>
      </c>
      <c r="AL2016">
        <v>79.0761830622465</v>
      </c>
      <c r="AM2016">
        <v>92.536039702158902</v>
      </c>
      <c r="AN2016">
        <v>0.99999994117084301</v>
      </c>
    </row>
    <row r="2017" spans="1:40" x14ac:dyDescent="0.25">
      <c r="A2017" t="str">
        <f>"20190304155403691"</f>
        <v>20190304155403691</v>
      </c>
      <c r="B2017" t="str">
        <f>"1551686043688085"</f>
        <v>1551686043688085</v>
      </c>
      <c r="C2017" t="s">
        <v>40</v>
      </c>
      <c r="D2017">
        <v>4.5831030000000004</v>
      </c>
      <c r="E2017">
        <v>0.50690309999999905</v>
      </c>
      <c r="F2017" t="s">
        <v>51</v>
      </c>
      <c r="G2017">
        <v>-491.49029999999999</v>
      </c>
      <c r="H2017" s="1">
        <v>5.8413299999999999E-6</v>
      </c>
      <c r="I2017">
        <v>228.15819999999999</v>
      </c>
      <c r="J2017">
        <v>-491.92619999999999</v>
      </c>
      <c r="K2017">
        <v>1.1090009999999999</v>
      </c>
      <c r="L2017">
        <v>255.4633</v>
      </c>
      <c r="M2017">
        <v>-2.6056790000000001E-3</v>
      </c>
      <c r="N2017">
        <v>-1.3878349999999999E-2</v>
      </c>
      <c r="O2017">
        <v>-0.99990020000000002</v>
      </c>
      <c r="P2017">
        <v>4.4798930000000001E-2</v>
      </c>
      <c r="Q2017">
        <v>0.1731935</v>
      </c>
      <c r="R2017">
        <v>-0.98386839999999998</v>
      </c>
      <c r="S2017">
        <v>4.8309329999999998E-2</v>
      </c>
      <c r="T2017">
        <v>-0.12366770000000001</v>
      </c>
      <c r="U2017">
        <v>-3.0703580000000001</v>
      </c>
      <c r="V2017">
        <v>-4.6645829999999999E-2</v>
      </c>
      <c r="W2017">
        <v>0.18701029999999999</v>
      </c>
      <c r="X2017">
        <v>0.98124990000000001</v>
      </c>
      <c r="Y2017">
        <v>-1.8325350000000001E-2</v>
      </c>
      <c r="Z2017">
        <v>2.6367979999999999E-2</v>
      </c>
      <c r="AA2017">
        <v>0.99948429999999999</v>
      </c>
      <c r="AB2017">
        <v>24</v>
      </c>
      <c r="AC2017">
        <v>0.43590000000000301</v>
      </c>
      <c r="AD2017">
        <v>-1.10899515867</v>
      </c>
      <c r="AE2017">
        <v>-27.305099999999999</v>
      </c>
      <c r="AF2017">
        <v>-0.50621887265124899</v>
      </c>
      <c r="AG2017">
        <v>-1.10899515867</v>
      </c>
      <c r="AH2017">
        <v>27.258917222291299</v>
      </c>
      <c r="AI2017">
        <v>92.3293215816323</v>
      </c>
      <c r="AJ2017">
        <v>91.063904010136497</v>
      </c>
      <c r="AK2017">
        <v>27.2861630857237</v>
      </c>
      <c r="AL2017">
        <v>79.221640394155401</v>
      </c>
      <c r="AM2017">
        <v>92.721629572014294</v>
      </c>
      <c r="AN2017">
        <v>1.0000000260062401</v>
      </c>
    </row>
    <row r="2018" spans="1:40" x14ac:dyDescent="0.25">
      <c r="A2018" t="str">
        <f>"20190304155403714"</f>
        <v>20190304155403714</v>
      </c>
      <c r="B2018" t="str">
        <f>"1551686043708581"</f>
        <v>1551686043708581</v>
      </c>
      <c r="C2018" t="s">
        <v>40</v>
      </c>
      <c r="D2018">
        <v>4.6191459999999998</v>
      </c>
      <c r="E2018">
        <v>0.50697369999999997</v>
      </c>
      <c r="F2018" t="s">
        <v>51</v>
      </c>
      <c r="G2018">
        <v>-491.50560000000002</v>
      </c>
      <c r="H2018" s="1">
        <v>6.2101190000000004E-6</v>
      </c>
      <c r="I2018">
        <v>229.56700000000001</v>
      </c>
      <c r="J2018">
        <v>-491.92950000000002</v>
      </c>
      <c r="K2018">
        <v>1.1090789999999999</v>
      </c>
      <c r="L2018">
        <v>255.2176</v>
      </c>
      <c r="M2018">
        <v>-4.8783489999999997E-3</v>
      </c>
      <c r="N2018">
        <v>-1.3871919999999999E-2</v>
      </c>
      <c r="O2018">
        <v>-0.99989209999999995</v>
      </c>
      <c r="P2018">
        <v>4.55208E-2</v>
      </c>
      <c r="Q2018">
        <v>0.17103080000000001</v>
      </c>
      <c r="R2018">
        <v>-0.98421380000000003</v>
      </c>
      <c r="S2018">
        <v>4.9865720000000002E-2</v>
      </c>
      <c r="T2018">
        <v>-0.1314756</v>
      </c>
      <c r="U2018">
        <v>-3.0700989999999999</v>
      </c>
      <c r="V2018">
        <v>-4.965054E-2</v>
      </c>
      <c r="W2018">
        <v>0.1848457</v>
      </c>
      <c r="X2018">
        <v>0.98151250000000001</v>
      </c>
      <c r="Y2018">
        <v>-2.1103139999999999E-2</v>
      </c>
      <c r="Z2018">
        <v>2.8913100000000001E-2</v>
      </c>
      <c r="AA2018">
        <v>0.99935909999999994</v>
      </c>
      <c r="AB2018">
        <v>24</v>
      </c>
      <c r="AC2018">
        <v>0.423900000000003</v>
      </c>
      <c r="AD2018">
        <v>-1.109072789881</v>
      </c>
      <c r="AE2018">
        <v>-25.650600000000001</v>
      </c>
      <c r="AF2018">
        <v>-0.54801531374842705</v>
      </c>
      <c r="AG2018">
        <v>-1.109072789881</v>
      </c>
      <c r="AH2018">
        <v>25.600379792798201</v>
      </c>
      <c r="AI2018">
        <v>92.480078550974596</v>
      </c>
      <c r="AJ2018">
        <v>91.226316565462696</v>
      </c>
      <c r="AK2018">
        <v>25.6302518281204</v>
      </c>
      <c r="AL2018">
        <v>79.347862935623894</v>
      </c>
      <c r="AM2018">
        <v>92.895881207622494</v>
      </c>
      <c r="AN2018">
        <v>0.99999994829351402</v>
      </c>
    </row>
    <row r="2019" spans="1:40" x14ac:dyDescent="0.25">
      <c r="A2019" t="str">
        <f>"20190304155403736"</f>
        <v>20190304155403736</v>
      </c>
      <c r="B2019" t="str">
        <f>"1551686043728105"</f>
        <v>1551686043728105</v>
      </c>
      <c r="C2019" t="s">
        <v>40</v>
      </c>
      <c r="D2019">
        <v>4.6090039999999997</v>
      </c>
      <c r="E2019">
        <v>0.50686019999999998</v>
      </c>
      <c r="F2019" t="s">
        <v>46</v>
      </c>
      <c r="G2019">
        <v>-491.51080000000002</v>
      </c>
      <c r="H2019" s="1">
        <v>-7.6747270000000003E-7</v>
      </c>
      <c r="I2019">
        <v>230.44110000000001</v>
      </c>
      <c r="J2019">
        <v>-491.9332</v>
      </c>
      <c r="K2019">
        <v>1.109162</v>
      </c>
      <c r="L2019">
        <v>254.9794</v>
      </c>
      <c r="M2019">
        <v>-6.951395E-3</v>
      </c>
      <c r="N2019">
        <v>-1.3865300000000001E-2</v>
      </c>
      <c r="O2019">
        <v>-0.99987969999999904</v>
      </c>
      <c r="P2019">
        <v>4.6238670000000003E-2</v>
      </c>
      <c r="Q2019">
        <v>0.16986599999999999</v>
      </c>
      <c r="R2019">
        <v>-0.98438190000000003</v>
      </c>
      <c r="S2019">
        <v>5.1879880000000003E-2</v>
      </c>
      <c r="T2019">
        <v>-0.137406</v>
      </c>
      <c r="U2019">
        <v>-3.0696110000000001</v>
      </c>
      <c r="V2019">
        <v>-5.245615E-2</v>
      </c>
      <c r="W2019">
        <v>0.18367349999999999</v>
      </c>
      <c r="X2019">
        <v>0.98158670000000003</v>
      </c>
      <c r="Y2019">
        <v>-2.3831649999999999E-2</v>
      </c>
      <c r="Z2019">
        <v>3.0850840000000001E-2</v>
      </c>
      <c r="AA2019">
        <v>0.99923989999999996</v>
      </c>
      <c r="AB2019">
        <v>24</v>
      </c>
      <c r="AC2019">
        <v>0.42239999999998101</v>
      </c>
      <c r="AD2019">
        <v>-1.10916276747269</v>
      </c>
      <c r="AE2019">
        <v>-24.5382999999999</v>
      </c>
      <c r="AF2019">
        <v>-0.59177288193912903</v>
      </c>
      <c r="AG2019">
        <v>-1.10916276747269</v>
      </c>
      <c r="AH2019">
        <v>24.484759084698499</v>
      </c>
      <c r="AI2019">
        <v>92.592976835135403</v>
      </c>
      <c r="AJ2019">
        <v>91.384513883542994</v>
      </c>
      <c r="AK2019">
        <v>24.517011739285699</v>
      </c>
      <c r="AL2019">
        <v>79.416195896955003</v>
      </c>
      <c r="AM2019">
        <v>93.0589858190055</v>
      </c>
      <c r="AN2019">
        <v>1.00000002594598</v>
      </c>
    </row>
    <row r="2020" spans="1:40" x14ac:dyDescent="0.25">
      <c r="A2020" t="str">
        <f>"20190304155403759"</f>
        <v>20190304155403759</v>
      </c>
      <c r="B2020" t="str">
        <f>"1551686043748605"</f>
        <v>1551686043748605</v>
      </c>
      <c r="C2020" t="s">
        <v>40</v>
      </c>
      <c r="D2020">
        <v>4.5908910000000001</v>
      </c>
      <c r="E2020">
        <v>0.50704559999999999</v>
      </c>
      <c r="F2020" t="s">
        <v>46</v>
      </c>
      <c r="G2020">
        <v>-491.50349999999997</v>
      </c>
      <c r="H2020" s="1">
        <v>-9.4120039999999995E-7</v>
      </c>
      <c r="I2020">
        <v>230.85059999999999</v>
      </c>
      <c r="J2020">
        <v>-491.93720000000002</v>
      </c>
      <c r="K2020">
        <v>1.109273</v>
      </c>
      <c r="L2020">
        <v>254.73419999999999</v>
      </c>
      <c r="M2020">
        <v>-8.9353709999999992E-3</v>
      </c>
      <c r="N2020">
        <v>-1.385833E-2</v>
      </c>
      <c r="O2020">
        <v>-0.99986430000000004</v>
      </c>
      <c r="P2020">
        <v>4.783254E-2</v>
      </c>
      <c r="Q2020">
        <v>0.16913590000000001</v>
      </c>
      <c r="R2020">
        <v>-0.98443170000000002</v>
      </c>
      <c r="S2020">
        <v>5.4656980000000001E-2</v>
      </c>
      <c r="T2020">
        <v>-0.14109530000000001</v>
      </c>
      <c r="U2020">
        <v>-3.0693969999999999</v>
      </c>
      <c r="V2020">
        <v>-5.6054609999999998E-2</v>
      </c>
      <c r="W2020">
        <v>0.1829324</v>
      </c>
      <c r="X2020">
        <v>0.98152609999999996</v>
      </c>
      <c r="Y2020">
        <v>-2.6718120000000001E-2</v>
      </c>
      <c r="Z2020">
        <v>3.205612E-2</v>
      </c>
      <c r="AA2020">
        <v>0.99912889999999999</v>
      </c>
      <c r="AB2020">
        <v>24</v>
      </c>
      <c r="AC2020">
        <v>0.43370000000004399</v>
      </c>
      <c r="AD2020">
        <v>-1.10927394120039</v>
      </c>
      <c r="AE2020">
        <v>-23.883600000000001</v>
      </c>
      <c r="AF2020">
        <v>-0.64571950355095398</v>
      </c>
      <c r="AG2020">
        <v>-1.10927394120039</v>
      </c>
      <c r="AH2020">
        <v>23.827388677148001</v>
      </c>
      <c r="AI2020">
        <v>92.664479295935394</v>
      </c>
      <c r="AJ2020">
        <v>91.552329123420705</v>
      </c>
      <c r="AK2020">
        <v>23.861933985445798</v>
      </c>
      <c r="AL2020">
        <v>79.459388669488007</v>
      </c>
      <c r="AM2020">
        <v>93.268591364394496</v>
      </c>
      <c r="AN2020">
        <v>0.999999933626608</v>
      </c>
    </row>
    <row r="2021" spans="1:40" x14ac:dyDescent="0.25">
      <c r="A2021" t="str">
        <f>"20190304155403782"</f>
        <v>20190304155403782</v>
      </c>
      <c r="B2021" t="str">
        <f>"1551686043778854"</f>
        <v>1551686043778854</v>
      </c>
      <c r="C2021" t="s">
        <v>40</v>
      </c>
      <c r="D2021">
        <v>4.6117599999999896</v>
      </c>
      <c r="E2021">
        <v>0.50717840000000003</v>
      </c>
      <c r="F2021" t="s">
        <v>46</v>
      </c>
      <c r="G2021">
        <v>-491.495</v>
      </c>
      <c r="H2021" s="1">
        <v>-1.0254649999999901E-6</v>
      </c>
      <c r="I2021">
        <v>231.0522</v>
      </c>
      <c r="J2021">
        <v>-491.94159999999999</v>
      </c>
      <c r="K2021">
        <v>1.1093930000000001</v>
      </c>
      <c r="L2021">
        <v>254.48759999999999</v>
      </c>
      <c r="M2021">
        <v>-1.075925E-2</v>
      </c>
      <c r="N2021">
        <v>-1.3851179999999999E-2</v>
      </c>
      <c r="O2021">
        <v>-0.99984649999999997</v>
      </c>
      <c r="P2021">
        <v>4.9005849999999997E-2</v>
      </c>
      <c r="Q2021">
        <v>0.16872570000000001</v>
      </c>
      <c r="R2021">
        <v>-0.9844444</v>
      </c>
      <c r="S2021">
        <v>5.7312009999999997E-2</v>
      </c>
      <c r="T2021">
        <v>-0.1437707</v>
      </c>
      <c r="U2021">
        <v>-3.069366</v>
      </c>
      <c r="V2021">
        <v>-5.907834E-2</v>
      </c>
      <c r="W2021">
        <v>0.1825058</v>
      </c>
      <c r="X2021">
        <v>0.98142830000000003</v>
      </c>
      <c r="Y2021">
        <v>-2.9403840000000001E-2</v>
      </c>
      <c r="Z2021">
        <v>3.2929090000000001E-2</v>
      </c>
      <c r="AA2021">
        <v>0.99902500000000005</v>
      </c>
      <c r="AB2021">
        <v>24</v>
      </c>
      <c r="AC2021">
        <v>0.44659999999998901</v>
      </c>
      <c r="AD2021">
        <v>-1.1093940254649901</v>
      </c>
      <c r="AE2021">
        <v>-23.435399999999898</v>
      </c>
      <c r="AF2021">
        <v>-0.69718381487995995</v>
      </c>
      <c r="AG2021">
        <v>-1.1093940254649901</v>
      </c>
      <c r="AH2021">
        <v>23.3768709557893</v>
      </c>
      <c r="AI2021">
        <v>92.715836328414397</v>
      </c>
      <c r="AJ2021">
        <v>91.708263406593403</v>
      </c>
      <c r="AK2021">
        <v>23.4135626519992</v>
      </c>
      <c r="AL2021">
        <v>79.484250952781196</v>
      </c>
      <c r="AM2021">
        <v>93.444836327905094</v>
      </c>
      <c r="AN2021">
        <v>1.0000000626658401</v>
      </c>
    </row>
    <row r="2022" spans="1:40" x14ac:dyDescent="0.25">
      <c r="A2022" t="str">
        <f>"20190304155403803"</f>
        <v>20190304155403803</v>
      </c>
      <c r="B2022" t="str">
        <f>"1551686043798373"</f>
        <v>1551686043798373</v>
      </c>
      <c r="C2022" t="s">
        <v>40</v>
      </c>
      <c r="D2022">
        <v>4.7923439999999999</v>
      </c>
      <c r="E2022">
        <v>0.50720459999999901</v>
      </c>
      <c r="F2022" t="s">
        <v>46</v>
      </c>
      <c r="G2022">
        <v>-491.47949999999997</v>
      </c>
      <c r="H2022" s="1">
        <v>-8.8732619999999897E-7</v>
      </c>
      <c r="I2022">
        <v>230.73990000000001</v>
      </c>
      <c r="J2022">
        <v>-491.94589999999999</v>
      </c>
      <c r="K2022">
        <v>1.109507</v>
      </c>
      <c r="L2022">
        <v>254.25919999999999</v>
      </c>
      <c r="M2022">
        <v>-1.2277700000000001E-2</v>
      </c>
      <c r="N2022">
        <v>-1.384461E-2</v>
      </c>
      <c r="O2022">
        <v>-0.99982879999999996</v>
      </c>
      <c r="P2022">
        <v>4.9378310000000002E-2</v>
      </c>
      <c r="Q2022">
        <v>0.16806009999999999</v>
      </c>
      <c r="R2022">
        <v>-0.98453959999999996</v>
      </c>
      <c r="S2022">
        <v>5.9722900000000002E-2</v>
      </c>
      <c r="T2022">
        <v>-0.143371</v>
      </c>
      <c r="U2022">
        <v>-3.069</v>
      </c>
      <c r="V2022">
        <v>-6.0998740000000003E-2</v>
      </c>
      <c r="W2022">
        <v>0.1818217</v>
      </c>
      <c r="X2022">
        <v>0.98143769999999997</v>
      </c>
      <c r="Y2022">
        <v>-3.1707689999999997E-2</v>
      </c>
      <c r="Z2022">
        <v>3.2807900000000001E-2</v>
      </c>
      <c r="AA2022">
        <v>0.99895860000000003</v>
      </c>
      <c r="AB2022">
        <v>24</v>
      </c>
      <c r="AC2022">
        <v>0.46640000000002102</v>
      </c>
      <c r="AD2022">
        <v>-1.1095078873262001</v>
      </c>
      <c r="AE2022">
        <v>-23.519299999999902</v>
      </c>
      <c r="AF2022">
        <v>-0.75347927138720105</v>
      </c>
      <c r="AG2022">
        <v>-1.1095078873262001</v>
      </c>
      <c r="AH2022">
        <v>23.459613081453401</v>
      </c>
      <c r="AI2022">
        <v>92.706357317695904</v>
      </c>
      <c r="AJ2022">
        <v>91.839601806633496</v>
      </c>
      <c r="AK2022">
        <v>23.497918731154702</v>
      </c>
      <c r="AL2022">
        <v>79.524112969981203</v>
      </c>
      <c r="AM2022">
        <v>93.556497259278302</v>
      </c>
      <c r="AN2022">
        <v>0.99999996792688295</v>
      </c>
    </row>
    <row r="2023" spans="1:40" x14ac:dyDescent="0.25">
      <c r="A2023" t="str">
        <f>"20190304155403829"</f>
        <v>20190304155403829</v>
      </c>
      <c r="B2023" t="str">
        <f>"1551686043818870"</f>
        <v>1551686043818870</v>
      </c>
      <c r="C2023" t="s">
        <v>40</v>
      </c>
      <c r="D2023">
        <v>4.8964869999999996</v>
      </c>
      <c r="E2023">
        <v>0.50705869999999997</v>
      </c>
      <c r="F2023" t="s">
        <v>46</v>
      </c>
      <c r="G2023">
        <v>-491.48200000000003</v>
      </c>
      <c r="H2023" s="1">
        <v>-9.865108E-7</v>
      </c>
      <c r="I2023">
        <v>230.96950000000001</v>
      </c>
      <c r="J2023">
        <v>-491.95139999999998</v>
      </c>
      <c r="K2023">
        <v>1.109626</v>
      </c>
      <c r="L2023">
        <v>253.98339999999999</v>
      </c>
      <c r="M2023">
        <v>-1.393428E-2</v>
      </c>
      <c r="N2023">
        <v>-1.3837E-2</v>
      </c>
      <c r="O2023">
        <v>-0.99980729999999995</v>
      </c>
      <c r="P2023">
        <v>4.9358100000000002E-2</v>
      </c>
      <c r="Q2023">
        <v>0.16726099999999999</v>
      </c>
      <c r="R2023">
        <v>-0.98467649999999995</v>
      </c>
      <c r="S2023">
        <v>6.1126710000000001E-2</v>
      </c>
      <c r="T2023">
        <v>-0.1462069</v>
      </c>
      <c r="U2023">
        <v>-3.0690309999999998</v>
      </c>
      <c r="V2023">
        <v>-6.2665429999999994E-2</v>
      </c>
      <c r="W2023">
        <v>0.18100160000000001</v>
      </c>
      <c r="X2023">
        <v>0.98148429999999998</v>
      </c>
      <c r="Y2023">
        <v>-3.3818510000000003E-2</v>
      </c>
      <c r="Z2023">
        <v>3.3732409999999997E-2</v>
      </c>
      <c r="AA2023">
        <v>0.99885860000000004</v>
      </c>
      <c r="AB2023">
        <v>24</v>
      </c>
      <c r="AC2023">
        <v>0.46940000000000698</v>
      </c>
      <c r="AD2023">
        <v>-1.1096269865107999</v>
      </c>
      <c r="AE2023">
        <v>-23.0138999999999</v>
      </c>
      <c r="AF2023">
        <v>-0.78823552939302699</v>
      </c>
      <c r="AG2023">
        <v>-1.1096269865107999</v>
      </c>
      <c r="AH2023">
        <v>22.9517891955966</v>
      </c>
      <c r="AI2023">
        <v>92.766237786930503</v>
      </c>
      <c r="AJ2023">
        <v>91.966941471419403</v>
      </c>
      <c r="AK2023">
        <v>22.9921120077755</v>
      </c>
      <c r="AL2023">
        <v>79.571894223076995</v>
      </c>
      <c r="AM2023">
        <v>93.6532399904236</v>
      </c>
      <c r="AN2023">
        <v>0.99999998323306705</v>
      </c>
    </row>
    <row r="2024" spans="1:40" x14ac:dyDescent="0.25">
      <c r="A2024" t="str">
        <f>"20190304155403916"</f>
        <v>20190304155403916</v>
      </c>
      <c r="B2024" t="str">
        <f>"1551686043908667"</f>
        <v>1551686043908667</v>
      </c>
      <c r="C2024" t="s">
        <v>40</v>
      </c>
      <c r="D2024">
        <v>4.4698820000000001</v>
      </c>
      <c r="E2024">
        <v>0.49193429999999999</v>
      </c>
      <c r="F2024" t="s">
        <v>46</v>
      </c>
      <c r="G2024">
        <v>-491.48989999999998</v>
      </c>
      <c r="H2024" s="1">
        <v>-1.191217E-6</v>
      </c>
      <c r="I2024">
        <v>231.4418</v>
      </c>
      <c r="J2024">
        <v>-491.97160000000002</v>
      </c>
      <c r="K2024">
        <v>1.10999</v>
      </c>
      <c r="L2024">
        <v>253.04419999999999</v>
      </c>
      <c r="M2024">
        <v>-1.816398E-2</v>
      </c>
      <c r="N2024">
        <v>-1.3812899999999999E-2</v>
      </c>
      <c r="O2024">
        <v>-0.99973970000000001</v>
      </c>
      <c r="P2024">
        <v>5.0406140000000002E-2</v>
      </c>
      <c r="Q2024">
        <v>0.16265160000000001</v>
      </c>
      <c r="R2024">
        <v>-0.98539500000000002</v>
      </c>
      <c r="S2024">
        <v>6.283569E-2</v>
      </c>
      <c r="T2024">
        <v>-0.151083</v>
      </c>
      <c r="U2024">
        <v>-3.0691830000000002</v>
      </c>
      <c r="V2024">
        <v>-6.806036E-2</v>
      </c>
      <c r="W2024">
        <v>0.1763245</v>
      </c>
      <c r="X2024">
        <v>0.98197630000000002</v>
      </c>
      <c r="Y2024">
        <v>-3.859775E-2</v>
      </c>
      <c r="Z2024">
        <v>3.5327200000000003E-2</v>
      </c>
      <c r="AA2024">
        <v>0.99863020000000002</v>
      </c>
      <c r="AB2024">
        <v>24</v>
      </c>
      <c r="AC2024">
        <v>0.48170000000004598</v>
      </c>
      <c r="AD2024">
        <v>-1.109991191217</v>
      </c>
      <c r="AE2024">
        <v>-21.6023999999999</v>
      </c>
      <c r="AF2024">
        <v>-0.87174305344466296</v>
      </c>
      <c r="AG2024">
        <v>-1.109991191217</v>
      </c>
      <c r="AH2024">
        <v>21.5332613305556</v>
      </c>
      <c r="AI2024">
        <v>92.948445900822406</v>
      </c>
      <c r="AJ2024">
        <v>92.318271131988098</v>
      </c>
      <c r="AK2024">
        <v>21.579466164060001</v>
      </c>
      <c r="AL2024">
        <v>79.844254940004703</v>
      </c>
      <c r="AM2024">
        <v>93.964805505415995</v>
      </c>
      <c r="AN2024">
        <v>0.99999999783263405</v>
      </c>
    </row>
    <row r="2025" spans="1:40" x14ac:dyDescent="0.25">
      <c r="A2025" t="str">
        <f>"20190304155403937"</f>
        <v>20190304155403937</v>
      </c>
      <c r="B2025" t="str">
        <f>"1551686043928190"</f>
        <v>1551686043928190</v>
      </c>
      <c r="C2025" t="s">
        <v>40</v>
      </c>
      <c r="D2025">
        <v>4.4651809999999896</v>
      </c>
      <c r="E2025">
        <v>0.48880639999999997</v>
      </c>
      <c r="F2025" t="s">
        <v>48</v>
      </c>
      <c r="G2025">
        <v>-491.93079999999998</v>
      </c>
      <c r="H2025">
        <v>0.97225249999999996</v>
      </c>
      <c r="I2025">
        <v>252.28919999999999</v>
      </c>
      <c r="J2025">
        <v>-491.97669999999999</v>
      </c>
      <c r="K2025">
        <v>1.1100829999999999</v>
      </c>
      <c r="L2025">
        <v>252.81010000000001</v>
      </c>
      <c r="M2025">
        <v>-1.8897250000000001E-2</v>
      </c>
      <c r="N2025">
        <v>-1.380748E-2</v>
      </c>
      <c r="O2025">
        <v>-0.99972629999999996</v>
      </c>
      <c r="P2025">
        <v>5.2006009999999998E-2</v>
      </c>
      <c r="Q2025">
        <v>0.16109370000000001</v>
      </c>
      <c r="R2025">
        <v>-0.985568</v>
      </c>
      <c r="S2025">
        <v>0.17050170000000001</v>
      </c>
      <c r="T2025">
        <v>-0.57109430000000005</v>
      </c>
      <c r="U2025">
        <v>-3.1300050000000001</v>
      </c>
      <c r="V2025">
        <v>-7.0428030000000003E-2</v>
      </c>
      <c r="W2025">
        <v>0.1747495</v>
      </c>
      <c r="X2025">
        <v>0.98209089999999999</v>
      </c>
      <c r="Y2025">
        <v>-7.2405380000000005E-2</v>
      </c>
      <c r="Z2025">
        <v>0.1654747</v>
      </c>
      <c r="AA2025">
        <v>0.98355250000000005</v>
      </c>
      <c r="AB2025">
        <v>24</v>
      </c>
      <c r="AC2025">
        <v>4.5900000000017302E-2</v>
      </c>
      <c r="AD2025">
        <v>-0.137830499999999</v>
      </c>
      <c r="AE2025">
        <v>-0.52090000000001102</v>
      </c>
      <c r="AF2025">
        <v>-5.2115630018538597E-2</v>
      </c>
      <c r="AG2025">
        <v>-0.137830499999999</v>
      </c>
      <c r="AH2025">
        <v>0.48616371746426701</v>
      </c>
      <c r="AI2025">
        <v>105.742683490752</v>
      </c>
      <c r="AJ2025">
        <v>96.118609879993798</v>
      </c>
      <c r="AK2025">
        <v>0.50800437576969204</v>
      </c>
      <c r="AL2025">
        <v>79.935919267659798</v>
      </c>
      <c r="AM2025">
        <v>94.101792284042006</v>
      </c>
      <c r="AN2025">
        <v>1.00000001551137</v>
      </c>
    </row>
    <row r="2026" spans="1:40" x14ac:dyDescent="0.25">
      <c r="A2026" t="str">
        <f>"20190304155403961"</f>
        <v>20190304155403961</v>
      </c>
      <c r="B2026" t="str">
        <f>"1551686043958443"</f>
        <v>1551686043958443</v>
      </c>
      <c r="C2026" t="s">
        <v>40</v>
      </c>
      <c r="D2026">
        <v>4.5779230000000002</v>
      </c>
      <c r="E2026">
        <v>0.48851030000000001</v>
      </c>
      <c r="F2026" t="s">
        <v>48</v>
      </c>
      <c r="G2026">
        <v>-491.9271</v>
      </c>
      <c r="H2026">
        <v>0.99870979999999998</v>
      </c>
      <c r="I2026">
        <v>252.05590000000001</v>
      </c>
      <c r="J2026">
        <v>-491.98219999999998</v>
      </c>
      <c r="K2026">
        <v>1.110161</v>
      </c>
      <c r="L2026">
        <v>252.5675</v>
      </c>
      <c r="M2026">
        <v>-1.9553259999999999E-2</v>
      </c>
      <c r="N2026">
        <v>-1.380224E-2</v>
      </c>
      <c r="O2026">
        <v>-0.99971370000000004</v>
      </c>
      <c r="P2026">
        <v>5.4086799999999997E-2</v>
      </c>
      <c r="Q2026">
        <v>0.15894529999999901</v>
      </c>
      <c r="R2026">
        <v>-0.98580509999999999</v>
      </c>
      <c r="S2026">
        <v>0.20553589999999999</v>
      </c>
      <c r="T2026">
        <v>-0.45896290000000001</v>
      </c>
      <c r="U2026">
        <v>-3.1081089999999998</v>
      </c>
      <c r="V2026">
        <v>-7.3196559999999994E-2</v>
      </c>
      <c r="W2026">
        <v>0.17258660000000001</v>
      </c>
      <c r="X2026">
        <v>0.98227089999999995</v>
      </c>
      <c r="Y2026">
        <v>-8.4812869999999999E-2</v>
      </c>
      <c r="Z2026">
        <v>0.13194420000000001</v>
      </c>
      <c r="AA2026">
        <v>0.98762209999999995</v>
      </c>
      <c r="AB2026">
        <v>24</v>
      </c>
      <c r="AC2026">
        <v>5.5099999999981698E-2</v>
      </c>
      <c r="AD2026">
        <v>-0.111451199999999</v>
      </c>
      <c r="AE2026">
        <v>-0.51159999999998695</v>
      </c>
      <c r="AF2026">
        <v>-6.2176913282248801E-2</v>
      </c>
      <c r="AG2026">
        <v>-0.111451199999999</v>
      </c>
      <c r="AH2026">
        <v>0.48755181980766299</v>
      </c>
      <c r="AI2026">
        <v>102.776167503819</v>
      </c>
      <c r="AJ2026">
        <v>97.267633871235901</v>
      </c>
      <c r="AK2026">
        <v>0.50397828874318795</v>
      </c>
      <c r="AL2026">
        <v>80.061756329622597</v>
      </c>
      <c r="AM2026">
        <v>94.261672680140506</v>
      </c>
      <c r="AN2026">
        <v>0.99999999594110101</v>
      </c>
    </row>
    <row r="2027" spans="1:40" x14ac:dyDescent="0.25">
      <c r="A2027" t="str">
        <f>"20190304155403982"</f>
        <v>20190304155403982</v>
      </c>
      <c r="B2027" t="str">
        <f>"1551686043978939"</f>
        <v>1551686043978939</v>
      </c>
      <c r="C2027" t="s">
        <v>40</v>
      </c>
      <c r="D2027">
        <v>4.6162470000000004</v>
      </c>
      <c r="E2027">
        <v>0.48747590000000002</v>
      </c>
      <c r="F2027" t="s">
        <v>46</v>
      </c>
      <c r="G2027">
        <v>-491.2448</v>
      </c>
      <c r="H2027" s="1">
        <v>-1.452107E-6</v>
      </c>
      <c r="I2027">
        <v>242.202</v>
      </c>
      <c r="J2027">
        <v>-491.98739999999998</v>
      </c>
      <c r="K2027">
        <v>1.1102030000000001</v>
      </c>
      <c r="L2027">
        <v>252.33609999999999</v>
      </c>
      <c r="M2027">
        <v>-2.0096619999999999E-2</v>
      </c>
      <c r="N2027">
        <v>-1.379756E-2</v>
      </c>
      <c r="O2027">
        <v>-0.99970320000000001</v>
      </c>
      <c r="P2027">
        <v>5.6600440000000002E-2</v>
      </c>
      <c r="Q2027">
        <v>0.15733339999999901</v>
      </c>
      <c r="R2027">
        <v>-0.98592279999999999</v>
      </c>
      <c r="S2027">
        <v>0.21942139999999999</v>
      </c>
      <c r="T2027">
        <v>-0.33034239999999998</v>
      </c>
      <c r="U2027">
        <v>-3.0843959999999999</v>
      </c>
      <c r="V2027">
        <v>-7.6270099999999993E-2</v>
      </c>
      <c r="W2027">
        <v>0.17096359999999999</v>
      </c>
      <c r="X2027">
        <v>0.98232090000000005</v>
      </c>
      <c r="Y2027">
        <v>-9.0614299999999995E-2</v>
      </c>
      <c r="Z2027">
        <v>9.2369069999999998E-2</v>
      </c>
      <c r="AA2027">
        <v>0.99159319999999895</v>
      </c>
      <c r="AB2027">
        <v>24</v>
      </c>
      <c r="AC2027">
        <v>0.74259999999998105</v>
      </c>
      <c r="AD2027">
        <v>-1.110204452107</v>
      </c>
      <c r="AE2027">
        <v>-10.134099999999901</v>
      </c>
      <c r="AF2027">
        <v>-0.93496936313464296</v>
      </c>
      <c r="AG2027">
        <v>-1.110204452107</v>
      </c>
      <c r="AH2027">
        <v>9.99778026645496</v>
      </c>
      <c r="AI2027">
        <v>96.309150324096095</v>
      </c>
      <c r="AJ2027">
        <v>95.342630612020301</v>
      </c>
      <c r="AK2027">
        <v>10.102590355537201</v>
      </c>
      <c r="AL2027">
        <v>80.156150643493604</v>
      </c>
      <c r="AM2027">
        <v>94.439694996360899</v>
      </c>
      <c r="AN2027">
        <v>1.0000000156278801</v>
      </c>
    </row>
    <row r="2028" spans="1:40" x14ac:dyDescent="0.25">
      <c r="A2028" t="str">
        <f>"20190304155404004"</f>
        <v>20190304155404004</v>
      </c>
      <c r="B2028" t="str">
        <f>"1551686043998459"</f>
        <v>1551686043998459</v>
      </c>
      <c r="C2028" t="s">
        <v>40</v>
      </c>
      <c r="D2028">
        <v>4.6657869999999999</v>
      </c>
      <c r="E2028">
        <v>0.4871489</v>
      </c>
      <c r="F2028" t="s">
        <v>46</v>
      </c>
      <c r="G2028">
        <v>-491.12529999999998</v>
      </c>
      <c r="H2028" s="1">
        <v>-9.4639389999999995E-7</v>
      </c>
      <c r="I2028">
        <v>241.09719999999999</v>
      </c>
      <c r="J2028">
        <v>-491.99270000000001</v>
      </c>
      <c r="K2028">
        <v>1.11022</v>
      </c>
      <c r="L2028">
        <v>252.10159999999999</v>
      </c>
      <c r="M2028">
        <v>-2.059861E-2</v>
      </c>
      <c r="N2028">
        <v>-1.379292E-2</v>
      </c>
      <c r="O2028">
        <v>-0.9996929</v>
      </c>
      <c r="P2028">
        <v>5.8948180000000003E-2</v>
      </c>
      <c r="Q2028">
        <v>0.1563176</v>
      </c>
      <c r="R2028">
        <v>-0.98594669999999895</v>
      </c>
      <c r="S2028">
        <v>0.23608399999999999</v>
      </c>
      <c r="T2028">
        <v>-0.30403520000000001</v>
      </c>
      <c r="U2028">
        <v>-3.07782</v>
      </c>
      <c r="V2028">
        <v>-7.9123959999999993E-2</v>
      </c>
      <c r="W2028">
        <v>0.1699398</v>
      </c>
      <c r="X2028">
        <v>0.98227279999999995</v>
      </c>
      <c r="Y2028">
        <v>-9.6657859999999998E-2</v>
      </c>
      <c r="Z2028">
        <v>8.415388E-2</v>
      </c>
      <c r="AA2028">
        <v>0.99175369999999996</v>
      </c>
      <c r="AB2028">
        <v>24</v>
      </c>
      <c r="AC2028">
        <v>0.86740000000003104</v>
      </c>
      <c r="AD2028">
        <v>-1.1102209463938999</v>
      </c>
      <c r="AE2028">
        <v>-11.0044</v>
      </c>
      <c r="AF2028">
        <v>-1.0829579018440401</v>
      </c>
      <c r="AG2028">
        <v>-1.1102209463938999</v>
      </c>
      <c r="AH2028">
        <v>10.8741956282126</v>
      </c>
      <c r="AI2028">
        <v>95.801019076995402</v>
      </c>
      <c r="AJ2028">
        <v>95.687316603987199</v>
      </c>
      <c r="AK2028">
        <v>10.984239569839</v>
      </c>
      <c r="AL2028">
        <v>80.2156810308242</v>
      </c>
      <c r="AM2028">
        <v>94.605341466501997</v>
      </c>
      <c r="AN2028">
        <v>0.99999999514497995</v>
      </c>
    </row>
    <row r="2029" spans="1:40" x14ac:dyDescent="0.25">
      <c r="A2029" t="str">
        <f>"20190304155404028"</f>
        <v>20190304155404028</v>
      </c>
      <c r="B2029" t="str">
        <f>"1551686044018955"</f>
        <v>1551686044018955</v>
      </c>
      <c r="C2029" t="s">
        <v>40</v>
      </c>
      <c r="D2029">
        <v>4.5629720000000002</v>
      </c>
      <c r="E2029">
        <v>0.48696489999999998</v>
      </c>
      <c r="F2029" t="s">
        <v>46</v>
      </c>
      <c r="G2029">
        <v>-491.02339999999998</v>
      </c>
      <c r="H2029" s="1">
        <v>-4.5652330000000002E-7</v>
      </c>
      <c r="I2029">
        <v>240.01849999999999</v>
      </c>
      <c r="J2029">
        <v>-491.99849999999998</v>
      </c>
      <c r="K2029">
        <v>1.110222</v>
      </c>
      <c r="L2029">
        <v>251.8519</v>
      </c>
      <c r="M2029">
        <v>-2.1111109999999999E-2</v>
      </c>
      <c r="N2029">
        <v>-1.3788460000000001E-2</v>
      </c>
      <c r="O2029">
        <v>-0.99968239999999997</v>
      </c>
      <c r="P2029">
        <v>6.1037929999999997E-2</v>
      </c>
      <c r="Q2029">
        <v>0.1550879</v>
      </c>
      <c r="R2029">
        <v>-0.98601349999999999</v>
      </c>
      <c r="S2029">
        <v>0.2464905</v>
      </c>
      <c r="T2029">
        <v>-0.2823349</v>
      </c>
      <c r="U2029">
        <v>-3.0728</v>
      </c>
      <c r="V2029">
        <v>-8.1722970000000006E-2</v>
      </c>
      <c r="W2029">
        <v>0.1687062</v>
      </c>
      <c r="X2029">
        <v>0.9822727</v>
      </c>
      <c r="Y2029">
        <v>-0.1006749</v>
      </c>
      <c r="Z2029">
        <v>7.7337409999999995E-2</v>
      </c>
      <c r="AA2029">
        <v>0.99190900000000004</v>
      </c>
      <c r="AB2029">
        <v>24</v>
      </c>
      <c r="AC2029">
        <v>0.97509999999999697</v>
      </c>
      <c r="AD2029">
        <v>-1.1102224565233001</v>
      </c>
      <c r="AE2029">
        <v>-11.833399999999999</v>
      </c>
      <c r="AF2029">
        <v>-1.21410753776439</v>
      </c>
      <c r="AG2029">
        <v>-1.1102224565233001</v>
      </c>
      <c r="AH2029">
        <v>11.7078131033304</v>
      </c>
      <c r="AI2029">
        <v>95.388292831792697</v>
      </c>
      <c r="AJ2029">
        <v>95.920446201711002</v>
      </c>
      <c r="AK2029">
        <v>11.8228397045186</v>
      </c>
      <c r="AL2029">
        <v>80.287397093385493</v>
      </c>
      <c r="AM2029">
        <v>94.755932125238601</v>
      </c>
      <c r="AN2029">
        <v>1.0000000414546699</v>
      </c>
    </row>
    <row r="2030" spans="1:40" x14ac:dyDescent="0.25">
      <c r="A2030" t="str">
        <f>"20190304155404052"</f>
        <v>20190304155404052</v>
      </c>
      <c r="B2030" t="str">
        <f>"1551686044048235"</f>
        <v>1551686044048235</v>
      </c>
      <c r="C2030" t="s">
        <v>40</v>
      </c>
      <c r="D2030">
        <v>4.6435700000000004</v>
      </c>
      <c r="E2030">
        <v>0.48659750000000002</v>
      </c>
      <c r="F2030" t="s">
        <v>46</v>
      </c>
      <c r="G2030">
        <v>-490.94299999999998</v>
      </c>
      <c r="H2030" s="1">
        <v>-4.3035829999999999E-6</v>
      </c>
      <c r="I2030">
        <v>239.14150000000001</v>
      </c>
      <c r="J2030">
        <v>-492.00439999999998</v>
      </c>
      <c r="K2030">
        <v>1.110206</v>
      </c>
      <c r="L2030">
        <v>251.60249999999999</v>
      </c>
      <c r="M2030">
        <v>-2.162592E-2</v>
      </c>
      <c r="N2030">
        <v>-1.3784370000000001E-2</v>
      </c>
      <c r="O2030">
        <v>-0.99967119999999998</v>
      </c>
      <c r="P2030">
        <v>6.2956059999999994E-2</v>
      </c>
      <c r="Q2030">
        <v>0.15360209999999999</v>
      </c>
      <c r="R2030">
        <v>-0.98612520000000004</v>
      </c>
      <c r="S2030">
        <v>0.25485229999999998</v>
      </c>
      <c r="T2030">
        <v>-0.26806570000000002</v>
      </c>
      <c r="U2030">
        <v>-3.0689389999999999</v>
      </c>
      <c r="V2030">
        <v>-8.4147159999999999E-2</v>
      </c>
      <c r="W2030">
        <v>0.167219799999999</v>
      </c>
      <c r="X2030">
        <v>0.98232220000000003</v>
      </c>
      <c r="Y2030">
        <v>-0.1039997</v>
      </c>
      <c r="Z2030">
        <v>7.2849490000000003E-2</v>
      </c>
      <c r="AA2030">
        <v>0.9919057</v>
      </c>
      <c r="AB2030">
        <v>24</v>
      </c>
      <c r="AC2030">
        <v>1.06139999999993</v>
      </c>
      <c r="AD2030">
        <v>-1.110210303583</v>
      </c>
      <c r="AE2030">
        <v>-12.460999999999901</v>
      </c>
      <c r="AF2030">
        <v>-1.3202533640652201</v>
      </c>
      <c r="AG2030">
        <v>-1.110210303583</v>
      </c>
      <c r="AH2030">
        <v>12.3378979354372</v>
      </c>
      <c r="AI2030">
        <v>95.112807613810105</v>
      </c>
      <c r="AJ2030">
        <v>96.107862485148004</v>
      </c>
      <c r="AK2030">
        <v>12.45790356877</v>
      </c>
      <c r="AL2030">
        <v>80.373789022321205</v>
      </c>
      <c r="AM2030">
        <v>94.896088181071207</v>
      </c>
      <c r="AN2030">
        <v>1.00000005533047</v>
      </c>
    </row>
    <row r="2031" spans="1:40" x14ac:dyDescent="0.25">
      <c r="A2031" t="str">
        <f>"20190304155404072"</f>
        <v>20190304155404072</v>
      </c>
      <c r="B2031" t="str">
        <f>"1551686044068731"</f>
        <v>1551686044068731</v>
      </c>
      <c r="C2031" t="s">
        <v>40</v>
      </c>
      <c r="D2031">
        <v>4.6644990000000002</v>
      </c>
      <c r="E2031">
        <v>0.48633100000000001</v>
      </c>
      <c r="F2031" t="s">
        <v>46</v>
      </c>
      <c r="G2031">
        <v>-490.87079999999997</v>
      </c>
      <c r="H2031" s="1">
        <v>-4.0313650000000002E-6</v>
      </c>
      <c r="I2031">
        <v>238.4462</v>
      </c>
      <c r="J2031">
        <v>-492.00979999999998</v>
      </c>
      <c r="K2031">
        <v>1.1101939999999999</v>
      </c>
      <c r="L2031">
        <v>251.37860000000001</v>
      </c>
      <c r="M2031">
        <v>-2.2104820000000001E-2</v>
      </c>
      <c r="N2031">
        <v>-1.3779899999999999E-2</v>
      </c>
      <c r="O2031">
        <v>-0.99966069999999996</v>
      </c>
      <c r="P2031">
        <v>6.4108399999999996E-2</v>
      </c>
      <c r="Q2031">
        <v>0.15278159999999999</v>
      </c>
      <c r="R2031">
        <v>-0.98617860000000002</v>
      </c>
      <c r="S2031">
        <v>0.26416020000000001</v>
      </c>
      <c r="T2031">
        <v>-0.25869920000000002</v>
      </c>
      <c r="U2031">
        <v>-3.0656430000000001</v>
      </c>
      <c r="V2031">
        <v>-8.5768120000000003E-2</v>
      </c>
      <c r="W2031">
        <v>0.16639849999999901</v>
      </c>
      <c r="X2031">
        <v>0.98232140000000001</v>
      </c>
      <c r="Y2031">
        <v>-0.1075714</v>
      </c>
      <c r="Z2031">
        <v>6.9906759999999998E-2</v>
      </c>
      <c r="AA2031">
        <v>0.99173659999999997</v>
      </c>
      <c r="AB2031">
        <v>24</v>
      </c>
      <c r="AC2031">
        <v>1.13900000000001</v>
      </c>
      <c r="AD2031">
        <v>-1.1101980313649999</v>
      </c>
      <c r="AE2031">
        <v>-12.932399999999999</v>
      </c>
      <c r="AF2031">
        <v>-1.4142747741671899</v>
      </c>
      <c r="AG2031">
        <v>-1.1101980313649999</v>
      </c>
      <c r="AH2031">
        <v>12.8103792748568</v>
      </c>
      <c r="AI2031">
        <v>94.923338453842206</v>
      </c>
      <c r="AJ2031">
        <v>96.2999811563012</v>
      </c>
      <c r="AK2031">
        <v>12.935939469995001</v>
      </c>
      <c r="AL2031">
        <v>80.421514011430602</v>
      </c>
      <c r="AM2031">
        <v>94.989935784956401</v>
      </c>
      <c r="AN2031">
        <v>0.99999998205427199</v>
      </c>
    </row>
    <row r="2032" spans="1:40" x14ac:dyDescent="0.25">
      <c r="A2032" t="str">
        <f>"20190304155404094"</f>
        <v>20190304155404094</v>
      </c>
      <c r="B2032" t="str">
        <f>"1551686044088251"</f>
        <v>1551686044088251</v>
      </c>
      <c r="C2032" t="s">
        <v>40</v>
      </c>
      <c r="D2032">
        <v>4.6543599999999996</v>
      </c>
      <c r="E2032">
        <v>0.48662280000000002</v>
      </c>
      <c r="F2032" t="s">
        <v>46</v>
      </c>
      <c r="G2032">
        <v>-490.83199999999999</v>
      </c>
      <c r="H2032" s="1">
        <v>-3.845345E-6</v>
      </c>
      <c r="I2032">
        <v>238.0367</v>
      </c>
      <c r="J2032">
        <v>-492.0154</v>
      </c>
      <c r="K2032">
        <v>1.1101799999999999</v>
      </c>
      <c r="L2032">
        <v>251.15440000000001</v>
      </c>
      <c r="M2032">
        <v>-2.260682E-2</v>
      </c>
      <c r="N2032">
        <v>-1.3773779999999999E-2</v>
      </c>
      <c r="O2032">
        <v>-0.99964969999999997</v>
      </c>
      <c r="P2032">
        <v>6.489578E-2</v>
      </c>
      <c r="Q2032">
        <v>0.1522638</v>
      </c>
      <c r="R2032">
        <v>-0.98620739999999996</v>
      </c>
      <c r="S2032">
        <v>0.27047729999999998</v>
      </c>
      <c r="T2032">
        <v>-0.25495489999999998</v>
      </c>
      <c r="U2032">
        <v>-3.0639500000000002</v>
      </c>
      <c r="V2032">
        <v>-8.7045159999999996E-2</v>
      </c>
      <c r="W2032">
        <v>0.1658789</v>
      </c>
      <c r="X2032">
        <v>0.98229699999999998</v>
      </c>
      <c r="Y2032">
        <v>-0.1101528</v>
      </c>
      <c r="Z2032">
        <v>6.8733210000000003E-2</v>
      </c>
      <c r="AA2032">
        <v>0.99153519999999995</v>
      </c>
      <c r="AB2032">
        <v>24</v>
      </c>
      <c r="AC2032">
        <v>1.1834</v>
      </c>
      <c r="AD2032">
        <v>-1.1101838453449999</v>
      </c>
      <c r="AE2032">
        <v>-13.117699999999999</v>
      </c>
      <c r="AF2032">
        <v>-1.4692363894181499</v>
      </c>
      <c r="AG2032">
        <v>-1.1101838453449999</v>
      </c>
      <c r="AH2032">
        <v>12.995262236064001</v>
      </c>
      <c r="AI2032">
        <v>94.852152651308799</v>
      </c>
      <c r="AJ2032">
        <v>96.450434735803</v>
      </c>
      <c r="AK2032">
        <v>13.125090640545199</v>
      </c>
      <c r="AL2032">
        <v>80.451704963383705</v>
      </c>
      <c r="AM2032">
        <v>95.063974821714396</v>
      </c>
      <c r="AN2032">
        <v>1.0000000327768099</v>
      </c>
    </row>
    <row r="2033" spans="1:40" x14ac:dyDescent="0.25">
      <c r="A2033" t="str">
        <f>"20190304155404117"</f>
        <v>20190304155404117</v>
      </c>
      <c r="B2033" t="str">
        <f>"1551686044108750"</f>
        <v>1551686044108750</v>
      </c>
      <c r="C2033" t="s">
        <v>40</v>
      </c>
      <c r="D2033">
        <v>4.6697889999999997</v>
      </c>
      <c r="E2033">
        <v>0.48712369999999999</v>
      </c>
      <c r="F2033" t="s">
        <v>46</v>
      </c>
      <c r="G2033">
        <v>-490.80520000000001</v>
      </c>
      <c r="H2033" s="1">
        <v>-3.6047009999999998E-6</v>
      </c>
      <c r="I2033">
        <v>237.4924</v>
      </c>
      <c r="J2033">
        <v>-492.02140000000003</v>
      </c>
      <c r="K2033">
        <v>1.1101749999999999</v>
      </c>
      <c r="L2033">
        <v>250.9128</v>
      </c>
      <c r="M2033">
        <v>-2.3172350000000001E-2</v>
      </c>
      <c r="N2033">
        <v>-1.3762689999999999E-2</v>
      </c>
      <c r="O2033">
        <v>-0.99963709999999995</v>
      </c>
      <c r="P2033">
        <v>6.5288639999999995E-2</v>
      </c>
      <c r="Q2033">
        <v>0.15227829999999901</v>
      </c>
      <c r="R2033">
        <v>-0.98617909999999998</v>
      </c>
      <c r="S2033">
        <v>0.27127079999999998</v>
      </c>
      <c r="T2033">
        <v>-0.24886069999999999</v>
      </c>
      <c r="U2033">
        <v>-3.0625</v>
      </c>
      <c r="V2033">
        <v>-8.7988369999999996E-2</v>
      </c>
      <c r="W2033">
        <v>0.165885</v>
      </c>
      <c r="X2033">
        <v>0.98221190000000003</v>
      </c>
      <c r="Y2033">
        <v>-0.111023499999999</v>
      </c>
      <c r="Z2033">
        <v>6.6814699999999894E-2</v>
      </c>
      <c r="AA2033">
        <v>0.99156929999999999</v>
      </c>
      <c r="AB2033">
        <v>24</v>
      </c>
      <c r="AC2033">
        <v>1.2162000000000099</v>
      </c>
      <c r="AD2033">
        <v>-1.1101786047009901</v>
      </c>
      <c r="AE2033">
        <v>-13.420400000000001</v>
      </c>
      <c r="AF2033">
        <v>-1.51659123019859</v>
      </c>
      <c r="AG2033">
        <v>-1.1101786047009901</v>
      </c>
      <c r="AH2033">
        <v>13.298349809735999</v>
      </c>
      <c r="AI2033">
        <v>94.741532550545401</v>
      </c>
      <c r="AJ2033">
        <v>96.506106161974998</v>
      </c>
      <c r="AK2033">
        <v>13.430512021362301</v>
      </c>
      <c r="AL2033">
        <v>80.451350247412506</v>
      </c>
      <c r="AM2033">
        <v>95.118998575323602</v>
      </c>
      <c r="AN2033">
        <v>1.00000000149093</v>
      </c>
    </row>
    <row r="2034" spans="1:40" x14ac:dyDescent="0.25">
      <c r="A2034" t="str">
        <f>"20190304155404139"</f>
        <v>20190304155404139</v>
      </c>
      <c r="B2034" t="str">
        <f>"1551686044128274"</f>
        <v>1551686044128274</v>
      </c>
      <c r="C2034" t="s">
        <v>40</v>
      </c>
      <c r="D2034">
        <v>4.6954890000000002</v>
      </c>
      <c r="E2034">
        <v>0.48775590000000002</v>
      </c>
      <c r="F2034" t="s">
        <v>46</v>
      </c>
      <c r="G2034">
        <v>-490.77519999999998</v>
      </c>
      <c r="H2034" s="1">
        <v>-3.2625620000000001E-6</v>
      </c>
      <c r="I2034">
        <v>236.71340000000001</v>
      </c>
      <c r="J2034">
        <v>-492.02769999999998</v>
      </c>
      <c r="K2034">
        <v>1.1101589999999999</v>
      </c>
      <c r="L2034">
        <v>250.67250000000001</v>
      </c>
      <c r="M2034">
        <v>-2.375625E-2</v>
      </c>
      <c r="N2034">
        <v>-1.374629E-2</v>
      </c>
      <c r="O2034">
        <v>-0.9996235</v>
      </c>
      <c r="P2034">
        <v>6.6124710000000003E-2</v>
      </c>
      <c r="Q2034">
        <v>0.15322269999999999</v>
      </c>
      <c r="R2034">
        <v>-0.98597729999999995</v>
      </c>
      <c r="S2034">
        <v>0.26867679999999999</v>
      </c>
      <c r="T2034">
        <v>-0.23934250000000001</v>
      </c>
      <c r="U2034">
        <v>-3.0612339999999998</v>
      </c>
      <c r="V2034">
        <v>-8.9387099999999997E-2</v>
      </c>
      <c r="W2034">
        <v>0.16681360000000001</v>
      </c>
      <c r="X2034">
        <v>0.98192829999999998</v>
      </c>
      <c r="Y2034">
        <v>-0.1108261</v>
      </c>
      <c r="Z2034">
        <v>6.3799690000000006E-2</v>
      </c>
      <c r="AA2034">
        <v>0.9917899</v>
      </c>
      <c r="AB2034">
        <v>24</v>
      </c>
      <c r="AC2034">
        <v>1.25249999999999</v>
      </c>
      <c r="AD2034">
        <v>-1.110162262562</v>
      </c>
      <c r="AE2034">
        <v>-13.959099999999999</v>
      </c>
      <c r="AF2034">
        <v>-1.57391811152113</v>
      </c>
      <c r="AG2034">
        <v>-1.110162262562</v>
      </c>
      <c r="AH2034">
        <v>13.838572787652399</v>
      </c>
      <c r="AI2034">
        <v>94.557321559418796</v>
      </c>
      <c r="AJ2034">
        <v>96.4886041265611</v>
      </c>
      <c r="AK2034">
        <v>13.9719639016906</v>
      </c>
      <c r="AL2034">
        <v>80.397393669160607</v>
      </c>
      <c r="AM2034">
        <v>95.201425027178303</v>
      </c>
      <c r="AN2034">
        <v>1.00000000856612</v>
      </c>
    </row>
    <row r="2035" spans="1:40" x14ac:dyDescent="0.25">
      <c r="A2035" t="str">
        <f>"20190304155404154"</f>
        <v>20190304155404154</v>
      </c>
      <c r="B2035" t="str">
        <f>"1551686044148763"</f>
        <v>1551686044148763</v>
      </c>
      <c r="C2035" t="s">
        <v>40</v>
      </c>
      <c r="D2035">
        <v>4.6846829999999997</v>
      </c>
      <c r="E2035">
        <v>0.48805939999999998</v>
      </c>
      <c r="F2035" t="s">
        <v>46</v>
      </c>
      <c r="G2035">
        <v>-490.73250000000002</v>
      </c>
      <c r="H2035" s="1">
        <v>-2.8663960000000001E-6</v>
      </c>
      <c r="I2035">
        <v>235.81649999999999</v>
      </c>
      <c r="J2035">
        <v>-492.03199999999998</v>
      </c>
      <c r="K2035">
        <v>1.1101479999999999</v>
      </c>
      <c r="L2035">
        <v>250.5119</v>
      </c>
      <c r="M2035">
        <v>-2.4156339999999998E-2</v>
      </c>
      <c r="N2035">
        <v>-1.373136E-2</v>
      </c>
      <c r="O2035">
        <v>-0.9996138</v>
      </c>
      <c r="P2035">
        <v>6.6339410000000001E-2</v>
      </c>
      <c r="Q2035">
        <v>0.15356339999999999</v>
      </c>
      <c r="R2035">
        <v>-0.98590949999999999</v>
      </c>
      <c r="S2035">
        <v>0.26681519999999997</v>
      </c>
      <c r="T2035">
        <v>-0.2286898</v>
      </c>
      <c r="U2035">
        <v>-3.0602870000000002</v>
      </c>
      <c r="V2035">
        <v>-8.9989769999999997E-2</v>
      </c>
      <c r="W2035">
        <v>0.16714129999999899</v>
      </c>
      <c r="X2035">
        <v>0.98181750000000001</v>
      </c>
      <c r="Y2035">
        <v>-0.11067299999999999</v>
      </c>
      <c r="Z2035">
        <v>6.0404399999999997E-2</v>
      </c>
      <c r="AA2035">
        <v>0.99201950000000005</v>
      </c>
      <c r="AB2035">
        <v>24</v>
      </c>
      <c r="AC2035">
        <v>1.2994999999999599</v>
      </c>
      <c r="AD2035">
        <v>-1.11015086639599</v>
      </c>
      <c r="AE2035">
        <v>-14.695399999999999</v>
      </c>
      <c r="AF2035">
        <v>-1.6448272543278499</v>
      </c>
      <c r="AG2035">
        <v>-1.11015086639599</v>
      </c>
      <c r="AH2035">
        <v>14.5771716850393</v>
      </c>
      <c r="AI2035">
        <v>94.327699584255498</v>
      </c>
      <c r="AJ2035">
        <v>96.437787133065001</v>
      </c>
      <c r="AK2035">
        <v>14.711622139582399</v>
      </c>
      <c r="AL2035">
        <v>80.378350290754398</v>
      </c>
      <c r="AM2035">
        <v>95.236887667142796</v>
      </c>
      <c r="AN2035">
        <v>0.99999998808829604</v>
      </c>
    </row>
    <row r="2036" spans="1:40" x14ac:dyDescent="0.25">
      <c r="A2036" t="str">
        <f>"20190304155404173"</f>
        <v>20190304155404173</v>
      </c>
      <c r="B2036" t="str">
        <f>"1551686044168284"</f>
        <v>1551686044168284</v>
      </c>
      <c r="C2036" t="s">
        <v>40</v>
      </c>
      <c r="D2036">
        <v>4.6750930000000004</v>
      </c>
      <c r="E2036">
        <v>0.48860379999999998</v>
      </c>
      <c r="F2036" t="s">
        <v>46</v>
      </c>
      <c r="G2036">
        <v>-490.70659999999998</v>
      </c>
      <c r="H2036" s="1">
        <v>-2.6035600000000001E-6</v>
      </c>
      <c r="I2036">
        <v>235.21979999999999</v>
      </c>
      <c r="J2036">
        <v>-492.03699999999998</v>
      </c>
      <c r="K2036">
        <v>1.110136</v>
      </c>
      <c r="L2036">
        <v>250.32230000000001</v>
      </c>
      <c r="M2036">
        <v>-2.46345E-2</v>
      </c>
      <c r="N2036">
        <v>-1.371168E-2</v>
      </c>
      <c r="O2036">
        <v>-0.99960260000000001</v>
      </c>
      <c r="P2036">
        <v>6.7014999999999894E-2</v>
      </c>
      <c r="Q2036">
        <v>0.15424579999999999</v>
      </c>
      <c r="R2036">
        <v>-0.98575740000000001</v>
      </c>
      <c r="S2036">
        <v>0.26516719999999999</v>
      </c>
      <c r="T2036">
        <v>-0.22211810000000001</v>
      </c>
      <c r="U2036">
        <v>-3.059631</v>
      </c>
      <c r="V2036">
        <v>-9.1126299999999993E-2</v>
      </c>
      <c r="W2036">
        <v>0.16780510000000001</v>
      </c>
      <c r="X2036">
        <v>0.98159949999999996</v>
      </c>
      <c r="Y2036">
        <v>-0.11064889999999999</v>
      </c>
      <c r="Z2036">
        <v>5.831911E-2</v>
      </c>
      <c r="AA2036">
        <v>0.992147</v>
      </c>
      <c r="AB2036">
        <v>24</v>
      </c>
      <c r="AC2036">
        <v>1.33039999999999</v>
      </c>
      <c r="AD2036">
        <v>-1.11013860356</v>
      </c>
      <c r="AE2036">
        <v>-15.102499999999999</v>
      </c>
      <c r="AF2036">
        <v>-1.69299637633191</v>
      </c>
      <c r="AG2036">
        <v>-1.11013860356</v>
      </c>
      <c r="AH2036">
        <v>14.9847956521916</v>
      </c>
      <c r="AI2036">
        <v>94.210290347178798</v>
      </c>
      <c r="AJ2036">
        <v>96.445997005695403</v>
      </c>
      <c r="AK2036">
        <v>15.120937311798</v>
      </c>
      <c r="AL2036">
        <v>80.3397732651285</v>
      </c>
      <c r="AM2036">
        <v>95.303823424443394</v>
      </c>
      <c r="AN2036">
        <v>1.0000000662689701</v>
      </c>
    </row>
    <row r="2037" spans="1:40" x14ac:dyDescent="0.25">
      <c r="A2037" t="str">
        <f>"20190304155404194"</f>
        <v>20190304155404194</v>
      </c>
      <c r="B2037" t="str">
        <f>"1551686044188779"</f>
        <v>1551686044188779</v>
      </c>
      <c r="C2037" t="s">
        <v>40</v>
      </c>
      <c r="D2037">
        <v>4.6984490000000001</v>
      </c>
      <c r="E2037">
        <v>0.48886930000000001</v>
      </c>
      <c r="F2037" t="s">
        <v>46</v>
      </c>
      <c r="G2037">
        <v>-490.67250000000001</v>
      </c>
      <c r="H2037" s="1">
        <v>-2.261821E-6</v>
      </c>
      <c r="I2037">
        <v>234.4444</v>
      </c>
      <c r="J2037">
        <v>-492.04340000000002</v>
      </c>
      <c r="K2037">
        <v>1.110115</v>
      </c>
      <c r="L2037">
        <v>250.0926</v>
      </c>
      <c r="M2037">
        <v>-2.522143E-2</v>
      </c>
      <c r="N2037">
        <v>-1.3683890000000001E-2</v>
      </c>
      <c r="O2037">
        <v>-0.99958829999999999</v>
      </c>
      <c r="P2037">
        <v>6.7362889999999995E-2</v>
      </c>
      <c r="Q2037">
        <v>0.15426229999999999</v>
      </c>
      <c r="R2037">
        <v>-0.98573080000000002</v>
      </c>
      <c r="S2037">
        <v>0.26287840000000001</v>
      </c>
      <c r="T2037">
        <v>-0.213869</v>
      </c>
      <c r="U2037">
        <v>-3.0588989999999998</v>
      </c>
      <c r="V2037">
        <v>-9.2045660000000001E-2</v>
      </c>
      <c r="W2037">
        <v>0.16779659999999999</v>
      </c>
      <c r="X2037">
        <v>0.98151509999999997</v>
      </c>
      <c r="Y2037">
        <v>-0.11053109999999999</v>
      </c>
      <c r="Z2037">
        <v>5.5700569999999998E-2</v>
      </c>
      <c r="AA2037">
        <v>0.99231060000000004</v>
      </c>
      <c r="AB2037">
        <v>24</v>
      </c>
      <c r="AC2037">
        <v>1.3709</v>
      </c>
      <c r="AD2037">
        <v>-1.110117261821</v>
      </c>
      <c r="AE2037">
        <v>-15.648199999999999</v>
      </c>
      <c r="AF2037">
        <v>-1.75639847019685</v>
      </c>
      <c r="AG2037">
        <v>-1.110117261821</v>
      </c>
      <c r="AH2037">
        <v>15.531072613055301</v>
      </c>
      <c r="AI2037">
        <v>94.062579171399506</v>
      </c>
      <c r="AJ2037">
        <v>96.452128195678696</v>
      </c>
      <c r="AK2037">
        <v>15.6694451858737</v>
      </c>
      <c r="AL2037">
        <v>80.340266608543203</v>
      </c>
      <c r="AM2037">
        <v>95.3574811340591</v>
      </c>
      <c r="AN2037">
        <v>0.99999999701220199</v>
      </c>
    </row>
    <row r="2038" spans="1:40" x14ac:dyDescent="0.25">
      <c r="A2038" t="str">
        <f>"20190304155404217"</f>
        <v>20190304155404217</v>
      </c>
      <c r="B2038" t="str">
        <f>"1551686044208314"</f>
        <v>1551686044208314</v>
      </c>
      <c r="C2038" t="s">
        <v>40</v>
      </c>
      <c r="D2038">
        <v>4.7280419999999896</v>
      </c>
      <c r="E2038">
        <v>0.48842210000000003</v>
      </c>
      <c r="F2038" t="s">
        <v>46</v>
      </c>
      <c r="G2038">
        <v>-490.65879999999999</v>
      </c>
      <c r="H2038" s="1">
        <v>-2.0543200000000001E-6</v>
      </c>
      <c r="I2038">
        <v>233.9691</v>
      </c>
      <c r="J2038">
        <v>-492.05009999999999</v>
      </c>
      <c r="K2038">
        <v>1.1100989999999999</v>
      </c>
      <c r="L2038">
        <v>249.85310000000001</v>
      </c>
      <c r="M2038">
        <v>-2.5839560000000001E-2</v>
      </c>
      <c r="N2038">
        <v>-1.3650829999999999E-2</v>
      </c>
      <c r="O2038">
        <v>-0.99957309999999999</v>
      </c>
      <c r="P2038">
        <v>6.8074170000000003E-2</v>
      </c>
      <c r="Q2038">
        <v>0.1539374</v>
      </c>
      <c r="R2038">
        <v>-0.98573330000000003</v>
      </c>
      <c r="S2038">
        <v>0.26263429999999999</v>
      </c>
      <c r="T2038">
        <v>-0.2105776</v>
      </c>
      <c r="U2038">
        <v>-3.0584560000000001</v>
      </c>
      <c r="V2038">
        <v>-9.3361280000000005E-2</v>
      </c>
      <c r="W2038">
        <v>0.1674417</v>
      </c>
      <c r="X2038">
        <v>0.98145150000000003</v>
      </c>
      <c r="Y2038">
        <v>-0.1110848</v>
      </c>
      <c r="Z2038">
        <v>5.4676099999999998E-2</v>
      </c>
      <c r="AA2038">
        <v>0.99230580000000002</v>
      </c>
      <c r="AB2038">
        <v>24</v>
      </c>
      <c r="AC2038">
        <v>1.3913</v>
      </c>
      <c r="AD2038">
        <v>-1.1101010543199901</v>
      </c>
      <c r="AE2038">
        <v>-15.884</v>
      </c>
      <c r="AF2038">
        <v>-1.79262000745586</v>
      </c>
      <c r="AG2038">
        <v>-1.1101010543199901</v>
      </c>
      <c r="AH2038">
        <v>15.7663198351805</v>
      </c>
      <c r="AI2038">
        <v>94.001829756800205</v>
      </c>
      <c r="AJ2038">
        <v>96.4866354016158</v>
      </c>
      <c r="AK2038">
        <v>15.906685763764299</v>
      </c>
      <c r="AL2038">
        <v>80.360893210085706</v>
      </c>
      <c r="AM2038">
        <v>95.433951178083404</v>
      </c>
      <c r="AN2038">
        <v>1.0000000491771801</v>
      </c>
    </row>
    <row r="2039" spans="1:40" x14ac:dyDescent="0.25">
      <c r="A2039" t="str">
        <f>"20190304155404241"</f>
        <v>20190304155404241</v>
      </c>
      <c r="B2039" t="str">
        <f>"1551686044238556"</f>
        <v>1551686044238556</v>
      </c>
      <c r="C2039" t="s">
        <v>40</v>
      </c>
      <c r="D2039">
        <v>4.8338960000000002</v>
      </c>
      <c r="E2039">
        <v>0.48836550000000001</v>
      </c>
      <c r="F2039" t="s">
        <v>46</v>
      </c>
      <c r="G2039">
        <v>-490.6465</v>
      </c>
      <c r="H2039" s="1">
        <v>-2.006363E-6</v>
      </c>
      <c r="I2039">
        <v>233.86500000000001</v>
      </c>
      <c r="J2039">
        <v>-492.05739999999997</v>
      </c>
      <c r="K2039">
        <v>1.110087</v>
      </c>
      <c r="L2039">
        <v>249.60230000000001</v>
      </c>
      <c r="M2039">
        <v>-2.6491279999999999E-2</v>
      </c>
      <c r="N2039">
        <v>-1.361103E-2</v>
      </c>
      <c r="O2039">
        <v>-0.99955660000000002</v>
      </c>
      <c r="P2039">
        <v>6.8352070000000001E-2</v>
      </c>
      <c r="Q2039">
        <v>0.15389549999999999</v>
      </c>
      <c r="R2039">
        <v>-0.98572070000000001</v>
      </c>
      <c r="S2039">
        <v>0.26846310000000001</v>
      </c>
      <c r="T2039">
        <v>-0.2123283</v>
      </c>
      <c r="U2039">
        <v>-3.0580440000000002</v>
      </c>
      <c r="V2039">
        <v>-9.4277949999999999E-2</v>
      </c>
      <c r="W2039">
        <v>0.16736180000000001</v>
      </c>
      <c r="X2039">
        <v>0.98137739999999996</v>
      </c>
      <c r="Y2039">
        <v>-0.1136165</v>
      </c>
      <c r="Z2039">
        <v>5.5272790000000002E-2</v>
      </c>
      <c r="AA2039">
        <v>0.99198600000000003</v>
      </c>
      <c r="AB2039">
        <v>24</v>
      </c>
      <c r="AC2039">
        <v>1.4108999999999601</v>
      </c>
      <c r="AD2039">
        <v>-1.110089006363</v>
      </c>
      <c r="AE2039">
        <v>-15.737299999999999</v>
      </c>
      <c r="AF2039">
        <v>-1.8183689603595099</v>
      </c>
      <c r="AG2039">
        <v>-1.110089006363</v>
      </c>
      <c r="AH2039">
        <v>15.617308278253899</v>
      </c>
      <c r="AI2039">
        <v>94.0385936683587</v>
      </c>
      <c r="AJ2039">
        <v>96.641212395906607</v>
      </c>
      <c r="AK2039">
        <v>15.7619504229668</v>
      </c>
      <c r="AL2039">
        <v>80.365535728158306</v>
      </c>
      <c r="AM2039">
        <v>95.487392291130107</v>
      </c>
      <c r="AN2039">
        <v>0.99999995259310004</v>
      </c>
    </row>
    <row r="2040" spans="1:40" x14ac:dyDescent="0.25">
      <c r="A2040" t="str">
        <f>"20190304155404264"</f>
        <v>20190304155404264</v>
      </c>
      <c r="B2040" t="str">
        <f>"1551686044259051"</f>
        <v>1551686044259051</v>
      </c>
      <c r="C2040" t="s">
        <v>40</v>
      </c>
      <c r="D2040">
        <v>4.7184470000000003</v>
      </c>
      <c r="E2040">
        <v>0.48845460000000002</v>
      </c>
      <c r="F2040" t="s">
        <v>46</v>
      </c>
      <c r="G2040">
        <v>-490.66890000000001</v>
      </c>
      <c r="H2040" s="1">
        <v>-1.9962949999999999E-6</v>
      </c>
      <c r="I2040">
        <v>233.82759999999999</v>
      </c>
      <c r="J2040">
        <v>-492.0643</v>
      </c>
      <c r="K2040">
        <v>1.1100779999999999</v>
      </c>
      <c r="L2040">
        <v>249.36969999999999</v>
      </c>
      <c r="M2040">
        <v>-2.709752E-2</v>
      </c>
      <c r="N2040">
        <v>-1.3564990000000001E-2</v>
      </c>
      <c r="O2040">
        <v>-0.99954089999999995</v>
      </c>
      <c r="P2040">
        <v>6.8583699999999997E-2</v>
      </c>
      <c r="Q2040">
        <v>0.1534983</v>
      </c>
      <c r="R2040">
        <v>-0.98576609999999998</v>
      </c>
      <c r="S2040">
        <v>0.26919559999999998</v>
      </c>
      <c r="T2040">
        <v>-0.21522430000000001</v>
      </c>
      <c r="U2040">
        <v>-3.058395</v>
      </c>
      <c r="V2040">
        <v>-9.5107319999999995E-2</v>
      </c>
      <c r="W2040">
        <v>0.16692029999999999</v>
      </c>
      <c r="X2040">
        <v>0.98137260000000004</v>
      </c>
      <c r="Y2040">
        <v>-0.1144391</v>
      </c>
      <c r="Z2040">
        <v>5.6240320000000003E-2</v>
      </c>
      <c r="AA2040">
        <v>0.99183699999999997</v>
      </c>
      <c r="AB2040">
        <v>23</v>
      </c>
      <c r="AC2040">
        <v>1.39539999999999</v>
      </c>
      <c r="AD2040">
        <v>-1.1100799962950001</v>
      </c>
      <c r="AE2040">
        <v>-15.5421</v>
      </c>
      <c r="AF2040">
        <v>-1.80693438336413</v>
      </c>
      <c r="AG2040">
        <v>-1.1100799962950001</v>
      </c>
      <c r="AH2040">
        <v>15.420539201937199</v>
      </c>
      <c r="AI2040">
        <v>94.089570511598893</v>
      </c>
      <c r="AJ2040">
        <v>96.683277473581796</v>
      </c>
      <c r="AK2040">
        <v>15.5656775870002</v>
      </c>
      <c r="AL2040">
        <v>80.391193042526496</v>
      </c>
      <c r="AM2040">
        <v>95.535393669006893</v>
      </c>
      <c r="AN2040">
        <v>0.99999998445021598</v>
      </c>
    </row>
    <row r="2041" spans="1:40" x14ac:dyDescent="0.25">
      <c r="A2041" t="str">
        <f>"20190304155404284"</f>
        <v>20190304155404284</v>
      </c>
      <c r="B2041" t="str">
        <f>"1551686044278572"</f>
        <v>1551686044278572</v>
      </c>
      <c r="C2041" t="s">
        <v>40</v>
      </c>
      <c r="D2041">
        <v>4.73956</v>
      </c>
      <c r="E2041">
        <v>0.48820570000000002</v>
      </c>
      <c r="F2041" t="s">
        <v>46</v>
      </c>
      <c r="G2041">
        <v>-490.67219999999998</v>
      </c>
      <c r="H2041" s="1">
        <v>-1.8868239999999999E-6</v>
      </c>
      <c r="I2041">
        <v>233.57040000000001</v>
      </c>
      <c r="J2041">
        <v>-492.07080000000002</v>
      </c>
      <c r="K2041">
        <v>1.1100669999999999</v>
      </c>
      <c r="L2041">
        <v>249.15270000000001</v>
      </c>
      <c r="M2041">
        <v>-2.7662590000000001E-2</v>
      </c>
      <c r="N2041">
        <v>-1.351433E-2</v>
      </c>
      <c r="O2041">
        <v>-0.99952609999999997</v>
      </c>
      <c r="P2041">
        <v>6.8784120000000004E-2</v>
      </c>
      <c r="Q2041">
        <v>0.1529102</v>
      </c>
      <c r="R2041">
        <v>-0.9858439</v>
      </c>
      <c r="S2041">
        <v>0.2694397</v>
      </c>
      <c r="T2041">
        <v>-0.2148602</v>
      </c>
      <c r="U2041">
        <v>-3.058014</v>
      </c>
      <c r="V2041">
        <v>-9.5866489999999999E-2</v>
      </c>
      <c r="W2041">
        <v>0.16628370000000001</v>
      </c>
      <c r="X2041">
        <v>0.98140680000000002</v>
      </c>
      <c r="Y2041">
        <v>-0.1150904</v>
      </c>
      <c r="Z2041">
        <v>5.6177150000000002E-2</v>
      </c>
      <c r="AA2041">
        <v>0.99176529999999996</v>
      </c>
      <c r="AB2041">
        <v>23</v>
      </c>
      <c r="AC2041">
        <v>1.39860000000004</v>
      </c>
      <c r="AD2041">
        <v>-1.1100688868239901</v>
      </c>
      <c r="AE2041">
        <v>-15.5823</v>
      </c>
      <c r="AF2041">
        <v>-1.81998812655491</v>
      </c>
      <c r="AG2041">
        <v>-1.1100688868239901</v>
      </c>
      <c r="AH2041">
        <v>15.459811758307699</v>
      </c>
      <c r="AI2041">
        <v>94.078918724075393</v>
      </c>
      <c r="AJ2041">
        <v>96.714174927593106</v>
      </c>
      <c r="AK2041">
        <v>15.6061010286555</v>
      </c>
      <c r="AL2041">
        <v>80.428184478007097</v>
      </c>
      <c r="AM2041">
        <v>95.579107646647799</v>
      </c>
      <c r="AN2041">
        <v>0.99999997993842404</v>
      </c>
    </row>
    <row r="2042" spans="1:40" x14ac:dyDescent="0.25">
      <c r="A2042" t="str">
        <f>"20190304155404306"</f>
        <v>20190304155404306</v>
      </c>
      <c r="B2042" t="str">
        <f>"1551686044299067"</f>
        <v>1551686044299067</v>
      </c>
      <c r="C2042" t="s">
        <v>40</v>
      </c>
      <c r="D2042">
        <v>4.6881899999999996</v>
      </c>
      <c r="E2042">
        <v>0.48784699999999998</v>
      </c>
      <c r="F2042" t="s">
        <v>46</v>
      </c>
      <c r="G2042">
        <v>-490.67750000000001</v>
      </c>
      <c r="H2042" s="1">
        <v>-1.8775490000000001E-6</v>
      </c>
      <c r="I2042">
        <v>233.5455</v>
      </c>
      <c r="J2042">
        <v>-492.07810000000001</v>
      </c>
      <c r="K2042">
        <v>1.1100490000000001</v>
      </c>
      <c r="L2042">
        <v>248.9177</v>
      </c>
      <c r="M2042">
        <v>-2.8271359999999999E-2</v>
      </c>
      <c r="N2042">
        <v>-1.3458380000000001E-2</v>
      </c>
      <c r="O2042">
        <v>-0.9995096</v>
      </c>
      <c r="P2042">
        <v>6.8929779999999996E-2</v>
      </c>
      <c r="Q2042">
        <v>0.15261920000000001</v>
      </c>
      <c r="R2042">
        <v>-0.98587849999999999</v>
      </c>
      <c r="S2042">
        <v>0.27297969999999999</v>
      </c>
      <c r="T2042">
        <v>-0.21748670000000001</v>
      </c>
      <c r="U2042">
        <v>-3.0577999999999999</v>
      </c>
      <c r="V2042">
        <v>-9.6612509999999999E-2</v>
      </c>
      <c r="W2042">
        <v>0.16593810000000001</v>
      </c>
      <c r="X2042">
        <v>0.98139209999999999</v>
      </c>
      <c r="Y2042">
        <v>-0.1168346</v>
      </c>
      <c r="Z2042">
        <v>5.707309E-2</v>
      </c>
      <c r="AA2042">
        <v>0.99151020000000001</v>
      </c>
      <c r="AB2042">
        <v>23</v>
      </c>
      <c r="AC2042">
        <v>1.4005999999999901</v>
      </c>
      <c r="AD2042">
        <v>-1.1100508775489999</v>
      </c>
      <c r="AE2042">
        <v>-15.3721999999999</v>
      </c>
      <c r="AF2042">
        <v>-1.8252331167422899</v>
      </c>
      <c r="AG2042">
        <v>-1.1100508775489999</v>
      </c>
      <c r="AH2042">
        <v>15.2475997408695</v>
      </c>
      <c r="AI2042">
        <v>94.134469263044295</v>
      </c>
      <c r="AJ2042">
        <v>96.826181604545397</v>
      </c>
      <c r="AK2042">
        <v>15.396525151441301</v>
      </c>
      <c r="AL2042">
        <v>80.448264509851597</v>
      </c>
      <c r="AM2042">
        <v>95.622330081529398</v>
      </c>
      <c r="AN2042">
        <v>0.99999994203125797</v>
      </c>
    </row>
    <row r="2043" spans="1:40" x14ac:dyDescent="0.25">
      <c r="A2043" t="str">
        <f>"20190304155404329"</f>
        <v>20190304155404329</v>
      </c>
      <c r="B2043" t="str">
        <f>"1551686044318592"</f>
        <v>1551686044318592</v>
      </c>
      <c r="C2043" t="s">
        <v>40</v>
      </c>
      <c r="D2043">
        <v>4.6068150000000001</v>
      </c>
      <c r="E2043">
        <v>0.45932099999999998</v>
      </c>
      <c r="F2043" t="s">
        <v>46</v>
      </c>
      <c r="G2043">
        <v>-490.67020000000002</v>
      </c>
      <c r="H2043" s="1">
        <v>-1.789978E-6</v>
      </c>
      <c r="I2043">
        <v>233.3459</v>
      </c>
      <c r="J2043">
        <v>-492.08550000000002</v>
      </c>
      <c r="K2043">
        <v>1.1100429999999999</v>
      </c>
      <c r="L2043">
        <v>248.68049999999999</v>
      </c>
      <c r="M2043">
        <v>-2.8882640000000001E-2</v>
      </c>
      <c r="N2043">
        <v>-1.3404640000000001E-2</v>
      </c>
      <c r="O2043">
        <v>-0.99949319999999997</v>
      </c>
      <c r="P2043">
        <v>6.8982630000000003E-2</v>
      </c>
      <c r="Q2043">
        <v>0.152507</v>
      </c>
      <c r="R2043">
        <v>-0.98589249999999995</v>
      </c>
      <c r="S2043">
        <v>0.27642820000000001</v>
      </c>
      <c r="T2043">
        <v>-0.2179497</v>
      </c>
      <c r="U2043">
        <v>-3.057388</v>
      </c>
      <c r="V2043">
        <v>-9.7267569999999998E-2</v>
      </c>
      <c r="W2043">
        <v>0.16577310000000001</v>
      </c>
      <c r="X2043">
        <v>0.98135539999999999</v>
      </c>
      <c r="Y2043">
        <v>-0.1185611</v>
      </c>
      <c r="Z2043">
        <v>5.7272509999999999E-2</v>
      </c>
      <c r="AA2043">
        <v>0.99129370000000006</v>
      </c>
      <c r="AB2043">
        <v>23</v>
      </c>
      <c r="AC2043">
        <v>1.4153</v>
      </c>
      <c r="AD2043">
        <v>-1.1100447899779999</v>
      </c>
      <c r="AE2043">
        <v>-15.334599999999901</v>
      </c>
      <c r="AF2043">
        <v>-1.8480507513678099</v>
      </c>
      <c r="AG2043">
        <v>-1.1100447899779999</v>
      </c>
      <c r="AH2043">
        <v>15.2083008708835</v>
      </c>
      <c r="AI2043">
        <v>94.144204499693501</v>
      </c>
      <c r="AJ2043">
        <v>96.928381140951799</v>
      </c>
      <c r="AK2043">
        <v>15.3603354909554</v>
      </c>
      <c r="AL2043">
        <v>80.457852233345207</v>
      </c>
      <c r="AM2043">
        <v>95.660414648583895</v>
      </c>
      <c r="AN2043">
        <v>1.00000006098323</v>
      </c>
    </row>
    <row r="2044" spans="1:40" x14ac:dyDescent="0.25">
      <c r="A2044" t="str">
        <f>"20190304155404350"</f>
        <v>20190304155404350</v>
      </c>
      <c r="B2044" t="str">
        <f>"1551686044348843"</f>
        <v>1551686044348843</v>
      </c>
      <c r="C2044" t="s">
        <v>40</v>
      </c>
      <c r="D2044">
        <v>4.5554230000000002</v>
      </c>
      <c r="E2044">
        <v>0.45814959999999999</v>
      </c>
      <c r="F2044" t="s">
        <v>46</v>
      </c>
      <c r="G2044">
        <v>-489.25119999999998</v>
      </c>
      <c r="H2044" s="1">
        <v>-9.8051769999999896E-7</v>
      </c>
      <c r="I2044">
        <v>231.6087</v>
      </c>
      <c r="J2044">
        <v>-492.09269999999998</v>
      </c>
      <c r="K2044">
        <v>1.110039</v>
      </c>
      <c r="L2044">
        <v>248.45519999999999</v>
      </c>
      <c r="M2044">
        <v>-2.946381E-2</v>
      </c>
      <c r="N2044">
        <v>-1.3352630000000001E-2</v>
      </c>
      <c r="O2044">
        <v>-0.9994767</v>
      </c>
      <c r="P2044">
        <v>6.934427E-2</v>
      </c>
      <c r="Q2044">
        <v>0.1527319</v>
      </c>
      <c r="R2044">
        <v>-0.98583200000000004</v>
      </c>
      <c r="S2044">
        <v>0.50442500000000001</v>
      </c>
      <c r="T2044">
        <v>-0.19755300000000001</v>
      </c>
      <c r="U2044">
        <v>-3.0382389999999999</v>
      </c>
      <c r="V2044">
        <v>-9.819957E-2</v>
      </c>
      <c r="W2044">
        <v>0.16594610000000001</v>
      </c>
      <c r="X2044">
        <v>0.98123329999999997</v>
      </c>
      <c r="Y2044">
        <v>-0.1924729</v>
      </c>
      <c r="Z2044">
        <v>5.0438549999999999E-2</v>
      </c>
      <c r="AA2044">
        <v>0.98000509999999996</v>
      </c>
      <c r="AB2044">
        <v>23</v>
      </c>
      <c r="AC2044">
        <v>2.8414999999999901</v>
      </c>
      <c r="AD2044">
        <v>-1.1100399805176999</v>
      </c>
      <c r="AE2044">
        <v>-16.846499999999899</v>
      </c>
      <c r="AF2044">
        <v>-3.3226456366098298</v>
      </c>
      <c r="AG2044">
        <v>-1.1100399805176999</v>
      </c>
      <c r="AH2044">
        <v>16.685018757062899</v>
      </c>
      <c r="AI2044">
        <v>93.733141397635407</v>
      </c>
      <c r="AJ2044">
        <v>101.26251572301101</v>
      </c>
      <c r="AK2044">
        <v>17.048812677379399</v>
      </c>
      <c r="AL2044">
        <v>80.447800512110206</v>
      </c>
      <c r="AM2044">
        <v>95.715000801962205</v>
      </c>
      <c r="AN2044">
        <v>1.0000000263411399</v>
      </c>
    </row>
    <row r="2045" spans="1:40" x14ac:dyDescent="0.25">
      <c r="A2045" t="str">
        <f>"20190304155404374"</f>
        <v>20190304155404374</v>
      </c>
      <c r="B2045" t="str">
        <f>"1551686044368364"</f>
        <v>1551686044368364</v>
      </c>
      <c r="C2045" t="s">
        <v>40</v>
      </c>
      <c r="D2045">
        <v>4.4962400000000002</v>
      </c>
      <c r="E2045">
        <v>0.45756829999999998</v>
      </c>
      <c r="F2045" t="s">
        <v>46</v>
      </c>
      <c r="G2045">
        <v>-489.21570000000003</v>
      </c>
      <c r="H2045" s="1">
        <v>-9.301439E-7</v>
      </c>
      <c r="I2045">
        <v>231.47669999999999</v>
      </c>
      <c r="J2045">
        <v>-492.10050000000001</v>
      </c>
      <c r="K2045">
        <v>1.110033</v>
      </c>
      <c r="L2045">
        <v>248.21619999999999</v>
      </c>
      <c r="M2045">
        <v>-3.008127E-2</v>
      </c>
      <c r="N2045">
        <v>-1.3297730000000001E-2</v>
      </c>
      <c r="O2045">
        <v>-0.99945910000000004</v>
      </c>
      <c r="P2045">
        <v>6.9797369999999997E-2</v>
      </c>
      <c r="Q2045">
        <v>0.15286830000000001</v>
      </c>
      <c r="R2045">
        <v>-0.98577870000000001</v>
      </c>
      <c r="S2045">
        <v>0.51473999999999998</v>
      </c>
      <c r="T2045">
        <v>-0.19859979999999999</v>
      </c>
      <c r="U2045">
        <v>-3.037674</v>
      </c>
      <c r="V2045">
        <v>-9.9258840000000001E-2</v>
      </c>
      <c r="W2045">
        <v>0.16602700000000001</v>
      </c>
      <c r="X2045">
        <v>0.98111300000000001</v>
      </c>
      <c r="Y2045">
        <v>-0.1963386</v>
      </c>
      <c r="Z2045">
        <v>5.079637E-2</v>
      </c>
      <c r="AA2045">
        <v>0.97921950000000002</v>
      </c>
      <c r="AB2045">
        <v>23</v>
      </c>
      <c r="AC2045">
        <v>2.8847999999999798</v>
      </c>
      <c r="AD2045">
        <v>-1.1100339301438999</v>
      </c>
      <c r="AE2045">
        <v>-16.7394999999999</v>
      </c>
      <c r="AF2045">
        <v>-3.3726811835577499</v>
      </c>
      <c r="AG2045">
        <v>-1.1100339301438999</v>
      </c>
      <c r="AH2045">
        <v>16.574356663840899</v>
      </c>
      <c r="AI2045">
        <v>93.754823649398006</v>
      </c>
      <c r="AJ2045">
        <v>101.501959178685</v>
      </c>
      <c r="AK2045">
        <v>16.9504115735342</v>
      </c>
      <c r="AL2045">
        <v>80.4430998291826</v>
      </c>
      <c r="AM2045">
        <v>95.776936820375298</v>
      </c>
      <c r="AN2045">
        <v>1.00000000040807</v>
      </c>
    </row>
    <row r="2046" spans="1:40" x14ac:dyDescent="0.25">
      <c r="A2046" t="str">
        <f>"20190304155404395"</f>
        <v>20190304155404395</v>
      </c>
      <c r="B2046" t="str">
        <f>"1551686044388859"</f>
        <v>1551686044388859</v>
      </c>
      <c r="C2046" t="s">
        <v>40</v>
      </c>
      <c r="D2046">
        <v>4.4830430000000003</v>
      </c>
      <c r="E2046">
        <v>0.45751540000000002</v>
      </c>
      <c r="F2046" t="s">
        <v>46</v>
      </c>
      <c r="G2046">
        <v>-489.2002</v>
      </c>
      <c r="H2046" s="1">
        <v>-8.6607950000000002E-7</v>
      </c>
      <c r="I2046">
        <v>231.32089999999999</v>
      </c>
      <c r="J2046">
        <v>-492.108</v>
      </c>
      <c r="K2046">
        <v>1.1100319999999999</v>
      </c>
      <c r="L2046">
        <v>247.99090000000001</v>
      </c>
      <c r="M2046">
        <v>-3.0663200000000002E-2</v>
      </c>
      <c r="N2046">
        <v>-1.3249810000000001E-2</v>
      </c>
      <c r="O2046">
        <v>-0.99944219999999895</v>
      </c>
      <c r="P2046">
        <v>7.0039920000000006E-2</v>
      </c>
      <c r="Q2046">
        <v>0.15314469999999999</v>
      </c>
      <c r="R2046">
        <v>-0.98571909999999896</v>
      </c>
      <c r="S2046">
        <v>0.52139279999999999</v>
      </c>
      <c r="T2046">
        <v>-0.19955400000000001</v>
      </c>
      <c r="U2046">
        <v>-3.0373079999999999</v>
      </c>
      <c r="V2046">
        <v>-0.1000732</v>
      </c>
      <c r="W2046">
        <v>0.1662546</v>
      </c>
      <c r="X2046">
        <v>0.98099170000000002</v>
      </c>
      <c r="Y2046">
        <v>-0.1990082</v>
      </c>
      <c r="Z2046">
        <v>5.112684E-2</v>
      </c>
      <c r="AA2046">
        <v>0.97866330000000001</v>
      </c>
      <c r="AB2046">
        <v>23</v>
      </c>
      <c r="AC2046">
        <v>2.9077999999999999</v>
      </c>
      <c r="AD2046">
        <v>-1.11003286607949</v>
      </c>
      <c r="AE2046">
        <v>-16.670000000000002</v>
      </c>
      <c r="AF2046">
        <v>-3.4029892612792598</v>
      </c>
      <c r="AG2046">
        <v>-1.11003286607949</v>
      </c>
      <c r="AH2046">
        <v>16.501979723133299</v>
      </c>
      <c r="AI2046">
        <v>93.769224027135095</v>
      </c>
      <c r="AJ2046">
        <v>101.652028656833</v>
      </c>
      <c r="AK2046">
        <v>16.8857289940015</v>
      </c>
      <c r="AL2046">
        <v>80.429875287123707</v>
      </c>
      <c r="AM2046">
        <v>95.824723863923396</v>
      </c>
      <c r="AN2046">
        <v>0.99999997642414395</v>
      </c>
    </row>
    <row r="2047" spans="1:40" x14ac:dyDescent="0.25">
      <c r="A2047" t="str">
        <f>"20190304155404418"</f>
        <v>20190304155404418</v>
      </c>
      <c r="B2047" t="str">
        <f>"1551686044408485"</f>
        <v>1551686044408485</v>
      </c>
      <c r="C2047" t="s">
        <v>40</v>
      </c>
      <c r="D2047">
        <v>4.5063589999999998</v>
      </c>
      <c r="E2047">
        <v>0.45739190000000002</v>
      </c>
      <c r="F2047" t="s">
        <v>46</v>
      </c>
      <c r="G2047">
        <v>-489.1662</v>
      </c>
      <c r="H2047" s="1">
        <v>-6.9447579999999997E-7</v>
      </c>
      <c r="I2047">
        <v>230.90690000000001</v>
      </c>
      <c r="J2047">
        <v>-492.11610000000002</v>
      </c>
      <c r="K2047">
        <v>1.1100350000000001</v>
      </c>
      <c r="L2047">
        <v>247.74950000000001</v>
      </c>
      <c r="M2047">
        <v>-3.1286170000000002E-2</v>
      </c>
      <c r="N2047">
        <v>-1.3199829999999999E-2</v>
      </c>
      <c r="O2047">
        <v>-0.99942359999999997</v>
      </c>
      <c r="P2047">
        <v>7.1878620000000004E-2</v>
      </c>
      <c r="Q2047">
        <v>0.15327950000000001</v>
      </c>
      <c r="R2047">
        <v>-0.98556569999999999</v>
      </c>
      <c r="S2047">
        <v>0.5229492</v>
      </c>
      <c r="T2047">
        <v>-0.1973269</v>
      </c>
      <c r="U2047">
        <v>-3.036972</v>
      </c>
      <c r="V2047">
        <v>-0.10251970000000001</v>
      </c>
      <c r="W2047">
        <v>0.16633879999999901</v>
      </c>
      <c r="X2047">
        <v>0.98072479999999995</v>
      </c>
      <c r="Y2047">
        <v>-0.20013059999999999</v>
      </c>
      <c r="Z2047">
        <v>5.0454869999999999E-2</v>
      </c>
      <c r="AA2047">
        <v>0.97846929999999999</v>
      </c>
      <c r="AB2047">
        <v>23</v>
      </c>
      <c r="AC2047">
        <v>2.9499000000000102</v>
      </c>
      <c r="AD2047">
        <v>-1.1100356944758001</v>
      </c>
      <c r="AE2047">
        <v>-16.842600000000001</v>
      </c>
      <c r="AF2047">
        <v>-3.46085652224706</v>
      </c>
      <c r="AG2047">
        <v>-1.1100356944758001</v>
      </c>
      <c r="AH2047">
        <v>16.671793243233701</v>
      </c>
      <c r="AI2047">
        <v>93.729938875324194</v>
      </c>
      <c r="AJ2047">
        <v>101.72732943653899</v>
      </c>
      <c r="AK2047">
        <v>17.063364177550799</v>
      </c>
      <c r="AL2047">
        <v>80.4249831768268</v>
      </c>
      <c r="AM2047">
        <v>95.9677184644829</v>
      </c>
      <c r="AN2047">
        <v>1.00000000930428</v>
      </c>
    </row>
    <row r="2048" spans="1:40" x14ac:dyDescent="0.25">
      <c r="A2048" t="str">
        <f>"20190304155404432"</f>
        <v>20190304155404432</v>
      </c>
      <c r="B2048" t="str">
        <f>"1551686044428982"</f>
        <v>1551686044428982</v>
      </c>
      <c r="C2048" t="s">
        <v>40</v>
      </c>
      <c r="D2048">
        <v>4.4275960000000003</v>
      </c>
      <c r="E2048">
        <v>0.45733570000000001</v>
      </c>
      <c r="F2048" t="s">
        <v>46</v>
      </c>
      <c r="G2048">
        <v>-489.13170000000002</v>
      </c>
      <c r="H2048" s="1">
        <v>-5.8305769999999995E-7</v>
      </c>
      <c r="I2048">
        <v>230.6328</v>
      </c>
      <c r="J2048">
        <v>-492.12099999999998</v>
      </c>
      <c r="K2048">
        <v>1.1100319999999999</v>
      </c>
      <c r="L2048">
        <v>247.60740000000001</v>
      </c>
      <c r="M2048">
        <v>-3.165283E-2</v>
      </c>
      <c r="N2048">
        <v>-1.31697999999999E-2</v>
      </c>
      <c r="O2048">
        <v>-0.99941239999999998</v>
      </c>
      <c r="P2048">
        <v>7.2193489999999999E-2</v>
      </c>
      <c r="Q2048">
        <v>0.1534655</v>
      </c>
      <c r="R2048">
        <v>-0.98551339999999998</v>
      </c>
      <c r="S2048">
        <v>0.52935790000000005</v>
      </c>
      <c r="T2048">
        <v>-0.19688530000000001</v>
      </c>
      <c r="U2048">
        <v>-3.035965</v>
      </c>
      <c r="V2048">
        <v>-0.1031931</v>
      </c>
      <c r="W2048">
        <v>0.166494899999999</v>
      </c>
      <c r="X2048">
        <v>0.98062769999999999</v>
      </c>
      <c r="Y2048">
        <v>-0.20254920000000001</v>
      </c>
      <c r="Z2048">
        <v>5.0334379999999998E-2</v>
      </c>
      <c r="AA2048">
        <v>0.9779776</v>
      </c>
      <c r="AB2048">
        <v>23</v>
      </c>
      <c r="AC2048">
        <v>2.9892999999999499</v>
      </c>
      <c r="AD2048">
        <v>-1.11003258305769</v>
      </c>
      <c r="AE2048">
        <v>-16.974599999999999</v>
      </c>
      <c r="AF2048">
        <v>-3.5105815981149702</v>
      </c>
      <c r="AG2048">
        <v>-1.11003258305769</v>
      </c>
      <c r="AH2048">
        <v>16.801776083126299</v>
      </c>
      <c r="AI2048">
        <v>93.700156221746397</v>
      </c>
      <c r="AJ2048">
        <v>101.801658891637</v>
      </c>
      <c r="AK2048">
        <v>17.2004661285672</v>
      </c>
      <c r="AL2048">
        <v>80.415912993471593</v>
      </c>
      <c r="AM2048">
        <v>96.007222147258105</v>
      </c>
      <c r="AN2048">
        <v>1.0000000268104501</v>
      </c>
    </row>
    <row r="2049" spans="1:40" x14ac:dyDescent="0.25">
      <c r="A2049" t="str">
        <f>"20190304155404453"</f>
        <v>20190304155404453</v>
      </c>
      <c r="B2049" t="str">
        <f>"1551686044448502"</f>
        <v>1551686044448502</v>
      </c>
      <c r="C2049" t="s">
        <v>40</v>
      </c>
      <c r="D2049">
        <v>4.7669350000000001</v>
      </c>
      <c r="E2049">
        <v>0.45730700000000002</v>
      </c>
      <c r="F2049" t="s">
        <v>46</v>
      </c>
      <c r="G2049">
        <v>-489.10910000000001</v>
      </c>
      <c r="H2049" s="1">
        <v>-4.9111839999999999E-7</v>
      </c>
      <c r="I2049">
        <v>230.3947</v>
      </c>
      <c r="J2049">
        <v>-492.12860000000001</v>
      </c>
      <c r="K2049">
        <v>1.1100300000000001</v>
      </c>
      <c r="L2049">
        <v>247.38839999999999</v>
      </c>
      <c r="M2049">
        <v>-3.2216620000000001E-2</v>
      </c>
      <c r="N2049">
        <v>-1.312469E-2</v>
      </c>
      <c r="O2049">
        <v>-0.99939500000000003</v>
      </c>
      <c r="P2049">
        <v>7.306849E-2</v>
      </c>
      <c r="Q2049">
        <v>0.1535764</v>
      </c>
      <c r="R2049">
        <v>-0.98543179999999997</v>
      </c>
      <c r="S2049">
        <v>0.53118900000000002</v>
      </c>
      <c r="T2049">
        <v>-0.1957681</v>
      </c>
      <c r="U2049">
        <v>-3.0356749999999999</v>
      </c>
      <c r="V2049">
        <v>-0.1046194</v>
      </c>
      <c r="W2049">
        <v>0.16656019999999999</v>
      </c>
      <c r="X2049">
        <v>0.98046540000000004</v>
      </c>
      <c r="Y2049">
        <v>-0.2036927</v>
      </c>
      <c r="Z2049">
        <v>5.001295E-2</v>
      </c>
      <c r="AA2049">
        <v>0.97775659999999998</v>
      </c>
      <c r="AB2049">
        <v>23</v>
      </c>
      <c r="AC2049">
        <v>3.0194999999999901</v>
      </c>
      <c r="AD2049">
        <v>-1.11003049111839</v>
      </c>
      <c r="AE2049">
        <v>-16.993699999999901</v>
      </c>
      <c r="AF2049">
        <v>-3.5507724559195801</v>
      </c>
      <c r="AG2049">
        <v>-1.11003049111839</v>
      </c>
      <c r="AH2049">
        <v>16.818029161367299</v>
      </c>
      <c r="AI2049">
        <v>93.694961315440906</v>
      </c>
      <c r="AJ2049">
        <v>101.921715774627</v>
      </c>
      <c r="AK2049">
        <v>17.224582944081199</v>
      </c>
      <c r="AL2049">
        <v>80.412117949088596</v>
      </c>
      <c r="AM2049">
        <v>96.090632721836499</v>
      </c>
      <c r="AN2049">
        <v>0.99999995983877898</v>
      </c>
    </row>
    <row r="2050" spans="1:40" x14ac:dyDescent="0.25">
      <c r="A2050" t="str">
        <f>"20190304155404474"</f>
        <v>20190304155404474</v>
      </c>
      <c r="B2050" t="str">
        <f>"1551686044468998"</f>
        <v>1551686044468998</v>
      </c>
      <c r="C2050" t="s">
        <v>40</v>
      </c>
      <c r="D2050">
        <v>4.3804319999999999</v>
      </c>
      <c r="E2050">
        <v>0.45725189999999999</v>
      </c>
      <c r="F2050" t="s">
        <v>46</v>
      </c>
      <c r="G2050">
        <v>-489.08229999999998</v>
      </c>
      <c r="H2050" s="1">
        <v>-4.0065420000000002E-7</v>
      </c>
      <c r="I2050">
        <v>230.1079</v>
      </c>
      <c r="J2050">
        <v>-492.13670000000002</v>
      </c>
      <c r="K2050">
        <v>1.110031</v>
      </c>
      <c r="L2050">
        <v>247.1593</v>
      </c>
      <c r="M2050">
        <v>-3.2804970000000003E-2</v>
      </c>
      <c r="N2050">
        <v>-1.308167E-2</v>
      </c>
      <c r="O2050">
        <v>-0.99937609999999999</v>
      </c>
      <c r="P2050">
        <v>7.3651499999999995E-2</v>
      </c>
      <c r="Q2050">
        <v>0.15378939999999999</v>
      </c>
      <c r="R2050">
        <v>-0.98535510000000004</v>
      </c>
      <c r="S2050">
        <v>0.53503420000000002</v>
      </c>
      <c r="T2050">
        <v>-0.19495860000000001</v>
      </c>
      <c r="U2050">
        <v>-3.035034</v>
      </c>
      <c r="V2050">
        <v>-0.1057785</v>
      </c>
      <c r="W2050">
        <v>0.16672989999999999</v>
      </c>
      <c r="X2050">
        <v>0.98031219999999997</v>
      </c>
      <c r="Y2050">
        <v>-0.2055072</v>
      </c>
      <c r="Z2050">
        <v>4.9787110000000002E-2</v>
      </c>
      <c r="AA2050">
        <v>0.97738840000000005</v>
      </c>
      <c r="AB2050">
        <v>23</v>
      </c>
      <c r="AC2050">
        <v>3.0544000000000402</v>
      </c>
      <c r="AD2050">
        <v>-1.1100314006542</v>
      </c>
      <c r="AE2050">
        <v>-17.051400000000001</v>
      </c>
      <c r="AF2050">
        <v>-3.5974028712885899</v>
      </c>
      <c r="AG2050">
        <v>-1.1100314006542</v>
      </c>
      <c r="AH2050">
        <v>16.872730964494401</v>
      </c>
      <c r="AI2050">
        <v>93.681468080855893</v>
      </c>
      <c r="AJ2050">
        <v>102.035711840606</v>
      </c>
      <c r="AK2050">
        <v>17.2876408838512</v>
      </c>
      <c r="AL2050">
        <v>80.402257164056394</v>
      </c>
      <c r="AM2050">
        <v>96.1585514172844</v>
      </c>
      <c r="AN2050">
        <v>0.99999998004254897</v>
      </c>
    </row>
    <row r="2051" spans="1:40" x14ac:dyDescent="0.25">
      <c r="A2051" t="str">
        <f>"20190304155404498"</f>
        <v>20190304155404498</v>
      </c>
      <c r="B2051" t="str">
        <f>"1551686044488518"</f>
        <v>1551686044488518</v>
      </c>
      <c r="C2051" t="s">
        <v>40</v>
      </c>
      <c r="D2051">
        <v>4.3823179999999997</v>
      </c>
      <c r="E2051">
        <v>0.45707120000000001</v>
      </c>
      <c r="F2051" t="s">
        <v>46</v>
      </c>
      <c r="G2051">
        <v>-489.07940000000002</v>
      </c>
      <c r="H2051" s="1">
        <v>-3.2618659999999999E-7</v>
      </c>
      <c r="I2051">
        <v>229.88679999999999</v>
      </c>
      <c r="J2051">
        <v>-492.14499999999998</v>
      </c>
      <c r="K2051">
        <v>1.1100289999999999</v>
      </c>
      <c r="L2051">
        <v>246.9281</v>
      </c>
      <c r="M2051">
        <v>-3.3398900000000002E-2</v>
      </c>
      <c r="N2051">
        <v>-1.3039480000000001E-2</v>
      </c>
      <c r="O2051">
        <v>-0.9993573</v>
      </c>
      <c r="P2051">
        <v>7.4233599999999997E-2</v>
      </c>
      <c r="Q2051">
        <v>0.15370599999999901</v>
      </c>
      <c r="R2051">
        <v>-0.9853248</v>
      </c>
      <c r="S2051">
        <v>0.53720089999999998</v>
      </c>
      <c r="T2051">
        <v>-0.19503989999999999</v>
      </c>
      <c r="U2051">
        <v>-3.034897</v>
      </c>
      <c r="V2051">
        <v>-0.1069428</v>
      </c>
      <c r="W2051">
        <v>0.1666049</v>
      </c>
      <c r="X2051">
        <v>0.9802071</v>
      </c>
      <c r="Y2051">
        <v>-0.20677200000000001</v>
      </c>
      <c r="Z2051">
        <v>4.984326E-2</v>
      </c>
      <c r="AA2051">
        <v>0.97711870000000001</v>
      </c>
      <c r="AB2051">
        <v>23</v>
      </c>
      <c r="AC2051">
        <v>3.0655999999999599</v>
      </c>
      <c r="AD2051">
        <v>-1.1100293261866001</v>
      </c>
      <c r="AE2051">
        <v>-17.0413</v>
      </c>
      <c r="AF2051">
        <v>-3.6182277608025801</v>
      </c>
      <c r="AG2051">
        <v>-1.1100293261866001</v>
      </c>
      <c r="AH2051">
        <v>16.860101308376699</v>
      </c>
      <c r="AI2051">
        <v>93.683163237621997</v>
      </c>
      <c r="AJ2051">
        <v>102.112135150608</v>
      </c>
      <c r="AK2051">
        <v>17.279662999108599</v>
      </c>
      <c r="AL2051">
        <v>80.409520508143302</v>
      </c>
      <c r="AM2051">
        <v>96.226471203432197</v>
      </c>
      <c r="AN2051">
        <v>0.99999995703312905</v>
      </c>
    </row>
    <row r="2052" spans="1:40" x14ac:dyDescent="0.25">
      <c r="A2052" t="str">
        <f>"20190304155404520"</f>
        <v>20190304155404520</v>
      </c>
      <c r="B2052" t="str">
        <f>"1551686044508547"</f>
        <v>1551686044508547</v>
      </c>
      <c r="C2052" t="s">
        <v>40</v>
      </c>
      <c r="D2052">
        <v>4.3746099999999997</v>
      </c>
      <c r="E2052">
        <v>0.4570321</v>
      </c>
      <c r="F2052" t="s">
        <v>46</v>
      </c>
      <c r="G2052">
        <v>-489.0702</v>
      </c>
      <c r="H2052" s="1">
        <v>-2.5376039999999999E-7</v>
      </c>
      <c r="I2052">
        <v>229.66679999999999</v>
      </c>
      <c r="J2052">
        <v>-492.15359999999998</v>
      </c>
      <c r="K2052">
        <v>1.110026</v>
      </c>
      <c r="L2052">
        <v>246.69300000000001</v>
      </c>
      <c r="M2052">
        <v>-3.400384E-2</v>
      </c>
      <c r="N2052">
        <v>-1.2995E-2</v>
      </c>
      <c r="O2052">
        <v>-0.99933749999999999</v>
      </c>
      <c r="P2052">
        <v>7.4946159999999998E-2</v>
      </c>
      <c r="Q2052">
        <v>0.15344859999999999</v>
      </c>
      <c r="R2052">
        <v>-0.98531069999999998</v>
      </c>
      <c r="S2052">
        <v>0.54052730000000004</v>
      </c>
      <c r="T2052">
        <v>-0.19513359999999999</v>
      </c>
      <c r="U2052">
        <v>-3.0343930000000001</v>
      </c>
      <c r="V2052">
        <v>-0.1082505</v>
      </c>
      <c r="W2052">
        <v>0.16630349999999999</v>
      </c>
      <c r="X2052">
        <v>0.98011479999999995</v>
      </c>
      <c r="Y2052">
        <v>-0.20842920000000001</v>
      </c>
      <c r="Z2052">
        <v>4.9908130000000002E-2</v>
      </c>
      <c r="AA2052">
        <v>0.97676320000000005</v>
      </c>
      <c r="AB2052">
        <v>23</v>
      </c>
      <c r="AC2052">
        <v>3.0833999999999802</v>
      </c>
      <c r="AD2052">
        <v>-1.1100262537604</v>
      </c>
      <c r="AE2052">
        <v>-17.0261999999999</v>
      </c>
      <c r="AF2052">
        <v>-3.64561815568999</v>
      </c>
      <c r="AG2052">
        <v>-1.1100262537604</v>
      </c>
      <c r="AH2052">
        <v>16.842182853506099</v>
      </c>
      <c r="AI2052">
        <v>93.685656550954505</v>
      </c>
      <c r="AJ2052">
        <v>102.213679607676</v>
      </c>
      <c r="AK2052">
        <v>17.2679417792645</v>
      </c>
      <c r="AL2052">
        <v>80.427034418964595</v>
      </c>
      <c r="AM2052">
        <v>96.302588459940594</v>
      </c>
      <c r="AN2052">
        <v>1.00000002302076</v>
      </c>
    </row>
    <row r="2053" spans="1:40" x14ac:dyDescent="0.25">
      <c r="A2053" t="str">
        <f>"20190304155404542"</f>
        <v>20190304155404542</v>
      </c>
      <c r="B2053" t="str">
        <f>"1551686044538803"</f>
        <v>1551686044538803</v>
      </c>
      <c r="C2053" t="s">
        <v>40</v>
      </c>
      <c r="D2053">
        <v>4.3733690000000003</v>
      </c>
      <c r="E2053">
        <v>0.45690310000000001</v>
      </c>
      <c r="F2053" t="s">
        <v>51</v>
      </c>
      <c r="G2053">
        <v>-489.07409999999999</v>
      </c>
      <c r="H2053" s="1">
        <v>6.3553879999999998E-6</v>
      </c>
      <c r="I2053">
        <v>229.47970000000001</v>
      </c>
      <c r="J2053">
        <v>-492.16199999999998</v>
      </c>
      <c r="K2053">
        <v>1.1100219999999901</v>
      </c>
      <c r="L2053">
        <v>246.4666</v>
      </c>
      <c r="M2053">
        <v>-3.4582380000000003E-2</v>
      </c>
      <c r="N2053">
        <v>-1.2953940000000001E-2</v>
      </c>
      <c r="O2053">
        <v>-0.99931789999999998</v>
      </c>
      <c r="P2053">
        <v>7.5409699999999996E-2</v>
      </c>
      <c r="Q2053">
        <v>0.15359110000000001</v>
      </c>
      <c r="R2053">
        <v>-0.98525309999999999</v>
      </c>
      <c r="S2053">
        <v>0.54278559999999998</v>
      </c>
      <c r="T2053">
        <v>-0.1956456</v>
      </c>
      <c r="U2053">
        <v>-3.0339200000000002</v>
      </c>
      <c r="V2053">
        <v>-0.1092809</v>
      </c>
      <c r="W2053">
        <v>0.1664041</v>
      </c>
      <c r="X2053">
        <v>0.9799833</v>
      </c>
      <c r="Y2053">
        <v>-0.20972379999999999</v>
      </c>
      <c r="Z2053">
        <v>5.0107819999999997E-2</v>
      </c>
      <c r="AA2053">
        <v>0.97647589999999995</v>
      </c>
      <c r="AB2053">
        <v>23</v>
      </c>
      <c r="AC2053">
        <v>3.0878999999999901</v>
      </c>
      <c r="AD2053">
        <v>-1.11001564461199</v>
      </c>
      <c r="AE2053">
        <v>-16.986899999999899</v>
      </c>
      <c r="AF2053">
        <v>-3.6584275200566601</v>
      </c>
      <c r="AG2053">
        <v>-1.11001564461199</v>
      </c>
      <c r="AH2053">
        <v>16.800497960056401</v>
      </c>
      <c r="AI2053">
        <v>93.693748183132996</v>
      </c>
      <c r="AJ2053">
        <v>102.28478433923</v>
      </c>
      <c r="AK2053">
        <v>17.230001693460501</v>
      </c>
      <c r="AL2053">
        <v>80.421188346632107</v>
      </c>
      <c r="AM2053">
        <v>96.362937753068493</v>
      </c>
      <c r="AN2053">
        <v>0.99999995394025398</v>
      </c>
    </row>
    <row r="2054" spans="1:40" x14ac:dyDescent="0.25">
      <c r="A2054" t="str">
        <f>"20190304155404564"</f>
        <v>20190304155404564</v>
      </c>
      <c r="B2054" t="str">
        <f>"1551686044558323"</f>
        <v>1551686044558323</v>
      </c>
      <c r="C2054" t="s">
        <v>40</v>
      </c>
      <c r="D2054">
        <v>4.346514</v>
      </c>
      <c r="E2054">
        <v>0.45690160000000002</v>
      </c>
      <c r="F2054" t="s">
        <v>51</v>
      </c>
      <c r="G2054">
        <v>-489.07459999999998</v>
      </c>
      <c r="H2054" s="1">
        <v>6.3010310000000001E-6</v>
      </c>
      <c r="I2054">
        <v>229.3038</v>
      </c>
      <c r="J2054">
        <v>-492.1705</v>
      </c>
      <c r="K2054">
        <v>1.1100239999999999</v>
      </c>
      <c r="L2054">
        <v>246.2422</v>
      </c>
      <c r="M2054">
        <v>-3.5146650000000002E-2</v>
      </c>
      <c r="N2054">
        <v>-1.29181E-2</v>
      </c>
      <c r="O2054">
        <v>-0.99929869999999998</v>
      </c>
      <c r="P2054">
        <v>7.5959570000000004E-2</v>
      </c>
      <c r="Q2054">
        <v>0.1539674</v>
      </c>
      <c r="R2054">
        <v>-0.98515169999999996</v>
      </c>
      <c r="S2054">
        <v>0.54574579999999995</v>
      </c>
      <c r="T2054">
        <v>-0.19620750000000001</v>
      </c>
      <c r="U2054">
        <v>-3.0337070000000002</v>
      </c>
      <c r="V2054">
        <v>-0.1103838</v>
      </c>
      <c r="W2054">
        <v>0.16674220000000001</v>
      </c>
      <c r="X2054">
        <v>0.97980230000000001</v>
      </c>
      <c r="Y2054">
        <v>-0.21120800000000001</v>
      </c>
      <c r="Z2054">
        <v>5.0310279999999999E-2</v>
      </c>
      <c r="AA2054">
        <v>0.9761455</v>
      </c>
      <c r="AB2054">
        <v>23</v>
      </c>
      <c r="AC2054">
        <v>3.0959000000000199</v>
      </c>
      <c r="AD2054">
        <v>-1.1100176989689901</v>
      </c>
      <c r="AE2054">
        <v>-16.938400000000001</v>
      </c>
      <c r="AF2054">
        <v>-3.6740961748788199</v>
      </c>
      <c r="AG2054">
        <v>-1.1100176989689901</v>
      </c>
      <c r="AH2054">
        <v>16.749507652533701</v>
      </c>
      <c r="AI2054">
        <v>93.703736945367297</v>
      </c>
      <c r="AJ2054">
        <v>102.37218992833699</v>
      </c>
      <c r="AK2054">
        <v>17.1836296688613</v>
      </c>
      <c r="AL2054">
        <v>80.401543058043202</v>
      </c>
      <c r="AM2054">
        <v>96.427797333410098</v>
      </c>
      <c r="AN2054">
        <v>1.0000000458242799</v>
      </c>
    </row>
    <row r="2055" spans="1:40" x14ac:dyDescent="0.25">
      <c r="A2055" t="str">
        <f>"20190304155404597"</f>
        <v>20190304155404597</v>
      </c>
      <c r="B2055" t="str">
        <f>"1551686044588592"</f>
        <v>1551686044588592</v>
      </c>
      <c r="C2055" t="s">
        <v>40</v>
      </c>
      <c r="D2055">
        <v>4.4106820000000004</v>
      </c>
      <c r="E2055">
        <v>0.48136479999999998</v>
      </c>
      <c r="F2055" t="s">
        <v>51</v>
      </c>
      <c r="G2055">
        <v>-489.03320000000002</v>
      </c>
      <c r="H2055" s="1">
        <v>6.1562819999999998E-6</v>
      </c>
      <c r="I2055">
        <v>228.87209999999999</v>
      </c>
      <c r="J2055">
        <v>-492.18389999999999</v>
      </c>
      <c r="K2055">
        <v>1.1100300000000001</v>
      </c>
      <c r="L2055">
        <v>245.89279999999999</v>
      </c>
      <c r="M2055">
        <v>-3.6005219999999998E-2</v>
      </c>
      <c r="N2055">
        <v>-1.286993E-2</v>
      </c>
      <c r="O2055">
        <v>-0.99926890000000002</v>
      </c>
      <c r="P2055">
        <v>7.645325E-2</v>
      </c>
      <c r="Q2055">
        <v>0.15474109999999999</v>
      </c>
      <c r="R2055">
        <v>-0.98499270000000005</v>
      </c>
      <c r="S2055">
        <v>0.54785159999999999</v>
      </c>
      <c r="T2055">
        <v>-0.19383739999999999</v>
      </c>
      <c r="U2055">
        <v>-3.033264</v>
      </c>
      <c r="V2055">
        <v>-0.1117201</v>
      </c>
      <c r="W2055">
        <v>0.16746240000000001</v>
      </c>
      <c r="X2055">
        <v>0.97952799999999995</v>
      </c>
      <c r="Y2055">
        <v>-0.2127358</v>
      </c>
      <c r="Z2055">
        <v>4.9587640000000002E-2</v>
      </c>
      <c r="AA2055">
        <v>0.97585069999999996</v>
      </c>
      <c r="AB2055">
        <v>23</v>
      </c>
      <c r="AC2055">
        <v>3.1506999999999699</v>
      </c>
      <c r="AD2055">
        <v>-1.1100238437179999</v>
      </c>
      <c r="AE2055">
        <v>-17.020700000000001</v>
      </c>
      <c r="AF2055">
        <v>-3.7461364715488501</v>
      </c>
      <c r="AG2055">
        <v>-1.1100238437179999</v>
      </c>
      <c r="AH2055">
        <v>16.827014364671399</v>
      </c>
      <c r="AI2055">
        <v>93.6842117921274</v>
      </c>
      <c r="AJ2055">
        <v>102.550869966346</v>
      </c>
      <c r="AK2055">
        <v>17.274666532988402</v>
      </c>
      <c r="AL2055">
        <v>80.359690398796701</v>
      </c>
      <c r="AM2055">
        <v>96.506754848047905</v>
      </c>
      <c r="AN2055">
        <v>1.0000000694708799</v>
      </c>
    </row>
    <row r="2056" spans="1:40" x14ac:dyDescent="0.25">
      <c r="A2056" t="str">
        <f>"20190304155404618"</f>
        <v>20190304155404618</v>
      </c>
      <c r="B2056" t="str">
        <f>"1551686044608102"</f>
        <v>1551686044608102</v>
      </c>
      <c r="C2056" t="s">
        <v>40</v>
      </c>
      <c r="D2056">
        <v>4.4092169999999999</v>
      </c>
      <c r="E2056">
        <v>0.48626409999999998</v>
      </c>
      <c r="F2056" t="s">
        <v>51</v>
      </c>
      <c r="G2056">
        <v>-490.1157</v>
      </c>
      <c r="H2056" s="1">
        <v>6.1236159999999997E-6</v>
      </c>
      <c r="I2056">
        <v>228.0856</v>
      </c>
      <c r="J2056">
        <v>-492.1925</v>
      </c>
      <c r="K2056">
        <v>1.110044</v>
      </c>
      <c r="L2056">
        <v>245.67099999999999</v>
      </c>
      <c r="M2056">
        <v>-3.6523849999999997E-2</v>
      </c>
      <c r="N2056">
        <v>-1.28386E-2</v>
      </c>
      <c r="O2056">
        <v>-0.99925019999999998</v>
      </c>
      <c r="P2056">
        <v>7.6347540000000005E-2</v>
      </c>
      <c r="Q2056">
        <v>0.15456929999999999</v>
      </c>
      <c r="R2056">
        <v>-0.98502780000000001</v>
      </c>
      <c r="S2056">
        <v>0.35400389999999998</v>
      </c>
      <c r="T2056">
        <v>-0.19000339999999999</v>
      </c>
      <c r="U2056">
        <v>-3.0480649999999998</v>
      </c>
      <c r="V2056">
        <v>-0.11213139999999901</v>
      </c>
      <c r="W2056">
        <v>0.16725599999999999</v>
      </c>
      <c r="X2056">
        <v>0.97951619999999995</v>
      </c>
      <c r="Y2056">
        <v>-0.151361</v>
      </c>
      <c r="Z2056">
        <v>4.8742000000000001E-2</v>
      </c>
      <c r="AA2056">
        <v>0.98727609999999999</v>
      </c>
      <c r="AB2056">
        <v>23</v>
      </c>
      <c r="AC2056">
        <v>2.0767999999999902</v>
      </c>
      <c r="AD2056">
        <v>-1.110037876384</v>
      </c>
      <c r="AE2056">
        <v>-17.5853999999999</v>
      </c>
      <c r="AF2056">
        <v>-2.7071155503766402</v>
      </c>
      <c r="AG2056">
        <v>-1.110037876384</v>
      </c>
      <c r="AH2056">
        <v>17.429314361287801</v>
      </c>
      <c r="AI2056">
        <v>93.601068946379698</v>
      </c>
      <c r="AJ2056">
        <v>98.828618777361697</v>
      </c>
      <c r="AK2056">
        <v>17.6731903683147</v>
      </c>
      <c r="AL2056">
        <v>80.371684781025195</v>
      </c>
      <c r="AM2056">
        <v>96.530581046530898</v>
      </c>
      <c r="AN2056">
        <v>1.0000000032321901</v>
      </c>
    </row>
    <row r="2057" spans="1:40" x14ac:dyDescent="0.25">
      <c r="A2057" t="str">
        <f>"20190304155404643"</f>
        <v>20190304155404643</v>
      </c>
      <c r="B2057" t="str">
        <f>"1551686044638355"</f>
        <v>1551686044638355</v>
      </c>
      <c r="C2057" t="s">
        <v>40</v>
      </c>
      <c r="D2057">
        <v>4.3651109999999997</v>
      </c>
      <c r="E2057">
        <v>0.48939379999999999</v>
      </c>
      <c r="F2057" t="s">
        <v>51</v>
      </c>
      <c r="G2057">
        <v>-490.4117</v>
      </c>
      <c r="H2057" s="1">
        <v>6.1527210000000003E-6</v>
      </c>
      <c r="I2057">
        <v>228.3913</v>
      </c>
      <c r="J2057">
        <v>-492.20229999999998</v>
      </c>
      <c r="K2057">
        <v>1.11007099999999</v>
      </c>
      <c r="L2057">
        <v>245.42259999999999</v>
      </c>
      <c r="M2057">
        <v>-3.704168E-2</v>
      </c>
      <c r="N2057">
        <v>-1.280092E-2</v>
      </c>
      <c r="O2057">
        <v>-0.9992318</v>
      </c>
      <c r="P2057">
        <v>7.5958230000000002E-2</v>
      </c>
      <c r="Q2057">
        <v>0.1545916</v>
      </c>
      <c r="R2057">
        <v>-0.9850544</v>
      </c>
      <c r="S2057">
        <v>0.31454470000000001</v>
      </c>
      <c r="T2057">
        <v>-0.1960597</v>
      </c>
      <c r="U2057">
        <v>-3.0520019999999999</v>
      </c>
      <c r="V2057">
        <v>-0.1122668</v>
      </c>
      <c r="W2057">
        <v>0.16723160000000001</v>
      </c>
      <c r="X2057">
        <v>0.97950479999999995</v>
      </c>
      <c r="Y2057">
        <v>-0.1390972</v>
      </c>
      <c r="Z2057">
        <v>5.0758009999999999E-2</v>
      </c>
      <c r="AA2057">
        <v>0.98897710000000005</v>
      </c>
      <c r="AB2057">
        <v>23</v>
      </c>
      <c r="AC2057">
        <v>1.79059999999998</v>
      </c>
      <c r="AD2057">
        <v>-1.11006484727899</v>
      </c>
      <c r="AE2057">
        <v>-17.031299999999899</v>
      </c>
      <c r="AF2057">
        <v>-2.4101637339842301</v>
      </c>
      <c r="AG2057">
        <v>-1.11006484727899</v>
      </c>
      <c r="AH2057">
        <v>16.882342756799101</v>
      </c>
      <c r="AI2057">
        <v>93.724301274551195</v>
      </c>
      <c r="AJ2057">
        <v>98.124782366668498</v>
      </c>
      <c r="AK2057">
        <v>17.089605909669899</v>
      </c>
      <c r="AL2057">
        <v>80.373102231095203</v>
      </c>
      <c r="AM2057">
        <v>96.538473996002296</v>
      </c>
      <c r="AN2057">
        <v>0.99999994782191803</v>
      </c>
    </row>
    <row r="2058" spans="1:40" x14ac:dyDescent="0.25">
      <c r="A2058" t="str">
        <f>"20190304155404664"</f>
        <v>20190304155404664</v>
      </c>
      <c r="B2058" t="str">
        <f>"1551686044658851"</f>
        <v>1551686044658851</v>
      </c>
      <c r="C2058" t="s">
        <v>40</v>
      </c>
      <c r="D2058">
        <v>4.3899359999999996</v>
      </c>
      <c r="E2058">
        <v>0.49046840000000003</v>
      </c>
      <c r="F2058" t="s">
        <v>51</v>
      </c>
      <c r="G2058">
        <v>-490.58920000000001</v>
      </c>
      <c r="H2058" s="1">
        <v>6.109781E-6</v>
      </c>
      <c r="I2058">
        <v>228.37979999999999</v>
      </c>
      <c r="J2058">
        <v>-492.21140000000003</v>
      </c>
      <c r="K2058">
        <v>1.1101289999999999</v>
      </c>
      <c r="L2058">
        <v>245.1908</v>
      </c>
      <c r="M2058">
        <v>-3.7433880000000003E-2</v>
      </c>
      <c r="N2058">
        <v>-1.276794E-2</v>
      </c>
      <c r="O2058">
        <v>-0.99921749999999998</v>
      </c>
      <c r="P2058">
        <v>7.6207990000000003E-2</v>
      </c>
      <c r="Q2058">
        <v>0.15457009999999999</v>
      </c>
      <c r="R2058">
        <v>-0.98503799999999997</v>
      </c>
      <c r="S2058">
        <v>0.28909299999999999</v>
      </c>
      <c r="T2058">
        <v>-0.1989467</v>
      </c>
      <c r="U2058">
        <v>-3.0544280000000001</v>
      </c>
      <c r="V2058">
        <v>-0.11292580000000001</v>
      </c>
      <c r="W2058">
        <v>0.16716059999999999</v>
      </c>
      <c r="X2058">
        <v>0.97944120000000001</v>
      </c>
      <c r="Y2058">
        <v>-0.13123889999999999</v>
      </c>
      <c r="Z2058">
        <v>5.1734309999999999E-2</v>
      </c>
      <c r="AA2058">
        <v>0.98999990000000004</v>
      </c>
      <c r="AB2058">
        <v>23</v>
      </c>
      <c r="AC2058">
        <v>1.6222000000000201</v>
      </c>
      <c r="AD2058">
        <v>-1.1101228902189999</v>
      </c>
      <c r="AE2058">
        <v>-16.811</v>
      </c>
      <c r="AF2058">
        <v>-2.2407341079745602</v>
      </c>
      <c r="AG2058">
        <v>-1.1101228902189999</v>
      </c>
      <c r="AH2058">
        <v>16.666478349014099</v>
      </c>
      <c r="AI2058">
        <v>93.776853616092197</v>
      </c>
      <c r="AJ2058">
        <v>97.657247314148094</v>
      </c>
      <c r="AK2058">
        <v>16.853034229247399</v>
      </c>
      <c r="AL2058">
        <v>80.377228657171798</v>
      </c>
      <c r="AM2058">
        <v>96.576942535807603</v>
      </c>
      <c r="AN2058">
        <v>0.999999983377719</v>
      </c>
    </row>
    <row r="2059" spans="1:40" x14ac:dyDescent="0.25">
      <c r="A2059" t="str">
        <f>"20190304155404686"</f>
        <v>20190304155404686</v>
      </c>
      <c r="B2059" t="str">
        <f>"1551686044679347"</f>
        <v>1551686044679347</v>
      </c>
      <c r="C2059" t="s">
        <v>40</v>
      </c>
      <c r="D2059">
        <v>4.3889990000000001</v>
      </c>
      <c r="E2059">
        <v>0.49136869999999999</v>
      </c>
      <c r="F2059" t="s">
        <v>51</v>
      </c>
      <c r="G2059">
        <v>-490.64710000000002</v>
      </c>
      <c r="H2059" s="1">
        <v>6.0462249999999999E-6</v>
      </c>
      <c r="I2059">
        <v>228.21610000000001</v>
      </c>
      <c r="J2059">
        <v>-492.22019999999998</v>
      </c>
      <c r="K2059">
        <v>1.110196</v>
      </c>
      <c r="L2059">
        <v>244.96729999999999</v>
      </c>
      <c r="M2059">
        <v>-3.7740599999999999E-2</v>
      </c>
      <c r="N2059">
        <v>-1.274026E-2</v>
      </c>
      <c r="O2059">
        <v>-0.99920640000000005</v>
      </c>
      <c r="P2059">
        <v>7.6422199999999996E-2</v>
      </c>
      <c r="Q2059">
        <v>0.1539355</v>
      </c>
      <c r="R2059">
        <v>-0.98512140000000004</v>
      </c>
      <c r="S2059">
        <v>0.28155520000000001</v>
      </c>
      <c r="T2059">
        <v>-0.19980000000000001</v>
      </c>
      <c r="U2059">
        <v>-3.0551149999999998</v>
      </c>
      <c r="V2059">
        <v>-0.113471</v>
      </c>
      <c r="W2059">
        <v>0.16648209999999999</v>
      </c>
      <c r="X2059">
        <v>0.97949379999999997</v>
      </c>
      <c r="Y2059">
        <v>-0.1291001</v>
      </c>
      <c r="Z2059">
        <v>5.203907E-2</v>
      </c>
      <c r="AA2059">
        <v>0.99026519999999996</v>
      </c>
      <c r="AB2059">
        <v>23</v>
      </c>
      <c r="AC2059">
        <v>1.57309999999995</v>
      </c>
      <c r="AD2059">
        <v>-1.110189953775</v>
      </c>
      <c r="AE2059">
        <v>-16.751199999999901</v>
      </c>
      <c r="AF2059">
        <v>-2.1946750776619099</v>
      </c>
      <c r="AG2059">
        <v>-1.110189953775</v>
      </c>
      <c r="AH2059">
        <v>16.607579870909401</v>
      </c>
      <c r="AI2059">
        <v>93.791574425335099</v>
      </c>
      <c r="AJ2059">
        <v>97.527961049554094</v>
      </c>
      <c r="AK2059">
        <v>16.788711373974099</v>
      </c>
      <c r="AL2059">
        <v>80.416656798958897</v>
      </c>
      <c r="AM2059">
        <v>96.608063743184303</v>
      </c>
      <c r="AN2059">
        <v>1.00000003084992</v>
      </c>
    </row>
    <row r="2060" spans="1:40" x14ac:dyDescent="0.25">
      <c r="A2060" t="str">
        <f>"20190304155404709"</f>
        <v>20190304155404709</v>
      </c>
      <c r="B2060" t="str">
        <f>"1551686044698870"</f>
        <v>1551686044698870</v>
      </c>
      <c r="C2060" t="s">
        <v>40</v>
      </c>
      <c r="D2060">
        <v>4.3768159999999998</v>
      </c>
      <c r="E2060">
        <v>0.49188159999999997</v>
      </c>
      <c r="F2060" t="s">
        <v>51</v>
      </c>
      <c r="G2060">
        <v>-490.6857</v>
      </c>
      <c r="H2060" s="1">
        <v>5.94980699999999E-6</v>
      </c>
      <c r="I2060">
        <v>227.9324</v>
      </c>
      <c r="J2060">
        <v>-492.22930000000002</v>
      </c>
      <c r="K2060">
        <v>1.1102639999999999</v>
      </c>
      <c r="L2060">
        <v>244.73429999999999</v>
      </c>
      <c r="M2060">
        <v>-3.7964039999999998E-2</v>
      </c>
      <c r="N2060">
        <v>-1.2714649999999999E-2</v>
      </c>
      <c r="O2060">
        <v>-0.99919829999999998</v>
      </c>
      <c r="P2060">
        <v>7.6970319999999995E-2</v>
      </c>
      <c r="Q2060">
        <v>0.15389800000000001</v>
      </c>
      <c r="R2060">
        <v>-0.98508470000000004</v>
      </c>
      <c r="S2060">
        <v>0.27520749999999999</v>
      </c>
      <c r="T2060">
        <v>-0.199104</v>
      </c>
      <c r="U2060">
        <v>-3.055069</v>
      </c>
      <c r="V2060">
        <v>-0.11426559999999999</v>
      </c>
      <c r="W2060">
        <v>0.16639849999999901</v>
      </c>
      <c r="X2060">
        <v>0.97941560000000005</v>
      </c>
      <c r="Y2060">
        <v>-0.12728449999999999</v>
      </c>
      <c r="Z2060">
        <v>5.1853950000000003E-2</v>
      </c>
      <c r="AA2060">
        <v>0.99050990000000005</v>
      </c>
      <c r="AB2060">
        <v>23</v>
      </c>
      <c r="AC2060">
        <v>1.5436000000000201</v>
      </c>
      <c r="AD2060">
        <v>-1.1102580501929999</v>
      </c>
      <c r="AE2060">
        <v>-16.8018999999999</v>
      </c>
      <c r="AF2060">
        <v>-2.1710062563446502</v>
      </c>
      <c r="AG2060">
        <v>-1.1102580501929999</v>
      </c>
      <c r="AH2060">
        <v>16.659047114070301</v>
      </c>
      <c r="AI2060">
        <v>93.781015258403102</v>
      </c>
      <c r="AJ2060">
        <v>97.424938751476105</v>
      </c>
      <c r="AK2060">
        <v>16.836561164677299</v>
      </c>
      <c r="AL2060">
        <v>80.421514212348796</v>
      </c>
      <c r="AM2060">
        <v>96.654450825107901</v>
      </c>
      <c r="AN2060">
        <v>1.00000000283448</v>
      </c>
    </row>
    <row r="2061" spans="1:40" x14ac:dyDescent="0.25">
      <c r="A2061" t="str">
        <f>"20190304155404730"</f>
        <v>20190304155404730</v>
      </c>
      <c r="B2061" t="str">
        <f>"1551686044728654"</f>
        <v>1551686044728654</v>
      </c>
      <c r="C2061" t="s">
        <v>40</v>
      </c>
      <c r="D2061">
        <v>4.3625959999999999</v>
      </c>
      <c r="E2061">
        <v>0.49227670000000001</v>
      </c>
      <c r="F2061" t="s">
        <v>51</v>
      </c>
      <c r="G2061">
        <v>-490.74259999999998</v>
      </c>
      <c r="H2061" s="1">
        <v>5.991924E-6</v>
      </c>
      <c r="I2061">
        <v>228.10910000000001</v>
      </c>
      <c r="J2061">
        <v>-492.23809999999997</v>
      </c>
      <c r="K2061">
        <v>1.1103320000000001</v>
      </c>
      <c r="L2061">
        <v>244.50739999999999</v>
      </c>
      <c r="M2061">
        <v>-3.8071929999999997E-2</v>
      </c>
      <c r="N2061">
        <v>-1.2691869999999999E-2</v>
      </c>
      <c r="O2061">
        <v>-0.99919449999999999</v>
      </c>
      <c r="P2061">
        <v>7.7651399999999995E-2</v>
      </c>
      <c r="Q2061">
        <v>0.15387229999999999</v>
      </c>
      <c r="R2061">
        <v>-0.98503490000000005</v>
      </c>
      <c r="S2061">
        <v>0.2732849</v>
      </c>
      <c r="T2061">
        <v>-0.2040814</v>
      </c>
      <c r="U2061">
        <v>-3.0559539999999998</v>
      </c>
      <c r="V2061">
        <v>-0.1150786</v>
      </c>
      <c r="W2061">
        <v>0.16633029999999999</v>
      </c>
      <c r="X2061">
        <v>0.97933199999999998</v>
      </c>
      <c r="Y2061">
        <v>-0.1267392</v>
      </c>
      <c r="Z2061">
        <v>5.3469940000000001E-2</v>
      </c>
      <c r="AA2061">
        <v>0.99049390000000004</v>
      </c>
      <c r="AB2061">
        <v>23</v>
      </c>
      <c r="AC2061">
        <v>1.4954999999999901</v>
      </c>
      <c r="AD2061">
        <v>-1.11032600807599</v>
      </c>
      <c r="AE2061">
        <v>-16.3982999999999</v>
      </c>
      <c r="AF2061">
        <v>-2.1091906692349101</v>
      </c>
      <c r="AG2061">
        <v>-1.11032600807599</v>
      </c>
      <c r="AH2061">
        <v>16.255557358214698</v>
      </c>
      <c r="AI2061">
        <v>93.8751008967578</v>
      </c>
      <c r="AJ2061">
        <v>97.392937061509002</v>
      </c>
      <c r="AK2061">
        <v>16.4293838639678</v>
      </c>
      <c r="AL2061">
        <v>80.425477073579103</v>
      </c>
      <c r="AM2061">
        <v>96.701934995707305</v>
      </c>
      <c r="AN2061">
        <v>1.0000000095500201</v>
      </c>
    </row>
    <row r="2062" spans="1:40" x14ac:dyDescent="0.25">
      <c r="A2062" t="str">
        <f>"20190304155404753"</f>
        <v>20190304155404753</v>
      </c>
      <c r="B2062" t="str">
        <f>"1551686044748173"</f>
        <v>1551686044748173</v>
      </c>
      <c r="C2062" t="s">
        <v>40</v>
      </c>
      <c r="D2062">
        <v>4.3619279999999998</v>
      </c>
      <c r="E2062">
        <v>0.49253459999999899</v>
      </c>
      <c r="F2062" t="s">
        <v>51</v>
      </c>
      <c r="G2062">
        <v>-490.75569999999999</v>
      </c>
      <c r="H2062" s="1">
        <v>5.9141279999999998E-6</v>
      </c>
      <c r="I2062">
        <v>227.8674</v>
      </c>
      <c r="J2062">
        <v>-492.24689999999998</v>
      </c>
      <c r="K2062">
        <v>1.1103959999999999</v>
      </c>
      <c r="L2062">
        <v>244.2792</v>
      </c>
      <c r="M2062">
        <v>-3.806785E-2</v>
      </c>
      <c r="N2062">
        <v>-1.2671160000000001E-2</v>
      </c>
      <c r="O2062">
        <v>-0.99919500000000006</v>
      </c>
      <c r="P2062">
        <v>7.8502950000000002E-2</v>
      </c>
      <c r="Q2062">
        <v>0.15369260000000001</v>
      </c>
      <c r="R2062">
        <v>-0.98499550000000002</v>
      </c>
      <c r="S2062">
        <v>0.27224730000000003</v>
      </c>
      <c r="T2062">
        <v>-0.20391619999999999</v>
      </c>
      <c r="U2062">
        <v>-3.056</v>
      </c>
      <c r="V2062">
        <v>-0.1159515</v>
      </c>
      <c r="W2062">
        <v>0.16611020000000001</v>
      </c>
      <c r="X2062">
        <v>0.97926639999999998</v>
      </c>
      <c r="Y2062">
        <v>-0.1264006</v>
      </c>
      <c r="Z2062">
        <v>5.3438819999999998E-2</v>
      </c>
      <c r="AA2062">
        <v>0.99053880000000005</v>
      </c>
      <c r="AB2062">
        <v>23</v>
      </c>
      <c r="AC2062">
        <v>1.4911999999999901</v>
      </c>
      <c r="AD2062">
        <v>-1.1103900858719999</v>
      </c>
      <c r="AE2062">
        <v>-16.411799999999999</v>
      </c>
      <c r="AF2062">
        <v>-2.10537227041213</v>
      </c>
      <c r="AG2062">
        <v>-1.1103900858719999</v>
      </c>
      <c r="AH2062">
        <v>16.269266252047501</v>
      </c>
      <c r="AI2062">
        <v>93.872237594843895</v>
      </c>
      <c r="AJ2062">
        <v>97.373550967838</v>
      </c>
      <c r="AK2062">
        <v>16.442462799709599</v>
      </c>
      <c r="AL2062">
        <v>80.438265840486395</v>
      </c>
      <c r="AM2062">
        <v>96.752751357534095</v>
      </c>
      <c r="AN2062">
        <v>1.0000000155326201</v>
      </c>
    </row>
    <row r="2063" spans="1:40" x14ac:dyDescent="0.25">
      <c r="A2063" t="str">
        <f>"20190304155404775"</f>
        <v>20190304155404775</v>
      </c>
      <c r="B2063" t="str">
        <f>"1551686044768669"</f>
        <v>1551686044768669</v>
      </c>
      <c r="C2063" t="s">
        <v>40</v>
      </c>
      <c r="D2063">
        <v>4.3699770000000004</v>
      </c>
      <c r="E2063">
        <v>0.49333690000000002</v>
      </c>
      <c r="F2063" t="s">
        <v>51</v>
      </c>
      <c r="G2063">
        <v>-490.76389999999998</v>
      </c>
      <c r="H2063" s="1">
        <v>5.8347460000000002E-6</v>
      </c>
      <c r="I2063">
        <v>227.61699999999999</v>
      </c>
      <c r="J2063">
        <v>-492.25569999999999</v>
      </c>
      <c r="K2063">
        <v>1.110463</v>
      </c>
      <c r="L2063">
        <v>244.04580000000001</v>
      </c>
      <c r="M2063">
        <v>-3.7941790000000003E-2</v>
      </c>
      <c r="N2063">
        <v>-1.2652429999999999E-2</v>
      </c>
      <c r="O2063">
        <v>-0.99919990000000003</v>
      </c>
      <c r="P2063">
        <v>7.9508319999999993E-2</v>
      </c>
      <c r="Q2063">
        <v>0.15341749999999901</v>
      </c>
      <c r="R2063">
        <v>-0.98495759999999999</v>
      </c>
      <c r="S2063">
        <v>0.27197270000000001</v>
      </c>
      <c r="T2063">
        <v>-0.20364180000000001</v>
      </c>
      <c r="U2063">
        <v>-3.0557859999999999</v>
      </c>
      <c r="V2063">
        <v>-0.1168604</v>
      </c>
      <c r="W2063">
        <v>0.1657952</v>
      </c>
      <c r="X2063">
        <v>0.97921170000000002</v>
      </c>
      <c r="Y2063">
        <v>-0.1261939</v>
      </c>
      <c r="Z2063">
        <v>5.3375199999999998E-2</v>
      </c>
      <c r="AA2063">
        <v>0.99056860000000002</v>
      </c>
      <c r="AB2063">
        <v>23</v>
      </c>
      <c r="AC2063">
        <v>1.49180000000001</v>
      </c>
      <c r="AD2063">
        <v>-1.1104571652540001</v>
      </c>
      <c r="AE2063">
        <v>-16.428799999999899</v>
      </c>
      <c r="AF2063">
        <v>-2.1045770719965899</v>
      </c>
      <c r="AG2063">
        <v>-1.1104571652540001</v>
      </c>
      <c r="AH2063">
        <v>16.286562683511502</v>
      </c>
      <c r="AI2063">
        <v>93.868462075724693</v>
      </c>
      <c r="AJ2063">
        <v>97.363054722301499</v>
      </c>
      <c r="AK2063">
        <v>16.459480058974702</v>
      </c>
      <c r="AL2063">
        <v>80.456567423824097</v>
      </c>
      <c r="AM2063">
        <v>96.805565698737496</v>
      </c>
      <c r="AN2063">
        <v>0.99999997742404401</v>
      </c>
    </row>
    <row r="2064" spans="1:40" x14ac:dyDescent="0.25">
      <c r="A2064" t="str">
        <f>"20190304155404797"</f>
        <v>20190304155404797</v>
      </c>
      <c r="B2064" t="str">
        <f>"1551686044788189"</f>
        <v>1551686044788189</v>
      </c>
      <c r="C2064" t="s">
        <v>40</v>
      </c>
      <c r="D2064">
        <v>4.4007860000000001</v>
      </c>
      <c r="E2064">
        <v>0.49394529999999998</v>
      </c>
      <c r="F2064" t="s">
        <v>51</v>
      </c>
      <c r="G2064">
        <v>-490.7774</v>
      </c>
      <c r="H2064" s="1">
        <v>5.7105510000000001E-6</v>
      </c>
      <c r="I2064">
        <v>227.22579999999999</v>
      </c>
      <c r="J2064">
        <v>-492.2645</v>
      </c>
      <c r="K2064">
        <v>1.1105430000000001</v>
      </c>
      <c r="L2064">
        <v>243.80779999999999</v>
      </c>
      <c r="M2064">
        <v>-3.7682630000000002E-2</v>
      </c>
      <c r="N2064">
        <v>-1.263586E-2</v>
      </c>
      <c r="O2064">
        <v>-0.99921000000000004</v>
      </c>
      <c r="P2064">
        <v>8.0442910000000006E-2</v>
      </c>
      <c r="Q2064">
        <v>0.15317839999999999</v>
      </c>
      <c r="R2064">
        <v>-0.98491899999999999</v>
      </c>
      <c r="S2064">
        <v>0.26855469999999998</v>
      </c>
      <c r="T2064">
        <v>-0.2017293</v>
      </c>
      <c r="U2064">
        <v>-3.0555880000000002</v>
      </c>
      <c r="V2064">
        <v>-0.11757239999999999</v>
      </c>
      <c r="W2064">
        <v>0.16551540000000001</v>
      </c>
      <c r="X2064">
        <v>0.97917379999999998</v>
      </c>
      <c r="Y2064">
        <v>-0.1248467</v>
      </c>
      <c r="Z2064">
        <v>5.278832E-2</v>
      </c>
      <c r="AA2064">
        <v>0.99077079999999995</v>
      </c>
      <c r="AB2064">
        <v>23</v>
      </c>
      <c r="AC2064">
        <v>1.4870999999999901</v>
      </c>
      <c r="AD2064">
        <v>-1.110537289449</v>
      </c>
      <c r="AE2064">
        <v>-16.581999999999901</v>
      </c>
      <c r="AF2064">
        <v>-2.1015957063967199</v>
      </c>
      <c r="AG2064">
        <v>-1.110537289449</v>
      </c>
      <c r="AH2064">
        <v>16.441023852726602</v>
      </c>
      <c r="AI2064">
        <v>93.833177080784097</v>
      </c>
      <c r="AJ2064">
        <v>97.284405821334502</v>
      </c>
      <c r="AK2064">
        <v>16.611961440790999</v>
      </c>
      <c r="AL2064">
        <v>80.472823344874399</v>
      </c>
      <c r="AM2064">
        <v>96.8469003043177</v>
      </c>
      <c r="AN2064">
        <v>0.99999997374267902</v>
      </c>
    </row>
    <row r="2065" spans="1:40" x14ac:dyDescent="0.25">
      <c r="A2065" t="str">
        <f>"20190304155404820"</f>
        <v>20190304155404820</v>
      </c>
      <c r="B2065" t="str">
        <f>"1551686044808221"</f>
        <v>1551686044808221</v>
      </c>
      <c r="C2065" t="s">
        <v>40</v>
      </c>
      <c r="D2065">
        <v>4.3608890000000002</v>
      </c>
      <c r="E2065">
        <v>0.49447049999999998</v>
      </c>
      <c r="F2065" t="s">
        <v>51</v>
      </c>
      <c r="G2065">
        <v>-490.78309999999999</v>
      </c>
      <c r="H2065" s="1">
        <v>5.5953789999999999E-6</v>
      </c>
      <c r="I2065">
        <v>226.85810000000001</v>
      </c>
      <c r="J2065">
        <v>-492.27280000000002</v>
      </c>
      <c r="K2065">
        <v>1.1106309999999999</v>
      </c>
      <c r="L2065">
        <v>243.58</v>
      </c>
      <c r="M2065">
        <v>-3.7308760000000003E-2</v>
      </c>
      <c r="N2065">
        <v>-1.262217E-2</v>
      </c>
      <c r="O2065">
        <v>-0.99922420000000001</v>
      </c>
      <c r="P2065">
        <v>8.1487920000000005E-2</v>
      </c>
      <c r="Q2065">
        <v>0.15319260000000001</v>
      </c>
      <c r="R2065">
        <v>-0.98483129999999997</v>
      </c>
      <c r="S2065">
        <v>0.26702880000000001</v>
      </c>
      <c r="T2065">
        <v>-0.2001793</v>
      </c>
      <c r="U2065">
        <v>-3.0552519999999999</v>
      </c>
      <c r="V2065">
        <v>-0.1182816</v>
      </c>
      <c r="W2065">
        <v>0.16548950000000001</v>
      </c>
      <c r="X2065">
        <v>0.97909279999999999</v>
      </c>
      <c r="Y2065">
        <v>-0.123997</v>
      </c>
      <c r="Z2065">
        <v>5.2314779999999998E-2</v>
      </c>
      <c r="AA2065">
        <v>0.99090259999999997</v>
      </c>
      <c r="AB2065">
        <v>23</v>
      </c>
      <c r="AC2065">
        <v>1.48970000000002</v>
      </c>
      <c r="AD2065">
        <v>-1.110625404621</v>
      </c>
      <c r="AE2065">
        <v>-16.721900000000002</v>
      </c>
      <c r="AF2065">
        <v>-2.1033801340946101</v>
      </c>
      <c r="AG2065">
        <v>-1.110625404621</v>
      </c>
      <c r="AH2065">
        <v>16.582100632225899</v>
      </c>
      <c r="AI2065">
        <v>93.801427308787297</v>
      </c>
      <c r="AJ2065">
        <v>97.229157182486105</v>
      </c>
      <c r="AK2065">
        <v>16.751828501843001</v>
      </c>
      <c r="AL2065">
        <v>80.474328417222296</v>
      </c>
      <c r="AM2065">
        <v>96.888369761017103</v>
      </c>
      <c r="AN2065">
        <v>1.00000001126032</v>
      </c>
    </row>
    <row r="2066" spans="1:40" x14ac:dyDescent="0.25">
      <c r="A2066" t="str">
        <f>"20190304155404844"</f>
        <v>20190304155404844</v>
      </c>
      <c r="B2066" t="str">
        <f>"1551686044838473"</f>
        <v>1551686044838473</v>
      </c>
      <c r="C2066" t="s">
        <v>40</v>
      </c>
      <c r="D2066">
        <v>4.3909459999999996</v>
      </c>
      <c r="E2066">
        <v>0.49513170000000001</v>
      </c>
      <c r="F2066" t="s">
        <v>51</v>
      </c>
      <c r="G2066">
        <v>-490.78500000000003</v>
      </c>
      <c r="H2066" s="1">
        <v>5.480651E-6</v>
      </c>
      <c r="I2066">
        <v>226.48910000000001</v>
      </c>
      <c r="J2066">
        <v>-492.28109999999998</v>
      </c>
      <c r="K2066">
        <v>1.1107199999999999</v>
      </c>
      <c r="L2066">
        <v>243.3432</v>
      </c>
      <c r="M2066">
        <v>-3.6777629999999999E-2</v>
      </c>
      <c r="N2066">
        <v>-1.261003E-2</v>
      </c>
      <c r="O2066">
        <v>-0.99924400000000002</v>
      </c>
      <c r="P2066">
        <v>8.2377679999999995E-2</v>
      </c>
      <c r="Q2066">
        <v>0.15379389999999901</v>
      </c>
      <c r="R2066">
        <v>-0.98466299999999995</v>
      </c>
      <c r="S2066">
        <v>0.26596069999999999</v>
      </c>
      <c r="T2066">
        <v>-0.19853019999999999</v>
      </c>
      <c r="U2066">
        <v>-3.0550839999999999</v>
      </c>
      <c r="V2066">
        <v>-0.1186821</v>
      </c>
      <c r="W2066">
        <v>0.16604859999999999</v>
      </c>
      <c r="X2066">
        <v>0.97894970000000003</v>
      </c>
      <c r="Y2066">
        <v>-0.1231336</v>
      </c>
      <c r="Z2066">
        <v>5.1804070000000001E-2</v>
      </c>
      <c r="AA2066">
        <v>0.9910371</v>
      </c>
      <c r="AB2066">
        <v>23</v>
      </c>
      <c r="AC2066">
        <v>1.49609999999995</v>
      </c>
      <c r="AD2066">
        <v>-1.110714519349</v>
      </c>
      <c r="AE2066">
        <v>-16.854099999999899</v>
      </c>
      <c r="AF2066">
        <v>-2.1059162035085599</v>
      </c>
      <c r="AG2066">
        <v>-1.110714519349</v>
      </c>
      <c r="AH2066">
        <v>16.715639458950299</v>
      </c>
      <c r="AI2066">
        <v>93.771851152941196</v>
      </c>
      <c r="AJ2066">
        <v>97.180565426499001</v>
      </c>
      <c r="AK2066">
        <v>16.8843469616479</v>
      </c>
      <c r="AL2066">
        <v>80.441845267403394</v>
      </c>
      <c r="AM2066">
        <v>96.912468991089</v>
      </c>
      <c r="AN2066">
        <v>1.00000004677622</v>
      </c>
    </row>
    <row r="2067" spans="1:40" x14ac:dyDescent="0.25">
      <c r="A2067" t="str">
        <f>"20190304155404864"</f>
        <v>20190304155404864</v>
      </c>
      <c r="B2067" t="str">
        <f>"1551686044858969"</f>
        <v>1551686044858969</v>
      </c>
      <c r="C2067" t="s">
        <v>40</v>
      </c>
      <c r="D2067">
        <v>4.3450749999999996</v>
      </c>
      <c r="E2067">
        <v>0.49544820000000001</v>
      </c>
      <c r="F2067" t="s">
        <v>51</v>
      </c>
      <c r="G2067">
        <v>-490.77370000000002</v>
      </c>
      <c r="H2067" s="1">
        <v>5.2817389999999998E-6</v>
      </c>
      <c r="I2067">
        <v>225.8389</v>
      </c>
      <c r="J2067">
        <v>-492.2885</v>
      </c>
      <c r="K2067">
        <v>1.1108009999999999</v>
      </c>
      <c r="L2067">
        <v>243.12559999999999</v>
      </c>
      <c r="M2067">
        <v>-3.6169369999999999E-2</v>
      </c>
      <c r="N2067">
        <v>-1.2600490000000001E-2</v>
      </c>
      <c r="O2067">
        <v>-0.99926610000000005</v>
      </c>
      <c r="P2067">
        <v>8.2947209999999993E-2</v>
      </c>
      <c r="Q2067">
        <v>0.1539925</v>
      </c>
      <c r="R2067">
        <v>-0.98458420000000002</v>
      </c>
      <c r="S2067">
        <v>0.26309199999999999</v>
      </c>
      <c r="T2067">
        <v>-0.19385079999999999</v>
      </c>
      <c r="U2067">
        <v>-3.0549930000000001</v>
      </c>
      <c r="V2067">
        <v>-0.11868579999999999</v>
      </c>
      <c r="W2067">
        <v>0.16621369999999999</v>
      </c>
      <c r="X2067">
        <v>0.97892120000000005</v>
      </c>
      <c r="Y2067">
        <v>-0.1216168</v>
      </c>
      <c r="Z2067">
        <v>5.0313360000000001E-2</v>
      </c>
      <c r="AA2067">
        <v>0.99130110000000005</v>
      </c>
      <c r="AB2067">
        <v>23</v>
      </c>
      <c r="AC2067">
        <v>1.5147999999999699</v>
      </c>
      <c r="AD2067">
        <v>-1.110795718261</v>
      </c>
      <c r="AE2067">
        <v>-17.2866999999999</v>
      </c>
      <c r="AF2067">
        <v>-2.1303781549154599</v>
      </c>
      <c r="AG2067">
        <v>-1.110795718261</v>
      </c>
      <c r="AH2067">
        <v>17.150319401433201</v>
      </c>
      <c r="AI2067">
        <v>93.6775841350631</v>
      </c>
      <c r="AJ2067">
        <v>97.080895398516105</v>
      </c>
      <c r="AK2067">
        <v>17.3177895177712</v>
      </c>
      <c r="AL2067">
        <v>80.432252117652396</v>
      </c>
      <c r="AM2067">
        <v>96.912881713386795</v>
      </c>
      <c r="AN2067">
        <v>1.0000000144993799</v>
      </c>
    </row>
    <row r="2068" spans="1:40" x14ac:dyDescent="0.25">
      <c r="A2068" t="str">
        <f>"20190304155404889"</f>
        <v>20190304155404889</v>
      </c>
      <c r="B2068" t="str">
        <f>"1551686044878489"</f>
        <v>1551686044878489</v>
      </c>
      <c r="C2068" t="s">
        <v>40</v>
      </c>
      <c r="D2068">
        <v>4.3647369999999999</v>
      </c>
      <c r="E2068">
        <v>0.49582009999999999</v>
      </c>
      <c r="F2068" t="s">
        <v>51</v>
      </c>
      <c r="G2068">
        <v>-490.77379999999999</v>
      </c>
      <c r="H2068" s="1">
        <v>5.1716049999999899E-6</v>
      </c>
      <c r="I2068">
        <v>225.48349999999999</v>
      </c>
      <c r="J2068">
        <v>-492.29660000000001</v>
      </c>
      <c r="K2068">
        <v>1.110876</v>
      </c>
      <c r="L2068">
        <v>242.87860000000001</v>
      </c>
      <c r="M2068">
        <v>-3.5364199999999998E-2</v>
      </c>
      <c r="N2068">
        <v>-1.2591110000000001E-2</v>
      </c>
      <c r="O2068">
        <v>-0.99929520000000005</v>
      </c>
      <c r="P2068">
        <v>8.4186499999999997E-2</v>
      </c>
      <c r="Q2068">
        <v>0.15438979999999999</v>
      </c>
      <c r="R2068">
        <v>-0.98441679999999998</v>
      </c>
      <c r="S2068">
        <v>0.26229859999999999</v>
      </c>
      <c r="T2068">
        <v>-0.19234979999999999</v>
      </c>
      <c r="U2068">
        <v>-3.0549770000000001</v>
      </c>
      <c r="V2068">
        <v>-0.1191596</v>
      </c>
      <c r="W2068">
        <v>0.16657710000000001</v>
      </c>
      <c r="X2068">
        <v>0.97880180000000006</v>
      </c>
      <c r="Y2068">
        <v>-0.1205648</v>
      </c>
      <c r="Z2068">
        <v>4.9845430000000003E-2</v>
      </c>
      <c r="AA2068">
        <v>0.99145320000000003</v>
      </c>
      <c r="AB2068">
        <v>23</v>
      </c>
      <c r="AC2068">
        <v>1.5228000000000099</v>
      </c>
      <c r="AD2068">
        <v>-1.110870828395</v>
      </c>
      <c r="AE2068">
        <v>-17.395099999999999</v>
      </c>
      <c r="AF2068">
        <v>-2.1284455646045601</v>
      </c>
      <c r="AG2068">
        <v>-1.110870828395</v>
      </c>
      <c r="AH2068">
        <v>17.260503414979901</v>
      </c>
      <c r="AI2068">
        <v>93.654820212580503</v>
      </c>
      <c r="AJ2068">
        <v>97.029829357368399</v>
      </c>
      <c r="AK2068">
        <v>17.426683352187101</v>
      </c>
      <c r="AL2068">
        <v>80.411135856543297</v>
      </c>
      <c r="AM2068">
        <v>96.941048032330798</v>
      </c>
      <c r="AN2068">
        <v>0.999999952099903</v>
      </c>
    </row>
    <row r="2069" spans="1:40" x14ac:dyDescent="0.25">
      <c r="A2069" t="str">
        <f>"20190304155404910"</f>
        <v>20190304155404910</v>
      </c>
      <c r="B2069" t="str">
        <f>"1551686044898985"</f>
        <v>1551686044898985</v>
      </c>
      <c r="C2069" t="s">
        <v>40</v>
      </c>
      <c r="D2069">
        <v>4.3878909999999998</v>
      </c>
      <c r="E2069">
        <v>0.49605379999999899</v>
      </c>
      <c r="F2069" t="s">
        <v>51</v>
      </c>
      <c r="G2069">
        <v>-490.76170000000002</v>
      </c>
      <c r="H2069" s="1">
        <v>5.0412899999999996E-6</v>
      </c>
      <c r="I2069">
        <v>225.05410000000001</v>
      </c>
      <c r="J2069">
        <v>-492.30349999999999</v>
      </c>
      <c r="K2069">
        <v>1.110943</v>
      </c>
      <c r="L2069">
        <v>242.6566</v>
      </c>
      <c r="M2069">
        <v>-3.4550599999999897E-2</v>
      </c>
      <c r="N2069">
        <v>-1.258364E-2</v>
      </c>
      <c r="O2069">
        <v>-0.99932399999999999</v>
      </c>
      <c r="P2069">
        <v>8.503877E-2</v>
      </c>
      <c r="Q2069">
        <v>0.15509919999999999</v>
      </c>
      <c r="R2069">
        <v>-0.98423229999999995</v>
      </c>
      <c r="S2069">
        <v>0.2630615</v>
      </c>
      <c r="T2069">
        <v>-0.19038569999999999</v>
      </c>
      <c r="U2069">
        <v>-3.05484</v>
      </c>
      <c r="V2069">
        <v>-0.11922960000000001</v>
      </c>
      <c r="W2069">
        <v>0.1672621</v>
      </c>
      <c r="X2069">
        <v>0.97867649999999995</v>
      </c>
      <c r="Y2069">
        <v>-0.12000959999999999</v>
      </c>
      <c r="Z2069">
        <v>4.9224610000000002E-2</v>
      </c>
      <c r="AA2069">
        <v>0.99155159999999998</v>
      </c>
      <c r="AB2069">
        <v>23</v>
      </c>
      <c r="AC2069">
        <v>1.5417999999999601</v>
      </c>
      <c r="AD2069">
        <v>-1.1109379587099999</v>
      </c>
      <c r="AE2069">
        <v>-17.6024999999999</v>
      </c>
      <c r="AF2069">
        <v>-2.1406425835898801</v>
      </c>
      <c r="AG2069">
        <v>-1.1109379587099999</v>
      </c>
      <c r="AH2069">
        <v>17.469659282161601</v>
      </c>
      <c r="AI2069">
        <v>93.6117363655421</v>
      </c>
      <c r="AJ2069">
        <v>96.985906317081401</v>
      </c>
      <c r="AK2069">
        <v>17.6353488554549</v>
      </c>
      <c r="AL2069">
        <v>80.371330247959705</v>
      </c>
      <c r="AM2069">
        <v>96.945966215168198</v>
      </c>
      <c r="AN2069">
        <v>0.99999999963240904</v>
      </c>
    </row>
    <row r="2070" spans="1:40" x14ac:dyDescent="0.25">
      <c r="A2070" t="str">
        <f>"20190304155404932"</f>
        <v>20190304155404932</v>
      </c>
      <c r="B2070" t="str">
        <f>"1551686044928265"</f>
        <v>1551686044928265</v>
      </c>
      <c r="C2070" t="s">
        <v>40</v>
      </c>
      <c r="D2070">
        <v>4.4098119999999996</v>
      </c>
      <c r="E2070">
        <v>0.49644850000000001</v>
      </c>
      <c r="F2070" t="s">
        <v>51</v>
      </c>
      <c r="G2070">
        <v>-490.74579999999997</v>
      </c>
      <c r="H2070" s="1">
        <v>4.9047029999999997E-6</v>
      </c>
      <c r="I2070">
        <v>224.596</v>
      </c>
      <c r="J2070">
        <v>-492.31020000000001</v>
      </c>
      <c r="K2070">
        <v>1.1109869999999999</v>
      </c>
      <c r="L2070">
        <v>242.4333</v>
      </c>
      <c r="M2070">
        <v>-3.365245E-2</v>
      </c>
      <c r="N2070">
        <v>-1.2577130000000001E-2</v>
      </c>
      <c r="O2070">
        <v>-0.99935469999999904</v>
      </c>
      <c r="P2070">
        <v>8.5684499999999997E-2</v>
      </c>
      <c r="Q2070">
        <v>0.1548496</v>
      </c>
      <c r="R2070">
        <v>-0.98421570000000003</v>
      </c>
      <c r="S2070">
        <v>0.26348880000000002</v>
      </c>
      <c r="T2070">
        <v>-0.18791150000000001</v>
      </c>
      <c r="U2070">
        <v>-3.0548860000000002</v>
      </c>
      <c r="V2070">
        <v>-0.11901059999999999</v>
      </c>
      <c r="W2070">
        <v>0.16699420000000001</v>
      </c>
      <c r="X2070">
        <v>0.97874890000000003</v>
      </c>
      <c r="Y2070">
        <v>-0.119258</v>
      </c>
      <c r="Z2070">
        <v>4.8435140000000002E-2</v>
      </c>
      <c r="AA2070">
        <v>0.99168120000000004</v>
      </c>
      <c r="AB2070">
        <v>23</v>
      </c>
      <c r="AC2070">
        <v>1.56440000000003</v>
      </c>
      <c r="AD2070">
        <v>-1.110982095297</v>
      </c>
      <c r="AE2070">
        <v>-17.837299999999999</v>
      </c>
      <c r="AF2070">
        <v>-2.1555317859651999</v>
      </c>
      <c r="AG2070">
        <v>-1.110982095297</v>
      </c>
      <c r="AH2070">
        <v>17.706380798886698</v>
      </c>
      <c r="AI2070">
        <v>93.564057611690302</v>
      </c>
      <c r="AJ2070">
        <v>96.940895372772601</v>
      </c>
      <c r="AK2070">
        <v>17.871668066847</v>
      </c>
      <c r="AL2070">
        <v>80.386898734880404</v>
      </c>
      <c r="AM2070">
        <v>96.932824334990997</v>
      </c>
      <c r="AN2070">
        <v>0.99999999749860502</v>
      </c>
    </row>
    <row r="2071" spans="1:40" x14ac:dyDescent="0.25">
      <c r="A2071" t="str">
        <f>"20190304155404954"</f>
        <v>20190304155404954</v>
      </c>
      <c r="B2071" t="str">
        <f>"1551686044948762"</f>
        <v>1551686044948762</v>
      </c>
      <c r="C2071" t="s">
        <v>40</v>
      </c>
      <c r="D2071">
        <v>4.4110370000000003</v>
      </c>
      <c r="E2071">
        <v>0.49660409999999999</v>
      </c>
      <c r="F2071" t="s">
        <v>51</v>
      </c>
      <c r="G2071">
        <v>-490.76889999999997</v>
      </c>
      <c r="H2071" s="1">
        <v>4.8769090000000003E-6</v>
      </c>
      <c r="I2071">
        <v>224.49350000000001</v>
      </c>
      <c r="J2071">
        <v>-492.3168</v>
      </c>
      <c r="K2071">
        <v>1.111032</v>
      </c>
      <c r="L2071">
        <v>242.20480000000001</v>
      </c>
      <c r="M2071">
        <v>-3.2661330000000002E-2</v>
      </c>
      <c r="N2071">
        <v>-1.257142E-2</v>
      </c>
      <c r="O2071">
        <v>-0.99938740000000004</v>
      </c>
      <c r="P2071">
        <v>8.7110770000000004E-2</v>
      </c>
      <c r="Q2071">
        <v>0.15435960000000001</v>
      </c>
      <c r="R2071">
        <v>-0.98416700000000001</v>
      </c>
      <c r="S2071">
        <v>0.26248169999999998</v>
      </c>
      <c r="T2071">
        <v>-0.18919540000000001</v>
      </c>
      <c r="U2071">
        <v>-3.055069</v>
      </c>
      <c r="V2071">
        <v>-0.119478399999999</v>
      </c>
      <c r="W2071">
        <v>0.16648589999999999</v>
      </c>
      <c r="X2071">
        <v>0.9787785</v>
      </c>
      <c r="Y2071">
        <v>-0.1179423</v>
      </c>
      <c r="Z2071">
        <v>4.8862129999999997E-2</v>
      </c>
      <c r="AA2071">
        <v>0.99181759999999997</v>
      </c>
      <c r="AB2071">
        <v>23</v>
      </c>
      <c r="AC2071">
        <v>1.54790000000002</v>
      </c>
      <c r="AD2071">
        <v>-1.111027123091</v>
      </c>
      <c r="AE2071">
        <v>-17.711299999999898</v>
      </c>
      <c r="AF2071">
        <v>-2.1173257734640298</v>
      </c>
      <c r="AG2071">
        <v>-1.111027123091</v>
      </c>
      <c r="AH2071">
        <v>17.5826248818186</v>
      </c>
      <c r="AI2071">
        <v>93.5897853493139</v>
      </c>
      <c r="AJ2071">
        <v>96.8665786420692</v>
      </c>
      <c r="AK2071">
        <v>17.7444680797697</v>
      </c>
      <c r="AL2071">
        <v>80.416435670984896</v>
      </c>
      <c r="AM2071">
        <v>96.959600306523598</v>
      </c>
      <c r="AN2071">
        <v>0.99999999751380997</v>
      </c>
    </row>
    <row r="2072" spans="1:40" x14ac:dyDescent="0.25">
      <c r="A2072" t="str">
        <f>"20190304155404977"</f>
        <v>20190304155404977</v>
      </c>
      <c r="B2072" t="str">
        <f>"1551686044968285"</f>
        <v>1551686044968285</v>
      </c>
      <c r="C2072" t="s">
        <v>40</v>
      </c>
      <c r="D2072">
        <v>4.5017569999999996</v>
      </c>
      <c r="E2072">
        <v>0.4965714</v>
      </c>
      <c r="F2072" t="s">
        <v>51</v>
      </c>
      <c r="G2072">
        <v>-490.7731</v>
      </c>
      <c r="H2072" s="1">
        <v>4.8605310000000001E-6</v>
      </c>
      <c r="I2072">
        <v>224.4237</v>
      </c>
      <c r="J2072">
        <v>-492.32319999999999</v>
      </c>
      <c r="K2072">
        <v>1.111065</v>
      </c>
      <c r="L2072">
        <v>241.9735</v>
      </c>
      <c r="M2072">
        <v>-3.159621E-2</v>
      </c>
      <c r="N2072">
        <v>-1.2566509999999999E-2</v>
      </c>
      <c r="O2072">
        <v>-0.99942169999999997</v>
      </c>
      <c r="P2072">
        <v>8.9229669999999997E-2</v>
      </c>
      <c r="Q2072">
        <v>0.1546265</v>
      </c>
      <c r="R2072">
        <v>-0.98393569999999997</v>
      </c>
      <c r="S2072">
        <v>0.26519779999999998</v>
      </c>
      <c r="T2072">
        <v>-0.19086829999999999</v>
      </c>
      <c r="U2072">
        <v>-3.0547029999999999</v>
      </c>
      <c r="V2072">
        <v>-0.12055920000000001</v>
      </c>
      <c r="W2072">
        <v>0.166733299999999</v>
      </c>
      <c r="X2072">
        <v>0.97860380000000002</v>
      </c>
      <c r="Y2072">
        <v>-0.1177668</v>
      </c>
      <c r="Z2072">
        <v>4.941777E-2</v>
      </c>
      <c r="AA2072">
        <v>0.99181090000000005</v>
      </c>
      <c r="AB2072">
        <v>23</v>
      </c>
      <c r="AC2072">
        <v>1.55009999999998</v>
      </c>
      <c r="AD2072">
        <v>-1.1110601394689901</v>
      </c>
      <c r="AE2072">
        <v>-17.549800000000001</v>
      </c>
      <c r="AF2072">
        <v>-2.0955429200214302</v>
      </c>
      <c r="AG2072">
        <v>-1.1110601394689901</v>
      </c>
      <c r="AH2072">
        <v>17.422764741173701</v>
      </c>
      <c r="AI2072">
        <v>93.622805272681404</v>
      </c>
      <c r="AJ2072">
        <v>96.858370055109802</v>
      </c>
      <c r="AK2072">
        <v>17.583471954919901</v>
      </c>
      <c r="AL2072">
        <v>80.402059357053602</v>
      </c>
      <c r="AM2072">
        <v>97.023172054968597</v>
      </c>
      <c r="AN2072">
        <v>0.99999995570398403</v>
      </c>
    </row>
    <row r="2073" spans="1:40" x14ac:dyDescent="0.25">
      <c r="A2073" t="str">
        <f>"20190304155404999"</f>
        <v>20190304155404999</v>
      </c>
      <c r="B2073" t="str">
        <f>"1551686044988781"</f>
        <v>1551686044988781</v>
      </c>
      <c r="C2073" t="s">
        <v>40</v>
      </c>
      <c r="D2073">
        <v>4.4874169999999998</v>
      </c>
      <c r="E2073">
        <v>0.47140840000000001</v>
      </c>
      <c r="F2073" t="s">
        <v>51</v>
      </c>
      <c r="G2073">
        <v>-490.7355</v>
      </c>
      <c r="H2073" s="1">
        <v>4.787778E-6</v>
      </c>
      <c r="I2073">
        <v>224.10570000000001</v>
      </c>
      <c r="J2073">
        <v>-492.32920000000001</v>
      </c>
      <c r="K2073">
        <v>1.1110930000000001</v>
      </c>
      <c r="L2073">
        <v>241.74299999999999</v>
      </c>
      <c r="M2073">
        <v>-3.048232E-2</v>
      </c>
      <c r="N2073">
        <v>-1.256229E-2</v>
      </c>
      <c r="O2073">
        <v>-0.99945669999999998</v>
      </c>
      <c r="P2073">
        <v>9.1308009999999995E-2</v>
      </c>
      <c r="Q2073">
        <v>0.15483640000000001</v>
      </c>
      <c r="R2073">
        <v>-0.98371209999999998</v>
      </c>
      <c r="S2073">
        <v>0.27139279999999999</v>
      </c>
      <c r="T2073">
        <v>-0.18991910000000001</v>
      </c>
      <c r="U2073">
        <v>-3.05423</v>
      </c>
      <c r="V2073">
        <v>-0.12155050000000001</v>
      </c>
      <c r="W2073">
        <v>0.1669255</v>
      </c>
      <c r="X2073">
        <v>0.97844850000000005</v>
      </c>
      <c r="Y2073">
        <v>-0.1186707</v>
      </c>
      <c r="Z2073">
        <v>4.9118870000000002E-2</v>
      </c>
      <c r="AA2073">
        <v>0.99171799999999999</v>
      </c>
      <c r="AB2073">
        <v>23</v>
      </c>
      <c r="AC2073">
        <v>1.5937000000000101</v>
      </c>
      <c r="AD2073">
        <v>-1.111088212222</v>
      </c>
      <c r="AE2073">
        <v>-17.6372999999999</v>
      </c>
      <c r="AF2073">
        <v>-2.12227321125218</v>
      </c>
      <c r="AG2073">
        <v>-1.111088212222</v>
      </c>
      <c r="AH2073">
        <v>17.511586334545001</v>
      </c>
      <c r="AI2073">
        <v>93.604177205056899</v>
      </c>
      <c r="AJ2073">
        <v>96.910120099038494</v>
      </c>
      <c r="AK2073">
        <v>17.674677268645102</v>
      </c>
      <c r="AL2073">
        <v>80.390891567451504</v>
      </c>
      <c r="AM2073">
        <v>97.081448826142093</v>
      </c>
      <c r="AN2073">
        <v>1.0000000568763701</v>
      </c>
    </row>
    <row r="2074" spans="1:40" x14ac:dyDescent="0.25">
      <c r="A2074" t="str">
        <f>"20190304155405022"</f>
        <v>20190304155405022</v>
      </c>
      <c r="B2074" t="str">
        <f>"1551686045019033"</f>
        <v>1551686045019033</v>
      </c>
      <c r="C2074" t="s">
        <v>40</v>
      </c>
      <c r="D2074">
        <v>4.4593489999999996</v>
      </c>
      <c r="E2074">
        <v>0.4704353</v>
      </c>
      <c r="F2074" t="s">
        <v>51</v>
      </c>
      <c r="G2074">
        <v>-489.23070000000001</v>
      </c>
      <c r="H2074" s="1">
        <v>4.1507970000000003E-6</v>
      </c>
      <c r="I2074">
        <v>222.12459999999999</v>
      </c>
      <c r="J2074">
        <v>-492.33499999999998</v>
      </c>
      <c r="K2074">
        <v>1.11112099999999</v>
      </c>
      <c r="L2074">
        <v>241.50970000000001</v>
      </c>
      <c r="M2074">
        <v>-2.93063E-2</v>
      </c>
      <c r="N2074">
        <v>-1.255853E-2</v>
      </c>
      <c r="O2074">
        <v>-0.99949160000000004</v>
      </c>
      <c r="P2074">
        <v>9.395059E-2</v>
      </c>
      <c r="Q2074">
        <v>0.15399740000000001</v>
      </c>
      <c r="R2074">
        <v>-0.98359470000000004</v>
      </c>
      <c r="S2074">
        <v>0.47891240000000002</v>
      </c>
      <c r="T2074">
        <v>-0.17173150000000001</v>
      </c>
      <c r="U2074">
        <v>-3.0322420000000001</v>
      </c>
      <c r="V2074">
        <v>-0.1230455</v>
      </c>
      <c r="W2074">
        <v>0.16607069999999999</v>
      </c>
      <c r="X2074">
        <v>0.97840700000000003</v>
      </c>
      <c r="Y2074">
        <v>-0.18466460000000001</v>
      </c>
      <c r="Z2074">
        <v>4.3105940000000002E-2</v>
      </c>
      <c r="AA2074">
        <v>0.98185579999999995</v>
      </c>
      <c r="AB2074">
        <v>23</v>
      </c>
      <c r="AC2074">
        <v>3.1042999999999599</v>
      </c>
      <c r="AD2074">
        <v>-1.1111168492029999</v>
      </c>
      <c r="AE2074">
        <v>-19.385100000000001</v>
      </c>
      <c r="AF2074">
        <v>-3.65939493415142</v>
      </c>
      <c r="AG2074">
        <v>-1.1111168492029999</v>
      </c>
      <c r="AH2074">
        <v>19.224210291666498</v>
      </c>
      <c r="AI2074">
        <v>93.249666609034094</v>
      </c>
      <c r="AJ2074">
        <v>100.777511940398</v>
      </c>
      <c r="AK2074">
        <v>19.600918684461998</v>
      </c>
      <c r="AL2074">
        <v>80.440560413903498</v>
      </c>
      <c r="AM2074">
        <v>97.167946908791393</v>
      </c>
      <c r="AN2074">
        <v>0.99999996505886901</v>
      </c>
    </row>
    <row r="2075" spans="1:40" x14ac:dyDescent="0.25">
      <c r="A2075" t="str">
        <f>"20190304155405043"</f>
        <v>20190304155405043</v>
      </c>
      <c r="B2075" t="str">
        <f>"1551686045038554"</f>
        <v>1551686045038554</v>
      </c>
      <c r="C2075" t="s">
        <v>40</v>
      </c>
      <c r="D2075">
        <v>4.4716199999999997</v>
      </c>
      <c r="E2075">
        <v>0.46994940000000002</v>
      </c>
      <c r="F2075" t="s">
        <v>51</v>
      </c>
      <c r="G2075">
        <v>-489.03570000000002</v>
      </c>
      <c r="H2075" s="1">
        <v>3.856453E-6</v>
      </c>
      <c r="I2075">
        <v>221.31399999999999</v>
      </c>
      <c r="J2075">
        <v>-492.34010000000001</v>
      </c>
      <c r="K2075">
        <v>1.1111390000000001</v>
      </c>
      <c r="L2075">
        <v>241.29140000000001</v>
      </c>
      <c r="M2075">
        <v>-2.8161350000000002E-2</v>
      </c>
      <c r="N2075">
        <v>-1.2555490000000001E-2</v>
      </c>
      <c r="O2075">
        <v>-0.99952459999999999</v>
      </c>
      <c r="P2075">
        <v>9.610051E-2</v>
      </c>
      <c r="Q2075">
        <v>0.1529828</v>
      </c>
      <c r="R2075">
        <v>-0.98354509999999995</v>
      </c>
      <c r="S2075">
        <v>0.49481199999999997</v>
      </c>
      <c r="T2075">
        <v>-0.1666414</v>
      </c>
      <c r="U2075">
        <v>-3.0288849999999998</v>
      </c>
      <c r="V2075">
        <v>-0.1240762</v>
      </c>
      <c r="W2075">
        <v>0.1650451</v>
      </c>
      <c r="X2075">
        <v>0.97845040000000005</v>
      </c>
      <c r="Y2075">
        <v>-0.1887404</v>
      </c>
      <c r="Z2075">
        <v>4.1481089999999998E-2</v>
      </c>
      <c r="AA2075">
        <v>0.98115050000000004</v>
      </c>
      <c r="AB2075">
        <v>23</v>
      </c>
      <c r="AC2075">
        <v>3.3043999999999798</v>
      </c>
      <c r="AD2075">
        <v>-1.1111351435469901</v>
      </c>
      <c r="AE2075">
        <v>-19.9773999999999</v>
      </c>
      <c r="AF2075">
        <v>-3.8541187462436701</v>
      </c>
      <c r="AG2075">
        <v>-1.1111351435469901</v>
      </c>
      <c r="AH2075">
        <v>19.8167405115476</v>
      </c>
      <c r="AI2075">
        <v>93.1503379258004</v>
      </c>
      <c r="AJ2075">
        <v>101.00594690778</v>
      </c>
      <c r="AK2075">
        <v>20.218606705690298</v>
      </c>
      <c r="AL2075">
        <v>80.500145445560094</v>
      </c>
      <c r="AM2075">
        <v>97.227040274042807</v>
      </c>
      <c r="AN2075">
        <v>0.999999986850305</v>
      </c>
    </row>
    <row r="2076" spans="1:40" x14ac:dyDescent="0.25">
      <c r="A2076" t="str">
        <f>"20190304155405067"</f>
        <v>20190304155405067</v>
      </c>
      <c r="B2076" t="str">
        <f>"1551686045059049"</f>
        <v>1551686045059049</v>
      </c>
      <c r="C2076" t="s">
        <v>40</v>
      </c>
      <c r="D2076">
        <v>4.4664289999999998</v>
      </c>
      <c r="E2076">
        <v>0.4701091</v>
      </c>
      <c r="F2076" t="s">
        <v>51</v>
      </c>
      <c r="G2076">
        <v>-489.10469999999998</v>
      </c>
      <c r="H2076" s="1">
        <v>4.0529480000000002E-6</v>
      </c>
      <c r="I2076">
        <v>221.899</v>
      </c>
      <c r="J2076">
        <v>-492.34550000000002</v>
      </c>
      <c r="K2076">
        <v>1.1111580000000001</v>
      </c>
      <c r="L2076">
        <v>241.03989999999999</v>
      </c>
      <c r="M2076">
        <v>-2.680486E-2</v>
      </c>
      <c r="N2076">
        <v>-1.25524E-2</v>
      </c>
      <c r="O2076">
        <v>-0.99956210000000001</v>
      </c>
      <c r="P2076">
        <v>9.8306309999999994E-2</v>
      </c>
      <c r="Q2076">
        <v>0.15264369999999999</v>
      </c>
      <c r="R2076">
        <v>-0.98338009999999998</v>
      </c>
      <c r="S2076">
        <v>0.50515750000000004</v>
      </c>
      <c r="T2076">
        <v>-0.17348669999999999</v>
      </c>
      <c r="U2076">
        <v>-3.0278320000000001</v>
      </c>
      <c r="V2076">
        <v>-0.1249528</v>
      </c>
      <c r="W2076">
        <v>0.1646957</v>
      </c>
      <c r="X2076">
        <v>0.97839770000000004</v>
      </c>
      <c r="Y2076">
        <v>-0.19070599999999999</v>
      </c>
      <c r="Z2076">
        <v>4.3695820000000003E-2</v>
      </c>
      <c r="AA2076">
        <v>0.98067420000000005</v>
      </c>
      <c r="AB2076">
        <v>23</v>
      </c>
      <c r="AC2076">
        <v>3.2408000000000299</v>
      </c>
      <c r="AD2076">
        <v>-1.111153947052</v>
      </c>
      <c r="AE2076">
        <v>-19.140899999999899</v>
      </c>
      <c r="AF2076">
        <v>-3.74049081008486</v>
      </c>
      <c r="AG2076">
        <v>-1.111153947052</v>
      </c>
      <c r="AH2076">
        <v>18.984949865252801</v>
      </c>
      <c r="AI2076">
        <v>93.286554931590601</v>
      </c>
      <c r="AJ2076">
        <v>101.145885098587</v>
      </c>
      <c r="AK2076">
        <v>19.381802186085299</v>
      </c>
      <c r="AL2076">
        <v>80.520442165373296</v>
      </c>
      <c r="AM2076">
        <v>97.277941687248699</v>
      </c>
      <c r="AN2076">
        <v>0.999999967595809</v>
      </c>
    </row>
    <row r="2077" spans="1:40" x14ac:dyDescent="0.25">
      <c r="A2077" t="str">
        <f>"20190304155405089"</f>
        <v>20190304155405089</v>
      </c>
      <c r="B2077" t="str">
        <f>"1551686045078569"</f>
        <v>1551686045078569</v>
      </c>
      <c r="C2077" t="s">
        <v>40</v>
      </c>
      <c r="D2077">
        <v>4.4621389999999996</v>
      </c>
      <c r="E2077">
        <v>0.47042499999999998</v>
      </c>
      <c r="F2077" t="s">
        <v>51</v>
      </c>
      <c r="G2077">
        <v>-489.08440000000002</v>
      </c>
      <c r="H2077" s="1">
        <v>3.9864090000000001E-6</v>
      </c>
      <c r="I2077">
        <v>221.6986</v>
      </c>
      <c r="J2077">
        <v>-492.35</v>
      </c>
      <c r="K2077">
        <v>1.11117</v>
      </c>
      <c r="L2077">
        <v>240.81970000000001</v>
      </c>
      <c r="M2077">
        <v>-2.5589259999999999E-2</v>
      </c>
      <c r="N2077">
        <v>-1.2549920000000001E-2</v>
      </c>
      <c r="O2077">
        <v>-0.99959390000000004</v>
      </c>
      <c r="P2077">
        <v>0.10098509999999999</v>
      </c>
      <c r="Q2077">
        <v>0.1533128</v>
      </c>
      <c r="R2077">
        <v>-0.98300430000000005</v>
      </c>
      <c r="S2077">
        <v>0.51031490000000002</v>
      </c>
      <c r="T2077">
        <v>-0.1738796</v>
      </c>
      <c r="U2077">
        <v>-3.026627</v>
      </c>
      <c r="V2077">
        <v>-0.12643380000000001</v>
      </c>
      <c r="W2077">
        <v>0.1653522</v>
      </c>
      <c r="X2077">
        <v>0.97809669999999904</v>
      </c>
      <c r="Y2077">
        <v>-0.1911996</v>
      </c>
      <c r="Z2077">
        <v>4.3840570000000002E-2</v>
      </c>
      <c r="AA2077">
        <v>0.98057159999999999</v>
      </c>
      <c r="AB2077">
        <v>23</v>
      </c>
      <c r="AC2077">
        <v>3.2656000000000001</v>
      </c>
      <c r="AD2077">
        <v>-1.111166013591</v>
      </c>
      <c r="AE2077">
        <v>-19.121099999999998</v>
      </c>
      <c r="AF2077">
        <v>-3.7415864799833201</v>
      </c>
      <c r="AG2077">
        <v>-1.111166013591</v>
      </c>
      <c r="AH2077">
        <v>18.969023711637501</v>
      </c>
      <c r="AI2077">
        <v>93.289204869433206</v>
      </c>
      <c r="AJ2077">
        <v>101.158194009388</v>
      </c>
      <c r="AK2077">
        <v>19.366414739688299</v>
      </c>
      <c r="AL2077">
        <v>80.482304962458201</v>
      </c>
      <c r="AM2077">
        <v>97.365503212276494</v>
      </c>
      <c r="AN2077">
        <v>1.0000000051890801</v>
      </c>
    </row>
    <row r="2078" spans="1:40" x14ac:dyDescent="0.25">
      <c r="A2078" t="str">
        <f>"20190304155405110"</f>
        <v>20190304155405110</v>
      </c>
      <c r="B2078" t="str">
        <f>"1551686045108826"</f>
        <v>1551686045108826</v>
      </c>
      <c r="C2078" t="s">
        <v>40</v>
      </c>
      <c r="D2078">
        <v>4.4953849999999997</v>
      </c>
      <c r="E2078">
        <v>0.47079130000000002</v>
      </c>
      <c r="F2078" t="s">
        <v>51</v>
      </c>
      <c r="G2078">
        <v>-488.9828</v>
      </c>
      <c r="H2078" s="1">
        <v>3.771184E-6</v>
      </c>
      <c r="I2078">
        <v>221.07660000000001</v>
      </c>
      <c r="J2078">
        <v>-492.35430000000002</v>
      </c>
      <c r="K2078">
        <v>1.1111770000000001</v>
      </c>
      <c r="L2078">
        <v>240.59399999999999</v>
      </c>
      <c r="M2078">
        <v>-2.431291E-2</v>
      </c>
      <c r="N2078">
        <v>-1.254765E-2</v>
      </c>
      <c r="O2078">
        <v>-0.9996256</v>
      </c>
      <c r="P2078">
        <v>0.103131</v>
      </c>
      <c r="Q2078">
        <v>0.15350420000000001</v>
      </c>
      <c r="R2078">
        <v>-0.98275129999999999</v>
      </c>
      <c r="S2078">
        <v>0.51599119999999998</v>
      </c>
      <c r="T2078">
        <v>-0.1702757</v>
      </c>
      <c r="U2078">
        <v>-3.025436</v>
      </c>
      <c r="V2078">
        <v>-0.12732669999999999</v>
      </c>
      <c r="W2078">
        <v>0.16553470000000001</v>
      </c>
      <c r="X2078">
        <v>0.97794999999999999</v>
      </c>
      <c r="Y2078">
        <v>-0.19180739999999999</v>
      </c>
      <c r="Z2078">
        <v>4.2689980000000002E-2</v>
      </c>
      <c r="AA2078">
        <v>0.98050369999999998</v>
      </c>
      <c r="AB2078">
        <v>23</v>
      </c>
      <c r="AC2078">
        <v>3.3715000000000201</v>
      </c>
      <c r="AD2078">
        <v>-1.1111732288159999</v>
      </c>
      <c r="AE2078">
        <v>-19.517399999999999</v>
      </c>
      <c r="AF2078">
        <v>-3.8330014640069101</v>
      </c>
      <c r="AG2078">
        <v>-1.1111732288159999</v>
      </c>
      <c r="AH2078">
        <v>19.368691552281799</v>
      </c>
      <c r="AI2078">
        <v>93.221101269215893</v>
      </c>
      <c r="AJ2078">
        <v>101.194014303792</v>
      </c>
      <c r="AK2078">
        <v>19.775561145387201</v>
      </c>
      <c r="AL2078">
        <v>80.471702455812107</v>
      </c>
      <c r="AM2078">
        <v>97.4180428645018</v>
      </c>
      <c r="AN2078">
        <v>1.0000000139684899</v>
      </c>
    </row>
    <row r="2079" spans="1:40" x14ac:dyDescent="0.25">
      <c r="A2079" t="str">
        <f>"20190304155405134"</f>
        <v>20190304155405134</v>
      </c>
      <c r="B2079" t="str">
        <f>"1551686045128345"</f>
        <v>1551686045128345</v>
      </c>
      <c r="C2079" t="s">
        <v>40</v>
      </c>
      <c r="D2079">
        <v>4.490272</v>
      </c>
      <c r="E2079">
        <v>0.4708753</v>
      </c>
      <c r="F2079" t="s">
        <v>51</v>
      </c>
      <c r="G2079">
        <v>-488.91399999999999</v>
      </c>
      <c r="H2079" s="1">
        <v>3.6009340000000002E-6</v>
      </c>
      <c r="I2079">
        <v>220.5763</v>
      </c>
      <c r="J2079">
        <v>-492.35829999999999</v>
      </c>
      <c r="K2079">
        <v>1.111191</v>
      </c>
      <c r="L2079">
        <v>240.364</v>
      </c>
      <c r="M2079">
        <v>-2.2975510000000001E-2</v>
      </c>
      <c r="N2079">
        <v>-1.2545890000000001E-2</v>
      </c>
      <c r="O2079">
        <v>-0.99965740000000003</v>
      </c>
      <c r="P2079">
        <v>0.10560650000000001</v>
      </c>
      <c r="Q2079">
        <v>0.1530155</v>
      </c>
      <c r="R2079">
        <v>-0.98256480000000002</v>
      </c>
      <c r="S2079">
        <v>0.5197754</v>
      </c>
      <c r="T2079">
        <v>-0.1678808</v>
      </c>
      <c r="U2079">
        <v>-3.0243530000000001</v>
      </c>
      <c r="V2079">
        <v>-0.1284911</v>
      </c>
      <c r="W2079">
        <v>0.16503619999999999</v>
      </c>
      <c r="X2079">
        <v>0.97788200000000003</v>
      </c>
      <c r="Y2079">
        <v>-0.191751</v>
      </c>
      <c r="Z2079">
        <v>4.193421E-2</v>
      </c>
      <c r="AA2079">
        <v>0.98054739999999996</v>
      </c>
      <c r="AB2079">
        <v>23</v>
      </c>
      <c r="AC2079">
        <v>3.4442999999999899</v>
      </c>
      <c r="AD2079">
        <v>-1.1111873990659999</v>
      </c>
      <c r="AE2079">
        <v>-19.787700000000001</v>
      </c>
      <c r="AF2079">
        <v>-3.88616450251173</v>
      </c>
      <c r="AG2079">
        <v>-1.1111873990659999</v>
      </c>
      <c r="AH2079">
        <v>19.643212969637901</v>
      </c>
      <c r="AI2079">
        <v>93.176254146313596</v>
      </c>
      <c r="AJ2079">
        <v>101.190747424638</v>
      </c>
      <c r="AK2079">
        <v>20.0547457662014</v>
      </c>
      <c r="AL2079">
        <v>80.500663150257395</v>
      </c>
      <c r="AM2079">
        <v>97.485629512469202</v>
      </c>
      <c r="AN2079">
        <v>1.00000005800682</v>
      </c>
    </row>
    <row r="2080" spans="1:40" x14ac:dyDescent="0.25">
      <c r="A2080" t="str">
        <f>"20190304155405155"</f>
        <v>20190304155405155</v>
      </c>
      <c r="B2080" t="str">
        <f>"1551686045148842"</f>
        <v>1551686045148842</v>
      </c>
      <c r="C2080" t="s">
        <v>40</v>
      </c>
      <c r="D2080">
        <v>4.519253</v>
      </c>
      <c r="E2080">
        <v>0.47101500000000002</v>
      </c>
      <c r="F2080" t="s">
        <v>51</v>
      </c>
      <c r="G2080">
        <v>-488.90159999999997</v>
      </c>
      <c r="H2080" s="1">
        <v>3.5724310000000001E-6</v>
      </c>
      <c r="I2080">
        <v>220.4931</v>
      </c>
      <c r="J2080">
        <v>-492.36200000000002</v>
      </c>
      <c r="K2080">
        <v>1.1112139999999999</v>
      </c>
      <c r="L2080">
        <v>240.1361</v>
      </c>
      <c r="M2080">
        <v>-2.1604729999999999E-2</v>
      </c>
      <c r="N2080">
        <v>-1.2544710000000001E-2</v>
      </c>
      <c r="O2080">
        <v>-0.99968800000000002</v>
      </c>
      <c r="P2080">
        <v>0.1083968</v>
      </c>
      <c r="Q2080">
        <v>0.15257860000000001</v>
      </c>
      <c r="R2080">
        <v>-0.98232909999999996</v>
      </c>
      <c r="S2080">
        <v>0.52587890000000004</v>
      </c>
      <c r="T2080">
        <v>-0.16905020000000001</v>
      </c>
      <c r="U2080">
        <v>-3.0230410000000001</v>
      </c>
      <c r="V2080">
        <v>-0.1299408</v>
      </c>
      <c r="W2080">
        <v>0.16458610000000001</v>
      </c>
      <c r="X2080">
        <v>0.97776620000000003</v>
      </c>
      <c r="Y2080">
        <v>-0.19239490000000001</v>
      </c>
      <c r="Z2080">
        <v>4.2328350000000001E-2</v>
      </c>
      <c r="AA2080">
        <v>0.98040430000000001</v>
      </c>
      <c r="AB2080">
        <v>23</v>
      </c>
      <c r="AC2080">
        <v>3.4603999999999902</v>
      </c>
      <c r="AD2080">
        <v>-1.111210427569</v>
      </c>
      <c r="AE2080">
        <v>-19.643000000000001</v>
      </c>
      <c r="AF2080">
        <v>-3.87198907725449</v>
      </c>
      <c r="AG2080">
        <v>-1.111210427569</v>
      </c>
      <c r="AH2080">
        <v>19.503112341368901</v>
      </c>
      <c r="AI2080">
        <v>93.198667037807695</v>
      </c>
      <c r="AJ2080">
        <v>101.229026516856</v>
      </c>
      <c r="AK2080">
        <v>19.914780416283101</v>
      </c>
      <c r="AL2080">
        <v>80.526808674851594</v>
      </c>
      <c r="AM2080">
        <v>97.5699982816258</v>
      </c>
      <c r="AN2080">
        <v>0.99999996884014397</v>
      </c>
    </row>
    <row r="2081" spans="1:40" x14ac:dyDescent="0.25">
      <c r="A2081" t="str">
        <f>"20190304155405178"</f>
        <v>20190304155405178</v>
      </c>
      <c r="B2081" t="str">
        <f>"1551686045168361"</f>
        <v>1551686045168361</v>
      </c>
      <c r="C2081" t="s">
        <v>40</v>
      </c>
      <c r="D2081">
        <v>4.5135050000000003</v>
      </c>
      <c r="E2081">
        <v>0.47089019999999998</v>
      </c>
      <c r="F2081" t="s">
        <v>51</v>
      </c>
      <c r="G2081">
        <v>-488.86110000000002</v>
      </c>
      <c r="H2081" s="1">
        <v>3.506867E-6</v>
      </c>
      <c r="I2081">
        <v>220.31049999999999</v>
      </c>
      <c r="J2081">
        <v>-492.36520000000002</v>
      </c>
      <c r="K2081">
        <v>1.1112519999999999</v>
      </c>
      <c r="L2081">
        <v>239.91239999999999</v>
      </c>
      <c r="M2081">
        <v>-2.0198000000000001E-2</v>
      </c>
      <c r="N2081">
        <v>-1.254397E-2</v>
      </c>
      <c r="O2081">
        <v>-0.99971750000000004</v>
      </c>
      <c r="P2081">
        <v>0.1104594</v>
      </c>
      <c r="Q2081">
        <v>0.15225159999999999</v>
      </c>
      <c r="R2081">
        <v>-0.98214999999999997</v>
      </c>
      <c r="S2081">
        <v>0.53353879999999998</v>
      </c>
      <c r="T2081">
        <v>-0.169347</v>
      </c>
      <c r="U2081">
        <v>-3.0213930000000002</v>
      </c>
      <c r="V2081">
        <v>-0.1306351</v>
      </c>
      <c r="W2081">
        <v>0.16424459999999999</v>
      </c>
      <c r="X2081">
        <v>0.97773120000000002</v>
      </c>
      <c r="Y2081">
        <v>-0.1935143</v>
      </c>
      <c r="Z2081">
        <v>4.2440310000000002E-2</v>
      </c>
      <c r="AA2081">
        <v>0.98017909999999997</v>
      </c>
      <c r="AB2081">
        <v>23</v>
      </c>
      <c r="AC2081">
        <v>3.50409999999999</v>
      </c>
      <c r="AD2081">
        <v>-1.111248493133</v>
      </c>
      <c r="AE2081">
        <v>-19.601900000000001</v>
      </c>
      <c r="AF2081">
        <v>-3.8872291847270199</v>
      </c>
      <c r="AG2081">
        <v>-1.111248493133</v>
      </c>
      <c r="AH2081">
        <v>19.466494110299202</v>
      </c>
      <c r="AI2081">
        <v>93.204072865765099</v>
      </c>
      <c r="AJ2081">
        <v>101.292753772995</v>
      </c>
      <c r="AK2081">
        <v>19.881896712698101</v>
      </c>
      <c r="AL2081">
        <v>80.546645992206706</v>
      </c>
      <c r="AM2081">
        <v>97.610242756009598</v>
      </c>
      <c r="AN2081">
        <v>1.0000000587172999</v>
      </c>
    </row>
    <row r="2082" spans="1:40" x14ac:dyDescent="0.25">
      <c r="A2082" t="str">
        <f>"20190304155405200"</f>
        <v>20190304155405200</v>
      </c>
      <c r="B2082" t="str">
        <f>"1551686045188861"</f>
        <v>1551686045188861</v>
      </c>
      <c r="C2082" t="s">
        <v>40</v>
      </c>
      <c r="D2082">
        <v>4.6554779999999996</v>
      </c>
      <c r="E2082">
        <v>0.47079919999999997</v>
      </c>
      <c r="F2082" t="s">
        <v>51</v>
      </c>
      <c r="G2082">
        <v>-488.87119999999999</v>
      </c>
      <c r="H2082" s="1">
        <v>3.5397460000000002E-6</v>
      </c>
      <c r="I2082">
        <v>220.40940000000001</v>
      </c>
      <c r="J2082">
        <v>-492.36810000000003</v>
      </c>
      <c r="K2082">
        <v>1.111307</v>
      </c>
      <c r="L2082">
        <v>239.68299999999999</v>
      </c>
      <c r="M2082">
        <v>-1.8675049999999999E-2</v>
      </c>
      <c r="N2082">
        <v>-1.254369E-2</v>
      </c>
      <c r="O2082">
        <v>-0.99974689999999999</v>
      </c>
      <c r="P2082">
        <v>0.11287609999999999</v>
      </c>
      <c r="Q2082">
        <v>0.15259639999999999</v>
      </c>
      <c r="R2082">
        <v>-0.98182139999999996</v>
      </c>
      <c r="S2082">
        <v>0.54110719999999901</v>
      </c>
      <c r="T2082">
        <v>-0.17209369999999999</v>
      </c>
      <c r="U2082">
        <v>-3.0203250000000001</v>
      </c>
      <c r="V2082">
        <v>-0.13157379999999999</v>
      </c>
      <c r="W2082">
        <v>0.1645682</v>
      </c>
      <c r="X2082">
        <v>0.9775509</v>
      </c>
      <c r="Y2082">
        <v>-0.1944516</v>
      </c>
      <c r="Z2082">
        <v>4.3336189999999997E-2</v>
      </c>
      <c r="AA2082">
        <v>0.9799544</v>
      </c>
      <c r="AB2082">
        <v>23</v>
      </c>
      <c r="AC2082">
        <v>3.4969000000000299</v>
      </c>
      <c r="AD2082">
        <v>-1.111303460254</v>
      </c>
      <c r="AE2082">
        <v>-19.273599999999899</v>
      </c>
      <c r="AF2082">
        <v>-3.8438817310933602</v>
      </c>
      <c r="AG2082">
        <v>-1.111303460254</v>
      </c>
      <c r="AH2082">
        <v>19.143312752051699</v>
      </c>
      <c r="AI2082">
        <v>93.257517222603198</v>
      </c>
      <c r="AJ2082">
        <v>101.353724697261</v>
      </c>
      <c r="AK2082">
        <v>19.557015244312399</v>
      </c>
      <c r="AL2082">
        <v>80.527849315965497</v>
      </c>
      <c r="AM2082">
        <v>97.665676472847196</v>
      </c>
      <c r="AN2082">
        <v>1.00000005969424</v>
      </c>
    </row>
    <row r="2083" spans="1:40" x14ac:dyDescent="0.25">
      <c r="A2083" t="str">
        <f>"20190304155405223"</f>
        <v>20190304155405223</v>
      </c>
      <c r="B2083" t="str">
        <f>"1551686045218138"</f>
        <v>1551686045218138</v>
      </c>
      <c r="C2083" t="s">
        <v>40</v>
      </c>
      <c r="D2083">
        <v>4.5161610000000003</v>
      </c>
      <c r="E2083">
        <v>0.47083849999999999</v>
      </c>
      <c r="F2083" t="s">
        <v>51</v>
      </c>
      <c r="G2083">
        <v>-488.80029999999999</v>
      </c>
      <c r="H2083" s="1">
        <v>3.4327569999999999E-6</v>
      </c>
      <c r="I2083">
        <v>220.08260000000001</v>
      </c>
      <c r="J2083">
        <v>-492.37049999999999</v>
      </c>
      <c r="K2083">
        <v>1.1113789999999999</v>
      </c>
      <c r="L2083">
        <v>239.46039999999999</v>
      </c>
      <c r="M2083">
        <v>-1.7090709999999999E-2</v>
      </c>
      <c r="N2083">
        <v>-1.2544080000000001E-2</v>
      </c>
      <c r="O2083">
        <v>-0.99977539999999998</v>
      </c>
      <c r="P2083">
        <v>0.11570279999999999</v>
      </c>
      <c r="Q2083">
        <v>0.15300229999999901</v>
      </c>
      <c r="R2083">
        <v>-0.98142949999999995</v>
      </c>
      <c r="S2083">
        <v>0.54952999999999996</v>
      </c>
      <c r="T2083">
        <v>-0.17116979999999901</v>
      </c>
      <c r="U2083">
        <v>-3.0189819999999998</v>
      </c>
      <c r="V2083">
        <v>-0.1328685</v>
      </c>
      <c r="W2083">
        <v>0.16494679999999901</v>
      </c>
      <c r="X2083">
        <v>0.97731190000000001</v>
      </c>
      <c r="Y2083">
        <v>-0.1956225</v>
      </c>
      <c r="Z2083">
        <v>4.3044470000000001E-2</v>
      </c>
      <c r="AA2083">
        <v>0.9797342</v>
      </c>
      <c r="AB2083">
        <v>23</v>
      </c>
      <c r="AC2083">
        <v>3.5701999999999998</v>
      </c>
      <c r="AD2083">
        <v>-1.1113755672429999</v>
      </c>
      <c r="AE2083">
        <v>-19.377799999999901</v>
      </c>
      <c r="AF2083">
        <v>-3.8885140026074101</v>
      </c>
      <c r="AG2083">
        <v>-1.1113755672429999</v>
      </c>
      <c r="AH2083">
        <v>19.2526971386783</v>
      </c>
      <c r="AI2083">
        <v>93.238522366413505</v>
      </c>
      <c r="AJ2083">
        <v>101.418556379124</v>
      </c>
      <c r="AK2083">
        <v>19.672875842479399</v>
      </c>
      <c r="AL2083">
        <v>80.505856180380505</v>
      </c>
      <c r="AM2083">
        <v>97.742067409940802</v>
      </c>
      <c r="AN2083">
        <v>1.00000001750204</v>
      </c>
    </row>
    <row r="2084" spans="1:40" x14ac:dyDescent="0.25">
      <c r="A2084" t="str">
        <f>"20190304155405244"</f>
        <v>20190304155405244</v>
      </c>
      <c r="B2084" t="str">
        <f>"1551686045238633"</f>
        <v>1551686045238633</v>
      </c>
      <c r="C2084" t="s">
        <v>40</v>
      </c>
      <c r="D2084">
        <v>4.4814339999999904</v>
      </c>
      <c r="E2084">
        <v>0.47107450000000001</v>
      </c>
      <c r="F2084" t="s">
        <v>51</v>
      </c>
      <c r="G2084">
        <v>-488.75650000000002</v>
      </c>
      <c r="H2084" s="1">
        <v>3.388692E-6</v>
      </c>
      <c r="I2084">
        <v>219.91849999999999</v>
      </c>
      <c r="J2084">
        <v>-492.3723</v>
      </c>
      <c r="K2084">
        <v>1.111459</v>
      </c>
      <c r="L2084">
        <v>239.23140000000001</v>
      </c>
      <c r="M2084">
        <v>-1.5327459999999999E-2</v>
      </c>
      <c r="N2084">
        <v>-1.2545280000000001E-2</v>
      </c>
      <c r="O2084">
        <v>-0.99980400000000003</v>
      </c>
      <c r="P2084">
        <v>0.118095699999999</v>
      </c>
      <c r="Q2084">
        <v>0.1532732</v>
      </c>
      <c r="R2084">
        <v>-0.98110200000000003</v>
      </c>
      <c r="S2084">
        <v>0.55807499999999999</v>
      </c>
      <c r="T2084">
        <v>-0.171621</v>
      </c>
      <c r="U2084">
        <v>-3.0177149999999999</v>
      </c>
      <c r="V2084">
        <v>-0.13356199999999999</v>
      </c>
      <c r="W2084">
        <v>0.16518949999999999</v>
      </c>
      <c r="X2084">
        <v>0.97717639999999995</v>
      </c>
      <c r="Y2084">
        <v>-0.1966474</v>
      </c>
      <c r="Z2084">
        <v>4.3196680000000001E-2</v>
      </c>
      <c r="AA2084">
        <v>0.97952220000000001</v>
      </c>
      <c r="AB2084">
        <v>23</v>
      </c>
      <c r="AC2084">
        <v>3.6157999999999699</v>
      </c>
      <c r="AD2084">
        <v>-1.1114556113079901</v>
      </c>
      <c r="AE2084">
        <v>-19.312899999999999</v>
      </c>
      <c r="AF2084">
        <v>-3.8989401732825302</v>
      </c>
      <c r="AG2084">
        <v>-1.1114556113079901</v>
      </c>
      <c r="AH2084">
        <v>19.1937886465257</v>
      </c>
      <c r="AI2084">
        <v>93.247940534218102</v>
      </c>
      <c r="AJ2084">
        <v>101.48257003716699</v>
      </c>
      <c r="AK2084">
        <v>19.617303348275101</v>
      </c>
      <c r="AL2084">
        <v>80.491757375966003</v>
      </c>
      <c r="AM2084">
        <v>97.783048703839199</v>
      </c>
      <c r="AN2084">
        <v>1.0000000477355999</v>
      </c>
    </row>
    <row r="2085" spans="1:40" x14ac:dyDescent="0.25">
      <c r="A2085" t="str">
        <f>"20190304155405267"</f>
        <v>20190304155405267</v>
      </c>
      <c r="B2085" t="str">
        <f>"1551686045258154"</f>
        <v>1551686045258154</v>
      </c>
      <c r="C2085" t="s">
        <v>40</v>
      </c>
      <c r="D2085">
        <v>4.5004080000000002</v>
      </c>
      <c r="E2085">
        <v>0.47127010000000003</v>
      </c>
      <c r="F2085" t="s">
        <v>51</v>
      </c>
      <c r="G2085">
        <v>-488.69760000000002</v>
      </c>
      <c r="H2085" s="1">
        <v>3.3095930000000001E-6</v>
      </c>
      <c r="I2085">
        <v>219.5737</v>
      </c>
      <c r="J2085">
        <v>-492.37380000000002</v>
      </c>
      <c r="K2085">
        <v>1.1115429999999999</v>
      </c>
      <c r="L2085">
        <v>238.9924</v>
      </c>
      <c r="M2085">
        <v>-1.336269E-2</v>
      </c>
      <c r="N2085">
        <v>-1.2547020000000001E-2</v>
      </c>
      <c r="O2085">
        <v>-0.99983219999999995</v>
      </c>
      <c r="P2085">
        <v>0.12081939999999999</v>
      </c>
      <c r="Q2085">
        <v>0.15370989999999901</v>
      </c>
      <c r="R2085">
        <v>-0.98070190000000002</v>
      </c>
      <c r="S2085">
        <v>0.56390379999999996</v>
      </c>
      <c r="T2085">
        <v>-0.1705594</v>
      </c>
      <c r="U2085">
        <v>-3.0165860000000002</v>
      </c>
      <c r="V2085">
        <v>-0.13439079999999901</v>
      </c>
      <c r="W2085">
        <v>0.1655963</v>
      </c>
      <c r="X2085">
        <v>0.97699389999999997</v>
      </c>
      <c r="Y2085">
        <v>-0.19661880000000001</v>
      </c>
      <c r="Z2085">
        <v>4.286628E-2</v>
      </c>
      <c r="AA2085">
        <v>0.97954249999999998</v>
      </c>
      <c r="AB2085">
        <v>23</v>
      </c>
      <c r="AC2085">
        <v>3.6761999999999899</v>
      </c>
      <c r="AD2085">
        <v>-1.1115396904069901</v>
      </c>
      <c r="AE2085">
        <v>-19.418700000000001</v>
      </c>
      <c r="AF2085">
        <v>-3.9229692919611998</v>
      </c>
      <c r="AG2085">
        <v>-1.1115396904069901</v>
      </c>
      <c r="AH2085">
        <v>19.3067682999508</v>
      </c>
      <c r="AI2085">
        <v>93.229183132230801</v>
      </c>
      <c r="AJ2085">
        <v>101.485645029921</v>
      </c>
      <c r="AK2085">
        <v>19.732625540890499</v>
      </c>
      <c r="AL2085">
        <v>80.468124001817998</v>
      </c>
      <c r="AM2085">
        <v>97.832192539341506</v>
      </c>
      <c r="AN2085">
        <v>1.00000005116776</v>
      </c>
    </row>
    <row r="2086" spans="1:40" x14ac:dyDescent="0.25">
      <c r="A2086" t="str">
        <f>"20190304155405290"</f>
        <v>20190304155405290</v>
      </c>
      <c r="B2086" t="str">
        <f>"1551686045278651"</f>
        <v>1551686045278651</v>
      </c>
      <c r="C2086" t="s">
        <v>40</v>
      </c>
      <c r="D2086">
        <v>4.4952740000000002</v>
      </c>
      <c r="E2086">
        <v>0.47154550000000001</v>
      </c>
      <c r="F2086" t="s">
        <v>51</v>
      </c>
      <c r="G2086">
        <v>-488.64100000000002</v>
      </c>
      <c r="H2086" s="1">
        <v>3.2862469999999998E-6</v>
      </c>
      <c r="I2086">
        <v>219.26939999999999</v>
      </c>
      <c r="J2086">
        <v>-492.37450000000001</v>
      </c>
      <c r="K2086">
        <v>1.1116189999999999</v>
      </c>
      <c r="L2086">
        <v>238.76400000000001</v>
      </c>
      <c r="M2086">
        <v>-1.1361069999999999E-2</v>
      </c>
      <c r="N2086">
        <v>-1.2548729999999999E-2</v>
      </c>
      <c r="O2086">
        <v>-0.99985679999999999</v>
      </c>
      <c r="P2086">
        <v>0.12396790000000001</v>
      </c>
      <c r="Q2086">
        <v>0.1541594</v>
      </c>
      <c r="R2086">
        <v>-0.98023859999999996</v>
      </c>
      <c r="S2086">
        <v>0.57067869999999998</v>
      </c>
      <c r="T2086">
        <v>-0.16993710000000001</v>
      </c>
      <c r="U2086">
        <v>-3.0153500000000002</v>
      </c>
      <c r="V2086">
        <v>-0.13560529999999901</v>
      </c>
      <c r="W2086">
        <v>0.16601569999999999</v>
      </c>
      <c r="X2086">
        <v>0.97675480000000003</v>
      </c>
      <c r="Y2086">
        <v>-0.1968558</v>
      </c>
      <c r="Z2086">
        <v>4.2676659999999998E-2</v>
      </c>
      <c r="AA2086">
        <v>0.97950320000000002</v>
      </c>
      <c r="AB2086">
        <v>23</v>
      </c>
      <c r="AC2086">
        <v>3.7335000000000398</v>
      </c>
      <c r="AD2086">
        <v>-1.1116157137530001</v>
      </c>
      <c r="AE2086">
        <v>-19.494599999999998</v>
      </c>
      <c r="AF2086">
        <v>-3.9423908732108899</v>
      </c>
      <c r="AG2086">
        <v>-1.1116157137530001</v>
      </c>
      <c r="AH2086">
        <v>19.390105858006901</v>
      </c>
      <c r="AI2086">
        <v>93.215472553243998</v>
      </c>
      <c r="AJ2086">
        <v>101.492705443354</v>
      </c>
      <c r="AK2086">
        <v>19.818030691190099</v>
      </c>
      <c r="AL2086">
        <v>80.443756134860607</v>
      </c>
      <c r="AM2086">
        <v>97.903992357321698</v>
      </c>
      <c r="AN2086">
        <v>0.99999997467880897</v>
      </c>
    </row>
    <row r="2087" spans="1:40" x14ac:dyDescent="0.25">
      <c r="A2087" t="str">
        <f>"20190304155405312"</f>
        <v>20190304155405312</v>
      </c>
      <c r="B2087" t="str">
        <f>"1551686045308906"</f>
        <v>1551686045308906</v>
      </c>
      <c r="C2087" t="s">
        <v>40</v>
      </c>
      <c r="D2087">
        <v>4.4652390000000004</v>
      </c>
      <c r="E2087">
        <v>0.47183890000000001</v>
      </c>
      <c r="F2087" t="s">
        <v>51</v>
      </c>
      <c r="G2087">
        <v>-488.5718</v>
      </c>
      <c r="H2087" s="1">
        <v>3.259007E-6</v>
      </c>
      <c r="I2087">
        <v>218.9272</v>
      </c>
      <c r="J2087">
        <v>-492.37479999999999</v>
      </c>
      <c r="K2087">
        <v>1.1116980000000001</v>
      </c>
      <c r="L2087">
        <v>238.54300000000001</v>
      </c>
      <c r="M2087">
        <v>-9.2997830000000007E-3</v>
      </c>
      <c r="N2087">
        <v>-1.25506E-2</v>
      </c>
      <c r="O2087">
        <v>-0.99987809999999999</v>
      </c>
      <c r="P2087">
        <v>0.12719649999999999</v>
      </c>
      <c r="Q2087">
        <v>0.15431510000000001</v>
      </c>
      <c r="R2087">
        <v>-0.9798</v>
      </c>
      <c r="S2087">
        <v>0.57778929999999995</v>
      </c>
      <c r="T2087">
        <v>-0.16889949999999901</v>
      </c>
      <c r="U2087">
        <v>-3.014008</v>
      </c>
      <c r="V2087">
        <v>-0.13684260000000001</v>
      </c>
      <c r="W2087">
        <v>0.16614219999999999</v>
      </c>
      <c r="X2087">
        <v>0.97656069999999995</v>
      </c>
      <c r="Y2087">
        <v>-0.19714719999999999</v>
      </c>
      <c r="Z2087">
        <v>4.2352859999999999E-2</v>
      </c>
      <c r="AA2087">
        <v>0.97945859999999996</v>
      </c>
      <c r="AB2087">
        <v>23</v>
      </c>
      <c r="AC2087">
        <v>3.8029999999999902</v>
      </c>
      <c r="AD2087">
        <v>-1.11169474099299</v>
      </c>
      <c r="AE2087">
        <v>-19.6158</v>
      </c>
      <c r="AF2087">
        <v>-3.9729741062963</v>
      </c>
      <c r="AG2087">
        <v>-1.11169474099299</v>
      </c>
      <c r="AH2087">
        <v>19.5191596839387</v>
      </c>
      <c r="AI2087">
        <v>93.194345175371893</v>
      </c>
      <c r="AJ2087">
        <v>101.504950051877</v>
      </c>
      <c r="AK2087">
        <v>19.950388046691</v>
      </c>
      <c r="AL2087">
        <v>80.4364060449915</v>
      </c>
      <c r="AM2087">
        <v>97.976751488537403</v>
      </c>
      <c r="AN2087">
        <v>0.99999996429004401</v>
      </c>
    </row>
    <row r="2088" spans="1:40" x14ac:dyDescent="0.25">
      <c r="A2088" t="str">
        <f>"20190304155405333"</f>
        <v>20190304155405333</v>
      </c>
      <c r="B2088" t="str">
        <f>"1551686045328426"</f>
        <v>1551686045328426</v>
      </c>
      <c r="C2088" t="s">
        <v>40</v>
      </c>
      <c r="D2088">
        <v>4.4369160000000001</v>
      </c>
      <c r="E2088">
        <v>0.47199010000000002</v>
      </c>
      <c r="F2088" t="s">
        <v>51</v>
      </c>
      <c r="G2088">
        <v>-488.5231</v>
      </c>
      <c r="H2088" s="1">
        <v>3.2407760000000001E-6</v>
      </c>
      <c r="I2088">
        <v>218.70760000000001</v>
      </c>
      <c r="J2088">
        <v>-492.37439999999998</v>
      </c>
      <c r="K2088">
        <v>1.1117709999999901</v>
      </c>
      <c r="L2088">
        <v>238.32390000000001</v>
      </c>
      <c r="M2088">
        <v>-7.1301560000000003E-3</v>
      </c>
      <c r="N2088">
        <v>-1.255295E-2</v>
      </c>
      <c r="O2088">
        <v>-0.99989589999999995</v>
      </c>
      <c r="P2088">
        <v>0.13069120000000001</v>
      </c>
      <c r="Q2088">
        <v>0.15446960000000001</v>
      </c>
      <c r="R2088">
        <v>-0.97931579999999996</v>
      </c>
      <c r="S2088">
        <v>0.58496090000000001</v>
      </c>
      <c r="T2088">
        <v>-0.1688373</v>
      </c>
      <c r="U2088">
        <v>-3.0124819999999999</v>
      </c>
      <c r="V2088">
        <v>-0.13824110000000001</v>
      </c>
      <c r="W2088">
        <v>0.16626640000000001</v>
      </c>
      <c r="X2088">
        <v>0.97634259999999995</v>
      </c>
      <c r="Y2088">
        <v>-0.1973597</v>
      </c>
      <c r="Z2088">
        <v>4.2348110000000001E-2</v>
      </c>
      <c r="AA2088">
        <v>0.97941599999999995</v>
      </c>
      <c r="AB2088">
        <v>23</v>
      </c>
      <c r="AC2088">
        <v>3.8512999999999802</v>
      </c>
      <c r="AD2088">
        <v>-1.1117677592239901</v>
      </c>
      <c r="AE2088">
        <v>-19.616299999999899</v>
      </c>
      <c r="AF2088">
        <v>-3.9787743530825699</v>
      </c>
      <c r="AG2088">
        <v>-1.1117677592239901</v>
      </c>
      <c r="AH2088">
        <v>19.5279404598162</v>
      </c>
      <c r="AI2088">
        <v>93.192993047234793</v>
      </c>
      <c r="AJ2088">
        <v>101.516255472233</v>
      </c>
      <c r="AK2088">
        <v>19.9601385642816</v>
      </c>
      <c r="AL2088">
        <v>80.429189833988303</v>
      </c>
      <c r="AM2088">
        <v>98.058983088395394</v>
      </c>
      <c r="AN2088">
        <v>0.99999999503646397</v>
      </c>
    </row>
    <row r="2089" spans="1:40" x14ac:dyDescent="0.25">
      <c r="A2089" t="str">
        <f>"20190304155405356"</f>
        <v>20190304155405356</v>
      </c>
      <c r="B2089" t="str">
        <f>"1551686045348922"</f>
        <v>1551686045348922</v>
      </c>
      <c r="C2089" t="s">
        <v>40</v>
      </c>
      <c r="D2089">
        <v>4.4742369999999996</v>
      </c>
      <c r="E2089">
        <v>0.47218589999999999</v>
      </c>
      <c r="F2089" t="s">
        <v>51</v>
      </c>
      <c r="G2089">
        <v>-488.45650000000001</v>
      </c>
      <c r="H2089" s="1">
        <v>3.2184529999999999E-6</v>
      </c>
      <c r="I2089">
        <v>218.46709999999999</v>
      </c>
      <c r="J2089">
        <v>-492.37329999999997</v>
      </c>
      <c r="K2089">
        <v>1.111858</v>
      </c>
      <c r="L2089">
        <v>238.09469999999999</v>
      </c>
      <c r="M2089">
        <v>-4.7285879999999997E-3</v>
      </c>
      <c r="N2089">
        <v>-1.255596E-2</v>
      </c>
      <c r="O2089">
        <v>-0.99991010000000002</v>
      </c>
      <c r="P2089">
        <v>0.13418669999999999</v>
      </c>
      <c r="Q2089">
        <v>0.15485299999999999</v>
      </c>
      <c r="R2089">
        <v>-0.97878240000000005</v>
      </c>
      <c r="S2089">
        <v>0.59402469999999996</v>
      </c>
      <c r="T2089">
        <v>-0.168566299999999</v>
      </c>
      <c r="U2089">
        <v>-3.0106809999999999</v>
      </c>
      <c r="V2089">
        <v>-0.13941979999999901</v>
      </c>
      <c r="W2089">
        <v>0.16661709999999999</v>
      </c>
      <c r="X2089">
        <v>0.97611519999999996</v>
      </c>
      <c r="Y2089">
        <v>-0.19795499999999999</v>
      </c>
      <c r="Z2089">
        <v>4.2274310000000002E-2</v>
      </c>
      <c r="AA2089">
        <v>0.97929909999999998</v>
      </c>
      <c r="AB2089">
        <v>23</v>
      </c>
      <c r="AC2089">
        <v>3.9167999999999599</v>
      </c>
      <c r="AD2089">
        <v>-1.1118547815469999</v>
      </c>
      <c r="AE2089">
        <v>-19.627600000000001</v>
      </c>
      <c r="AF2089">
        <v>-3.9972386779895399</v>
      </c>
      <c r="AG2089">
        <v>-1.1118547815469999</v>
      </c>
      <c r="AH2089">
        <v>19.5485304572214</v>
      </c>
      <c r="AI2089">
        <v>93.189430766479404</v>
      </c>
      <c r="AJ2089">
        <v>101.556404963593</v>
      </c>
      <c r="AK2089">
        <v>19.983973106992</v>
      </c>
      <c r="AL2089">
        <v>80.408812114879495</v>
      </c>
      <c r="AM2089">
        <v>98.128651105391199</v>
      </c>
      <c r="AN2089">
        <v>1.0000000111577401</v>
      </c>
    </row>
    <row r="2090" spans="1:40" x14ac:dyDescent="0.25">
      <c r="A2090" t="str">
        <f>"20190304155405379"</f>
        <v>20190304155405379</v>
      </c>
      <c r="B2090" t="str">
        <f>"1551686045368442"</f>
        <v>1551686045368442</v>
      </c>
      <c r="C2090" t="s">
        <v>40</v>
      </c>
      <c r="D2090">
        <v>4.647062</v>
      </c>
      <c r="E2090">
        <v>0.47217759999999998</v>
      </c>
      <c r="F2090" t="s">
        <v>51</v>
      </c>
      <c r="G2090">
        <v>-488.36020000000002</v>
      </c>
      <c r="H2090" s="1">
        <v>3.1846399999999998E-6</v>
      </c>
      <c r="I2090">
        <v>218.0847</v>
      </c>
      <c r="J2090">
        <v>-492.37150000000003</v>
      </c>
      <c r="K2090">
        <v>1.111942</v>
      </c>
      <c r="L2090">
        <v>237.8631</v>
      </c>
      <c r="M2090">
        <v>-2.1707940000000002E-3</v>
      </c>
      <c r="N2090">
        <v>-1.255949E-2</v>
      </c>
      <c r="O2090">
        <v>-0.999919</v>
      </c>
      <c r="P2090">
        <v>0.13790669999999999</v>
      </c>
      <c r="Q2090">
        <v>0.15515190000000001</v>
      </c>
      <c r="R2090">
        <v>-0.97821789999999997</v>
      </c>
      <c r="S2090">
        <v>0.60342410000000002</v>
      </c>
      <c r="T2090">
        <v>-0.16718150000000001</v>
      </c>
      <c r="U2090">
        <v>-3.008759</v>
      </c>
      <c r="V2090">
        <v>-0.14067279999999999</v>
      </c>
      <c r="W2090">
        <v>0.1668818</v>
      </c>
      <c r="X2090">
        <v>0.97589020000000004</v>
      </c>
      <c r="Y2090">
        <v>-0.1985133</v>
      </c>
      <c r="Z2090">
        <v>4.1839830000000001E-2</v>
      </c>
      <c r="AA2090">
        <v>0.97920469999999904</v>
      </c>
      <c r="AB2090">
        <v>23</v>
      </c>
      <c r="AC2090">
        <v>4.0113000000000003</v>
      </c>
      <c r="AD2090">
        <v>-1.1119388153600001</v>
      </c>
      <c r="AE2090">
        <v>-19.778400000000001</v>
      </c>
      <c r="AF2090">
        <v>-4.0419581738822501</v>
      </c>
      <c r="AG2090">
        <v>-1.1119388153600001</v>
      </c>
      <c r="AH2090">
        <v>19.709809932416501</v>
      </c>
      <c r="AI2090">
        <v>93.163254815651399</v>
      </c>
      <c r="AJ2090">
        <v>101.589163289022</v>
      </c>
      <c r="AK2090">
        <v>20.150693322575901</v>
      </c>
      <c r="AL2090">
        <v>80.393430724803096</v>
      </c>
      <c r="AM2090">
        <v>98.202580993248901</v>
      </c>
      <c r="AN2090">
        <v>1.0000000271435501</v>
      </c>
    </row>
    <row r="2091" spans="1:40" x14ac:dyDescent="0.25">
      <c r="A2091" t="str">
        <f>"20190304155405400"</f>
        <v>20190304155405400</v>
      </c>
      <c r="B2091" t="str">
        <f>"1551686045398698"</f>
        <v>1551686045398698</v>
      </c>
      <c r="C2091" t="s">
        <v>40</v>
      </c>
      <c r="D2091">
        <v>4.3258890000000001</v>
      </c>
      <c r="E2091">
        <v>0.42217209999999999</v>
      </c>
      <c r="F2091" t="s">
        <v>51</v>
      </c>
      <c r="G2091">
        <v>-488.26740000000001</v>
      </c>
      <c r="H2091" s="1">
        <v>3.154093E-6</v>
      </c>
      <c r="I2091">
        <v>217.76240000000001</v>
      </c>
      <c r="J2091">
        <v>-492.3691</v>
      </c>
      <c r="K2091">
        <v>1.112033</v>
      </c>
      <c r="L2091">
        <v>237.64109999999999</v>
      </c>
      <c r="M2091">
        <v>4.0732319999999998E-4</v>
      </c>
      <c r="N2091">
        <v>-1.256296E-2</v>
      </c>
      <c r="O2091">
        <v>-0.99992110000000001</v>
      </c>
      <c r="P2091">
        <v>0.14191999999999999</v>
      </c>
      <c r="Q2091">
        <v>0.1558156</v>
      </c>
      <c r="R2091">
        <v>-0.97753789999999996</v>
      </c>
      <c r="S2091">
        <v>0.61389159999999998</v>
      </c>
      <c r="T2091">
        <v>-0.16632160000000001</v>
      </c>
      <c r="U2091">
        <v>-3.0066220000000001</v>
      </c>
      <c r="V2091">
        <v>-0.14220079999999999</v>
      </c>
      <c r="W2091">
        <v>0.167510299999999</v>
      </c>
      <c r="X2091">
        <v>0.97556100000000001</v>
      </c>
      <c r="Y2091">
        <v>-0.19939750000000001</v>
      </c>
      <c r="Z2091">
        <v>4.1574960000000001E-2</v>
      </c>
      <c r="AA2091">
        <v>0.97903629999999997</v>
      </c>
      <c r="AB2091">
        <v>23</v>
      </c>
      <c r="AC2091">
        <v>4.1016999999999904</v>
      </c>
      <c r="AD2091">
        <v>-1.1120298459069999</v>
      </c>
      <c r="AE2091">
        <v>-19.878699999999899</v>
      </c>
      <c r="AF2091">
        <v>-4.0813514680688101</v>
      </c>
      <c r="AG2091">
        <v>-1.1120298459069999</v>
      </c>
      <c r="AH2091">
        <v>19.8208752826317</v>
      </c>
      <c r="AI2091">
        <v>93.145303460880896</v>
      </c>
      <c r="AJ2091">
        <v>101.635250802019</v>
      </c>
      <c r="AK2091">
        <v>20.267242958866799</v>
      </c>
      <c r="AL2091">
        <v>80.356906092007904</v>
      </c>
      <c r="AM2091">
        <v>98.293204909073907</v>
      </c>
      <c r="AN2091">
        <v>1.00000001642386</v>
      </c>
    </row>
    <row r="2092" spans="1:40" x14ac:dyDescent="0.25">
      <c r="A2092" t="str">
        <f>"20190304155405423"</f>
        <v>20190304155405423</v>
      </c>
      <c r="B2092" t="str">
        <f>"1551686045418218"</f>
        <v>1551686045418218</v>
      </c>
      <c r="C2092" t="s">
        <v>40</v>
      </c>
      <c r="D2092">
        <v>4.2804359999999999</v>
      </c>
      <c r="E2092">
        <v>0.41692610000000002</v>
      </c>
      <c r="F2092" t="s">
        <v>51</v>
      </c>
      <c r="G2092">
        <v>-479.95780000000002</v>
      </c>
      <c r="H2092">
        <v>3.1135340000000001E-2</v>
      </c>
      <c r="I2092">
        <v>202.06</v>
      </c>
      <c r="J2092">
        <v>-492.36599999999999</v>
      </c>
      <c r="K2092">
        <v>1.1121129999999999</v>
      </c>
      <c r="L2092">
        <v>237.4187</v>
      </c>
      <c r="M2092">
        <v>3.1133179999999999E-3</v>
      </c>
      <c r="N2092">
        <v>-1.2566580000000001E-2</v>
      </c>
      <c r="O2092">
        <v>-0.99991640000000004</v>
      </c>
      <c r="P2092">
        <v>0.14568979999999901</v>
      </c>
      <c r="Q2092">
        <v>0.1562605</v>
      </c>
      <c r="R2092">
        <v>-0.97691240000000001</v>
      </c>
      <c r="S2092">
        <v>1.0236209999999999</v>
      </c>
      <c r="T2092">
        <v>-8.9146260000000005E-2</v>
      </c>
      <c r="U2092">
        <v>-2.9345249999999998</v>
      </c>
      <c r="V2092">
        <v>-0.1433604</v>
      </c>
      <c r="W2092">
        <v>0.16792399999999999</v>
      </c>
      <c r="X2092">
        <v>0.97532010000000002</v>
      </c>
      <c r="Y2092">
        <v>-0.3262912</v>
      </c>
      <c r="Z2092">
        <v>1.6129770000000002E-2</v>
      </c>
      <c r="AA2092">
        <v>0.94513170000000002</v>
      </c>
      <c r="AB2092">
        <v>23</v>
      </c>
      <c r="AC2092">
        <v>12.4081999999999</v>
      </c>
      <c r="AD2092">
        <v>-1.0809776599999901</v>
      </c>
      <c r="AE2092">
        <v>-35.358699999999999</v>
      </c>
      <c r="AF2092">
        <v>-12.287822937336401</v>
      </c>
      <c r="AG2092">
        <v>-1.0809776599999901</v>
      </c>
      <c r="AH2092">
        <v>35.367730898446297</v>
      </c>
      <c r="AI2092">
        <v>91.653732737950193</v>
      </c>
      <c r="AJ2092">
        <v>109.158778330129</v>
      </c>
      <c r="AK2092">
        <v>37.457115400757402</v>
      </c>
      <c r="AL2092">
        <v>80.332861951774802</v>
      </c>
      <c r="AM2092">
        <v>98.361916919432602</v>
      </c>
      <c r="AN2092">
        <v>0.999999985764085</v>
      </c>
    </row>
    <row r="2093" spans="1:40" x14ac:dyDescent="0.25">
      <c r="A2093" t="str">
        <f>"20190304155405446"</f>
        <v>20190304155405446</v>
      </c>
      <c r="B2093" t="str">
        <f>"1551686045438714"</f>
        <v>1551686045438714</v>
      </c>
      <c r="C2093" t="s">
        <v>40</v>
      </c>
      <c r="D2093">
        <v>4.2481960000000001</v>
      </c>
      <c r="E2093">
        <v>0.41442220000000002</v>
      </c>
      <c r="F2093" t="s">
        <v>51</v>
      </c>
      <c r="G2093">
        <v>-479.93090000000001</v>
      </c>
      <c r="H2093">
        <v>7.6854530000000004E-2</v>
      </c>
      <c r="I2093">
        <v>203.63290000000001</v>
      </c>
      <c r="J2093">
        <v>-492.36180000000002</v>
      </c>
      <c r="K2093">
        <v>1.112182</v>
      </c>
      <c r="L2093">
        <v>237.18389999999999</v>
      </c>
      <c r="M2093">
        <v>6.0922939999999998E-3</v>
      </c>
      <c r="N2093">
        <v>-1.2570420000000001E-2</v>
      </c>
      <c r="O2093">
        <v>-0.99990250000000003</v>
      </c>
      <c r="P2093">
        <v>0.14997639999999901</v>
      </c>
      <c r="Q2093">
        <v>0.156949799999999</v>
      </c>
      <c r="R2093">
        <v>-0.97615269999999998</v>
      </c>
      <c r="S2093">
        <v>1.0764469999999999</v>
      </c>
      <c r="T2093">
        <v>-8.9617130000000003E-2</v>
      </c>
      <c r="U2093">
        <v>-2.9246669999999999</v>
      </c>
      <c r="V2093">
        <v>-0.1447724</v>
      </c>
      <c r="W2093">
        <v>0.16858210000000001</v>
      </c>
      <c r="X2093">
        <v>0.97499789999999997</v>
      </c>
      <c r="Y2093">
        <v>-0.33955020000000002</v>
      </c>
      <c r="Z2093">
        <v>1.622063E-2</v>
      </c>
      <c r="AA2093">
        <v>0.94044799999999995</v>
      </c>
      <c r="AB2093">
        <v>23</v>
      </c>
      <c r="AC2093">
        <v>12.430899999999999</v>
      </c>
      <c r="AD2093">
        <v>-1.0353274699999999</v>
      </c>
      <c r="AE2093">
        <v>-33.550999999999902</v>
      </c>
      <c r="AF2093">
        <v>-12.216022156327901</v>
      </c>
      <c r="AG2093">
        <v>-1.0353274699999999</v>
      </c>
      <c r="AH2093">
        <v>33.597984493737101</v>
      </c>
      <c r="AI2093">
        <v>91.658838471152805</v>
      </c>
      <c r="AJ2093">
        <v>109.980957562738</v>
      </c>
      <c r="AK2093">
        <v>35.764894272672301</v>
      </c>
      <c r="AL2093">
        <v>80.294609813869599</v>
      </c>
      <c r="AM2093">
        <v>98.445844404829202</v>
      </c>
      <c r="AN2093">
        <v>0.99999993862328795</v>
      </c>
    </row>
    <row r="2094" spans="1:40" x14ac:dyDescent="0.25">
      <c r="A2094" t="str">
        <f>"20190304155405469"</f>
        <v>20190304155405469</v>
      </c>
      <c r="B2094" t="str">
        <f>"1551686045458234"</f>
        <v>1551686045458234</v>
      </c>
      <c r="C2094" t="s">
        <v>40</v>
      </c>
      <c r="D2094">
        <v>4.2794369999999997</v>
      </c>
      <c r="E2094">
        <v>0.41324250000000001</v>
      </c>
      <c r="F2094" t="s">
        <v>51</v>
      </c>
      <c r="G2094">
        <v>-479.57530000000003</v>
      </c>
      <c r="H2094">
        <v>7.9999630000000002E-2</v>
      </c>
      <c r="I2094">
        <v>203.5421</v>
      </c>
      <c r="J2094">
        <v>-492.35669999999999</v>
      </c>
      <c r="K2094">
        <v>1.112247</v>
      </c>
      <c r="L2094">
        <v>236.94300000000001</v>
      </c>
      <c r="M2094">
        <v>9.2462629999999994E-3</v>
      </c>
      <c r="N2094">
        <v>-1.2573920000000001E-2</v>
      </c>
      <c r="O2094">
        <v>-0.9998783</v>
      </c>
      <c r="P2094">
        <v>0.1553397</v>
      </c>
      <c r="Q2094">
        <v>0.1576544</v>
      </c>
      <c r="R2094">
        <v>-0.97519990000000001</v>
      </c>
      <c r="S2094">
        <v>1.1088260000000001</v>
      </c>
      <c r="T2094">
        <v>-8.9509489999999997E-2</v>
      </c>
      <c r="U2094">
        <v>-2.9173740000000001</v>
      </c>
      <c r="V2094">
        <v>-0.14708779999999999</v>
      </c>
      <c r="W2094">
        <v>0.16925370000000001</v>
      </c>
      <c r="X2094">
        <v>0.97453489999999998</v>
      </c>
      <c r="Y2094">
        <v>-0.34648830000000003</v>
      </c>
      <c r="Z2094">
        <v>1.6164899999999999E-2</v>
      </c>
      <c r="AA2094">
        <v>0.93791500000000005</v>
      </c>
      <c r="AB2094">
        <v>23</v>
      </c>
      <c r="AC2094">
        <v>12.7813999999999</v>
      </c>
      <c r="AD2094">
        <v>-1.0322473700000001</v>
      </c>
      <c r="AE2094">
        <v>-33.400899999999901</v>
      </c>
      <c r="AF2094">
        <v>-12.4616137544322</v>
      </c>
      <c r="AG2094">
        <v>-1.0322473700000001</v>
      </c>
      <c r="AH2094">
        <v>33.489760827858397</v>
      </c>
      <c r="AI2094">
        <v>91.654682644182799</v>
      </c>
      <c r="AJ2094">
        <v>110.4103447868</v>
      </c>
      <c r="AK2094">
        <v>35.748026970795003</v>
      </c>
      <c r="AL2094">
        <v>80.255569100125697</v>
      </c>
      <c r="AM2094">
        <v>98.582942742660407</v>
      </c>
      <c r="AN2094">
        <v>0.99999995359526805</v>
      </c>
    </row>
    <row r="2095" spans="1:40" x14ac:dyDescent="0.25">
      <c r="A2095" t="str">
        <f>"20190304155405504"</f>
        <v>20190304155405504</v>
      </c>
      <c r="B2095" t="str">
        <f>"1551686045498250"</f>
        <v>1551686045498250</v>
      </c>
      <c r="C2095" t="s">
        <v>40</v>
      </c>
      <c r="D2095">
        <v>4.3033549999999998</v>
      </c>
      <c r="E2095">
        <v>0.41214970000000001</v>
      </c>
      <c r="F2095" t="s">
        <v>51</v>
      </c>
      <c r="G2095">
        <v>-479.60930000000002</v>
      </c>
      <c r="H2095">
        <v>7.9999819999999999E-2</v>
      </c>
      <c r="I2095">
        <v>204.2105</v>
      </c>
      <c r="J2095">
        <v>-492.34809999999999</v>
      </c>
      <c r="K2095">
        <v>1.112306</v>
      </c>
      <c r="L2095">
        <v>236.6036</v>
      </c>
      <c r="M2095">
        <v>1.382602E-2</v>
      </c>
      <c r="N2095">
        <v>-1.2577990000000001E-2</v>
      </c>
      <c r="O2095">
        <v>-0.99982539999999998</v>
      </c>
      <c r="P2095">
        <v>0.1623551</v>
      </c>
      <c r="Q2095">
        <v>0.15728239999999999</v>
      </c>
      <c r="R2095">
        <v>-0.9741168</v>
      </c>
      <c r="S2095">
        <v>1.1335139999999999</v>
      </c>
      <c r="T2095">
        <v>-9.1788289999999995E-2</v>
      </c>
      <c r="U2095">
        <v>-2.9105989999999999</v>
      </c>
      <c r="V2095">
        <v>-0.14966479999999999</v>
      </c>
      <c r="W2095">
        <v>0.16884859999999999</v>
      </c>
      <c r="X2095">
        <v>0.97421279999999999</v>
      </c>
      <c r="Y2095">
        <v>-0.34983530000000002</v>
      </c>
      <c r="Z2095">
        <v>1.6902049999999998E-2</v>
      </c>
      <c r="AA2095">
        <v>0.93665869999999996</v>
      </c>
      <c r="AB2095">
        <v>23</v>
      </c>
      <c r="AC2095">
        <v>12.7387999999999</v>
      </c>
      <c r="AD2095">
        <v>-1.03230618</v>
      </c>
      <c r="AE2095">
        <v>-32.393099999999997</v>
      </c>
      <c r="AF2095">
        <v>-12.278879236155101</v>
      </c>
      <c r="AG2095">
        <v>-1.03230618</v>
      </c>
      <c r="AH2095">
        <v>32.537525632110999</v>
      </c>
      <c r="AI2095">
        <v>91.700229867487295</v>
      </c>
      <c r="AJ2095">
        <v>110.675299782579</v>
      </c>
      <c r="AK2095">
        <v>34.792630047261902</v>
      </c>
      <c r="AL2095">
        <v>80.279118928514293</v>
      </c>
      <c r="AM2095">
        <v>98.733861704838603</v>
      </c>
      <c r="AN2095">
        <v>0.99999999088241998</v>
      </c>
    </row>
    <row r="2096" spans="1:40" x14ac:dyDescent="0.25">
      <c r="A2096" t="str">
        <f>"20190304155405526"</f>
        <v>20190304155405526</v>
      </c>
      <c r="B2096" t="str">
        <f>"1551686045518746"</f>
        <v>1551686045518746</v>
      </c>
      <c r="C2096" t="s">
        <v>40</v>
      </c>
      <c r="D2096">
        <v>4.3035050000000004</v>
      </c>
      <c r="E2096">
        <v>0.41193239999999998</v>
      </c>
      <c r="F2096" t="s">
        <v>51</v>
      </c>
      <c r="G2096">
        <v>-479.94150000000002</v>
      </c>
      <c r="H2096">
        <v>6.5651210000000002E-2</v>
      </c>
      <c r="I2096">
        <v>205.62469999999999</v>
      </c>
      <c r="J2096">
        <v>-492.34129999999999</v>
      </c>
      <c r="K2096">
        <v>1.1123350000000001</v>
      </c>
      <c r="L2096">
        <v>236.376</v>
      </c>
      <c r="M2096">
        <v>1.6983680000000001E-2</v>
      </c>
      <c r="N2096">
        <v>-1.2580529999999999E-2</v>
      </c>
      <c r="O2096">
        <v>-0.99977669999999996</v>
      </c>
      <c r="P2096">
        <v>0.166927399999999</v>
      </c>
      <c r="Q2096">
        <v>0.15657639999999901</v>
      </c>
      <c r="R2096">
        <v>-0.97345749999999998</v>
      </c>
      <c r="S2096">
        <v>1.16214</v>
      </c>
      <c r="T2096">
        <v>-9.8040820000000001E-2</v>
      </c>
      <c r="U2096">
        <v>-2.9018099999999998</v>
      </c>
      <c r="V2096">
        <v>-0.15117239999999901</v>
      </c>
      <c r="W2096">
        <v>0.16812569999999999</v>
      </c>
      <c r="X2096">
        <v>0.97410509999999995</v>
      </c>
      <c r="Y2096">
        <v>-0.35579899999999998</v>
      </c>
      <c r="Z2096">
        <v>1.8907029999999998E-2</v>
      </c>
      <c r="AA2096">
        <v>0.93437119999999996</v>
      </c>
      <c r="AB2096">
        <v>23</v>
      </c>
      <c r="AC2096">
        <v>12.3997999999999</v>
      </c>
      <c r="AD2096">
        <v>-1.0466837899999999</v>
      </c>
      <c r="AE2096">
        <v>-30.751299999999901</v>
      </c>
      <c r="AF2096">
        <v>-11.863877399964601</v>
      </c>
      <c r="AG2096">
        <v>-1.0466837899999999</v>
      </c>
      <c r="AH2096">
        <v>30.926656489826001</v>
      </c>
      <c r="AI2096">
        <v>91.809876057121201</v>
      </c>
      <c r="AJ2096">
        <v>110.987478931954</v>
      </c>
      <c r="AK2096">
        <v>33.140688217919298</v>
      </c>
      <c r="AL2096">
        <v>80.321139306405797</v>
      </c>
      <c r="AM2096">
        <v>98.821422605173296</v>
      </c>
      <c r="AN2096">
        <v>1.00000004568412</v>
      </c>
    </row>
    <row r="2097" spans="1:40" x14ac:dyDescent="0.25">
      <c r="A2097" t="str">
        <f>"20190304155405548"</f>
        <v>20190304155405548</v>
      </c>
      <c r="B2097" t="str">
        <f>"1551686045538266"</f>
        <v>1551686045538266</v>
      </c>
      <c r="C2097" t="s">
        <v>40</v>
      </c>
      <c r="D2097">
        <v>4.3156910000000002</v>
      </c>
      <c r="E2097">
        <v>0.4117441</v>
      </c>
      <c r="F2097" t="s">
        <v>51</v>
      </c>
      <c r="G2097">
        <v>-479.9529</v>
      </c>
      <c r="H2097">
        <v>3.2396670000000002E-2</v>
      </c>
      <c r="I2097">
        <v>205.8922</v>
      </c>
      <c r="J2097">
        <v>-492.334</v>
      </c>
      <c r="K2097">
        <v>1.112357</v>
      </c>
      <c r="L2097">
        <v>236.15440000000001</v>
      </c>
      <c r="M2097">
        <v>2.0099329999999999E-2</v>
      </c>
      <c r="N2097">
        <v>-1.2582909999999999E-2</v>
      </c>
      <c r="O2097">
        <v>-0.99971900000000002</v>
      </c>
      <c r="P2097">
        <v>0.17174690000000001</v>
      </c>
      <c r="Q2097">
        <v>0.1559635</v>
      </c>
      <c r="R2097">
        <v>-0.97271719999999895</v>
      </c>
      <c r="S2097">
        <v>1.1770940000000001</v>
      </c>
      <c r="T2097">
        <v>-0.1026112</v>
      </c>
      <c r="U2097">
        <v>-2.896439</v>
      </c>
      <c r="V2097">
        <v>-0.1529692</v>
      </c>
      <c r="W2097">
        <v>0.167495799999999</v>
      </c>
      <c r="X2097">
        <v>0.97393300000000005</v>
      </c>
      <c r="Y2097">
        <v>-0.35761690000000002</v>
      </c>
      <c r="Z2097">
        <v>2.0388670000000001E-2</v>
      </c>
      <c r="AA2097">
        <v>0.93364579999999997</v>
      </c>
      <c r="AB2097">
        <v>23</v>
      </c>
      <c r="AC2097">
        <v>12.3811</v>
      </c>
      <c r="AD2097">
        <v>-1.07996033</v>
      </c>
      <c r="AE2097">
        <v>-30.2622</v>
      </c>
      <c r="AF2097">
        <v>-11.7574738081617</v>
      </c>
      <c r="AG2097">
        <v>-1.07996033</v>
      </c>
      <c r="AH2097">
        <v>30.471714403021501</v>
      </c>
      <c r="AI2097">
        <v>91.893817599003299</v>
      </c>
      <c r="AJ2097">
        <v>111.099047145057</v>
      </c>
      <c r="AK2097">
        <v>32.679196491396397</v>
      </c>
      <c r="AL2097">
        <v>80.357748177429301</v>
      </c>
      <c r="AM2097">
        <v>98.926145570707803</v>
      </c>
      <c r="AN2097">
        <v>0.99999995382763796</v>
      </c>
    </row>
    <row r="2098" spans="1:40" x14ac:dyDescent="0.25">
      <c r="A2098" t="str">
        <f>"20190304155405569"</f>
        <v>20190304155405569</v>
      </c>
      <c r="B2098" t="str">
        <f>"1551686045558765"</f>
        <v>1551686045558765</v>
      </c>
      <c r="C2098" t="s">
        <v>40</v>
      </c>
      <c r="D2098">
        <v>4.3140169999999998</v>
      </c>
      <c r="E2098">
        <v>0.41168490000000002</v>
      </c>
      <c r="F2098" t="s">
        <v>51</v>
      </c>
      <c r="G2098">
        <v>-479.935</v>
      </c>
      <c r="H2098">
        <v>1.535912E-2</v>
      </c>
      <c r="I2098">
        <v>206.12989999999999</v>
      </c>
      <c r="J2098">
        <v>-492.32619999999997</v>
      </c>
      <c r="K2098">
        <v>1.1123780000000001</v>
      </c>
      <c r="L2098">
        <v>235.93979999999999</v>
      </c>
      <c r="M2098">
        <v>2.3153480000000001E-2</v>
      </c>
      <c r="N2098">
        <v>-1.2584919999999999E-2</v>
      </c>
      <c r="O2098">
        <v>-0.99965280000000001</v>
      </c>
      <c r="P2098">
        <v>0.17614009999999999</v>
      </c>
      <c r="Q2098">
        <v>0.1555204</v>
      </c>
      <c r="R2098">
        <v>-0.97200209999999998</v>
      </c>
      <c r="S2098">
        <v>1.1936040000000001</v>
      </c>
      <c r="T2098">
        <v>-0.1056035</v>
      </c>
      <c r="U2098">
        <v>-2.8903349999999999</v>
      </c>
      <c r="V2098">
        <v>-0.15440179999999901</v>
      </c>
      <c r="W2098">
        <v>0.1670384</v>
      </c>
      <c r="X2098">
        <v>0.97378549999999997</v>
      </c>
      <c r="Y2098">
        <v>-0.36000500000000002</v>
      </c>
      <c r="Z2098">
        <v>2.1365439999999999E-2</v>
      </c>
      <c r="AA2098">
        <v>0.93270569999999997</v>
      </c>
      <c r="AB2098">
        <v>23</v>
      </c>
      <c r="AC2098">
        <v>12.3911999999999</v>
      </c>
      <c r="AD2098">
        <v>-1.09701888</v>
      </c>
      <c r="AE2098">
        <v>-29.809899999999999</v>
      </c>
      <c r="AF2098">
        <v>-11.684127872952899</v>
      </c>
      <c r="AG2098">
        <v>-1.09701888</v>
      </c>
      <c r="AH2098">
        <v>30.0541243942295</v>
      </c>
      <c r="AI2098">
        <v>91.948501670453794</v>
      </c>
      <c r="AJ2098">
        <v>111.244564991979</v>
      </c>
      <c r="AK2098">
        <v>32.264108350896898</v>
      </c>
      <c r="AL2098">
        <v>80.384329931180801</v>
      </c>
      <c r="AM2098">
        <v>99.009718915216098</v>
      </c>
      <c r="AN2098">
        <v>0.99999997146402397</v>
      </c>
    </row>
    <row r="2099" spans="1:40" x14ac:dyDescent="0.25">
      <c r="A2099" t="str">
        <f>"20190304155405590"</f>
        <v>20190304155405590</v>
      </c>
      <c r="B2099" t="str">
        <f>"1551686045589017"</f>
        <v>1551686045589017</v>
      </c>
      <c r="C2099" t="s">
        <v>40</v>
      </c>
      <c r="D2099">
        <v>4.3106749999999998</v>
      </c>
      <c r="E2099">
        <v>0.41160279999999999</v>
      </c>
      <c r="F2099" t="s">
        <v>51</v>
      </c>
      <c r="G2099">
        <v>-479.92290000000003</v>
      </c>
      <c r="H2099">
        <v>6.8395720000000004E-3</v>
      </c>
      <c r="I2099">
        <v>206.28980000000001</v>
      </c>
      <c r="J2099">
        <v>-492.31740000000002</v>
      </c>
      <c r="K2099">
        <v>1.1123970000000001</v>
      </c>
      <c r="L2099">
        <v>235.7193</v>
      </c>
      <c r="M2099">
        <v>2.6328850000000001E-2</v>
      </c>
      <c r="N2099">
        <v>-1.2586780000000001E-2</v>
      </c>
      <c r="O2099">
        <v>-0.99957430000000003</v>
      </c>
      <c r="P2099">
        <v>0.18133450000000001</v>
      </c>
      <c r="Q2099">
        <v>0.15562490000000001</v>
      </c>
      <c r="R2099">
        <v>-0.97102999999999995</v>
      </c>
      <c r="S2099">
        <v>1.2068179999999999</v>
      </c>
      <c r="T2099">
        <v>-0.1075672</v>
      </c>
      <c r="U2099">
        <v>-2.884903</v>
      </c>
      <c r="V2099">
        <v>-0.15652820000000001</v>
      </c>
      <c r="W2099">
        <v>0.16712249999999901</v>
      </c>
      <c r="X2099">
        <v>0.97343159999999895</v>
      </c>
      <c r="Y2099">
        <v>-0.36129529999999999</v>
      </c>
      <c r="Z2099">
        <v>2.201958E-2</v>
      </c>
      <c r="AA2099">
        <v>0.9321914</v>
      </c>
      <c r="AB2099">
        <v>23</v>
      </c>
      <c r="AC2099">
        <v>12.394499999999899</v>
      </c>
      <c r="AD2099">
        <v>-1.10555742799999</v>
      </c>
      <c r="AE2099">
        <v>-29.429499999999901</v>
      </c>
      <c r="AF2099">
        <v>-11.6013907992509</v>
      </c>
      <c r="AG2099">
        <v>-1.10555742799999</v>
      </c>
      <c r="AH2099">
        <v>29.7100438509882</v>
      </c>
      <c r="AI2099">
        <v>91.985226488073195</v>
      </c>
      <c r="AJ2099">
        <v>111.330007124349</v>
      </c>
      <c r="AK2099">
        <v>31.9139660858878</v>
      </c>
      <c r="AL2099">
        <v>80.379443357837701</v>
      </c>
      <c r="AM2099">
        <v>99.134986707301294</v>
      </c>
      <c r="AN2099">
        <v>1.00000004364002</v>
      </c>
    </row>
    <row r="2100" spans="1:40" x14ac:dyDescent="0.25">
      <c r="A2100" t="str">
        <f>"20190304155405614"</f>
        <v>20190304155405614</v>
      </c>
      <c r="B2100" t="str">
        <f>"1551686045608538"</f>
        <v>1551686045608538</v>
      </c>
      <c r="C2100" t="s">
        <v>40</v>
      </c>
      <c r="D2100">
        <v>4.2585470000000001</v>
      </c>
      <c r="E2100">
        <v>0.41146189999999999</v>
      </c>
      <c r="F2100" t="s">
        <v>51</v>
      </c>
      <c r="G2100">
        <v>-479.90789999999998</v>
      </c>
      <c r="H2100">
        <v>1.3041050000000001E-3</v>
      </c>
      <c r="I2100">
        <v>206.48820000000001</v>
      </c>
      <c r="J2100">
        <v>-492.3075</v>
      </c>
      <c r="K2100">
        <v>1.1124229999999999</v>
      </c>
      <c r="L2100">
        <v>235.48929999999999</v>
      </c>
      <c r="M2100">
        <v>2.9678469999999998E-2</v>
      </c>
      <c r="N2100">
        <v>-1.258863E-2</v>
      </c>
      <c r="O2100">
        <v>-0.99948020000000004</v>
      </c>
      <c r="P2100">
        <v>0.18644810000000001</v>
      </c>
      <c r="Q2100">
        <v>0.1557385</v>
      </c>
      <c r="R2100">
        <v>-0.97004259999999998</v>
      </c>
      <c r="S2100">
        <v>1.222137</v>
      </c>
      <c r="T2100">
        <v>-0.1094253</v>
      </c>
      <c r="U2100">
        <v>-2.8787989999999999</v>
      </c>
      <c r="V2100">
        <v>-0.15840750000000001</v>
      </c>
      <c r="W2100">
        <v>0.167217</v>
      </c>
      <c r="X2100">
        <v>0.97311130000000001</v>
      </c>
      <c r="Y2100">
        <v>-0.36307739999999999</v>
      </c>
      <c r="Z2100">
        <v>2.2639240000000001E-2</v>
      </c>
      <c r="AA2100">
        <v>0.93148390000000003</v>
      </c>
      <c r="AB2100">
        <v>23</v>
      </c>
      <c r="AC2100">
        <v>12.3996</v>
      </c>
      <c r="AD2100">
        <v>-1.1111188949999999</v>
      </c>
      <c r="AE2100">
        <v>-29.001099999999902</v>
      </c>
      <c r="AF2100">
        <v>-11.519065166737899</v>
      </c>
      <c r="AG2100">
        <v>-1.1111188949999999</v>
      </c>
      <c r="AH2100">
        <v>29.3199665331048</v>
      </c>
      <c r="AI2100">
        <v>92.020090732312894</v>
      </c>
      <c r="AJ2100">
        <v>111.44859441994799</v>
      </c>
      <c r="AK2100">
        <v>31.521165667163501</v>
      </c>
      <c r="AL2100">
        <v>80.373951511643497</v>
      </c>
      <c r="AM2100">
        <v>99.245770459324902</v>
      </c>
      <c r="AN2100">
        <v>1.0000000316664599</v>
      </c>
    </row>
    <row r="2101" spans="1:40" x14ac:dyDescent="0.25">
      <c r="A2101" t="str">
        <f>"20190304155405635"</f>
        <v>20190304155405635</v>
      </c>
      <c r="B2101" t="str">
        <f>"1551686045629034"</f>
        <v>1551686045629034</v>
      </c>
      <c r="C2101" t="s">
        <v>40</v>
      </c>
      <c r="D2101">
        <v>4.2365059999999897</v>
      </c>
      <c r="E2101">
        <v>0.4113964</v>
      </c>
      <c r="F2101" t="s">
        <v>51</v>
      </c>
      <c r="G2101">
        <v>-479.8922</v>
      </c>
      <c r="H2101">
        <v>1.438964E-2</v>
      </c>
      <c r="I2101">
        <v>206.6969</v>
      </c>
      <c r="J2101">
        <v>-492.2971</v>
      </c>
      <c r="K2101">
        <v>1.11243799999999</v>
      </c>
      <c r="L2101">
        <v>235.26660000000001</v>
      </c>
      <c r="M2101">
        <v>3.2956050000000001E-2</v>
      </c>
      <c r="N2101">
        <v>-1.259043E-2</v>
      </c>
      <c r="O2101">
        <v>-0.99937759999999998</v>
      </c>
      <c r="P2101">
        <v>0.19150210000000001</v>
      </c>
      <c r="Q2101">
        <v>0.15622720000000001</v>
      </c>
      <c r="R2101">
        <v>-0.96897920000000004</v>
      </c>
      <c r="S2101">
        <v>1.2384949999999999</v>
      </c>
      <c r="T2101">
        <v>-0.1095346</v>
      </c>
      <c r="U2101">
        <v>-2.8721920000000001</v>
      </c>
      <c r="V2101">
        <v>-0.16030459999999999</v>
      </c>
      <c r="W2101">
        <v>0.16768569999999999</v>
      </c>
      <c r="X2101">
        <v>0.97271980000000002</v>
      </c>
      <c r="Y2101">
        <v>-0.3652726</v>
      </c>
      <c r="Z2101">
        <v>2.2697430000000001E-2</v>
      </c>
      <c r="AA2101">
        <v>0.9306238</v>
      </c>
      <c r="AB2101">
        <v>23</v>
      </c>
      <c r="AC2101">
        <v>12.4048999999999</v>
      </c>
      <c r="AD2101">
        <v>-1.09804835999999</v>
      </c>
      <c r="AE2101">
        <v>-28.569700000000001</v>
      </c>
      <c r="AF2101">
        <v>-11.442320410784999</v>
      </c>
      <c r="AG2101">
        <v>-1.09804835999999</v>
      </c>
      <c r="AH2101">
        <v>28.927075093489002</v>
      </c>
      <c r="AI2101">
        <v>92.021589275985207</v>
      </c>
      <c r="AJ2101">
        <v>111.581644013363</v>
      </c>
      <c r="AK2101">
        <v>31.1272883503899</v>
      </c>
      <c r="AL2101">
        <v>80.346711421570504</v>
      </c>
      <c r="AM2101">
        <v>99.358250906285804</v>
      </c>
      <c r="AN2101">
        <v>0.99999993403884202</v>
      </c>
    </row>
    <row r="2102" spans="1:40" x14ac:dyDescent="0.25">
      <c r="A2102" t="str">
        <f>"20190304155405659"</f>
        <v>20190304155405659</v>
      </c>
      <c r="B2102" t="str">
        <f>"1551686045648554"</f>
        <v>1551686045648554</v>
      </c>
      <c r="C2102" t="s">
        <v>40</v>
      </c>
      <c r="D2102">
        <v>4.188212</v>
      </c>
      <c r="E2102">
        <v>0.41153879999999998</v>
      </c>
      <c r="F2102" t="s">
        <v>51</v>
      </c>
      <c r="G2102">
        <v>-479.87009999999998</v>
      </c>
      <c r="H2102">
        <v>4.5241110000000001E-2</v>
      </c>
      <c r="I2102">
        <v>206.8818</v>
      </c>
      <c r="J2102">
        <v>-492.28519999999997</v>
      </c>
      <c r="K2102">
        <v>1.1124579999999999</v>
      </c>
      <c r="L2102">
        <v>235.02940000000001</v>
      </c>
      <c r="M2102">
        <v>3.6485400000000001E-2</v>
      </c>
      <c r="N2102">
        <v>-1.2592239999999999E-2</v>
      </c>
      <c r="O2102">
        <v>-0.9992548</v>
      </c>
      <c r="P2102">
        <v>0.19668350000000001</v>
      </c>
      <c r="Q2102">
        <v>0.1557924</v>
      </c>
      <c r="R2102">
        <v>-0.96801040000000005</v>
      </c>
      <c r="S2102">
        <v>1.2545170000000001</v>
      </c>
      <c r="T2102">
        <v>-0.1077342</v>
      </c>
      <c r="U2102">
        <v>-2.8654630000000001</v>
      </c>
      <c r="V2102">
        <v>-0.16207949999999999</v>
      </c>
      <c r="W2102">
        <v>0.16723440000000001</v>
      </c>
      <c r="X2102">
        <v>0.97250340000000002</v>
      </c>
      <c r="Y2102">
        <v>-0.36715979999999998</v>
      </c>
      <c r="Z2102">
        <v>2.2145729999999999E-2</v>
      </c>
      <c r="AA2102">
        <v>0.9298942</v>
      </c>
      <c r="AB2102">
        <v>23</v>
      </c>
      <c r="AC2102">
        <v>12.415099999999899</v>
      </c>
      <c r="AD2102">
        <v>-1.0672168900000001</v>
      </c>
      <c r="AE2102">
        <v>-28.147600000000001</v>
      </c>
      <c r="AF2102">
        <v>-11.3660963261785</v>
      </c>
      <c r="AG2102">
        <v>-1.0672168900000001</v>
      </c>
      <c r="AH2102">
        <v>28.547506890251899</v>
      </c>
      <c r="AI2102">
        <v>91.989210179688698</v>
      </c>
      <c r="AJ2102">
        <v>111.70981229167801</v>
      </c>
      <c r="AK2102">
        <v>30.745524019525998</v>
      </c>
      <c r="AL2102">
        <v>80.372939881822106</v>
      </c>
      <c r="AM2102">
        <v>99.462069984683595</v>
      </c>
      <c r="AN2102">
        <v>0.99999998593758399</v>
      </c>
    </row>
    <row r="2103" spans="1:40" x14ac:dyDescent="0.25">
      <c r="A2103" t="str">
        <f>"20190304155405684"</f>
        <v>20190304155405684</v>
      </c>
      <c r="B2103" t="str">
        <f>"1551686045678810"</f>
        <v>1551686045678810</v>
      </c>
      <c r="C2103" t="s">
        <v>40</v>
      </c>
      <c r="D2103">
        <v>4.1745089999999996</v>
      </c>
      <c r="E2103">
        <v>0.41164640000000002</v>
      </c>
      <c r="F2103" t="s">
        <v>51</v>
      </c>
      <c r="G2103">
        <v>-479.84390000000002</v>
      </c>
      <c r="H2103">
        <v>2.4065090000000001E-2</v>
      </c>
      <c r="I2103">
        <v>206.97730000000001</v>
      </c>
      <c r="J2103">
        <v>-492.27170000000001</v>
      </c>
      <c r="K2103">
        <v>1.1124750000000001</v>
      </c>
      <c r="L2103">
        <v>234.78049999999999</v>
      </c>
      <c r="M2103">
        <v>4.0240529999999997E-2</v>
      </c>
      <c r="N2103">
        <v>-1.2593979999999999E-2</v>
      </c>
      <c r="O2103">
        <v>-0.99911090000000002</v>
      </c>
      <c r="P2103">
        <v>0.20170959999999999</v>
      </c>
      <c r="Q2103">
        <v>0.1555772</v>
      </c>
      <c r="R2103">
        <v>-0.96701040000000005</v>
      </c>
      <c r="S2103">
        <v>1.268127</v>
      </c>
      <c r="T2103">
        <v>-0.11093889999999999</v>
      </c>
      <c r="U2103">
        <v>-2.8593289999999998</v>
      </c>
      <c r="V2103">
        <v>-0.16348489999999999</v>
      </c>
      <c r="W2103">
        <v>0.16700309999999999</v>
      </c>
      <c r="X2103">
        <v>0.9723079</v>
      </c>
      <c r="Y2103">
        <v>-0.36808990000000003</v>
      </c>
      <c r="Z2103">
        <v>2.3206899999999999E-2</v>
      </c>
      <c r="AA2103">
        <v>0.92950049999999995</v>
      </c>
      <c r="AB2103">
        <v>23</v>
      </c>
      <c r="AC2103">
        <v>12.4277999999999</v>
      </c>
      <c r="AD2103">
        <v>-1.08840991</v>
      </c>
      <c r="AE2103">
        <v>-27.803199999999901</v>
      </c>
      <c r="AF2103">
        <v>-11.284414846439301</v>
      </c>
      <c r="AG2103">
        <v>-1.08840991</v>
      </c>
      <c r="AH2103">
        <v>28.244740820291</v>
      </c>
      <c r="AI2103">
        <v>92.049437627940506</v>
      </c>
      <c r="AJ2103">
        <v>111.777829902466</v>
      </c>
      <c r="AK2103">
        <v>30.434980508686699</v>
      </c>
      <c r="AL2103">
        <v>80.3863815654571</v>
      </c>
      <c r="AM2103">
        <v>99.544496962552202</v>
      </c>
      <c r="AN2103">
        <v>1.00000000017001</v>
      </c>
    </row>
    <row r="2104" spans="1:40" x14ac:dyDescent="0.25">
      <c r="A2104" t="str">
        <f>"20190304155405704"</f>
        <v>20190304155405704</v>
      </c>
      <c r="B2104" t="str">
        <f>"1551686045698330"</f>
        <v>1551686045698330</v>
      </c>
      <c r="C2104" t="s">
        <v>40</v>
      </c>
      <c r="D2104">
        <v>4.1492639999999996</v>
      </c>
      <c r="E2104">
        <v>0.41168850000000001</v>
      </c>
      <c r="F2104" t="s">
        <v>51</v>
      </c>
      <c r="G2104">
        <v>-479.81810000000002</v>
      </c>
      <c r="H2104">
        <v>1.3470360000000001E-2</v>
      </c>
      <c r="I2104">
        <v>207.07149999999999</v>
      </c>
      <c r="J2104">
        <v>-492.2602</v>
      </c>
      <c r="K2104">
        <v>1.11249</v>
      </c>
      <c r="L2104">
        <v>234.58090000000001</v>
      </c>
      <c r="M2104">
        <v>4.3289609999999999E-2</v>
      </c>
      <c r="N2104">
        <v>-1.2595439999999999E-2</v>
      </c>
      <c r="O2104">
        <v>-0.99898330000000002</v>
      </c>
      <c r="P2104">
        <v>0.2060256</v>
      </c>
      <c r="Q2104">
        <v>0.1554545</v>
      </c>
      <c r="R2104">
        <v>-0.96611979999999997</v>
      </c>
      <c r="S2104">
        <v>1.2822880000000001</v>
      </c>
      <c r="T2104">
        <v>-0.1131597</v>
      </c>
      <c r="U2104">
        <v>-2.8530730000000002</v>
      </c>
      <c r="V2104">
        <v>-0.16486799999999999</v>
      </c>
      <c r="W2104">
        <v>0.16686489999999901</v>
      </c>
      <c r="X2104">
        <v>0.97209809999999996</v>
      </c>
      <c r="Y2104">
        <v>-0.36984280000000003</v>
      </c>
      <c r="Z2104">
        <v>2.3945939999999999E-2</v>
      </c>
      <c r="AA2104">
        <v>0.92878570000000005</v>
      </c>
      <c r="AB2104">
        <v>23</v>
      </c>
      <c r="AC2104">
        <v>12.4420999999999</v>
      </c>
      <c r="AD2104">
        <v>-1.0990196400000001</v>
      </c>
      <c r="AE2104">
        <v>-27.509399999999999</v>
      </c>
      <c r="AF2104">
        <v>-11.224596272363099</v>
      </c>
      <c r="AG2104">
        <v>-1.0990196400000001</v>
      </c>
      <c r="AH2104">
        <v>27.985183288777101</v>
      </c>
      <c r="AI2104">
        <v>92.0874458794097</v>
      </c>
      <c r="AJ2104">
        <v>111.8552612159</v>
      </c>
      <c r="AK2104">
        <v>30.172336491446998</v>
      </c>
      <c r="AL2104">
        <v>80.394412861623593</v>
      </c>
      <c r="AM2104">
        <v>99.625778563565603</v>
      </c>
      <c r="AN2104">
        <v>1.0000000341498001</v>
      </c>
    </row>
    <row r="2105" spans="1:40" x14ac:dyDescent="0.25">
      <c r="A2105" t="str">
        <f>"20190304155405726"</f>
        <v>20190304155405726</v>
      </c>
      <c r="B2105" t="str">
        <f>"1551686045718826"</f>
        <v>1551686045718826</v>
      </c>
      <c r="C2105" t="s">
        <v>40</v>
      </c>
      <c r="D2105">
        <v>4.1136280000000003</v>
      </c>
      <c r="E2105">
        <v>0.41176259999999998</v>
      </c>
      <c r="F2105" t="s">
        <v>51</v>
      </c>
      <c r="G2105">
        <v>-479.79219999999998</v>
      </c>
      <c r="H2105">
        <v>2.0563890000000001E-2</v>
      </c>
      <c r="I2105">
        <v>207.1662</v>
      </c>
      <c r="J2105">
        <v>-492.24680000000001</v>
      </c>
      <c r="K2105">
        <v>1.1125069999999999</v>
      </c>
      <c r="L2105">
        <v>234.3614</v>
      </c>
      <c r="M2105">
        <v>4.6677829999999997E-2</v>
      </c>
      <c r="N2105">
        <v>-1.259709E-2</v>
      </c>
      <c r="O2105">
        <v>-0.99883060000000001</v>
      </c>
      <c r="P2105">
        <v>0.21077019999999999</v>
      </c>
      <c r="Q2105">
        <v>0.1550493</v>
      </c>
      <c r="R2105">
        <v>-0.96516100000000005</v>
      </c>
      <c r="S2105">
        <v>1.2949219999999999</v>
      </c>
      <c r="T2105">
        <v>-0.11340699999999999</v>
      </c>
      <c r="U2105">
        <v>-2.8472749999999998</v>
      </c>
      <c r="V2105">
        <v>-0.16635339999999901</v>
      </c>
      <c r="W2105">
        <v>0.1664427</v>
      </c>
      <c r="X2105">
        <v>0.97191740000000004</v>
      </c>
      <c r="Y2105">
        <v>-0.37081750000000002</v>
      </c>
      <c r="Z2105">
        <v>2.4054119999999998E-2</v>
      </c>
      <c r="AA2105">
        <v>0.92839419999999995</v>
      </c>
      <c r="AB2105">
        <v>23</v>
      </c>
      <c r="AC2105">
        <v>12.454599999999999</v>
      </c>
      <c r="AD2105">
        <v>-1.0919431100000001</v>
      </c>
      <c r="AE2105">
        <v>-27.1952</v>
      </c>
      <c r="AF2105">
        <v>-11.156640489018701</v>
      </c>
      <c r="AG2105">
        <v>-1.0919431100000001</v>
      </c>
      <c r="AH2105">
        <v>27.710023750239099</v>
      </c>
      <c r="AI2105">
        <v>92.093485546215405</v>
      </c>
      <c r="AJ2105">
        <v>111.930756561715</v>
      </c>
      <c r="AK2105">
        <v>29.8916105788146</v>
      </c>
      <c r="AL2105">
        <v>80.418946179216107</v>
      </c>
      <c r="AM2105">
        <v>99.712630202889898</v>
      </c>
      <c r="AN2105">
        <v>1.0000000292488</v>
      </c>
    </row>
    <row r="2106" spans="1:40" x14ac:dyDescent="0.25">
      <c r="A2106" t="str">
        <f>"20190304155405748"</f>
        <v>20190304155405748</v>
      </c>
      <c r="B2106" t="str">
        <f>"1551686045738346"</f>
        <v>1551686045738346</v>
      </c>
      <c r="C2106" t="s">
        <v>40</v>
      </c>
      <c r="D2106">
        <v>4.0849729999999997</v>
      </c>
      <c r="E2106">
        <v>0.41176800000000002</v>
      </c>
      <c r="F2106" t="s">
        <v>51</v>
      </c>
      <c r="G2106">
        <v>-479.76519999999999</v>
      </c>
      <c r="H2106">
        <v>2.13531E-2</v>
      </c>
      <c r="I2106">
        <v>207.26490000000001</v>
      </c>
      <c r="J2106">
        <v>-492.2321</v>
      </c>
      <c r="K2106">
        <v>1.1125229999999999</v>
      </c>
      <c r="L2106">
        <v>234.1345</v>
      </c>
      <c r="M2106">
        <v>5.0225869999999999E-2</v>
      </c>
      <c r="N2106">
        <v>-1.259881E-2</v>
      </c>
      <c r="O2106">
        <v>-0.9986585</v>
      </c>
      <c r="P2106">
        <v>0.21546969999999999</v>
      </c>
      <c r="Q2106">
        <v>0.15461520000000001</v>
      </c>
      <c r="R2106">
        <v>-0.96419250000000001</v>
      </c>
      <c r="S2106">
        <v>1.308624</v>
      </c>
      <c r="T2106">
        <v>-0.11440119999999999</v>
      </c>
      <c r="U2106">
        <v>-2.8409119999999999</v>
      </c>
      <c r="V2106">
        <v>-0.1676415</v>
      </c>
      <c r="W2106">
        <v>0.16599269999999999</v>
      </c>
      <c r="X2106">
        <v>0.971773</v>
      </c>
      <c r="Y2106">
        <v>-0.37199779999999999</v>
      </c>
      <c r="Z2106">
        <v>2.4404289999999999E-2</v>
      </c>
      <c r="AA2106">
        <v>0.92791279999999998</v>
      </c>
      <c r="AB2106">
        <v>23</v>
      </c>
      <c r="AC2106">
        <v>12.466900000000001</v>
      </c>
      <c r="AD2106">
        <v>-1.0911698999999999</v>
      </c>
      <c r="AE2106">
        <v>-26.869599999999899</v>
      </c>
      <c r="AF2106">
        <v>-11.086462194114601</v>
      </c>
      <c r="AG2106">
        <v>-1.0911698999999999</v>
      </c>
      <c r="AH2106">
        <v>27.424676675607301</v>
      </c>
      <c r="AI2106">
        <v>92.112557430108794</v>
      </c>
      <c r="AJ2106">
        <v>112.011087052554</v>
      </c>
      <c r="AK2106">
        <v>29.600898406869302</v>
      </c>
      <c r="AL2106">
        <v>80.445092784054907</v>
      </c>
      <c r="AM2106">
        <v>99.787813872675599</v>
      </c>
      <c r="AN2106">
        <v>1.00000000625227</v>
      </c>
    </row>
    <row r="2107" spans="1:40" x14ac:dyDescent="0.25">
      <c r="A2107" t="str">
        <f>"20190304155405770"</f>
        <v>20190304155405770</v>
      </c>
      <c r="B2107" t="str">
        <f>"1551686045758842"</f>
        <v>1551686045758842</v>
      </c>
      <c r="C2107" t="s">
        <v>40</v>
      </c>
      <c r="D2107">
        <v>4.0342710000000004</v>
      </c>
      <c r="E2107">
        <v>0.40162520000000002</v>
      </c>
      <c r="F2107" t="s">
        <v>51</v>
      </c>
      <c r="G2107">
        <v>-479.74009999999998</v>
      </c>
      <c r="H2107">
        <v>2.043377E-2</v>
      </c>
      <c r="I2107">
        <v>207.3563</v>
      </c>
      <c r="J2107">
        <v>-492.21719999999999</v>
      </c>
      <c r="K2107">
        <v>1.112555</v>
      </c>
      <c r="L2107">
        <v>233.91739999999999</v>
      </c>
      <c r="M2107">
        <v>5.3669399999999999E-2</v>
      </c>
      <c r="N2107">
        <v>-1.260061E-2</v>
      </c>
      <c r="O2107">
        <v>-0.99847940000000002</v>
      </c>
      <c r="P2107">
        <v>0.22025320000000001</v>
      </c>
      <c r="Q2107">
        <v>0.15447810000000001</v>
      </c>
      <c r="R2107">
        <v>-0.96313329999999997</v>
      </c>
      <c r="S2107">
        <v>1.3222659999999999</v>
      </c>
      <c r="T2107">
        <v>-0.1155972</v>
      </c>
      <c r="U2107">
        <v>-2.834457</v>
      </c>
      <c r="V2107">
        <v>-0.16912539999999901</v>
      </c>
      <c r="W2107">
        <v>0.1658356</v>
      </c>
      <c r="X2107">
        <v>0.97154269999999998</v>
      </c>
      <c r="Y2107">
        <v>-0.37326799999999999</v>
      </c>
      <c r="Z2107">
        <v>2.481935E-2</v>
      </c>
      <c r="AA2107">
        <v>0.92739150000000004</v>
      </c>
      <c r="AB2107">
        <v>23</v>
      </c>
      <c r="AC2107">
        <v>12.4771</v>
      </c>
      <c r="AD2107">
        <v>-1.0921212300000001</v>
      </c>
      <c r="AE2107">
        <v>-26.5610999999999</v>
      </c>
      <c r="AF2107">
        <v>-11.0182230228999</v>
      </c>
      <c r="AG2107">
        <v>-1.0921212300000001</v>
      </c>
      <c r="AH2107">
        <v>27.154894736713199</v>
      </c>
      <c r="AI2107">
        <v>92.134269075114304</v>
      </c>
      <c r="AJ2107">
        <v>112.08507994437799</v>
      </c>
      <c r="AK2107">
        <v>29.325454395888801</v>
      </c>
      <c r="AL2107">
        <v>80.454220711974997</v>
      </c>
      <c r="AM2107">
        <v>99.875048637830204</v>
      </c>
      <c r="AN2107">
        <v>1.0000000325378999</v>
      </c>
    </row>
    <row r="2108" spans="1:40" x14ac:dyDescent="0.25">
      <c r="A2108" t="str">
        <f>"20190304155405792"</f>
        <v>20190304155405792</v>
      </c>
      <c r="B2108" t="str">
        <f>"1551686045789098"</f>
        <v>1551686045789098</v>
      </c>
      <c r="C2108" t="s">
        <v>40</v>
      </c>
      <c r="D2108">
        <v>3.9474930000000001</v>
      </c>
      <c r="E2108">
        <v>0.38943559999999999</v>
      </c>
      <c r="F2108" t="s">
        <v>69</v>
      </c>
      <c r="G2108">
        <v>-473.37639999999999</v>
      </c>
      <c r="H2108">
        <v>9.1803070000000001E-2</v>
      </c>
      <c r="I2108">
        <v>196.6301</v>
      </c>
      <c r="J2108">
        <v>-492.20100000000002</v>
      </c>
      <c r="K2108">
        <v>1.1125849999999999</v>
      </c>
      <c r="L2108">
        <v>233.6953</v>
      </c>
      <c r="M2108">
        <v>5.7250559999999999E-2</v>
      </c>
      <c r="N2108">
        <v>-1.2602820000000001E-2</v>
      </c>
      <c r="O2108">
        <v>-0.99828050000000002</v>
      </c>
      <c r="P2108">
        <v>0.2258858</v>
      </c>
      <c r="Q2108">
        <v>0.15507609999999999</v>
      </c>
      <c r="R2108">
        <v>-0.96173160000000002</v>
      </c>
      <c r="S2108">
        <v>1.4164429999999999</v>
      </c>
      <c r="T2108">
        <v>-7.6736689999999996E-2</v>
      </c>
      <c r="U2108">
        <v>-2.8032379999999999</v>
      </c>
      <c r="V2108">
        <v>-0.17135239999999999</v>
      </c>
      <c r="W2108">
        <v>0.16640460000000001</v>
      </c>
      <c r="X2108">
        <v>0.971055</v>
      </c>
      <c r="Y2108">
        <v>-0.3990223</v>
      </c>
      <c r="Z2108">
        <v>1.2246440000000001E-2</v>
      </c>
      <c r="AA2108">
        <v>0.91685939999999999</v>
      </c>
      <c r="AB2108">
        <v>23</v>
      </c>
      <c r="AC2108">
        <v>18.824599999999901</v>
      </c>
      <c r="AD2108">
        <v>-1.0207819299999901</v>
      </c>
      <c r="AE2108">
        <v>-37.065199999999997</v>
      </c>
      <c r="AF2108">
        <v>-16.6615023541288</v>
      </c>
      <c r="AG2108">
        <v>-1.0207819299999901</v>
      </c>
      <c r="AH2108">
        <v>38.059254423482201</v>
      </c>
      <c r="AI2108">
        <v>91.407452313785299</v>
      </c>
      <c r="AJ2108">
        <v>113.64274319465299</v>
      </c>
      <c r="AK2108">
        <v>41.559048397630598</v>
      </c>
      <c r="AL2108">
        <v>80.421159492041298</v>
      </c>
      <c r="AM2108">
        <v>100.007393446761</v>
      </c>
      <c r="AN2108">
        <v>0.99999997445595901</v>
      </c>
    </row>
    <row r="2109" spans="1:40" x14ac:dyDescent="0.25">
      <c r="A2109" t="str">
        <f>"20190304155405815"</f>
        <v>20190304155405815</v>
      </c>
      <c r="B2109" t="str">
        <f>"1551686045808618"</f>
        <v>1551686045808618</v>
      </c>
      <c r="C2109" t="s">
        <v>40</v>
      </c>
      <c r="D2109">
        <v>3.9615269999999998</v>
      </c>
      <c r="E2109">
        <v>0.39337299999999997</v>
      </c>
      <c r="F2109" t="s">
        <v>44</v>
      </c>
      <c r="G2109">
        <v>-476.65699999999998</v>
      </c>
      <c r="H2109">
        <v>0.81694940000000005</v>
      </c>
      <c r="I2109">
        <v>205.57300000000001</v>
      </c>
      <c r="J2109">
        <v>-492.18369999999999</v>
      </c>
      <c r="K2109">
        <v>1.112622</v>
      </c>
      <c r="L2109">
        <v>233.4682</v>
      </c>
      <c r="M2109">
        <v>6.0980319999999998E-2</v>
      </c>
      <c r="N2109">
        <v>-1.2605470000000001E-2</v>
      </c>
      <c r="O2109">
        <v>-0.99805949999999999</v>
      </c>
      <c r="P2109">
        <v>0.23126849999999999</v>
      </c>
      <c r="Q2109">
        <v>0.15548870000000001</v>
      </c>
      <c r="R2109">
        <v>-0.96038449999999997</v>
      </c>
      <c r="S2109">
        <v>1.528351</v>
      </c>
      <c r="T2109">
        <v>-2.9067989999999998E-2</v>
      </c>
      <c r="U2109">
        <v>-2.765091</v>
      </c>
      <c r="V2109">
        <v>-0.1731887</v>
      </c>
      <c r="W2109">
        <v>0.16678780000000001</v>
      </c>
      <c r="X2109">
        <v>0.97066339999999995</v>
      </c>
      <c r="Y2109">
        <v>-0.42942000000000002</v>
      </c>
      <c r="Z2109">
        <v>-3.0988859999999999E-3</v>
      </c>
      <c r="AA2109">
        <v>0.90309950000000005</v>
      </c>
      <c r="AB2109">
        <v>23</v>
      </c>
      <c r="AC2109">
        <v>15.5267</v>
      </c>
      <c r="AD2109">
        <v>-0.29567259999999901</v>
      </c>
      <c r="AE2109">
        <v>-27.895199999999999</v>
      </c>
      <c r="AF2109">
        <v>-13.7954232881326</v>
      </c>
      <c r="AG2109">
        <v>-0.29567259999999901</v>
      </c>
      <c r="AH2109">
        <v>28.7877069276364</v>
      </c>
      <c r="AI2109">
        <v>90.530669891556897</v>
      </c>
      <c r="AJ2109">
        <v>115.60431395699899</v>
      </c>
      <c r="AK2109">
        <v>31.923865620200601</v>
      </c>
      <c r="AL2109">
        <v>80.398892491694497</v>
      </c>
      <c r="AM2109">
        <v>100.116431300198</v>
      </c>
      <c r="AN2109">
        <v>0.99999996606804398</v>
      </c>
    </row>
    <row r="2110" spans="1:40" x14ac:dyDescent="0.25">
      <c r="A2110" t="str">
        <f>"20190304155405837"</f>
        <v>20190304155405837</v>
      </c>
      <c r="B2110" t="str">
        <f>"1551686045828141"</f>
        <v>1551686045828141</v>
      </c>
      <c r="C2110" t="s">
        <v>40</v>
      </c>
      <c r="D2110">
        <v>3.9865309999999998</v>
      </c>
      <c r="E2110">
        <v>0.395675</v>
      </c>
      <c r="F2110" t="s">
        <v>69</v>
      </c>
      <c r="G2110">
        <v>-470.15</v>
      </c>
      <c r="H2110">
        <v>0.54323080000000001</v>
      </c>
      <c r="I2110">
        <v>193.19560000000001</v>
      </c>
      <c r="J2110">
        <v>-492.16559999999998</v>
      </c>
      <c r="K2110">
        <v>1.1126689999999999</v>
      </c>
      <c r="L2110">
        <v>233.24279999999999</v>
      </c>
      <c r="M2110">
        <v>6.4758579999999996E-2</v>
      </c>
      <c r="N2110">
        <v>-1.260853E-2</v>
      </c>
      <c r="O2110">
        <v>-0.99782139999999997</v>
      </c>
      <c r="P2110">
        <v>0.2371066</v>
      </c>
      <c r="Q2110">
        <v>0.1557307</v>
      </c>
      <c r="R2110">
        <v>-0.95892040000000001</v>
      </c>
      <c r="S2110">
        <v>1.513153</v>
      </c>
      <c r="T2110">
        <v>-3.9099809999999999E-2</v>
      </c>
      <c r="U2110">
        <v>-2.7656860000000001</v>
      </c>
      <c r="V2110">
        <v>-0.1754453</v>
      </c>
      <c r="W2110">
        <v>0.16699510000000001</v>
      </c>
      <c r="X2110">
        <v>0.97022249999999999</v>
      </c>
      <c r="Y2110">
        <v>-0.42208950000000001</v>
      </c>
      <c r="Z2110">
        <v>1.52297E-4</v>
      </c>
      <c r="AA2110">
        <v>0.90655419999999998</v>
      </c>
      <c r="AB2110">
        <v>23</v>
      </c>
      <c r="AC2110">
        <v>22.015599999999999</v>
      </c>
      <c r="AD2110">
        <v>-0.56943820000000001</v>
      </c>
      <c r="AE2110">
        <v>-40.047199999999897</v>
      </c>
      <c r="AF2110">
        <v>-19.372767452438499</v>
      </c>
      <c r="AG2110">
        <v>-0.56943820000000001</v>
      </c>
      <c r="AH2110">
        <v>41.382513018317702</v>
      </c>
      <c r="AI2110">
        <v>90.714003902146402</v>
      </c>
      <c r="AJ2110">
        <v>115.086125942007</v>
      </c>
      <c r="AK2110">
        <v>45.6961788592997</v>
      </c>
      <c r="AL2110">
        <v>80.386847022470803</v>
      </c>
      <c r="AM2110">
        <v>100.250028118106</v>
      </c>
      <c r="AN2110">
        <v>1.0000000581111701</v>
      </c>
    </row>
    <row r="2111" spans="1:40" x14ac:dyDescent="0.25">
      <c r="A2111" t="str">
        <f>"20190304155405862"</f>
        <v>20190304155405862</v>
      </c>
      <c r="B2111" t="str">
        <f>"1551686045858394"</f>
        <v>1551686045858394</v>
      </c>
      <c r="C2111" t="s">
        <v>40</v>
      </c>
      <c r="D2111">
        <v>4.0871320000000004</v>
      </c>
      <c r="E2111">
        <v>0.39850229999999998</v>
      </c>
      <c r="F2111" t="s">
        <v>69</v>
      </c>
      <c r="G2111">
        <v>-470.15</v>
      </c>
      <c r="H2111">
        <v>0.4354112</v>
      </c>
      <c r="I2111">
        <v>193.02199999999999</v>
      </c>
      <c r="J2111">
        <v>-492.14499999999998</v>
      </c>
      <c r="K2111">
        <v>1.112725</v>
      </c>
      <c r="L2111">
        <v>232.99969999999999</v>
      </c>
      <c r="M2111">
        <v>6.8921979999999994E-2</v>
      </c>
      <c r="N2111">
        <v>-1.2612180000000001E-2</v>
      </c>
      <c r="O2111">
        <v>-0.99754209999999999</v>
      </c>
      <c r="P2111">
        <v>0.243119</v>
      </c>
      <c r="Q2111">
        <v>0.156582</v>
      </c>
      <c r="R2111">
        <v>-0.95727470000000003</v>
      </c>
      <c r="S2111">
        <v>1.5119629999999999</v>
      </c>
      <c r="T2111">
        <v>-4.650903E-2</v>
      </c>
      <c r="U2111">
        <v>-2.762222</v>
      </c>
      <c r="V2111">
        <v>-0.1775254</v>
      </c>
      <c r="W2111">
        <v>0.16780880000000001</v>
      </c>
      <c r="X2111">
        <v>0.96970350000000005</v>
      </c>
      <c r="Y2111">
        <v>-0.41847440000000002</v>
      </c>
      <c r="Z2111">
        <v>2.5650880000000001E-3</v>
      </c>
      <c r="AA2111">
        <v>0.90822499999999995</v>
      </c>
      <c r="AB2111">
        <v>23</v>
      </c>
      <c r="AC2111">
        <v>21.995000000000001</v>
      </c>
      <c r="AD2111">
        <v>-0.67731379999999997</v>
      </c>
      <c r="AE2111">
        <v>-39.977699999999899</v>
      </c>
      <c r="AF2111">
        <v>-19.182899846710999</v>
      </c>
      <c r="AG2111">
        <v>-0.67731379999999997</v>
      </c>
      <c r="AH2111">
        <v>41.389559927048502</v>
      </c>
      <c r="AI2111">
        <v>90.850621452197899</v>
      </c>
      <c r="AJ2111">
        <v>114.866399676263</v>
      </c>
      <c r="AK2111">
        <v>45.623876111827201</v>
      </c>
      <c r="AL2111">
        <v>80.3395572772055</v>
      </c>
      <c r="AM2111">
        <v>100.37436165229499</v>
      </c>
      <c r="AN2111">
        <v>0.99999996945742398</v>
      </c>
    </row>
    <row r="2112" spans="1:40" x14ac:dyDescent="0.25">
      <c r="A2112" t="str">
        <f>"20190304155405883"</f>
        <v>20190304155405883</v>
      </c>
      <c r="B2112" t="str">
        <f>"1551686045878890"</f>
        <v>1551686045878890</v>
      </c>
      <c r="C2112" t="s">
        <v>40</v>
      </c>
      <c r="D2112">
        <v>4.0119829999999999</v>
      </c>
      <c r="E2112">
        <v>0.39977600000000002</v>
      </c>
      <c r="F2112" t="s">
        <v>69</v>
      </c>
      <c r="G2112">
        <v>-470.15</v>
      </c>
      <c r="H2112">
        <v>0.28046510000000002</v>
      </c>
      <c r="I2112">
        <v>192.70009999999999</v>
      </c>
      <c r="J2112">
        <v>-492.12560000000002</v>
      </c>
      <c r="K2112">
        <v>1.112789</v>
      </c>
      <c r="L2112">
        <v>232.78280000000001</v>
      </c>
      <c r="M2112">
        <v>7.2734679999999996E-2</v>
      </c>
      <c r="N2112">
        <v>-1.261586E-2</v>
      </c>
      <c r="O2112">
        <v>-0.99727160000000004</v>
      </c>
      <c r="P2112">
        <v>0.2488021</v>
      </c>
      <c r="Q2112">
        <v>0.15719920000000001</v>
      </c>
      <c r="R2112">
        <v>-0.95571229999999996</v>
      </c>
      <c r="S2112">
        <v>1.506683</v>
      </c>
      <c r="T2112">
        <v>-5.7008030000000001E-2</v>
      </c>
      <c r="U2112">
        <v>-2.7605590000000002</v>
      </c>
      <c r="V2112">
        <v>-0.179616</v>
      </c>
      <c r="W2112">
        <v>0.16838839999999999</v>
      </c>
      <c r="X2112">
        <v>0.96921800000000002</v>
      </c>
      <c r="Y2112">
        <v>-0.41387629999999997</v>
      </c>
      <c r="Z2112">
        <v>5.9787260000000002E-3</v>
      </c>
      <c r="AA2112">
        <v>0.9103135</v>
      </c>
      <c r="AB2112">
        <v>23</v>
      </c>
      <c r="AC2112">
        <v>21.9756</v>
      </c>
      <c r="AD2112">
        <v>-0.83232390000000001</v>
      </c>
      <c r="AE2112">
        <v>-40.082700000000003</v>
      </c>
      <c r="AF2112">
        <v>-18.995452629375201</v>
      </c>
      <c r="AG2112">
        <v>-0.83232390000000001</v>
      </c>
      <c r="AH2112">
        <v>41.5612533091995</v>
      </c>
      <c r="AI2112">
        <v>91.043481063749297</v>
      </c>
      <c r="AJ2112">
        <v>114.56263570752699</v>
      </c>
      <c r="AK2112">
        <v>45.704023458562098</v>
      </c>
      <c r="AL2112">
        <v>80.305870018069598</v>
      </c>
      <c r="AM2112">
        <v>100.49897477362001</v>
      </c>
      <c r="AN2112">
        <v>1.00000004611727</v>
      </c>
    </row>
    <row r="2113" spans="1:40" x14ac:dyDescent="0.25">
      <c r="A2113" t="str">
        <f>"20190304155405905"</f>
        <v>20190304155405905</v>
      </c>
      <c r="B2113" t="str">
        <f>"1551686045898410"</f>
        <v>1551686045898410</v>
      </c>
      <c r="C2113" t="s">
        <v>40</v>
      </c>
      <c r="D2113">
        <v>4.1841970000000002</v>
      </c>
      <c r="E2113">
        <v>0.40066049999999997</v>
      </c>
      <c r="F2113" t="s">
        <v>69</v>
      </c>
      <c r="G2113">
        <v>-470.15</v>
      </c>
      <c r="H2113">
        <v>0.22975950000000001</v>
      </c>
      <c r="I2113">
        <v>192.76349999999999</v>
      </c>
      <c r="J2113">
        <v>-492.10500000000002</v>
      </c>
      <c r="K2113">
        <v>1.112841</v>
      </c>
      <c r="L2113">
        <v>232.56309999999999</v>
      </c>
      <c r="M2113">
        <v>7.6667920000000001E-2</v>
      </c>
      <c r="N2113">
        <v>-1.261962E-2</v>
      </c>
      <c r="O2113">
        <v>-0.996977</v>
      </c>
      <c r="P2113">
        <v>0.25400389999999901</v>
      </c>
      <c r="Q2113">
        <v>0.15742120000000001</v>
      </c>
      <c r="R2113">
        <v>-0.9543064</v>
      </c>
      <c r="S2113">
        <v>1.5129090000000001</v>
      </c>
      <c r="T2113">
        <v>-6.078923E-2</v>
      </c>
      <c r="U2113">
        <v>-2.755112</v>
      </c>
      <c r="V2113">
        <v>-0.18109829999999999</v>
      </c>
      <c r="W2113">
        <v>0.16858110000000001</v>
      </c>
      <c r="X2113">
        <v>0.96890849999999995</v>
      </c>
      <c r="Y2113">
        <v>-0.41261680000000001</v>
      </c>
      <c r="Z2113">
        <v>7.2272909999999899E-3</v>
      </c>
      <c r="AA2113">
        <v>0.91087600000000002</v>
      </c>
      <c r="AB2113">
        <v>23</v>
      </c>
      <c r="AC2113">
        <v>21.954999999999998</v>
      </c>
      <c r="AD2113">
        <v>-0.88308149999999996</v>
      </c>
      <c r="AE2113">
        <v>-39.799599999999998</v>
      </c>
      <c r="AF2113">
        <v>-18.831666104218701</v>
      </c>
      <c r="AG2113">
        <v>-0.88308149999999996</v>
      </c>
      <c r="AH2113">
        <v>41.350208628720303</v>
      </c>
      <c r="AI2113">
        <v>91.113433564516697</v>
      </c>
      <c r="AJ2113">
        <v>114.485416077522</v>
      </c>
      <c r="AK2113">
        <v>45.445035315588797</v>
      </c>
      <c r="AL2113">
        <v>80.294667871361796</v>
      </c>
      <c r="AM2113">
        <v>100.58697320269</v>
      </c>
      <c r="AN2113">
        <v>0.99999993145617205</v>
      </c>
    </row>
    <row r="2114" spans="1:40" x14ac:dyDescent="0.25">
      <c r="A2114" t="str">
        <f>"20190304155405926"</f>
        <v>20190304155405926</v>
      </c>
      <c r="B2114" t="str">
        <f>"1551686045918906"</f>
        <v>1551686045918906</v>
      </c>
      <c r="C2114" t="s">
        <v>40</v>
      </c>
      <c r="D2114">
        <v>4.059507</v>
      </c>
      <c r="E2114">
        <v>0.40123029999999998</v>
      </c>
      <c r="F2114" t="s">
        <v>69</v>
      </c>
      <c r="G2114">
        <v>-470.15</v>
      </c>
      <c r="H2114">
        <v>0.16848479999999999</v>
      </c>
      <c r="I2114">
        <v>192.85939999999999</v>
      </c>
      <c r="J2114">
        <v>-492.08440000000002</v>
      </c>
      <c r="K2114">
        <v>1.112886</v>
      </c>
      <c r="L2114">
        <v>232.35220000000001</v>
      </c>
      <c r="M2114">
        <v>8.0514299999999997E-2</v>
      </c>
      <c r="N2114">
        <v>-1.262311E-2</v>
      </c>
      <c r="O2114">
        <v>-0.99667360000000005</v>
      </c>
      <c r="P2114">
        <v>0.25975160000000003</v>
      </c>
      <c r="Q2114">
        <v>0.1578774</v>
      </c>
      <c r="R2114">
        <v>-0.95268260000000005</v>
      </c>
      <c r="S2114">
        <v>1.5205379999999999</v>
      </c>
      <c r="T2114">
        <v>-6.5400239999999998E-2</v>
      </c>
      <c r="U2114">
        <v>-2.7497410000000002</v>
      </c>
      <c r="V2114">
        <v>-0.18323049999999999</v>
      </c>
      <c r="W2114">
        <v>0.16900319999999999</v>
      </c>
      <c r="X2114">
        <v>0.96843400000000002</v>
      </c>
      <c r="Y2114">
        <v>-0.4117808</v>
      </c>
      <c r="Z2114">
        <v>8.7410709999999996E-3</v>
      </c>
      <c r="AA2114">
        <v>0.91124099999999997</v>
      </c>
      <c r="AB2114">
        <v>23</v>
      </c>
      <c r="AC2114">
        <v>21.9344</v>
      </c>
      <c r="AD2114">
        <v>-0.94440119999999905</v>
      </c>
      <c r="AE2114">
        <v>-39.492800000000003</v>
      </c>
      <c r="AF2114">
        <v>-18.6750277665132</v>
      </c>
      <c r="AG2114">
        <v>-0.94440119999999905</v>
      </c>
      <c r="AH2114">
        <v>41.112770212462998</v>
      </c>
      <c r="AI2114">
        <v>91.198134237378895</v>
      </c>
      <c r="AJ2114">
        <v>114.42940593032</v>
      </c>
      <c r="AK2114">
        <v>45.165345456991602</v>
      </c>
      <c r="AL2114">
        <v>80.270131493270895</v>
      </c>
      <c r="AM2114">
        <v>100.713880232237</v>
      </c>
      <c r="AN2114">
        <v>0.99999995504824302</v>
      </c>
    </row>
    <row r="2115" spans="1:40" x14ac:dyDescent="0.25">
      <c r="A2115" t="str">
        <f>"20190304155405950"</f>
        <v>20190304155405950</v>
      </c>
      <c r="B2115" t="str">
        <f>"1551686045938426"</f>
        <v>1551686045938426</v>
      </c>
      <c r="C2115" t="s">
        <v>40</v>
      </c>
      <c r="D2115">
        <v>4.0911739999999996</v>
      </c>
      <c r="E2115">
        <v>0.40180749999999998</v>
      </c>
      <c r="F2115" t="s">
        <v>69</v>
      </c>
      <c r="G2115">
        <v>-470.15</v>
      </c>
      <c r="H2115">
        <v>0.15184039999999999</v>
      </c>
      <c r="I2115">
        <v>193.10579999999999</v>
      </c>
      <c r="J2115">
        <v>-492.06110000000001</v>
      </c>
      <c r="K2115">
        <v>1.11293</v>
      </c>
      <c r="L2115">
        <v>232.12459999999999</v>
      </c>
      <c r="M2115">
        <v>8.475154E-2</v>
      </c>
      <c r="N2115">
        <v>-1.262696E-2</v>
      </c>
      <c r="O2115">
        <v>-0.99632220000000005</v>
      </c>
      <c r="P2115">
        <v>0.2655325</v>
      </c>
      <c r="Q2115">
        <v>0.1581901</v>
      </c>
      <c r="R2115">
        <v>-0.95103550000000003</v>
      </c>
      <c r="S2115">
        <v>1.5326229999999901</v>
      </c>
      <c r="T2115">
        <v>-6.714821E-2</v>
      </c>
      <c r="U2115">
        <v>-2.7422490000000002</v>
      </c>
      <c r="V2115">
        <v>-0.18502170000000001</v>
      </c>
      <c r="W2115">
        <v>0.1692833</v>
      </c>
      <c r="X2115">
        <v>0.96804449999999997</v>
      </c>
      <c r="Y2115">
        <v>-0.41202129999999998</v>
      </c>
      <c r="Z2115">
        <v>9.3341980000000001E-3</v>
      </c>
      <c r="AA2115">
        <v>0.9111264</v>
      </c>
      <c r="AB2115">
        <v>23</v>
      </c>
      <c r="AC2115">
        <v>21.911100000000001</v>
      </c>
      <c r="AD2115">
        <v>-0.96108959999999999</v>
      </c>
      <c r="AE2115">
        <v>-39.018799999999999</v>
      </c>
      <c r="AF2115">
        <v>-18.5165462298725</v>
      </c>
      <c r="AG2115">
        <v>-0.96108959999999999</v>
      </c>
      <c r="AH2115">
        <v>40.716758998213798</v>
      </c>
      <c r="AI2115">
        <v>91.230911595482397</v>
      </c>
      <c r="AJ2115">
        <v>114.454366554484</v>
      </c>
      <c r="AK2115">
        <v>44.7396987117801</v>
      </c>
      <c r="AL2115">
        <v>80.253848864697403</v>
      </c>
      <c r="AM2115">
        <v>100.82040567058201</v>
      </c>
      <c r="AN2115">
        <v>1.0000000095550099</v>
      </c>
    </row>
    <row r="2116" spans="1:40" x14ac:dyDescent="0.25">
      <c r="A2116" t="str">
        <f>"20190304155405971"</f>
        <v>20190304155405971</v>
      </c>
      <c r="B2116" t="str">
        <f>"1551686045968682"</f>
        <v>1551686045968682</v>
      </c>
      <c r="C2116" t="s">
        <v>40</v>
      </c>
      <c r="D2116">
        <v>4.077528</v>
      </c>
      <c r="E2116">
        <v>0.40221020000000002</v>
      </c>
      <c r="F2116" t="s">
        <v>69</v>
      </c>
      <c r="G2116">
        <v>-470.15</v>
      </c>
      <c r="H2116">
        <v>0.12292500000000001</v>
      </c>
      <c r="I2116">
        <v>193.3176</v>
      </c>
      <c r="J2116">
        <v>-492.0378</v>
      </c>
      <c r="K2116">
        <v>1.112976</v>
      </c>
      <c r="L2116">
        <v>231.90629999999999</v>
      </c>
      <c r="M2116">
        <v>8.8898500000000005E-2</v>
      </c>
      <c r="N2116">
        <v>-1.2631140000000001E-2</v>
      </c>
      <c r="O2116">
        <v>-0.99596070000000003</v>
      </c>
      <c r="P2116">
        <v>0.27067809999999998</v>
      </c>
      <c r="Q2116">
        <v>0.15808910000000001</v>
      </c>
      <c r="R2116">
        <v>-0.94960060000000002</v>
      </c>
      <c r="S2116">
        <v>1.544189</v>
      </c>
      <c r="T2116">
        <v>-6.9767590000000004E-2</v>
      </c>
      <c r="U2116">
        <v>-2.734909</v>
      </c>
      <c r="V2116">
        <v>-0.1862531</v>
      </c>
      <c r="W2116">
        <v>0.16915549999999999</v>
      </c>
      <c r="X2116">
        <v>0.96783070000000004</v>
      </c>
      <c r="Y2116">
        <v>-0.41218969999999999</v>
      </c>
      <c r="Z2116">
        <v>1.0208989999999999E-2</v>
      </c>
      <c r="AA2116">
        <v>0.91104079999999998</v>
      </c>
      <c r="AB2116">
        <v>23</v>
      </c>
      <c r="AC2116">
        <v>21.887799999999999</v>
      </c>
      <c r="AD2116">
        <v>-0.99005100000000001</v>
      </c>
      <c r="AE2116">
        <v>-38.588699999999903</v>
      </c>
      <c r="AF2116">
        <v>-18.361230284746</v>
      </c>
      <c r="AG2116">
        <v>-0.99005100000000001</v>
      </c>
      <c r="AH2116">
        <v>40.361737332858603</v>
      </c>
      <c r="AI2116">
        <v>91.2790681656939</v>
      </c>
      <c r="AJ2116">
        <v>114.461583123802</v>
      </c>
      <c r="AK2116">
        <v>44.352957275459701</v>
      </c>
      <c r="AL2116">
        <v>80.261278633356</v>
      </c>
      <c r="AM2116">
        <v>100.893051844483</v>
      </c>
      <c r="AN2116">
        <v>1.0000000321511699</v>
      </c>
    </row>
    <row r="2117" spans="1:40" x14ac:dyDescent="0.25">
      <c r="A2117" t="str">
        <f>"20190304155405994"</f>
        <v>20190304155405994</v>
      </c>
      <c r="B2117" t="str">
        <f>"1551686045988202"</f>
        <v>1551686045988202</v>
      </c>
      <c r="C2117" t="s">
        <v>40</v>
      </c>
      <c r="D2117">
        <v>4.0351379999999999</v>
      </c>
      <c r="E2117">
        <v>0.40262419999999999</v>
      </c>
      <c r="F2117" t="s">
        <v>69</v>
      </c>
      <c r="G2117">
        <v>-470.15</v>
      </c>
      <c r="H2117">
        <v>0.10859199999999999</v>
      </c>
      <c r="I2117">
        <v>193.53319999999999</v>
      </c>
      <c r="J2117">
        <v>-492.01350000000002</v>
      </c>
      <c r="K2117">
        <v>1.11303</v>
      </c>
      <c r="L2117">
        <v>231.6883</v>
      </c>
      <c r="M2117">
        <v>9.312608E-2</v>
      </c>
      <c r="N2117">
        <v>-1.2635850000000001E-2</v>
      </c>
      <c r="O2117">
        <v>-0.99557430000000002</v>
      </c>
      <c r="P2117">
        <v>0.27506940000000002</v>
      </c>
      <c r="Q2117">
        <v>0.15869279999999999</v>
      </c>
      <c r="R2117">
        <v>-0.94823710000000005</v>
      </c>
      <c r="S2117">
        <v>1.555817</v>
      </c>
      <c r="T2117">
        <v>-7.1390149999999999E-2</v>
      </c>
      <c r="U2117">
        <v>-2.7275999999999998</v>
      </c>
      <c r="V2117">
        <v>-0.1866583</v>
      </c>
      <c r="W2117">
        <v>0.16973489999999999</v>
      </c>
      <c r="X2117">
        <v>0.96765109999999999</v>
      </c>
      <c r="Y2117">
        <v>-0.41229769999999999</v>
      </c>
      <c r="Z2117">
        <v>1.0761679999999999E-2</v>
      </c>
      <c r="AA2117">
        <v>0.91098559999999995</v>
      </c>
      <c r="AB2117">
        <v>23</v>
      </c>
      <c r="AC2117">
        <v>21.863499999999998</v>
      </c>
      <c r="AD2117">
        <v>-1.0044379999999999</v>
      </c>
      <c r="AE2117">
        <v>-38.155099999999997</v>
      </c>
      <c r="AF2117">
        <v>-18.205457143473701</v>
      </c>
      <c r="AG2117">
        <v>-1.0044379999999999</v>
      </c>
      <c r="AH2117">
        <v>40.004617296270098</v>
      </c>
      <c r="AI2117">
        <v>91.3091463267573</v>
      </c>
      <c r="AJ2117">
        <v>114.469517464798</v>
      </c>
      <c r="AK2117">
        <v>43.963814330875998</v>
      </c>
      <c r="AL2117">
        <v>80.227593603332394</v>
      </c>
      <c r="AM2117">
        <v>100.918158711795</v>
      </c>
      <c r="AN2117">
        <v>0.99999995428405297</v>
      </c>
    </row>
    <row r="2118" spans="1:40" x14ac:dyDescent="0.25">
      <c r="A2118" t="str">
        <f>"20190304155406017"</f>
        <v>20190304155406017</v>
      </c>
      <c r="B2118" t="str">
        <f>"1551686046008699"</f>
        <v>1551686046008699</v>
      </c>
      <c r="C2118" t="s">
        <v>40</v>
      </c>
      <c r="D2118">
        <v>4.0570089999999999</v>
      </c>
      <c r="E2118">
        <v>0.40298899999999999</v>
      </c>
      <c r="F2118" t="s">
        <v>69</v>
      </c>
      <c r="G2118">
        <v>-470.15</v>
      </c>
      <c r="H2118">
        <v>0.1248162</v>
      </c>
      <c r="I2118">
        <v>193.68620000000001</v>
      </c>
      <c r="J2118">
        <v>-491.98660000000001</v>
      </c>
      <c r="K2118">
        <v>1.113103</v>
      </c>
      <c r="L2118">
        <v>231.4573</v>
      </c>
      <c r="M2118">
        <v>9.7709309999999994E-2</v>
      </c>
      <c r="N2118">
        <v>-1.2641400000000001E-2</v>
      </c>
      <c r="O2118">
        <v>-0.99513490000000004</v>
      </c>
      <c r="P2118">
        <v>0.28029290000000001</v>
      </c>
      <c r="Q2118">
        <v>0.1587085</v>
      </c>
      <c r="R2118">
        <v>-0.94670390000000004</v>
      </c>
      <c r="S2118">
        <v>1.565704</v>
      </c>
      <c r="T2118">
        <v>-7.0765729999999999E-2</v>
      </c>
      <c r="U2118">
        <v>-2.7214200000000002</v>
      </c>
      <c r="V2118">
        <v>-0.18756629999999999</v>
      </c>
      <c r="W2118">
        <v>0.16971849999999999</v>
      </c>
      <c r="X2118">
        <v>0.96747850000000002</v>
      </c>
      <c r="Y2118">
        <v>-0.41148469999999998</v>
      </c>
      <c r="Z2118">
        <v>1.0586480000000001E-2</v>
      </c>
      <c r="AA2118">
        <v>0.91135520000000003</v>
      </c>
      <c r="AB2118">
        <v>23</v>
      </c>
      <c r="AC2118">
        <v>21.836600000000001</v>
      </c>
      <c r="AD2118">
        <v>-0.98828680000000002</v>
      </c>
      <c r="AE2118">
        <v>-37.771099999999898</v>
      </c>
      <c r="AF2118">
        <v>-18.031960305951099</v>
      </c>
      <c r="AG2118">
        <v>-0.98828680000000002</v>
      </c>
      <c r="AH2118">
        <v>39.703772908419197</v>
      </c>
      <c r="AI2118">
        <v>91.298310051723703</v>
      </c>
      <c r="AJ2118">
        <v>114.425762282234</v>
      </c>
      <c r="AK2118">
        <v>43.617862011311097</v>
      </c>
      <c r="AL2118">
        <v>80.228548200805193</v>
      </c>
      <c r="AM2118">
        <v>100.971894226622</v>
      </c>
      <c r="AN2118">
        <v>1.0000000670500899</v>
      </c>
    </row>
    <row r="2119" spans="1:40" x14ac:dyDescent="0.25">
      <c r="A2119" t="str">
        <f>"20190304155406040"</f>
        <v>20190304155406040</v>
      </c>
      <c r="B2119" t="str">
        <f>"1551686046038954"</f>
        <v>1551686046038954</v>
      </c>
      <c r="C2119" t="s">
        <v>40</v>
      </c>
      <c r="D2119">
        <v>4.1071350000000004</v>
      </c>
      <c r="E2119">
        <v>0.40346739999999998</v>
      </c>
      <c r="F2119" t="s">
        <v>69</v>
      </c>
      <c r="G2119">
        <v>-470.15</v>
      </c>
      <c r="H2119">
        <v>0.11081770000000001</v>
      </c>
      <c r="I2119">
        <v>193.8989</v>
      </c>
      <c r="J2119">
        <v>-491.95760000000001</v>
      </c>
      <c r="K2119">
        <v>1.113181</v>
      </c>
      <c r="L2119">
        <v>231.21850000000001</v>
      </c>
      <c r="M2119">
        <v>0.1025718</v>
      </c>
      <c r="N2119">
        <v>-1.264793E-2</v>
      </c>
      <c r="O2119">
        <v>-0.99464509999999995</v>
      </c>
      <c r="P2119">
        <v>0.28594849999999999</v>
      </c>
      <c r="Q2119">
        <v>0.1586447</v>
      </c>
      <c r="R2119">
        <v>-0.94502129999999995</v>
      </c>
      <c r="S2119">
        <v>1.5778810000000001</v>
      </c>
      <c r="T2119">
        <v>-7.2420600000000002E-2</v>
      </c>
      <c r="U2119">
        <v>-2.7138979999999999</v>
      </c>
      <c r="V2119">
        <v>-0.18865460000000001</v>
      </c>
      <c r="W2119">
        <v>0.16961699999999999</v>
      </c>
      <c r="X2119">
        <v>0.96728460000000005</v>
      </c>
      <c r="Y2119">
        <v>-0.41117900000000002</v>
      </c>
      <c r="Z2119">
        <v>1.1150220000000001E-2</v>
      </c>
      <c r="AA2119">
        <v>0.91148640000000003</v>
      </c>
      <c r="AB2119">
        <v>23</v>
      </c>
      <c r="AC2119">
        <v>21.807600000000001</v>
      </c>
      <c r="AD2119">
        <v>-1.0023633000000001</v>
      </c>
      <c r="AE2119">
        <v>-37.319600000000001</v>
      </c>
      <c r="AF2119">
        <v>-17.854712722354598</v>
      </c>
      <c r="AG2119">
        <v>-1.0023633000000001</v>
      </c>
      <c r="AH2119">
        <v>39.338598741447697</v>
      </c>
      <c r="AI2119">
        <v>91.329160022200497</v>
      </c>
      <c r="AJ2119">
        <v>114.411997042651</v>
      </c>
      <c r="AK2119">
        <v>43.212508021678502</v>
      </c>
      <c r="AL2119">
        <v>80.234448530852006</v>
      </c>
      <c r="AM2119">
        <v>101.03615503649</v>
      </c>
      <c r="AN2119">
        <v>0.99999999109366</v>
      </c>
    </row>
    <row r="2120" spans="1:40" x14ac:dyDescent="0.25">
      <c r="A2120" t="str">
        <f>"20190304155406062"</f>
        <v>20190304155406062</v>
      </c>
      <c r="B2120" t="str">
        <f>"1551686046058474"</f>
        <v>1551686046058474</v>
      </c>
      <c r="C2120" t="s">
        <v>40</v>
      </c>
      <c r="D2120">
        <v>4.117731</v>
      </c>
      <c r="E2120">
        <v>0.40387089999999998</v>
      </c>
      <c r="F2120" t="s">
        <v>69</v>
      </c>
      <c r="G2120">
        <v>-470.15</v>
      </c>
      <c r="H2120">
        <v>9.9674460000000006E-2</v>
      </c>
      <c r="I2120">
        <v>194.11789999999999</v>
      </c>
      <c r="J2120">
        <v>-491.93150000000003</v>
      </c>
      <c r="K2120">
        <v>1.1132580000000001</v>
      </c>
      <c r="L2120">
        <v>231.0138</v>
      </c>
      <c r="M2120">
        <v>0.1068645</v>
      </c>
      <c r="N2120">
        <v>-1.2654489999999999E-2</v>
      </c>
      <c r="O2120">
        <v>-0.99419329999999995</v>
      </c>
      <c r="P2120">
        <v>0.29105879999999901</v>
      </c>
      <c r="Q2120">
        <v>0.1583396</v>
      </c>
      <c r="R2120">
        <v>-0.94351149999999995</v>
      </c>
      <c r="S2120">
        <v>1.5903929999999999</v>
      </c>
      <c r="T2120">
        <v>-7.3910359999999994E-2</v>
      </c>
      <c r="U2120">
        <v>-2.705673</v>
      </c>
      <c r="V2120">
        <v>-0.18973960000000001</v>
      </c>
      <c r="W2120">
        <v>0.16927439999999999</v>
      </c>
      <c r="X2120">
        <v>0.9671324</v>
      </c>
      <c r="Y2120">
        <v>-0.411582</v>
      </c>
      <c r="Z2120">
        <v>1.166148E-2</v>
      </c>
      <c r="AA2120">
        <v>0.91129819999999995</v>
      </c>
      <c r="AB2120">
        <v>23</v>
      </c>
      <c r="AC2120">
        <v>21.781500000000001</v>
      </c>
      <c r="AD2120">
        <v>-1.0135835399999999</v>
      </c>
      <c r="AE2120">
        <v>-36.895899999999997</v>
      </c>
      <c r="AF2120">
        <v>-17.703665942651099</v>
      </c>
      <c r="AG2120">
        <v>-1.0135835399999999</v>
      </c>
      <c r="AH2120">
        <v>38.990619533632902</v>
      </c>
      <c r="AI2120">
        <v>91.355933371825699</v>
      </c>
      <c r="AJ2120">
        <v>114.420393517916</v>
      </c>
      <c r="AK2120">
        <v>42.8335797128615</v>
      </c>
      <c r="AL2120">
        <v>80.254366255886694</v>
      </c>
      <c r="AM2120">
        <v>101.099758508934</v>
      </c>
      <c r="AN2120">
        <v>1.0000000087166301</v>
      </c>
    </row>
    <row r="2121" spans="1:40" x14ac:dyDescent="0.25">
      <c r="A2121" t="str">
        <f>"20190304155406085"</f>
        <v>20190304155406085</v>
      </c>
      <c r="B2121" t="str">
        <f>"1551686046078970"</f>
        <v>1551686046078970</v>
      </c>
      <c r="C2121" t="s">
        <v>40</v>
      </c>
      <c r="D2121">
        <v>4.1235439999999999</v>
      </c>
      <c r="E2121">
        <v>0.40430719999999998</v>
      </c>
      <c r="F2121" t="s">
        <v>44</v>
      </c>
      <c r="G2121">
        <v>-476.75349999999997</v>
      </c>
      <c r="H2121">
        <v>0.38566470000000003</v>
      </c>
      <c r="I2121">
        <v>205.44460000000001</v>
      </c>
      <c r="J2121">
        <v>-491.9</v>
      </c>
      <c r="K2121">
        <v>1.113353</v>
      </c>
      <c r="L2121">
        <v>230.77670000000001</v>
      </c>
      <c r="M2121">
        <v>0.1120078</v>
      </c>
      <c r="N2121">
        <v>-1.266366E-2</v>
      </c>
      <c r="O2121">
        <v>-0.99362669999999997</v>
      </c>
      <c r="P2121">
        <v>0.29697269999999998</v>
      </c>
      <c r="Q2121">
        <v>0.15815470000000001</v>
      </c>
      <c r="R2121">
        <v>-0.94169769999999997</v>
      </c>
      <c r="S2121">
        <v>1.6017760000000001</v>
      </c>
      <c r="T2121">
        <v>-7.6784729999999995E-2</v>
      </c>
      <c r="U2121">
        <v>-2.6983799999999998</v>
      </c>
      <c r="V2121">
        <v>-0.1908396</v>
      </c>
      <c r="W2121">
        <v>0.1690441</v>
      </c>
      <c r="X2121">
        <v>0.96695620000000004</v>
      </c>
      <c r="Y2121">
        <v>-0.41078110000000001</v>
      </c>
      <c r="Z2121">
        <v>1.262009E-2</v>
      </c>
      <c r="AA2121">
        <v>0.91164670000000003</v>
      </c>
      <c r="AB2121">
        <v>22</v>
      </c>
      <c r="AC2121">
        <v>15.1465</v>
      </c>
      <c r="AD2121">
        <v>-0.72768829999999995</v>
      </c>
      <c r="AE2121">
        <v>-25.332100000000001</v>
      </c>
      <c r="AF2121">
        <v>-12.206132894660101</v>
      </c>
      <c r="AG2121">
        <v>-0.72768829999999995</v>
      </c>
      <c r="AH2121">
        <v>26.853006847655401</v>
      </c>
      <c r="AI2121">
        <v>91.413194483700707</v>
      </c>
      <c r="AJ2121">
        <v>114.444345033063</v>
      </c>
      <c r="AK2121">
        <v>29.505985617570701</v>
      </c>
      <c r="AL2121">
        <v>80.267754099495406</v>
      </c>
      <c r="AM2121">
        <v>101.164479901682</v>
      </c>
      <c r="AN2121">
        <v>0.99999997669570395</v>
      </c>
    </row>
    <row r="2122" spans="1:40" x14ac:dyDescent="0.25">
      <c r="A2122" t="str">
        <f>"20190304155406109"</f>
        <v>20190304155406109</v>
      </c>
      <c r="B2122" t="str">
        <f>"1551686046098492"</f>
        <v>1551686046098492</v>
      </c>
      <c r="C2122" t="s">
        <v>40</v>
      </c>
      <c r="D2122">
        <v>4.1183069999999997</v>
      </c>
      <c r="E2122">
        <v>0.4045897</v>
      </c>
      <c r="F2122" t="s">
        <v>44</v>
      </c>
      <c r="G2122">
        <v>-476.75639999999999</v>
      </c>
      <c r="H2122">
        <v>0.37258740000000001</v>
      </c>
      <c r="I2122">
        <v>205.559</v>
      </c>
      <c r="J2122">
        <v>-491.86869999999999</v>
      </c>
      <c r="K2122">
        <v>1.113445</v>
      </c>
      <c r="L2122">
        <v>230.5504</v>
      </c>
      <c r="M2122">
        <v>0.1170537</v>
      </c>
      <c r="N2122">
        <v>-1.2672930000000001E-2</v>
      </c>
      <c r="O2122">
        <v>-0.9930447</v>
      </c>
      <c r="P2122">
        <v>0.303317</v>
      </c>
      <c r="Q2122">
        <v>0.1580993</v>
      </c>
      <c r="R2122">
        <v>-0.93968240000000003</v>
      </c>
      <c r="S2122">
        <v>1.615173</v>
      </c>
      <c r="T2122">
        <v>-7.9007980000000005E-2</v>
      </c>
      <c r="U2122">
        <v>-2.689651</v>
      </c>
      <c r="V2122">
        <v>-0.19248750000000001</v>
      </c>
      <c r="W2122">
        <v>0.1689407</v>
      </c>
      <c r="X2122">
        <v>0.96664760000000005</v>
      </c>
      <c r="Y2122">
        <v>-0.41078530000000002</v>
      </c>
      <c r="Z2122">
        <v>1.33706E-2</v>
      </c>
      <c r="AA2122">
        <v>0.9116341</v>
      </c>
      <c r="AB2122">
        <v>22</v>
      </c>
      <c r="AC2122">
        <v>15.112299999999999</v>
      </c>
      <c r="AD2122">
        <v>-0.74085760000000001</v>
      </c>
      <c r="AE2122">
        <v>-24.991399999999899</v>
      </c>
      <c r="AF2122">
        <v>-12.075053969819001</v>
      </c>
      <c r="AG2122">
        <v>-0.74085760000000001</v>
      </c>
      <c r="AH2122">
        <v>26.5715651700379</v>
      </c>
      <c r="AI2122">
        <v>91.454056506391694</v>
      </c>
      <c r="AJ2122">
        <v>114.438718136123</v>
      </c>
      <c r="AK2122">
        <v>29.1959564656322</v>
      </c>
      <c r="AL2122">
        <v>80.273765067378605</v>
      </c>
      <c r="AM2122">
        <v>101.26193524359</v>
      </c>
      <c r="AN2122">
        <v>0.99999999017924901</v>
      </c>
    </row>
    <row r="2123" spans="1:40" x14ac:dyDescent="0.25">
      <c r="A2123" t="str">
        <f>"20190304155406129"</f>
        <v>20190304155406129</v>
      </c>
      <c r="B2123" t="str">
        <f>"1551686046118987"</f>
        <v>1551686046118987</v>
      </c>
      <c r="C2123" t="s">
        <v>40</v>
      </c>
      <c r="D2123">
        <v>4.1006650000000002</v>
      </c>
      <c r="E2123">
        <v>0.40481499999999998</v>
      </c>
      <c r="F2123" t="s">
        <v>44</v>
      </c>
      <c r="G2123">
        <v>-476.75659999999999</v>
      </c>
      <c r="H2123">
        <v>0.37193880000000001</v>
      </c>
      <c r="I2123">
        <v>205.71539999999999</v>
      </c>
      <c r="J2123">
        <v>-491.839</v>
      </c>
      <c r="K2123">
        <v>1.1135219999999999</v>
      </c>
      <c r="L2123">
        <v>230.3449</v>
      </c>
      <c r="M2123">
        <v>0.1217635</v>
      </c>
      <c r="N2123">
        <v>-1.2681100000000001E-2</v>
      </c>
      <c r="O2123">
        <v>-0.99247830000000004</v>
      </c>
      <c r="P2123">
        <v>0.30920700000000001</v>
      </c>
      <c r="Q2123">
        <v>0.15745599999999901</v>
      </c>
      <c r="R2123">
        <v>-0.93786930000000002</v>
      </c>
      <c r="S2123">
        <v>1.6306149999999999</v>
      </c>
      <c r="T2123">
        <v>-8.0009700000000003E-2</v>
      </c>
      <c r="U2123">
        <v>-2.6797330000000001</v>
      </c>
      <c r="V2123">
        <v>-0.1939835</v>
      </c>
      <c r="W2123">
        <v>0.1682554</v>
      </c>
      <c r="X2123">
        <v>0.96646810000000005</v>
      </c>
      <c r="Y2123">
        <v>-0.41178759999999998</v>
      </c>
      <c r="Z2123">
        <v>1.372578E-2</v>
      </c>
      <c r="AA2123">
        <v>0.9111764</v>
      </c>
      <c r="AB2123">
        <v>22</v>
      </c>
      <c r="AC2123">
        <v>15.0824</v>
      </c>
      <c r="AD2123">
        <v>-0.741583199999999</v>
      </c>
      <c r="AE2123">
        <v>-24.6295</v>
      </c>
      <c r="AF2123">
        <v>-11.9630534772653</v>
      </c>
      <c r="AG2123">
        <v>-0.741583199999999</v>
      </c>
      <c r="AH2123">
        <v>26.265521260108098</v>
      </c>
      <c r="AI2123">
        <v>91.471859943048997</v>
      </c>
      <c r="AJ2123">
        <v>114.487654427474</v>
      </c>
      <c r="AK2123">
        <v>28.8711309305268</v>
      </c>
      <c r="AL2123">
        <v>80.313600529289999</v>
      </c>
      <c r="AM2123">
        <v>101.34925266723199</v>
      </c>
      <c r="AN2123">
        <v>1.0000000331095</v>
      </c>
    </row>
    <row r="2124" spans="1:40" x14ac:dyDescent="0.25">
      <c r="A2124" t="str">
        <f>"20190304155406151"</f>
        <v>20190304155406151</v>
      </c>
      <c r="B2124" t="str">
        <f>"1551686046148266"</f>
        <v>1551686046148266</v>
      </c>
      <c r="C2124" t="s">
        <v>40</v>
      </c>
      <c r="D2124">
        <v>4.0716479999999997</v>
      </c>
      <c r="E2124">
        <v>0.40506189999999997</v>
      </c>
      <c r="F2124" t="s">
        <v>44</v>
      </c>
      <c r="G2124">
        <v>-476.76049999999998</v>
      </c>
      <c r="H2124">
        <v>0.35438619999999998</v>
      </c>
      <c r="I2124">
        <v>205.88310000000001</v>
      </c>
      <c r="J2124">
        <v>-491.80739999999997</v>
      </c>
      <c r="K2124">
        <v>1.113605</v>
      </c>
      <c r="L2124">
        <v>230.13419999999999</v>
      </c>
      <c r="M2124">
        <v>0.12673999999999999</v>
      </c>
      <c r="N2124">
        <v>-1.268998E-2</v>
      </c>
      <c r="O2124">
        <v>-0.99185500000000004</v>
      </c>
      <c r="P2124">
        <v>0.31580380000000002</v>
      </c>
      <c r="Q2124">
        <v>0.1567481</v>
      </c>
      <c r="R2124">
        <v>-0.9357877</v>
      </c>
      <c r="S2124">
        <v>1.6458440000000001</v>
      </c>
      <c r="T2124">
        <v>-8.2861069999999995E-2</v>
      </c>
      <c r="U2124">
        <v>-2.6700439999999999</v>
      </c>
      <c r="V2124">
        <v>-0.19595950000000001</v>
      </c>
      <c r="W2124">
        <v>0.16749720000000001</v>
      </c>
      <c r="X2124">
        <v>0.96620110000000003</v>
      </c>
      <c r="Y2124">
        <v>-0.41244989999999998</v>
      </c>
      <c r="Z2124">
        <v>1.4680510000000001E-2</v>
      </c>
      <c r="AA2124">
        <v>0.91086199999999995</v>
      </c>
      <c r="AB2124">
        <v>22</v>
      </c>
      <c r="AC2124">
        <v>15.0468999999999</v>
      </c>
      <c r="AD2124">
        <v>-0.75921879999999997</v>
      </c>
      <c r="AE2124">
        <v>-24.251099999999902</v>
      </c>
      <c r="AF2124">
        <v>-11.843329358657099</v>
      </c>
      <c r="AG2124">
        <v>-0.75921879999999997</v>
      </c>
      <c r="AH2124">
        <v>25.944344214556899</v>
      </c>
      <c r="AI2124">
        <v>91.524902343484001</v>
      </c>
      <c r="AJ2124">
        <v>114.536215659258</v>
      </c>
      <c r="AK2124">
        <v>28.529806522430501</v>
      </c>
      <c r="AL2124">
        <v>80.3576672793547</v>
      </c>
      <c r="AM2124">
        <v>101.464899623579</v>
      </c>
      <c r="AN2124">
        <v>1.00000000164465</v>
      </c>
    </row>
    <row r="2125" spans="1:40" x14ac:dyDescent="0.25">
      <c r="A2125" t="str">
        <f>"20190304155406173"</f>
        <v>20190304155406173</v>
      </c>
      <c r="B2125" t="str">
        <f>"1551686046168763"</f>
        <v>1551686046168763</v>
      </c>
      <c r="C2125" t="s">
        <v>40</v>
      </c>
      <c r="D2125">
        <v>4.1792119999999997</v>
      </c>
      <c r="E2125">
        <v>0.4050069</v>
      </c>
      <c r="F2125" t="s">
        <v>44</v>
      </c>
      <c r="G2125">
        <v>-476.73430000000002</v>
      </c>
      <c r="H2125">
        <v>0.33664179999999999</v>
      </c>
      <c r="I2125">
        <v>206.0283</v>
      </c>
      <c r="J2125">
        <v>-491.77249999999998</v>
      </c>
      <c r="K2125">
        <v>1.1137060000000001</v>
      </c>
      <c r="L2125">
        <v>229.9101</v>
      </c>
      <c r="M2125">
        <v>0.13222039999999999</v>
      </c>
      <c r="N2125">
        <v>-1.270142E-2</v>
      </c>
      <c r="O2125">
        <v>-0.99113910000000005</v>
      </c>
      <c r="P2125">
        <v>0.32240730000000001</v>
      </c>
      <c r="Q2125">
        <v>0.15616340000000001</v>
      </c>
      <c r="R2125">
        <v>-0.93363119999999999</v>
      </c>
      <c r="S2125">
        <v>1.6626890000000001</v>
      </c>
      <c r="T2125">
        <v>-8.5705760000000006E-2</v>
      </c>
      <c r="U2125">
        <v>-2.6590880000000001</v>
      </c>
      <c r="V2125">
        <v>-0.1974737</v>
      </c>
      <c r="W2125">
        <v>0.16685920000000001</v>
      </c>
      <c r="X2125">
        <v>0.96600319999999995</v>
      </c>
      <c r="Y2125">
        <v>-0.41323929999999998</v>
      </c>
      <c r="Z2125">
        <v>1.5636219999999999E-2</v>
      </c>
      <c r="AA2125">
        <v>0.91048819999999997</v>
      </c>
      <c r="AB2125">
        <v>22</v>
      </c>
      <c r="AC2125">
        <v>15.0381999999999</v>
      </c>
      <c r="AD2125">
        <v>-0.77706419999999898</v>
      </c>
      <c r="AE2125">
        <v>-23.881799999999998</v>
      </c>
      <c r="AF2125">
        <v>-11.739333175347999</v>
      </c>
      <c r="AG2125">
        <v>-0.77706419999999898</v>
      </c>
      <c r="AH2125">
        <v>25.641170048635601</v>
      </c>
      <c r="AI2125">
        <v>91.578371399218994</v>
      </c>
      <c r="AJ2125">
        <v>114.599794871901</v>
      </c>
      <c r="AK2125">
        <v>28.2114404743146</v>
      </c>
      <c r="AL2125">
        <v>80.394743940666004</v>
      </c>
      <c r="AM2125">
        <v>101.55342062056199</v>
      </c>
      <c r="AN2125">
        <v>1.00000001861328</v>
      </c>
    </row>
    <row r="2126" spans="1:40" x14ac:dyDescent="0.25">
      <c r="A2126" t="str">
        <f>"20190304155406203"</f>
        <v>20190304155406203</v>
      </c>
      <c r="B2126" t="str">
        <f>"1551686046199019"</f>
        <v>1551686046199019</v>
      </c>
      <c r="C2126" t="s">
        <v>40</v>
      </c>
      <c r="D2126">
        <v>4.0282539999999996</v>
      </c>
      <c r="E2126">
        <v>0.40514650000000002</v>
      </c>
      <c r="F2126" t="s">
        <v>44</v>
      </c>
      <c r="G2126">
        <v>-476.6037</v>
      </c>
      <c r="H2126">
        <v>0.3280767</v>
      </c>
      <c r="I2126">
        <v>206.03020000000001</v>
      </c>
      <c r="J2126">
        <v>-491.726</v>
      </c>
      <c r="K2126">
        <v>1.113864</v>
      </c>
      <c r="L2126">
        <v>229.62530000000001</v>
      </c>
      <c r="M2126">
        <v>0.13946739999999999</v>
      </c>
      <c r="N2126">
        <v>-1.27194E-2</v>
      </c>
      <c r="O2126">
        <v>-0.99014489999999999</v>
      </c>
      <c r="P2126">
        <v>0.33073809999999998</v>
      </c>
      <c r="Q2126">
        <v>0.1550523</v>
      </c>
      <c r="R2126">
        <v>-0.93089820000000001</v>
      </c>
      <c r="S2126">
        <v>1.68151899999999</v>
      </c>
      <c r="T2126">
        <v>-8.7090020000000004E-2</v>
      </c>
      <c r="U2126">
        <v>-2.6471710000000002</v>
      </c>
      <c r="V2126">
        <v>-0.199072</v>
      </c>
      <c r="W2126">
        <v>0.1656743</v>
      </c>
      <c r="X2126">
        <v>0.96587900000000004</v>
      </c>
      <c r="Y2126">
        <v>-0.41304220000000003</v>
      </c>
      <c r="Z2126">
        <v>1.611692E-2</v>
      </c>
      <c r="AA2126">
        <v>0.91056930000000003</v>
      </c>
      <c r="AB2126">
        <v>22</v>
      </c>
      <c r="AC2126">
        <v>15.1222999999999</v>
      </c>
      <c r="AD2126">
        <v>-0.78578729999999997</v>
      </c>
      <c r="AE2126">
        <v>-23.595099999999999</v>
      </c>
      <c r="AF2126">
        <v>-11.6742890278258</v>
      </c>
      <c r="AG2126">
        <v>-0.78578729999999997</v>
      </c>
      <c r="AH2126">
        <v>25.4536875203374</v>
      </c>
      <c r="AI2126">
        <v>91.607333590034102</v>
      </c>
      <c r="AJ2126">
        <v>114.638473659635</v>
      </c>
      <c r="AK2126">
        <v>28.014223072736399</v>
      </c>
      <c r="AL2126">
        <v>80.463591253640502</v>
      </c>
      <c r="AM2126">
        <v>101.645843502738</v>
      </c>
      <c r="AN2126">
        <v>0.99999993875274296</v>
      </c>
    </row>
    <row r="2127" spans="1:40" x14ac:dyDescent="0.25">
      <c r="A2127" t="str">
        <f>"20190304155406218"</f>
        <v>20190304155406218</v>
      </c>
      <c r="B2127" t="str">
        <f>"1551686046208779"</f>
        <v>1551686046208779</v>
      </c>
      <c r="C2127" t="s">
        <v>40</v>
      </c>
      <c r="D2127">
        <v>4.2354900000000004</v>
      </c>
      <c r="E2127">
        <v>0.40524379999999999</v>
      </c>
      <c r="F2127" t="s">
        <v>44</v>
      </c>
      <c r="G2127">
        <v>-476.4599</v>
      </c>
      <c r="H2127">
        <v>0.28859800000000002</v>
      </c>
      <c r="I2127">
        <v>206.03909999999999</v>
      </c>
      <c r="J2127">
        <v>-491.70010000000002</v>
      </c>
      <c r="K2127">
        <v>1.1139619999999999</v>
      </c>
      <c r="L2127">
        <v>229.47329999999999</v>
      </c>
      <c r="M2127">
        <v>0.14349379999999901</v>
      </c>
      <c r="N2127">
        <v>-1.273063E-2</v>
      </c>
      <c r="O2127">
        <v>-0.98956949999999999</v>
      </c>
      <c r="P2127">
        <v>0.33557130000000002</v>
      </c>
      <c r="Q2127">
        <v>0.15365219999999999</v>
      </c>
      <c r="R2127">
        <v>-0.92939950000000005</v>
      </c>
      <c r="S2127">
        <v>1.7039489999999999</v>
      </c>
      <c r="T2127">
        <v>-9.2113020000000004E-2</v>
      </c>
      <c r="U2127">
        <v>-2.6325989999999999</v>
      </c>
      <c r="V2127">
        <v>-0.20015820000000001</v>
      </c>
      <c r="W2127">
        <v>0.1642295</v>
      </c>
      <c r="X2127">
        <v>0.96590129999999996</v>
      </c>
      <c r="Y2127">
        <v>-0.41708020000000001</v>
      </c>
      <c r="Z2127">
        <v>1.778161E-2</v>
      </c>
      <c r="AA2127">
        <v>0.90869580000000005</v>
      </c>
      <c r="AB2127">
        <v>22</v>
      </c>
      <c r="AC2127">
        <v>15.2402</v>
      </c>
      <c r="AD2127">
        <v>-0.82536399999999999</v>
      </c>
      <c r="AE2127">
        <v>-23.434200000000001</v>
      </c>
      <c r="AF2127">
        <v>-11.709314580597299</v>
      </c>
      <c r="AG2127">
        <v>-0.82536399999999999</v>
      </c>
      <c r="AH2127">
        <v>25.356590973984598</v>
      </c>
      <c r="AI2127">
        <v>91.692686196442494</v>
      </c>
      <c r="AJ2127">
        <v>114.786824010947</v>
      </c>
      <c r="AK2127">
        <v>27.941832071319901</v>
      </c>
      <c r="AL2127">
        <v>80.547522293770299</v>
      </c>
      <c r="AM2127">
        <v>101.707374573013</v>
      </c>
      <c r="AN2127">
        <v>0.99999997751958902</v>
      </c>
    </row>
    <row r="2128" spans="1:40" x14ac:dyDescent="0.25">
      <c r="A2128" t="str">
        <f>"20190304155406240"</f>
        <v>20190304155406240</v>
      </c>
      <c r="B2128" t="str">
        <f>"1551686046239035"</f>
        <v>1551686046239035</v>
      </c>
      <c r="C2128" t="s">
        <v>40</v>
      </c>
      <c r="D2128">
        <v>4.2897109999999996</v>
      </c>
      <c r="E2128">
        <v>0.41776619999999998</v>
      </c>
      <c r="F2128" t="s">
        <v>44</v>
      </c>
      <c r="G2128">
        <v>-476.3732</v>
      </c>
      <c r="H2128">
        <v>0.25091190000000002</v>
      </c>
      <c r="I2128">
        <v>206.04750000000001</v>
      </c>
      <c r="J2128">
        <v>-491.66059999999999</v>
      </c>
      <c r="K2128">
        <v>1.114099</v>
      </c>
      <c r="L2128">
        <v>229.2492</v>
      </c>
      <c r="M2128">
        <v>0.14958080000000001</v>
      </c>
      <c r="N2128">
        <v>-1.274727E-2</v>
      </c>
      <c r="O2128">
        <v>-0.98866750000000003</v>
      </c>
      <c r="P2128">
        <v>0.34205619999999998</v>
      </c>
      <c r="Q2128">
        <v>0.15253340000000001</v>
      </c>
      <c r="R2128">
        <v>-0.92721719999999996</v>
      </c>
      <c r="S2128">
        <v>1.7168270000000001</v>
      </c>
      <c r="T2128">
        <v>-9.6673369999999995E-2</v>
      </c>
      <c r="U2128">
        <v>-2.6240079999999999</v>
      </c>
      <c r="V2128">
        <v>-0.2009803</v>
      </c>
      <c r="W2128">
        <v>0.16305500000000001</v>
      </c>
      <c r="X2128">
        <v>0.96592960000000005</v>
      </c>
      <c r="Y2128">
        <v>-0.41595409999999999</v>
      </c>
      <c r="Z2128">
        <v>1.9288119999999999E-2</v>
      </c>
      <c r="AA2128">
        <v>0.90918109999999996</v>
      </c>
      <c r="AB2128">
        <v>22</v>
      </c>
      <c r="AC2128">
        <v>15.2873999999999</v>
      </c>
      <c r="AD2128">
        <v>-0.86318709999999899</v>
      </c>
      <c r="AE2128">
        <v>-23.201699999999899</v>
      </c>
      <c r="AF2128">
        <v>-11.6333433426396</v>
      </c>
      <c r="AG2128">
        <v>-0.86318709999999899</v>
      </c>
      <c r="AH2128">
        <v>25.203189776497901</v>
      </c>
      <c r="AI2128">
        <v>91.781112432441404</v>
      </c>
      <c r="AJ2128">
        <v>114.777205653274</v>
      </c>
      <c r="AK2128">
        <v>27.771938070784898</v>
      </c>
      <c r="AL2128">
        <v>80.615735968982804</v>
      </c>
      <c r="AM2128">
        <v>101.753789699897</v>
      </c>
      <c r="AN2128">
        <v>1.0000000030846199</v>
      </c>
    </row>
    <row r="2129" spans="1:40" x14ac:dyDescent="0.25">
      <c r="A2129" t="str">
        <f>"20190304155406263"</f>
        <v>20190304155406263</v>
      </c>
      <c r="B2129" t="str">
        <f>"1551686046258554"</f>
        <v>1551686046258554</v>
      </c>
      <c r="C2129" t="s">
        <v>40</v>
      </c>
      <c r="D2129">
        <v>4.2673030000000001</v>
      </c>
      <c r="E2129">
        <v>0.41769469999999997</v>
      </c>
      <c r="F2129" t="s">
        <v>51</v>
      </c>
      <c r="G2129">
        <v>-478.78149999999999</v>
      </c>
      <c r="H2129">
        <v>7.9999699999999896E-2</v>
      </c>
      <c r="I2129">
        <v>208.4468</v>
      </c>
      <c r="J2129">
        <v>-491.6223</v>
      </c>
      <c r="K2129">
        <v>1.1142319999999999</v>
      </c>
      <c r="L2129">
        <v>229.04140000000001</v>
      </c>
      <c r="M2129">
        <v>0.15547</v>
      </c>
      <c r="N2129">
        <v>-1.276367E-2</v>
      </c>
      <c r="O2129">
        <v>-0.98775829999999998</v>
      </c>
      <c r="P2129">
        <v>0.34842119999999999</v>
      </c>
      <c r="Q2129">
        <v>0.1518187</v>
      </c>
      <c r="R2129">
        <v>-0.9249619</v>
      </c>
      <c r="S2129">
        <v>1.641632</v>
      </c>
      <c r="T2129">
        <v>-0.13181129999999999</v>
      </c>
      <c r="U2129">
        <v>-2.6515659999999999</v>
      </c>
      <c r="V2129">
        <v>-0.2018934</v>
      </c>
      <c r="W2129">
        <v>0.16228099999999901</v>
      </c>
      <c r="X2129">
        <v>0.96586950000000005</v>
      </c>
      <c r="Y2129">
        <v>-0.38742379999999998</v>
      </c>
      <c r="Z2129">
        <v>3.083909E-2</v>
      </c>
      <c r="AA2129">
        <v>0.92138580000000003</v>
      </c>
      <c r="AB2129">
        <v>22</v>
      </c>
      <c r="AC2129">
        <v>12.8408</v>
      </c>
      <c r="AD2129">
        <v>-1.0342323</v>
      </c>
      <c r="AE2129">
        <v>-20.5946</v>
      </c>
      <c r="AF2129">
        <v>-9.4653467939660807</v>
      </c>
      <c r="AG2129">
        <v>-1.0342323</v>
      </c>
      <c r="AH2129">
        <v>22.300166907553901</v>
      </c>
      <c r="AI2129">
        <v>92.444548483236503</v>
      </c>
      <c r="AJ2129">
        <v>112.998884353815</v>
      </c>
      <c r="AK2129">
        <v>24.247883835196198</v>
      </c>
      <c r="AL2129">
        <v>80.660681317263098</v>
      </c>
      <c r="AM2129">
        <v>101.806408448307</v>
      </c>
      <c r="AN2129">
        <v>0.99999997947740404</v>
      </c>
    </row>
    <row r="2130" spans="1:40" x14ac:dyDescent="0.25">
      <c r="A2130" t="str">
        <f>"20190304155406288"</f>
        <v>20190304155406288</v>
      </c>
      <c r="B2130" t="str">
        <f>"1551686046279050"</f>
        <v>1551686046279050</v>
      </c>
      <c r="C2130" t="s">
        <v>40</v>
      </c>
      <c r="D2130">
        <v>4.2974119999999996</v>
      </c>
      <c r="E2130">
        <v>0.41746030000000001</v>
      </c>
      <c r="F2130" t="s">
        <v>51</v>
      </c>
      <c r="G2130">
        <v>-478.3374</v>
      </c>
      <c r="H2130">
        <v>7.999974E-2</v>
      </c>
      <c r="I2130">
        <v>207.91970000000001</v>
      </c>
      <c r="J2130">
        <v>-491.5736</v>
      </c>
      <c r="K2130">
        <v>1.114412</v>
      </c>
      <c r="L2130">
        <v>228.78890000000001</v>
      </c>
      <c r="M2130">
        <v>0.162970899999999</v>
      </c>
      <c r="N2130">
        <v>-1.278778E-2</v>
      </c>
      <c r="O2130">
        <v>-0.98654799999999998</v>
      </c>
      <c r="P2130">
        <v>0.35632809999999998</v>
      </c>
      <c r="Q2130">
        <v>0.15165580000000001</v>
      </c>
      <c r="R2130">
        <v>-0.9219714</v>
      </c>
      <c r="S2130">
        <v>1.660004</v>
      </c>
      <c r="T2130">
        <v>-0.12923180000000001</v>
      </c>
      <c r="U2130">
        <v>-2.6392359999999999</v>
      </c>
      <c r="V2130">
        <v>-0.20289160000000001</v>
      </c>
      <c r="W2130">
        <v>0.1620415</v>
      </c>
      <c r="X2130">
        <v>0.96570060000000002</v>
      </c>
      <c r="Y2130">
        <v>-0.38696829999999999</v>
      </c>
      <c r="Z2130">
        <v>3.0029839999999999E-2</v>
      </c>
      <c r="AA2130">
        <v>0.92160390000000003</v>
      </c>
      <c r="AB2130">
        <v>22</v>
      </c>
      <c r="AC2130">
        <v>13.236199999999901</v>
      </c>
      <c r="AD2130">
        <v>-1.0344122600000001</v>
      </c>
      <c r="AE2130">
        <v>-20.869199999999999</v>
      </c>
      <c r="AF2130">
        <v>-9.6409726352400398</v>
      </c>
      <c r="AG2130">
        <v>-1.0344122600000001</v>
      </c>
      <c r="AH2130">
        <v>22.707658163589102</v>
      </c>
      <c r="AI2130">
        <v>92.401048594286394</v>
      </c>
      <c r="AJ2130">
        <v>113.00458282651699</v>
      </c>
      <c r="AK2130">
        <v>24.691215064299701</v>
      </c>
      <c r="AL2130">
        <v>80.674588371822196</v>
      </c>
      <c r="AM2130">
        <v>101.86514748293401</v>
      </c>
      <c r="AN2130">
        <v>1.0000000489565799</v>
      </c>
    </row>
    <row r="2131" spans="1:40" x14ac:dyDescent="0.25">
      <c r="A2131" t="str">
        <f>"20190304155406309"</f>
        <v>20190304155406309</v>
      </c>
      <c r="B2131" t="str">
        <f>"1551686046298572"</f>
        <v>1551686046298572</v>
      </c>
      <c r="C2131" t="s">
        <v>40</v>
      </c>
      <c r="D2131">
        <v>4.2962899999999999</v>
      </c>
      <c r="E2131">
        <v>0.41818909999999998</v>
      </c>
      <c r="F2131" t="s">
        <v>51</v>
      </c>
      <c r="G2131">
        <v>-478.02330000000001</v>
      </c>
      <c r="H2131">
        <v>7.999974E-2</v>
      </c>
      <c r="I2131">
        <v>207.6857</v>
      </c>
      <c r="J2131">
        <v>-491.53359999999998</v>
      </c>
      <c r="K2131">
        <v>1.114552</v>
      </c>
      <c r="L2131">
        <v>228.58959999999999</v>
      </c>
      <c r="M2131">
        <v>0.1691096</v>
      </c>
      <c r="N2131">
        <v>-1.280887E-2</v>
      </c>
      <c r="O2131">
        <v>-0.985514</v>
      </c>
      <c r="P2131">
        <v>0.36257729999999999</v>
      </c>
      <c r="Q2131">
        <v>0.15154699999999999</v>
      </c>
      <c r="R2131">
        <v>-0.91954959999999997</v>
      </c>
      <c r="S2131">
        <v>1.684814</v>
      </c>
      <c r="T2131">
        <v>-0.12861600000000001</v>
      </c>
      <c r="U2131">
        <v>-2.6239170000000001</v>
      </c>
      <c r="V2131">
        <v>-0.2034851</v>
      </c>
      <c r="W2131">
        <v>0.16187869999999999</v>
      </c>
      <c r="X2131">
        <v>0.96560299999999999</v>
      </c>
      <c r="Y2131">
        <v>-0.38984659999999999</v>
      </c>
      <c r="Z2131">
        <v>2.9856000000000001E-2</v>
      </c>
      <c r="AA2131">
        <v>0.92039570000000004</v>
      </c>
      <c r="AB2131">
        <v>22</v>
      </c>
      <c r="AC2131">
        <v>13.5102999999999</v>
      </c>
      <c r="AD2131">
        <v>-1.0345522599999999</v>
      </c>
      <c r="AE2131">
        <v>-20.9039</v>
      </c>
      <c r="AF2131">
        <v>-9.7634739971188704</v>
      </c>
      <c r="AG2131">
        <v>-1.0345522599999999</v>
      </c>
      <c r="AH2131">
        <v>22.848211192353201</v>
      </c>
      <c r="AI2131">
        <v>92.384255897707902</v>
      </c>
      <c r="AJ2131">
        <v>113.137937544482</v>
      </c>
      <c r="AK2131">
        <v>24.8683830910146</v>
      </c>
      <c r="AL2131">
        <v>80.684040712543904</v>
      </c>
      <c r="AM2131">
        <v>101.900035919953</v>
      </c>
      <c r="AN2131">
        <v>1.0000000265223401</v>
      </c>
    </row>
    <row r="2132" spans="1:40" x14ac:dyDescent="0.25">
      <c r="A2132" t="str">
        <f>"20190304155406331"</f>
        <v>20190304155406331</v>
      </c>
      <c r="B2132" t="str">
        <f>"1551686046329203"</f>
        <v>1551686046329203</v>
      </c>
      <c r="C2132" t="s">
        <v>40</v>
      </c>
      <c r="D2132">
        <v>4.2953070000000002</v>
      </c>
      <c r="E2132">
        <v>0.41898489999999999</v>
      </c>
      <c r="F2132" t="s">
        <v>51</v>
      </c>
      <c r="G2132">
        <v>-477.77960000000002</v>
      </c>
      <c r="H2132">
        <v>7.999974E-2</v>
      </c>
      <c r="I2132">
        <v>207.40969999999999</v>
      </c>
      <c r="J2132">
        <v>-491.48939999999999</v>
      </c>
      <c r="K2132">
        <v>1.1146940000000001</v>
      </c>
      <c r="L2132">
        <v>228.37790000000001</v>
      </c>
      <c r="M2132">
        <v>0.175848799999999</v>
      </c>
      <c r="N2132">
        <v>-1.2831479999999999E-2</v>
      </c>
      <c r="O2132">
        <v>-0.98433349999999997</v>
      </c>
      <c r="P2132">
        <v>0.36966310000000002</v>
      </c>
      <c r="Q2132">
        <v>0.1511856</v>
      </c>
      <c r="R2132">
        <v>-0.91678349999999997</v>
      </c>
      <c r="S2132">
        <v>1.6976009999999999</v>
      </c>
      <c r="T2132">
        <v>-0.12769</v>
      </c>
      <c r="U2132">
        <v>-2.6141359999999998</v>
      </c>
      <c r="V2132">
        <v>-0.2043741</v>
      </c>
      <c r="W2132">
        <v>0.16145799999999999</v>
      </c>
      <c r="X2132">
        <v>0.96548560000000005</v>
      </c>
      <c r="Y2132">
        <v>-0.38828879999999999</v>
      </c>
      <c r="Z2132">
        <v>2.9581420000000001E-2</v>
      </c>
      <c r="AA2132">
        <v>0.92106290000000002</v>
      </c>
      <c r="AB2132">
        <v>22</v>
      </c>
      <c r="AC2132">
        <v>13.7097999999999</v>
      </c>
      <c r="AD2132">
        <v>-1.03469426</v>
      </c>
      <c r="AE2132">
        <v>-20.9682</v>
      </c>
      <c r="AF2132">
        <v>-9.7918878125829192</v>
      </c>
      <c r="AG2132">
        <v>-1.03469426</v>
      </c>
      <c r="AH2132">
        <v>23.013197128860401</v>
      </c>
      <c r="AI2132">
        <v>92.369067726838793</v>
      </c>
      <c r="AJ2132">
        <v>113.04927294316001</v>
      </c>
      <c r="AK2132">
        <v>25.031158607577002</v>
      </c>
      <c r="AL2132">
        <v>80.708465655927597</v>
      </c>
      <c r="AM2132">
        <v>101.95194532025199</v>
      </c>
      <c r="AN2132">
        <v>0.99999995116108298</v>
      </c>
    </row>
    <row r="2133" spans="1:40" x14ac:dyDescent="0.25">
      <c r="A2133" t="str">
        <f>"20190304155406353"</f>
        <v>20190304155406353</v>
      </c>
      <c r="B2133" t="str">
        <f>"1551686046348722"</f>
        <v>1551686046348722</v>
      </c>
      <c r="C2133" t="s">
        <v>40</v>
      </c>
      <c r="D2133">
        <v>4.3032380000000003</v>
      </c>
      <c r="E2133">
        <v>0.41923070000000001</v>
      </c>
      <c r="F2133" t="s">
        <v>51</v>
      </c>
      <c r="G2133">
        <v>-477.99169999999998</v>
      </c>
      <c r="H2133">
        <v>7.9999719999999996E-2</v>
      </c>
      <c r="I2133">
        <v>207.85570000000001</v>
      </c>
      <c r="J2133">
        <v>-491.4452</v>
      </c>
      <c r="K2133">
        <v>1.114838</v>
      </c>
      <c r="L2133">
        <v>228.17349999999999</v>
      </c>
      <c r="M2133">
        <v>0.1825862</v>
      </c>
      <c r="N2133">
        <v>-1.285349E-2</v>
      </c>
      <c r="O2133">
        <v>-0.98310569999999997</v>
      </c>
      <c r="P2133">
        <v>0.37698100000000001</v>
      </c>
      <c r="Q2133">
        <v>0.14956910000000001</v>
      </c>
      <c r="R2133">
        <v>-0.91406480000000001</v>
      </c>
      <c r="S2133">
        <v>1.712372</v>
      </c>
      <c r="T2133">
        <v>-0.13126499999999999</v>
      </c>
      <c r="U2133">
        <v>-2.6035159999999999</v>
      </c>
      <c r="V2133">
        <v>-0.20547119999999999</v>
      </c>
      <c r="W2133">
        <v>0.15978299999999901</v>
      </c>
      <c r="X2133">
        <v>0.96553149999999999</v>
      </c>
      <c r="Y2133">
        <v>-0.38732660000000002</v>
      </c>
      <c r="Z2133">
        <v>3.0772620000000001E-2</v>
      </c>
      <c r="AA2133">
        <v>0.9214289</v>
      </c>
      <c r="AB2133">
        <v>22</v>
      </c>
      <c r="AC2133">
        <v>13.4535</v>
      </c>
      <c r="AD2133">
        <v>-1.03483828</v>
      </c>
      <c r="AE2133">
        <v>-20.317799999999899</v>
      </c>
      <c r="AF2133">
        <v>-9.5001173113496602</v>
      </c>
      <c r="AG2133">
        <v>-1.03483828</v>
      </c>
      <c r="AH2133">
        <v>22.392441348247502</v>
      </c>
      <c r="AI2133">
        <v>92.436083616337797</v>
      </c>
      <c r="AJ2133">
        <v>112.9893536874</v>
      </c>
      <c r="AK2133">
        <v>24.346345695604199</v>
      </c>
      <c r="AL2133">
        <v>80.805699462792802</v>
      </c>
      <c r="AM2133">
        <v>102.01369051181599</v>
      </c>
      <c r="AN2133">
        <v>1.00000004930534</v>
      </c>
    </row>
    <row r="2134" spans="1:40" x14ac:dyDescent="0.25">
      <c r="A2134" t="str">
        <f>"20190304155406380"</f>
        <v>20190304155406380</v>
      </c>
      <c r="B2134" t="str">
        <f>"1551686046378979"</f>
        <v>1551686046378979</v>
      </c>
      <c r="C2134" t="s">
        <v>40</v>
      </c>
      <c r="D2134">
        <v>4.3598660000000002</v>
      </c>
      <c r="E2134">
        <v>0.41967209999999999</v>
      </c>
      <c r="F2134" t="s">
        <v>51</v>
      </c>
      <c r="G2134">
        <v>-478.32350000000002</v>
      </c>
      <c r="H2134">
        <v>7.9999860000000006E-2</v>
      </c>
      <c r="I2134">
        <v>208.54390000000001</v>
      </c>
      <c r="J2134">
        <v>-491.38310000000001</v>
      </c>
      <c r="K2134">
        <v>1.1150340000000001</v>
      </c>
      <c r="L2134">
        <v>227.8989</v>
      </c>
      <c r="M2134">
        <v>0.1919913</v>
      </c>
      <c r="N2134">
        <v>-1.288573E-2</v>
      </c>
      <c r="O2134">
        <v>-0.98131219999999997</v>
      </c>
      <c r="P2134">
        <v>0.38647700000000001</v>
      </c>
      <c r="Q2134">
        <v>0.14845700000000001</v>
      </c>
      <c r="R2134">
        <v>-0.91027259999999999</v>
      </c>
      <c r="S2134">
        <v>1.73147599999999</v>
      </c>
      <c r="T2134">
        <v>-0.1365526</v>
      </c>
      <c r="U2134">
        <v>-2.5902400000000001</v>
      </c>
      <c r="V2134">
        <v>-0.20630760000000001</v>
      </c>
      <c r="W2134">
        <v>0.15859709999999999</v>
      </c>
      <c r="X2134">
        <v>0.96554859999999998</v>
      </c>
      <c r="Y2134">
        <v>-0.38534230000000003</v>
      </c>
      <c r="Z2134">
        <v>3.2516129999999997E-2</v>
      </c>
      <c r="AA2134">
        <v>0.92220069999999998</v>
      </c>
      <c r="AB2134">
        <v>22</v>
      </c>
      <c r="AC2134">
        <v>13.0595999999999</v>
      </c>
      <c r="AD2134">
        <v>-1.03503414</v>
      </c>
      <c r="AE2134">
        <v>-19.354999999999901</v>
      </c>
      <c r="AF2134">
        <v>-9.0824595484533699</v>
      </c>
      <c r="AG2134">
        <v>-1.03503414</v>
      </c>
      <c r="AH2134">
        <v>21.4602379617629</v>
      </c>
      <c r="AI2134">
        <v>92.543190507825699</v>
      </c>
      <c r="AJ2134">
        <v>112.939183724171</v>
      </c>
      <c r="AK2134">
        <v>23.3260408234176</v>
      </c>
      <c r="AL2134">
        <v>80.874523569255402</v>
      </c>
      <c r="AM2134">
        <v>102.060957417964</v>
      </c>
      <c r="AN2134">
        <v>0.99999998245406396</v>
      </c>
    </row>
    <row r="2135" spans="1:40" x14ac:dyDescent="0.25">
      <c r="A2135" t="str">
        <f>"20190304155406397"</f>
        <v>20190304155406397</v>
      </c>
      <c r="B2135" t="str">
        <f>"1551686046388739"</f>
        <v>1551686046388739</v>
      </c>
      <c r="C2135" t="s">
        <v>40</v>
      </c>
      <c r="D2135">
        <v>4.3169029999999999</v>
      </c>
      <c r="E2135">
        <v>0.4198923</v>
      </c>
      <c r="F2135" t="s">
        <v>51</v>
      </c>
      <c r="G2135">
        <v>-478.33940000000001</v>
      </c>
      <c r="H2135">
        <v>7.9999790000000001E-2</v>
      </c>
      <c r="I2135">
        <v>208.78700000000001</v>
      </c>
      <c r="J2135">
        <v>-491.3467</v>
      </c>
      <c r="K2135">
        <v>1.1151489999999999</v>
      </c>
      <c r="L2135">
        <v>227.7456</v>
      </c>
      <c r="M2135">
        <v>0.19746520000000001</v>
      </c>
      <c r="N2135">
        <v>-1.290651E-2</v>
      </c>
      <c r="O2135">
        <v>-0.98022500000000001</v>
      </c>
      <c r="P2135">
        <v>0.39214389999999999</v>
      </c>
      <c r="Q2135">
        <v>0.1480351</v>
      </c>
      <c r="R2135">
        <v>-0.90791460000000002</v>
      </c>
      <c r="S2135">
        <v>1.755981</v>
      </c>
      <c r="T2135">
        <v>-0.1393394</v>
      </c>
      <c r="U2135">
        <v>-2.5729060000000001</v>
      </c>
      <c r="V2135">
        <v>-0.2069637</v>
      </c>
      <c r="W2135">
        <v>0.15813099999999999</v>
      </c>
      <c r="X2135">
        <v>0.96548469999999997</v>
      </c>
      <c r="Y2135">
        <v>-0.3890516</v>
      </c>
      <c r="Z2135">
        <v>3.3468629999999999E-2</v>
      </c>
      <c r="AA2135">
        <v>0.92060770000000003</v>
      </c>
      <c r="AB2135">
        <v>22</v>
      </c>
      <c r="AC2135">
        <v>13.007299999999899</v>
      </c>
      <c r="AD2135">
        <v>-1.0351492099999999</v>
      </c>
      <c r="AE2135">
        <v>-18.958599999999901</v>
      </c>
      <c r="AF2135">
        <v>-8.9889455196829395</v>
      </c>
      <c r="AG2135">
        <v>-1.0351492099999999</v>
      </c>
      <c r="AH2135">
        <v>21.1111500515646</v>
      </c>
      <c r="AI2135">
        <v>92.583089955221695</v>
      </c>
      <c r="AJ2135">
        <v>113.063886322551</v>
      </c>
      <c r="AK2135">
        <v>22.968529163672301</v>
      </c>
      <c r="AL2135">
        <v>80.901571027023195</v>
      </c>
      <c r="AM2135">
        <v>102.098962564993</v>
      </c>
      <c r="AN2135">
        <v>1.00000004610638</v>
      </c>
    </row>
    <row r="2136" spans="1:40" x14ac:dyDescent="0.25">
      <c r="A2136" t="str">
        <f>"20190304155406420"</f>
        <v>20190304155406420</v>
      </c>
      <c r="B2136" t="str">
        <f>"1551686046408258"</f>
        <v>1551686046408258</v>
      </c>
      <c r="C2136" t="s">
        <v>40</v>
      </c>
      <c r="D2136">
        <v>4.3167090000000004</v>
      </c>
      <c r="E2136">
        <v>0.42516399999999999</v>
      </c>
      <c r="F2136" t="s">
        <v>51</v>
      </c>
      <c r="G2136">
        <v>-478.2713</v>
      </c>
      <c r="H2136">
        <v>7.9999790000000001E-2</v>
      </c>
      <c r="I2136">
        <v>208.82679999999999</v>
      </c>
      <c r="J2136">
        <v>-491.2928</v>
      </c>
      <c r="K2136">
        <v>1.1153150000000001</v>
      </c>
      <c r="L2136">
        <v>227.52510000000001</v>
      </c>
      <c r="M2136">
        <v>0.20555319999999999</v>
      </c>
      <c r="N2136">
        <v>-1.293799E-2</v>
      </c>
      <c r="O2136">
        <v>-0.9785606</v>
      </c>
      <c r="P2136">
        <v>0.40007949999999998</v>
      </c>
      <c r="Q2136">
        <v>0.1478844</v>
      </c>
      <c r="R2136">
        <v>-0.90447060000000001</v>
      </c>
      <c r="S2136">
        <v>1.7708740000000001</v>
      </c>
      <c r="T2136">
        <v>-0.14019570000000001</v>
      </c>
      <c r="U2136">
        <v>-2.562271</v>
      </c>
      <c r="V2136">
        <v>-0.20750669999999999</v>
      </c>
      <c r="W2136">
        <v>0.1579168</v>
      </c>
      <c r="X2136">
        <v>0.96540309999999996</v>
      </c>
      <c r="Y2136">
        <v>-0.38684619999999997</v>
      </c>
      <c r="Z2136">
        <v>3.3750530000000001E-2</v>
      </c>
      <c r="AA2136">
        <v>0.92152639999999997</v>
      </c>
      <c r="AB2136">
        <v>22</v>
      </c>
      <c r="AC2136">
        <v>13.0215</v>
      </c>
      <c r="AD2136">
        <v>-1.03531521</v>
      </c>
      <c r="AE2136">
        <v>-18.6983</v>
      </c>
      <c r="AF2136">
        <v>-8.8812391189818793</v>
      </c>
      <c r="AG2136">
        <v>-1.03531521</v>
      </c>
      <c r="AH2136">
        <v>20.9325665469627</v>
      </c>
      <c r="AI2136">
        <v>92.606931634132394</v>
      </c>
      <c r="AJ2136">
        <v>112.990471236676</v>
      </c>
      <c r="AK2136">
        <v>22.762263246777898</v>
      </c>
      <c r="AL2136">
        <v>80.913999029879093</v>
      </c>
      <c r="AM2136">
        <v>102.130762056447</v>
      </c>
      <c r="AN2136">
        <v>0.99999994587836805</v>
      </c>
    </row>
    <row r="2137" spans="1:40" x14ac:dyDescent="0.25">
      <c r="A2137" t="str">
        <f>"20190304155406444"</f>
        <v>20190304155406444</v>
      </c>
      <c r="B2137" t="str">
        <f>"1551686046439022"</f>
        <v>1551686046439022</v>
      </c>
      <c r="C2137" t="s">
        <v>40</v>
      </c>
      <c r="D2137">
        <v>4.3589659999999997</v>
      </c>
      <c r="E2137">
        <v>0.42581970000000002</v>
      </c>
      <c r="F2137" t="s">
        <v>51</v>
      </c>
      <c r="G2137">
        <v>-478.60840000000002</v>
      </c>
      <c r="H2137">
        <v>1.1755639999999999E-2</v>
      </c>
      <c r="I2137">
        <v>208.98679999999999</v>
      </c>
      <c r="J2137">
        <v>-491.23509999999999</v>
      </c>
      <c r="K2137">
        <v>1.1155010000000001</v>
      </c>
      <c r="L2137">
        <v>227.29929999999999</v>
      </c>
      <c r="M2137">
        <v>0.2141739</v>
      </c>
      <c r="N2137">
        <v>-1.297303E-2</v>
      </c>
      <c r="O2137">
        <v>-0.97670950000000001</v>
      </c>
      <c r="P2137">
        <v>0.40845409999999999</v>
      </c>
      <c r="Q2137">
        <v>0.1475166</v>
      </c>
      <c r="R2137">
        <v>-0.90078000000000003</v>
      </c>
      <c r="S2137">
        <v>1.755341</v>
      </c>
      <c r="T2137">
        <v>-0.15271589999999999</v>
      </c>
      <c r="U2137">
        <v>-2.5654140000000001</v>
      </c>
      <c r="V2137">
        <v>-0.208005</v>
      </c>
      <c r="W2137">
        <v>0.1574845</v>
      </c>
      <c r="X2137">
        <v>0.96536650000000002</v>
      </c>
      <c r="Y2137">
        <v>-0.37427379999999999</v>
      </c>
      <c r="Z2137">
        <v>3.785355E-2</v>
      </c>
      <c r="AA2137">
        <v>0.92654530000000002</v>
      </c>
      <c r="AB2137">
        <v>22</v>
      </c>
      <c r="AC2137">
        <v>12.6266999999999</v>
      </c>
      <c r="AD2137">
        <v>-1.10374536</v>
      </c>
      <c r="AE2137">
        <v>-18.3125</v>
      </c>
      <c r="AF2137">
        <v>-8.39060585817702</v>
      </c>
      <c r="AG2137">
        <v>-1.10374536</v>
      </c>
      <c r="AH2137">
        <v>20.541455745909801</v>
      </c>
      <c r="AI2137">
        <v>92.8477057898818</v>
      </c>
      <c r="AJ2137">
        <v>112.21863123038401</v>
      </c>
      <c r="AK2137">
        <v>22.216478673456901</v>
      </c>
      <c r="AL2137">
        <v>80.939082020698393</v>
      </c>
      <c r="AM2137">
        <v>102.15947398831401</v>
      </c>
      <c r="AN2137">
        <v>0.99999996354374898</v>
      </c>
    </row>
    <row r="2138" spans="1:40" x14ac:dyDescent="0.25">
      <c r="A2138" t="str">
        <f>"20190304155406466"</f>
        <v>20190304155406466</v>
      </c>
      <c r="B2138" t="str">
        <f>"1551686046458542"</f>
        <v>1551686046458542</v>
      </c>
      <c r="C2138" t="s">
        <v>40</v>
      </c>
      <c r="D2138">
        <v>4.3542420000000002</v>
      </c>
      <c r="E2138">
        <v>0.4289309</v>
      </c>
      <c r="F2138" t="s">
        <v>51</v>
      </c>
      <c r="G2138">
        <v>-478.52539999999999</v>
      </c>
      <c r="H2138">
        <v>1.10619E-2</v>
      </c>
      <c r="I2138">
        <v>209.03290000000001</v>
      </c>
      <c r="J2138">
        <v>-491.18060000000003</v>
      </c>
      <c r="K2138">
        <v>1.115667</v>
      </c>
      <c r="L2138">
        <v>227.09460000000001</v>
      </c>
      <c r="M2138">
        <v>0.22226219999999999</v>
      </c>
      <c r="N2138">
        <v>-1.3006169999999999E-2</v>
      </c>
      <c r="O2138">
        <v>-0.9749004</v>
      </c>
      <c r="P2138">
        <v>0.41628140000000002</v>
      </c>
      <c r="Q2138">
        <v>0.1470563</v>
      </c>
      <c r="R2138">
        <v>-0.89726530000000004</v>
      </c>
      <c r="S2138">
        <v>1.774902</v>
      </c>
      <c r="T2138">
        <v>-0.1542338</v>
      </c>
      <c r="U2138">
        <v>-2.550888</v>
      </c>
      <c r="V2138">
        <v>-0.20845050000000001</v>
      </c>
      <c r="W2138">
        <v>0.156968</v>
      </c>
      <c r="X2138">
        <v>0.96535459999999995</v>
      </c>
      <c r="Y2138">
        <v>-0.37383529999999998</v>
      </c>
      <c r="Z2138">
        <v>3.8360949999999998E-2</v>
      </c>
      <c r="AA2138">
        <v>0.92670149999999996</v>
      </c>
      <c r="AB2138">
        <v>22</v>
      </c>
      <c r="AC2138">
        <v>12.655200000000001</v>
      </c>
      <c r="AD2138">
        <v>-1.1046050999999999</v>
      </c>
      <c r="AE2138">
        <v>-18.061699999999998</v>
      </c>
      <c r="AF2138">
        <v>-8.3029993341788106</v>
      </c>
      <c r="AG2138">
        <v>-1.1046050999999999</v>
      </c>
      <c r="AH2138">
        <v>20.3717486559466</v>
      </c>
      <c r="AI2138">
        <v>92.874522837258496</v>
      </c>
      <c r="AJ2138">
        <v>112.174541876031</v>
      </c>
      <c r="AK2138">
        <v>22.026531585144799</v>
      </c>
      <c r="AL2138">
        <v>80.969048631091795</v>
      </c>
      <c r="AM2138">
        <v>102.184885221298</v>
      </c>
      <c r="AN2138">
        <v>1.0000000338577</v>
      </c>
    </row>
    <row r="2139" spans="1:40" x14ac:dyDescent="0.25">
      <c r="A2139" t="str">
        <f>"20190304155406490"</f>
        <v>20190304155406490</v>
      </c>
      <c r="B2139" t="str">
        <f>"1551686046479037"</f>
        <v>1551686046479037</v>
      </c>
      <c r="C2139" t="s">
        <v>40</v>
      </c>
      <c r="D2139">
        <v>4.3564860000000003</v>
      </c>
      <c r="E2139">
        <v>0.42980079999999998</v>
      </c>
      <c r="F2139" t="s">
        <v>51</v>
      </c>
      <c r="G2139">
        <v>-479.41019999999997</v>
      </c>
      <c r="H2139" s="1">
        <v>1.59256E-6</v>
      </c>
      <c r="I2139">
        <v>210.20490000000001</v>
      </c>
      <c r="J2139">
        <v>-491.11739999999998</v>
      </c>
      <c r="K2139">
        <v>1.115823</v>
      </c>
      <c r="L2139">
        <v>226.86670000000001</v>
      </c>
      <c r="M2139">
        <v>0.23153109999999999</v>
      </c>
      <c r="N2139">
        <v>-1.304224E-2</v>
      </c>
      <c r="O2139">
        <v>-0.9727401</v>
      </c>
      <c r="P2139">
        <v>0.42496679999999998</v>
      </c>
      <c r="Q2139">
        <v>0.1471684</v>
      </c>
      <c r="R2139">
        <v>-0.89316569999999995</v>
      </c>
      <c r="S2139">
        <v>1.775299</v>
      </c>
      <c r="T2139">
        <v>-0.16827339999999999</v>
      </c>
      <c r="U2139">
        <v>-2.5474399999999999</v>
      </c>
      <c r="V2139">
        <v>-0.20869509999999999</v>
      </c>
      <c r="W2139">
        <v>0.15703059999999999</v>
      </c>
      <c r="X2139">
        <v>0.96529160000000003</v>
      </c>
      <c r="Y2139">
        <v>-0.36556430000000001</v>
      </c>
      <c r="Z2139">
        <v>4.2918169999999999E-2</v>
      </c>
      <c r="AA2139">
        <v>0.92979610000000001</v>
      </c>
      <c r="AB2139">
        <v>22</v>
      </c>
      <c r="AC2139">
        <v>11.7072</v>
      </c>
      <c r="AD2139">
        <v>-1.1158214074399999</v>
      </c>
      <c r="AE2139">
        <v>-16.661799999999999</v>
      </c>
      <c r="AF2139">
        <v>-7.5084343113490197</v>
      </c>
      <c r="AG2139">
        <v>-1.1158214074399999</v>
      </c>
      <c r="AH2139">
        <v>18.863154045836399</v>
      </c>
      <c r="AI2139">
        <v>93.145786003111198</v>
      </c>
      <c r="AJ2139">
        <v>111.704912809411</v>
      </c>
      <c r="AK2139">
        <v>20.333229546191099</v>
      </c>
      <c r="AL2139">
        <v>80.965417147640693</v>
      </c>
      <c r="AM2139">
        <v>102.199527574276</v>
      </c>
      <c r="AN2139">
        <v>1.00000006356546</v>
      </c>
    </row>
    <row r="2140" spans="1:40" x14ac:dyDescent="0.25">
      <c r="A2140" t="str">
        <f>"20190304155406512"</f>
        <v>20190304155406512</v>
      </c>
      <c r="B2140" t="str">
        <f>"1551686046508318"</f>
        <v>1551686046508318</v>
      </c>
      <c r="C2140" t="s">
        <v>40</v>
      </c>
      <c r="D2140">
        <v>4.389608</v>
      </c>
      <c r="E2140">
        <v>0.43100690000000003</v>
      </c>
      <c r="F2140" t="s">
        <v>51</v>
      </c>
      <c r="G2140">
        <v>-479.12299999999999</v>
      </c>
      <c r="H2140" s="1">
        <v>1.7078819999999999E-6</v>
      </c>
      <c r="I2140">
        <v>209.929</v>
      </c>
      <c r="J2140">
        <v>-491.05779999999999</v>
      </c>
      <c r="K2140">
        <v>1.115953</v>
      </c>
      <c r="L2140">
        <v>226.65969999999999</v>
      </c>
      <c r="M2140">
        <v>0.2401923</v>
      </c>
      <c r="N2140">
        <v>-1.3073390000000001E-2</v>
      </c>
      <c r="O2140">
        <v>-0.97063730000000004</v>
      </c>
      <c r="P2140">
        <v>0.43292839999999999</v>
      </c>
      <c r="Q2140">
        <v>0.14699519999999999</v>
      </c>
      <c r="R2140">
        <v>-0.88936249999999994</v>
      </c>
      <c r="S2140">
        <v>1.79370099999999</v>
      </c>
      <c r="T2140">
        <v>-0.16686489999999901</v>
      </c>
      <c r="U2140">
        <v>-2.5329440000000001</v>
      </c>
      <c r="V2140">
        <v>-0.20875360000000001</v>
      </c>
      <c r="W2140">
        <v>0.1568234</v>
      </c>
      <c r="X2140">
        <v>0.96531259999999997</v>
      </c>
      <c r="Y2140">
        <v>-0.36428680000000002</v>
      </c>
      <c r="Z2140">
        <v>4.2465009999999997E-2</v>
      </c>
      <c r="AA2140">
        <v>0.93031810000000004</v>
      </c>
      <c r="AB2140">
        <v>22</v>
      </c>
      <c r="AC2140">
        <v>11.9347999999999</v>
      </c>
      <c r="AD2140">
        <v>-1.1159512921179999</v>
      </c>
      <c r="AE2140">
        <v>-16.730699999999899</v>
      </c>
      <c r="AF2140">
        <v>-7.5441787085842398</v>
      </c>
      <c r="AG2140">
        <v>-1.1159512921179999</v>
      </c>
      <c r="AH2140">
        <v>19.051546378622099</v>
      </c>
      <c r="AI2140">
        <v>93.117299282135704</v>
      </c>
      <c r="AJ2140">
        <v>111.602958281772</v>
      </c>
      <c r="AK2140">
        <v>20.521242630265402</v>
      </c>
      <c r="AL2140">
        <v>80.977437460110295</v>
      </c>
      <c r="AM2140">
        <v>102.202587285798</v>
      </c>
      <c r="AN2140">
        <v>1.0000000300096299</v>
      </c>
    </row>
    <row r="2141" spans="1:40" x14ac:dyDescent="0.25">
      <c r="A2141" t="str">
        <f>"20190304155406545"</f>
        <v>20190304155406545</v>
      </c>
      <c r="B2141" t="str">
        <f>"1551686046539083"</f>
        <v>1551686046539083</v>
      </c>
      <c r="C2141" t="s">
        <v>40</v>
      </c>
      <c r="D2141">
        <v>4.3886969999999996</v>
      </c>
      <c r="E2141">
        <v>0.4335832</v>
      </c>
      <c r="F2141" t="s">
        <v>51</v>
      </c>
      <c r="G2141">
        <v>-479.57240000000002</v>
      </c>
      <c r="H2141" s="1">
        <v>1.5393879999999999E-6</v>
      </c>
      <c r="I2141">
        <v>210.63290000000001</v>
      </c>
      <c r="J2141">
        <v>-490.96570000000003</v>
      </c>
      <c r="K2141">
        <v>1.116134</v>
      </c>
      <c r="L2141">
        <v>226.35409999999999</v>
      </c>
      <c r="M2141">
        <v>0.25339329999999999</v>
      </c>
      <c r="N2141">
        <v>-1.311961E-2</v>
      </c>
      <c r="O2141">
        <v>-0.96727439999999998</v>
      </c>
      <c r="P2141">
        <v>0.44521349999999998</v>
      </c>
      <c r="Q2141">
        <v>0.1464356</v>
      </c>
      <c r="R2141">
        <v>-0.88336959999999998</v>
      </c>
      <c r="S2141">
        <v>1.807617</v>
      </c>
      <c r="T2141">
        <v>-0.17563190000000001</v>
      </c>
      <c r="U2141">
        <v>-2.5223390000000001</v>
      </c>
      <c r="V2141">
        <v>-0.20901839999999999</v>
      </c>
      <c r="W2141">
        <v>0.15621679999999999</v>
      </c>
      <c r="X2141">
        <v>0.96535369999999998</v>
      </c>
      <c r="Y2141">
        <v>-0.3567553</v>
      </c>
      <c r="Z2141">
        <v>4.5245859999999999E-2</v>
      </c>
      <c r="AA2141">
        <v>0.93310150000000003</v>
      </c>
      <c r="AB2141">
        <v>22</v>
      </c>
      <c r="AC2141">
        <v>11.3933</v>
      </c>
      <c r="AD2141">
        <v>-1.116132460612</v>
      </c>
      <c r="AE2141">
        <v>-15.7211999999999</v>
      </c>
      <c r="AF2141">
        <v>-7.0142262390292203</v>
      </c>
      <c r="AG2141">
        <v>-1.116132460612</v>
      </c>
      <c r="AH2141">
        <v>18.035654620112599</v>
      </c>
      <c r="AI2141">
        <v>93.300963625114903</v>
      </c>
      <c r="AJ2141">
        <v>111.251500439591</v>
      </c>
      <c r="AK2141">
        <v>19.383755027803801</v>
      </c>
      <c r="AL2141">
        <v>81.012627186693507</v>
      </c>
      <c r="AM2141">
        <v>102.217096811161</v>
      </c>
      <c r="AN2141">
        <v>1.00000007312224</v>
      </c>
    </row>
    <row r="2142" spans="1:40" x14ac:dyDescent="0.25">
      <c r="A2142" t="str">
        <f>"20190304155406568"</f>
        <v>20190304155406568</v>
      </c>
      <c r="B2142" t="str">
        <f>"1551686046558602"</f>
        <v>1551686046558602</v>
      </c>
      <c r="C2142" t="s">
        <v>40</v>
      </c>
      <c r="D2142">
        <v>4.3722899999999996</v>
      </c>
      <c r="E2142">
        <v>0.43403629999999999</v>
      </c>
      <c r="F2142" t="s">
        <v>51</v>
      </c>
      <c r="G2142">
        <v>-480.24200000000002</v>
      </c>
      <c r="H2142" s="1">
        <v>1.460766E-6</v>
      </c>
      <c r="I2142">
        <v>211.5909</v>
      </c>
      <c r="J2142">
        <v>-490.89679999999998</v>
      </c>
      <c r="K2142">
        <v>1.116258</v>
      </c>
      <c r="L2142">
        <v>226.13640000000001</v>
      </c>
      <c r="M2142">
        <v>0.26310929999999999</v>
      </c>
      <c r="N2142">
        <v>-1.31553E-2</v>
      </c>
      <c r="O2142">
        <v>-0.9646766</v>
      </c>
      <c r="P2142">
        <v>0.4546384</v>
      </c>
      <c r="Q2142">
        <v>0.14575109999999999</v>
      </c>
      <c r="R2142">
        <v>-0.87866999999999995</v>
      </c>
      <c r="S2142">
        <v>1.822479</v>
      </c>
      <c r="T2142">
        <v>-0.18968589999999999</v>
      </c>
      <c r="U2142">
        <v>-2.5090029999999999</v>
      </c>
      <c r="V2142">
        <v>-0.209646</v>
      </c>
      <c r="W2142">
        <v>0.15549470000000001</v>
      </c>
      <c r="X2142">
        <v>0.96533409999999997</v>
      </c>
      <c r="Y2142">
        <v>-0.3531919</v>
      </c>
      <c r="Z2142">
        <v>4.9798740000000001E-2</v>
      </c>
      <c r="AA2142">
        <v>0.93422459999999996</v>
      </c>
      <c r="AB2142">
        <v>22</v>
      </c>
      <c r="AC2142">
        <v>10.6548</v>
      </c>
      <c r="AD2142">
        <v>-1.116256539234</v>
      </c>
      <c r="AE2142">
        <v>-14.545500000000001</v>
      </c>
      <c r="AF2142">
        <v>-6.4273020391127096</v>
      </c>
      <c r="AG2142">
        <v>-1.116256539234</v>
      </c>
      <c r="AH2142">
        <v>16.7722484755488</v>
      </c>
      <c r="AI2142">
        <v>93.556180628608502</v>
      </c>
      <c r="AJ2142">
        <v>110.967357949385</v>
      </c>
      <c r="AK2142">
        <v>17.996237359206901</v>
      </c>
      <c r="AL2142">
        <v>81.054511523210394</v>
      </c>
      <c r="AM2142">
        <v>102.252914584143</v>
      </c>
      <c r="AN2142">
        <v>0.99999998583344996</v>
      </c>
    </row>
    <row r="2143" spans="1:40" x14ac:dyDescent="0.25">
      <c r="A2143" t="str">
        <f>"20190304155406588"</f>
        <v>20190304155406588</v>
      </c>
      <c r="B2143" t="str">
        <f>"1551686046579099"</f>
        <v>1551686046579099</v>
      </c>
      <c r="C2143" t="s">
        <v>40</v>
      </c>
      <c r="D2143">
        <v>4.3872790000000004</v>
      </c>
      <c r="E2143">
        <v>0.43400050000000001</v>
      </c>
      <c r="F2143" t="s">
        <v>51</v>
      </c>
      <c r="G2143">
        <v>-480.34930000000003</v>
      </c>
      <c r="H2143" s="1">
        <v>1.4933609999999999E-6</v>
      </c>
      <c r="I2143">
        <v>211.90119999999999</v>
      </c>
      <c r="J2143">
        <v>-490.8329</v>
      </c>
      <c r="K2143">
        <v>1.11635</v>
      </c>
      <c r="L2143">
        <v>225.94200000000001</v>
      </c>
      <c r="M2143">
        <v>0.27195350000000001</v>
      </c>
      <c r="N2143">
        <v>-1.318658E-2</v>
      </c>
      <c r="O2143">
        <v>-0.96221999999999996</v>
      </c>
      <c r="P2143">
        <v>0.46336660000000002</v>
      </c>
      <c r="Q2143">
        <v>0.14436370000000001</v>
      </c>
      <c r="R2143">
        <v>-0.87432860000000001</v>
      </c>
      <c r="S2143">
        <v>1.846039</v>
      </c>
      <c r="T2143">
        <v>-0.19536970000000001</v>
      </c>
      <c r="U2143">
        <v>-2.4914700000000001</v>
      </c>
      <c r="V2143">
        <v>-0.2103565</v>
      </c>
      <c r="W2143">
        <v>0.1540762</v>
      </c>
      <c r="X2143">
        <v>0.96540700000000002</v>
      </c>
      <c r="Y2143">
        <v>-0.35339159999999997</v>
      </c>
      <c r="Z2143">
        <v>5.1624910000000003E-2</v>
      </c>
      <c r="AA2143">
        <v>0.93404989999999999</v>
      </c>
      <c r="AB2143">
        <v>22</v>
      </c>
      <c r="AC2143">
        <v>10.4835999999999</v>
      </c>
      <c r="AD2143">
        <v>-1.116348506639</v>
      </c>
      <c r="AE2143">
        <v>-14.040800000000001</v>
      </c>
      <c r="AF2143">
        <v>-6.24428636537389</v>
      </c>
      <c r="AG2143">
        <v>-1.116348506639</v>
      </c>
      <c r="AH2143">
        <v>16.2966697856764</v>
      </c>
      <c r="AI2143">
        <v>93.660039303104398</v>
      </c>
      <c r="AJ2143">
        <v>110.96500071101499</v>
      </c>
      <c r="AK2143">
        <v>17.487675440276401</v>
      </c>
      <c r="AL2143">
        <v>81.1367772133286</v>
      </c>
      <c r="AM2143">
        <v>102.292279521414</v>
      </c>
      <c r="AN2143">
        <v>1.0000000040738399</v>
      </c>
    </row>
    <row r="2144" spans="1:40" x14ac:dyDescent="0.25">
      <c r="A2144" t="str">
        <f>"20190304155406612"</f>
        <v>20190304155406612</v>
      </c>
      <c r="B2144" t="str">
        <f>"1551686046608379"</f>
        <v>1551686046608379</v>
      </c>
      <c r="C2144" t="s">
        <v>40</v>
      </c>
      <c r="D2144">
        <v>4.6014809999999997</v>
      </c>
      <c r="E2144">
        <v>0.43606810000000001</v>
      </c>
      <c r="F2144" t="s">
        <v>51</v>
      </c>
      <c r="G2144">
        <v>-480.3784</v>
      </c>
      <c r="H2144" s="1">
        <v>1.508446E-6</v>
      </c>
      <c r="I2144">
        <v>212.12819999999999</v>
      </c>
      <c r="J2144">
        <v>-490.76280000000003</v>
      </c>
      <c r="K2144">
        <v>1.1164510000000001</v>
      </c>
      <c r="L2144">
        <v>225.73580000000001</v>
      </c>
      <c r="M2144">
        <v>0.28152470000000002</v>
      </c>
      <c r="N2144">
        <v>-1.3217929999999999E-2</v>
      </c>
      <c r="O2144">
        <v>-0.95946319999999996</v>
      </c>
      <c r="P2144">
        <v>0.47283570000000003</v>
      </c>
      <c r="Q2144">
        <v>0.14295620000000001</v>
      </c>
      <c r="R2144">
        <v>-0.86947719999999995</v>
      </c>
      <c r="S2144">
        <v>1.871216</v>
      </c>
      <c r="T2144">
        <v>-0.19981099999999999</v>
      </c>
      <c r="U2144">
        <v>-2.4724879999999998</v>
      </c>
      <c r="V2144">
        <v>-0.2111809</v>
      </c>
      <c r="W2144">
        <v>0.15263350000000001</v>
      </c>
      <c r="X2144">
        <v>0.96545619999999999</v>
      </c>
      <c r="Y2144">
        <v>-0.35352359999999999</v>
      </c>
      <c r="Z2144">
        <v>5.3037199999999902E-2</v>
      </c>
      <c r="AA2144">
        <v>0.93392090000000005</v>
      </c>
      <c r="AB2144">
        <v>22</v>
      </c>
      <c r="AC2144">
        <v>10.384399999999999</v>
      </c>
      <c r="AD2144">
        <v>-1.116449491554</v>
      </c>
      <c r="AE2144">
        <v>-13.6076</v>
      </c>
      <c r="AF2144">
        <v>-6.1071281188766697</v>
      </c>
      <c r="AG2144">
        <v>-1.116449491554</v>
      </c>
      <c r="AH2144">
        <v>15.913152617516999</v>
      </c>
      <c r="AI2144">
        <v>93.747569423709095</v>
      </c>
      <c r="AJ2144">
        <v>110.995735624799</v>
      </c>
      <c r="AK2144">
        <v>17.0813319022831</v>
      </c>
      <c r="AL2144">
        <v>81.220427429057594</v>
      </c>
      <c r="AM2144">
        <v>102.338371188705</v>
      </c>
      <c r="AN2144">
        <v>1.00000001598274</v>
      </c>
    </row>
    <row r="2145" spans="1:40" x14ac:dyDescent="0.25">
      <c r="A2145" t="str">
        <f>"20190304155406632"</f>
        <v>20190304155406632</v>
      </c>
      <c r="B2145" t="str">
        <f>"1551686046628875"</f>
        <v>1551686046628875</v>
      </c>
      <c r="C2145" t="s">
        <v>40</v>
      </c>
      <c r="D2145">
        <v>4.4230710000000002</v>
      </c>
      <c r="E2145">
        <v>0.438558</v>
      </c>
      <c r="F2145" t="s">
        <v>51</v>
      </c>
      <c r="G2145">
        <v>-482.08319999999998</v>
      </c>
      <c r="H2145" s="1">
        <v>1.9090339999999999E-6</v>
      </c>
      <c r="I2145">
        <v>214.37450000000001</v>
      </c>
      <c r="J2145">
        <v>-490.69540000000001</v>
      </c>
      <c r="K2145">
        <v>1.1165430000000001</v>
      </c>
      <c r="L2145">
        <v>225.5438</v>
      </c>
      <c r="M2145">
        <v>0.29061140000000002</v>
      </c>
      <c r="N2145">
        <v>-1.32468E-2</v>
      </c>
      <c r="O2145">
        <v>-0.95674970000000004</v>
      </c>
      <c r="P2145">
        <v>0.48219030000000002</v>
      </c>
      <c r="Q2145">
        <v>0.14183860000000001</v>
      </c>
      <c r="R2145">
        <v>-0.86450839999999995</v>
      </c>
      <c r="S2145">
        <v>1.8837889999999999</v>
      </c>
      <c r="T2145">
        <v>-0.24230840000000001</v>
      </c>
      <c r="U2145">
        <v>-2.4657900000000001</v>
      </c>
      <c r="V2145">
        <v>-0.21241189999999999</v>
      </c>
      <c r="W2145">
        <v>0.15147360000000001</v>
      </c>
      <c r="X2145">
        <v>0.96536880000000003</v>
      </c>
      <c r="Y2145">
        <v>-0.34834809999999999</v>
      </c>
      <c r="Z2145">
        <v>6.6622559999999997E-2</v>
      </c>
      <c r="AA2145">
        <v>0.93499469999999996</v>
      </c>
      <c r="AB2145">
        <v>22</v>
      </c>
      <c r="AC2145">
        <v>8.6122000000000298</v>
      </c>
      <c r="AD2145">
        <v>-1.1165410909660001</v>
      </c>
      <c r="AE2145">
        <v>-11.1692999999999</v>
      </c>
      <c r="AF2145">
        <v>-4.9631267205772698</v>
      </c>
      <c r="AG2145">
        <v>-1.1165410909660001</v>
      </c>
      <c r="AH2145">
        <v>13.1080334486929</v>
      </c>
      <c r="AI2145">
        <v>94.554615127894493</v>
      </c>
      <c r="AJ2145">
        <v>110.738291506425</v>
      </c>
      <c r="AK2145">
        <v>14.0605772194592</v>
      </c>
      <c r="AL2145">
        <v>81.287666448672795</v>
      </c>
      <c r="AM2145">
        <v>102.409160102713</v>
      </c>
      <c r="AN2145">
        <v>0.99999999338600498</v>
      </c>
    </row>
    <row r="2146" spans="1:40" x14ac:dyDescent="0.25">
      <c r="A2146" t="str">
        <f>"20190304155406656"</f>
        <v>20190304155406656</v>
      </c>
      <c r="B2146" t="str">
        <f>"1551686046648395"</f>
        <v>1551686046648395</v>
      </c>
      <c r="C2146" t="s">
        <v>40</v>
      </c>
      <c r="D2146">
        <v>4.449281</v>
      </c>
      <c r="E2146">
        <v>0.39821430000000002</v>
      </c>
      <c r="F2146" t="s">
        <v>51</v>
      </c>
      <c r="G2146">
        <v>-481.18259999999998</v>
      </c>
      <c r="H2146" s="1">
        <v>1.6988900000000001E-6</v>
      </c>
      <c r="I2146">
        <v>213.2216</v>
      </c>
      <c r="J2146">
        <v>-490.61799999999999</v>
      </c>
      <c r="K2146">
        <v>1.1166419999999999</v>
      </c>
      <c r="L2146">
        <v>225.3314</v>
      </c>
      <c r="M2146">
        <v>0.30086980000000002</v>
      </c>
      <c r="N2146">
        <v>-1.328008E-2</v>
      </c>
      <c r="O2146">
        <v>-0.95357289999999995</v>
      </c>
      <c r="P2146">
        <v>0.49280259999999998</v>
      </c>
      <c r="Q2146">
        <v>0.1407225</v>
      </c>
      <c r="R2146">
        <v>-0.85868699999999998</v>
      </c>
      <c r="S2146">
        <v>1.8923030000000001</v>
      </c>
      <c r="T2146">
        <v>-0.2221051</v>
      </c>
      <c r="U2146">
        <v>-2.4511720000000001</v>
      </c>
      <c r="V2146">
        <v>-0.21390609999999999</v>
      </c>
      <c r="W2146">
        <v>0.15030979999999999</v>
      </c>
      <c r="X2146">
        <v>0.96522070000000004</v>
      </c>
      <c r="Y2146">
        <v>-0.343275</v>
      </c>
      <c r="Z2146">
        <v>6.011727E-2</v>
      </c>
      <c r="AA2146">
        <v>0.93730899999999995</v>
      </c>
      <c r="AB2146">
        <v>22</v>
      </c>
      <c r="AC2146">
        <v>9.4354000000000706</v>
      </c>
      <c r="AD2146">
        <v>-1.1166403011099999</v>
      </c>
      <c r="AE2146">
        <v>-12.1098</v>
      </c>
      <c r="AF2146">
        <v>-5.3261608428243798</v>
      </c>
      <c r="AG2146">
        <v>-1.1166403011099999</v>
      </c>
      <c r="AH2146">
        <v>14.311950280485201</v>
      </c>
      <c r="AI2146">
        <v>94.182148911828506</v>
      </c>
      <c r="AJ2146">
        <v>110.412639687621</v>
      </c>
      <c r="AK2146">
        <v>15.311655551140699</v>
      </c>
      <c r="AL2146">
        <v>81.355119027187499</v>
      </c>
      <c r="AM2146">
        <v>102.495576683316</v>
      </c>
      <c r="AN2146">
        <v>0.99999992765086698</v>
      </c>
    </row>
    <row r="2147" spans="1:40" x14ac:dyDescent="0.25">
      <c r="A2147" t="str">
        <f>"20190304155406677"</f>
        <v>20190304155406677</v>
      </c>
      <c r="B2147" t="str">
        <f>"1551686046668891"</f>
        <v>1551686046668891</v>
      </c>
      <c r="C2147" t="s">
        <v>40</v>
      </c>
      <c r="D2147">
        <v>4.3155109999999999</v>
      </c>
      <c r="E2147">
        <v>0.40535769999999999</v>
      </c>
      <c r="F2147" t="s">
        <v>69</v>
      </c>
      <c r="G2147">
        <v>-463.23660000000001</v>
      </c>
      <c r="H2147">
        <v>0.1831999</v>
      </c>
      <c r="I2147">
        <v>197.345</v>
      </c>
      <c r="J2147">
        <v>-490.54539999999997</v>
      </c>
      <c r="K2147">
        <v>1.116736</v>
      </c>
      <c r="L2147">
        <v>225.1387</v>
      </c>
      <c r="M2147">
        <v>0.31035469999999998</v>
      </c>
      <c r="N2147">
        <v>-1.331126E-2</v>
      </c>
      <c r="O2147">
        <v>-0.95052780000000003</v>
      </c>
      <c r="P2147">
        <v>0.50342799999999999</v>
      </c>
      <c r="Q2147">
        <v>0.13899329999999999</v>
      </c>
      <c r="R2147">
        <v>-0.85278449999999995</v>
      </c>
      <c r="S2147">
        <v>2.1967159999999999</v>
      </c>
      <c r="T2147">
        <v>-7.4883340000000007E-2</v>
      </c>
      <c r="U2147">
        <v>-2.2452390000000002</v>
      </c>
      <c r="V2147">
        <v>-0.2162019</v>
      </c>
      <c r="W2147">
        <v>0.14852099999999999</v>
      </c>
      <c r="X2147">
        <v>0.96498609999999896</v>
      </c>
      <c r="Y2147">
        <v>-0.44279209999999902</v>
      </c>
      <c r="Z2147">
        <v>1.2695909999999999E-2</v>
      </c>
      <c r="AA2147">
        <v>0.89653439999999995</v>
      </c>
      <c r="AB2147">
        <v>22</v>
      </c>
      <c r="AC2147">
        <v>27.308799999999898</v>
      </c>
      <c r="AD2147">
        <v>-0.93353609999999898</v>
      </c>
      <c r="AE2147">
        <v>-27.793700000000001</v>
      </c>
      <c r="AF2147">
        <v>-17.3234572753226</v>
      </c>
      <c r="AG2147">
        <v>-0.93353609999999898</v>
      </c>
      <c r="AH2147">
        <v>34.877165386993099</v>
      </c>
      <c r="AI2147">
        <v>91.3732407240078</v>
      </c>
      <c r="AJ2147">
        <v>116.413550195006</v>
      </c>
      <c r="AK2147">
        <v>38.953694652132803</v>
      </c>
      <c r="AL2147">
        <v>81.458773597688307</v>
      </c>
      <c r="AM2147">
        <v>102.6283818269</v>
      </c>
      <c r="AN2147">
        <v>0.99999996109890898</v>
      </c>
    </row>
    <row r="2148" spans="1:40" x14ac:dyDescent="0.25">
      <c r="A2148" t="str">
        <f>"20190304155406703"</f>
        <v>20190304155406703</v>
      </c>
      <c r="B2148" t="str">
        <f>"1551686046699148"</f>
        <v>1551686046699148</v>
      </c>
      <c r="C2148" t="s">
        <v>40</v>
      </c>
      <c r="D2148">
        <v>4.237101</v>
      </c>
      <c r="E2148">
        <v>0.4035821</v>
      </c>
      <c r="F2148" t="s">
        <v>51</v>
      </c>
      <c r="G2148">
        <v>-474.23509999999999</v>
      </c>
      <c r="H2148">
        <v>7.9999719999999996E-2</v>
      </c>
      <c r="I2148">
        <v>208.24600000000001</v>
      </c>
      <c r="J2148">
        <v>-490.45699999999999</v>
      </c>
      <c r="K2148">
        <v>1.1168439999999999</v>
      </c>
      <c r="L2148">
        <v>224.91200000000001</v>
      </c>
      <c r="M2148">
        <v>0.32171919999999998</v>
      </c>
      <c r="N2148">
        <v>-1.3352599999999999E-2</v>
      </c>
      <c r="O2148">
        <v>-0.94674100000000005</v>
      </c>
      <c r="P2148">
        <v>0.51548870000000002</v>
      </c>
      <c r="Q2148">
        <v>0.1371242</v>
      </c>
      <c r="R2148">
        <v>-0.84585390000000005</v>
      </c>
      <c r="S2148">
        <v>2.1773380000000002</v>
      </c>
      <c r="T2148">
        <v>-0.13839860000000001</v>
      </c>
      <c r="U2148">
        <v>-2.2550810000000001</v>
      </c>
      <c r="V2148">
        <v>-0.2182636</v>
      </c>
      <c r="W2148">
        <v>0.1465987</v>
      </c>
      <c r="X2148">
        <v>0.96481600000000001</v>
      </c>
      <c r="Y2148">
        <v>-0.42566159999999997</v>
      </c>
      <c r="Z2148">
        <v>3.3263309999999997E-2</v>
      </c>
      <c r="AA2148">
        <v>0.90427080000000004</v>
      </c>
      <c r="AB2148">
        <v>22</v>
      </c>
      <c r="AC2148">
        <v>16.221900000000002</v>
      </c>
      <c r="AD2148">
        <v>-1.03684428</v>
      </c>
      <c r="AE2148">
        <v>-16.666</v>
      </c>
      <c r="AF2148">
        <v>-9.9772269262108892</v>
      </c>
      <c r="AG2148">
        <v>-1.03684428</v>
      </c>
      <c r="AH2148">
        <v>20.957500789602602</v>
      </c>
      <c r="AI2148">
        <v>92.557697138575094</v>
      </c>
      <c r="AJ2148">
        <v>115.457694605059</v>
      </c>
      <c r="AK2148">
        <v>23.234391374517902</v>
      </c>
      <c r="AL2148">
        <v>81.570133047232105</v>
      </c>
      <c r="AM2148">
        <v>102.74706393527499</v>
      </c>
      <c r="AN2148">
        <v>1.0000000458913201</v>
      </c>
    </row>
    <row r="2149" spans="1:40" x14ac:dyDescent="0.25">
      <c r="A2149" t="str">
        <f>"20190304155406726"</f>
        <v>20190304155406726</v>
      </c>
      <c r="B2149" t="str">
        <f>"1551686046719174"</f>
        <v>1551686046719174</v>
      </c>
      <c r="C2149" t="s">
        <v>40</v>
      </c>
      <c r="D2149">
        <v>4.2860060000000004</v>
      </c>
      <c r="E2149">
        <v>0.4041767</v>
      </c>
      <c r="F2149" t="s">
        <v>48</v>
      </c>
      <c r="G2149">
        <v>-489.73860000000002</v>
      </c>
      <c r="H2149">
        <v>1.0706690000000001</v>
      </c>
      <c r="I2149">
        <v>224.19499999999999</v>
      </c>
      <c r="J2149">
        <v>-490.37110000000001</v>
      </c>
      <c r="K2149">
        <v>1.1169370000000001</v>
      </c>
      <c r="L2149">
        <v>224.7004</v>
      </c>
      <c r="M2149">
        <v>0.3325613</v>
      </c>
      <c r="N2149">
        <v>-1.3397070000000001E-2</v>
      </c>
      <c r="O2149">
        <v>-0.94298649999999995</v>
      </c>
      <c r="P2149">
        <v>0.52644000000000002</v>
      </c>
      <c r="Q2149">
        <v>0.13631219999999999</v>
      </c>
      <c r="R2149">
        <v>-0.83921380000000001</v>
      </c>
      <c r="S2149">
        <v>2.22113</v>
      </c>
      <c r="T2149">
        <v>-0.1427059</v>
      </c>
      <c r="U2149">
        <v>-2.2162630000000001</v>
      </c>
      <c r="V2149">
        <v>-0.21971550000000001</v>
      </c>
      <c r="W2149">
        <v>0.14575189999999999</v>
      </c>
      <c r="X2149">
        <v>0.96461470000000005</v>
      </c>
      <c r="Y2149">
        <v>-0.4320792</v>
      </c>
      <c r="Z2149">
        <v>3.467174E-2</v>
      </c>
      <c r="AA2149">
        <v>0.90116890000000005</v>
      </c>
      <c r="AB2149">
        <v>22</v>
      </c>
      <c r="AC2149">
        <v>0.63249999999999296</v>
      </c>
      <c r="AD2149">
        <v>-4.6267999999999899E-2</v>
      </c>
      <c r="AE2149">
        <v>-0.50540000000000795</v>
      </c>
      <c r="AF2149">
        <v>-0.42700637283645998</v>
      </c>
      <c r="AG2149">
        <v>-4.6267999999999899E-2</v>
      </c>
      <c r="AH2149">
        <v>0.68475571917516997</v>
      </c>
      <c r="AI2149">
        <v>93.281426508194698</v>
      </c>
      <c r="AJ2149">
        <v>121.94722545752001</v>
      </c>
      <c r="AK2149">
        <v>0.80831031492246497</v>
      </c>
      <c r="AL2149">
        <v>81.619177685878</v>
      </c>
      <c r="AM2149">
        <v>102.831649574176</v>
      </c>
      <c r="AN2149">
        <v>1.00000001837497</v>
      </c>
    </row>
    <row r="2150" spans="1:40" x14ac:dyDescent="0.25">
      <c r="A2150" t="str">
        <f>"20190304155406746"</f>
        <v>20190304155406746</v>
      </c>
      <c r="B2150" t="str">
        <f>"1551686046738695"</f>
        <v>1551686046738695</v>
      </c>
      <c r="C2150" t="s">
        <v>40</v>
      </c>
      <c r="D2150">
        <v>4.2903710000000004</v>
      </c>
      <c r="E2150">
        <v>0.40450160000000002</v>
      </c>
      <c r="F2150" t="s">
        <v>48</v>
      </c>
      <c r="G2150">
        <v>-489.6678</v>
      </c>
      <c r="H2150">
        <v>1.0700320000000001</v>
      </c>
      <c r="I2150">
        <v>224.0147</v>
      </c>
      <c r="J2150">
        <v>-490.2978</v>
      </c>
      <c r="K2150">
        <v>1.117011</v>
      </c>
      <c r="L2150">
        <v>224.52529999999999</v>
      </c>
      <c r="M2150">
        <v>0.34165810000000002</v>
      </c>
      <c r="N2150">
        <v>-1.3433290000000001E-2</v>
      </c>
      <c r="O2150">
        <v>-0.93972869999999997</v>
      </c>
      <c r="P2150">
        <v>0.53585209999999905</v>
      </c>
      <c r="Q2150">
        <v>0.13573270000000001</v>
      </c>
      <c r="R2150">
        <v>-0.83333069999999898</v>
      </c>
      <c r="S2150">
        <v>2.246216</v>
      </c>
      <c r="T2150">
        <v>-0.14978720000000001</v>
      </c>
      <c r="U2150">
        <v>-2.1900789999999999</v>
      </c>
      <c r="V2150">
        <v>-0.2212375</v>
      </c>
      <c r="W2150">
        <v>0.14514150000000001</v>
      </c>
      <c r="X2150">
        <v>0.96435879999999996</v>
      </c>
      <c r="Y2150">
        <v>-0.43371130000000002</v>
      </c>
      <c r="Z2150">
        <v>3.6976450000000001E-2</v>
      </c>
      <c r="AA2150">
        <v>0.90029289999999995</v>
      </c>
      <c r="AB2150">
        <v>22</v>
      </c>
      <c r="AC2150">
        <v>0.62999999999999501</v>
      </c>
      <c r="AD2150">
        <v>-4.6979000000000097E-2</v>
      </c>
      <c r="AE2150">
        <v>-0.51059999999998196</v>
      </c>
      <c r="AF2150">
        <v>-0.41621910082584901</v>
      </c>
      <c r="AG2150">
        <v>-4.6979000000000097E-2</v>
      </c>
      <c r="AH2150">
        <v>0.69280739700629501</v>
      </c>
      <c r="AI2150">
        <v>93.326657738254994</v>
      </c>
      <c r="AJ2150">
        <v>120.996258012705</v>
      </c>
      <c r="AK2150">
        <v>0.809584742741559</v>
      </c>
      <c r="AL2150">
        <v>81.654526698446702</v>
      </c>
      <c r="AM2150">
        <v>102.92087709959399</v>
      </c>
      <c r="AN2150">
        <v>0.99999999078296997</v>
      </c>
    </row>
    <row r="2151" spans="1:40" x14ac:dyDescent="0.25">
      <c r="A2151" t="str">
        <f>"20190304155406767"</f>
        <v>20190304155406767</v>
      </c>
      <c r="B2151" t="str">
        <f>"1551686046759191"</f>
        <v>1551686046759191</v>
      </c>
      <c r="C2151" t="s">
        <v>40</v>
      </c>
      <c r="D2151">
        <v>4.3038499999999997</v>
      </c>
      <c r="E2151">
        <v>0.40509970000000001</v>
      </c>
      <c r="F2151" t="s">
        <v>48</v>
      </c>
      <c r="G2151">
        <v>-489.58640000000003</v>
      </c>
      <c r="H2151">
        <v>1.0683560000000001</v>
      </c>
      <c r="I2151">
        <v>223.84559999999999</v>
      </c>
      <c r="J2151">
        <v>-490.21300000000002</v>
      </c>
      <c r="K2151">
        <v>1.117084</v>
      </c>
      <c r="L2151">
        <v>224.32929999999999</v>
      </c>
      <c r="M2151">
        <v>0.3519909</v>
      </c>
      <c r="N2151">
        <v>-1.3471210000000001E-2</v>
      </c>
      <c r="O2151">
        <v>-0.93590660000000003</v>
      </c>
      <c r="P2151">
        <v>0.5465411</v>
      </c>
      <c r="Q2151">
        <v>0.1356001</v>
      </c>
      <c r="R2151">
        <v>-0.82638099999999903</v>
      </c>
      <c r="S2151">
        <v>2.2686160000000002</v>
      </c>
      <c r="T2151">
        <v>-0.15506320000000001</v>
      </c>
      <c r="U2151">
        <v>-2.1664889999999999</v>
      </c>
      <c r="V2151">
        <v>-0.22305320000000001</v>
      </c>
      <c r="W2151">
        <v>0.14497160000000001</v>
      </c>
      <c r="X2151">
        <v>0.96396599999999999</v>
      </c>
      <c r="Y2151">
        <v>-0.43306850000000002</v>
      </c>
      <c r="Z2151">
        <v>3.8657820000000002E-2</v>
      </c>
      <c r="AA2151">
        <v>0.90053159999999899</v>
      </c>
      <c r="AB2151">
        <v>22</v>
      </c>
      <c r="AC2151">
        <v>0.62659999999999605</v>
      </c>
      <c r="AD2151">
        <v>-4.8728000000000098E-2</v>
      </c>
      <c r="AE2151">
        <v>-0.48369999999999802</v>
      </c>
      <c r="AF2151">
        <v>-0.41464752818693701</v>
      </c>
      <c r="AG2151">
        <v>-4.8728000000000098E-2</v>
      </c>
      <c r="AH2151">
        <v>0.67077470031441899</v>
      </c>
      <c r="AI2151">
        <v>93.535893256003604</v>
      </c>
      <c r="AJ2151">
        <v>121.722787454662</v>
      </c>
      <c r="AK2151">
        <v>0.79009220297218197</v>
      </c>
      <c r="AL2151">
        <v>81.664365153180498</v>
      </c>
      <c r="AM2151">
        <v>103.028443766241</v>
      </c>
      <c r="AN2151">
        <v>0.99999997199639901</v>
      </c>
    </row>
    <row r="2152" spans="1:40" x14ac:dyDescent="0.25">
      <c r="A2152" t="str">
        <f>"20190304155406789"</f>
        <v>20190304155406789</v>
      </c>
      <c r="B2152" t="str">
        <f>"1551686046778711"</f>
        <v>1551686046778711</v>
      </c>
      <c r="C2152" t="s">
        <v>40</v>
      </c>
      <c r="D2152">
        <v>4.2329739999999996</v>
      </c>
      <c r="E2152">
        <v>0.4054874</v>
      </c>
      <c r="F2152" t="s">
        <v>48</v>
      </c>
      <c r="G2152">
        <v>-489.49040000000002</v>
      </c>
      <c r="H2152">
        <v>1.066514</v>
      </c>
      <c r="I2152">
        <v>223.65440000000001</v>
      </c>
      <c r="J2152">
        <v>-490.12630000000001</v>
      </c>
      <c r="K2152">
        <v>1.117159</v>
      </c>
      <c r="L2152">
        <v>224.13480000000001</v>
      </c>
      <c r="M2152">
        <v>0.36239729999999998</v>
      </c>
      <c r="N2152">
        <v>-1.3509419999999999E-2</v>
      </c>
      <c r="O2152">
        <v>-0.93192589999999997</v>
      </c>
      <c r="P2152">
        <v>0.55698449999999999</v>
      </c>
      <c r="Q2152">
        <v>0.135519899999999</v>
      </c>
      <c r="R2152">
        <v>-0.8193918</v>
      </c>
      <c r="S2152">
        <v>2.292297</v>
      </c>
      <c r="T2152">
        <v>-0.16038379999999999</v>
      </c>
      <c r="U2152">
        <v>-2.140549</v>
      </c>
      <c r="V2152">
        <v>-0.22456789999999999</v>
      </c>
      <c r="W2152">
        <v>0.1448603</v>
      </c>
      <c r="X2152">
        <v>0.96363100000000002</v>
      </c>
      <c r="Y2152">
        <v>-0.43305339999999998</v>
      </c>
      <c r="Z2152">
        <v>4.03571E-2</v>
      </c>
      <c r="AA2152">
        <v>0.90046440000000005</v>
      </c>
      <c r="AB2152">
        <v>22</v>
      </c>
      <c r="AC2152">
        <v>0.63589999999999203</v>
      </c>
      <c r="AD2152">
        <v>-5.0645000000000003E-2</v>
      </c>
      <c r="AE2152">
        <v>-0.48040000000000299</v>
      </c>
      <c r="AF2152">
        <v>-0.41687073822040299</v>
      </c>
      <c r="AG2152">
        <v>-5.0645000000000003E-2</v>
      </c>
      <c r="AH2152">
        <v>0.67547970548917802</v>
      </c>
      <c r="AI2152">
        <v>93.650749320804593</v>
      </c>
      <c r="AJ2152">
        <v>121.68071413841901</v>
      </c>
      <c r="AK2152">
        <v>0.79537347261344504</v>
      </c>
      <c r="AL2152">
        <v>81.670810243032903</v>
      </c>
      <c r="AM2152">
        <v>103.118270194853</v>
      </c>
      <c r="AN2152">
        <v>0.99999997619374903</v>
      </c>
    </row>
    <row r="2153" spans="1:40" x14ac:dyDescent="0.25">
      <c r="A2153" t="str">
        <f>"20190304155406813"</f>
        <v>20190304155406813</v>
      </c>
      <c r="B2153" t="str">
        <f>"1551686046808966"</f>
        <v>1551686046808966</v>
      </c>
      <c r="C2153" t="s">
        <v>40</v>
      </c>
      <c r="D2153">
        <v>4.3269719999999996</v>
      </c>
      <c r="E2153">
        <v>0.40588770000000002</v>
      </c>
      <c r="F2153" t="s">
        <v>48</v>
      </c>
      <c r="G2153">
        <v>-489.38929999999999</v>
      </c>
      <c r="H2153">
        <v>1.0649649999999999</v>
      </c>
      <c r="I2153">
        <v>223.46209999999999</v>
      </c>
      <c r="J2153">
        <v>-490.03550000000001</v>
      </c>
      <c r="K2153">
        <v>1.117235</v>
      </c>
      <c r="L2153">
        <v>223.93780000000001</v>
      </c>
      <c r="M2153">
        <v>0.3730967</v>
      </c>
      <c r="N2153">
        <v>-1.3554399999999901E-2</v>
      </c>
      <c r="O2153">
        <v>-0.92769360000000001</v>
      </c>
      <c r="P2153">
        <v>0.56706499999999904</v>
      </c>
      <c r="Q2153">
        <v>0.13570550000000001</v>
      </c>
      <c r="R2153">
        <v>-0.81241699999999994</v>
      </c>
      <c r="S2153">
        <v>2.316681</v>
      </c>
      <c r="T2153">
        <v>-0.1639862</v>
      </c>
      <c r="U2153">
        <v>-2.1136170000000001</v>
      </c>
      <c r="V2153">
        <v>-0.2254273</v>
      </c>
      <c r="W2153">
        <v>0.14503150000000001</v>
      </c>
      <c r="X2153">
        <v>0.96340460000000006</v>
      </c>
      <c r="Y2153">
        <v>-0.43307469999999998</v>
      </c>
      <c r="Z2153">
        <v>4.1483779999999998E-2</v>
      </c>
      <c r="AA2153">
        <v>0.90040290000000001</v>
      </c>
      <c r="AB2153">
        <v>22</v>
      </c>
      <c r="AC2153">
        <v>0.64620000000002098</v>
      </c>
      <c r="AD2153">
        <v>-5.2269999999999997E-2</v>
      </c>
      <c r="AE2153">
        <v>-0.475700000000017</v>
      </c>
      <c r="AF2153">
        <v>-0.42024894505384802</v>
      </c>
      <c r="AG2153">
        <v>-5.2269999999999997E-2</v>
      </c>
      <c r="AH2153">
        <v>0.67957783453460996</v>
      </c>
      <c r="AI2153">
        <v>93.742814896108698</v>
      </c>
      <c r="AJ2153">
        <v>121.73252538003</v>
      </c>
      <c r="AK2153">
        <v>0.80072926879790196</v>
      </c>
      <c r="AL2153">
        <v>81.660896824992093</v>
      </c>
      <c r="AM2153">
        <v>103.169713210531</v>
      </c>
      <c r="AN2153">
        <v>1.0000000134393501</v>
      </c>
    </row>
    <row r="2154" spans="1:40" x14ac:dyDescent="0.25">
      <c r="A2154" t="str">
        <f>"20190304155406834"</f>
        <v>20190304155406834</v>
      </c>
      <c r="B2154" t="str">
        <f>"1551686046828995"</f>
        <v>1551686046828995</v>
      </c>
      <c r="C2154" t="s">
        <v>40</v>
      </c>
      <c r="D2154">
        <v>4.3215019999999997</v>
      </c>
      <c r="E2154">
        <v>0.40649239999999998</v>
      </c>
      <c r="F2154" t="s">
        <v>48</v>
      </c>
      <c r="G2154">
        <v>-489.28320000000002</v>
      </c>
      <c r="H2154">
        <v>1.063714</v>
      </c>
      <c r="I2154">
        <v>223.2672</v>
      </c>
      <c r="J2154">
        <v>-489.94209999999998</v>
      </c>
      <c r="K2154">
        <v>1.1173169999999999</v>
      </c>
      <c r="L2154">
        <v>223.7414</v>
      </c>
      <c r="M2154">
        <v>0.38392880000000001</v>
      </c>
      <c r="N2154">
        <v>-1.360343E-2</v>
      </c>
      <c r="O2154">
        <v>-0.92326260000000004</v>
      </c>
      <c r="P2154">
        <v>0.57716309999999904</v>
      </c>
      <c r="Q2154">
        <v>0.13587839999999901</v>
      </c>
      <c r="R2154">
        <v>-0.80524560000000001</v>
      </c>
      <c r="S2154">
        <v>2.3406980000000002</v>
      </c>
      <c r="T2154">
        <v>-0.16654659999999999</v>
      </c>
      <c r="U2154">
        <v>-2.0866549999999999</v>
      </c>
      <c r="V2154">
        <v>-0.22622349999999999</v>
      </c>
      <c r="W2154">
        <v>0.14519199999999999</v>
      </c>
      <c r="X2154">
        <v>0.96319379999999999</v>
      </c>
      <c r="Y2154">
        <v>-0.43286619999999998</v>
      </c>
      <c r="Z2154">
        <v>4.2257400000000001E-2</v>
      </c>
      <c r="AA2154">
        <v>0.90046719999999902</v>
      </c>
      <c r="AB2154">
        <v>22</v>
      </c>
      <c r="AC2154">
        <v>0.65889999999995996</v>
      </c>
      <c r="AD2154">
        <v>-5.3602999999999998E-2</v>
      </c>
      <c r="AE2154">
        <v>-0.47419999999999601</v>
      </c>
      <c r="AF2154">
        <v>-0.42446743092206801</v>
      </c>
      <c r="AG2154">
        <v>-5.3602999999999998E-2</v>
      </c>
      <c r="AH2154">
        <v>0.68784667753609796</v>
      </c>
      <c r="AI2154">
        <v>93.794181010902193</v>
      </c>
      <c r="AJ2154">
        <v>121.678569299876</v>
      </c>
      <c r="AK2154">
        <v>0.81004872280624496</v>
      </c>
      <c r="AL2154">
        <v>81.651602719395697</v>
      </c>
      <c r="AM2154">
        <v>103.21738930664399</v>
      </c>
      <c r="AN2154">
        <v>1.0000000425873401</v>
      </c>
    </row>
    <row r="2155" spans="1:40" x14ac:dyDescent="0.25">
      <c r="A2155" t="str">
        <f>"20190304155406856"</f>
        <v>20190304155406856</v>
      </c>
      <c r="B2155" t="str">
        <f>"1551686046848514"</f>
        <v>1551686046848514</v>
      </c>
      <c r="C2155" t="s">
        <v>40</v>
      </c>
      <c r="D2155">
        <v>4.2855939999999997</v>
      </c>
      <c r="E2155">
        <v>0.4068155</v>
      </c>
      <c r="F2155" t="s">
        <v>51</v>
      </c>
      <c r="G2155">
        <v>-474.35739999999998</v>
      </c>
      <c r="H2155" s="1">
        <v>3.8310500000000004E-6</v>
      </c>
      <c r="I2155">
        <v>210.15350000000001</v>
      </c>
      <c r="J2155">
        <v>-489.8528</v>
      </c>
      <c r="K2155">
        <v>1.1174029999999999</v>
      </c>
      <c r="L2155">
        <v>223.55930000000001</v>
      </c>
      <c r="M2155">
        <v>0.39412619999999998</v>
      </c>
      <c r="N2155">
        <v>-1.364899E-2</v>
      </c>
      <c r="O2155">
        <v>-0.91895519999999997</v>
      </c>
      <c r="P2155">
        <v>0.58638369999999995</v>
      </c>
      <c r="Q2155">
        <v>0.1355316</v>
      </c>
      <c r="R2155">
        <v>-0.79861470000000001</v>
      </c>
      <c r="S2155">
        <v>2.363159</v>
      </c>
      <c r="T2155">
        <v>-0.16942119999999999</v>
      </c>
      <c r="U2155">
        <v>-2.0603639999999999</v>
      </c>
      <c r="V2155">
        <v>-0.22663639999999999</v>
      </c>
      <c r="W2155">
        <v>0.1448362</v>
      </c>
      <c r="X2155">
        <v>0.96315030000000001</v>
      </c>
      <c r="Y2155">
        <v>-0.43278460000000002</v>
      </c>
      <c r="Z2155">
        <v>4.3134600000000002E-2</v>
      </c>
      <c r="AA2155">
        <v>0.90046479999999995</v>
      </c>
      <c r="AB2155">
        <v>22</v>
      </c>
      <c r="AC2155">
        <v>15.4954</v>
      </c>
      <c r="AD2155">
        <v>-1.11739916895</v>
      </c>
      <c r="AE2155">
        <v>-13.405799999999999</v>
      </c>
      <c r="AF2155">
        <v>-8.9302746516729297</v>
      </c>
      <c r="AG2155">
        <v>-1.11739916895</v>
      </c>
      <c r="AH2155">
        <v>18.373541403710099</v>
      </c>
      <c r="AI2155">
        <v>93.130798204561401</v>
      </c>
      <c r="AJ2155">
        <v>115.921602250728</v>
      </c>
      <c r="AK2155">
        <v>20.459359959953002</v>
      </c>
      <c r="AL2155">
        <v>81.672206336771097</v>
      </c>
      <c r="AM2155">
        <v>103.24124141339099</v>
      </c>
      <c r="AN2155">
        <v>1.0000000415127399</v>
      </c>
    </row>
    <row r="2156" spans="1:40" x14ac:dyDescent="0.25">
      <c r="A2156" t="str">
        <f>"20190304155406880"</f>
        <v>20190304155406880</v>
      </c>
      <c r="B2156" t="str">
        <f>"1551686046878770"</f>
        <v>1551686046878770</v>
      </c>
      <c r="C2156" t="s">
        <v>40</v>
      </c>
      <c r="D2156">
        <v>4.2542619999999998</v>
      </c>
      <c r="E2156">
        <v>0.4070725</v>
      </c>
      <c r="F2156" t="s">
        <v>51</v>
      </c>
      <c r="G2156">
        <v>-474.41809999999998</v>
      </c>
      <c r="H2156" s="1">
        <v>3.8143640000000001E-6</v>
      </c>
      <c r="I2156">
        <v>210.38759999999999</v>
      </c>
      <c r="J2156">
        <v>-489.74700000000001</v>
      </c>
      <c r="K2156">
        <v>1.117502</v>
      </c>
      <c r="L2156">
        <v>223.35</v>
      </c>
      <c r="M2156">
        <v>0.40602450000000001</v>
      </c>
      <c r="N2156">
        <v>-1.3699899999999999E-2</v>
      </c>
      <c r="O2156">
        <v>-0.9137594</v>
      </c>
      <c r="P2156">
        <v>0.59707429999999995</v>
      </c>
      <c r="Q2156">
        <v>0.1347045</v>
      </c>
      <c r="R2156">
        <v>-0.79079519999999903</v>
      </c>
      <c r="S2156">
        <v>2.3845830000000001</v>
      </c>
      <c r="T2156">
        <v>-0.1726317</v>
      </c>
      <c r="U2156">
        <v>-2.0349430000000002</v>
      </c>
      <c r="V2156">
        <v>-0.22705400000000001</v>
      </c>
      <c r="W2156">
        <v>0.14399589999999901</v>
      </c>
      <c r="X2156">
        <v>0.96317790000000003</v>
      </c>
      <c r="Y2156">
        <v>-0.43059249999999999</v>
      </c>
      <c r="Z2156">
        <v>4.4064859999999997E-2</v>
      </c>
      <c r="AA2156">
        <v>0.90147010000000005</v>
      </c>
      <c r="AB2156">
        <v>22</v>
      </c>
      <c r="AC2156">
        <v>15.3288999999999</v>
      </c>
      <c r="AD2156">
        <v>-1.117498185636</v>
      </c>
      <c r="AE2156">
        <v>-12.962400000000001</v>
      </c>
      <c r="AF2156">
        <v>-8.7176818216652894</v>
      </c>
      <c r="AG2156">
        <v>-1.117498185636</v>
      </c>
      <c r="AH2156">
        <v>18.014299034859999</v>
      </c>
      <c r="AI2156">
        <v>93.1960267877094</v>
      </c>
      <c r="AJ2156">
        <v>115.82378946920601</v>
      </c>
      <c r="AK2156">
        <v>20.043995316703899</v>
      </c>
      <c r="AL2156">
        <v>81.720861710237997</v>
      </c>
      <c r="AM2156">
        <v>103.26441127848101</v>
      </c>
      <c r="AN2156">
        <v>1.0000000025906099</v>
      </c>
    </row>
    <row r="2157" spans="1:40" x14ac:dyDescent="0.25">
      <c r="A2157" t="str">
        <f>"20190304155406905"</f>
        <v>20190304155406905</v>
      </c>
      <c r="B2157" t="str">
        <f>"1551686046898290"</f>
        <v>1551686046898290</v>
      </c>
      <c r="C2157" t="s">
        <v>40</v>
      </c>
      <c r="D2157">
        <v>4.3008470000000001</v>
      </c>
      <c r="E2157">
        <v>0.40743940000000001</v>
      </c>
      <c r="F2157" t="s">
        <v>51</v>
      </c>
      <c r="G2157">
        <v>-474.54899999999998</v>
      </c>
      <c r="H2157" s="1">
        <v>3.770657E-6</v>
      </c>
      <c r="I2157">
        <v>210.71539999999999</v>
      </c>
      <c r="J2157">
        <v>-489.64260000000002</v>
      </c>
      <c r="K2157">
        <v>1.11759599999999</v>
      </c>
      <c r="L2157">
        <v>223.15100000000001</v>
      </c>
      <c r="M2157">
        <v>0.4175451</v>
      </c>
      <c r="N2157">
        <v>-1.37477E-2</v>
      </c>
      <c r="O2157">
        <v>-0.90855229999999998</v>
      </c>
      <c r="P2157">
        <v>0.60698549999999996</v>
      </c>
      <c r="Q2157">
        <v>0.1340441</v>
      </c>
      <c r="R2157">
        <v>-0.783327</v>
      </c>
      <c r="S2157">
        <v>2.4104610000000002</v>
      </c>
      <c r="T2157">
        <v>-0.1772388</v>
      </c>
      <c r="U2157">
        <v>-2.0038909999999999</v>
      </c>
      <c r="V2157">
        <v>-0.2269805</v>
      </c>
      <c r="W2157">
        <v>0.14333189999999901</v>
      </c>
      <c r="X2157">
        <v>0.96329430000000005</v>
      </c>
      <c r="Y2157">
        <v>-0.430751</v>
      </c>
      <c r="Z2157">
        <v>4.5466109999999997E-2</v>
      </c>
      <c r="AA2157">
        <v>0.90132480000000004</v>
      </c>
      <c r="AB2157">
        <v>22</v>
      </c>
      <c r="AC2157">
        <v>15.093599999999901</v>
      </c>
      <c r="AD2157">
        <v>-1.1175922293429901</v>
      </c>
      <c r="AE2157">
        <v>-12.4355999999999</v>
      </c>
      <c r="AF2157">
        <v>-8.4939667044510294</v>
      </c>
      <c r="AG2157">
        <v>-1.1175922293429901</v>
      </c>
      <c r="AH2157">
        <v>17.5450162978211</v>
      </c>
      <c r="AI2157">
        <v>93.281355445847495</v>
      </c>
      <c r="AJ2157">
        <v>115.83274664263401</v>
      </c>
      <c r="AK2157">
        <v>19.524960426546802</v>
      </c>
      <c r="AL2157">
        <v>81.759305246669001</v>
      </c>
      <c r="AM2157">
        <v>103.258723436761</v>
      </c>
      <c r="AN2157">
        <v>1.00000004467517</v>
      </c>
    </row>
    <row r="2158" spans="1:40" x14ac:dyDescent="0.25">
      <c r="A2158" t="str">
        <f>"20190304155406927"</f>
        <v>20190304155406927</v>
      </c>
      <c r="B2158" t="str">
        <f>"1551686046918786"</f>
        <v>1551686046918786</v>
      </c>
      <c r="C2158" t="s">
        <v>40</v>
      </c>
      <c r="D2158">
        <v>4.2914019999999997</v>
      </c>
      <c r="E2158">
        <v>0.40757490000000002</v>
      </c>
      <c r="F2158" t="s">
        <v>48</v>
      </c>
      <c r="G2158">
        <v>-488.86930000000001</v>
      </c>
      <c r="H2158">
        <v>1.0597270000000001</v>
      </c>
      <c r="I2158">
        <v>222.5224</v>
      </c>
      <c r="J2158">
        <v>-489.53930000000003</v>
      </c>
      <c r="K2158">
        <v>1.1176820000000001</v>
      </c>
      <c r="L2158">
        <v>222.9605</v>
      </c>
      <c r="M2158">
        <v>0.4287512</v>
      </c>
      <c r="N2158">
        <v>-1.379233E-2</v>
      </c>
      <c r="O2158">
        <v>-0.90331729999999999</v>
      </c>
      <c r="P2158">
        <v>0.61719159999999995</v>
      </c>
      <c r="Q2158">
        <v>0.13356100000000001</v>
      </c>
      <c r="R2158">
        <v>-0.77539399999999903</v>
      </c>
      <c r="S2158">
        <v>2.4326780000000001</v>
      </c>
      <c r="T2158">
        <v>-0.18188770000000001</v>
      </c>
      <c r="U2158">
        <v>-1.975922</v>
      </c>
      <c r="V2158">
        <v>-0.22766729999999999</v>
      </c>
      <c r="W2158">
        <v>0.14283209999999999</v>
      </c>
      <c r="X2158">
        <v>0.96320640000000002</v>
      </c>
      <c r="Y2158">
        <v>-0.42980180000000001</v>
      </c>
      <c r="Z2158">
        <v>4.6857419999999997E-2</v>
      </c>
      <c r="AA2158">
        <v>0.90170660000000002</v>
      </c>
      <c r="AB2158">
        <v>22</v>
      </c>
      <c r="AC2158">
        <v>0.67000000000001503</v>
      </c>
      <c r="AD2158">
        <v>-5.7954999999999902E-2</v>
      </c>
      <c r="AE2158">
        <v>-0.438099999999991</v>
      </c>
      <c r="AF2158">
        <v>-0.41524995880517301</v>
      </c>
      <c r="AG2158">
        <v>-5.7954999999999902E-2</v>
      </c>
      <c r="AH2158">
        <v>0.67951009117137395</v>
      </c>
      <c r="AI2158">
        <v>94.162429803328195</v>
      </c>
      <c r="AJ2158">
        <v>121.429184490469</v>
      </c>
      <c r="AK2158">
        <v>0.79845179836758196</v>
      </c>
      <c r="AL2158">
        <v>81.788238921018305</v>
      </c>
      <c r="AM2158">
        <v>103.29858907534999</v>
      </c>
      <c r="AN2158">
        <v>0.99999998864032902</v>
      </c>
    </row>
    <row r="2159" spans="1:40" x14ac:dyDescent="0.25">
      <c r="A2159" t="str">
        <f>"20190304155406948"</f>
        <v>20190304155406948</v>
      </c>
      <c r="B2159" t="str">
        <f>"1551686046938306"</f>
        <v>1551686046938306</v>
      </c>
      <c r="C2159" t="s">
        <v>40</v>
      </c>
      <c r="D2159">
        <v>4.2634109999999996</v>
      </c>
      <c r="E2159">
        <v>0.40774510000000003</v>
      </c>
      <c r="F2159" t="s">
        <v>48</v>
      </c>
      <c r="G2159">
        <v>-488.7561</v>
      </c>
      <c r="H2159">
        <v>1.0590090000000001</v>
      </c>
      <c r="I2159">
        <v>222.34049999999999</v>
      </c>
      <c r="J2159">
        <v>-489.44</v>
      </c>
      <c r="K2159">
        <v>1.117748</v>
      </c>
      <c r="L2159">
        <v>222.7826</v>
      </c>
      <c r="M2159">
        <v>0.43934040000000002</v>
      </c>
      <c r="N2159">
        <v>-1.3831049999999999E-2</v>
      </c>
      <c r="O2159">
        <v>-0.89821419999999996</v>
      </c>
      <c r="P2159">
        <v>0.62710919999999903</v>
      </c>
      <c r="Q2159">
        <v>0.1338154</v>
      </c>
      <c r="R2159">
        <v>-0.76735129999999996</v>
      </c>
      <c r="S2159">
        <v>2.4575200000000001</v>
      </c>
      <c r="T2159">
        <v>-0.1840271</v>
      </c>
      <c r="U2159">
        <v>-1.94455</v>
      </c>
      <c r="V2159">
        <v>-0.2287759</v>
      </c>
      <c r="W2159">
        <v>0.14306579999999999</v>
      </c>
      <c r="X2159">
        <v>0.96290900000000001</v>
      </c>
      <c r="Y2159">
        <v>-0.43067519999999998</v>
      </c>
      <c r="Z2159">
        <v>4.7472269999999997E-2</v>
      </c>
      <c r="AA2159">
        <v>0.90125759999999999</v>
      </c>
      <c r="AB2159">
        <v>22</v>
      </c>
      <c r="AC2159">
        <v>0.68389999999999396</v>
      </c>
      <c r="AD2159">
        <v>-5.8738999999999798E-2</v>
      </c>
      <c r="AE2159">
        <v>-0.44210000000000998</v>
      </c>
      <c r="AF2159">
        <v>-0.41792216157335899</v>
      </c>
      <c r="AG2159">
        <v>-5.8738999999999798E-2</v>
      </c>
      <c r="AH2159">
        <v>0.69402134508414004</v>
      </c>
      <c r="AI2159">
        <v>94.146966798790103</v>
      </c>
      <c r="AJ2159">
        <v>121.055291133585</v>
      </c>
      <c r="AK2159">
        <v>0.81226524650975096</v>
      </c>
      <c r="AL2159">
        <v>81.7747099578161</v>
      </c>
      <c r="AM2159">
        <v>103.365006736374</v>
      </c>
      <c r="AN2159">
        <v>0.99999998891572495</v>
      </c>
    </row>
    <row r="2160" spans="1:40" x14ac:dyDescent="0.25">
      <c r="A2160" t="str">
        <f>"20190304155406970"</f>
        <v>20190304155406970</v>
      </c>
      <c r="B2160" t="str">
        <f>"1551686046958802"</f>
        <v>1551686046958802</v>
      </c>
      <c r="C2160" t="s">
        <v>40</v>
      </c>
      <c r="D2160">
        <v>4.3016370000000004</v>
      </c>
      <c r="E2160">
        <v>0.40794419999999998</v>
      </c>
      <c r="F2160" t="s">
        <v>48</v>
      </c>
      <c r="G2160">
        <v>-488.64670000000001</v>
      </c>
      <c r="H2160">
        <v>1.05867</v>
      </c>
      <c r="I2160">
        <v>222.17060000000001</v>
      </c>
      <c r="J2160">
        <v>-489.33690000000001</v>
      </c>
      <c r="K2160">
        <v>1.1177889999999999</v>
      </c>
      <c r="L2160">
        <v>222.60310000000001</v>
      </c>
      <c r="M2160">
        <v>0.45013510000000001</v>
      </c>
      <c r="N2160">
        <v>-1.386624E-2</v>
      </c>
      <c r="O2160">
        <v>-0.89285289999999995</v>
      </c>
      <c r="P2160">
        <v>0.63767450000000003</v>
      </c>
      <c r="Q2160">
        <v>0.13407339999999901</v>
      </c>
      <c r="R2160">
        <v>-0.75854860000000002</v>
      </c>
      <c r="S2160">
        <v>2.481598</v>
      </c>
      <c r="T2160">
        <v>-0.1847558</v>
      </c>
      <c r="U2160">
        <v>-1.9137569999999999</v>
      </c>
      <c r="V2160">
        <v>-0.23054749999999999</v>
      </c>
      <c r="W2160">
        <v>0.14329320000000001</v>
      </c>
      <c r="X2160">
        <v>0.96245250000000004</v>
      </c>
      <c r="Y2160">
        <v>-0.43103249999999999</v>
      </c>
      <c r="Z2160">
        <v>4.7618689999999998E-2</v>
      </c>
      <c r="AA2160">
        <v>0.90107910000000002</v>
      </c>
      <c r="AB2160">
        <v>22</v>
      </c>
      <c r="AC2160">
        <v>0.69020000000000403</v>
      </c>
      <c r="AD2160">
        <v>-5.9118999999999901E-2</v>
      </c>
      <c r="AE2160">
        <v>-0.43250000000000399</v>
      </c>
      <c r="AF2160">
        <v>-0.41939470462474099</v>
      </c>
      <c r="AG2160">
        <v>-5.9118999999999901E-2</v>
      </c>
      <c r="AH2160">
        <v>0.69325688696085497</v>
      </c>
      <c r="AI2160">
        <v>94.173153916293401</v>
      </c>
      <c r="AJ2160">
        <v>121.172382546987</v>
      </c>
      <c r="AK2160">
        <v>0.812398969562942</v>
      </c>
      <c r="AL2160">
        <v>81.761544958730695</v>
      </c>
      <c r="AM2160">
        <v>103.470901716098</v>
      </c>
      <c r="AN2160">
        <v>0.99999995283936804</v>
      </c>
    </row>
    <row r="2161" spans="1:40" x14ac:dyDescent="0.25">
      <c r="A2161" t="str">
        <f>"20190304155406991"</f>
        <v>20190304155406991</v>
      </c>
      <c r="B2161" t="str">
        <f>"1551686046989059"</f>
        <v>1551686046989059</v>
      </c>
      <c r="C2161" t="s">
        <v>40</v>
      </c>
      <c r="D2161">
        <v>4.313968</v>
      </c>
      <c r="E2161">
        <v>0.40839809999999999</v>
      </c>
      <c r="F2161" t="s">
        <v>48</v>
      </c>
      <c r="G2161">
        <v>-488.53410000000002</v>
      </c>
      <c r="H2161">
        <v>1.0583229999999999</v>
      </c>
      <c r="I2161">
        <v>222.0009</v>
      </c>
      <c r="J2161">
        <v>-489.23129999999998</v>
      </c>
      <c r="K2161">
        <v>1.117823</v>
      </c>
      <c r="L2161">
        <v>222.4247</v>
      </c>
      <c r="M2161">
        <v>0.46096910000000002</v>
      </c>
      <c r="N2161">
        <v>-1.389778E-2</v>
      </c>
      <c r="O2161">
        <v>-0.88730739999999997</v>
      </c>
      <c r="P2161">
        <v>0.64835969999999998</v>
      </c>
      <c r="Q2161">
        <v>0.13388520000000001</v>
      </c>
      <c r="R2161">
        <v>-0.74946939999999995</v>
      </c>
      <c r="S2161">
        <v>2.5065309999999998</v>
      </c>
      <c r="T2161">
        <v>-0.18570639999999999</v>
      </c>
      <c r="U2161">
        <v>-1.88063</v>
      </c>
      <c r="V2161">
        <v>-0.2324686</v>
      </c>
      <c r="W2161">
        <v>0.14307520000000001</v>
      </c>
      <c r="X2161">
        <v>0.96202279999999996</v>
      </c>
      <c r="Y2161">
        <v>-0.4319615</v>
      </c>
      <c r="Z2161">
        <v>4.7845400000000003E-2</v>
      </c>
      <c r="AA2161">
        <v>0.90062209999999998</v>
      </c>
      <c r="AB2161">
        <v>22</v>
      </c>
      <c r="AC2161">
        <v>0.69719999999995197</v>
      </c>
      <c r="AD2161">
        <v>-5.9500000000000101E-2</v>
      </c>
      <c r="AE2161">
        <v>-0.42380000000000001</v>
      </c>
      <c r="AF2161">
        <v>-0.42107355577563599</v>
      </c>
      <c r="AG2161">
        <v>-5.9500000000000101E-2</v>
      </c>
      <c r="AH2161">
        <v>0.69380611507300005</v>
      </c>
      <c r="AI2161">
        <v>94.193043988218903</v>
      </c>
      <c r="AJ2161">
        <v>121.25372206538</v>
      </c>
      <c r="AK2161">
        <v>0.81376293518826903</v>
      </c>
      <c r="AL2161">
        <v>81.774165997619406</v>
      </c>
      <c r="AM2161">
        <v>103.584852085443</v>
      </c>
      <c r="AN2161">
        <v>1.00000001528041</v>
      </c>
    </row>
    <row r="2162" spans="1:40" x14ac:dyDescent="0.25">
      <c r="A2162" t="str">
        <f>"20190304155407013"</f>
        <v>20190304155407013</v>
      </c>
      <c r="B2162" t="str">
        <f>"1551686047008579"</f>
        <v>1551686047008579</v>
      </c>
      <c r="C2162" t="s">
        <v>40</v>
      </c>
      <c r="D2162">
        <v>4.33833</v>
      </c>
      <c r="E2162">
        <v>0.40847129999999998</v>
      </c>
      <c r="F2162" t="s">
        <v>48</v>
      </c>
      <c r="G2162">
        <v>-488.41629999999998</v>
      </c>
      <c r="H2162">
        <v>1.056538</v>
      </c>
      <c r="I2162">
        <v>221.82900000000001</v>
      </c>
      <c r="J2162">
        <v>-489.12369999999999</v>
      </c>
      <c r="K2162">
        <v>1.1178429999999999</v>
      </c>
      <c r="L2162">
        <v>222.24799999999999</v>
      </c>
      <c r="M2162">
        <v>0.47178510000000001</v>
      </c>
      <c r="N2162">
        <v>-1.392622E-2</v>
      </c>
      <c r="O2162">
        <v>-0.88160349999999998</v>
      </c>
      <c r="P2162">
        <v>0.65845779999999998</v>
      </c>
      <c r="Q2162">
        <v>0.1340682</v>
      </c>
      <c r="R2162">
        <v>-0.74058029999999997</v>
      </c>
      <c r="S2162">
        <v>2.5296940000000001</v>
      </c>
      <c r="T2162">
        <v>-0.19017310000000001</v>
      </c>
      <c r="U2162">
        <v>-1.848373</v>
      </c>
      <c r="V2162">
        <v>-0.23377229999999999</v>
      </c>
      <c r="W2162">
        <v>0.1432446</v>
      </c>
      <c r="X2162">
        <v>0.96168160000000003</v>
      </c>
      <c r="Y2162">
        <v>-0.43228620000000001</v>
      </c>
      <c r="Z2162">
        <v>4.9166950000000001E-2</v>
      </c>
      <c r="AA2162">
        <v>0.90039499999999995</v>
      </c>
      <c r="AB2162">
        <v>22</v>
      </c>
      <c r="AC2162">
        <v>0.70740000000000602</v>
      </c>
      <c r="AD2162">
        <v>-6.1304999999999901E-2</v>
      </c>
      <c r="AE2162">
        <v>-0.418999999999982</v>
      </c>
      <c r="AF2162">
        <v>-0.42365426162773701</v>
      </c>
      <c r="AG2162">
        <v>-6.1304999999999901E-2</v>
      </c>
      <c r="AH2162">
        <v>0.69931283809074896</v>
      </c>
      <c r="AI2162">
        <v>94.287943101267402</v>
      </c>
      <c r="AJ2162">
        <v>121.20811303327</v>
      </c>
      <c r="AK2162">
        <v>0.81992663204635696</v>
      </c>
      <c r="AL2162">
        <v>81.764358964840298</v>
      </c>
      <c r="AM2162">
        <v>103.66285510787</v>
      </c>
      <c r="AN2162">
        <v>1.0000000017274999</v>
      </c>
    </row>
    <row r="2163" spans="1:40" x14ac:dyDescent="0.25">
      <c r="A2163" t="str">
        <f>"20190304155407036"</f>
        <v>20190304155407036</v>
      </c>
      <c r="B2163" t="str">
        <f>"1551686047029075"</f>
        <v>1551686047029075</v>
      </c>
      <c r="C2163" t="s">
        <v>40</v>
      </c>
      <c r="D2163">
        <v>4.4079249999999996</v>
      </c>
      <c r="E2163">
        <v>0.40861730000000002</v>
      </c>
      <c r="F2163" t="s">
        <v>48</v>
      </c>
      <c r="G2163">
        <v>-488.3</v>
      </c>
      <c r="H2163">
        <v>1.0567059999999999</v>
      </c>
      <c r="I2163">
        <v>221.66309999999999</v>
      </c>
      <c r="J2163">
        <v>-489.00619999999998</v>
      </c>
      <c r="K2163">
        <v>1.1178549999999901</v>
      </c>
      <c r="L2163">
        <v>222.06030000000001</v>
      </c>
      <c r="M2163">
        <v>0.4833404</v>
      </c>
      <c r="N2163">
        <v>-1.395326E-2</v>
      </c>
      <c r="O2163">
        <v>-0.87532129999999997</v>
      </c>
      <c r="P2163">
        <v>0.66894049999999905</v>
      </c>
      <c r="Q2163">
        <v>0.13301450000000001</v>
      </c>
      <c r="R2163">
        <v>-0.73131820000000003</v>
      </c>
      <c r="S2163">
        <v>2.5547179999999998</v>
      </c>
      <c r="T2163">
        <v>-0.18961249999999999</v>
      </c>
      <c r="U2163">
        <v>-1.813828</v>
      </c>
      <c r="V2163">
        <v>-0.23471719999999999</v>
      </c>
      <c r="W2163">
        <v>0.1421888</v>
      </c>
      <c r="X2163">
        <v>0.96160809999999997</v>
      </c>
      <c r="Y2163">
        <v>-0.43269780000000002</v>
      </c>
      <c r="Z2163">
        <v>4.8880180000000002E-2</v>
      </c>
      <c r="AA2163">
        <v>0.90021289999999998</v>
      </c>
      <c r="AB2163">
        <v>22</v>
      </c>
      <c r="AC2163">
        <v>0.70619999999996697</v>
      </c>
      <c r="AD2163">
        <v>-6.1148999999999898E-2</v>
      </c>
      <c r="AE2163">
        <v>-0.39720000000002598</v>
      </c>
      <c r="AF2163">
        <v>-0.42379673226755299</v>
      </c>
      <c r="AG2163">
        <v>-6.1148999999999898E-2</v>
      </c>
      <c r="AH2163">
        <v>0.68517707235863001</v>
      </c>
      <c r="AI2163">
        <v>94.340441408956806</v>
      </c>
      <c r="AJ2163">
        <v>121.737680927489</v>
      </c>
      <c r="AK2163">
        <v>0.80796688729650201</v>
      </c>
      <c r="AL2163">
        <v>81.825477294705706</v>
      </c>
      <c r="AM2163">
        <v>103.717006839864</v>
      </c>
      <c r="AN2163">
        <v>0.99999997840344401</v>
      </c>
    </row>
    <row r="2164" spans="1:40" x14ac:dyDescent="0.25">
      <c r="A2164" t="str">
        <f>"20190304155407059"</f>
        <v>20190304155407059</v>
      </c>
      <c r="B2164" t="str">
        <f>"1551686047048594"</f>
        <v>1551686047048594</v>
      </c>
      <c r="C2164" t="s">
        <v>40</v>
      </c>
      <c r="D2164">
        <v>4.391432</v>
      </c>
      <c r="E2164">
        <v>0.40894540000000001</v>
      </c>
      <c r="F2164" t="s">
        <v>51</v>
      </c>
      <c r="G2164">
        <v>-474.12939999999998</v>
      </c>
      <c r="H2164" s="1">
        <v>4.0042100000000004E-6</v>
      </c>
      <c r="I2164">
        <v>211.8021</v>
      </c>
      <c r="J2164">
        <v>-488.89100000000002</v>
      </c>
      <c r="K2164">
        <v>1.117864</v>
      </c>
      <c r="L2164">
        <v>221.88159999999999</v>
      </c>
      <c r="M2164">
        <v>0.49439919999999998</v>
      </c>
      <c r="N2164">
        <v>-1.397557E-2</v>
      </c>
      <c r="O2164">
        <v>-0.86912259999999997</v>
      </c>
      <c r="P2164">
        <v>0.67921999999999905</v>
      </c>
      <c r="Q2164">
        <v>0.13232920000000001</v>
      </c>
      <c r="R2164">
        <v>-0.72190679999999996</v>
      </c>
      <c r="S2164">
        <v>2.5790410000000001</v>
      </c>
      <c r="T2164">
        <v>-0.19379070000000001</v>
      </c>
      <c r="U2164">
        <v>-1.7783659999999999</v>
      </c>
      <c r="V2164">
        <v>-0.23606079999999999</v>
      </c>
      <c r="W2164">
        <v>0.14149310000000001</v>
      </c>
      <c r="X2164">
        <v>0.96138179999999995</v>
      </c>
      <c r="Y2164">
        <v>-0.43356489999999998</v>
      </c>
      <c r="Z2164">
        <v>5.0093650000000003E-2</v>
      </c>
      <c r="AA2164">
        <v>0.89972890000000005</v>
      </c>
      <c r="AB2164">
        <v>22</v>
      </c>
      <c r="AC2164">
        <v>14.7615999999999</v>
      </c>
      <c r="AD2164">
        <v>-1.1178599957899999</v>
      </c>
      <c r="AE2164">
        <v>-10.0794999999999</v>
      </c>
      <c r="AF2164">
        <v>-7.8165383814614797</v>
      </c>
      <c r="AG2164">
        <v>-1.1178599957899999</v>
      </c>
      <c r="AH2164">
        <v>15.997445005052001</v>
      </c>
      <c r="AI2164">
        <v>93.592522039193099</v>
      </c>
      <c r="AJ2164">
        <v>116.04067462448</v>
      </c>
      <c r="AK2164">
        <v>17.840014852255901</v>
      </c>
      <c r="AL2164">
        <v>81.865745128991804</v>
      </c>
      <c r="AM2164">
        <v>103.79565973542201</v>
      </c>
      <c r="AN2164">
        <v>0.99999998200774398</v>
      </c>
    </row>
    <row r="2165" spans="1:40" x14ac:dyDescent="0.25">
      <c r="A2165" t="str">
        <f>"20190304155407080"</f>
        <v>20190304155407080</v>
      </c>
      <c r="B2165" t="str">
        <f>"1551686047078850"</f>
        <v>1551686047078850</v>
      </c>
      <c r="C2165" t="s">
        <v>40</v>
      </c>
      <c r="D2165">
        <v>4.4735909999999999</v>
      </c>
      <c r="E2165">
        <v>0.40953669999999998</v>
      </c>
      <c r="F2165" t="s">
        <v>51</v>
      </c>
      <c r="G2165">
        <v>-474.2568</v>
      </c>
      <c r="H2165" s="1">
        <v>3.959334E-6</v>
      </c>
      <c r="I2165">
        <v>212.06800000000001</v>
      </c>
      <c r="J2165">
        <v>-488.7749</v>
      </c>
      <c r="K2165">
        <v>1.117864</v>
      </c>
      <c r="L2165">
        <v>221.70650000000001</v>
      </c>
      <c r="M2165">
        <v>0.50527449999999996</v>
      </c>
      <c r="N2165">
        <v>-1.399359E-2</v>
      </c>
      <c r="O2165">
        <v>-0.86284509999999903</v>
      </c>
      <c r="P2165">
        <v>0.68879889999999999</v>
      </c>
      <c r="Q2165">
        <v>0.1326282</v>
      </c>
      <c r="R2165">
        <v>-0.71271719999999905</v>
      </c>
      <c r="S2165">
        <v>2.60141</v>
      </c>
      <c r="T2165">
        <v>-0.19871330000000001</v>
      </c>
      <c r="U2165">
        <v>-1.7444919999999999</v>
      </c>
      <c r="V2165">
        <v>-0.2368606</v>
      </c>
      <c r="W2165">
        <v>0.14179050000000001</v>
      </c>
      <c r="X2165">
        <v>0.96114129999999998</v>
      </c>
      <c r="Y2165">
        <v>-0.43383640000000001</v>
      </c>
      <c r="Z2165">
        <v>5.1516399999999997E-2</v>
      </c>
      <c r="AA2165">
        <v>0.89951769999999998</v>
      </c>
      <c r="AB2165">
        <v>22</v>
      </c>
      <c r="AC2165">
        <v>14.5181</v>
      </c>
      <c r="AD2165">
        <v>-1.117860040666</v>
      </c>
      <c r="AE2165">
        <v>-9.6385000000000201</v>
      </c>
      <c r="AF2165">
        <v>-7.62615246990618</v>
      </c>
      <c r="AG2165">
        <v>-1.117860040666</v>
      </c>
      <c r="AH2165">
        <v>15.5895422729474</v>
      </c>
      <c r="AI2165">
        <v>93.685435299632601</v>
      </c>
      <c r="AJ2165">
        <v>116.067134118643</v>
      </c>
      <c r="AK2165">
        <v>17.3908493422486</v>
      </c>
      <c r="AL2165">
        <v>81.848532328736397</v>
      </c>
      <c r="AM2165">
        <v>103.843936601384</v>
      </c>
      <c r="AN2165">
        <v>1.0000000441441399</v>
      </c>
    </row>
    <row r="2166" spans="1:40" x14ac:dyDescent="0.25">
      <c r="A2166" t="str">
        <f>"20190304155407106"</f>
        <v>20190304155407106</v>
      </c>
      <c r="B2166" t="str">
        <f>"1551686047098371"</f>
        <v>1551686047098371</v>
      </c>
      <c r="C2166" t="s">
        <v>40</v>
      </c>
      <c r="D2166">
        <v>4.4950910000000004</v>
      </c>
      <c r="E2166">
        <v>0.40988580000000002</v>
      </c>
      <c r="F2166" t="s">
        <v>51</v>
      </c>
      <c r="G2166">
        <v>-474.19159999999999</v>
      </c>
      <c r="H2166" s="1">
        <v>3.9930060000000003E-6</v>
      </c>
      <c r="I2166">
        <v>212.17619999999999</v>
      </c>
      <c r="J2166">
        <v>-488.64319999999998</v>
      </c>
      <c r="K2166">
        <v>1.117856</v>
      </c>
      <c r="L2166">
        <v>221.51400000000001</v>
      </c>
      <c r="M2166">
        <v>0.51728399999999997</v>
      </c>
      <c r="N2166">
        <v>-1.400947E-2</v>
      </c>
      <c r="O2166">
        <v>-0.8556994</v>
      </c>
      <c r="P2166">
        <v>0.6987004</v>
      </c>
      <c r="Q2166">
        <v>0.13210559999999999</v>
      </c>
      <c r="R2166">
        <v>-0.70311210000000002</v>
      </c>
      <c r="S2166">
        <v>2.6214599999999999</v>
      </c>
      <c r="T2166">
        <v>-0.2009428</v>
      </c>
      <c r="U2166">
        <v>-1.7131350000000001</v>
      </c>
      <c r="V2166">
        <v>-0.23680950000000001</v>
      </c>
      <c r="W2166">
        <v>0.1412882</v>
      </c>
      <c r="X2166">
        <v>0.96122779999999997</v>
      </c>
      <c r="Y2166">
        <v>-0.43190620000000002</v>
      </c>
      <c r="Z2166">
        <v>5.2021100000000001E-2</v>
      </c>
      <c r="AA2166">
        <v>0.90041700000000002</v>
      </c>
      <c r="AB2166">
        <v>22</v>
      </c>
      <c r="AC2166">
        <v>14.4515999999999</v>
      </c>
      <c r="AD2166">
        <v>-1.1178520069939999</v>
      </c>
      <c r="AE2166">
        <v>-9.3378000000000103</v>
      </c>
      <c r="AF2166">
        <v>-7.5049903644789904</v>
      </c>
      <c r="AG2166">
        <v>-1.1178520069939999</v>
      </c>
      <c r="AH2166">
        <v>15.4024322673902</v>
      </c>
      <c r="AI2166">
        <v>93.732876023188794</v>
      </c>
      <c r="AJ2166">
        <v>115.97812568878599</v>
      </c>
      <c r="AK2166">
        <v>17.1700143631858</v>
      </c>
      <c r="AL2166">
        <v>81.877604229989899</v>
      </c>
      <c r="AM2166">
        <v>103.839867131456</v>
      </c>
      <c r="AN2166">
        <v>0.99999998912116395</v>
      </c>
    </row>
    <row r="2167" spans="1:40" x14ac:dyDescent="0.25">
      <c r="A2167" t="str">
        <f>"20190304155407128"</f>
        <v>20190304155407128</v>
      </c>
      <c r="B2167" t="str">
        <f>"1551686047118867"</f>
        <v>1551686047118867</v>
      </c>
      <c r="C2167" t="s">
        <v>40</v>
      </c>
      <c r="D2167">
        <v>4.4566860000000004</v>
      </c>
      <c r="E2167">
        <v>0.4102056</v>
      </c>
      <c r="F2167" t="s">
        <v>48</v>
      </c>
      <c r="G2167">
        <v>-487.81</v>
      </c>
      <c r="H2167">
        <v>1.0533939999999999</v>
      </c>
      <c r="I2167">
        <v>220.9845</v>
      </c>
      <c r="J2167">
        <v>-488.52159999999998</v>
      </c>
      <c r="K2167">
        <v>1.1178429999999999</v>
      </c>
      <c r="L2167">
        <v>221.34100000000001</v>
      </c>
      <c r="M2167">
        <v>0.52809490000000003</v>
      </c>
      <c r="N2167">
        <v>-1.402141E-2</v>
      </c>
      <c r="O2167">
        <v>-0.84906970000000004</v>
      </c>
      <c r="P2167">
        <v>0.70705909999999905</v>
      </c>
      <c r="Q2167">
        <v>0.1313657</v>
      </c>
      <c r="R2167">
        <v>-0.69484590000000002</v>
      </c>
      <c r="S2167">
        <v>2.6429140000000002</v>
      </c>
      <c r="T2167">
        <v>-0.20440820000000001</v>
      </c>
      <c r="U2167">
        <v>-1.6788479999999999</v>
      </c>
      <c r="V2167">
        <v>-0.2360225</v>
      </c>
      <c r="W2167">
        <v>0.140583399999999</v>
      </c>
      <c r="X2167">
        <v>0.96152470000000001</v>
      </c>
      <c r="Y2167">
        <v>-0.43204670000000001</v>
      </c>
      <c r="Z2167">
        <v>5.2954859999999999E-2</v>
      </c>
      <c r="AA2167">
        <v>0.90029519999999996</v>
      </c>
      <c r="AB2167">
        <v>22</v>
      </c>
      <c r="AC2167">
        <v>0.71159999999997503</v>
      </c>
      <c r="AD2167">
        <v>-6.4448999999999895E-2</v>
      </c>
      <c r="AE2167">
        <v>-0.356499999999982</v>
      </c>
      <c r="AF2167">
        <v>-0.41326323389959602</v>
      </c>
      <c r="AG2167">
        <v>-6.4448999999999895E-2</v>
      </c>
      <c r="AH2167">
        <v>0.674132005844849</v>
      </c>
      <c r="AI2167">
        <v>94.6596823940409</v>
      </c>
      <c r="AJ2167">
        <v>121.509552142646</v>
      </c>
      <c r="AK2167">
        <v>0.79334364269120605</v>
      </c>
      <c r="AL2167">
        <v>81.918393763376201</v>
      </c>
      <c r="AM2167">
        <v>103.791535244001</v>
      </c>
      <c r="AN2167">
        <v>1.00000003078594</v>
      </c>
    </row>
    <row r="2168" spans="1:40" x14ac:dyDescent="0.25">
      <c r="A2168" t="str">
        <f>"20190304155407151"</f>
        <v>20190304155407151</v>
      </c>
      <c r="B2168" t="str">
        <f>"1551686047149123"</f>
        <v>1551686047149123</v>
      </c>
      <c r="C2168" t="s">
        <v>40</v>
      </c>
      <c r="D2168">
        <v>4.4786849999999996</v>
      </c>
      <c r="E2168">
        <v>0.41066239999999998</v>
      </c>
      <c r="F2168" t="s">
        <v>48</v>
      </c>
      <c r="G2168">
        <v>-487.66989999999998</v>
      </c>
      <c r="H2168">
        <v>1.051374</v>
      </c>
      <c r="I2168">
        <v>220.81319999999999</v>
      </c>
      <c r="J2168">
        <v>-488.39400000000001</v>
      </c>
      <c r="K2168">
        <v>1.117828</v>
      </c>
      <c r="L2168">
        <v>221.1645</v>
      </c>
      <c r="M2168">
        <v>0.53915239999999998</v>
      </c>
      <c r="N2168">
        <v>-1.403152E-2</v>
      </c>
      <c r="O2168">
        <v>-0.84209129999999999</v>
      </c>
      <c r="P2168">
        <v>0.71498899999999999</v>
      </c>
      <c r="Q2168">
        <v>0.12997439999999999</v>
      </c>
      <c r="R2168">
        <v>-0.68694809999999995</v>
      </c>
      <c r="S2168">
        <v>2.661133</v>
      </c>
      <c r="T2168">
        <v>-0.2076732</v>
      </c>
      <c r="U2168">
        <v>-1.6488799999999999</v>
      </c>
      <c r="V2168">
        <v>-0.23431160000000001</v>
      </c>
      <c r="W2168">
        <v>0.13924819999999999</v>
      </c>
      <c r="X2168">
        <v>0.96213720000000003</v>
      </c>
      <c r="Y2168">
        <v>-0.43029289999999998</v>
      </c>
      <c r="Z2168">
        <v>5.37575E-2</v>
      </c>
      <c r="AA2168">
        <v>0.90108719999999998</v>
      </c>
      <c r="AB2168">
        <v>22</v>
      </c>
      <c r="AC2168">
        <v>0.72410000000002095</v>
      </c>
      <c r="AD2168">
        <v>-6.6453999999999999E-2</v>
      </c>
      <c r="AE2168">
        <v>-0.35130000000000899</v>
      </c>
      <c r="AF2168">
        <v>-0.41754869032133701</v>
      </c>
      <c r="AG2168">
        <v>-6.6453999999999999E-2</v>
      </c>
      <c r="AH2168">
        <v>0.68164714791365499</v>
      </c>
      <c r="AI2168">
        <v>94.752250365320805</v>
      </c>
      <c r="AJ2168">
        <v>121.48990277879901</v>
      </c>
      <c r="AK2168">
        <v>0.80212584870697501</v>
      </c>
      <c r="AL2168">
        <v>81.995654746438703</v>
      </c>
      <c r="AM2168">
        <v>103.686949105317</v>
      </c>
      <c r="AN2168">
        <v>0.99999998936082002</v>
      </c>
    </row>
    <row r="2169" spans="1:40" x14ac:dyDescent="0.25">
      <c r="A2169" t="str">
        <f>"20190304155407194"</f>
        <v>20190304155407194</v>
      </c>
      <c r="B2169" t="str">
        <f>"1551686047189139"</f>
        <v>1551686047189139</v>
      </c>
      <c r="C2169" t="s">
        <v>40</v>
      </c>
      <c r="D2169">
        <v>4.4952209999999999</v>
      </c>
      <c r="E2169">
        <v>0.41109259999999997</v>
      </c>
      <c r="F2169" t="s">
        <v>48</v>
      </c>
      <c r="G2169">
        <v>-487.51740000000001</v>
      </c>
      <c r="H2169">
        <v>1.0482320000000001</v>
      </c>
      <c r="I2169">
        <v>220.6337</v>
      </c>
      <c r="J2169">
        <v>-488.15019999999998</v>
      </c>
      <c r="K2169">
        <v>1.1178110000000001</v>
      </c>
      <c r="L2169">
        <v>220.84020000000001</v>
      </c>
      <c r="M2169">
        <v>0.55955279999999996</v>
      </c>
      <c r="N2169">
        <v>-1.4047560000000001E-2</v>
      </c>
      <c r="O2169">
        <v>-0.82867590000000002</v>
      </c>
      <c r="P2169">
        <v>0.72830719999999904</v>
      </c>
      <c r="Q2169">
        <v>0.12851099999999999</v>
      </c>
      <c r="R2169">
        <v>-0.67309289999999999</v>
      </c>
      <c r="S2169">
        <v>2.677826</v>
      </c>
      <c r="T2169">
        <v>-0.21250379999999999</v>
      </c>
      <c r="U2169">
        <v>-1.6202240000000001</v>
      </c>
      <c r="V2169">
        <v>-0.22946549999999999</v>
      </c>
      <c r="W2169">
        <v>0.13791320000000001</v>
      </c>
      <c r="X2169">
        <v>0.96349649999999998</v>
      </c>
      <c r="Y2169">
        <v>-0.41770699999999999</v>
      </c>
      <c r="Z2169">
        <v>5.4565530000000001E-2</v>
      </c>
      <c r="AA2169">
        <v>0.90694180000000002</v>
      </c>
      <c r="AB2169">
        <v>22</v>
      </c>
      <c r="AC2169">
        <v>0.63279999999997405</v>
      </c>
      <c r="AD2169">
        <v>-6.9579000000000002E-2</v>
      </c>
      <c r="AE2169">
        <v>-0.20650000000000501</v>
      </c>
      <c r="AF2169">
        <v>-0.40445944043558701</v>
      </c>
      <c r="AG2169">
        <v>-6.9579000000000002E-2</v>
      </c>
      <c r="AH2169">
        <v>0.51958116531184495</v>
      </c>
      <c r="AI2169">
        <v>96.032140722086297</v>
      </c>
      <c r="AJ2169">
        <v>127.898389088779</v>
      </c>
      <c r="AK2169">
        <v>0.662112727218926</v>
      </c>
      <c r="AL2169">
        <v>82.072889822325706</v>
      </c>
      <c r="AM2169">
        <v>103.39596271307001</v>
      </c>
      <c r="AN2169">
        <v>0.99999998596836903</v>
      </c>
    </row>
    <row r="2170" spans="1:40" x14ac:dyDescent="0.25">
      <c r="A2170" t="str">
        <f>"20190304155407215"</f>
        <v>20190304155407215</v>
      </c>
      <c r="B2170" t="str">
        <f>"1551686047208658"</f>
        <v>1551686047208658</v>
      </c>
      <c r="C2170" t="s">
        <v>40</v>
      </c>
      <c r="D2170">
        <v>4.4922339999999998</v>
      </c>
      <c r="E2170">
        <v>0.41130889999999998</v>
      </c>
      <c r="F2170" t="s">
        <v>51</v>
      </c>
      <c r="G2170">
        <v>-474.23500000000001</v>
      </c>
      <c r="H2170" s="1">
        <v>3.9997970000000004E-6</v>
      </c>
      <c r="I2170">
        <v>212.77260000000001</v>
      </c>
      <c r="J2170">
        <v>-488.024</v>
      </c>
      <c r="K2170">
        <v>1.117821</v>
      </c>
      <c r="L2170">
        <v>220.67859999999999</v>
      </c>
      <c r="M2170">
        <v>0.56977469999999997</v>
      </c>
      <c r="N2170">
        <v>-1.405606E-2</v>
      </c>
      <c r="O2170">
        <v>-0.82168079999999999</v>
      </c>
      <c r="P2170">
        <v>0.73527339999999997</v>
      </c>
      <c r="Q2170">
        <v>0.12830179999999999</v>
      </c>
      <c r="R2170">
        <v>-0.66551629999999995</v>
      </c>
      <c r="S2170">
        <v>2.707001</v>
      </c>
      <c r="T2170">
        <v>-0.2174538</v>
      </c>
      <c r="U2170">
        <v>-1.5694269999999999</v>
      </c>
      <c r="V2170">
        <v>-0.2275305</v>
      </c>
      <c r="W2170">
        <v>0.1377507</v>
      </c>
      <c r="X2170">
        <v>0.96397849999999996</v>
      </c>
      <c r="Y2170">
        <v>-0.42333110000000002</v>
      </c>
      <c r="Z2170">
        <v>5.6028630000000003E-2</v>
      </c>
      <c r="AA2170">
        <v>0.90424090000000001</v>
      </c>
      <c r="AB2170">
        <v>22</v>
      </c>
      <c r="AC2170">
        <v>13.7889999999999</v>
      </c>
      <c r="AD2170">
        <v>-1.1178170002029999</v>
      </c>
      <c r="AE2170">
        <v>-7.9059999999999704</v>
      </c>
      <c r="AF2170">
        <v>-6.7925968777125796</v>
      </c>
      <c r="AG2170">
        <v>-1.1178170002029999</v>
      </c>
      <c r="AH2170">
        <v>14.283605043147301</v>
      </c>
      <c r="AI2170">
        <v>94.042613700911502</v>
      </c>
      <c r="AJ2170">
        <v>115.433517380187</v>
      </c>
      <c r="AK2170">
        <v>15.8559219289727</v>
      </c>
      <c r="AL2170">
        <v>82.082289948287496</v>
      </c>
      <c r="AM2170">
        <v>103.28061393835701</v>
      </c>
      <c r="AN2170">
        <v>0.999999966121494</v>
      </c>
    </row>
    <row r="2171" spans="1:40" x14ac:dyDescent="0.25">
      <c r="A2171" t="str">
        <f>"20190304155407237"</f>
        <v>20190304155407237</v>
      </c>
      <c r="B2171" t="str">
        <f>"1551686047229155"</f>
        <v>1551686047229155</v>
      </c>
      <c r="C2171" t="s">
        <v>40</v>
      </c>
      <c r="D2171">
        <v>4.4914009999999998</v>
      </c>
      <c r="E2171">
        <v>0.41150540000000002</v>
      </c>
      <c r="F2171" t="s">
        <v>51</v>
      </c>
      <c r="G2171">
        <v>-474.04469999999998</v>
      </c>
      <c r="H2171" s="1">
        <v>4.083709E-6</v>
      </c>
      <c r="I2171">
        <v>212.76169999999999</v>
      </c>
      <c r="J2171">
        <v>-487.8947</v>
      </c>
      <c r="K2171">
        <v>1.1178399999999999</v>
      </c>
      <c r="L2171">
        <v>220.51730000000001</v>
      </c>
      <c r="M2171">
        <v>0.58003669999999996</v>
      </c>
      <c r="N2171">
        <v>-1.406574E-2</v>
      </c>
      <c r="O2171">
        <v>-0.81446909999999995</v>
      </c>
      <c r="P2171">
        <v>0.74280190000000001</v>
      </c>
      <c r="Q2171">
        <v>0.12875349999999999</v>
      </c>
      <c r="R2171">
        <v>-0.65701449999999995</v>
      </c>
      <c r="S2171">
        <v>2.7225039999999998</v>
      </c>
      <c r="T2171">
        <v>-0.21769769999999999</v>
      </c>
      <c r="U2171">
        <v>-1.5418400000000001</v>
      </c>
      <c r="V2171">
        <v>-0.22647600000000001</v>
      </c>
      <c r="W2171">
        <v>0.13822390000000001</v>
      </c>
      <c r="X2171">
        <v>0.96415910000000005</v>
      </c>
      <c r="Y2171">
        <v>-0.42111999999999999</v>
      </c>
      <c r="Z2171">
        <v>5.5830690000000002E-2</v>
      </c>
      <c r="AA2171">
        <v>0.90528500000000001</v>
      </c>
      <c r="AB2171">
        <v>22</v>
      </c>
      <c r="AC2171">
        <v>13.85</v>
      </c>
      <c r="AD2171">
        <v>-1.1178359162910001</v>
      </c>
      <c r="AE2171">
        <v>-7.75560000000001</v>
      </c>
      <c r="AF2171">
        <v>-6.7490648680934298</v>
      </c>
      <c r="AG2171">
        <v>-1.1178359162910001</v>
      </c>
      <c r="AH2171">
        <v>14.2808020930916</v>
      </c>
      <c r="AI2171">
        <v>94.048084919220301</v>
      </c>
      <c r="AJ2171">
        <v>115.29527968276101</v>
      </c>
      <c r="AK2171">
        <v>15.834795298693701</v>
      </c>
      <c r="AL2171">
        <v>82.054915974116099</v>
      </c>
      <c r="AM2171">
        <v>103.21884130245699</v>
      </c>
      <c r="AN2171">
        <v>0.99999999761001002</v>
      </c>
    </row>
    <row r="2172" spans="1:40" x14ac:dyDescent="0.25">
      <c r="A2172" t="str">
        <f>"20190304155407260"</f>
        <v>20190304155407260</v>
      </c>
      <c r="B2172" t="str">
        <f>"1551686047248675"</f>
        <v>1551686047248675</v>
      </c>
      <c r="C2172" t="s">
        <v>40</v>
      </c>
      <c r="D2172">
        <v>4.4065919999999998</v>
      </c>
      <c r="E2172">
        <v>0.41139239999999999</v>
      </c>
      <c r="F2172" t="s">
        <v>51</v>
      </c>
      <c r="G2172">
        <v>-473.68819999999999</v>
      </c>
      <c r="H2172" s="1">
        <v>4.2384129999999997E-6</v>
      </c>
      <c r="I2172">
        <v>212.68440000000001</v>
      </c>
      <c r="J2172">
        <v>-487.76049999999998</v>
      </c>
      <c r="K2172">
        <v>1.1178790000000001</v>
      </c>
      <c r="L2172">
        <v>220.35429999999999</v>
      </c>
      <c r="M2172">
        <v>0.59049859999999998</v>
      </c>
      <c r="N2172">
        <v>-1.407781E-2</v>
      </c>
      <c r="O2172">
        <v>-0.80691599999999997</v>
      </c>
      <c r="P2172">
        <v>0.7506562</v>
      </c>
      <c r="Q2172">
        <v>0.129103</v>
      </c>
      <c r="R2172">
        <v>-0.64795669999999905</v>
      </c>
      <c r="S2172">
        <v>2.7399290000000001</v>
      </c>
      <c r="T2172">
        <v>-0.2155908</v>
      </c>
      <c r="U2172">
        <v>-1.51069599999999</v>
      </c>
      <c r="V2172">
        <v>-0.22569810000000001</v>
      </c>
      <c r="W2172">
        <v>0.13858090000000001</v>
      </c>
      <c r="X2172">
        <v>0.96429030000000004</v>
      </c>
      <c r="Y2172">
        <v>-0.4197919</v>
      </c>
      <c r="Z2172">
        <v>5.4931750000000001E-2</v>
      </c>
      <c r="AA2172">
        <v>0.90595650000000005</v>
      </c>
      <c r="AB2172">
        <v>22</v>
      </c>
      <c r="AC2172">
        <v>14.072299999999901</v>
      </c>
      <c r="AD2172">
        <v>-1.1178747615869999</v>
      </c>
      <c r="AE2172">
        <v>-7.6698999999999797</v>
      </c>
      <c r="AF2172">
        <v>-6.7937222276845199</v>
      </c>
      <c r="AG2172">
        <v>-1.1178747615869999</v>
      </c>
      <c r="AH2172">
        <v>14.4298705846504</v>
      </c>
      <c r="AI2172">
        <v>94.009296766171701</v>
      </c>
      <c r="AJ2172">
        <v>115.21150855462599</v>
      </c>
      <c r="AK2172">
        <v>15.988291677952599</v>
      </c>
      <c r="AL2172">
        <v>82.034262957654903</v>
      </c>
      <c r="AM2172">
        <v>103.17329340690701</v>
      </c>
      <c r="AN2172">
        <v>1.0000000404312499</v>
      </c>
    </row>
    <row r="2173" spans="1:40" x14ac:dyDescent="0.25">
      <c r="A2173" t="str">
        <f>"20190304155407284"</f>
        <v>20190304155407284</v>
      </c>
      <c r="B2173" t="str">
        <f>"1551686047278931"</f>
        <v>1551686047278931</v>
      </c>
      <c r="C2173" t="s">
        <v>40</v>
      </c>
      <c r="D2173">
        <v>4.4100359999999998</v>
      </c>
      <c r="E2173">
        <v>0.41130440000000001</v>
      </c>
      <c r="F2173" t="s">
        <v>51</v>
      </c>
      <c r="G2173">
        <v>-473.18169999999998</v>
      </c>
      <c r="H2173" s="1">
        <v>4.4576240000000001E-6</v>
      </c>
      <c r="I2173">
        <v>212.56020000000001</v>
      </c>
      <c r="J2173">
        <v>-487.61540000000002</v>
      </c>
      <c r="K2173">
        <v>1.1179479999999999</v>
      </c>
      <c r="L2173">
        <v>220.1831</v>
      </c>
      <c r="M2173">
        <v>0.60161160000000002</v>
      </c>
      <c r="N2173">
        <v>-1.409504E-2</v>
      </c>
      <c r="O2173">
        <v>-0.7986645</v>
      </c>
      <c r="P2173">
        <v>0.759162</v>
      </c>
      <c r="Q2173">
        <v>0.12942239999999999</v>
      </c>
      <c r="R2173">
        <v>-0.6379051</v>
      </c>
      <c r="S2173">
        <v>2.7594599999999998</v>
      </c>
      <c r="T2173">
        <v>-0.2115899</v>
      </c>
      <c r="U2173">
        <v>-1.47525</v>
      </c>
      <c r="V2173">
        <v>-0.22516939999999999</v>
      </c>
      <c r="W2173">
        <v>0.1388964</v>
      </c>
      <c r="X2173">
        <v>0.96436849999999996</v>
      </c>
      <c r="Y2173">
        <v>-0.41903059999999998</v>
      </c>
      <c r="Z2173">
        <v>5.3460510000000003E-2</v>
      </c>
      <c r="AA2173">
        <v>0.90639689999999995</v>
      </c>
      <c r="AB2173">
        <v>22</v>
      </c>
      <c r="AC2173">
        <v>14.4337</v>
      </c>
      <c r="AD2173">
        <v>-1.117943542376</v>
      </c>
      <c r="AE2173">
        <v>-7.62289999999998</v>
      </c>
      <c r="AF2173">
        <v>-6.9099351923448804</v>
      </c>
      <c r="AG2173">
        <v>-1.117943542376</v>
      </c>
      <c r="AH2173">
        <v>14.7041143297196</v>
      </c>
      <c r="AI2173">
        <v>93.936324600719502</v>
      </c>
      <c r="AJ2173">
        <v>115.17033752771999</v>
      </c>
      <c r="AK2173">
        <v>16.285207408805402</v>
      </c>
      <c r="AL2173">
        <v>82.016009578405502</v>
      </c>
      <c r="AM2173">
        <v>103.142478470854</v>
      </c>
      <c r="AN2173">
        <v>1.0000000362107799</v>
      </c>
    </row>
    <row r="2174" spans="1:40" x14ac:dyDescent="0.25">
      <c r="A2174" t="str">
        <f>"20190304155407306"</f>
        <v>20190304155407306</v>
      </c>
      <c r="B2174" t="str">
        <f>"1551686047298451"</f>
        <v>1551686047298451</v>
      </c>
      <c r="C2174" t="s">
        <v>40</v>
      </c>
      <c r="D2174">
        <v>4.4587890000000003</v>
      </c>
      <c r="E2174">
        <v>0.41129700000000002</v>
      </c>
      <c r="F2174" t="s">
        <v>48</v>
      </c>
      <c r="G2174">
        <v>-486.69389999999999</v>
      </c>
      <c r="H2174">
        <v>1.0496019999999999</v>
      </c>
      <c r="I2174">
        <v>219.70750000000001</v>
      </c>
      <c r="J2174">
        <v>-487.47789999999998</v>
      </c>
      <c r="K2174">
        <v>1.118018</v>
      </c>
      <c r="L2174">
        <v>220.0256</v>
      </c>
      <c r="M2174">
        <v>0.61196119999999898</v>
      </c>
      <c r="N2174">
        <v>-1.4114649999999999E-2</v>
      </c>
      <c r="O2174">
        <v>-0.79076199999999996</v>
      </c>
      <c r="P2174">
        <v>0.76678040000000003</v>
      </c>
      <c r="Q2174">
        <v>0.12941320000000001</v>
      </c>
      <c r="R2174">
        <v>-0.62872950000000005</v>
      </c>
      <c r="S2174">
        <v>2.7807919999999999</v>
      </c>
      <c r="T2174">
        <v>-0.20624210000000001</v>
      </c>
      <c r="U2174">
        <v>-1.435379</v>
      </c>
      <c r="V2174">
        <v>-0.22423090000000001</v>
      </c>
      <c r="W2174">
        <v>0.13888929999999999</v>
      </c>
      <c r="X2174">
        <v>0.96458809999999995</v>
      </c>
      <c r="Y2174">
        <v>-0.42040559999999899</v>
      </c>
      <c r="Z2174">
        <v>5.1669600000000003E-2</v>
      </c>
      <c r="AA2174">
        <v>0.90586390000000006</v>
      </c>
      <c r="AB2174">
        <v>22</v>
      </c>
      <c r="AC2174">
        <v>0.78399999999999104</v>
      </c>
      <c r="AD2174">
        <v>-6.8415999999999796E-2</v>
      </c>
      <c r="AE2174">
        <v>-0.31809999999998601</v>
      </c>
      <c r="AF2174">
        <v>-0.42257175556888898</v>
      </c>
      <c r="AG2174">
        <v>-6.8415999999999796E-2</v>
      </c>
      <c r="AH2174">
        <v>0.72664038459639202</v>
      </c>
      <c r="AI2174">
        <v>94.653133217762999</v>
      </c>
      <c r="AJ2174">
        <v>120.179790763003</v>
      </c>
      <c r="AK2174">
        <v>0.84335869366893101</v>
      </c>
      <c r="AL2174">
        <v>82.016419815180399</v>
      </c>
      <c r="AM2174">
        <v>103.08671346245799</v>
      </c>
      <c r="AN2174">
        <v>0.99999996841545402</v>
      </c>
    </row>
    <row r="2175" spans="1:40" x14ac:dyDescent="0.25">
      <c r="A2175" t="str">
        <f>"20190304155407332"</f>
        <v>20190304155407332</v>
      </c>
      <c r="B2175" t="str">
        <f>"1551686047328706"</f>
        <v>1551686047328706</v>
      </c>
      <c r="C2175" t="s">
        <v>40</v>
      </c>
      <c r="D2175">
        <v>4.3312499999999998</v>
      </c>
      <c r="E2175">
        <v>0.41127010000000003</v>
      </c>
      <c r="F2175" t="s">
        <v>48</v>
      </c>
      <c r="G2175">
        <v>-486.541</v>
      </c>
      <c r="H2175">
        <v>1.0498419999999999</v>
      </c>
      <c r="I2175">
        <v>219.55690000000001</v>
      </c>
      <c r="J2175">
        <v>-487.31779999999998</v>
      </c>
      <c r="K2175">
        <v>1.1181000000000001</v>
      </c>
      <c r="L2175">
        <v>219.8475</v>
      </c>
      <c r="M2175">
        <v>0.62381350000000002</v>
      </c>
      <c r="N2175">
        <v>-1.4138670000000001E-2</v>
      </c>
      <c r="O2175">
        <v>-0.78144559999999996</v>
      </c>
      <c r="P2175">
        <v>0.77590930000000002</v>
      </c>
      <c r="Q2175">
        <v>0.12934619999999999</v>
      </c>
      <c r="R2175">
        <v>-0.61744189999999999</v>
      </c>
      <c r="S2175">
        <v>2.798645</v>
      </c>
      <c r="T2175">
        <v>-0.20367869999999999</v>
      </c>
      <c r="U2175">
        <v>-1.4003300000000001</v>
      </c>
      <c r="V2175">
        <v>-0.2238359</v>
      </c>
      <c r="W2175">
        <v>0.138812299999999</v>
      </c>
      <c r="X2175">
        <v>0.96469090000000002</v>
      </c>
      <c r="Y2175">
        <v>-0.4181706</v>
      </c>
      <c r="Z2175">
        <v>5.0568040000000002E-2</v>
      </c>
      <c r="AA2175">
        <v>0.90695990000000004</v>
      </c>
      <c r="AB2175">
        <v>22</v>
      </c>
      <c r="AC2175">
        <v>0.77679999999997995</v>
      </c>
      <c r="AD2175">
        <v>-6.8258000000000096E-2</v>
      </c>
      <c r="AE2175">
        <v>-0.29059999999998298</v>
      </c>
      <c r="AF2175">
        <v>-0.42292459951922801</v>
      </c>
      <c r="AG2175">
        <v>-6.8258000000000096E-2</v>
      </c>
      <c r="AH2175">
        <v>0.70694900825942397</v>
      </c>
      <c r="AI2175">
        <v>94.736579836874</v>
      </c>
      <c r="AJ2175">
        <v>120.889517146025</v>
      </c>
      <c r="AK2175">
        <v>0.82662039154710099</v>
      </c>
      <c r="AL2175">
        <v>82.020874585124702</v>
      </c>
      <c r="AM2175">
        <v>103.06310722420299</v>
      </c>
      <c r="AN2175">
        <v>0.99999994865145303</v>
      </c>
    </row>
    <row r="2176" spans="1:40" x14ac:dyDescent="0.25">
      <c r="A2176" t="str">
        <f>"20190304155407373"</f>
        <v>20190304155407373</v>
      </c>
      <c r="B2176" t="str">
        <f>"1551686047368722"</f>
        <v>1551686047368722</v>
      </c>
      <c r="C2176" t="s">
        <v>40</v>
      </c>
      <c r="D2176">
        <v>4.3355329999999999</v>
      </c>
      <c r="E2176">
        <v>0.40218979999999999</v>
      </c>
      <c r="F2176" t="s">
        <v>51</v>
      </c>
      <c r="G2176">
        <v>-471.69959999999998</v>
      </c>
      <c r="H2176" s="1">
        <v>5.1047660000000001E-6</v>
      </c>
      <c r="I2176">
        <v>212.32980000000001</v>
      </c>
      <c r="J2176">
        <v>-487.04989999999998</v>
      </c>
      <c r="K2176">
        <v>1.1182350000000001</v>
      </c>
      <c r="L2176">
        <v>219.5617</v>
      </c>
      <c r="M2176">
        <v>0.64318980000000003</v>
      </c>
      <c r="N2176">
        <v>-1.4179560000000001E-2</v>
      </c>
      <c r="O2176">
        <v>-0.76557559999999902</v>
      </c>
      <c r="P2176">
        <v>0.7904004</v>
      </c>
      <c r="Q2176">
        <v>0.13052179999999999</v>
      </c>
      <c r="R2176">
        <v>-0.59852439999999996</v>
      </c>
      <c r="S2176">
        <v>2.8199459999999998</v>
      </c>
      <c r="T2176">
        <v>-0.2018789</v>
      </c>
      <c r="U2176">
        <v>-1.357361</v>
      </c>
      <c r="V2176">
        <v>-0.22288669999999999</v>
      </c>
      <c r="W2176">
        <v>0.13997860000000001</v>
      </c>
      <c r="X2176">
        <v>0.96474219999999999</v>
      </c>
      <c r="Y2176">
        <v>-0.40936250000000002</v>
      </c>
      <c r="Z2176">
        <v>4.9293499999999997E-2</v>
      </c>
      <c r="AA2176">
        <v>0.91103920000000005</v>
      </c>
      <c r="AB2176">
        <v>22</v>
      </c>
      <c r="AC2176">
        <v>15.350300000000001</v>
      </c>
      <c r="AD2176">
        <v>-1.118229895234</v>
      </c>
      <c r="AE2176">
        <v>-7.2318999999999898</v>
      </c>
      <c r="AF2176">
        <v>-7.0703388590025797</v>
      </c>
      <c r="AG2176">
        <v>-1.118229895234</v>
      </c>
      <c r="AH2176">
        <v>15.3446315495548</v>
      </c>
      <c r="AI2176">
        <v>93.786672264079399</v>
      </c>
      <c r="AJ2176">
        <v>114.738810760506</v>
      </c>
      <c r="AK2176">
        <v>16.932154235988701</v>
      </c>
      <c r="AL2176">
        <v>81.953392084041099</v>
      </c>
      <c r="AM2176">
        <v>103.008931727369</v>
      </c>
      <c r="AN2176">
        <v>1.00000000097784</v>
      </c>
    </row>
    <row r="2177" spans="1:40" x14ac:dyDescent="0.25">
      <c r="A2177" t="str">
        <f>"20190304155407395"</f>
        <v>20190304155407395</v>
      </c>
      <c r="B2177" t="str">
        <f>"1551686047389218"</f>
        <v>1551686047389218</v>
      </c>
      <c r="C2177" t="s">
        <v>40</v>
      </c>
      <c r="D2177">
        <v>4.2599220000000004</v>
      </c>
      <c r="E2177">
        <v>0.40197860000000002</v>
      </c>
      <c r="F2177" t="s">
        <v>48</v>
      </c>
      <c r="G2177">
        <v>-486.15</v>
      </c>
      <c r="H2177">
        <v>1.07329599999999</v>
      </c>
      <c r="I2177">
        <v>219.1807</v>
      </c>
      <c r="J2177">
        <v>-486.9085</v>
      </c>
      <c r="K2177">
        <v>1.1182989999999999</v>
      </c>
      <c r="L2177">
        <v>219.41669999999999</v>
      </c>
      <c r="M2177">
        <v>0.6532017</v>
      </c>
      <c r="N2177">
        <v>-1.4203189999999999E-2</v>
      </c>
      <c r="O2177">
        <v>-0.75705080000000002</v>
      </c>
      <c r="P2177">
        <v>0.79812280000000002</v>
      </c>
      <c r="Q2177">
        <v>0.13061039999999999</v>
      </c>
      <c r="R2177">
        <v>-0.58816740000000001</v>
      </c>
      <c r="S2177">
        <v>2.8921510000000001</v>
      </c>
      <c r="T2177">
        <v>-0.1444279</v>
      </c>
      <c r="U2177">
        <v>-1.2244870000000001</v>
      </c>
      <c r="V2177">
        <v>-0.2227922</v>
      </c>
      <c r="W2177">
        <v>0.14005699999999999</v>
      </c>
      <c r="X2177">
        <v>0.96475270000000002</v>
      </c>
      <c r="Y2177">
        <v>-0.44174439999999998</v>
      </c>
      <c r="Z2177">
        <v>3.319399E-2</v>
      </c>
      <c r="AA2177">
        <v>0.89652670000000001</v>
      </c>
      <c r="AB2177">
        <v>21</v>
      </c>
      <c r="AC2177">
        <v>0.75850000000002604</v>
      </c>
      <c r="AD2177">
        <v>-4.5003000000000098E-2</v>
      </c>
      <c r="AE2177">
        <v>-0.235999999999989</v>
      </c>
      <c r="AF2177">
        <v>-0.41876574522508803</v>
      </c>
      <c r="AG2177">
        <v>-4.5003000000000098E-2</v>
      </c>
      <c r="AH2177">
        <v>0.67202855442848197</v>
      </c>
      <c r="AI2177">
        <v>93.252878375251399</v>
      </c>
      <c r="AJ2177">
        <v>121.928553727349</v>
      </c>
      <c r="AK2177">
        <v>0.79310301811943595</v>
      </c>
      <c r="AL2177">
        <v>81.948855800475201</v>
      </c>
      <c r="AM2177">
        <v>103.003466951348</v>
      </c>
      <c r="AN2177">
        <v>1.00000004989356</v>
      </c>
    </row>
    <row r="2178" spans="1:40" x14ac:dyDescent="0.25">
      <c r="A2178" t="str">
        <f>"20190304155407417"</f>
        <v>20190304155407417</v>
      </c>
      <c r="B2178" t="str">
        <f>"1551686047408739"</f>
        <v>1551686047408739</v>
      </c>
      <c r="C2178" t="s">
        <v>40</v>
      </c>
      <c r="D2178">
        <v>4.2635949999999996</v>
      </c>
      <c r="E2178">
        <v>0.40250049999999998</v>
      </c>
      <c r="F2178" t="s">
        <v>48</v>
      </c>
      <c r="G2178">
        <v>-486.00020000000001</v>
      </c>
      <c r="H2178">
        <v>1.074057</v>
      </c>
      <c r="I2178">
        <v>219.04669999999999</v>
      </c>
      <c r="J2178">
        <v>-486.76089999999999</v>
      </c>
      <c r="K2178">
        <v>1.1183620000000001</v>
      </c>
      <c r="L2178">
        <v>219.26939999999999</v>
      </c>
      <c r="M2178">
        <v>0.66349569999999902</v>
      </c>
      <c r="N2178">
        <v>-1.4229149999999999E-2</v>
      </c>
      <c r="O2178">
        <v>-0.74804510000000002</v>
      </c>
      <c r="P2178">
        <v>0.80579129999999999</v>
      </c>
      <c r="Q2178">
        <v>0.13084569999999901</v>
      </c>
      <c r="R2178">
        <v>-0.57756430000000003</v>
      </c>
      <c r="S2178">
        <v>2.9094540000000002</v>
      </c>
      <c r="T2178">
        <v>-0.14164399999999999</v>
      </c>
      <c r="U2178">
        <v>-1.1840059999999999</v>
      </c>
      <c r="V2178">
        <v>-0.22234960000000001</v>
      </c>
      <c r="W2178">
        <v>0.1402912</v>
      </c>
      <c r="X2178">
        <v>0.96482069999999998</v>
      </c>
      <c r="Y2178">
        <v>-0.44207540000000001</v>
      </c>
      <c r="Z2178">
        <v>3.2240150000000002E-2</v>
      </c>
      <c r="AA2178">
        <v>0.89639829999999998</v>
      </c>
      <c r="AB2178">
        <v>21</v>
      </c>
      <c r="AC2178">
        <v>0.76069999999998505</v>
      </c>
      <c r="AD2178">
        <v>-4.4304999999999997E-2</v>
      </c>
      <c r="AE2178">
        <v>-0.22270000000000301</v>
      </c>
      <c r="AF2178">
        <v>-0.420007696546633</v>
      </c>
      <c r="AG2178">
        <v>-4.4304999999999997E-2</v>
      </c>
      <c r="AH2178">
        <v>0.66928751025921096</v>
      </c>
      <c r="AI2178">
        <v>93.209268273288899</v>
      </c>
      <c r="AJ2178">
        <v>122.11010048538</v>
      </c>
      <c r="AK2178">
        <v>0.79140076419749605</v>
      </c>
      <c r="AL2178">
        <v>81.935302710388598</v>
      </c>
      <c r="AM2178">
        <v>102.97762591049</v>
      </c>
      <c r="AN2178">
        <v>0.99999997428304399</v>
      </c>
    </row>
    <row r="2179" spans="1:40" x14ac:dyDescent="0.25">
      <c r="A2179" t="str">
        <f>"20190304155407441"</f>
        <v>20190304155407441</v>
      </c>
      <c r="B2179" t="str">
        <f>"1551686047438995"</f>
        <v>1551686047438995</v>
      </c>
      <c r="C2179" t="s">
        <v>40</v>
      </c>
      <c r="D2179">
        <v>4.2896219999999996</v>
      </c>
      <c r="E2179">
        <v>0.4039586</v>
      </c>
      <c r="F2179" t="s">
        <v>63</v>
      </c>
      <c r="G2179">
        <v>-463.82479999999998</v>
      </c>
      <c r="H2179" s="1">
        <v>6.8910640000000002E-7</v>
      </c>
      <c r="I2179">
        <v>210.25790000000001</v>
      </c>
      <c r="J2179">
        <v>-486.59840000000003</v>
      </c>
      <c r="K2179">
        <v>1.118431</v>
      </c>
      <c r="L2179">
        <v>219.1121</v>
      </c>
      <c r="M2179">
        <v>0.67463609999999996</v>
      </c>
      <c r="N2179">
        <v>-1.425801E-2</v>
      </c>
      <c r="O2179">
        <v>-0.73801269999999997</v>
      </c>
      <c r="P2179">
        <v>0.81411429999999996</v>
      </c>
      <c r="Q2179">
        <v>0.13072980000000001</v>
      </c>
      <c r="R2179">
        <v>-0.56579829999999998</v>
      </c>
      <c r="S2179">
        <v>2.9230649999999998</v>
      </c>
      <c r="T2179">
        <v>-0.14252870000000001</v>
      </c>
      <c r="U2179">
        <v>-1.148468</v>
      </c>
      <c r="V2179">
        <v>-0.22193599999999999</v>
      </c>
      <c r="W2179">
        <v>0.1401722</v>
      </c>
      <c r="X2179">
        <v>0.96493320000000005</v>
      </c>
      <c r="Y2179">
        <v>-0.43948150000000002</v>
      </c>
      <c r="Z2179">
        <v>3.2265870000000002E-2</v>
      </c>
      <c r="AA2179">
        <v>0.89767199999999903</v>
      </c>
      <c r="AB2179">
        <v>21</v>
      </c>
      <c r="AC2179">
        <v>22.773599999999998</v>
      </c>
      <c r="AD2179">
        <v>-1.1184303108936</v>
      </c>
      <c r="AE2179">
        <v>-8.8541999999999899</v>
      </c>
      <c r="AF2179">
        <v>-10.8122913941137</v>
      </c>
      <c r="AG2179">
        <v>-1.1184303108936</v>
      </c>
      <c r="AH2179">
        <v>21.854842420735501</v>
      </c>
      <c r="AI2179">
        <v>92.626254437815902</v>
      </c>
      <c r="AJ2179">
        <v>116.323078533909</v>
      </c>
      <c r="AK2179">
        <v>24.408823584653401</v>
      </c>
      <c r="AL2179">
        <v>81.942188813927501</v>
      </c>
      <c r="AM2179">
        <v>102.952841435716</v>
      </c>
      <c r="AN2179">
        <v>0.99999995710553902</v>
      </c>
    </row>
    <row r="2180" spans="1:40" x14ac:dyDescent="0.25">
      <c r="A2180" t="str">
        <f>"20190304155407461"</f>
        <v>20190304155407461</v>
      </c>
      <c r="B2180" t="str">
        <f>"1551686047458516"</f>
        <v>1551686047458516</v>
      </c>
      <c r="C2180" t="s">
        <v>40</v>
      </c>
      <c r="D2180">
        <v>4.3213720000000002</v>
      </c>
      <c r="E2180">
        <v>0.40420820000000002</v>
      </c>
      <c r="F2180" t="s">
        <v>63</v>
      </c>
      <c r="G2180">
        <v>-464.77210000000002</v>
      </c>
      <c r="H2180" s="1">
        <v>1.168896E-6</v>
      </c>
      <c r="I2180">
        <v>210.81370000000001</v>
      </c>
      <c r="J2180">
        <v>-486.46269999999998</v>
      </c>
      <c r="K2180">
        <v>1.1184940000000001</v>
      </c>
      <c r="L2180">
        <v>218.9847</v>
      </c>
      <c r="M2180">
        <v>0.68379559999999995</v>
      </c>
      <c r="N2180">
        <v>-1.428284E-2</v>
      </c>
      <c r="O2180">
        <v>-0.72953369999999995</v>
      </c>
      <c r="P2180">
        <v>0.82064740000000003</v>
      </c>
      <c r="Q2180">
        <v>0.1293513</v>
      </c>
      <c r="R2180">
        <v>-0.55660200000000004</v>
      </c>
      <c r="S2180">
        <v>2.9338989999999998</v>
      </c>
      <c r="T2180">
        <v>-0.15033920000000001</v>
      </c>
      <c r="U2180">
        <v>-1.1154790000000001</v>
      </c>
      <c r="V2180">
        <v>-0.22090070000000001</v>
      </c>
      <c r="W2180">
        <v>0.13880899999999999</v>
      </c>
      <c r="X2180">
        <v>0.9653678</v>
      </c>
      <c r="Y2180">
        <v>-0.43809290000000001</v>
      </c>
      <c r="Z2180">
        <v>3.4308419999999999E-2</v>
      </c>
      <c r="AA2180">
        <v>0.89827469999999998</v>
      </c>
      <c r="AB2180">
        <v>21</v>
      </c>
      <c r="AC2180">
        <v>21.6905999999999</v>
      </c>
      <c r="AD2180">
        <v>-1.1184928311040001</v>
      </c>
      <c r="AE2180">
        <v>-8.1709999999999905</v>
      </c>
      <c r="AF2180">
        <v>-10.2139907940568</v>
      </c>
      <c r="AG2180">
        <v>-1.1184928311040001</v>
      </c>
      <c r="AH2180">
        <v>20.746768936399999</v>
      </c>
      <c r="AI2180">
        <v>92.769111723989596</v>
      </c>
      <c r="AJ2180">
        <v>116.211815610087</v>
      </c>
      <c r="AK2180">
        <v>23.151782986514899</v>
      </c>
      <c r="AL2180">
        <v>82.021066110733898</v>
      </c>
      <c r="AM2180">
        <v>102.888831316687</v>
      </c>
      <c r="AN2180">
        <v>1.00000002350916</v>
      </c>
    </row>
    <row r="2181" spans="1:40" x14ac:dyDescent="0.25">
      <c r="A2181" t="str">
        <f>"20190304155407484"</f>
        <v>20190304155407484</v>
      </c>
      <c r="B2181" t="str">
        <f>"1551686047479011"</f>
        <v>1551686047479011</v>
      </c>
      <c r="C2181" t="s">
        <v>40</v>
      </c>
      <c r="D2181">
        <v>4.2129490000000001</v>
      </c>
      <c r="E2181">
        <v>0.40425299999999997</v>
      </c>
      <c r="F2181" t="s">
        <v>63</v>
      </c>
      <c r="G2181">
        <v>-465.29629999999997</v>
      </c>
      <c r="H2181" s="1">
        <v>1.431018E-6</v>
      </c>
      <c r="I2181">
        <v>211.19909999999999</v>
      </c>
      <c r="J2181">
        <v>-486.303</v>
      </c>
      <c r="K2181">
        <v>1.1185639999999999</v>
      </c>
      <c r="L2181">
        <v>218.8391</v>
      </c>
      <c r="M2181">
        <v>0.6944034</v>
      </c>
      <c r="N2181">
        <v>-1.431255E-2</v>
      </c>
      <c r="O2181">
        <v>-0.71944370000000002</v>
      </c>
      <c r="P2181">
        <v>0.82861180000000001</v>
      </c>
      <c r="Q2181">
        <v>0.1275357</v>
      </c>
      <c r="R2181">
        <v>-0.5451028</v>
      </c>
      <c r="S2181">
        <v>2.9454039999999999</v>
      </c>
      <c r="T2181">
        <v>-0.15564349999999999</v>
      </c>
      <c r="U2181">
        <v>-1.083405</v>
      </c>
      <c r="V2181">
        <v>-0.22042049999999999</v>
      </c>
      <c r="W2181">
        <v>0.13699829999999999</v>
      </c>
      <c r="X2181">
        <v>0.96573620000000004</v>
      </c>
      <c r="Y2181">
        <v>-0.43462190000000001</v>
      </c>
      <c r="Z2181">
        <v>3.5505259999999997E-2</v>
      </c>
      <c r="AA2181">
        <v>0.89991290000000002</v>
      </c>
      <c r="AB2181">
        <v>21</v>
      </c>
      <c r="AC2181">
        <v>21.006699999999999</v>
      </c>
      <c r="AD2181">
        <v>-1.11856256898199</v>
      </c>
      <c r="AE2181">
        <v>-7.6400000000000103</v>
      </c>
      <c r="AF2181">
        <v>-9.7843986629592195</v>
      </c>
      <c r="AG2181">
        <v>-1.11856256898199</v>
      </c>
      <c r="AH2181">
        <v>20.035558172154602</v>
      </c>
      <c r="AI2181">
        <v>92.871916103982798</v>
      </c>
      <c r="AJ2181">
        <v>116.028648229564</v>
      </c>
      <c r="AK2181">
        <v>22.325080754304899</v>
      </c>
      <c r="AL2181">
        <v>82.125812738573302</v>
      </c>
      <c r="AM2181">
        <v>102.857002689986</v>
      </c>
      <c r="AN2181">
        <v>1.0000000695067801</v>
      </c>
    </row>
    <row r="2182" spans="1:40" x14ac:dyDescent="0.25">
      <c r="A2182" t="str">
        <f>"20190304155407509"</f>
        <v>20190304155407509</v>
      </c>
      <c r="B2182" t="str">
        <f>"1551686047498531"</f>
        <v>1551686047498531</v>
      </c>
      <c r="C2182" t="s">
        <v>40</v>
      </c>
      <c r="D2182">
        <v>4.2510669999999999</v>
      </c>
      <c r="E2182">
        <v>0.4042577</v>
      </c>
      <c r="F2182" t="s">
        <v>48</v>
      </c>
      <c r="G2182">
        <v>-485.37079999999997</v>
      </c>
      <c r="H2182">
        <v>1.0677589999999999</v>
      </c>
      <c r="I2182">
        <v>218.5112</v>
      </c>
      <c r="J2182">
        <v>-486.1345</v>
      </c>
      <c r="K2182">
        <v>1.118633</v>
      </c>
      <c r="L2182">
        <v>218.69030000000001</v>
      </c>
      <c r="M2182">
        <v>0.70537640000000001</v>
      </c>
      <c r="N2182">
        <v>-1.4342830000000001E-2</v>
      </c>
      <c r="O2182">
        <v>-0.70868790000000004</v>
      </c>
      <c r="P2182">
        <v>0.83669479999999996</v>
      </c>
      <c r="Q2182">
        <v>0.12739110000000001</v>
      </c>
      <c r="R2182">
        <v>-0.53264829999999996</v>
      </c>
      <c r="S2182">
        <v>2.9602970000000002</v>
      </c>
      <c r="T2182">
        <v>-0.16133649999999999</v>
      </c>
      <c r="U2182">
        <v>-1.041336</v>
      </c>
      <c r="V2182">
        <v>-0.2200606</v>
      </c>
      <c r="W2182">
        <v>0.13685520000000001</v>
      </c>
      <c r="X2182">
        <v>0.96583850000000004</v>
      </c>
      <c r="Y2182">
        <v>-0.4335118</v>
      </c>
      <c r="Z2182">
        <v>3.6818400000000001E-2</v>
      </c>
      <c r="AA2182">
        <v>0.90039550000000002</v>
      </c>
      <c r="AB2182">
        <v>21</v>
      </c>
      <c r="AC2182">
        <v>0.76370000000002802</v>
      </c>
      <c r="AD2182">
        <v>-5.0873999999999801E-2</v>
      </c>
      <c r="AE2182">
        <v>-0.17910000000000501</v>
      </c>
      <c r="AF2182">
        <v>-0.413196685653546</v>
      </c>
      <c r="AG2182">
        <v>-5.0873999999999801E-2</v>
      </c>
      <c r="AH2182">
        <v>0.66290206544039398</v>
      </c>
      <c r="AI2182">
        <v>93.726318198340294</v>
      </c>
      <c r="AJ2182">
        <v>121.93589899275599</v>
      </c>
      <c r="AK2182">
        <v>0.78278912439827397</v>
      </c>
      <c r="AL2182">
        <v>82.134089258501803</v>
      </c>
      <c r="AM2182">
        <v>102.83539133188501</v>
      </c>
      <c r="AN2182">
        <v>1.00000001076082</v>
      </c>
    </row>
    <row r="2183" spans="1:40" x14ac:dyDescent="0.25">
      <c r="A2183" t="str">
        <f>"20190304155407555"</f>
        <v>20190304155407555</v>
      </c>
      <c r="B2183" t="str">
        <f>"1551686047548306"</f>
        <v>1551686047548306</v>
      </c>
      <c r="C2183" t="s">
        <v>40</v>
      </c>
      <c r="D2183">
        <v>4.4074229999999996</v>
      </c>
      <c r="E2183">
        <v>0.4093639</v>
      </c>
      <c r="F2183" t="s">
        <v>48</v>
      </c>
      <c r="G2183">
        <v>-485.1909</v>
      </c>
      <c r="H2183">
        <v>1.0673250000000001</v>
      </c>
      <c r="I2183">
        <v>218.37430000000001</v>
      </c>
      <c r="J2183">
        <v>-485.81639999999999</v>
      </c>
      <c r="K2183">
        <v>1.1187210000000001</v>
      </c>
      <c r="L2183">
        <v>218.42189999999999</v>
      </c>
      <c r="M2183">
        <v>0.72548539999999995</v>
      </c>
      <c r="N2183">
        <v>-1.439259E-2</v>
      </c>
      <c r="O2183">
        <v>-0.68808689999999995</v>
      </c>
      <c r="P2183">
        <v>0.85177849999999999</v>
      </c>
      <c r="Q2183">
        <v>0.12880440000000001</v>
      </c>
      <c r="R2183">
        <v>-0.50782159999999998</v>
      </c>
      <c r="S2183">
        <v>2.9758909999999998</v>
      </c>
      <c r="T2183">
        <v>-0.16177920000000001</v>
      </c>
      <c r="U2183">
        <v>-0.99630739999999995</v>
      </c>
      <c r="V2183">
        <v>-0.22056249999999999</v>
      </c>
      <c r="W2183">
        <v>0.13825599999999999</v>
      </c>
      <c r="X2183">
        <v>0.96552439999999995</v>
      </c>
      <c r="Y2183">
        <v>-0.4212244</v>
      </c>
      <c r="Z2183">
        <v>3.6108290000000001E-2</v>
      </c>
      <c r="AA2183">
        <v>0.90623739999999997</v>
      </c>
      <c r="AB2183">
        <v>21</v>
      </c>
      <c r="AC2183">
        <v>0.62549999999998795</v>
      </c>
      <c r="AD2183">
        <v>-5.1395999999999699E-2</v>
      </c>
      <c r="AE2183">
        <v>-4.7599999999988499E-2</v>
      </c>
      <c r="AF2183">
        <v>-0.393266425670449</v>
      </c>
      <c r="AG2183">
        <v>-5.1395999999999699E-2</v>
      </c>
      <c r="AH2183">
        <v>0.48334992945956301</v>
      </c>
      <c r="AI2183">
        <v>94.715137166534404</v>
      </c>
      <c r="AJ2183">
        <v>129.132723694117</v>
      </c>
      <c r="AK2183">
        <v>0.62524170101183796</v>
      </c>
      <c r="AL2183">
        <v>82.053058588812604</v>
      </c>
      <c r="AM2183">
        <v>102.867738123975</v>
      </c>
      <c r="AN2183">
        <v>0.99999995246880302</v>
      </c>
    </row>
    <row r="2184" spans="1:40" x14ac:dyDescent="0.25">
      <c r="A2184" t="str">
        <f>"20190304155407596"</f>
        <v>20190304155407596</v>
      </c>
      <c r="B2184" t="str">
        <f>"1551686047588323"</f>
        <v>1551686047588323</v>
      </c>
      <c r="C2184" t="s">
        <v>40</v>
      </c>
      <c r="D2184">
        <v>4.2357449999999996</v>
      </c>
      <c r="E2184">
        <v>0.41146240000000001</v>
      </c>
      <c r="F2184" t="s">
        <v>63</v>
      </c>
      <c r="G2184">
        <v>-468.25439999999998</v>
      </c>
      <c r="H2184" s="1">
        <v>2.9324769999999999E-6</v>
      </c>
      <c r="I2184">
        <v>212.86199999999999</v>
      </c>
      <c r="J2184">
        <v>-485.51209999999998</v>
      </c>
      <c r="K2184">
        <v>1.118784</v>
      </c>
      <c r="L2184">
        <v>218.1799</v>
      </c>
      <c r="M2184">
        <v>0.74395990000000001</v>
      </c>
      <c r="N2184">
        <v>-1.4433649999999999E-2</v>
      </c>
      <c r="O2184">
        <v>-0.66806860000000001</v>
      </c>
      <c r="P2184">
        <v>0.86600840000000001</v>
      </c>
      <c r="Q2184">
        <v>0.1286697</v>
      </c>
      <c r="R2184">
        <v>-0.48319099999999998</v>
      </c>
      <c r="S2184">
        <v>2.9870000000000001</v>
      </c>
      <c r="T2184">
        <v>-0.190275</v>
      </c>
      <c r="U2184">
        <v>-0.94564820000000005</v>
      </c>
      <c r="V2184">
        <v>-0.22197649999999999</v>
      </c>
      <c r="W2184">
        <v>0.13809869999999999</v>
      </c>
      <c r="X2184">
        <v>0.96522280000000005</v>
      </c>
      <c r="Y2184">
        <v>-0.41101589999999999</v>
      </c>
      <c r="Z2184">
        <v>4.2907309999999997E-2</v>
      </c>
      <c r="AA2184">
        <v>0.91061780000000003</v>
      </c>
      <c r="AB2184">
        <v>21</v>
      </c>
      <c r="AC2184">
        <v>17.2577</v>
      </c>
      <c r="AD2184">
        <v>-1.1187810675229899</v>
      </c>
      <c r="AE2184">
        <v>-5.3178999999999998</v>
      </c>
      <c r="AF2184">
        <v>-7.5448521868562004</v>
      </c>
      <c r="AG2184">
        <v>-1.1187810675229899</v>
      </c>
      <c r="AH2184">
        <v>16.330782961556299</v>
      </c>
      <c r="AI2184">
        <v>93.558701664644403</v>
      </c>
      <c r="AJ2184">
        <v>114.79702515096599</v>
      </c>
      <c r="AK2184">
        <v>18.024176478719198</v>
      </c>
      <c r="AL2184">
        <v>82.062158371287694</v>
      </c>
      <c r="AM2184">
        <v>102.95136949389</v>
      </c>
      <c r="AN2184">
        <v>0.99999993556688804</v>
      </c>
    </row>
    <row r="2185" spans="1:40" x14ac:dyDescent="0.25">
      <c r="A2185" t="str">
        <f>"20190304155407618"</f>
        <v>20190304155407618</v>
      </c>
      <c r="B2185" t="str">
        <f>"1551686047608821"</f>
        <v>1551686047608821</v>
      </c>
      <c r="C2185" t="s">
        <v>40</v>
      </c>
      <c r="D2185">
        <v>4.226369</v>
      </c>
      <c r="E2185">
        <v>0.4123078</v>
      </c>
      <c r="F2185" t="s">
        <v>63</v>
      </c>
      <c r="G2185">
        <v>-468.67570000000001</v>
      </c>
      <c r="H2185" s="1">
        <v>3.13782E-6</v>
      </c>
      <c r="I2185">
        <v>213.2927</v>
      </c>
      <c r="J2185">
        <v>-485.3408</v>
      </c>
      <c r="K2185">
        <v>1.118819</v>
      </c>
      <c r="L2185">
        <v>218.04949999999999</v>
      </c>
      <c r="M2185">
        <v>0.75404469999999901</v>
      </c>
      <c r="N2185">
        <v>-1.4455890000000001E-2</v>
      </c>
      <c r="O2185">
        <v>-0.65666420000000003</v>
      </c>
      <c r="P2185">
        <v>0.87362619999999902</v>
      </c>
      <c r="Q2185">
        <v>0.12900809999999999</v>
      </c>
      <c r="R2185">
        <v>-0.46918460000000001</v>
      </c>
      <c r="S2185">
        <v>3.0068969999999999</v>
      </c>
      <c r="T2185">
        <v>-0.1998075</v>
      </c>
      <c r="U2185">
        <v>-0.87281799999999998</v>
      </c>
      <c r="V2185">
        <v>-0.22280800000000001</v>
      </c>
      <c r="W2185">
        <v>0.13842270000000001</v>
      </c>
      <c r="X2185">
        <v>0.96498479999999998</v>
      </c>
      <c r="Y2185">
        <v>-0.41890100000000002</v>
      </c>
      <c r="Z2185">
        <v>4.5319079999999998E-2</v>
      </c>
      <c r="AA2185">
        <v>0.90690029999999999</v>
      </c>
      <c r="AB2185">
        <v>21</v>
      </c>
      <c r="AC2185">
        <v>16.665099999999899</v>
      </c>
      <c r="AD2185">
        <v>-1.11881586218</v>
      </c>
      <c r="AE2185">
        <v>-4.7567999999999904</v>
      </c>
      <c r="AF2185">
        <v>-7.3267675621812298</v>
      </c>
      <c r="AG2185">
        <v>-1.11881586218</v>
      </c>
      <c r="AH2185">
        <v>15.6263638544581</v>
      </c>
      <c r="AI2185">
        <v>93.709064806367294</v>
      </c>
      <c r="AJ2185">
        <v>115.120574764834</v>
      </c>
      <c r="AK2185">
        <v>17.294985375987199</v>
      </c>
      <c r="AL2185">
        <v>82.043414686536295</v>
      </c>
      <c r="AM2185">
        <v>103.00133623627001</v>
      </c>
      <c r="AN2185">
        <v>0.99999995648516404</v>
      </c>
    </row>
    <row r="2186" spans="1:40" x14ac:dyDescent="0.25">
      <c r="A2186" t="str">
        <f>"20190304155407642"</f>
        <v>20190304155407642</v>
      </c>
      <c r="B2186" t="str">
        <f>"1551686047639075"</f>
        <v>1551686047639075</v>
      </c>
      <c r="C2186" t="s">
        <v>40</v>
      </c>
      <c r="D2186">
        <v>4.2204370000000004</v>
      </c>
      <c r="E2186">
        <v>0.41346769999999999</v>
      </c>
      <c r="F2186" t="s">
        <v>63</v>
      </c>
      <c r="G2186">
        <v>-468.7491</v>
      </c>
      <c r="H2186" s="1">
        <v>3.1685510000000002E-6</v>
      </c>
      <c r="I2186">
        <v>213.48390000000001</v>
      </c>
      <c r="J2186">
        <v>-485.17759999999998</v>
      </c>
      <c r="K2186">
        <v>1.118854</v>
      </c>
      <c r="L2186">
        <v>217.92920000000001</v>
      </c>
      <c r="M2186">
        <v>0.7634417</v>
      </c>
      <c r="N2186">
        <v>-1.447702E-2</v>
      </c>
      <c r="O2186">
        <v>-0.64571460000000003</v>
      </c>
      <c r="P2186">
        <v>0.88059730000000003</v>
      </c>
      <c r="Q2186">
        <v>0.12824549999999901</v>
      </c>
      <c r="R2186">
        <v>-0.45618180000000003</v>
      </c>
      <c r="S2186">
        <v>3.018005</v>
      </c>
      <c r="T2186">
        <v>-0.20351079999999999</v>
      </c>
      <c r="U2186">
        <v>-0.83047490000000002</v>
      </c>
      <c r="V2186">
        <v>-0.22325780000000001</v>
      </c>
      <c r="W2186">
        <v>0.13765289999999999</v>
      </c>
      <c r="X2186">
        <v>0.96499100000000004</v>
      </c>
      <c r="Y2186">
        <v>-0.41842800000000002</v>
      </c>
      <c r="Z2186">
        <v>4.5887619999999997E-2</v>
      </c>
      <c r="AA2186">
        <v>0.90708999999999995</v>
      </c>
      <c r="AB2186">
        <v>21</v>
      </c>
      <c r="AC2186">
        <v>16.4284999999999</v>
      </c>
      <c r="AD2186">
        <v>-1.118850831449</v>
      </c>
      <c r="AE2186">
        <v>-4.4452999999999996</v>
      </c>
      <c r="AF2186">
        <v>-7.1841024568377696</v>
      </c>
      <c r="AG2186">
        <v>-1.118850831449</v>
      </c>
      <c r="AH2186">
        <v>15.347881259613599</v>
      </c>
      <c r="AI2186">
        <v>93.777429205974997</v>
      </c>
      <c r="AJ2186">
        <v>115.083556722908</v>
      </c>
      <c r="AK2186">
        <v>16.982950699232902</v>
      </c>
      <c r="AL2186">
        <v>82.087947624549102</v>
      </c>
      <c r="AM2186">
        <v>103.026607872337</v>
      </c>
      <c r="AN2186">
        <v>0.99999999811012497</v>
      </c>
    </row>
    <row r="2187" spans="1:40" x14ac:dyDescent="0.25">
      <c r="A2187" t="str">
        <f>"20190304155407708"</f>
        <v>20190304155407708</v>
      </c>
      <c r="B2187" t="str">
        <f>"1551686047698611"</f>
        <v>1551686047698611</v>
      </c>
      <c r="C2187" t="s">
        <v>40</v>
      </c>
      <c r="D2187">
        <v>4.3455009999999996</v>
      </c>
      <c r="E2187">
        <v>0.41305770000000003</v>
      </c>
      <c r="F2187" t="s">
        <v>63</v>
      </c>
      <c r="G2187">
        <v>-469.1354</v>
      </c>
      <c r="H2187" s="1">
        <v>3.3635180000000001E-6</v>
      </c>
      <c r="I2187">
        <v>213.7269</v>
      </c>
      <c r="J2187">
        <v>-484.66930000000002</v>
      </c>
      <c r="K2187">
        <v>1.1189880000000001</v>
      </c>
      <c r="L2187">
        <v>217.5787</v>
      </c>
      <c r="M2187">
        <v>0.79146839999999996</v>
      </c>
      <c r="N2187">
        <v>-1.454663E-2</v>
      </c>
      <c r="O2187">
        <v>-0.6110371</v>
      </c>
      <c r="P2187">
        <v>0.89931589999999995</v>
      </c>
      <c r="Q2187">
        <v>0.12888089999999999</v>
      </c>
      <c r="R2187">
        <v>-0.41787679999999999</v>
      </c>
      <c r="S2187">
        <v>3.0268250000000001</v>
      </c>
      <c r="T2187">
        <v>-0.21110400000000001</v>
      </c>
      <c r="U2187">
        <v>-0.79287719999999995</v>
      </c>
      <c r="V2187">
        <v>-0.22175049999999999</v>
      </c>
      <c r="W2187">
        <v>0.13831930000000001</v>
      </c>
      <c r="X2187">
        <v>0.96524319999999997</v>
      </c>
      <c r="Y2187">
        <v>-0.3888838</v>
      </c>
      <c r="Z2187">
        <v>4.5419840000000003E-2</v>
      </c>
      <c r="AA2187">
        <v>0.92016659999999995</v>
      </c>
      <c r="AB2187">
        <v>21</v>
      </c>
      <c r="AC2187">
        <v>15.533899999999999</v>
      </c>
      <c r="AD2187">
        <v>-1.118984636482</v>
      </c>
      <c r="AE2187">
        <v>-3.8517999999999901</v>
      </c>
      <c r="AF2187">
        <v>-6.4125449150008098</v>
      </c>
      <c r="AG2187">
        <v>-1.118984636482</v>
      </c>
      <c r="AH2187">
        <v>14.578466000998301</v>
      </c>
      <c r="AI2187">
        <v>94.018964538350204</v>
      </c>
      <c r="AJ2187">
        <v>113.742974209943</v>
      </c>
      <c r="AK2187">
        <v>15.965729856347</v>
      </c>
      <c r="AL2187">
        <v>82.049396754509502</v>
      </c>
      <c r="AM2187">
        <v>102.938363072098</v>
      </c>
      <c r="AN2187">
        <v>0.99999997407448904</v>
      </c>
    </row>
    <row r="2188" spans="1:40" x14ac:dyDescent="0.25">
      <c r="A2188" t="str">
        <f>"20190304155407734"</f>
        <v>20190304155407734</v>
      </c>
      <c r="B2188" t="str">
        <f>"1551686047728867"</f>
        <v>1551686047728867</v>
      </c>
      <c r="C2188" t="s">
        <v>40</v>
      </c>
      <c r="D2188">
        <v>4.4193129999999998</v>
      </c>
      <c r="E2188">
        <v>0.4136995</v>
      </c>
      <c r="F2188" t="s">
        <v>63</v>
      </c>
      <c r="G2188">
        <v>-467.75400000000002</v>
      </c>
      <c r="H2188" s="1">
        <v>2.618569E-6</v>
      </c>
      <c r="I2188">
        <v>213.95079999999999</v>
      </c>
      <c r="J2188">
        <v>-484.46339999999998</v>
      </c>
      <c r="K2188">
        <v>1.119024</v>
      </c>
      <c r="L2188">
        <v>217.44630000000001</v>
      </c>
      <c r="M2188">
        <v>0.80228829999999995</v>
      </c>
      <c r="N2188">
        <v>-1.4572409999999999E-2</v>
      </c>
      <c r="O2188">
        <v>-0.59675900000000004</v>
      </c>
      <c r="P2188">
        <v>0.90609470000000003</v>
      </c>
      <c r="Q2188">
        <v>0.1282208</v>
      </c>
      <c r="R2188">
        <v>-0.40317740000000002</v>
      </c>
      <c r="S2188">
        <v>3.0599059999999998</v>
      </c>
      <c r="T2188">
        <v>-0.20241960000000001</v>
      </c>
      <c r="U2188">
        <v>-0.65626530000000005</v>
      </c>
      <c r="V2188">
        <v>-0.22022900000000001</v>
      </c>
      <c r="W2188">
        <v>0.13769819999999999</v>
      </c>
      <c r="X2188">
        <v>0.96568030000000005</v>
      </c>
      <c r="Y2188">
        <v>-0.41368329999999998</v>
      </c>
      <c r="Z2188">
        <v>4.3625110000000002E-2</v>
      </c>
      <c r="AA2188">
        <v>0.90937509999999999</v>
      </c>
      <c r="AB2188">
        <v>21</v>
      </c>
      <c r="AC2188">
        <v>16.709399999999899</v>
      </c>
      <c r="AD2188">
        <v>-1.1190213814309999</v>
      </c>
      <c r="AE2188">
        <v>-3.4955000000000198</v>
      </c>
      <c r="AF2188">
        <v>-7.1371789306980897</v>
      </c>
      <c r="AG2188">
        <v>-1.1190213814309999</v>
      </c>
      <c r="AH2188">
        <v>15.4270826023259</v>
      </c>
      <c r="AI2188">
        <v>93.766477017325698</v>
      </c>
      <c r="AJ2188">
        <v>114.827128832412</v>
      </c>
      <c r="AK2188">
        <v>17.034858659815399</v>
      </c>
      <c r="AL2188">
        <v>82.085327380506499</v>
      </c>
      <c r="AM2188">
        <v>102.846922303509</v>
      </c>
      <c r="AN2188">
        <v>1.00000002426616</v>
      </c>
    </row>
    <row r="2189" spans="1:40" x14ac:dyDescent="0.25">
      <c r="A2189" t="str">
        <f>"20190304155407776"</f>
        <v>20190304155407776</v>
      </c>
      <c r="B2189" t="str">
        <f>"1551686047768883"</f>
        <v>1551686047768883</v>
      </c>
      <c r="C2189" t="s">
        <v>40</v>
      </c>
      <c r="D2189">
        <v>4.3971140000000002</v>
      </c>
      <c r="E2189">
        <v>0.41432920000000001</v>
      </c>
      <c r="F2189" t="s">
        <v>63</v>
      </c>
      <c r="G2189">
        <v>-467.81740000000002</v>
      </c>
      <c r="H2189" s="1">
        <v>2.644359E-6</v>
      </c>
      <c r="I2189">
        <v>214.1337</v>
      </c>
      <c r="J2189">
        <v>-484.13850000000002</v>
      </c>
      <c r="K2189">
        <v>1.119078</v>
      </c>
      <c r="L2189">
        <v>217.24809999999999</v>
      </c>
      <c r="M2189">
        <v>0.81875769999999903</v>
      </c>
      <c r="N2189">
        <v>-1.4610969999999999E-2</v>
      </c>
      <c r="O2189">
        <v>-0.57395339999999995</v>
      </c>
      <c r="P2189">
        <v>0.91506279999999995</v>
      </c>
      <c r="Q2189">
        <v>0.12849260000000001</v>
      </c>
      <c r="R2189">
        <v>-0.38229610000000003</v>
      </c>
      <c r="S2189">
        <v>3.06839</v>
      </c>
      <c r="T2189">
        <v>-0.20627210000000001</v>
      </c>
      <c r="U2189">
        <v>-0.61061100000000001</v>
      </c>
      <c r="V2189">
        <v>-0.21519659999999999</v>
      </c>
      <c r="W2189">
        <v>0.13809929999999901</v>
      </c>
      <c r="X2189">
        <v>0.96675690000000003</v>
      </c>
      <c r="Y2189">
        <v>-0.40152070000000001</v>
      </c>
      <c r="Z2189">
        <v>4.3229620000000003E-2</v>
      </c>
      <c r="AA2189">
        <v>0.91482909999999995</v>
      </c>
      <c r="AB2189">
        <v>21</v>
      </c>
      <c r="AC2189">
        <v>16.321100000000001</v>
      </c>
      <c r="AD2189">
        <v>-1.119075355641</v>
      </c>
      <c r="AE2189">
        <v>-3.1143999999999799</v>
      </c>
      <c r="AF2189">
        <v>-6.7875498213158103</v>
      </c>
      <c r="AG2189">
        <v>-1.119075355641</v>
      </c>
      <c r="AH2189">
        <v>15.083740930327</v>
      </c>
      <c r="AI2189">
        <v>93.870530209903606</v>
      </c>
      <c r="AJ2189">
        <v>114.227323303131</v>
      </c>
      <c r="AK2189">
        <v>16.578371532863901</v>
      </c>
      <c r="AL2189">
        <v>82.062123764603001</v>
      </c>
      <c r="AM2189">
        <v>102.549235694915</v>
      </c>
      <c r="AN2189">
        <v>0.99999994850482798</v>
      </c>
    </row>
    <row r="2190" spans="1:40" x14ac:dyDescent="0.25">
      <c r="A2190" t="str">
        <f>"20190304155407820"</f>
        <v>20190304155407820</v>
      </c>
      <c r="B2190" t="str">
        <f>"1551686047808900"</f>
        <v>1551686047808900</v>
      </c>
      <c r="C2190" t="s">
        <v>40</v>
      </c>
      <c r="D2190">
        <v>4.3831790000000002</v>
      </c>
      <c r="E2190">
        <v>0.41496090000000002</v>
      </c>
      <c r="F2190" t="s">
        <v>63</v>
      </c>
      <c r="G2190">
        <v>-467.25670000000002</v>
      </c>
      <c r="H2190" s="1">
        <v>2.3397330000000001E-6</v>
      </c>
      <c r="I2190">
        <v>214.27629999999999</v>
      </c>
      <c r="J2190">
        <v>-483.78739999999999</v>
      </c>
      <c r="K2190">
        <v>1.1191530000000001</v>
      </c>
      <c r="L2190">
        <v>217.048</v>
      </c>
      <c r="M2190">
        <v>0.83573560000000002</v>
      </c>
      <c r="N2190">
        <v>-1.465283E-2</v>
      </c>
      <c r="O2190">
        <v>-0.5489368</v>
      </c>
      <c r="P2190">
        <v>0.92471970000000003</v>
      </c>
      <c r="Q2190">
        <v>0.13074160000000001</v>
      </c>
      <c r="R2190">
        <v>-0.35749199999999998</v>
      </c>
      <c r="S2190">
        <v>3.0805359999999999</v>
      </c>
      <c r="T2190">
        <v>-0.20420530000000001</v>
      </c>
      <c r="U2190">
        <v>-0.54228209999999999</v>
      </c>
      <c r="V2190">
        <v>-0.2119143</v>
      </c>
      <c r="W2190">
        <v>0.14043420000000001</v>
      </c>
      <c r="X2190">
        <v>0.96714560000000005</v>
      </c>
      <c r="Y2190">
        <v>-0.39419870000000001</v>
      </c>
      <c r="Z2190">
        <v>4.1474240000000002E-2</v>
      </c>
      <c r="AA2190">
        <v>0.91808889999999999</v>
      </c>
      <c r="AB2190">
        <v>21</v>
      </c>
      <c r="AC2190">
        <v>16.5306999999999</v>
      </c>
      <c r="AD2190">
        <v>-1.1191506602670001</v>
      </c>
      <c r="AE2190">
        <v>-2.7717000000000001</v>
      </c>
      <c r="AF2190">
        <v>-6.7286285811822601</v>
      </c>
      <c r="AG2190">
        <v>-1.1191506602670001</v>
      </c>
      <c r="AH2190">
        <v>15.270349596873301</v>
      </c>
      <c r="AI2190">
        <v>93.836908471891903</v>
      </c>
      <c r="AJ2190">
        <v>113.779900088709</v>
      </c>
      <c r="AK2190">
        <v>16.724548352485002</v>
      </c>
      <c r="AL2190">
        <v>81.927027888931406</v>
      </c>
      <c r="AM2190">
        <v>102.35894148668</v>
      </c>
      <c r="AN2190">
        <v>1.0000000233367401</v>
      </c>
    </row>
    <row r="2191" spans="1:40" x14ac:dyDescent="0.25">
      <c r="A2191" t="str">
        <f>"20190304155407864"</f>
        <v>20190304155407864</v>
      </c>
      <c r="B2191" t="str">
        <f>"1551686047858676"</f>
        <v>1551686047858676</v>
      </c>
      <c r="C2191" t="s">
        <v>40</v>
      </c>
      <c r="D2191">
        <v>4.3209540000000004</v>
      </c>
      <c r="E2191">
        <v>0.4153403</v>
      </c>
      <c r="F2191" t="s">
        <v>63</v>
      </c>
      <c r="G2191">
        <v>-466.57080000000002</v>
      </c>
      <c r="H2191" s="1">
        <v>1.9670559999999998E-6</v>
      </c>
      <c r="I2191">
        <v>214.452</v>
      </c>
      <c r="J2191">
        <v>-483.43579999999997</v>
      </c>
      <c r="K2191">
        <v>1.1192169999999999</v>
      </c>
      <c r="L2191">
        <v>216.8622</v>
      </c>
      <c r="M2191">
        <v>0.85187969999999902</v>
      </c>
      <c r="N2191">
        <v>-1.469235E-2</v>
      </c>
      <c r="O2191">
        <v>-0.52353130000000003</v>
      </c>
      <c r="P2191">
        <v>0.9342511</v>
      </c>
      <c r="Q2191">
        <v>0.13370860000000001</v>
      </c>
      <c r="R2191">
        <v>-0.33060009999999901</v>
      </c>
      <c r="S2191">
        <v>3.0924070000000001</v>
      </c>
      <c r="T2191">
        <v>-0.20101939999999999</v>
      </c>
      <c r="U2191">
        <v>-0.46629330000000002</v>
      </c>
      <c r="V2191">
        <v>-0.21063419999999999</v>
      </c>
      <c r="W2191">
        <v>0.1434348</v>
      </c>
      <c r="X2191">
        <v>0.96698490000000004</v>
      </c>
      <c r="Y2191">
        <v>-0.38920199999999999</v>
      </c>
      <c r="Z2191">
        <v>3.9549819999999999E-2</v>
      </c>
      <c r="AA2191">
        <v>0.92030299999999998</v>
      </c>
      <c r="AB2191">
        <v>21</v>
      </c>
      <c r="AC2191">
        <v>16.864999999999899</v>
      </c>
      <c r="AD2191">
        <v>-1.1192150329439901</v>
      </c>
      <c r="AE2191">
        <v>-2.4102000000000001</v>
      </c>
      <c r="AF2191">
        <v>-6.74776387028166</v>
      </c>
      <c r="AG2191">
        <v>-1.1192150329439901</v>
      </c>
      <c r="AH2191">
        <v>15.563284142765999</v>
      </c>
      <c r="AI2191">
        <v>93.774860428113797</v>
      </c>
      <c r="AJ2191">
        <v>113.440079480707</v>
      </c>
      <c r="AK2191">
        <v>17.0000227307942</v>
      </c>
      <c r="AL2191">
        <v>81.753348020389595</v>
      </c>
      <c r="AM2191">
        <v>102.28853957787101</v>
      </c>
      <c r="AN2191">
        <v>1.00000005244434</v>
      </c>
    </row>
    <row r="2192" spans="1:40" x14ac:dyDescent="0.25">
      <c r="A2192" t="str">
        <f>"20190304155407886"</f>
        <v>20190304155407886</v>
      </c>
      <c r="B2192" t="str">
        <f>"1551686047879171"</f>
        <v>1551686047879171</v>
      </c>
      <c r="C2192" t="s">
        <v>40</v>
      </c>
      <c r="D2192">
        <v>4.3405610000000001</v>
      </c>
      <c r="E2192">
        <v>0.41143239999999998</v>
      </c>
      <c r="F2192" t="s">
        <v>63</v>
      </c>
      <c r="G2192">
        <v>-465.3793</v>
      </c>
      <c r="H2192" s="1">
        <v>1.32431E-6</v>
      </c>
      <c r="I2192">
        <v>214.65020000000001</v>
      </c>
      <c r="J2192">
        <v>-483.24990000000003</v>
      </c>
      <c r="K2192">
        <v>1.1192569999999999</v>
      </c>
      <c r="L2192">
        <v>216.7696</v>
      </c>
      <c r="M2192">
        <v>0.86007269999999902</v>
      </c>
      <c r="N2192">
        <v>-1.471219E-2</v>
      </c>
      <c r="O2192">
        <v>-0.50995970000000002</v>
      </c>
      <c r="P2192">
        <v>0.93907439999999998</v>
      </c>
      <c r="Q2192">
        <v>0.13475609999999999</v>
      </c>
      <c r="R2192">
        <v>-0.3161968</v>
      </c>
      <c r="S2192">
        <v>3.1040649999999999</v>
      </c>
      <c r="T2192">
        <v>-0.19240209999999999</v>
      </c>
      <c r="U2192">
        <v>-0.3802643</v>
      </c>
      <c r="V2192">
        <v>-0.2101278</v>
      </c>
      <c r="W2192">
        <v>0.1444974</v>
      </c>
      <c r="X2192">
        <v>0.96693680000000004</v>
      </c>
      <c r="Y2192">
        <v>-0.4002464</v>
      </c>
      <c r="Z2192">
        <v>3.7534600000000001E-2</v>
      </c>
      <c r="AA2192">
        <v>0.91563859999999997</v>
      </c>
      <c r="AB2192">
        <v>21</v>
      </c>
      <c r="AC2192">
        <v>17.8706</v>
      </c>
      <c r="AD2192">
        <v>-1.1192556756899901</v>
      </c>
      <c r="AE2192">
        <v>-2.1193999999999802</v>
      </c>
      <c r="AF2192">
        <v>-7.2631397968218199</v>
      </c>
      <c r="AG2192">
        <v>-1.1192556756899901</v>
      </c>
      <c r="AH2192">
        <v>16.3892036875028</v>
      </c>
      <c r="AI2192">
        <v>93.572672398239803</v>
      </c>
      <c r="AJ2192">
        <v>113.901298591767</v>
      </c>
      <c r="AK2192">
        <v>17.9614011281469</v>
      </c>
      <c r="AL2192">
        <v>81.691824032043797</v>
      </c>
      <c r="AM2192">
        <v>102.260481867821</v>
      </c>
      <c r="AN2192">
        <v>0.99999998306691995</v>
      </c>
    </row>
    <row r="2193" spans="1:40" x14ac:dyDescent="0.25">
      <c r="A2193" t="str">
        <f>"20190304155407909"</f>
        <v>20190304155407909</v>
      </c>
      <c r="B2193" t="str">
        <f>"1551686047898691"</f>
        <v>1551686047898691</v>
      </c>
      <c r="C2193" t="s">
        <v>40</v>
      </c>
      <c r="D2193">
        <v>4.3294670000000002</v>
      </c>
      <c r="E2193">
        <v>0.41199279999999999</v>
      </c>
      <c r="F2193" t="s">
        <v>63</v>
      </c>
      <c r="G2193">
        <v>-455.93439999999998</v>
      </c>
      <c r="H2193" s="1">
        <v>1.6423419999999901E-6</v>
      </c>
      <c r="I2193">
        <v>214.13220000000001</v>
      </c>
      <c r="J2193">
        <v>-483.06049999999999</v>
      </c>
      <c r="K2193">
        <v>1.119281</v>
      </c>
      <c r="L2193">
        <v>216.679</v>
      </c>
      <c r="M2193">
        <v>0.86816849999999901</v>
      </c>
      <c r="N2193">
        <v>-1.473066E-2</v>
      </c>
      <c r="O2193">
        <v>-0.49605090000000002</v>
      </c>
      <c r="P2193">
        <v>0.94383470000000003</v>
      </c>
      <c r="Q2193">
        <v>0.1356744</v>
      </c>
      <c r="R2193">
        <v>-0.3012782</v>
      </c>
      <c r="S2193">
        <v>3.111755</v>
      </c>
      <c r="T2193">
        <v>-0.12750410000000001</v>
      </c>
      <c r="U2193">
        <v>-0.30044559999999998</v>
      </c>
      <c r="V2193">
        <v>-0.2098476</v>
      </c>
      <c r="W2193">
        <v>0.145427799999999</v>
      </c>
      <c r="X2193">
        <v>0.9668582</v>
      </c>
      <c r="Y2193">
        <v>-0.40977479999999999</v>
      </c>
      <c r="Z2193">
        <v>2.32458E-2</v>
      </c>
      <c r="AA2193">
        <v>0.91189039999999999</v>
      </c>
      <c r="AB2193">
        <v>21</v>
      </c>
      <c r="AC2193">
        <v>27.126100000000001</v>
      </c>
      <c r="AD2193">
        <v>-1.119279357658</v>
      </c>
      <c r="AE2193">
        <v>-2.54679999999999</v>
      </c>
      <c r="AF2193">
        <v>-11.227146964475599</v>
      </c>
      <c r="AG2193">
        <v>-1.119279357658</v>
      </c>
      <c r="AH2193">
        <v>24.774249102673799</v>
      </c>
      <c r="AI2193">
        <v>92.356434679615703</v>
      </c>
      <c r="AJ2193">
        <v>114.378992377847</v>
      </c>
      <c r="AK2193">
        <v>27.222509690396802</v>
      </c>
      <c r="AL2193">
        <v>81.637947246779703</v>
      </c>
      <c r="AM2193">
        <v>102.245591789969</v>
      </c>
      <c r="AN2193">
        <v>1.00000001957291</v>
      </c>
    </row>
    <row r="2194" spans="1:40" x14ac:dyDescent="0.25">
      <c r="A2194" t="str">
        <f>"20190304155407932"</f>
        <v>20190304155407932</v>
      </c>
      <c r="B2194" t="str">
        <f>"1551686047928947"</f>
        <v>1551686047928947</v>
      </c>
      <c r="C2194" t="s">
        <v>40</v>
      </c>
      <c r="D2194">
        <v>4.3649089999999999</v>
      </c>
      <c r="E2194">
        <v>0.41280859999999903</v>
      </c>
      <c r="F2194" t="s">
        <v>63</v>
      </c>
      <c r="G2194">
        <v>-456.06659999999999</v>
      </c>
      <c r="H2194" s="1">
        <v>1.6981979999999901E-6</v>
      </c>
      <c r="I2194">
        <v>214.464</v>
      </c>
      <c r="J2194">
        <v>-482.87169999999998</v>
      </c>
      <c r="K2194">
        <v>1.1193029999999999</v>
      </c>
      <c r="L2194">
        <v>216.5925</v>
      </c>
      <c r="M2194">
        <v>0.87599050000000001</v>
      </c>
      <c r="N2194">
        <v>-1.474728E-2</v>
      </c>
      <c r="O2194">
        <v>-0.4821029</v>
      </c>
      <c r="P2194">
        <v>0.94794719999999999</v>
      </c>
      <c r="Q2194">
        <v>0.1375873</v>
      </c>
      <c r="R2194">
        <v>-0.28716920000000001</v>
      </c>
      <c r="S2194">
        <v>3.1155400000000002</v>
      </c>
      <c r="T2194">
        <v>-0.1291832</v>
      </c>
      <c r="U2194">
        <v>-0.25564579999999998</v>
      </c>
      <c r="V2194">
        <v>-0.20871619999999999</v>
      </c>
      <c r="W2194">
        <v>0.14737220000000001</v>
      </c>
      <c r="X2194">
        <v>0.96680869999999997</v>
      </c>
      <c r="Y2194">
        <v>-0.4082906</v>
      </c>
      <c r="Z2194">
        <v>2.3290419999999999E-2</v>
      </c>
      <c r="AA2194">
        <v>0.9125548</v>
      </c>
      <c r="AB2194">
        <v>21</v>
      </c>
      <c r="AC2194">
        <v>26.8050999999999</v>
      </c>
      <c r="AD2194">
        <v>-1.1193013018019999</v>
      </c>
      <c r="AE2194">
        <v>-2.1284999999999701</v>
      </c>
      <c r="AF2194">
        <v>-11.0403432382261</v>
      </c>
      <c r="AG2194">
        <v>-1.1193013018019999</v>
      </c>
      <c r="AH2194">
        <v>24.467438486156802</v>
      </c>
      <c r="AI2194">
        <v>92.387743391266696</v>
      </c>
      <c r="AJ2194">
        <v>114.28613174135</v>
      </c>
      <c r="AK2194">
        <v>26.8662904081663</v>
      </c>
      <c r="AL2194">
        <v>81.525328070015206</v>
      </c>
      <c r="AM2194">
        <v>102.182151108122</v>
      </c>
      <c r="AN2194">
        <v>1.00000003993548</v>
      </c>
    </row>
    <row r="2195" spans="1:40" x14ac:dyDescent="0.25">
      <c r="A2195" t="str">
        <f>"20190304155407957"</f>
        <v>20190304155407957</v>
      </c>
      <c r="B2195" t="str">
        <f>"1551686047948467"</f>
        <v>1551686047948467</v>
      </c>
      <c r="C2195" t="s">
        <v>40</v>
      </c>
      <c r="D2195">
        <v>4.4130089999999997</v>
      </c>
      <c r="E2195">
        <v>0.41353879999999998</v>
      </c>
      <c r="F2195" t="s">
        <v>63</v>
      </c>
      <c r="G2195">
        <v>-454.87439999999998</v>
      </c>
      <c r="H2195" s="1">
        <v>1.055429E-6</v>
      </c>
      <c r="I2195">
        <v>214.65520000000001</v>
      </c>
      <c r="J2195">
        <v>-482.66820000000001</v>
      </c>
      <c r="K2195">
        <v>1.119329</v>
      </c>
      <c r="L2195">
        <v>216.50319999999999</v>
      </c>
      <c r="M2195">
        <v>0.88415239999999995</v>
      </c>
      <c r="N2195">
        <v>-1.476449E-2</v>
      </c>
      <c r="O2195">
        <v>-0.46696530000000003</v>
      </c>
      <c r="P2195">
        <v>0.95221610000000001</v>
      </c>
      <c r="Q2195">
        <v>0.13879140000000001</v>
      </c>
      <c r="R2195">
        <v>-0.2720689</v>
      </c>
      <c r="S2195">
        <v>3.1174930000000001</v>
      </c>
      <c r="T2195">
        <v>-0.12463399999999999</v>
      </c>
      <c r="U2195">
        <v>-0.2157135</v>
      </c>
      <c r="V2195">
        <v>-0.20740049999999999</v>
      </c>
      <c r="W2195">
        <v>0.14861479999999999</v>
      </c>
      <c r="X2195">
        <v>0.96690160000000003</v>
      </c>
      <c r="Y2195">
        <v>-0.40430860000000002</v>
      </c>
      <c r="Z2195">
        <v>2.1926859999999999E-2</v>
      </c>
      <c r="AA2195">
        <v>0.9143597</v>
      </c>
      <c r="AB2195">
        <v>21</v>
      </c>
      <c r="AC2195">
        <v>27.793800000000001</v>
      </c>
      <c r="AD2195">
        <v>-1.119327944571</v>
      </c>
      <c r="AE2195">
        <v>-1.8479999999999801</v>
      </c>
      <c r="AF2195">
        <v>-11.3277715530718</v>
      </c>
      <c r="AG2195">
        <v>-1.119327944571</v>
      </c>
      <c r="AH2195">
        <v>25.398666899108601</v>
      </c>
      <c r="AI2195">
        <v>92.304838739440896</v>
      </c>
      <c r="AJ2195">
        <v>114.036807680471</v>
      </c>
      <c r="AK2195">
        <v>27.832778942426099</v>
      </c>
      <c r="AL2195">
        <v>81.453339405915798</v>
      </c>
      <c r="AM2195">
        <v>102.106501259307</v>
      </c>
      <c r="AN2195">
        <v>1.0000000151309201</v>
      </c>
    </row>
    <row r="2196" spans="1:40" x14ac:dyDescent="0.25">
      <c r="A2196" t="str">
        <f>"20190304155408000"</f>
        <v>20190304155408000</v>
      </c>
      <c r="B2196" t="str">
        <f>"1551686047988484"</f>
        <v>1551686047988484</v>
      </c>
      <c r="C2196" t="s">
        <v>40</v>
      </c>
      <c r="D2196">
        <v>4.4058799999999998</v>
      </c>
      <c r="E2196">
        <v>0.4207978</v>
      </c>
      <c r="F2196" t="s">
        <v>63</v>
      </c>
      <c r="G2196">
        <v>-453.91449999999998</v>
      </c>
      <c r="H2196" s="1">
        <v>5.3279769999999897E-7</v>
      </c>
      <c r="I2196">
        <v>214.92519999999999</v>
      </c>
      <c r="J2196">
        <v>-482.31229999999999</v>
      </c>
      <c r="K2196">
        <v>1.119354</v>
      </c>
      <c r="L2196">
        <v>216.35730000000001</v>
      </c>
      <c r="M2196">
        <v>0.89773369999999997</v>
      </c>
      <c r="N2196">
        <v>-1.479289E-2</v>
      </c>
      <c r="O2196">
        <v>-0.44029020000000002</v>
      </c>
      <c r="P2196">
        <v>0.95933800000000002</v>
      </c>
      <c r="Q2196">
        <v>0.1388336</v>
      </c>
      <c r="R2196">
        <v>-0.24575640000000001</v>
      </c>
      <c r="S2196">
        <v>3.1192929999999999</v>
      </c>
      <c r="T2196">
        <v>-0.12142840000000001</v>
      </c>
      <c r="U2196">
        <v>-0.17118839999999999</v>
      </c>
      <c r="V2196">
        <v>-0.20507259999999999</v>
      </c>
      <c r="W2196">
        <v>0.1487308</v>
      </c>
      <c r="X2196">
        <v>0.96738020000000002</v>
      </c>
      <c r="Y2196">
        <v>-0.38996940000000002</v>
      </c>
      <c r="Z2196">
        <v>2.037624E-2</v>
      </c>
      <c r="AA2196">
        <v>0.92060240000000004</v>
      </c>
      <c r="AB2196">
        <v>21</v>
      </c>
      <c r="AC2196">
        <v>28.3978</v>
      </c>
      <c r="AD2196">
        <v>-1.1193534672023</v>
      </c>
      <c r="AE2196">
        <v>-1.4321000000000099</v>
      </c>
      <c r="AF2196">
        <v>-11.201496170134501</v>
      </c>
      <c r="AG2196">
        <v>-1.1193534672023</v>
      </c>
      <c r="AH2196">
        <v>26.086631589965702</v>
      </c>
      <c r="AI2196">
        <v>92.257882173948005</v>
      </c>
      <c r="AJ2196">
        <v>113.238493711091</v>
      </c>
      <c r="AK2196">
        <v>28.411948478495301</v>
      </c>
      <c r="AL2196">
        <v>81.446618587593605</v>
      </c>
      <c r="AM2196">
        <v>101.968806071282</v>
      </c>
      <c r="AN2196">
        <v>1.00000003674571</v>
      </c>
    </row>
    <row r="2197" spans="1:40" x14ac:dyDescent="0.25">
      <c r="A2197" t="str">
        <f>"20190304155408021"</f>
        <v>20190304155408021</v>
      </c>
      <c r="B2197" t="str">
        <f>"1551686048018740"</f>
        <v>1551686048018740</v>
      </c>
      <c r="C2197" t="s">
        <v>40</v>
      </c>
      <c r="D2197">
        <v>4.4371549999999997</v>
      </c>
      <c r="E2197">
        <v>0.42599399999999998</v>
      </c>
      <c r="F2197" t="s">
        <v>63</v>
      </c>
      <c r="G2197">
        <v>-459.32299999999998</v>
      </c>
      <c r="H2197" s="1">
        <v>3.3942719999999999E-6</v>
      </c>
      <c r="I2197">
        <v>215.3066</v>
      </c>
      <c r="J2197">
        <v>-482.13220000000001</v>
      </c>
      <c r="K2197">
        <v>1.1193599999999999</v>
      </c>
      <c r="L2197">
        <v>216.28829999999999</v>
      </c>
      <c r="M2197">
        <v>0.90426600000000001</v>
      </c>
      <c r="N2197">
        <v>-1.480428E-2</v>
      </c>
      <c r="O2197">
        <v>-0.4267128</v>
      </c>
      <c r="P2197">
        <v>0.9626557</v>
      </c>
      <c r="Q2197">
        <v>0.1383066</v>
      </c>
      <c r="R2197">
        <v>-0.232735</v>
      </c>
      <c r="S2197">
        <v>3.1126399999999999</v>
      </c>
      <c r="T2197">
        <v>-0.15155479999999999</v>
      </c>
      <c r="U2197">
        <v>-0.14225769999999999</v>
      </c>
      <c r="V2197">
        <v>-0.2036231</v>
      </c>
      <c r="W2197">
        <v>0.14824979999999999</v>
      </c>
      <c r="X2197">
        <v>0.96776010000000001</v>
      </c>
      <c r="Y2197">
        <v>-0.38422430000000002</v>
      </c>
      <c r="Z2197">
        <v>2.5887980000000001E-2</v>
      </c>
      <c r="AA2197">
        <v>0.92287680000000005</v>
      </c>
      <c r="AB2197">
        <v>21</v>
      </c>
      <c r="AC2197">
        <v>22.809199999999901</v>
      </c>
      <c r="AD2197">
        <v>-1.119356605728</v>
      </c>
      <c r="AE2197">
        <v>-0.98169999999998903</v>
      </c>
      <c r="AF2197">
        <v>-8.8250149191449605</v>
      </c>
      <c r="AG2197">
        <v>-1.119356605728</v>
      </c>
      <c r="AH2197">
        <v>20.996322054286502</v>
      </c>
      <c r="AI2197">
        <v>92.813666399257798</v>
      </c>
      <c r="AJ2197">
        <v>112.79762020754001</v>
      </c>
      <c r="AK2197">
        <v>22.803056535062101</v>
      </c>
      <c r="AL2197">
        <v>81.474486411344998</v>
      </c>
      <c r="AM2197">
        <v>101.88208908380901</v>
      </c>
      <c r="AN2197">
        <v>0.99999999060282996</v>
      </c>
    </row>
    <row r="2198" spans="1:40" x14ac:dyDescent="0.25">
      <c r="A2198" t="str">
        <f>"20190304155408044"</f>
        <v>20190304155408044</v>
      </c>
      <c r="B2198" t="str">
        <f>"1551686048039235"</f>
        <v>1551686048039235</v>
      </c>
      <c r="C2198" t="s">
        <v>40</v>
      </c>
      <c r="D2198">
        <v>4.4603809999999999</v>
      </c>
      <c r="E2198">
        <v>0.42593959999999997</v>
      </c>
      <c r="F2198" t="s">
        <v>63</v>
      </c>
      <c r="G2198">
        <v>-462.01830000000001</v>
      </c>
      <c r="H2198" s="1">
        <v>-4.9606779999999998E-7</v>
      </c>
      <c r="I2198">
        <v>215.37819999999999</v>
      </c>
      <c r="J2198">
        <v>-481.94060000000002</v>
      </c>
      <c r="K2198">
        <v>1.1193550000000001</v>
      </c>
      <c r="L2198">
        <v>216.2184</v>
      </c>
      <c r="M2198">
        <v>0.91096160000000004</v>
      </c>
      <c r="N2198">
        <v>-1.48132E-2</v>
      </c>
      <c r="O2198">
        <v>-0.41222510000000001</v>
      </c>
      <c r="P2198">
        <v>0.96597040000000001</v>
      </c>
      <c r="Q2198">
        <v>0.13781570000000001</v>
      </c>
      <c r="R2198">
        <v>-0.2188794</v>
      </c>
      <c r="S2198">
        <v>3.107208</v>
      </c>
      <c r="T2198">
        <v>-0.1729193</v>
      </c>
      <c r="U2198">
        <v>-0.14059449999999901</v>
      </c>
      <c r="V2198">
        <v>-0.2020941</v>
      </c>
      <c r="W2198">
        <v>0.14780940000000001</v>
      </c>
      <c r="X2198">
        <v>0.96814789999999995</v>
      </c>
      <c r="Y2198">
        <v>-0.3696431</v>
      </c>
      <c r="Z2198">
        <v>2.9082810000000001E-2</v>
      </c>
      <c r="AA2198">
        <v>0.92871859999999995</v>
      </c>
      <c r="AB2198">
        <v>21</v>
      </c>
      <c r="AC2198">
        <v>19.9223</v>
      </c>
      <c r="AD2198">
        <v>-1.1193554960677901</v>
      </c>
      <c r="AE2198">
        <v>-0.84020000000000905</v>
      </c>
      <c r="AF2198">
        <v>-7.4245027665771701</v>
      </c>
      <c r="AG2198">
        <v>-1.1193554960677901</v>
      </c>
      <c r="AH2198">
        <v>18.438725936981498</v>
      </c>
      <c r="AI2198">
        <v>93.223096393323701</v>
      </c>
      <c r="AJ2198">
        <v>111.932581438592</v>
      </c>
      <c r="AK2198">
        <v>19.9088626555262</v>
      </c>
      <c r="AL2198">
        <v>81.500000645864702</v>
      </c>
      <c r="AM2198">
        <v>101.790783047151</v>
      </c>
      <c r="AN2198">
        <v>1.0000000001287801</v>
      </c>
    </row>
    <row r="2199" spans="1:40" x14ac:dyDescent="0.25">
      <c r="A2199" t="str">
        <f>"20190304155408066"</f>
        <v>20190304155408066</v>
      </c>
      <c r="B2199" t="str">
        <f>"1551686048058756"</f>
        <v>1551686048058756</v>
      </c>
      <c r="C2199" t="s">
        <v>40</v>
      </c>
      <c r="D2199">
        <v>4.4492029999999998</v>
      </c>
      <c r="E2199">
        <v>0.42646020000000001</v>
      </c>
      <c r="F2199" t="s">
        <v>63</v>
      </c>
      <c r="G2199">
        <v>-461.57170000000002</v>
      </c>
      <c r="H2199" s="1">
        <v>-7.4318799999999897E-7</v>
      </c>
      <c r="I2199">
        <v>215.59450000000001</v>
      </c>
      <c r="J2199">
        <v>-481.74299999999999</v>
      </c>
      <c r="K2199">
        <v>1.1193390000000001</v>
      </c>
      <c r="L2199">
        <v>216.15</v>
      </c>
      <c r="M2199">
        <v>0.9175934</v>
      </c>
      <c r="N2199">
        <v>-1.4819219999999999E-2</v>
      </c>
      <c r="O2199">
        <v>-0.39724409999999999</v>
      </c>
      <c r="P2199">
        <v>0.9693678</v>
      </c>
      <c r="Q2199">
        <v>0.13659199999999999</v>
      </c>
      <c r="R2199">
        <v>-0.2041299</v>
      </c>
      <c r="S2199">
        <v>3.1084900000000002</v>
      </c>
      <c r="T2199">
        <v>-0.17082449999999999</v>
      </c>
      <c r="U2199">
        <v>-9.5214839999999995E-2</v>
      </c>
      <c r="V2199">
        <v>-0.2010236</v>
      </c>
      <c r="W2199">
        <v>0.14662790000000001</v>
      </c>
      <c r="X2199">
        <v>0.96855029999999998</v>
      </c>
      <c r="Y2199">
        <v>-0.36801620000000002</v>
      </c>
      <c r="Z2199">
        <v>2.812189E-2</v>
      </c>
      <c r="AA2199">
        <v>0.92939400000000005</v>
      </c>
      <c r="AB2199">
        <v>21</v>
      </c>
      <c r="AC2199">
        <v>20.171299999999999</v>
      </c>
      <c r="AD2199">
        <v>-1.1193397431879999</v>
      </c>
      <c r="AE2199">
        <v>-0.555499999999995</v>
      </c>
      <c r="AF2199">
        <v>-7.4810112718152304</v>
      </c>
      <c r="AG2199">
        <v>-1.1193397431879999</v>
      </c>
      <c r="AH2199">
        <v>18.674315778669001</v>
      </c>
      <c r="AI2199">
        <v>93.184730810466803</v>
      </c>
      <c r="AJ2199">
        <v>111.831251591333</v>
      </c>
      <c r="AK2199">
        <v>20.1481642069731</v>
      </c>
      <c r="AL2199">
        <v>81.568440972470796</v>
      </c>
      <c r="AM2199">
        <v>101.725323352131</v>
      </c>
      <c r="AN2199">
        <v>0.99999995622272897</v>
      </c>
    </row>
    <row r="2200" spans="1:40" x14ac:dyDescent="0.25">
      <c r="A2200" t="str">
        <f>"20190304155408089"</f>
        <v>20190304155408089</v>
      </c>
      <c r="B2200" t="str">
        <f>"1551686048078276"</f>
        <v>1551686048078276</v>
      </c>
      <c r="C2200" t="s">
        <v>40</v>
      </c>
      <c r="D2200">
        <v>4.4723769999999998</v>
      </c>
      <c r="E2200">
        <v>0.4276085</v>
      </c>
      <c r="F2200" t="s">
        <v>63</v>
      </c>
      <c r="G2200">
        <v>-461.75360000000001</v>
      </c>
      <c r="H2200" s="1">
        <v>-6.5617900000000002E-7</v>
      </c>
      <c r="I2200">
        <v>215.8184</v>
      </c>
      <c r="J2200">
        <v>-481.54820000000001</v>
      </c>
      <c r="K2200">
        <v>1.119318</v>
      </c>
      <c r="L2200">
        <v>216.08609999999999</v>
      </c>
      <c r="M2200">
        <v>0.92385859999999997</v>
      </c>
      <c r="N2200">
        <v>-1.4822899999999899E-2</v>
      </c>
      <c r="O2200">
        <v>-0.38244689999999998</v>
      </c>
      <c r="P2200">
        <v>0.97246719999999998</v>
      </c>
      <c r="Q2200">
        <v>0.13451489999999999</v>
      </c>
      <c r="R2200">
        <v>-0.1902981</v>
      </c>
      <c r="S2200">
        <v>3.1084290000000001</v>
      </c>
      <c r="T2200">
        <v>-0.17406170000000001</v>
      </c>
      <c r="U2200">
        <v>-5.155945E-2</v>
      </c>
      <c r="V2200">
        <v>-0.1993124</v>
      </c>
      <c r="W2200">
        <v>0.14461070000000001</v>
      </c>
      <c r="X2200">
        <v>0.96920700000000004</v>
      </c>
      <c r="Y2200">
        <v>-0.3660947</v>
      </c>
      <c r="Z2200">
        <v>2.813301E-2</v>
      </c>
      <c r="AA2200">
        <v>0.93015219999999998</v>
      </c>
      <c r="AB2200">
        <v>21</v>
      </c>
      <c r="AC2200">
        <v>19.794599999999999</v>
      </c>
      <c r="AD2200">
        <v>-1.1193186561790001</v>
      </c>
      <c r="AE2200">
        <v>-0.26769999999999</v>
      </c>
      <c r="AF2200">
        <v>-7.3005315019741897</v>
      </c>
      <c r="AG2200">
        <v>-1.1193186561790001</v>
      </c>
      <c r="AH2200">
        <v>18.3332023610016</v>
      </c>
      <c r="AI2200">
        <v>93.246467143133799</v>
      </c>
      <c r="AJ2200">
        <v>111.713122340464</v>
      </c>
      <c r="AK2200">
        <v>19.765043467567299</v>
      </c>
      <c r="AL2200">
        <v>81.685263221563403</v>
      </c>
      <c r="AM2200">
        <v>101.620577225863</v>
      </c>
      <c r="AN2200">
        <v>0.99999994809862303</v>
      </c>
    </row>
    <row r="2201" spans="1:40" x14ac:dyDescent="0.25">
      <c r="A2201" t="str">
        <f>"20190304155408136"</f>
        <v>20190304155408136</v>
      </c>
      <c r="B2201" t="str">
        <f>"1551686048128604"</f>
        <v>1551686048128604</v>
      </c>
      <c r="C2201" t="s">
        <v>40</v>
      </c>
      <c r="D2201">
        <v>4.455495</v>
      </c>
      <c r="E2201">
        <v>0.43646750000000001</v>
      </c>
      <c r="F2201" t="s">
        <v>63</v>
      </c>
      <c r="G2201">
        <v>-462.43549999999999</v>
      </c>
      <c r="H2201" s="1">
        <v>-3.007715E-7</v>
      </c>
      <c r="I2201">
        <v>215.98929999999999</v>
      </c>
      <c r="J2201">
        <v>-481.15039999999999</v>
      </c>
      <c r="K2201">
        <v>1.119262</v>
      </c>
      <c r="L2201">
        <v>215.96600000000001</v>
      </c>
      <c r="M2201">
        <v>0.93582759999999998</v>
      </c>
      <c r="N2201">
        <v>-1.4825130000000001E-2</v>
      </c>
      <c r="O2201">
        <v>-0.35214620000000002</v>
      </c>
      <c r="P2201">
        <v>0.97741789999999995</v>
      </c>
      <c r="Q2201">
        <v>0.13442460000000001</v>
      </c>
      <c r="R2201">
        <v>-0.16304779999999999</v>
      </c>
      <c r="S2201">
        <v>3.106995</v>
      </c>
      <c r="T2201">
        <v>-0.1819578</v>
      </c>
      <c r="U2201">
        <v>-1.5731809999999999E-2</v>
      </c>
      <c r="V2201">
        <v>-0.1947941</v>
      </c>
      <c r="W2201">
        <v>0.14465790000000001</v>
      </c>
      <c r="X2201">
        <v>0.97011820000000004</v>
      </c>
      <c r="Y2201">
        <v>-0.34638649999999999</v>
      </c>
      <c r="Z2201">
        <v>2.7659079999999999E-2</v>
      </c>
      <c r="AA2201">
        <v>0.93768410000000002</v>
      </c>
      <c r="AB2201">
        <v>21</v>
      </c>
      <c r="AC2201">
        <v>18.7149</v>
      </c>
      <c r="AD2201">
        <v>-1.1192623007714999</v>
      </c>
      <c r="AE2201">
        <v>2.3300000000006E-2</v>
      </c>
      <c r="AF2201">
        <v>-6.5893439506738902</v>
      </c>
      <c r="AG2201">
        <v>-1.1192623007714999</v>
      </c>
      <c r="AH2201">
        <v>17.445241570897998</v>
      </c>
      <c r="AI2201">
        <v>93.4347613331568</v>
      </c>
      <c r="AJ2201">
        <v>110.692344756129</v>
      </c>
      <c r="AK2201">
        <v>18.681773343695099</v>
      </c>
      <c r="AL2201">
        <v>81.682530437537395</v>
      </c>
      <c r="AM2201">
        <v>101.353679479283</v>
      </c>
      <c r="AN2201">
        <v>0.99999998569922899</v>
      </c>
    </row>
    <row r="2202" spans="1:40" x14ac:dyDescent="0.25">
      <c r="A2202" t="str">
        <f>"20190304155408158"</f>
        <v>20190304155408158</v>
      </c>
      <c r="B2202" t="str">
        <f>"1551686048149100"</f>
        <v>1551686048149100</v>
      </c>
      <c r="C2202" t="s">
        <v>40</v>
      </c>
      <c r="D2202">
        <v>4.4610620000000001</v>
      </c>
      <c r="E2202">
        <v>0.43698959999999998</v>
      </c>
      <c r="F2202" t="s">
        <v>63</v>
      </c>
      <c r="G2202">
        <v>-463.97919999999999</v>
      </c>
      <c r="H2202" s="1">
        <v>5.2129029999999995E-7</v>
      </c>
      <c r="I2202">
        <v>215.976</v>
      </c>
      <c r="J2202">
        <v>-480.94819999999999</v>
      </c>
      <c r="K2202">
        <v>1.1192390000000001</v>
      </c>
      <c r="L2202">
        <v>215.9102</v>
      </c>
      <c r="M2202">
        <v>0.94148810000000005</v>
      </c>
      <c r="N2202">
        <v>-1.4823899999999999E-2</v>
      </c>
      <c r="O2202">
        <v>-0.33672020000000003</v>
      </c>
      <c r="P2202">
        <v>0.9794098</v>
      </c>
      <c r="Q2202">
        <v>0.1345904</v>
      </c>
      <c r="R2202">
        <v>-0.1504731</v>
      </c>
      <c r="S2202">
        <v>3.0973820000000001</v>
      </c>
      <c r="T2202">
        <v>-0.20189480000000001</v>
      </c>
      <c r="U2202">
        <v>1.8005370000000001E-3</v>
      </c>
      <c r="V2202">
        <v>-0.191298</v>
      </c>
      <c r="W2202">
        <v>0.1449193</v>
      </c>
      <c r="X2202">
        <v>0.97077469999999999</v>
      </c>
      <c r="Y2202">
        <v>-0.33602870000000001</v>
      </c>
      <c r="Z2202">
        <v>2.996675E-2</v>
      </c>
      <c r="AA2202">
        <v>0.94137490000000001</v>
      </c>
      <c r="AB2202">
        <v>21</v>
      </c>
      <c r="AC2202">
        <v>16.968999999999902</v>
      </c>
      <c r="AD2202">
        <v>-1.1192384787096901</v>
      </c>
      <c r="AE2202">
        <v>6.5799999999995806E-2</v>
      </c>
      <c r="AF2202">
        <v>-5.7513688744634504</v>
      </c>
      <c r="AG2202">
        <v>-1.1192384787096901</v>
      </c>
      <c r="AH2202">
        <v>15.8865953528309</v>
      </c>
      <c r="AI2202">
        <v>93.789980076754006</v>
      </c>
      <c r="AJ2202">
        <v>109.901599563339</v>
      </c>
      <c r="AK2202">
        <v>16.932656336409799</v>
      </c>
      <c r="AL2202">
        <v>81.667394135124695</v>
      </c>
      <c r="AM2202">
        <v>101.147707892645</v>
      </c>
      <c r="AN2202">
        <v>1.00000002323828</v>
      </c>
    </row>
    <row r="2203" spans="1:40" x14ac:dyDescent="0.25">
      <c r="A2203" t="str">
        <f>"20190304155408201"</f>
        <v>20190304155408201</v>
      </c>
      <c r="B2203" t="str">
        <f>"1551686048198877"</f>
        <v>1551686048198877</v>
      </c>
      <c r="C2203" t="s">
        <v>40</v>
      </c>
      <c r="D2203">
        <v>4.4692720000000001</v>
      </c>
      <c r="E2203">
        <v>0.43996770000000002</v>
      </c>
      <c r="F2203" t="s">
        <v>63</v>
      </c>
      <c r="G2203">
        <v>-464.43970000000002</v>
      </c>
      <c r="H2203" s="1">
        <v>7.604616E-7</v>
      </c>
      <c r="I2203">
        <v>216.11070000000001</v>
      </c>
      <c r="J2203">
        <v>-480.58249999999998</v>
      </c>
      <c r="K2203">
        <v>1.1192200000000001</v>
      </c>
      <c r="L2203">
        <v>215.8185</v>
      </c>
      <c r="M2203">
        <v>0.95101880000000005</v>
      </c>
      <c r="N2203">
        <v>-1.481915E-2</v>
      </c>
      <c r="O2203">
        <v>-0.30877789999999999</v>
      </c>
      <c r="P2203">
        <v>0.98230399999999995</v>
      </c>
      <c r="Q2203">
        <v>0.1346744</v>
      </c>
      <c r="R2203">
        <v>-0.13016069999999999</v>
      </c>
      <c r="S2203">
        <v>3.0976870000000001</v>
      </c>
      <c r="T2203">
        <v>-0.2100158</v>
      </c>
      <c r="U2203">
        <v>3.7612920000000001E-2</v>
      </c>
      <c r="V2203">
        <v>-0.18269640000000001</v>
      </c>
      <c r="W2203">
        <v>0.14522639999999901</v>
      </c>
      <c r="X2203">
        <v>0.97238429999999998</v>
      </c>
      <c r="Y2203">
        <v>-0.31903209999999999</v>
      </c>
      <c r="Z2203">
        <v>2.919971E-2</v>
      </c>
      <c r="AA2203">
        <v>0.94729399999999997</v>
      </c>
      <c r="AB2203">
        <v>21</v>
      </c>
      <c r="AC2203">
        <v>16.142799999999902</v>
      </c>
      <c r="AD2203">
        <v>-1.1192192395384</v>
      </c>
      <c r="AE2203">
        <v>0.29220000000000801</v>
      </c>
      <c r="AF2203">
        <v>-5.2378351550915401</v>
      </c>
      <c r="AG2203">
        <v>-1.1192192395384</v>
      </c>
      <c r="AH2203">
        <v>15.190559425260201</v>
      </c>
      <c r="AI2203">
        <v>93.984454559975902</v>
      </c>
      <c r="AJ2203">
        <v>109.024632546679</v>
      </c>
      <c r="AK2203">
        <v>16.107161899925998</v>
      </c>
      <c r="AL2203">
        <v>81.649609888455799</v>
      </c>
      <c r="AM2203">
        <v>100.640962117366</v>
      </c>
      <c r="AN2203">
        <v>0.99999995435820399</v>
      </c>
    </row>
    <row r="2204" spans="1:40" x14ac:dyDescent="0.25">
      <c r="A2204" t="str">
        <f>"20190304155408224"</f>
        <v>20190304155408224</v>
      </c>
      <c r="B2204" t="str">
        <f>"1551686048218396"</f>
        <v>1551686048218396</v>
      </c>
      <c r="C2204" t="s">
        <v>40</v>
      </c>
      <c r="D2204">
        <v>4.4933139999999998</v>
      </c>
      <c r="E2204">
        <v>0.44108399999999998</v>
      </c>
      <c r="F2204" t="s">
        <v>63</v>
      </c>
      <c r="G2204">
        <v>-464.11419999999998</v>
      </c>
      <c r="H2204" s="1">
        <v>5.8143309999999996E-7</v>
      </c>
      <c r="I2204">
        <v>216.2439</v>
      </c>
      <c r="J2204">
        <v>-480.38200000000001</v>
      </c>
      <c r="K2204">
        <v>1.119205</v>
      </c>
      <c r="L2204">
        <v>215.7732</v>
      </c>
      <c r="M2204">
        <v>0.95586260000000001</v>
      </c>
      <c r="N2204">
        <v>-1.4815399999999999E-2</v>
      </c>
      <c r="O2204">
        <v>-0.29344029999999999</v>
      </c>
      <c r="P2204">
        <v>0.98344869999999995</v>
      </c>
      <c r="Q2204">
        <v>0.136541</v>
      </c>
      <c r="R2204">
        <v>-0.11910179999999999</v>
      </c>
      <c r="S2204">
        <v>3.093445</v>
      </c>
      <c r="T2204">
        <v>-0.21023710000000001</v>
      </c>
      <c r="U2204">
        <v>7.991028E-2</v>
      </c>
      <c r="V2204">
        <v>-0.17793999999999999</v>
      </c>
      <c r="W2204">
        <v>0.14720899999999901</v>
      </c>
      <c r="X2204">
        <v>0.9729681</v>
      </c>
      <c r="Y2204">
        <v>-0.316774</v>
      </c>
      <c r="Z2204">
        <v>2.8423670000000002E-2</v>
      </c>
      <c r="AA2204">
        <v>0.94807509999999995</v>
      </c>
      <c r="AB2204">
        <v>21</v>
      </c>
      <c r="AC2204">
        <v>16.267799999999902</v>
      </c>
      <c r="AD2204">
        <v>-1.1192044185668999</v>
      </c>
      <c r="AE2204">
        <v>0.47069999999999301</v>
      </c>
      <c r="AF2204">
        <v>-5.1995357516951097</v>
      </c>
      <c r="AG2204">
        <v>-1.1192044185668999</v>
      </c>
      <c r="AH2204">
        <v>15.3407994215037</v>
      </c>
      <c r="AI2204">
        <v>93.952581851200605</v>
      </c>
      <c r="AJ2204">
        <v>108.72332481541901</v>
      </c>
      <c r="AK2204">
        <v>16.236622723168299</v>
      </c>
      <c r="AL2204">
        <v>81.534781752833098</v>
      </c>
      <c r="AM2204">
        <v>100.363931123957</v>
      </c>
      <c r="AN2204">
        <v>1.0000000284493</v>
      </c>
    </row>
    <row r="2205" spans="1:40" x14ac:dyDescent="0.25">
      <c r="A2205" t="str">
        <f>"20190304155408246"</f>
        <v>20190304155408246</v>
      </c>
      <c r="B2205" t="str">
        <f>"1551686048238893"</f>
        <v>1551686048238893</v>
      </c>
      <c r="C2205" t="s">
        <v>40</v>
      </c>
      <c r="D2205">
        <v>4.4776319999999998</v>
      </c>
      <c r="E2205">
        <v>0.44165389999999999</v>
      </c>
      <c r="F2205" t="s">
        <v>63</v>
      </c>
      <c r="G2205">
        <v>-463.62299999999999</v>
      </c>
      <c r="H2205" s="1">
        <v>3.1550279999999998E-7</v>
      </c>
      <c r="I2205">
        <v>216.34790000000001</v>
      </c>
      <c r="J2205">
        <v>-480.18150000000003</v>
      </c>
      <c r="K2205">
        <v>1.119191</v>
      </c>
      <c r="L2205">
        <v>215.7313</v>
      </c>
      <c r="M2205">
        <v>0.96044010000000002</v>
      </c>
      <c r="N2205">
        <v>-1.481064E-2</v>
      </c>
      <c r="O2205">
        <v>-0.27809270000000003</v>
      </c>
      <c r="P2205">
        <v>0.98455890000000001</v>
      </c>
      <c r="Q2205">
        <v>0.1376502</v>
      </c>
      <c r="R2205">
        <v>-0.1081496</v>
      </c>
      <c r="S2205">
        <v>3.09198</v>
      </c>
      <c r="T2205">
        <v>-0.2064897</v>
      </c>
      <c r="U2205">
        <v>0.1060333</v>
      </c>
      <c r="V2205">
        <v>-0.1731442</v>
      </c>
      <c r="W2205">
        <v>0.14843609999999999</v>
      </c>
      <c r="X2205">
        <v>0.97364660000000003</v>
      </c>
      <c r="Y2205">
        <v>-0.30967620000000001</v>
      </c>
      <c r="Z2205">
        <v>2.685328E-2</v>
      </c>
      <c r="AA2205">
        <v>0.95046280000000005</v>
      </c>
      <c r="AB2205">
        <v>21</v>
      </c>
      <c r="AC2205">
        <v>16.558499999999899</v>
      </c>
      <c r="AD2205">
        <v>-1.1191906844971999</v>
      </c>
      <c r="AE2205">
        <v>0.61660000000000503</v>
      </c>
      <c r="AF2205">
        <v>-5.1739710405915798</v>
      </c>
      <c r="AG2205">
        <v>-1.1191906844971999</v>
      </c>
      <c r="AH2205">
        <v>15.6622477790761</v>
      </c>
      <c r="AI2205">
        <v>93.881650879086806</v>
      </c>
      <c r="AJ2205">
        <v>108.280799013463</v>
      </c>
      <c r="AK2205">
        <v>16.5326516206663</v>
      </c>
      <c r="AL2205">
        <v>81.463692400732299</v>
      </c>
      <c r="AM2205">
        <v>100.08353406463701</v>
      </c>
      <c r="AN2205">
        <v>0.99999994573420303</v>
      </c>
    </row>
    <row r="2206" spans="1:40" x14ac:dyDescent="0.25">
      <c r="A2206" t="str">
        <f>"20190304155408290"</f>
        <v>20190304155408290</v>
      </c>
      <c r="B2206" t="str">
        <f>"1551686048278909"</f>
        <v>1551686048278909</v>
      </c>
      <c r="C2206" t="s">
        <v>40</v>
      </c>
      <c r="D2206">
        <v>4.4658410000000002</v>
      </c>
      <c r="E2206">
        <v>0.4519898</v>
      </c>
      <c r="F2206" t="s">
        <v>63</v>
      </c>
      <c r="G2206">
        <v>-463.2355</v>
      </c>
      <c r="H2206" s="1">
        <v>1.037914E-7</v>
      </c>
      <c r="I2206">
        <v>216.47409999999999</v>
      </c>
      <c r="J2206">
        <v>-479.79590000000002</v>
      </c>
      <c r="K2206">
        <v>1.1191230000000001</v>
      </c>
      <c r="L2206">
        <v>215.65989999999999</v>
      </c>
      <c r="M2206">
        <v>0.96850060000000004</v>
      </c>
      <c r="N2206">
        <v>-1.479684E-2</v>
      </c>
      <c r="O2206">
        <v>-0.2485713</v>
      </c>
      <c r="P2206">
        <v>0.98613640000000002</v>
      </c>
      <c r="Q2206">
        <v>0.1390904</v>
      </c>
      <c r="R2206">
        <v>-9.0493340000000005E-2</v>
      </c>
      <c r="S2206">
        <v>3.0904539999999998</v>
      </c>
      <c r="T2206">
        <v>-0.20410800000000001</v>
      </c>
      <c r="U2206">
        <v>0.13546749999999999</v>
      </c>
      <c r="V2206">
        <v>-0.16070889999999999</v>
      </c>
      <c r="W2206">
        <v>0.1501797</v>
      </c>
      <c r="X2206">
        <v>0.97550950000000003</v>
      </c>
      <c r="Y2206">
        <v>-0.28968829999999901</v>
      </c>
      <c r="Z2206">
        <v>2.4283329999999999E-2</v>
      </c>
      <c r="AA2206">
        <v>0.95681289999999997</v>
      </c>
      <c r="AB2206">
        <v>21</v>
      </c>
      <c r="AC2206">
        <v>16.560400000000001</v>
      </c>
      <c r="AD2206">
        <v>-1.1191228962085999</v>
      </c>
      <c r="AE2206">
        <v>0.81419999999999904</v>
      </c>
      <c r="AF2206">
        <v>-4.8832829780295102</v>
      </c>
      <c r="AG2206">
        <v>-1.1191228962085999</v>
      </c>
      <c r="AH2206">
        <v>15.7662760100869</v>
      </c>
      <c r="AI2206">
        <v>93.878958861735299</v>
      </c>
      <c r="AJ2206">
        <v>107.20930269540401</v>
      </c>
      <c r="AK2206">
        <v>16.543105752142601</v>
      </c>
      <c r="AL2206">
        <v>81.362659760404796</v>
      </c>
      <c r="AM2206">
        <v>99.355080542591793</v>
      </c>
      <c r="AN2206">
        <v>1.0000000387107699</v>
      </c>
    </row>
    <row r="2207" spans="1:40" x14ac:dyDescent="0.25">
      <c r="A2207" t="str">
        <f>"20190304155408312"</f>
        <v>20190304155408312</v>
      </c>
      <c r="B2207" t="str">
        <f>"1551686048309164"</f>
        <v>1551686048309164</v>
      </c>
      <c r="C2207" t="s">
        <v>40</v>
      </c>
      <c r="D2207">
        <v>4.4702580000000003</v>
      </c>
      <c r="E2207">
        <v>0.45939730000000001</v>
      </c>
      <c r="F2207" t="s">
        <v>63</v>
      </c>
      <c r="G2207">
        <v>-463.35359999999997</v>
      </c>
      <c r="H2207" s="1">
        <v>1.769453E-7</v>
      </c>
      <c r="I2207">
        <v>216.23840000000001</v>
      </c>
      <c r="J2207">
        <v>-479.6026</v>
      </c>
      <c r="K2207">
        <v>1.1190880000000001</v>
      </c>
      <c r="L2207">
        <v>215.62860000000001</v>
      </c>
      <c r="M2207">
        <v>0.97217109999999995</v>
      </c>
      <c r="N2207">
        <v>-1.4785700000000001E-2</v>
      </c>
      <c r="O2207">
        <v>-0.23380519999999999</v>
      </c>
      <c r="P2207">
        <v>0.98690409999999995</v>
      </c>
      <c r="Q2207">
        <v>0.13915069999999999</v>
      </c>
      <c r="R2207">
        <v>-8.1591230000000001E-2</v>
      </c>
      <c r="S2207">
        <v>3.081696</v>
      </c>
      <c r="T2207">
        <v>-0.20975199999999999</v>
      </c>
      <c r="U2207">
        <v>0.108429</v>
      </c>
      <c r="V2207">
        <v>-0.154634299999999</v>
      </c>
      <c r="W2207">
        <v>0.15038850000000001</v>
      </c>
      <c r="X2207">
        <v>0.97645870000000001</v>
      </c>
      <c r="Y2207">
        <v>-0.26679979999999998</v>
      </c>
      <c r="Z2207">
        <v>2.3363539999999999E-2</v>
      </c>
      <c r="AA2207">
        <v>0.96346869999999996</v>
      </c>
      <c r="AB2207">
        <v>21</v>
      </c>
      <c r="AC2207">
        <v>16.248999999999999</v>
      </c>
      <c r="AD2207">
        <v>-1.1190878230546999</v>
      </c>
      <c r="AE2207">
        <v>0.609800000000007</v>
      </c>
      <c r="AF2207">
        <v>-4.37170361200209</v>
      </c>
      <c r="AG2207">
        <v>-1.1190878230546999</v>
      </c>
      <c r="AH2207">
        <v>15.5821382796069</v>
      </c>
      <c r="AI2207">
        <v>93.955633003667799</v>
      </c>
      <c r="AJ2207">
        <v>105.671923193914</v>
      </c>
      <c r="AK2207">
        <v>16.222428406120098</v>
      </c>
      <c r="AL2207">
        <v>81.350558897793206</v>
      </c>
      <c r="AM2207">
        <v>98.998765606857503</v>
      </c>
      <c r="AN2207">
        <v>1.0000000302372101</v>
      </c>
    </row>
    <row r="2208" spans="1:40" x14ac:dyDescent="0.25">
      <c r="A2208" t="str">
        <f>"20190304155408337"</f>
        <v>20190304155408337</v>
      </c>
      <c r="B2208" t="str">
        <f>"1551686048328685"</f>
        <v>1551686048328685</v>
      </c>
      <c r="C2208" t="s">
        <v>40</v>
      </c>
      <c r="D2208">
        <v>4.4643449999999998</v>
      </c>
      <c r="E2208">
        <v>0.4598778</v>
      </c>
      <c r="F2208" t="s">
        <v>63</v>
      </c>
      <c r="G2208">
        <v>-462.62759999999997</v>
      </c>
      <c r="H2208" s="1">
        <v>-2.0153249999999999E-7</v>
      </c>
      <c r="I2208">
        <v>216.0575</v>
      </c>
      <c r="J2208">
        <v>-479.38420000000002</v>
      </c>
      <c r="K2208">
        <v>1.1190199999999999</v>
      </c>
      <c r="L2208">
        <v>215.5966</v>
      </c>
      <c r="M2208">
        <v>0.97601470000000001</v>
      </c>
      <c r="N2208">
        <v>-1.476741E-2</v>
      </c>
      <c r="O2208">
        <v>-0.21720349999999999</v>
      </c>
      <c r="P2208">
        <v>0.98781319999999995</v>
      </c>
      <c r="Q2208">
        <v>0.1390005</v>
      </c>
      <c r="R2208">
        <v>-7.0030010000000004E-2</v>
      </c>
      <c r="S2208">
        <v>3.0747680000000002</v>
      </c>
      <c r="T2208">
        <v>-0.20270560000000001</v>
      </c>
      <c r="U2208">
        <v>7.7697749999999996E-2</v>
      </c>
      <c r="V2208">
        <v>-0.1493864</v>
      </c>
      <c r="W2208">
        <v>0.15037010000000001</v>
      </c>
      <c r="X2208">
        <v>0.97727810000000004</v>
      </c>
      <c r="Y2208">
        <v>-0.24089820000000001</v>
      </c>
      <c r="Z2208">
        <v>2.071535E-2</v>
      </c>
      <c r="AA2208">
        <v>0.97032929999999995</v>
      </c>
      <c r="AB2208">
        <v>21</v>
      </c>
      <c r="AC2208">
        <v>16.756599999999999</v>
      </c>
      <c r="AD2208">
        <v>-1.1190202015324999</v>
      </c>
      <c r="AE2208">
        <v>0.46090000000000902</v>
      </c>
      <c r="AF2208">
        <v>-4.0717381162995503</v>
      </c>
      <c r="AG2208">
        <v>-1.1190202015324999</v>
      </c>
      <c r="AH2208">
        <v>16.184228446452199</v>
      </c>
      <c r="AI2208">
        <v>93.836117239671196</v>
      </c>
      <c r="AJ2208">
        <v>104.121779925821</v>
      </c>
      <c r="AK2208">
        <v>16.726042804743699</v>
      </c>
      <c r="AL2208">
        <v>81.351624777311102</v>
      </c>
      <c r="AM2208">
        <v>98.690939133263299</v>
      </c>
      <c r="AN2208">
        <v>0.99999997410928898</v>
      </c>
    </row>
    <row r="2209" spans="1:40" x14ac:dyDescent="0.25">
      <c r="A2209" t="str">
        <f>"20190304155408358"</f>
        <v>20190304155408358</v>
      </c>
      <c r="B2209" t="str">
        <f>"1551686048349180"</f>
        <v>1551686048349180</v>
      </c>
      <c r="C2209" t="s">
        <v>40</v>
      </c>
      <c r="D2209">
        <v>4.4311369999999997</v>
      </c>
      <c r="E2209">
        <v>0.46087739999999999</v>
      </c>
      <c r="F2209" t="s">
        <v>63</v>
      </c>
      <c r="G2209">
        <v>-462.49099999999999</v>
      </c>
      <c r="H2209" s="1">
        <v>-2.8027320000000002E-7</v>
      </c>
      <c r="I2209">
        <v>216.19669999999999</v>
      </c>
      <c r="J2209">
        <v>-479.18990000000002</v>
      </c>
      <c r="K2209">
        <v>1.118908</v>
      </c>
      <c r="L2209">
        <v>215.57130000000001</v>
      </c>
      <c r="M2209">
        <v>0.97915730000000001</v>
      </c>
      <c r="N2209">
        <v>-1.474177E-2</v>
      </c>
      <c r="O2209">
        <v>-0.2025689</v>
      </c>
      <c r="P2209">
        <v>0.98856089999999996</v>
      </c>
      <c r="Q2209">
        <v>0.13867270000000001</v>
      </c>
      <c r="R2209">
        <v>-5.9309769999999998E-2</v>
      </c>
      <c r="S2209">
        <v>3.0733950000000001</v>
      </c>
      <c r="T2209">
        <v>-0.2035843</v>
      </c>
      <c r="U2209">
        <v>0.1091766</v>
      </c>
      <c r="V2209">
        <v>-0.1453121</v>
      </c>
      <c r="W2209">
        <v>0.150149</v>
      </c>
      <c r="X2209">
        <v>0.97792619999999997</v>
      </c>
      <c r="Y2209">
        <v>-0.23633119999999999</v>
      </c>
      <c r="Z2209">
        <v>1.9906670000000001E-2</v>
      </c>
      <c r="AA2209">
        <v>0.97146860000000002</v>
      </c>
      <c r="AB2209">
        <v>21</v>
      </c>
      <c r="AC2209">
        <v>16.698899999999998</v>
      </c>
      <c r="AD2209">
        <v>-1.1189082802732</v>
      </c>
      <c r="AE2209">
        <v>0.62539999999998397</v>
      </c>
      <c r="AF2209">
        <v>-3.9776427161974</v>
      </c>
      <c r="AG2209">
        <v>-1.1189082802732</v>
      </c>
      <c r="AH2209">
        <v>16.1535003065589</v>
      </c>
      <c r="AI2209">
        <v>93.847813894469297</v>
      </c>
      <c r="AJ2209">
        <v>103.833321176865</v>
      </c>
      <c r="AK2209">
        <v>16.673606972439501</v>
      </c>
      <c r="AL2209">
        <v>81.364438496105095</v>
      </c>
      <c r="AM2209">
        <v>98.451857255285404</v>
      </c>
      <c r="AN2209">
        <v>0.99999999062692402</v>
      </c>
    </row>
    <row r="2210" spans="1:40" x14ac:dyDescent="0.25">
      <c r="A2210" t="str">
        <f>"20190304155408400"</f>
        <v>20190304155408400</v>
      </c>
      <c r="B2210" t="str">
        <f>"1551686048389196"</f>
        <v>1551686048389196</v>
      </c>
      <c r="C2210" t="s">
        <v>40</v>
      </c>
      <c r="D2210">
        <v>4.4664729999999997</v>
      </c>
      <c r="E2210">
        <v>0.46281620000000001</v>
      </c>
      <c r="F2210" t="s">
        <v>63</v>
      </c>
      <c r="G2210">
        <v>-462.65359999999998</v>
      </c>
      <c r="H2210" s="1">
        <v>-1.9768899999999999E-7</v>
      </c>
      <c r="I2210">
        <v>216.28620000000001</v>
      </c>
      <c r="J2210">
        <v>-478.82310000000001</v>
      </c>
      <c r="K2210">
        <v>1.1185609999999999</v>
      </c>
      <c r="L2210">
        <v>215.5308</v>
      </c>
      <c r="M2210">
        <v>0.98435499999999998</v>
      </c>
      <c r="N2210">
        <v>-1.4656829999999999E-2</v>
      </c>
      <c r="O2210">
        <v>-0.1755864</v>
      </c>
      <c r="P2210">
        <v>0.98983810000000005</v>
      </c>
      <c r="Q2210">
        <v>0.13699220000000001</v>
      </c>
      <c r="R2210">
        <v>-3.812898E-2</v>
      </c>
      <c r="S2210">
        <v>3.071869</v>
      </c>
      <c r="T2210">
        <v>-0.2078537</v>
      </c>
      <c r="U2210">
        <v>0.1328125</v>
      </c>
      <c r="V2210">
        <v>-0.13924300000000001</v>
      </c>
      <c r="W2210">
        <v>0.1486412</v>
      </c>
      <c r="X2210">
        <v>0.97903890000000005</v>
      </c>
      <c r="Y2210">
        <v>-0.21711810000000001</v>
      </c>
      <c r="Z2210">
        <v>1.817653E-2</v>
      </c>
      <c r="AA2210">
        <v>0.97597610000000001</v>
      </c>
      <c r="AB2210">
        <v>21</v>
      </c>
      <c r="AC2210">
        <v>16.169499999999999</v>
      </c>
      <c r="AD2210">
        <v>-1.118561197689</v>
      </c>
      <c r="AE2210">
        <v>0.75540000000000795</v>
      </c>
      <c r="AF2210">
        <v>-3.5660823570375202</v>
      </c>
      <c r="AG2210">
        <v>-1.118561197689</v>
      </c>
      <c r="AH2210">
        <v>15.710565479444099</v>
      </c>
      <c r="AI2210">
        <v>93.971776493849504</v>
      </c>
      <c r="AJ2210">
        <v>102.78865739301401</v>
      </c>
      <c r="AK2210">
        <v>16.148993473713698</v>
      </c>
      <c r="AL2210">
        <v>81.451809622532295</v>
      </c>
      <c r="AM2210">
        <v>98.094558158769502</v>
      </c>
      <c r="AN2210">
        <v>0.99999999354982505</v>
      </c>
    </row>
    <row r="2211" spans="1:40" x14ac:dyDescent="0.25">
      <c r="A2211" t="str">
        <f>"20190304155408445"</f>
        <v>20190304155408445</v>
      </c>
      <c r="B2211" t="str">
        <f>"1551686048438973"</f>
        <v>1551686048438973</v>
      </c>
      <c r="C2211" t="s">
        <v>40</v>
      </c>
      <c r="D2211">
        <v>4.4796639999999996</v>
      </c>
      <c r="E2211">
        <v>0.46413979999999999</v>
      </c>
      <c r="F2211" t="s">
        <v>63</v>
      </c>
      <c r="G2211">
        <v>-462.47789999999998</v>
      </c>
      <c r="H2211" s="1">
        <v>-3.0061570000000002E-7</v>
      </c>
      <c r="I2211">
        <v>216.50229999999999</v>
      </c>
      <c r="J2211">
        <v>-478.42520000000002</v>
      </c>
      <c r="K2211">
        <v>1.1180460000000001</v>
      </c>
      <c r="L2211">
        <v>215.49680000000001</v>
      </c>
      <c r="M2211">
        <v>0.98894910000000003</v>
      </c>
      <c r="N2211">
        <v>-1.4526590000000001E-2</v>
      </c>
      <c r="O2211">
        <v>-0.147541899999999</v>
      </c>
      <c r="P2211">
        <v>0.99058219999999997</v>
      </c>
      <c r="Q2211">
        <v>0.13616610000000001</v>
      </c>
      <c r="R2211">
        <v>-1.435145E-2</v>
      </c>
      <c r="S2211">
        <v>3.0668950000000001</v>
      </c>
      <c r="T2211">
        <v>-0.20987839999999999</v>
      </c>
      <c r="U2211">
        <v>0.18229680000000001</v>
      </c>
      <c r="V2211">
        <v>-0.13473189999999999</v>
      </c>
      <c r="W2211">
        <v>0.147949</v>
      </c>
      <c r="X2211">
        <v>0.9797747</v>
      </c>
      <c r="Y2211">
        <v>-0.2051905</v>
      </c>
      <c r="Z2211">
        <v>1.641681E-2</v>
      </c>
      <c r="AA2211">
        <v>0.97858429999999996</v>
      </c>
      <c r="AB2211">
        <v>21</v>
      </c>
      <c r="AC2211">
        <v>15.9473</v>
      </c>
      <c r="AD2211">
        <v>-1.1180463006157</v>
      </c>
      <c r="AE2211">
        <v>1.0054999999999801</v>
      </c>
      <c r="AF2211">
        <v>-3.3313271116353498</v>
      </c>
      <c r="AG2211">
        <v>-1.1180463006157</v>
      </c>
      <c r="AH2211">
        <v>15.5482427504701</v>
      </c>
      <c r="AI2211">
        <v>94.021986069245301</v>
      </c>
      <c r="AJ2211">
        <v>102.09320968446499</v>
      </c>
      <c r="AK2211">
        <v>15.9403770495739</v>
      </c>
      <c r="AL2211">
        <v>81.491913468808505</v>
      </c>
      <c r="AM2211">
        <v>97.829815664393806</v>
      </c>
      <c r="AN2211">
        <v>1.0000000271193401</v>
      </c>
    </row>
    <row r="2212" spans="1:40" x14ac:dyDescent="0.25">
      <c r="A2212" t="str">
        <f>"20190304155408467"</f>
        <v>20190304155408467</v>
      </c>
      <c r="B2212" t="str">
        <f>"1551686048458492"</f>
        <v>1551686048458492</v>
      </c>
      <c r="C2212" t="s">
        <v>40</v>
      </c>
      <c r="D2212">
        <v>4.4836600000000004</v>
      </c>
      <c r="E2212">
        <v>0.47452899999999998</v>
      </c>
      <c r="F2212" t="s">
        <v>63</v>
      </c>
      <c r="G2212">
        <v>-462.40480000000002</v>
      </c>
      <c r="H2212" s="1">
        <v>-3.5214529999999998E-7</v>
      </c>
      <c r="I2212">
        <v>216.79079999999999</v>
      </c>
      <c r="J2212">
        <v>-478.22750000000002</v>
      </c>
      <c r="K2212">
        <v>1.1177729999999999</v>
      </c>
      <c r="L2212">
        <v>215.48339999999999</v>
      </c>
      <c r="M2212">
        <v>0.99085330000000005</v>
      </c>
      <c r="N2212">
        <v>-1.4454059999999999E-2</v>
      </c>
      <c r="O2212">
        <v>-0.13416800000000001</v>
      </c>
      <c r="P2212">
        <v>0.99092239999999998</v>
      </c>
      <c r="Q2212">
        <v>0.1343365</v>
      </c>
      <c r="R2212">
        <v>-5.1631059999999998E-3</v>
      </c>
      <c r="S2212">
        <v>3.0614620000000001</v>
      </c>
      <c r="T2212">
        <v>-0.21365590000000001</v>
      </c>
      <c r="U2212">
        <v>0.2472839</v>
      </c>
      <c r="V2212">
        <v>-0.1304795</v>
      </c>
      <c r="W2212">
        <v>0.1462194</v>
      </c>
      <c r="X2212">
        <v>0.98060950000000002</v>
      </c>
      <c r="Y2212">
        <v>-0.212704</v>
      </c>
      <c r="Z2212">
        <v>1.633538E-2</v>
      </c>
      <c r="AA2212">
        <v>0.97698010000000002</v>
      </c>
      <c r="AB2212">
        <v>21</v>
      </c>
      <c r="AC2212">
        <v>15.8226999999999</v>
      </c>
      <c r="AD2212">
        <v>-1.1177733521452999</v>
      </c>
      <c r="AE2212">
        <v>1.3073999999999999</v>
      </c>
      <c r="AF2212">
        <v>-3.4018365225136602</v>
      </c>
      <c r="AG2212">
        <v>-1.1177733521452999</v>
      </c>
      <c r="AH2212">
        <v>15.427710804345899</v>
      </c>
      <c r="AI2212">
        <v>94.047086639053106</v>
      </c>
      <c r="AJ2212">
        <v>102.43483411166299</v>
      </c>
      <c r="AK2212">
        <v>15.837808233944701</v>
      </c>
      <c r="AL2212">
        <v>81.592101700509701</v>
      </c>
      <c r="AM2212">
        <v>97.579232554533405</v>
      </c>
      <c r="AN2212">
        <v>1.0000000021734201</v>
      </c>
    </row>
    <row r="2213" spans="1:40" x14ac:dyDescent="0.25">
      <c r="A2213" t="str">
        <f>"20190304155408489"</f>
        <v>20190304155408489</v>
      </c>
      <c r="B2213" t="str">
        <f>"1551686048478989"</f>
        <v>1551686048478989</v>
      </c>
      <c r="C2213" t="s">
        <v>40</v>
      </c>
      <c r="D2213">
        <v>4.5006339999999998</v>
      </c>
      <c r="E2213">
        <v>0.47625790000000001</v>
      </c>
      <c r="F2213" t="s">
        <v>63</v>
      </c>
      <c r="G2213">
        <v>-462.11270000000002</v>
      </c>
      <c r="H2213" s="1">
        <v>-4.9491180000000005E-7</v>
      </c>
      <c r="I2213">
        <v>216.50139999999999</v>
      </c>
      <c r="J2213">
        <v>-478.0213</v>
      </c>
      <c r="K2213">
        <v>1.1175299999999999</v>
      </c>
      <c r="L2213">
        <v>215.4718</v>
      </c>
      <c r="M2213">
        <v>0.99259699999999995</v>
      </c>
      <c r="N2213">
        <v>-1.4378739999999999E-2</v>
      </c>
      <c r="O2213">
        <v>-0.1206011</v>
      </c>
      <c r="P2213">
        <v>0.9911278</v>
      </c>
      <c r="Q2213">
        <v>0.13290759999999999</v>
      </c>
      <c r="R2213">
        <v>1.4034290000000001E-3</v>
      </c>
      <c r="S2213">
        <v>3.0572509999999999</v>
      </c>
      <c r="T2213">
        <v>-0.2120609</v>
      </c>
      <c r="U2213">
        <v>0.19313050000000001</v>
      </c>
      <c r="V2213">
        <v>-0.1234566</v>
      </c>
      <c r="W2213">
        <v>0.14492920000000001</v>
      </c>
      <c r="X2213">
        <v>0.98170970000000002</v>
      </c>
      <c r="Y2213">
        <v>-0.18225060000000001</v>
      </c>
      <c r="Z2213">
        <v>1.4227689999999999E-2</v>
      </c>
      <c r="AA2213">
        <v>0.98314919999999995</v>
      </c>
      <c r="AB2213">
        <v>21</v>
      </c>
      <c r="AC2213">
        <v>15.9085999999999</v>
      </c>
      <c r="AD2213">
        <v>-1.1175304949117999</v>
      </c>
      <c r="AE2213">
        <v>1.0295999999999801</v>
      </c>
      <c r="AF2213">
        <v>-2.9264953518039198</v>
      </c>
      <c r="AG2213">
        <v>-1.1175304949117999</v>
      </c>
      <c r="AH2213">
        <v>15.591657944557401</v>
      </c>
      <c r="AI2213">
        <v>94.029530699105095</v>
      </c>
      <c r="AJ2213">
        <v>100.63051597133401</v>
      </c>
      <c r="AK2213">
        <v>15.9032401387663</v>
      </c>
      <c r="AL2213">
        <v>81.666820408573102</v>
      </c>
      <c r="AM2213">
        <v>97.167702666529905</v>
      </c>
      <c r="AN2213">
        <v>0.99999997008514396</v>
      </c>
    </row>
    <row r="2214" spans="1:40" x14ac:dyDescent="0.25">
      <c r="A2214" t="str">
        <f>"20190304155408513"</f>
        <v>20190304155408513</v>
      </c>
      <c r="B2214" t="str">
        <f>"1551686048509244"</f>
        <v>1551686048509244</v>
      </c>
      <c r="C2214" t="s">
        <v>40</v>
      </c>
      <c r="D2214">
        <v>4.4976289999999999</v>
      </c>
      <c r="E2214">
        <v>0.47789690000000001</v>
      </c>
      <c r="F2214" t="s">
        <v>63</v>
      </c>
      <c r="G2214">
        <v>-461.93009999999998</v>
      </c>
      <c r="H2214" s="1">
        <v>-5.9316369999999897E-7</v>
      </c>
      <c r="I2214">
        <v>216.52590000000001</v>
      </c>
      <c r="J2214">
        <v>-477.81490000000002</v>
      </c>
      <c r="K2214">
        <v>1.1172470000000001</v>
      </c>
      <c r="L2214">
        <v>215.46250000000001</v>
      </c>
      <c r="M2214">
        <v>0.9940968</v>
      </c>
      <c r="N2214">
        <v>-1.4302240000000001E-2</v>
      </c>
      <c r="O2214">
        <v>-0.1075496</v>
      </c>
      <c r="P2214">
        <v>0.99122589999999999</v>
      </c>
      <c r="Q2214">
        <v>0.13206309999999999</v>
      </c>
      <c r="R2214">
        <v>5.5292960000000004E-3</v>
      </c>
      <c r="S2214">
        <v>3.0550229999999998</v>
      </c>
      <c r="T2214">
        <v>-0.21217059999999999</v>
      </c>
      <c r="U2214">
        <v>0.20011899999999999</v>
      </c>
      <c r="V2214">
        <v>-0.1145229</v>
      </c>
      <c r="W2214">
        <v>0.14425589999999999</v>
      </c>
      <c r="X2214">
        <v>0.98289099999999996</v>
      </c>
      <c r="Y2214">
        <v>-0.17165649999999999</v>
      </c>
      <c r="Z2214">
        <v>1.308992E-2</v>
      </c>
      <c r="AA2214">
        <v>0.98506990000000005</v>
      </c>
      <c r="AB2214">
        <v>20</v>
      </c>
      <c r="AC2214">
        <v>15.8848</v>
      </c>
      <c r="AD2214">
        <v>-1.11724759316369</v>
      </c>
      <c r="AE2214">
        <v>1.0633999999999999</v>
      </c>
      <c r="AF2214">
        <v>-2.7522549748431202</v>
      </c>
      <c r="AG2214">
        <v>-1.11724759316369</v>
      </c>
      <c r="AH2214">
        <v>15.601430083738499</v>
      </c>
      <c r="AI2214">
        <v>94.033986798958594</v>
      </c>
      <c r="AJ2214">
        <v>100.004636999553</v>
      </c>
      <c r="AK2214">
        <v>15.881680335806999</v>
      </c>
      <c r="AL2214">
        <v>81.705807516446697</v>
      </c>
      <c r="AM2214">
        <v>96.645929663855</v>
      </c>
      <c r="AN2214">
        <v>0.99999998859510997</v>
      </c>
    </row>
    <row r="2215" spans="1:40" x14ac:dyDescent="0.25">
      <c r="A2215" t="str">
        <f>"20190304155408561"</f>
        <v>20190304155408561</v>
      </c>
      <c r="B2215" t="str">
        <f>"1551686048559021"</f>
        <v>1551686048559021</v>
      </c>
      <c r="C2215" t="s">
        <v>40</v>
      </c>
      <c r="D2215">
        <v>4.5181459999999998</v>
      </c>
      <c r="E2215">
        <v>0.48755470000000001</v>
      </c>
      <c r="F2215" t="s">
        <v>63</v>
      </c>
      <c r="G2215">
        <v>-461.71449999999999</v>
      </c>
      <c r="H2215" s="1">
        <v>-7.0753629999999997E-7</v>
      </c>
      <c r="I2215">
        <v>216.51769999999999</v>
      </c>
      <c r="J2215">
        <v>-477.38909999999998</v>
      </c>
      <c r="K2215">
        <v>1.1164609999999999</v>
      </c>
      <c r="L2215">
        <v>215.4495</v>
      </c>
      <c r="M2215">
        <v>0.99648490000000001</v>
      </c>
      <c r="N2215">
        <v>-1.4108040000000001E-2</v>
      </c>
      <c r="O2215">
        <v>-8.2577330000000004E-2</v>
      </c>
      <c r="P2215">
        <v>0.99101930000000005</v>
      </c>
      <c r="Q2215">
        <v>0.13302429999999901</v>
      </c>
      <c r="R2215">
        <v>1.3624270000000001E-2</v>
      </c>
      <c r="S2215">
        <v>3.0536799999999999</v>
      </c>
      <c r="T2215">
        <v>-0.21190239999999999</v>
      </c>
      <c r="U2215">
        <v>0.20013429999999999</v>
      </c>
      <c r="V2215">
        <v>-9.7574999999999995E-2</v>
      </c>
      <c r="W2215">
        <v>0.14550759999999999</v>
      </c>
      <c r="X2215">
        <v>0.98453369999999996</v>
      </c>
      <c r="Y2215">
        <v>-0.1470339</v>
      </c>
      <c r="Z2215">
        <v>1.0683099999999999E-2</v>
      </c>
      <c r="AA2215">
        <v>0.9890738</v>
      </c>
      <c r="AB2215">
        <v>20</v>
      </c>
      <c r="AC2215">
        <v>15.6745999999999</v>
      </c>
      <c r="AD2215">
        <v>-1.1164617075362999</v>
      </c>
      <c r="AE2215">
        <v>1.06819999999999</v>
      </c>
      <c r="AF2215">
        <v>-2.3471932396425301</v>
      </c>
      <c r="AG2215">
        <v>-1.1164617075362999</v>
      </c>
      <c r="AH2215">
        <v>15.4547922775284</v>
      </c>
      <c r="AI2215">
        <v>94.085212526266602</v>
      </c>
      <c r="AJ2215">
        <v>98.635790116892593</v>
      </c>
      <c r="AK2215">
        <v>15.6718348380198</v>
      </c>
      <c r="AL2215">
        <v>81.633325505258398</v>
      </c>
      <c r="AM2215">
        <v>95.659977301053601</v>
      </c>
      <c r="AN2215">
        <v>0.99999997435922405</v>
      </c>
    </row>
    <row r="2216" spans="1:40" x14ac:dyDescent="0.25">
      <c r="A2216" t="str">
        <f>"20190304155408601"</f>
        <v>20190304155408601</v>
      </c>
      <c r="B2216" t="str">
        <f>"1551686048599037"</f>
        <v>1551686048599037</v>
      </c>
      <c r="C2216" t="s">
        <v>40</v>
      </c>
      <c r="D2216">
        <v>4.48292</v>
      </c>
      <c r="E2216">
        <v>0.48861719999999997</v>
      </c>
      <c r="F2216" t="s">
        <v>63</v>
      </c>
      <c r="G2216">
        <v>-460.27519999999998</v>
      </c>
      <c r="H2216" s="1">
        <v>-1.461771E-6</v>
      </c>
      <c r="I2216">
        <v>216.25040000000001</v>
      </c>
      <c r="J2216">
        <v>-477.02379999999999</v>
      </c>
      <c r="K2216">
        <v>1.1157159999999999</v>
      </c>
      <c r="L2216">
        <v>215.44409999999999</v>
      </c>
      <c r="M2216">
        <v>0.99789760000000005</v>
      </c>
      <c r="N2216">
        <v>-1.3930140000000001E-2</v>
      </c>
      <c r="O2216">
        <v>-6.3295969999999993E-2</v>
      </c>
      <c r="P2216">
        <v>0.99076940000000002</v>
      </c>
      <c r="Q2216">
        <v>0.13474539999999999</v>
      </c>
      <c r="R2216">
        <v>1.481914E-2</v>
      </c>
      <c r="S2216">
        <v>3.051971</v>
      </c>
      <c r="T2216">
        <v>-0.199102</v>
      </c>
      <c r="U2216">
        <v>0.14283750000000001</v>
      </c>
      <c r="V2216">
        <v>-7.9419959999999998E-2</v>
      </c>
      <c r="W2216">
        <v>0.1474792</v>
      </c>
      <c r="X2216">
        <v>0.98587139999999995</v>
      </c>
      <c r="Y2216">
        <v>-0.109524499999999</v>
      </c>
      <c r="Z2216">
        <v>7.572484E-3</v>
      </c>
      <c r="AA2216">
        <v>0.99395529999999999</v>
      </c>
      <c r="AB2216">
        <v>20</v>
      </c>
      <c r="AC2216">
        <v>16.7486</v>
      </c>
      <c r="AD2216">
        <v>-1.115717461771</v>
      </c>
      <c r="AE2216">
        <v>0.806300000000021</v>
      </c>
      <c r="AF2216">
        <v>-1.8566843887645199</v>
      </c>
      <c r="AG2216">
        <v>-1.115717461771</v>
      </c>
      <c r="AH2216">
        <v>16.590516287182702</v>
      </c>
      <c r="AI2216">
        <v>93.823568265331204</v>
      </c>
      <c r="AJ2216">
        <v>96.385537973943102</v>
      </c>
      <c r="AK2216">
        <v>16.731327892586901</v>
      </c>
      <c r="AL2216">
        <v>81.5191296158943</v>
      </c>
      <c r="AM2216">
        <v>94.605695187140398</v>
      </c>
      <c r="AN2216">
        <v>1.0000000309085</v>
      </c>
    </row>
    <row r="2217" spans="1:40" x14ac:dyDescent="0.25">
      <c r="A2217" t="str">
        <f>"20190304155408624"</f>
        <v>20190304155408624</v>
      </c>
      <c r="B2217" t="str">
        <f>"1551686048618557"</f>
        <v>1551686048618557</v>
      </c>
      <c r="C2217" t="s">
        <v>40</v>
      </c>
      <c r="D2217">
        <v>4.512664</v>
      </c>
      <c r="E2217">
        <v>0.48873179999999999</v>
      </c>
      <c r="F2217" t="s">
        <v>63</v>
      </c>
      <c r="G2217">
        <v>-459.3938</v>
      </c>
      <c r="H2217" s="1">
        <v>3.391622E-6</v>
      </c>
      <c r="I2217">
        <v>216.22890000000001</v>
      </c>
      <c r="J2217">
        <v>-476.82339999999999</v>
      </c>
      <c r="K2217">
        <v>1.1153249999999999</v>
      </c>
      <c r="L2217">
        <v>215.44309999999999</v>
      </c>
      <c r="M2217">
        <v>0.99846250000000003</v>
      </c>
      <c r="N2217">
        <v>-1.3835170000000001E-2</v>
      </c>
      <c r="O2217">
        <v>-5.367802E-2</v>
      </c>
      <c r="P2217">
        <v>0.99038289999999995</v>
      </c>
      <c r="Q2217">
        <v>0.1374785</v>
      </c>
      <c r="R2217">
        <v>1.5545959999999999E-2</v>
      </c>
      <c r="S2217">
        <v>3.0522459999999998</v>
      </c>
      <c r="T2217">
        <v>-0.19316069999999999</v>
      </c>
      <c r="U2217">
        <v>0.13586429999999999</v>
      </c>
      <c r="V2217">
        <v>-7.0493650000000005E-2</v>
      </c>
      <c r="W2217">
        <v>0.15030360000000001</v>
      </c>
      <c r="X2217">
        <v>0.98612339999999998</v>
      </c>
      <c r="Y2217">
        <v>-9.7731349999999995E-2</v>
      </c>
      <c r="Z2217">
        <v>6.4150319999999898E-3</v>
      </c>
      <c r="AA2217">
        <v>0.99519219999999997</v>
      </c>
      <c r="AB2217">
        <v>20</v>
      </c>
      <c r="AC2217">
        <v>17.429599999999901</v>
      </c>
      <c r="AD2217">
        <v>-1.115321608378</v>
      </c>
      <c r="AE2217">
        <v>0.78580000000002304</v>
      </c>
      <c r="AF2217">
        <v>-1.71334137269776</v>
      </c>
      <c r="AG2217">
        <v>-1.115321608378</v>
      </c>
      <c r="AH2217">
        <v>17.291621720477998</v>
      </c>
      <c r="AI2217">
        <v>93.6725705555301</v>
      </c>
      <c r="AJ2217">
        <v>95.658685270889606</v>
      </c>
      <c r="AK2217">
        <v>17.412055096214701</v>
      </c>
      <c r="AL2217">
        <v>81.355478480666903</v>
      </c>
      <c r="AM2217">
        <v>94.088869242202193</v>
      </c>
      <c r="AN2217">
        <v>0.99999994344541898</v>
      </c>
    </row>
    <row r="2218" spans="1:40" x14ac:dyDescent="0.25">
      <c r="A2218" t="str">
        <f>"20190304155408645"</f>
        <v>20190304155408645</v>
      </c>
      <c r="B2218" t="str">
        <f>"1551686048639052"</f>
        <v>1551686048639052</v>
      </c>
      <c r="C2218" t="s">
        <v>40</v>
      </c>
      <c r="D2218">
        <v>4.500299</v>
      </c>
      <c r="E2218">
        <v>0.48903639999999998</v>
      </c>
      <c r="F2218" t="s">
        <v>63</v>
      </c>
      <c r="G2218">
        <v>-458.22320000000002</v>
      </c>
      <c r="H2218" s="1">
        <v>2.7664680000000001E-6</v>
      </c>
      <c r="I2218">
        <v>216.27959999999999</v>
      </c>
      <c r="J2218">
        <v>-476.62670000000003</v>
      </c>
      <c r="K2218">
        <v>1.114954</v>
      </c>
      <c r="L2218">
        <v>215.44309999999999</v>
      </c>
      <c r="M2218">
        <v>0.99889519999999998</v>
      </c>
      <c r="N2218">
        <v>-1.3738530000000001E-2</v>
      </c>
      <c r="O2218">
        <v>-4.4940580000000001E-2</v>
      </c>
      <c r="P2218">
        <v>0.98969189999999996</v>
      </c>
      <c r="Q2218">
        <v>0.1422572</v>
      </c>
      <c r="R2218">
        <v>1.6524270000000001E-2</v>
      </c>
      <c r="S2218">
        <v>3.0523989999999999</v>
      </c>
      <c r="T2218">
        <v>-0.1830302</v>
      </c>
      <c r="U2218">
        <v>0.1372833</v>
      </c>
      <c r="V2218">
        <v>-6.2700099999999995E-2</v>
      </c>
      <c r="W2218">
        <v>0.1551362</v>
      </c>
      <c r="X2218">
        <v>0.98590140000000004</v>
      </c>
      <c r="Y2218">
        <v>-8.9538850000000003E-2</v>
      </c>
      <c r="Z2218">
        <v>5.3710980000000004E-3</v>
      </c>
      <c r="AA2218">
        <v>0.99596879999999999</v>
      </c>
      <c r="AB2218">
        <v>20</v>
      </c>
      <c r="AC2218">
        <v>18.403500000000001</v>
      </c>
      <c r="AD2218">
        <v>-1.114951233532</v>
      </c>
      <c r="AE2218">
        <v>0.83650000000000002</v>
      </c>
      <c r="AF2218">
        <v>-1.6567284269132601</v>
      </c>
      <c r="AG2218">
        <v>-1.114951233532</v>
      </c>
      <c r="AH2218">
        <v>18.280348913714199</v>
      </c>
      <c r="AI2218">
        <v>93.476037571924905</v>
      </c>
      <c r="AJ2218">
        <v>95.178507933066797</v>
      </c>
      <c r="AK2218">
        <v>18.3891006234897</v>
      </c>
      <c r="AL2218">
        <v>81.075305022077302</v>
      </c>
      <c r="AM2218">
        <v>93.638923273356497</v>
      </c>
      <c r="AN2218">
        <v>1.0000000568062</v>
      </c>
    </row>
    <row r="2219" spans="1:40" x14ac:dyDescent="0.25">
      <c r="A2219" t="str">
        <f>"20190304155408668"</f>
        <v>20190304155408668</v>
      </c>
      <c r="B2219" t="str">
        <f>"1551686048658573"</f>
        <v>1551686048658573</v>
      </c>
      <c r="C2219" t="s">
        <v>40</v>
      </c>
      <c r="D2219">
        <v>4.494904</v>
      </c>
      <c r="E2219">
        <v>0.48920629999999998</v>
      </c>
      <c r="F2219" t="s">
        <v>63</v>
      </c>
      <c r="G2219">
        <v>-456.50319999999999</v>
      </c>
      <c r="H2219" s="1">
        <v>1.8481510000000001E-6</v>
      </c>
      <c r="I2219">
        <v>216.34899999999999</v>
      </c>
      <c r="J2219">
        <v>-476.42610000000002</v>
      </c>
      <c r="K2219">
        <v>1.1145959999999999</v>
      </c>
      <c r="L2219">
        <v>215.4442</v>
      </c>
      <c r="M2219">
        <v>0.99923470000000003</v>
      </c>
      <c r="N2219">
        <v>-1.36413E-2</v>
      </c>
      <c r="O2219">
        <v>-3.6658660000000003E-2</v>
      </c>
      <c r="P2219">
        <v>0.98914709999999995</v>
      </c>
      <c r="Q2219">
        <v>0.14598820000000001</v>
      </c>
      <c r="R2219">
        <v>1.6600520000000001E-2</v>
      </c>
      <c r="S2219">
        <v>3.0533139999999999</v>
      </c>
      <c r="T2219">
        <v>-0.1691703</v>
      </c>
      <c r="U2219">
        <v>0.1374512</v>
      </c>
      <c r="V2219">
        <v>-5.4462860000000002E-2</v>
      </c>
      <c r="W2219">
        <v>0.15890839999999901</v>
      </c>
      <c r="X2219">
        <v>0.98579000000000006</v>
      </c>
      <c r="Y2219">
        <v>-8.1378999999999896E-2</v>
      </c>
      <c r="Z2219">
        <v>4.3364989999999997E-3</v>
      </c>
      <c r="AA2219">
        <v>0.99667380000000005</v>
      </c>
      <c r="AB2219">
        <v>20</v>
      </c>
      <c r="AC2219">
        <v>19.922899999999998</v>
      </c>
      <c r="AD2219">
        <v>-1.1145941518489999</v>
      </c>
      <c r="AE2219">
        <v>0.90480000000002203</v>
      </c>
      <c r="AF2219">
        <v>-1.6295168246999301</v>
      </c>
      <c r="AG2219">
        <v>-1.1145941518489999</v>
      </c>
      <c r="AH2219">
        <v>19.814445103976102</v>
      </c>
      <c r="AI2219">
        <v>93.208776223048204</v>
      </c>
      <c r="AJ2219">
        <v>94.701358258991505</v>
      </c>
      <c r="AK2219">
        <v>19.912555837556301</v>
      </c>
      <c r="AL2219">
        <v>80.856458488789897</v>
      </c>
      <c r="AM2219">
        <v>93.162258586563496</v>
      </c>
      <c r="AN2219">
        <v>1.0000000034049601</v>
      </c>
    </row>
    <row r="2220" spans="1:40" x14ac:dyDescent="0.25">
      <c r="A2220" t="str">
        <f>"20190304155408690"</f>
        <v>20190304155408690</v>
      </c>
      <c r="B2220" t="str">
        <f>"1551686048679069"</f>
        <v>1551686048679069</v>
      </c>
      <c r="C2220" t="s">
        <v>40</v>
      </c>
      <c r="D2220">
        <v>4.4983979999999999</v>
      </c>
      <c r="E2220">
        <v>0.48947059999999998</v>
      </c>
      <c r="F2220" t="s">
        <v>63</v>
      </c>
      <c r="G2220">
        <v>-454.98829999999998</v>
      </c>
      <c r="H2220" s="1">
        <v>1.0396E-6</v>
      </c>
      <c r="I2220">
        <v>216.404</v>
      </c>
      <c r="J2220">
        <v>-476.22149999999999</v>
      </c>
      <c r="K2220">
        <v>1.114263</v>
      </c>
      <c r="L2220">
        <v>215.44630000000001</v>
      </c>
      <c r="M2220">
        <v>0.99949299999999996</v>
      </c>
      <c r="N2220">
        <v>-1.354823E-2</v>
      </c>
      <c r="O2220">
        <v>-2.8818460000000001E-2</v>
      </c>
      <c r="P2220">
        <v>0.98841400000000001</v>
      </c>
      <c r="Q2220">
        <v>0.1510059</v>
      </c>
      <c r="R2220">
        <v>1.534348E-2</v>
      </c>
      <c r="S2220">
        <v>3.0540769999999999</v>
      </c>
      <c r="T2220">
        <v>-0.1587877</v>
      </c>
      <c r="U2220">
        <v>0.13673399999999999</v>
      </c>
      <c r="V2220">
        <v>-4.534535E-2</v>
      </c>
      <c r="W2220">
        <v>0.16395860000000001</v>
      </c>
      <c r="X2220">
        <v>0.98542450000000004</v>
      </c>
      <c r="Y2220">
        <v>-7.3353870000000002E-2</v>
      </c>
      <c r="Z2220">
        <v>3.5088839999999999E-3</v>
      </c>
      <c r="AA2220">
        <v>0.99729979999999996</v>
      </c>
      <c r="AB2220">
        <v>20</v>
      </c>
      <c r="AC2220">
        <v>21.2332</v>
      </c>
      <c r="AD2220">
        <v>-1.1142619603999999</v>
      </c>
      <c r="AE2220">
        <v>0.95770000000001598</v>
      </c>
      <c r="AF2220">
        <v>-1.56496538897431</v>
      </c>
      <c r="AG2220">
        <v>-1.1142619603999999</v>
      </c>
      <c r="AH2220">
        <v>21.1386824252357</v>
      </c>
      <c r="AI2220">
        <v>93.009161794734695</v>
      </c>
      <c r="AJ2220">
        <v>94.234068585489695</v>
      </c>
      <c r="AK2220">
        <v>21.225800127675999</v>
      </c>
      <c r="AL2220">
        <v>80.563257549826304</v>
      </c>
      <c r="AM2220">
        <v>92.634667290837697</v>
      </c>
      <c r="AN2220">
        <v>1.0000000342404101</v>
      </c>
    </row>
    <row r="2221" spans="1:40" x14ac:dyDescent="0.25">
      <c r="A2221" t="str">
        <f>"20190304155408714"</f>
        <v>20190304155408714</v>
      </c>
      <c r="B2221" t="str">
        <f>"1551686048709324"</f>
        <v>1551686048709324</v>
      </c>
      <c r="C2221" t="s">
        <v>40</v>
      </c>
      <c r="D2221">
        <v>4.4776020000000001</v>
      </c>
      <c r="E2221">
        <v>0.48982589999999998</v>
      </c>
      <c r="F2221" t="s">
        <v>63</v>
      </c>
      <c r="G2221">
        <v>-452.44990000000001</v>
      </c>
      <c r="H2221" s="1">
        <v>-3.1456280000000002E-7</v>
      </c>
      <c r="I2221">
        <v>216.48050000000001</v>
      </c>
      <c r="J2221">
        <v>-476.00819999999999</v>
      </c>
      <c r="K2221">
        <v>1.113928</v>
      </c>
      <c r="L2221">
        <v>215.4495</v>
      </c>
      <c r="M2221">
        <v>0.99968219999999997</v>
      </c>
      <c r="N2221">
        <v>-1.345727E-2</v>
      </c>
      <c r="O2221">
        <v>-2.1314099999999999E-2</v>
      </c>
      <c r="P2221">
        <v>0.98723329999999998</v>
      </c>
      <c r="Q2221">
        <v>0.1585299</v>
      </c>
      <c r="R2221">
        <v>1.544921E-2</v>
      </c>
      <c r="S2221">
        <v>3.0549930000000001</v>
      </c>
      <c r="T2221">
        <v>-0.1431991</v>
      </c>
      <c r="U2221">
        <v>0.1329041</v>
      </c>
      <c r="V2221">
        <v>-3.7933149999999999E-2</v>
      </c>
      <c r="W2221">
        <v>0.17148079999999999</v>
      </c>
      <c r="X2221">
        <v>0.98445689999999997</v>
      </c>
      <c r="Y2221">
        <v>-6.4645670000000002E-2</v>
      </c>
      <c r="Z2221">
        <v>2.6605919999999998E-3</v>
      </c>
      <c r="AA2221">
        <v>0.99790469999999998</v>
      </c>
      <c r="AB2221">
        <v>20</v>
      </c>
      <c r="AC2221">
        <v>23.5582999999999</v>
      </c>
      <c r="AD2221">
        <v>-1.1139283145628001</v>
      </c>
      <c r="AE2221">
        <v>1.0309999999999999</v>
      </c>
      <c r="AF2221">
        <v>-1.5295220883327301</v>
      </c>
      <c r="AG2221">
        <v>-1.1139283145628001</v>
      </c>
      <c r="AH2221">
        <v>23.478578142608399</v>
      </c>
      <c r="AI2221">
        <v>92.710592957631903</v>
      </c>
      <c r="AJ2221">
        <v>93.727291410654999</v>
      </c>
      <c r="AK2221">
        <v>23.554700289055901</v>
      </c>
      <c r="AL2221">
        <v>80.126072821823598</v>
      </c>
      <c r="AM2221">
        <v>92.2066326330973</v>
      </c>
      <c r="AN2221">
        <v>0.99999998829758596</v>
      </c>
    </row>
    <row r="2222" spans="1:40" x14ac:dyDescent="0.25">
      <c r="A2222" t="str">
        <f>"20190304155408735"</f>
        <v>20190304155408735</v>
      </c>
      <c r="B2222" t="str">
        <f>"1551686048728845"</f>
        <v>1551686048728845</v>
      </c>
      <c r="C2222" t="s">
        <v>40</v>
      </c>
      <c r="D2222">
        <v>4.486631</v>
      </c>
      <c r="E2222">
        <v>0.49004779999999998</v>
      </c>
      <c r="F2222" t="s">
        <v>63</v>
      </c>
      <c r="G2222">
        <v>-448.0761</v>
      </c>
      <c r="H2222" s="1">
        <v>2.6725409999999999E-6</v>
      </c>
      <c r="I2222">
        <v>216.63820000000001</v>
      </c>
      <c r="J2222">
        <v>-475.81909999999999</v>
      </c>
      <c r="K2222">
        <v>1.113621</v>
      </c>
      <c r="L2222">
        <v>215.4529</v>
      </c>
      <c r="M2222">
        <v>0.99979390000000001</v>
      </c>
      <c r="N2222">
        <v>-1.3382460000000001E-2</v>
      </c>
      <c r="O2222">
        <v>-1.526463E-2</v>
      </c>
      <c r="P2222">
        <v>0.98629239999999996</v>
      </c>
      <c r="Q2222">
        <v>0.16412650000000001</v>
      </c>
      <c r="R2222">
        <v>1.7030099999999999E-2</v>
      </c>
      <c r="S2222">
        <v>3.0563349999999998</v>
      </c>
      <c r="T2222">
        <v>-0.1218858</v>
      </c>
      <c r="U2222">
        <v>0.13006589999999901</v>
      </c>
      <c r="V2222">
        <v>-3.3434079999999998E-2</v>
      </c>
      <c r="W2222">
        <v>0.1770562</v>
      </c>
      <c r="X2222">
        <v>0.98363270000000003</v>
      </c>
      <c r="Y2222">
        <v>-5.7698380000000001E-2</v>
      </c>
      <c r="Z2222">
        <v>1.9401240000000001E-3</v>
      </c>
      <c r="AA2222">
        <v>0.9983322</v>
      </c>
      <c r="AB2222">
        <v>20</v>
      </c>
      <c r="AC2222">
        <v>27.742999999999899</v>
      </c>
      <c r="AD2222">
        <v>-1.1136183274589999</v>
      </c>
      <c r="AE2222">
        <v>1.18530000000001</v>
      </c>
      <c r="AF2222">
        <v>-1.6061033067152899</v>
      </c>
      <c r="AG2222">
        <v>-1.1136183274589999</v>
      </c>
      <c r="AH2222">
        <v>27.677158390395</v>
      </c>
      <c r="AI2222">
        <v>92.300244913402395</v>
      </c>
      <c r="AJ2222">
        <v>93.3211449297673</v>
      </c>
      <c r="AK2222">
        <v>27.746077383625</v>
      </c>
      <c r="AL2222">
        <v>79.8016616190843</v>
      </c>
      <c r="AM2222">
        <v>91.946757612311998</v>
      </c>
      <c r="AN2222">
        <v>1.00000001208658</v>
      </c>
    </row>
    <row r="2223" spans="1:40" x14ac:dyDescent="0.25">
      <c r="A2223" t="str">
        <f>"20190304155408780"</f>
        <v>20190304155408780</v>
      </c>
      <c r="B2223" t="str">
        <f>"1551686048768861"</f>
        <v>1551686048768861</v>
      </c>
      <c r="C2223" t="s">
        <v>40</v>
      </c>
      <c r="D2223">
        <v>4.4927700000000002</v>
      </c>
      <c r="E2223">
        <v>0.4903129</v>
      </c>
      <c r="F2223" t="s">
        <v>63</v>
      </c>
      <c r="G2223">
        <v>-444.01929999999999</v>
      </c>
      <c r="H2223" s="1">
        <v>5.0664039999999996E-7</v>
      </c>
      <c r="I2223">
        <v>216.79990000000001</v>
      </c>
      <c r="J2223">
        <v>-475.41379999999998</v>
      </c>
      <c r="K2223">
        <v>1.1128070000000001</v>
      </c>
      <c r="L2223">
        <v>215.4616</v>
      </c>
      <c r="M2223">
        <v>0.99990299999999999</v>
      </c>
      <c r="N2223">
        <v>-1.3243410000000001E-2</v>
      </c>
      <c r="O2223">
        <v>-4.3241629999999998E-3</v>
      </c>
      <c r="P2223">
        <v>0.9863362</v>
      </c>
      <c r="Q2223">
        <v>0.16332829999999901</v>
      </c>
      <c r="R2223">
        <v>2.1565529999999999E-2</v>
      </c>
      <c r="S2223">
        <v>3.057312</v>
      </c>
      <c r="T2223">
        <v>-0.1070662</v>
      </c>
      <c r="U2223">
        <v>0.12950130000000001</v>
      </c>
      <c r="V2223">
        <v>-2.6821250000000001E-2</v>
      </c>
      <c r="W2223">
        <v>0.1762273</v>
      </c>
      <c r="X2223">
        <v>0.98398399999999997</v>
      </c>
      <c r="Y2223">
        <v>-4.6599889999999998E-2</v>
      </c>
      <c r="Z2223">
        <v>1.2182829999999999E-3</v>
      </c>
      <c r="AA2223">
        <v>0.99891289999999999</v>
      </c>
      <c r="AB2223">
        <v>20</v>
      </c>
      <c r="AC2223">
        <v>31.394499999999901</v>
      </c>
      <c r="AD2223">
        <v>-1.11280649335959</v>
      </c>
      <c r="AE2223">
        <v>1.3383</v>
      </c>
      <c r="AF2223">
        <v>-1.4722079760073801</v>
      </c>
      <c r="AG2223">
        <v>-1.11280649335959</v>
      </c>
      <c r="AH2223">
        <v>31.349102946927299</v>
      </c>
      <c r="AI2223">
        <v>92.030751976238406</v>
      </c>
      <c r="AJ2223">
        <v>92.688733266127798</v>
      </c>
      <c r="AK2223">
        <v>31.4033754585925</v>
      </c>
      <c r="AL2223">
        <v>79.849912466606298</v>
      </c>
      <c r="AM2223">
        <v>91.561370918107002</v>
      </c>
      <c r="AN2223">
        <v>0.99999997648642502</v>
      </c>
    </row>
    <row r="2224" spans="1:40" x14ac:dyDescent="0.25">
      <c r="A2224" t="str">
        <f>"20190304155408803"</f>
        <v>20190304155408803</v>
      </c>
      <c r="B2224" t="str">
        <f>"1551686048799117"</f>
        <v>1551686048799117</v>
      </c>
      <c r="C2224" t="s">
        <v>40</v>
      </c>
      <c r="D2224">
        <v>4.4940689999999996</v>
      </c>
      <c r="E2224">
        <v>0.4941412</v>
      </c>
      <c r="F2224" t="s">
        <v>63</v>
      </c>
      <c r="G2224">
        <v>-445.56729999999999</v>
      </c>
      <c r="H2224" s="1">
        <v>1.33056E-6</v>
      </c>
      <c r="I2224">
        <v>216.7961</v>
      </c>
      <c r="J2224">
        <v>-475.20359999999999</v>
      </c>
      <c r="K2224">
        <v>1.1123970000000001</v>
      </c>
      <c r="L2224">
        <v>215.4666</v>
      </c>
      <c r="M2224">
        <v>0.9999131</v>
      </c>
      <c r="N2224">
        <v>-1.3181899999999899E-2</v>
      </c>
      <c r="O2224">
        <v>3.2286899999999999E-4</v>
      </c>
      <c r="P2224">
        <v>0.98629599999999995</v>
      </c>
      <c r="Q2224">
        <v>0.16349369999999999</v>
      </c>
      <c r="R2224">
        <v>2.2140159999999999E-2</v>
      </c>
      <c r="S2224">
        <v>3.0574340000000002</v>
      </c>
      <c r="T2224">
        <v>-0.1139941</v>
      </c>
      <c r="U2224">
        <v>0.13670350000000001</v>
      </c>
      <c r="V2224">
        <v>-2.2636079999999999E-2</v>
      </c>
      <c r="W2224">
        <v>0.17637849999999999</v>
      </c>
      <c r="X2224">
        <v>0.98406210000000005</v>
      </c>
      <c r="Y2224">
        <v>-4.4303120000000001E-2</v>
      </c>
      <c r="Z2224">
        <v>1.1097259999999999E-3</v>
      </c>
      <c r="AA2224">
        <v>0.9990175</v>
      </c>
      <c r="AB2224">
        <v>20</v>
      </c>
      <c r="AC2224">
        <v>29.636299999999999</v>
      </c>
      <c r="AD2224">
        <v>-1.1123956694399999</v>
      </c>
      <c r="AE2224">
        <v>1.3294999999999899</v>
      </c>
      <c r="AF2224">
        <v>-1.31807718860475</v>
      </c>
      <c r="AG2224">
        <v>-1.1123956694399999</v>
      </c>
      <c r="AH2224">
        <v>29.595115847841999</v>
      </c>
      <c r="AI2224">
        <v>92.150441289346901</v>
      </c>
      <c r="AJ2224">
        <v>92.550096007423505</v>
      </c>
      <c r="AK2224">
        <v>29.645330722521901</v>
      </c>
      <c r="AL2224">
        <v>79.841111645090194</v>
      </c>
      <c r="AM2224">
        <v>91.317724940206503</v>
      </c>
      <c r="AN2224">
        <v>0.99999999201821299</v>
      </c>
    </row>
    <row r="2225" spans="1:40" x14ac:dyDescent="0.25">
      <c r="A2225" t="str">
        <f>"20190304155408827"</f>
        <v>20190304155408827</v>
      </c>
      <c r="B2225" t="str">
        <f>"1551686048818637"</f>
        <v>1551686048818637</v>
      </c>
      <c r="C2225" t="s">
        <v>40</v>
      </c>
      <c r="D2225">
        <v>4.4931900000000002</v>
      </c>
      <c r="E2225">
        <v>0.49460399999999999</v>
      </c>
      <c r="F2225" t="s">
        <v>63</v>
      </c>
      <c r="G2225">
        <v>-454.18259999999998</v>
      </c>
      <c r="H2225" s="1">
        <v>6.1972629999999998E-7</v>
      </c>
      <c r="I2225">
        <v>216.2012</v>
      </c>
      <c r="J2225">
        <v>-474.98759999999999</v>
      </c>
      <c r="K2225">
        <v>1.1119840000000001</v>
      </c>
      <c r="L2225">
        <v>215.4718</v>
      </c>
      <c r="M2225">
        <v>0.99990480000000004</v>
      </c>
      <c r="N2225">
        <v>-1.3124159999999999E-2</v>
      </c>
      <c r="O2225">
        <v>4.2772569999999996E-3</v>
      </c>
      <c r="P2225">
        <v>0.98593220000000004</v>
      </c>
      <c r="Q2225">
        <v>0.165467</v>
      </c>
      <c r="R2225">
        <v>2.3636979999999998E-2</v>
      </c>
      <c r="S2225">
        <v>3.0661320000000001</v>
      </c>
      <c r="T2225">
        <v>-0.16225519999999999</v>
      </c>
      <c r="U2225">
        <v>0.1071472</v>
      </c>
      <c r="V2225">
        <v>-2.006119E-2</v>
      </c>
      <c r="W2225">
        <v>0.1783227</v>
      </c>
      <c r="X2225">
        <v>0.98376750000000002</v>
      </c>
      <c r="Y2225">
        <v>-3.0598739999999999E-2</v>
      </c>
      <c r="Z2225">
        <v>8.3982220000000001E-4</v>
      </c>
      <c r="AA2225">
        <v>0.99953139999999996</v>
      </c>
      <c r="AB2225">
        <v>20</v>
      </c>
      <c r="AC2225">
        <v>20.805</v>
      </c>
      <c r="AD2225">
        <v>-1.11198338027369</v>
      </c>
      <c r="AE2225">
        <v>0.72939999999999805</v>
      </c>
      <c r="AF2225">
        <v>-0.638575372302435</v>
      </c>
      <c r="AG2225">
        <v>-1.11198338027369</v>
      </c>
      <c r="AH2225">
        <v>20.748730094936199</v>
      </c>
      <c r="AI2225">
        <v>93.066259732686603</v>
      </c>
      <c r="AJ2225">
        <v>91.762812865645898</v>
      </c>
      <c r="AK2225">
        <v>20.788316095745401</v>
      </c>
      <c r="AL2225">
        <v>79.727922594623806</v>
      </c>
      <c r="AM2225">
        <v>91.168225452460703</v>
      </c>
      <c r="AN2225">
        <v>0.99999996536787705</v>
      </c>
    </row>
    <row r="2226" spans="1:40" x14ac:dyDescent="0.25">
      <c r="A2226" t="str">
        <f>"20190304155408848"</f>
        <v>20190304155408848</v>
      </c>
      <c r="B2226" t="str">
        <f>"1551686048839133"</f>
        <v>1551686048839133</v>
      </c>
      <c r="C2226" t="s">
        <v>40</v>
      </c>
      <c r="D2226">
        <v>4.4819969999999998</v>
      </c>
      <c r="E2226">
        <v>0.49487589999999998</v>
      </c>
      <c r="F2226" t="s">
        <v>63</v>
      </c>
      <c r="G2226">
        <v>-453.71300000000002</v>
      </c>
      <c r="H2226" s="1">
        <v>3.6928350000000003E-7</v>
      </c>
      <c r="I2226">
        <v>216.2131</v>
      </c>
      <c r="J2226">
        <v>-474.79500000000002</v>
      </c>
      <c r="K2226">
        <v>1.1116459999999999</v>
      </c>
      <c r="L2226">
        <v>215.47640000000001</v>
      </c>
      <c r="M2226">
        <v>0.99988860000000002</v>
      </c>
      <c r="N2226">
        <v>-1.3077979999999999E-2</v>
      </c>
      <c r="O2226">
        <v>7.1885050000000004E-3</v>
      </c>
      <c r="P2226">
        <v>0.98615140000000001</v>
      </c>
      <c r="Q2226">
        <v>0.16409860000000001</v>
      </c>
      <c r="R2226">
        <v>2.4020059999999999E-2</v>
      </c>
      <c r="S2226">
        <v>3.0671080000000002</v>
      </c>
      <c r="T2226">
        <v>-0.1603116</v>
      </c>
      <c r="U2226">
        <v>0.1068726</v>
      </c>
      <c r="V2226">
        <v>-1.7421260000000001E-2</v>
      </c>
      <c r="W2226">
        <v>0.1769356</v>
      </c>
      <c r="X2226">
        <v>0.98406819999999895</v>
      </c>
      <c r="Y2226">
        <v>-2.7596389999999998E-2</v>
      </c>
      <c r="Z2226">
        <v>6.1976019999999998E-4</v>
      </c>
      <c r="AA2226">
        <v>0.99961889999999998</v>
      </c>
      <c r="AB2226">
        <v>20</v>
      </c>
      <c r="AC2226">
        <v>21.081999999999901</v>
      </c>
      <c r="AD2226">
        <v>-1.1116456307164999</v>
      </c>
      <c r="AE2226">
        <v>0.73669999999998403</v>
      </c>
      <c r="AF2226">
        <v>-0.58349954187603903</v>
      </c>
      <c r="AG2226">
        <v>-1.1116456307164999</v>
      </c>
      <c r="AH2226">
        <v>21.028355245477801</v>
      </c>
      <c r="AI2226">
        <v>93.024912376347203</v>
      </c>
      <c r="AJ2226">
        <v>91.589448350776905</v>
      </c>
      <c r="AK2226">
        <v>21.065800531992</v>
      </c>
      <c r="AL2226">
        <v>79.808681846335304</v>
      </c>
      <c r="AM2226">
        <v>91.014218744321298</v>
      </c>
      <c r="AN2226">
        <v>0.99999996454929296</v>
      </c>
    </row>
    <row r="2227" spans="1:40" x14ac:dyDescent="0.25">
      <c r="A2227" t="str">
        <f>"20190304155408870"</f>
        <v>20190304155408870</v>
      </c>
      <c r="B2227" t="str">
        <f>"1551686048858653"</f>
        <v>1551686048858653</v>
      </c>
      <c r="C2227" t="s">
        <v>40</v>
      </c>
      <c r="D2227">
        <v>4.5109159999999999</v>
      </c>
      <c r="E2227">
        <v>0.495666</v>
      </c>
      <c r="F2227" t="s">
        <v>63</v>
      </c>
      <c r="G2227">
        <v>-454.06079999999997</v>
      </c>
      <c r="H2227" s="1">
        <v>5.5572790000000002E-7</v>
      </c>
      <c r="I2227">
        <v>216.18170000000001</v>
      </c>
      <c r="J2227">
        <v>-474.60300000000001</v>
      </c>
      <c r="K2227">
        <v>1.1113280000000001</v>
      </c>
      <c r="L2227">
        <v>215.48079999999999</v>
      </c>
      <c r="M2227">
        <v>0.99986969999999997</v>
      </c>
      <c r="N2227">
        <v>-1.303704E-2</v>
      </c>
      <c r="O2227">
        <v>9.5208010000000006E-3</v>
      </c>
      <c r="P2227">
        <v>0.98669370000000001</v>
      </c>
      <c r="Q2227">
        <v>0.16099469999999999</v>
      </c>
      <c r="R2227">
        <v>2.2718289999999999E-2</v>
      </c>
      <c r="S2227">
        <v>3.0669559999999998</v>
      </c>
      <c r="T2227">
        <v>-0.16443169999999999</v>
      </c>
      <c r="U2227">
        <v>0.1043396</v>
      </c>
      <c r="V2227">
        <v>-1.3673980000000001E-2</v>
      </c>
      <c r="W2227">
        <v>0.173819899999999</v>
      </c>
      <c r="X2227">
        <v>0.98468250000000002</v>
      </c>
      <c r="Y2227">
        <v>-2.4447460000000001E-2</v>
      </c>
      <c r="Z2227">
        <v>4.2838339999999998E-4</v>
      </c>
      <c r="AA2227">
        <v>0.99970099999999995</v>
      </c>
      <c r="AB2227">
        <v>20</v>
      </c>
      <c r="AC2227">
        <v>20.542200000000001</v>
      </c>
      <c r="AD2227">
        <v>-1.1113274442721</v>
      </c>
      <c r="AE2227">
        <v>0.70090000000001795</v>
      </c>
      <c r="AF2227">
        <v>-0.50380060939919702</v>
      </c>
      <c r="AG2227">
        <v>-1.1113274442721</v>
      </c>
      <c r="AH2227">
        <v>20.488048191403902</v>
      </c>
      <c r="AI2227">
        <v>93.103899736063994</v>
      </c>
      <c r="AJ2227">
        <v>91.408617963056201</v>
      </c>
      <c r="AK2227">
        <v>20.524350962593498</v>
      </c>
      <c r="AL2227">
        <v>79.990008903189405</v>
      </c>
      <c r="AM2227">
        <v>90.795597553567106</v>
      </c>
      <c r="AN2227">
        <v>0.99999998058564998</v>
      </c>
    </row>
    <row r="2228" spans="1:40" x14ac:dyDescent="0.25">
      <c r="A2228" t="str">
        <f>"20190304155408891"</f>
        <v>20190304155408891</v>
      </c>
      <c r="B2228" t="str">
        <f>"1551686048888909"</f>
        <v>1551686048888909</v>
      </c>
      <c r="C2228" t="s">
        <v>40</v>
      </c>
      <c r="D2228">
        <v>4.512302</v>
      </c>
      <c r="E2228">
        <v>0.50177910000000003</v>
      </c>
      <c r="F2228" t="s">
        <v>63</v>
      </c>
      <c r="G2228">
        <v>-455.197</v>
      </c>
      <c r="H2228" s="1">
        <v>1.164815E-6</v>
      </c>
      <c r="I2228">
        <v>216.08</v>
      </c>
      <c r="J2228">
        <v>-474.4092</v>
      </c>
      <c r="K2228">
        <v>1.1110169999999999</v>
      </c>
      <c r="L2228">
        <v>215.48519999999999</v>
      </c>
      <c r="M2228">
        <v>0.99985159999999995</v>
      </c>
      <c r="N2228">
        <v>-1.3000660000000001E-2</v>
      </c>
      <c r="O2228">
        <v>1.130931E-2</v>
      </c>
      <c r="P2228">
        <v>0.98686580000000002</v>
      </c>
      <c r="Q2228">
        <v>0.16019929999999999</v>
      </c>
      <c r="R2228">
        <v>2.0791670000000002E-2</v>
      </c>
      <c r="S2228">
        <v>3.0669249999999999</v>
      </c>
      <c r="T2228">
        <v>-0.17563380000000001</v>
      </c>
      <c r="U2228">
        <v>9.4696039999999995E-2</v>
      </c>
      <c r="V2228">
        <v>-9.8505069999999997E-3</v>
      </c>
      <c r="W2228">
        <v>0.17300560000000001</v>
      </c>
      <c r="X2228">
        <v>0.98487159999999996</v>
      </c>
      <c r="Y2228">
        <v>-1.9526809999999999E-2</v>
      </c>
      <c r="Z2228">
        <v>1.856119E-4</v>
      </c>
      <c r="AA2228">
        <v>0.99980930000000001</v>
      </c>
      <c r="AB2228">
        <v>20</v>
      </c>
      <c r="AC2228">
        <v>19.212199999999999</v>
      </c>
      <c r="AD2228">
        <v>-1.1110158351849999</v>
      </c>
      <c r="AE2228">
        <v>0.59480000000001998</v>
      </c>
      <c r="AF2228">
        <v>-0.37620998079611701</v>
      </c>
      <c r="AG2228">
        <v>-1.1110158351849999</v>
      </c>
      <c r="AH2228">
        <v>19.153706859257699</v>
      </c>
      <c r="AI2228">
        <v>93.319098230558396</v>
      </c>
      <c r="AJ2228">
        <v>91.125237686478002</v>
      </c>
      <c r="AK2228">
        <v>19.1895903183486</v>
      </c>
      <c r="AL2228">
        <v>80.037382996283696</v>
      </c>
      <c r="AM2228">
        <v>90.573042880277995</v>
      </c>
      <c r="AN2228">
        <v>1.0000000193030301</v>
      </c>
    </row>
    <row r="2229" spans="1:40" x14ac:dyDescent="0.25">
      <c r="A2229" t="str">
        <f>"20190304155408915"</f>
        <v>20190304155408915</v>
      </c>
      <c r="B2229" t="str">
        <f>"1551686048908429"</f>
        <v>1551686048908429</v>
      </c>
      <c r="C2229" t="s">
        <v>40</v>
      </c>
      <c r="D2229">
        <v>4.5201960000000003</v>
      </c>
      <c r="E2229">
        <v>0.50182369999999998</v>
      </c>
      <c r="F2229" t="s">
        <v>63</v>
      </c>
      <c r="G2229">
        <v>-454.85910000000001</v>
      </c>
      <c r="H2229" s="1">
        <v>9.9943999999999996E-7</v>
      </c>
      <c r="I2229">
        <v>215.74950000000001</v>
      </c>
      <c r="J2229">
        <v>-474.19540000000001</v>
      </c>
      <c r="K2229">
        <v>1.110684</v>
      </c>
      <c r="L2229">
        <v>215.4897</v>
      </c>
      <c r="M2229">
        <v>0.99983580000000005</v>
      </c>
      <c r="N2229">
        <v>-1.2969659999999999E-2</v>
      </c>
      <c r="O2229">
        <v>1.265928E-2</v>
      </c>
      <c r="P2229">
        <v>0.98694400000000004</v>
      </c>
      <c r="Q2229">
        <v>0.15986819999999999</v>
      </c>
      <c r="R2229">
        <v>1.9585310000000002E-2</v>
      </c>
      <c r="S2229">
        <v>3.067383</v>
      </c>
      <c r="T2229">
        <v>-0.1743169</v>
      </c>
      <c r="U2229">
        <v>4.1473389999999999E-2</v>
      </c>
      <c r="V2229">
        <v>-7.1679639999999998E-3</v>
      </c>
      <c r="W2229">
        <v>0.17265420000000001</v>
      </c>
      <c r="X2229">
        <v>0.98495639999999995</v>
      </c>
      <c r="Y2229">
        <v>-8.6970229999999997E-4</v>
      </c>
      <c r="Z2229">
        <v>-5.2434669999999999E-4</v>
      </c>
      <c r="AA2229">
        <v>0.99999950000000004</v>
      </c>
      <c r="AB2229">
        <v>20</v>
      </c>
      <c r="AC2229">
        <v>19.336299999999898</v>
      </c>
      <c r="AD2229">
        <v>-1.1106830005599999</v>
      </c>
      <c r="AE2229">
        <v>0.25980000000001202</v>
      </c>
      <c r="AF2229">
        <v>-1.4925726903798699E-2</v>
      </c>
      <c r="AG2229">
        <v>-1.1106830005599999</v>
      </c>
      <c r="AH2229">
        <v>19.274456992625002</v>
      </c>
      <c r="AI2229">
        <v>93.297998550706197</v>
      </c>
      <c r="AJ2229">
        <v>90.044368616306002</v>
      </c>
      <c r="AK2229">
        <v>19.306437575731199</v>
      </c>
      <c r="AL2229">
        <v>80.057823957926203</v>
      </c>
      <c r="AM2229">
        <v>90.416959405361993</v>
      </c>
      <c r="AN2229">
        <v>0.99999998119325195</v>
      </c>
    </row>
    <row r="2230" spans="1:40" x14ac:dyDescent="0.25">
      <c r="A2230" t="str">
        <f>"20190304155408937"</f>
        <v>20190304155408937</v>
      </c>
      <c r="B2230" t="str">
        <f>"1551686048928925"</f>
        <v>1551686048928925</v>
      </c>
      <c r="C2230" t="s">
        <v>40</v>
      </c>
      <c r="D2230">
        <v>4.5184819999999997</v>
      </c>
      <c r="E2230">
        <v>0.50184819999999997</v>
      </c>
      <c r="F2230" t="s">
        <v>63</v>
      </c>
      <c r="G2230">
        <v>-454.72390000000001</v>
      </c>
      <c r="H2230" s="1">
        <v>9.2864230000000001E-7</v>
      </c>
      <c r="I2230">
        <v>215.72389999999999</v>
      </c>
      <c r="J2230">
        <v>-473.9905</v>
      </c>
      <c r="K2230">
        <v>1.110368</v>
      </c>
      <c r="L2230">
        <v>215.49359999999999</v>
      </c>
      <c r="M2230">
        <v>0.99982669999999996</v>
      </c>
      <c r="N2230">
        <v>-1.2952099999999999E-2</v>
      </c>
      <c r="O2230">
        <v>1.337583E-2</v>
      </c>
      <c r="P2230">
        <v>0.98717410000000005</v>
      </c>
      <c r="Q2230">
        <v>0.15870479999999901</v>
      </c>
      <c r="R2230">
        <v>1.7330979999999999E-2</v>
      </c>
      <c r="S2230">
        <v>3.0673520000000001</v>
      </c>
      <c r="T2230">
        <v>-0.17496629999999999</v>
      </c>
      <c r="U2230">
        <v>3.6895749999999998E-2</v>
      </c>
      <c r="V2230">
        <v>-4.0685290000000004E-3</v>
      </c>
      <c r="W2230">
        <v>0.17148039999999901</v>
      </c>
      <c r="X2230">
        <v>0.98517909999999997</v>
      </c>
      <c r="Y2230">
        <v>1.3337519999999999E-3</v>
      </c>
      <c r="Z2230">
        <v>-6.3580720000000002E-4</v>
      </c>
      <c r="AA2230">
        <v>0.99999890000000002</v>
      </c>
      <c r="AB2230">
        <v>20</v>
      </c>
      <c r="AC2230">
        <v>19.266599999999901</v>
      </c>
      <c r="AD2230">
        <v>-1.1103670713576901</v>
      </c>
      <c r="AE2230">
        <v>0.23029999999999901</v>
      </c>
      <c r="AF2230">
        <v>2.7358123704850499E-2</v>
      </c>
      <c r="AG2230">
        <v>-1.1103670713576901</v>
      </c>
      <c r="AH2230">
        <v>19.204180905732699</v>
      </c>
      <c r="AI2230">
        <v>93.309098717881099</v>
      </c>
      <c r="AJ2230">
        <v>89.918376942449001</v>
      </c>
      <c r="AK2230">
        <v>19.236273749356801</v>
      </c>
      <c r="AL2230">
        <v>80.126095900190293</v>
      </c>
      <c r="AM2230">
        <v>90.236615063529598</v>
      </c>
      <c r="AN2230">
        <v>0.99999996979459604</v>
      </c>
    </row>
    <row r="2231" spans="1:40" x14ac:dyDescent="0.25">
      <c r="A2231" t="str">
        <f>"20190304155408961"</f>
        <v>20190304155408961</v>
      </c>
      <c r="B2231" t="str">
        <f>"1551686048959181"</f>
        <v>1551686048959181</v>
      </c>
      <c r="C2231" t="s">
        <v>40</v>
      </c>
      <c r="D2231">
        <v>4.535933</v>
      </c>
      <c r="E2231">
        <v>0.50268639999999998</v>
      </c>
      <c r="F2231" t="s">
        <v>63</v>
      </c>
      <c r="G2231">
        <v>-454.46940000000001</v>
      </c>
      <c r="H2231" s="1">
        <v>7.9496399999999997E-7</v>
      </c>
      <c r="I2231">
        <v>215.6832</v>
      </c>
      <c r="J2231">
        <v>-473.77809999999999</v>
      </c>
      <c r="K2231">
        <v>1.110047</v>
      </c>
      <c r="L2231">
        <v>215.49700000000001</v>
      </c>
      <c r="M2231">
        <v>0.99982439999999995</v>
      </c>
      <c r="N2231">
        <v>-1.2941889999999999E-2</v>
      </c>
      <c r="O2231">
        <v>1.3559099999999999E-2</v>
      </c>
      <c r="P2231">
        <v>0.98753539999999995</v>
      </c>
      <c r="Q2231">
        <v>0.1567036</v>
      </c>
      <c r="R2231">
        <v>1.476967E-2</v>
      </c>
      <c r="S2231">
        <v>3.0665279999999999</v>
      </c>
      <c r="T2231">
        <v>-0.17442539999999901</v>
      </c>
      <c r="U2231">
        <v>2.9785160000000001E-2</v>
      </c>
      <c r="V2231">
        <v>-1.1901839999999999E-3</v>
      </c>
      <c r="W2231">
        <v>0.16947409999999999</v>
      </c>
      <c r="X2231">
        <v>0.98553389999999996</v>
      </c>
      <c r="Y2231">
        <v>3.8272839999999998E-3</v>
      </c>
      <c r="Z2231">
        <v>-7.2874500000000004E-4</v>
      </c>
      <c r="AA2231">
        <v>0.9999924</v>
      </c>
      <c r="AB2231">
        <v>20</v>
      </c>
      <c r="AC2231">
        <v>19.308699999999899</v>
      </c>
      <c r="AD2231">
        <v>-1.110046205036</v>
      </c>
      <c r="AE2231">
        <v>0.18619999999998499</v>
      </c>
      <c r="AF2231">
        <v>7.5398448505166901E-2</v>
      </c>
      <c r="AG2231">
        <v>-1.110046205036</v>
      </c>
      <c r="AH2231">
        <v>19.2458473111346</v>
      </c>
      <c r="AI2231">
        <v>93.300976536654403</v>
      </c>
      <c r="AJ2231">
        <v>89.775536472340605</v>
      </c>
      <c r="AK2231">
        <v>19.277980346158099</v>
      </c>
      <c r="AL2231">
        <v>80.242756242726898</v>
      </c>
      <c r="AM2231">
        <v>90.069193446204807</v>
      </c>
      <c r="AN2231">
        <v>0.99999997757898595</v>
      </c>
    </row>
    <row r="2232" spans="1:40" x14ac:dyDescent="0.25">
      <c r="A2232" t="str">
        <f>"20190304155409006"</f>
        <v>20190304155409006</v>
      </c>
      <c r="B2232" t="str">
        <f>"1551686048999197"</f>
        <v>1551686048999197</v>
      </c>
      <c r="C2232" t="s">
        <v>40</v>
      </c>
      <c r="D2232">
        <v>4.6186480000000003</v>
      </c>
      <c r="E2232">
        <v>0.50244100000000003</v>
      </c>
      <c r="F2232" t="s">
        <v>63</v>
      </c>
      <c r="G2232">
        <v>-454.84620000000001</v>
      </c>
      <c r="H2232" s="1">
        <v>9.9956570000000002E-7</v>
      </c>
      <c r="I2232">
        <v>215.59020000000001</v>
      </c>
      <c r="J2232">
        <v>-473.37650000000002</v>
      </c>
      <c r="K2232">
        <v>1.1095299999999999</v>
      </c>
      <c r="L2232">
        <v>215.5016</v>
      </c>
      <c r="M2232">
        <v>0.99984010000000001</v>
      </c>
      <c r="N2232">
        <v>-1.2931649999999999E-2</v>
      </c>
      <c r="O2232">
        <v>1.235465E-2</v>
      </c>
      <c r="P2232">
        <v>0.98795860000000002</v>
      </c>
      <c r="Q2232">
        <v>0.15442320000000001</v>
      </c>
      <c r="R2232">
        <v>9.5688660000000005E-3</v>
      </c>
      <c r="S2232">
        <v>3.0661619999999998</v>
      </c>
      <c r="T2232">
        <v>-0.17978069999999999</v>
      </c>
      <c r="U2232">
        <v>1.5090940000000001E-2</v>
      </c>
      <c r="V2232">
        <v>3.0335649999999998E-3</v>
      </c>
      <c r="W2232">
        <v>0.16717989999999999</v>
      </c>
      <c r="X2232">
        <v>0.98592170000000001</v>
      </c>
      <c r="Y2232">
        <v>7.4057810000000002E-3</v>
      </c>
      <c r="Z2232">
        <v>-8.2894960000000004E-4</v>
      </c>
      <c r="AA2232">
        <v>0.99997219999999998</v>
      </c>
      <c r="AB2232">
        <v>20</v>
      </c>
      <c r="AC2232">
        <v>18.5303</v>
      </c>
      <c r="AD2232">
        <v>-1.1095290004342999</v>
      </c>
      <c r="AE2232">
        <v>8.8600000000013696E-2</v>
      </c>
      <c r="AF2232">
        <v>0.13985985534204501</v>
      </c>
      <c r="AG2232">
        <v>-1.1095290004342999</v>
      </c>
      <c r="AH2232">
        <v>18.463785512596498</v>
      </c>
      <c r="AI2232">
        <v>93.438794118439105</v>
      </c>
      <c r="AJ2232">
        <v>89.566003072848304</v>
      </c>
      <c r="AK2232">
        <v>18.497621221041001</v>
      </c>
      <c r="AL2232">
        <v>80.376106838552204</v>
      </c>
      <c r="AM2232">
        <v>89.8237081881026</v>
      </c>
      <c r="AN2232">
        <v>0.99999996000575297</v>
      </c>
    </row>
    <row r="2233" spans="1:40" x14ac:dyDescent="0.25">
      <c r="A2233" t="str">
        <f>"20190304155409027"</f>
        <v>20190304155409027</v>
      </c>
      <c r="B2233" t="str">
        <f>"1551686049018717"</f>
        <v>1551686049018717</v>
      </c>
      <c r="C2233" t="s">
        <v>40</v>
      </c>
      <c r="D2233">
        <v>4.5662440000000002</v>
      </c>
      <c r="E2233">
        <v>0.50187570000000004</v>
      </c>
      <c r="F2233" t="s">
        <v>63</v>
      </c>
      <c r="G2233">
        <v>-456.10770000000002</v>
      </c>
      <c r="H2233" s="1">
        <v>1.674292E-6</v>
      </c>
      <c r="I2233">
        <v>215.51130000000001</v>
      </c>
      <c r="J2233">
        <v>-473.17930000000001</v>
      </c>
      <c r="K2233">
        <v>1.1093660000000001</v>
      </c>
      <c r="L2233">
        <v>215.50290000000001</v>
      </c>
      <c r="M2233">
        <v>0.99985360000000001</v>
      </c>
      <c r="N2233">
        <v>-1.293037E-2</v>
      </c>
      <c r="O2233">
        <v>1.1214119999999999E-2</v>
      </c>
      <c r="P2233">
        <v>0.98783960000000004</v>
      </c>
      <c r="Q2233">
        <v>0.1552925</v>
      </c>
      <c r="R2233">
        <v>7.5909089999999999E-3</v>
      </c>
      <c r="S2233">
        <v>3.0673219999999999</v>
      </c>
      <c r="T2233">
        <v>-0.197077</v>
      </c>
      <c r="U2233">
        <v>1.7242430000000001E-3</v>
      </c>
      <c r="V2233">
        <v>3.9548099999999996E-3</v>
      </c>
      <c r="W2233">
        <v>0.168043</v>
      </c>
      <c r="X2233">
        <v>0.98577170000000003</v>
      </c>
      <c r="Y2233">
        <v>1.061191E-2</v>
      </c>
      <c r="Z2233">
        <v>-9.8412200000000003E-4</v>
      </c>
      <c r="AA2233">
        <v>0.99994320000000003</v>
      </c>
      <c r="AB2233">
        <v>20</v>
      </c>
      <c r="AC2233">
        <v>17.071599999999901</v>
      </c>
      <c r="AD2233">
        <v>-1.1093643257079999</v>
      </c>
      <c r="AE2233">
        <v>8.3999999999946305E-3</v>
      </c>
      <c r="AF2233">
        <v>0.18228971706459399</v>
      </c>
      <c r="AG2233">
        <v>-1.1093643257079999</v>
      </c>
      <c r="AH2233">
        <v>16.9988379803453</v>
      </c>
      <c r="AI2233">
        <v>93.733681543465906</v>
      </c>
      <c r="AJ2233">
        <v>89.3856032325684</v>
      </c>
      <c r="AK2233">
        <v>17.0359740381972</v>
      </c>
      <c r="AL2233">
        <v>80.325945290445404</v>
      </c>
      <c r="AM2233">
        <v>89.770136730350103</v>
      </c>
      <c r="AN2233">
        <v>0.99999996744601205</v>
      </c>
    </row>
    <row r="2234" spans="1:40" x14ac:dyDescent="0.25">
      <c r="A2234" t="str">
        <f>"20190304155409048"</f>
        <v>20190304155409048</v>
      </c>
      <c r="B2234" t="str">
        <f>"1551686049039213"</f>
        <v>1551686049039213</v>
      </c>
      <c r="C2234" t="s">
        <v>40</v>
      </c>
      <c r="D2234">
        <v>4.5365710000000004</v>
      </c>
      <c r="E2234">
        <v>0.50162600000000002</v>
      </c>
      <c r="F2234" t="s">
        <v>63</v>
      </c>
      <c r="G2234">
        <v>-456.02980000000002</v>
      </c>
      <c r="H2234" s="1">
        <v>1.6330549999999999E-6</v>
      </c>
      <c r="I2234">
        <v>215.506</v>
      </c>
      <c r="J2234">
        <v>-472.9828</v>
      </c>
      <c r="K2234">
        <v>1.109275</v>
      </c>
      <c r="L2234">
        <v>215.50370000000001</v>
      </c>
      <c r="M2234">
        <v>0.99986790000000003</v>
      </c>
      <c r="N2234">
        <v>-1.2931649999999999E-2</v>
      </c>
      <c r="O2234">
        <v>9.8487249999999991E-3</v>
      </c>
      <c r="P2234">
        <v>0.98759229999999998</v>
      </c>
      <c r="Q2234">
        <v>0.1569372</v>
      </c>
      <c r="R2234">
        <v>5.6878010000000001E-3</v>
      </c>
      <c r="S2234">
        <v>3.0681150000000001</v>
      </c>
      <c r="T2234">
        <v>-0.1984698</v>
      </c>
      <c r="U2234">
        <v>5.4931640000000002E-4</v>
      </c>
      <c r="V2234">
        <v>4.552253E-3</v>
      </c>
      <c r="W2234">
        <v>0.16968229999999901</v>
      </c>
      <c r="X2234">
        <v>0.98548829999999998</v>
      </c>
      <c r="Y2234">
        <v>9.6331720000000006E-3</v>
      </c>
      <c r="Z2234">
        <v>-8.8277549999999998E-4</v>
      </c>
      <c r="AA2234">
        <v>0.99995319999999999</v>
      </c>
      <c r="AB2234">
        <v>20</v>
      </c>
      <c r="AC2234">
        <v>16.9529999999999</v>
      </c>
      <c r="AD2234">
        <v>-1.1092733669449999</v>
      </c>
      <c r="AE2234">
        <v>2.29999999996266E-3</v>
      </c>
      <c r="AF2234">
        <v>0.16397745509237899</v>
      </c>
      <c r="AG2234">
        <v>-1.1092733669449999</v>
      </c>
      <c r="AH2234">
        <v>16.8799308559285</v>
      </c>
      <c r="AI2234">
        <v>93.759638762746803</v>
      </c>
      <c r="AJ2234">
        <v>89.443426595073802</v>
      </c>
      <c r="AK2234">
        <v>16.9171345596504</v>
      </c>
      <c r="AL2234">
        <v>80.230652149855203</v>
      </c>
      <c r="AM2234">
        <v>89.735336250003499</v>
      </c>
      <c r="AN2234">
        <v>0.99999999768877701</v>
      </c>
    </row>
    <row r="2235" spans="1:40" x14ac:dyDescent="0.25">
      <c r="A2235" t="str">
        <f>"20190304155409071"</f>
        <v>20190304155409071</v>
      </c>
      <c r="B2235" t="str">
        <f>"1551686049068493"</f>
        <v>1551686049068493</v>
      </c>
      <c r="C2235" t="s">
        <v>40</v>
      </c>
      <c r="D2235">
        <v>4.5398630000000004</v>
      </c>
      <c r="E2235">
        <v>0.50148800000000004</v>
      </c>
      <c r="F2235" t="s">
        <v>63</v>
      </c>
      <c r="G2235">
        <v>-455.69009999999997</v>
      </c>
      <c r="H2235" s="1">
        <v>1.453112E-6</v>
      </c>
      <c r="I2235">
        <v>215.4872</v>
      </c>
      <c r="J2235">
        <v>-472.78199999999998</v>
      </c>
      <c r="K2235">
        <v>1.1092150000000001</v>
      </c>
      <c r="L2235">
        <v>215.50399999999999</v>
      </c>
      <c r="M2235">
        <v>0.99988250000000001</v>
      </c>
      <c r="N2235">
        <v>-1.293917E-2</v>
      </c>
      <c r="O2235">
        <v>8.2179829999999999E-3</v>
      </c>
      <c r="P2235">
        <v>0.98732169999999997</v>
      </c>
      <c r="Q2235">
        <v>0.15867989999999901</v>
      </c>
      <c r="R2235">
        <v>4.0749080000000003E-3</v>
      </c>
      <c r="S2235">
        <v>3.069</v>
      </c>
      <c r="T2235">
        <v>-0.19686629999999999</v>
      </c>
      <c r="U2235">
        <v>-2.9296880000000002E-3</v>
      </c>
      <c r="V2235">
        <v>4.5871890000000002E-3</v>
      </c>
      <c r="W2235">
        <v>0.17142779999999999</v>
      </c>
      <c r="X2235">
        <v>0.98518600000000001</v>
      </c>
      <c r="Y2235">
        <v>9.1398959999999998E-3</v>
      </c>
      <c r="Z2235">
        <v>-7.7241250000000005E-4</v>
      </c>
      <c r="AA2235">
        <v>0.99995789999999996</v>
      </c>
      <c r="AB2235">
        <v>20</v>
      </c>
      <c r="AC2235">
        <v>17.091899999999999</v>
      </c>
      <c r="AD2235">
        <v>-1.109213546888</v>
      </c>
      <c r="AE2235">
        <v>-1.6800000000017599E-2</v>
      </c>
      <c r="AF2235">
        <v>0.156612545277696</v>
      </c>
      <c r="AG2235">
        <v>-1.109213546888</v>
      </c>
      <c r="AH2235">
        <v>17.019504972199499</v>
      </c>
      <c r="AI2235">
        <v>93.7287114358803</v>
      </c>
      <c r="AJ2235">
        <v>89.472782280169596</v>
      </c>
      <c r="AK2235">
        <v>17.0563311318895</v>
      </c>
      <c r="AL2235">
        <v>80.129155195344893</v>
      </c>
      <c r="AM2235">
        <v>89.733223299758194</v>
      </c>
      <c r="AN2235">
        <v>0.99999999375588</v>
      </c>
    </row>
    <row r="2236" spans="1:40" x14ac:dyDescent="0.25">
      <c r="A2236" t="str">
        <f>"20190304155409116"</f>
        <v>20190304155409116</v>
      </c>
      <c r="B2236" t="str">
        <f>"1551686049108510"</f>
        <v>1551686049108510</v>
      </c>
      <c r="C2236" t="s">
        <v>40</v>
      </c>
      <c r="D2236">
        <v>4.5369449999999896</v>
      </c>
      <c r="E2236">
        <v>0.50189329999999999</v>
      </c>
      <c r="F2236" t="s">
        <v>63</v>
      </c>
      <c r="G2236">
        <v>-455.1456</v>
      </c>
      <c r="H2236" s="1">
        <v>1.1643180000000001E-6</v>
      </c>
      <c r="I2236">
        <v>215.46530000000001</v>
      </c>
      <c r="J2236">
        <v>-472.37830000000002</v>
      </c>
      <c r="K2236">
        <v>1.1090930000000001</v>
      </c>
      <c r="L2236">
        <v>215.5027</v>
      </c>
      <c r="M2236">
        <v>0.99990650000000003</v>
      </c>
      <c r="N2236">
        <v>-1.2965040000000001E-2</v>
      </c>
      <c r="O2236">
        <v>4.3695950000000004E-3</v>
      </c>
      <c r="P2236">
        <v>0.98725309999999999</v>
      </c>
      <c r="Q2236">
        <v>0.15915899999999999</v>
      </c>
      <c r="R2236" s="1">
        <v>3.7007030000000002E-5</v>
      </c>
      <c r="S2236">
        <v>3.06955</v>
      </c>
      <c r="T2236">
        <v>-0.193054</v>
      </c>
      <c r="U2236">
        <v>-6.7291259999999898E-3</v>
      </c>
      <c r="V2236">
        <v>4.8793860000000003E-3</v>
      </c>
      <c r="W2236">
        <v>0.17192950000000001</v>
      </c>
      <c r="X2236">
        <v>0.98509720000000001</v>
      </c>
      <c r="Y2236">
        <v>6.5411109999999996E-3</v>
      </c>
      <c r="Z2236">
        <v>-4.6588389999999998E-4</v>
      </c>
      <c r="AA2236">
        <v>0.99997849999999999</v>
      </c>
      <c r="AB2236">
        <v>20</v>
      </c>
      <c r="AC2236">
        <v>17.232700000000001</v>
      </c>
      <c r="AD2236">
        <v>-1.1090918356820001</v>
      </c>
      <c r="AE2236">
        <v>-3.7399999999991003E-2</v>
      </c>
      <c r="AF2236">
        <v>0.112240965350717</v>
      </c>
      <c r="AG2236">
        <v>-1.1090918356820001</v>
      </c>
      <c r="AH2236">
        <v>17.1612873128343</v>
      </c>
      <c r="AI2236">
        <v>93.697664171270404</v>
      </c>
      <c r="AJ2236">
        <v>89.6252704245872</v>
      </c>
      <c r="AK2236">
        <v>17.197455188716901</v>
      </c>
      <c r="AL2236">
        <v>80.099977025632597</v>
      </c>
      <c r="AM2236">
        <v>89.716204717544798</v>
      </c>
      <c r="AN2236">
        <v>1.0000000274129099</v>
      </c>
    </row>
    <row r="2237" spans="1:40" x14ac:dyDescent="0.25">
      <c r="A2237" t="str">
        <f>"20190304155409137"</f>
        <v>20190304155409137</v>
      </c>
      <c r="B2237" t="str">
        <f>"1551686049129005"</f>
        <v>1551686049129005</v>
      </c>
      <c r="C2237" t="s">
        <v>40</v>
      </c>
      <c r="D2237">
        <v>4.5523709999999999</v>
      </c>
      <c r="E2237">
        <v>0.50179169999999995</v>
      </c>
      <c r="F2237" t="s">
        <v>63</v>
      </c>
      <c r="G2237">
        <v>-454.4907</v>
      </c>
      <c r="H2237" s="1">
        <v>8.1961719999999998E-7</v>
      </c>
      <c r="I2237">
        <v>215.37880000000001</v>
      </c>
      <c r="J2237">
        <v>-472.18130000000002</v>
      </c>
      <c r="K2237">
        <v>1.1090340000000001</v>
      </c>
      <c r="L2237">
        <v>215.50110000000001</v>
      </c>
      <c r="M2237">
        <v>0.99991319999999995</v>
      </c>
      <c r="N2237">
        <v>-1.2976379999999999E-2</v>
      </c>
      <c r="O2237">
        <v>2.3202800000000001E-3</v>
      </c>
      <c r="P2237">
        <v>0.9874946</v>
      </c>
      <c r="Q2237">
        <v>0.15763260000000001</v>
      </c>
      <c r="R2237">
        <v>-2.5556519999999998E-3</v>
      </c>
      <c r="S2237">
        <v>3.069458</v>
      </c>
      <c r="T2237">
        <v>-0.19031699999999999</v>
      </c>
      <c r="U2237">
        <v>-2.1255489999999998E-2</v>
      </c>
      <c r="V2237">
        <v>5.4631749999999998E-3</v>
      </c>
      <c r="W2237">
        <v>0.17041439999999999</v>
      </c>
      <c r="X2237">
        <v>0.98535729999999999</v>
      </c>
      <c r="Y2237">
        <v>9.220865E-3</v>
      </c>
      <c r="Z2237">
        <v>-4.5912349999999998E-4</v>
      </c>
      <c r="AA2237">
        <v>0.9999574</v>
      </c>
      <c r="AB2237">
        <v>20</v>
      </c>
      <c r="AC2237">
        <v>17.6906</v>
      </c>
      <c r="AD2237">
        <v>-1.1090331803828</v>
      </c>
      <c r="AE2237">
        <v>-0.122299999999995</v>
      </c>
      <c r="AF2237">
        <v>0.16271082899195999</v>
      </c>
      <c r="AG2237">
        <v>-1.1090331803828</v>
      </c>
      <c r="AH2237">
        <v>17.621019462188301</v>
      </c>
      <c r="AI2237">
        <v>93.601183195339004</v>
      </c>
      <c r="AJ2237">
        <v>89.470951221025302</v>
      </c>
      <c r="AK2237">
        <v>17.656634908608201</v>
      </c>
      <c r="AL2237">
        <v>80.188085602443195</v>
      </c>
      <c r="AM2237">
        <v>89.682334861750903</v>
      </c>
      <c r="AN2237">
        <v>0.999999961335864</v>
      </c>
    </row>
    <row r="2238" spans="1:40" x14ac:dyDescent="0.25">
      <c r="A2238" t="str">
        <f>"20190304155409161"</f>
        <v>20190304155409161</v>
      </c>
      <c r="B2238" t="str">
        <f>"1551686049159261"</f>
        <v>1551686049159261</v>
      </c>
      <c r="C2238" t="s">
        <v>40</v>
      </c>
      <c r="D2238">
        <v>4.8009700000000004</v>
      </c>
      <c r="E2238">
        <v>0.50132619999999894</v>
      </c>
      <c r="F2238" t="s">
        <v>63</v>
      </c>
      <c r="G2238">
        <v>-454.91449999999998</v>
      </c>
      <c r="H2238" s="1">
        <v>1.046688E-6</v>
      </c>
      <c r="I2238">
        <v>215.34360000000001</v>
      </c>
      <c r="J2238">
        <v>-471.96640000000002</v>
      </c>
      <c r="K2238">
        <v>1.109005</v>
      </c>
      <c r="L2238">
        <v>215.49889999999999</v>
      </c>
      <c r="M2238">
        <v>0.99991569999999996</v>
      </c>
      <c r="N2238">
        <v>-1.298697E-2</v>
      </c>
      <c r="O2238" s="1">
        <v>6.3687980000000003E-6</v>
      </c>
      <c r="P2238">
        <v>0.98771319999999996</v>
      </c>
      <c r="Q2238">
        <v>0.1561794</v>
      </c>
      <c r="R2238">
        <v>-5.5327789999999998E-3</v>
      </c>
      <c r="S2238">
        <v>3.0694270000000001</v>
      </c>
      <c r="T2238">
        <v>-0.19714680000000001</v>
      </c>
      <c r="U2238">
        <v>-2.7999880000000001E-2</v>
      </c>
      <c r="V2238">
        <v>6.1597010000000001E-3</v>
      </c>
      <c r="W2238">
        <v>0.16897219999999999</v>
      </c>
      <c r="X2238">
        <v>0.98560159999999997</v>
      </c>
      <c r="Y2238">
        <v>9.1056000000000002E-3</v>
      </c>
      <c r="Z2238">
        <v>-3.5164549999999999E-4</v>
      </c>
      <c r="AA2238">
        <v>0.99995849999999997</v>
      </c>
      <c r="AB2238">
        <v>20</v>
      </c>
      <c r="AC2238">
        <v>17.0519</v>
      </c>
      <c r="AD2238">
        <v>-1.109003953312</v>
      </c>
      <c r="AE2238">
        <v>-0.15529999999998201</v>
      </c>
      <c r="AF2238">
        <v>0.15475408351914099</v>
      </c>
      <c r="AG2238">
        <v>-1.109003953312</v>
      </c>
      <c r="AH2238">
        <v>16.980082481974701</v>
      </c>
      <c r="AI2238">
        <v>93.736642651326804</v>
      </c>
      <c r="AJ2238">
        <v>89.477828781361495</v>
      </c>
      <c r="AK2238">
        <v>17.0169632922414</v>
      </c>
      <c r="AL2238">
        <v>80.271934317102804</v>
      </c>
      <c r="AM2238">
        <v>89.641924003009606</v>
      </c>
      <c r="AN2238">
        <v>1.0000000301059</v>
      </c>
    </row>
    <row r="2239" spans="1:40" x14ac:dyDescent="0.25">
      <c r="A2239" t="str">
        <f>"20190304155409185"</f>
        <v>20190304155409185</v>
      </c>
      <c r="B2239" t="str">
        <f>"1551686049178780"</f>
        <v>1551686049178780</v>
      </c>
      <c r="C2239" t="s">
        <v>40</v>
      </c>
      <c r="D2239">
        <v>4.5421250000000004</v>
      </c>
      <c r="E2239">
        <v>0.50129049999999997</v>
      </c>
      <c r="F2239" t="s">
        <v>63</v>
      </c>
      <c r="G2239">
        <v>-455.24149999999997</v>
      </c>
      <c r="H2239" s="1">
        <v>1.2216530000000001E-6</v>
      </c>
      <c r="I2239">
        <v>215.32140000000001</v>
      </c>
      <c r="J2239">
        <v>-471.7561</v>
      </c>
      <c r="K2239">
        <v>1.1090120000000001</v>
      </c>
      <c r="L2239">
        <v>215.49600000000001</v>
      </c>
      <c r="M2239">
        <v>0.99991289999999999</v>
      </c>
      <c r="N2239">
        <v>-1.2995980000000001E-2</v>
      </c>
      <c r="O2239">
        <v>-2.331442E-3</v>
      </c>
      <c r="P2239">
        <v>0.98788299999999996</v>
      </c>
      <c r="Q2239">
        <v>0.15499479999999999</v>
      </c>
      <c r="R2239">
        <v>-7.990001E-3</v>
      </c>
      <c r="S2239">
        <v>3.0692750000000002</v>
      </c>
      <c r="T2239">
        <v>-0.20351859999999999</v>
      </c>
      <c r="U2239">
        <v>-3.2577509999999997E-2</v>
      </c>
      <c r="V2239">
        <v>6.2972590000000004E-3</v>
      </c>
      <c r="W2239">
        <v>0.16779849999999999</v>
      </c>
      <c r="X2239">
        <v>0.98580120000000004</v>
      </c>
      <c r="Y2239">
        <v>8.2635399999999998E-3</v>
      </c>
      <c r="Z2239">
        <v>-2.0328699999999999E-4</v>
      </c>
      <c r="AA2239">
        <v>0.99996580000000002</v>
      </c>
      <c r="AB2239">
        <v>20</v>
      </c>
      <c r="AC2239">
        <v>16.514600000000002</v>
      </c>
      <c r="AD2239">
        <v>-1.109010778347</v>
      </c>
      <c r="AE2239">
        <v>-0.174599999999969</v>
      </c>
      <c r="AF2239">
        <v>0.13548254398811299</v>
      </c>
      <c r="AG2239">
        <v>-1.109010778347</v>
      </c>
      <c r="AH2239">
        <v>16.440829379985299</v>
      </c>
      <c r="AI2239">
        <v>93.858891539019695</v>
      </c>
      <c r="AJ2239">
        <v>89.527858231300897</v>
      </c>
      <c r="AK2239">
        <v>16.4787478628689</v>
      </c>
      <c r="AL2239">
        <v>80.340156200219695</v>
      </c>
      <c r="AM2239">
        <v>89.634001809261093</v>
      </c>
      <c r="AN2239">
        <v>0.99999999899730097</v>
      </c>
    </row>
    <row r="2240" spans="1:40" x14ac:dyDescent="0.25">
      <c r="A2240" t="str">
        <f>"20190304155409227"</f>
        <v>20190304155409227</v>
      </c>
      <c r="B2240" t="str">
        <f>"1551686049218797"</f>
        <v>1551686049218797</v>
      </c>
      <c r="C2240" t="s">
        <v>40</v>
      </c>
      <c r="D2240">
        <v>4.5411839999999897</v>
      </c>
      <c r="E2240">
        <v>0.50118989999999997</v>
      </c>
      <c r="F2240" t="s">
        <v>63</v>
      </c>
      <c r="G2240">
        <v>-455.43380000000002</v>
      </c>
      <c r="H2240" s="1">
        <v>1.3255489999999999E-6</v>
      </c>
      <c r="I2240">
        <v>215.2859</v>
      </c>
      <c r="J2240">
        <v>-471.37720000000002</v>
      </c>
      <c r="K2240">
        <v>1.1090880000000001</v>
      </c>
      <c r="L2240">
        <v>215.4896</v>
      </c>
      <c r="M2240">
        <v>0.99989360000000005</v>
      </c>
      <c r="N2240">
        <v>-1.300975E-2</v>
      </c>
      <c r="O2240">
        <v>-6.6130690000000001E-3</v>
      </c>
      <c r="P2240">
        <v>0.98790370000000005</v>
      </c>
      <c r="Q2240">
        <v>0.1545368</v>
      </c>
      <c r="R2240">
        <v>-1.284183E-2</v>
      </c>
      <c r="S2240">
        <v>3.069153</v>
      </c>
      <c r="T2240">
        <v>-0.2085321</v>
      </c>
      <c r="U2240">
        <v>-3.9520260000000001E-2</v>
      </c>
      <c r="V2240">
        <v>6.8816090000000003E-3</v>
      </c>
      <c r="W2240">
        <v>0.16735429999999901</v>
      </c>
      <c r="X2240">
        <v>0.98587279999999999</v>
      </c>
      <c r="Y2240">
        <v>6.2549519999999898E-3</v>
      </c>
      <c r="Z2240">
        <v>1.098345E-4</v>
      </c>
      <c r="AA2240">
        <v>0.99998039999999999</v>
      </c>
      <c r="AB2240">
        <v>20</v>
      </c>
      <c r="AC2240">
        <v>15.943399999999899</v>
      </c>
      <c r="AD2240">
        <v>-1.109086674451</v>
      </c>
      <c r="AE2240">
        <v>-0.20369999999999699</v>
      </c>
      <c r="AF2240">
        <v>9.77787386428388E-2</v>
      </c>
      <c r="AG2240">
        <v>-1.109086674451</v>
      </c>
      <c r="AH2240">
        <v>15.8676252220639</v>
      </c>
      <c r="AI2240">
        <v>93.998178819394695</v>
      </c>
      <c r="AJ2240">
        <v>89.646939093719396</v>
      </c>
      <c r="AK2240">
        <v>15.906638995119399</v>
      </c>
      <c r="AL2240">
        <v>80.365972035764301</v>
      </c>
      <c r="AM2240">
        <v>89.600069351272296</v>
      </c>
      <c r="AN2240">
        <v>0.99999999802537898</v>
      </c>
    </row>
    <row r="2241" spans="1:40" x14ac:dyDescent="0.25">
      <c r="A2241" t="str">
        <f>"20190304155409250"</f>
        <v>20190304155409250</v>
      </c>
      <c r="B2241" t="str">
        <f>"1551686049239294"</f>
        <v>1551686049239294</v>
      </c>
      <c r="C2241" t="s">
        <v>40</v>
      </c>
      <c r="D2241">
        <v>4.5373150000000004</v>
      </c>
      <c r="E2241">
        <v>0.50140959999999901</v>
      </c>
      <c r="F2241" t="s">
        <v>63</v>
      </c>
      <c r="G2241">
        <v>-455.3261</v>
      </c>
      <c r="H2241" s="1">
        <v>1.27136E-6</v>
      </c>
      <c r="I2241">
        <v>215.2148</v>
      </c>
      <c r="J2241">
        <v>-471.16829999999999</v>
      </c>
      <c r="K2241">
        <v>1.109148</v>
      </c>
      <c r="L2241">
        <v>215.4854</v>
      </c>
      <c r="M2241">
        <v>0.99987530000000002</v>
      </c>
      <c r="N2241">
        <v>-1.3015199999999999E-2</v>
      </c>
      <c r="O2241">
        <v>-8.9556299999999991E-3</v>
      </c>
      <c r="P2241">
        <v>0.98802449999999997</v>
      </c>
      <c r="Q2241">
        <v>0.1534451</v>
      </c>
      <c r="R2241">
        <v>-1.619456E-2</v>
      </c>
      <c r="S2241">
        <v>3.0692439999999999</v>
      </c>
      <c r="T2241">
        <v>-0.2120774</v>
      </c>
      <c r="U2241">
        <v>-5.2536010000000001E-2</v>
      </c>
      <c r="V2241">
        <v>7.8912380000000001E-3</v>
      </c>
      <c r="W2241">
        <v>0.16626779999999999</v>
      </c>
      <c r="X2241">
        <v>0.98604910000000001</v>
      </c>
      <c r="Y2241">
        <v>8.1496160000000002E-3</v>
      </c>
      <c r="Z2241">
        <v>1.672465E-4</v>
      </c>
      <c r="AA2241">
        <v>0.99996680000000004</v>
      </c>
      <c r="AB2241">
        <v>20</v>
      </c>
      <c r="AC2241">
        <v>15.842199999999901</v>
      </c>
      <c r="AD2241">
        <v>-1.1091467286399901</v>
      </c>
      <c r="AE2241">
        <v>-0.27060000000000101</v>
      </c>
      <c r="AF2241">
        <v>0.12807267075301701</v>
      </c>
      <c r="AG2241">
        <v>-1.1091467286399901</v>
      </c>
      <c r="AH2241">
        <v>15.7667269038917</v>
      </c>
      <c r="AI2241">
        <v>94.023842163662096</v>
      </c>
      <c r="AJ2241">
        <v>89.534598261127798</v>
      </c>
      <c r="AK2241">
        <v>15.8062103723995</v>
      </c>
      <c r="AL2241">
        <v>80.429108924733598</v>
      </c>
      <c r="AM2241">
        <v>89.541478228207694</v>
      </c>
      <c r="AN2241">
        <v>1.0000000402824101</v>
      </c>
    </row>
    <row r="2242" spans="1:40" x14ac:dyDescent="0.25">
      <c r="A2242" t="str">
        <f>"20190304155409272"</f>
        <v>20190304155409272</v>
      </c>
      <c r="B2242" t="str">
        <f>"1551686049268573"</f>
        <v>1551686049268573</v>
      </c>
      <c r="C2242" t="s">
        <v>40</v>
      </c>
      <c r="D2242">
        <v>4.5462069999999999</v>
      </c>
      <c r="E2242">
        <v>0.50124919999999995</v>
      </c>
      <c r="F2242" t="s">
        <v>63</v>
      </c>
      <c r="G2242">
        <v>-455.31380000000001</v>
      </c>
      <c r="H2242" s="1">
        <v>1.2671440000000001E-6</v>
      </c>
      <c r="I2242">
        <v>215.16040000000001</v>
      </c>
      <c r="J2242">
        <v>-470.96980000000002</v>
      </c>
      <c r="K2242">
        <v>1.1091949999999999</v>
      </c>
      <c r="L2242">
        <v>215.48099999999999</v>
      </c>
      <c r="M2242">
        <v>0.99985329999999994</v>
      </c>
      <c r="N2242">
        <v>-1.301419E-2</v>
      </c>
      <c r="O2242">
        <v>-1.1147300000000001E-2</v>
      </c>
      <c r="P2242">
        <v>0.98802020000000002</v>
      </c>
      <c r="Q2242">
        <v>0.1530955</v>
      </c>
      <c r="R2242">
        <v>-1.944676E-2</v>
      </c>
      <c r="S2242">
        <v>3.0686339999999999</v>
      </c>
      <c r="T2242">
        <v>-0.2146748</v>
      </c>
      <c r="U2242">
        <v>-6.2896729999999998E-2</v>
      </c>
      <c r="V2242">
        <v>8.9560979999999991E-3</v>
      </c>
      <c r="W2242">
        <v>0.1659156</v>
      </c>
      <c r="X2242">
        <v>0.98609930000000001</v>
      </c>
      <c r="Y2242">
        <v>9.336156E-3</v>
      </c>
      <c r="Z2242">
        <v>2.4686229999999998E-4</v>
      </c>
      <c r="AA2242">
        <v>0.99995639999999997</v>
      </c>
      <c r="AB2242">
        <v>20</v>
      </c>
      <c r="AC2242">
        <v>15.656000000000001</v>
      </c>
      <c r="AD2242">
        <v>-1.109193732856</v>
      </c>
      <c r="AE2242">
        <v>-0.32059999999998401</v>
      </c>
      <c r="AF2242">
        <v>0.14531410264106701</v>
      </c>
      <c r="AG2242">
        <v>-1.109193732856</v>
      </c>
      <c r="AH2242">
        <v>15.5804293311805</v>
      </c>
      <c r="AI2242">
        <v>94.071924336457897</v>
      </c>
      <c r="AJ2242">
        <v>89.465634533887695</v>
      </c>
      <c r="AK2242">
        <v>15.6205379250954</v>
      </c>
      <c r="AL2242">
        <v>80.449572477591403</v>
      </c>
      <c r="AM2242">
        <v>89.479634041579203</v>
      </c>
      <c r="AN2242">
        <v>1.0000000137376099</v>
      </c>
    </row>
    <row r="2243" spans="1:40" x14ac:dyDescent="0.25">
      <c r="A2243" t="str">
        <f>"20190304155409293"</f>
        <v>20190304155409293</v>
      </c>
      <c r="B2243" t="str">
        <f>"1551686049289069"</f>
        <v>1551686049289069</v>
      </c>
      <c r="C2243" t="s">
        <v>40</v>
      </c>
      <c r="D2243">
        <v>4.5286249999999999</v>
      </c>
      <c r="E2243">
        <v>0.50115109999999996</v>
      </c>
      <c r="F2243" t="s">
        <v>63</v>
      </c>
      <c r="G2243">
        <v>-455.37959999999998</v>
      </c>
      <c r="H2243" s="1">
        <v>1.3040290000000001E-6</v>
      </c>
      <c r="I2243">
        <v>215.11869999999999</v>
      </c>
      <c r="J2243">
        <v>-470.7774</v>
      </c>
      <c r="K2243">
        <v>1.1092280000000001</v>
      </c>
      <c r="L2243">
        <v>215.47630000000001</v>
      </c>
      <c r="M2243">
        <v>0.99982789999999999</v>
      </c>
      <c r="N2243">
        <v>-1.299876E-2</v>
      </c>
      <c r="O2243">
        <v>-1.324181E-2</v>
      </c>
      <c r="P2243">
        <v>0.98791359999999995</v>
      </c>
      <c r="Q2243">
        <v>0.15346969999999999</v>
      </c>
      <c r="R2243">
        <v>-2.177407E-2</v>
      </c>
      <c r="S2243">
        <v>3.0688170000000001</v>
      </c>
      <c r="T2243">
        <v>-0.21833659999999999</v>
      </c>
      <c r="U2243">
        <v>-7.1304320000000004E-2</v>
      </c>
      <c r="V2243">
        <v>9.2004099999999991E-3</v>
      </c>
      <c r="W2243">
        <v>0.166273799999999</v>
      </c>
      <c r="X2243">
        <v>0.98603669999999999</v>
      </c>
      <c r="Y2243">
        <v>9.9799620000000002E-3</v>
      </c>
      <c r="Z2243">
        <v>3.4929889999999998E-4</v>
      </c>
      <c r="AA2243">
        <v>0.99995009999999995</v>
      </c>
      <c r="AB2243">
        <v>20</v>
      </c>
      <c r="AC2243">
        <v>15.3978</v>
      </c>
      <c r="AD2243">
        <v>-1.109226695971</v>
      </c>
      <c r="AE2243">
        <v>-0.35760000000001901</v>
      </c>
      <c r="AF2243">
        <v>0.15286383097408299</v>
      </c>
      <c r="AG2243">
        <v>-1.109226695971</v>
      </c>
      <c r="AH2243">
        <v>15.321716639641201</v>
      </c>
      <c r="AI2243">
        <v>94.140539823024397</v>
      </c>
      <c r="AJ2243">
        <v>89.428382473392205</v>
      </c>
      <c r="AK2243">
        <v>15.362576346411799</v>
      </c>
      <c r="AL2243">
        <v>80.428759897691705</v>
      </c>
      <c r="AM2243">
        <v>89.465405937208104</v>
      </c>
      <c r="AN2243">
        <v>0.99999999892874902</v>
      </c>
    </row>
    <row r="2244" spans="1:40" x14ac:dyDescent="0.25">
      <c r="A2244" t="str">
        <f>"20190304155409317"</f>
        <v>20190304155409317</v>
      </c>
      <c r="B2244" t="str">
        <f>"1551686049308590"</f>
        <v>1551686049308590</v>
      </c>
      <c r="C2244" t="s">
        <v>40</v>
      </c>
      <c r="D2244">
        <v>4.5343819999999999</v>
      </c>
      <c r="E2244">
        <v>0.50106090000000003</v>
      </c>
      <c r="F2244" t="s">
        <v>63</v>
      </c>
      <c r="G2244">
        <v>-455.12799999999999</v>
      </c>
      <c r="H2244" s="1">
        <v>1.171972E-6</v>
      </c>
      <c r="I2244">
        <v>215.0763</v>
      </c>
      <c r="J2244">
        <v>-470.56099999999998</v>
      </c>
      <c r="K2244">
        <v>1.1092489999999999</v>
      </c>
      <c r="L2244">
        <v>215.47059999999999</v>
      </c>
      <c r="M2244">
        <v>0.99979479999999998</v>
      </c>
      <c r="N2244">
        <v>-1.2968530000000001E-2</v>
      </c>
      <c r="O2244">
        <v>-1.556425E-2</v>
      </c>
      <c r="P2244">
        <v>0.98788849999999995</v>
      </c>
      <c r="Q2244">
        <v>0.15332119999999999</v>
      </c>
      <c r="R2244">
        <v>-2.3866430000000001E-2</v>
      </c>
      <c r="S2244">
        <v>3.0688170000000001</v>
      </c>
      <c r="T2244">
        <v>-0.21751760000000001</v>
      </c>
      <c r="U2244">
        <v>-7.8445429999999997E-2</v>
      </c>
      <c r="V2244">
        <v>8.9841069999999999E-3</v>
      </c>
      <c r="W2244">
        <v>0.1660971</v>
      </c>
      <c r="X2244">
        <v>0.98606850000000001</v>
      </c>
      <c r="Y2244">
        <v>9.9866039999999996E-3</v>
      </c>
      <c r="Z2244">
        <v>4.8162390000000002E-4</v>
      </c>
      <c r="AA2244">
        <v>0.99995000000000001</v>
      </c>
      <c r="AB2244">
        <v>20</v>
      </c>
      <c r="AC2244">
        <v>15.4329999999999</v>
      </c>
      <c r="AD2244">
        <v>-1.109247828028</v>
      </c>
      <c r="AE2244">
        <v>-0.39429999999998699</v>
      </c>
      <c r="AF2244">
        <v>0.15323785289828601</v>
      </c>
      <c r="AG2244">
        <v>-1.109247828028</v>
      </c>
      <c r="AH2244">
        <v>15.3579798375852</v>
      </c>
      <c r="AI2244">
        <v>94.130875471839403</v>
      </c>
      <c r="AJ2244">
        <v>89.428336865785496</v>
      </c>
      <c r="AK2244">
        <v>15.398748561984499</v>
      </c>
      <c r="AL2244">
        <v>80.439027068131196</v>
      </c>
      <c r="AM2244">
        <v>89.477990452834007</v>
      </c>
      <c r="AN2244">
        <v>1.00000002374962</v>
      </c>
    </row>
    <row r="2245" spans="1:40" x14ac:dyDescent="0.25">
      <c r="A2245" t="str">
        <f>"20190304155409338"</f>
        <v>20190304155409338</v>
      </c>
      <c r="B2245" t="str">
        <f>"1551686049329085"</f>
        <v>1551686049329085</v>
      </c>
      <c r="C2245" t="s">
        <v>40</v>
      </c>
      <c r="D2245">
        <v>4.5181889999999996</v>
      </c>
      <c r="E2245">
        <v>0.5009361</v>
      </c>
      <c r="F2245" t="s">
        <v>63</v>
      </c>
      <c r="G2245">
        <v>-454.9588</v>
      </c>
      <c r="H2245" s="1">
        <v>1.083457E-6</v>
      </c>
      <c r="I2245">
        <v>215.04159999999999</v>
      </c>
      <c r="J2245">
        <v>-470.36939999999998</v>
      </c>
      <c r="K2245">
        <v>1.1092610000000001</v>
      </c>
      <c r="L2245">
        <v>215.46520000000001</v>
      </c>
      <c r="M2245">
        <v>0.99976149999999997</v>
      </c>
      <c r="N2245">
        <v>-1.294142E-2</v>
      </c>
      <c r="O2245">
        <v>-1.759469E-2</v>
      </c>
      <c r="P2245">
        <v>0.9879211</v>
      </c>
      <c r="Q2245">
        <v>0.15285079999999901</v>
      </c>
      <c r="R2245">
        <v>-2.547131E-2</v>
      </c>
      <c r="S2245">
        <v>3.0685730000000002</v>
      </c>
      <c r="T2245">
        <v>-0.21816169999999999</v>
      </c>
      <c r="U2245">
        <v>-8.4381100000000001E-2</v>
      </c>
      <c r="V2245">
        <v>8.5701830000000003E-3</v>
      </c>
      <c r="W2245">
        <v>0.16560239999999901</v>
      </c>
      <c r="X2245">
        <v>0.98615540000000002</v>
      </c>
      <c r="Y2245">
        <v>9.8944949999999997E-3</v>
      </c>
      <c r="Z2245">
        <v>6.061606E-4</v>
      </c>
      <c r="AA2245">
        <v>0.99995089999999998</v>
      </c>
      <c r="AB2245">
        <v>20</v>
      </c>
      <c r="AC2245">
        <v>15.410599999999899</v>
      </c>
      <c r="AD2245">
        <v>-1.1092599165429999</v>
      </c>
      <c r="AE2245">
        <v>-0.42360000000002102</v>
      </c>
      <c r="AF2245">
        <v>0.15158221332824601</v>
      </c>
      <c r="AG2245">
        <v>-1.1092599165429999</v>
      </c>
      <c r="AH2245">
        <v>15.336268031308601</v>
      </c>
      <c r="AI2245">
        <v>94.1367520982825</v>
      </c>
      <c r="AJ2245">
        <v>89.433712409432701</v>
      </c>
      <c r="AK2245">
        <v>15.3770787816797</v>
      </c>
      <c r="AL2245">
        <v>80.467769477149801</v>
      </c>
      <c r="AM2245">
        <v>89.502083592163402</v>
      </c>
      <c r="AN2245">
        <v>1.0000000379357801</v>
      </c>
    </row>
    <row r="2246" spans="1:40" x14ac:dyDescent="0.25">
      <c r="A2246" t="str">
        <f>"20190304155409363"</f>
        <v>20190304155409363</v>
      </c>
      <c r="B2246" t="str">
        <f>"1551686049358364"</f>
        <v>1551686049358364</v>
      </c>
      <c r="C2246" t="s">
        <v>40</v>
      </c>
      <c r="D2246">
        <v>4.5269839999999997</v>
      </c>
      <c r="E2246">
        <v>0.50071909999999997</v>
      </c>
      <c r="F2246" t="s">
        <v>63</v>
      </c>
      <c r="G2246">
        <v>-454.9008</v>
      </c>
      <c r="H2246" s="1">
        <v>1.053625E-6</v>
      </c>
      <c r="I2246">
        <v>215.0172</v>
      </c>
      <c r="J2246">
        <v>-470.15620000000001</v>
      </c>
      <c r="K2246">
        <v>1.1092820000000001</v>
      </c>
      <c r="L2246">
        <v>215.45869999999999</v>
      </c>
      <c r="M2246">
        <v>0.99972019999999995</v>
      </c>
      <c r="N2246">
        <v>-1.2910380000000001E-2</v>
      </c>
      <c r="O2246">
        <v>-1.982563E-2</v>
      </c>
      <c r="P2246">
        <v>0.98790210000000001</v>
      </c>
      <c r="Q2246">
        <v>0.1527964</v>
      </c>
      <c r="R2246">
        <v>-2.651767E-2</v>
      </c>
      <c r="S2246">
        <v>3.0684200000000001</v>
      </c>
      <c r="T2246">
        <v>-0.22003719999999999</v>
      </c>
      <c r="U2246">
        <v>-8.8867189999999999E-2</v>
      </c>
      <c r="V2246">
        <v>7.399353E-3</v>
      </c>
      <c r="W2246">
        <v>0.16552149999999999</v>
      </c>
      <c r="X2246">
        <v>0.98617840000000001</v>
      </c>
      <c r="Y2246">
        <v>9.1315979999999995E-3</v>
      </c>
      <c r="Z2246">
        <v>7.7775789999999902E-4</v>
      </c>
      <c r="AA2246">
        <v>0.99995800000000001</v>
      </c>
      <c r="AB2246">
        <v>20</v>
      </c>
      <c r="AC2246">
        <v>15.2554</v>
      </c>
      <c r="AD2246">
        <v>-1.109280946375</v>
      </c>
      <c r="AE2246">
        <v>-0.44149999999999001</v>
      </c>
      <c r="AF2246">
        <v>0.13820996797767801</v>
      </c>
      <c r="AG2246">
        <v>-1.109280946375</v>
      </c>
      <c r="AH2246">
        <v>15.1809553849646</v>
      </c>
      <c r="AI2246">
        <v>94.179034789749494</v>
      </c>
      <c r="AJ2246">
        <v>89.478384009770195</v>
      </c>
      <c r="AK2246">
        <v>15.2220567799994</v>
      </c>
      <c r="AL2246">
        <v>80.472468983754595</v>
      </c>
      <c r="AM2246">
        <v>89.570114552579994</v>
      </c>
      <c r="AN2246">
        <v>0.99999997700681398</v>
      </c>
    </row>
    <row r="2247" spans="1:40" x14ac:dyDescent="0.25">
      <c r="A2247" t="str">
        <f>"20190304155409387"</f>
        <v>20190304155409387</v>
      </c>
      <c r="B2247" t="str">
        <f>"1551686049378861"</f>
        <v>1551686049378861</v>
      </c>
      <c r="C2247" t="s">
        <v>40</v>
      </c>
      <c r="D2247">
        <v>4.4774640000000003</v>
      </c>
      <c r="E2247">
        <v>0.50067090000000003</v>
      </c>
      <c r="F2247" t="s">
        <v>48</v>
      </c>
      <c r="G2247">
        <v>-469.2466</v>
      </c>
      <c r="H2247">
        <v>1.043812</v>
      </c>
      <c r="I2247">
        <v>215.43190000000001</v>
      </c>
      <c r="J2247">
        <v>-469.94080000000002</v>
      </c>
      <c r="K2247">
        <v>1.10931</v>
      </c>
      <c r="L2247">
        <v>215.45160000000001</v>
      </c>
      <c r="M2247">
        <v>0.99967410000000001</v>
      </c>
      <c r="N2247">
        <v>-1.2867740000000001E-2</v>
      </c>
      <c r="O2247">
        <v>-2.2046130000000001E-2</v>
      </c>
      <c r="P2247">
        <v>0.98785040000000002</v>
      </c>
      <c r="Q2247">
        <v>0.15302470000000001</v>
      </c>
      <c r="R2247">
        <v>-2.7112799999999999E-2</v>
      </c>
      <c r="S2247">
        <v>3.0684809999999998</v>
      </c>
      <c r="T2247">
        <v>-0.22081529999999999</v>
      </c>
      <c r="U2247">
        <v>-8.9935299999999996E-2</v>
      </c>
      <c r="V2247">
        <v>5.7872050000000001E-3</v>
      </c>
      <c r="W2247">
        <v>0.1657129</v>
      </c>
      <c r="X2247">
        <v>0.98615710000000001</v>
      </c>
      <c r="Y2247">
        <v>7.2674419999999998E-3</v>
      </c>
      <c r="Z2247">
        <v>9.9256769999999999E-4</v>
      </c>
      <c r="AA2247">
        <v>0.99997309999999995</v>
      </c>
      <c r="AB2247">
        <v>20</v>
      </c>
      <c r="AC2247">
        <v>0.69420000000002302</v>
      </c>
      <c r="AD2247">
        <v>-6.5497999999999806E-2</v>
      </c>
      <c r="AE2247">
        <v>-1.97000000000002E-2</v>
      </c>
      <c r="AF2247">
        <v>4.3508201567197301E-3</v>
      </c>
      <c r="AG2247">
        <v>-6.5497999999999806E-2</v>
      </c>
      <c r="AH2247">
        <v>0.68834290703919498</v>
      </c>
      <c r="AI2247">
        <v>95.435401151773107</v>
      </c>
      <c r="AJ2247">
        <v>89.637854461514607</v>
      </c>
      <c r="AK2247">
        <v>0.69146574413430395</v>
      </c>
      <c r="AL2247">
        <v>80.461349625855803</v>
      </c>
      <c r="AM2247">
        <v>89.663766944086305</v>
      </c>
      <c r="AN2247">
        <v>1.00000004142426</v>
      </c>
    </row>
    <row r="2248" spans="1:40" x14ac:dyDescent="0.25">
      <c r="A2248" t="str">
        <f>"20190304155409428"</f>
        <v>20190304155409428</v>
      </c>
      <c r="B2248" t="str">
        <f>"1551686049418877"</f>
        <v>1551686049418877</v>
      </c>
      <c r="C2248" t="s">
        <v>40</v>
      </c>
      <c r="D2248">
        <v>4.4741070000000001</v>
      </c>
      <c r="E2248">
        <v>0.50065569999999904</v>
      </c>
      <c r="F2248" t="s">
        <v>63</v>
      </c>
      <c r="G2248">
        <v>-454.4554</v>
      </c>
      <c r="H2248" s="1">
        <v>8.176624E-7</v>
      </c>
      <c r="I2248">
        <v>214.9933</v>
      </c>
      <c r="J2248">
        <v>-469.57499999999999</v>
      </c>
      <c r="K2248">
        <v>1.109369</v>
      </c>
      <c r="L2248">
        <v>215.43879999999999</v>
      </c>
      <c r="M2248">
        <v>0.9995868</v>
      </c>
      <c r="N2248">
        <v>-1.278866E-2</v>
      </c>
      <c r="O2248">
        <v>-2.5740780000000001E-2</v>
      </c>
      <c r="P2248">
        <v>0.98767669999999996</v>
      </c>
      <c r="Q2248">
        <v>0.15411179999999999</v>
      </c>
      <c r="R2248">
        <v>-2.728568E-2</v>
      </c>
      <c r="S2248">
        <v>3.0684809999999998</v>
      </c>
      <c r="T2248">
        <v>-0.21981290000000001</v>
      </c>
      <c r="U2248">
        <v>-9.0820310000000001E-2</v>
      </c>
      <c r="V2248">
        <v>2.2898419999999998E-3</v>
      </c>
      <c r="W2248">
        <v>0.1667295</v>
      </c>
      <c r="X2248">
        <v>0.98599999999999999</v>
      </c>
      <c r="Y2248">
        <v>3.876174E-3</v>
      </c>
      <c r="Z2248">
        <v>1.3485680000000001E-3</v>
      </c>
      <c r="AA2248">
        <v>0.99999159999999998</v>
      </c>
      <c r="AB2248">
        <v>20</v>
      </c>
      <c r="AC2248">
        <v>15.119599999999901</v>
      </c>
      <c r="AD2248">
        <v>-1.1093681823376</v>
      </c>
      <c r="AE2248">
        <v>-0.44549999999998102</v>
      </c>
      <c r="AF2248">
        <v>5.5829911095703399E-2</v>
      </c>
      <c r="AG2248">
        <v>-1.1093681823376</v>
      </c>
      <c r="AH2248">
        <v>15.045131433341799</v>
      </c>
      <c r="AI2248">
        <v>94.217102280819404</v>
      </c>
      <c r="AJ2248">
        <v>89.787386131665002</v>
      </c>
      <c r="AK2248">
        <v>15.086079496989401</v>
      </c>
      <c r="AL2248">
        <v>80.402280453552606</v>
      </c>
      <c r="AM2248">
        <v>89.866939100925705</v>
      </c>
      <c r="AN2248">
        <v>0.99999998477331697</v>
      </c>
    </row>
    <row r="2249" spans="1:40" x14ac:dyDescent="0.25">
      <c r="A2249" t="str">
        <f>"20190304155409450"</f>
        <v>20190304155409450</v>
      </c>
      <c r="B2249" t="str">
        <f>"1551686049438397"</f>
        <v>1551686049438397</v>
      </c>
      <c r="C2249" t="s">
        <v>40</v>
      </c>
      <c r="D2249">
        <v>4.5329899999999999</v>
      </c>
      <c r="E2249">
        <v>0.50082539999999998</v>
      </c>
      <c r="F2249" t="s">
        <v>63</v>
      </c>
      <c r="G2249">
        <v>-453.72030000000001</v>
      </c>
      <c r="H2249" s="1">
        <v>4.2750850000000001E-7</v>
      </c>
      <c r="I2249">
        <v>214.97059999999999</v>
      </c>
      <c r="J2249">
        <v>-469.37900000000002</v>
      </c>
      <c r="K2249">
        <v>1.1093980000000001</v>
      </c>
      <c r="L2249">
        <v>215.4314</v>
      </c>
      <c r="M2249">
        <v>0.99953619999999999</v>
      </c>
      <c r="N2249">
        <v>-1.275279E-2</v>
      </c>
      <c r="O2249">
        <v>-2.766002E-2</v>
      </c>
      <c r="P2249">
        <v>0.98762399999999995</v>
      </c>
      <c r="Q2249">
        <v>0.15452689999999999</v>
      </c>
      <c r="R2249">
        <v>-2.6844380000000001E-2</v>
      </c>
      <c r="S2249">
        <v>3.0684200000000001</v>
      </c>
      <c r="T2249">
        <v>-0.21470069999999999</v>
      </c>
      <c r="U2249">
        <v>-9.0606690000000004E-2</v>
      </c>
      <c r="V2249" s="1">
        <v>-5.9670860000000002E-5</v>
      </c>
      <c r="W2249">
        <v>0.1671145</v>
      </c>
      <c r="X2249">
        <v>0.98593750000000002</v>
      </c>
      <c r="Y2249">
        <v>1.894083E-3</v>
      </c>
      <c r="Z2249">
        <v>1.50157E-3</v>
      </c>
      <c r="AA2249">
        <v>0.99999709999999997</v>
      </c>
      <c r="AB2249">
        <v>20</v>
      </c>
      <c r="AC2249">
        <v>15.6587</v>
      </c>
      <c r="AD2249">
        <v>-1.1093975724915</v>
      </c>
      <c r="AE2249">
        <v>-0.46080000000000598</v>
      </c>
      <c r="AF2249">
        <v>2.7331482581257501E-2</v>
      </c>
      <c r="AG2249">
        <v>-1.1093975724915</v>
      </c>
      <c r="AH2249">
        <v>15.587281476775701</v>
      </c>
      <c r="AI2249">
        <v>94.071056029915198</v>
      </c>
      <c r="AJ2249">
        <v>89.899534951160703</v>
      </c>
      <c r="AK2249">
        <v>15.6267352258886</v>
      </c>
      <c r="AL2249">
        <v>80.379907904202895</v>
      </c>
      <c r="AM2249">
        <v>90.003467652294106</v>
      </c>
      <c r="AN2249">
        <v>1.0000000067885499</v>
      </c>
    </row>
    <row r="2250" spans="1:40" x14ac:dyDescent="0.25">
      <c r="A2250" t="str">
        <f>"20190304155409472"</f>
        <v>20190304155409472</v>
      </c>
      <c r="B2250" t="str">
        <f>"1551686049468654"</f>
        <v>1551686049468654</v>
      </c>
      <c r="C2250" t="s">
        <v>40</v>
      </c>
      <c r="D2250">
        <v>4.5205789999999997</v>
      </c>
      <c r="E2250">
        <v>0.5007547</v>
      </c>
      <c r="F2250" t="s">
        <v>63</v>
      </c>
      <c r="G2250">
        <v>-453.40910000000002</v>
      </c>
      <c r="H2250" s="1">
        <v>2.6232059999999999E-7</v>
      </c>
      <c r="I2250">
        <v>214.96080000000001</v>
      </c>
      <c r="J2250">
        <v>-469.1755</v>
      </c>
      <c r="K2250">
        <v>1.1094269999999999</v>
      </c>
      <c r="L2250">
        <v>215.42349999999999</v>
      </c>
      <c r="M2250">
        <v>0.99948099999999995</v>
      </c>
      <c r="N2250">
        <v>-1.271619E-2</v>
      </c>
      <c r="O2250">
        <v>-2.9602730000000001E-2</v>
      </c>
      <c r="P2250">
        <v>0.98777590000000004</v>
      </c>
      <c r="Q2250">
        <v>0.1535752</v>
      </c>
      <c r="R2250">
        <v>-2.6723739999999999E-2</v>
      </c>
      <c r="S2250">
        <v>3.0684809999999998</v>
      </c>
      <c r="T2250">
        <v>-0.2131615</v>
      </c>
      <c r="U2250">
        <v>-9.0423580000000003E-2</v>
      </c>
      <c r="V2250">
        <v>-2.1218869999999998E-3</v>
      </c>
      <c r="W2250">
        <v>0.1661337</v>
      </c>
      <c r="X2250">
        <v>0.98610100000000001</v>
      </c>
      <c r="Y2250">
        <v>-1.016244E-4</v>
      </c>
      <c r="Z2250">
        <v>1.6811679999999901E-3</v>
      </c>
      <c r="AA2250">
        <v>0.99999859999999896</v>
      </c>
      <c r="AB2250">
        <v>20</v>
      </c>
      <c r="AC2250">
        <v>15.7663999999999</v>
      </c>
      <c r="AD2250">
        <v>-1.10942673767939</v>
      </c>
      <c r="AE2250">
        <v>-0.46269999999998301</v>
      </c>
      <c r="AF2250">
        <v>-4.2479526960023098E-3</v>
      </c>
      <c r="AG2250">
        <v>-1.10942673767939</v>
      </c>
      <c r="AH2250">
        <v>15.6955386807737</v>
      </c>
      <c r="AI2250">
        <v>94.043182065676902</v>
      </c>
      <c r="AJ2250">
        <v>90.015506938631304</v>
      </c>
      <c r="AK2250">
        <v>15.7346998767388</v>
      </c>
      <c r="AL2250">
        <v>80.436900706129805</v>
      </c>
      <c r="AM2250">
        <v>90.123288569897198</v>
      </c>
      <c r="AN2250">
        <v>1.00000004544056</v>
      </c>
    </row>
    <row r="2251" spans="1:40" x14ac:dyDescent="0.25">
      <c r="A2251" t="str">
        <f>"20190304155409495"</f>
        <v>20190304155409495</v>
      </c>
      <c r="B2251" t="str">
        <f>"1551686049489150"</f>
        <v>1551686049489150</v>
      </c>
      <c r="C2251" t="s">
        <v>40</v>
      </c>
      <c r="D2251">
        <v>4.4946219999999997</v>
      </c>
      <c r="E2251">
        <v>0.50069830000000004</v>
      </c>
      <c r="F2251" t="s">
        <v>63</v>
      </c>
      <c r="G2251">
        <v>-453.37970000000001</v>
      </c>
      <c r="H2251" s="1">
        <v>2.4635100000000001E-7</v>
      </c>
      <c r="I2251">
        <v>214.9675</v>
      </c>
      <c r="J2251">
        <v>-468.9742</v>
      </c>
      <c r="K2251">
        <v>1.1094539999999999</v>
      </c>
      <c r="L2251">
        <v>215.4153</v>
      </c>
      <c r="M2251">
        <v>0.99942470000000005</v>
      </c>
      <c r="N2251">
        <v>-1.267562E-2</v>
      </c>
      <c r="O2251">
        <v>-3.145796E-2</v>
      </c>
      <c r="P2251">
        <v>0.98795619999999995</v>
      </c>
      <c r="Q2251">
        <v>0.15251319999999999</v>
      </c>
      <c r="R2251">
        <v>-2.6132829999999999E-2</v>
      </c>
      <c r="S2251">
        <v>3.0682369999999999</v>
      </c>
      <c r="T2251">
        <v>-0.21549889999999999</v>
      </c>
      <c r="U2251">
        <v>-8.8562009999999997E-2</v>
      </c>
      <c r="V2251">
        <v>-4.5701709999999996E-3</v>
      </c>
      <c r="W2251">
        <v>0.16503950000000001</v>
      </c>
      <c r="X2251">
        <v>0.98627640000000005</v>
      </c>
      <c r="Y2251">
        <v>-2.55018E-3</v>
      </c>
      <c r="Z2251">
        <v>1.913007E-3</v>
      </c>
      <c r="AA2251">
        <v>0.99999490000000002</v>
      </c>
      <c r="AB2251">
        <v>20</v>
      </c>
      <c r="AC2251">
        <v>15.594499999999901</v>
      </c>
      <c r="AD2251">
        <v>-1.1094537536489999</v>
      </c>
      <c r="AE2251">
        <v>-0.44779999999999998</v>
      </c>
      <c r="AF2251">
        <v>-4.2815702337162802E-2</v>
      </c>
      <c r="AG2251">
        <v>-1.1094537536489999</v>
      </c>
      <c r="AH2251">
        <v>15.5223676145743</v>
      </c>
      <c r="AI2251">
        <v>94.088220490722094</v>
      </c>
      <c r="AJ2251">
        <v>90.158039860944797</v>
      </c>
      <c r="AK2251">
        <v>15.562024841833299</v>
      </c>
      <c r="AL2251">
        <v>80.500471177931203</v>
      </c>
      <c r="AM2251">
        <v>90.2654931577393</v>
      </c>
      <c r="AN2251">
        <v>1.00000003011008</v>
      </c>
    </row>
    <row r="2252" spans="1:40" x14ac:dyDescent="0.25">
      <c r="A2252" t="str">
        <f>"20190304155409519"</f>
        <v>20190304155409519</v>
      </c>
      <c r="B2252" t="str">
        <f>"1551686049508670"</f>
        <v>1551686049508670</v>
      </c>
      <c r="C2252" t="s">
        <v>40</v>
      </c>
      <c r="D2252">
        <v>4.6002239999999999</v>
      </c>
      <c r="E2252">
        <v>0.50060689999999997</v>
      </c>
      <c r="F2252" t="s">
        <v>63</v>
      </c>
      <c r="G2252">
        <v>-453.38679999999999</v>
      </c>
      <c r="H2252" s="1">
        <v>2.495603E-7</v>
      </c>
      <c r="I2252">
        <v>214.98140000000001</v>
      </c>
      <c r="J2252">
        <v>-468.76080000000002</v>
      </c>
      <c r="K2252">
        <v>1.1094949999999999</v>
      </c>
      <c r="L2252">
        <v>215.40629999999999</v>
      </c>
      <c r="M2252">
        <v>0.99936440000000004</v>
      </c>
      <c r="N2252">
        <v>-1.2627940000000001E-2</v>
      </c>
      <c r="O2252">
        <v>-3.3342650000000001E-2</v>
      </c>
      <c r="P2252">
        <v>0.98810600000000004</v>
      </c>
      <c r="Q2252">
        <v>0.1516943</v>
      </c>
      <c r="R2252">
        <v>-2.5215609999999999E-2</v>
      </c>
      <c r="S2252">
        <v>3.067993</v>
      </c>
      <c r="T2252">
        <v>-0.21836839999999999</v>
      </c>
      <c r="U2252">
        <v>-8.5403439999999997E-2</v>
      </c>
      <c r="V2252">
        <v>-7.3779300000000004E-3</v>
      </c>
      <c r="W2252">
        <v>0.16418070000000001</v>
      </c>
      <c r="X2252">
        <v>0.98640269999999997</v>
      </c>
      <c r="Y2252">
        <v>-5.4485319999999999E-3</v>
      </c>
      <c r="Z2252">
        <v>2.176575E-3</v>
      </c>
      <c r="AA2252">
        <v>0.99998279999999995</v>
      </c>
      <c r="AB2252">
        <v>20</v>
      </c>
      <c r="AC2252">
        <v>15.374000000000001</v>
      </c>
      <c r="AD2252">
        <v>-1.1094947504396999</v>
      </c>
      <c r="AE2252">
        <v>-0.42489999999997902</v>
      </c>
      <c r="AF2252">
        <v>-8.7531443708239495E-2</v>
      </c>
      <c r="AG2252">
        <v>-1.1094947504396999</v>
      </c>
      <c r="AH2252">
        <v>15.299996174812099</v>
      </c>
      <c r="AI2252">
        <v>94.147533975814596</v>
      </c>
      <c r="AJ2252">
        <v>90.327786198595206</v>
      </c>
      <c r="AK2252">
        <v>15.3404212231658</v>
      </c>
      <c r="AL2252">
        <v>80.550357125358801</v>
      </c>
      <c r="AM2252">
        <v>90.428543400902996</v>
      </c>
      <c r="AN2252">
        <v>1.0000000113354299</v>
      </c>
    </row>
    <row r="2253" spans="1:40" x14ac:dyDescent="0.25">
      <c r="A2253" t="str">
        <f>"20190304155409542"</f>
        <v>20190304155409542</v>
      </c>
      <c r="B2253" t="str">
        <f>"1551686049538926"</f>
        <v>1551686049538926</v>
      </c>
      <c r="C2253" t="s">
        <v>40</v>
      </c>
      <c r="D2253">
        <v>4.5146480000000002</v>
      </c>
      <c r="E2253">
        <v>0.50048110000000001</v>
      </c>
      <c r="F2253" t="s">
        <v>63</v>
      </c>
      <c r="G2253">
        <v>-453.3963</v>
      </c>
      <c r="H2253" s="1">
        <v>2.5388110000000001E-7</v>
      </c>
      <c r="I2253">
        <v>214.99780000000001</v>
      </c>
      <c r="J2253">
        <v>-468.55669999999998</v>
      </c>
      <c r="K2253">
        <v>1.1095440000000001</v>
      </c>
      <c r="L2253">
        <v>215.3974</v>
      </c>
      <c r="M2253">
        <v>0.99930640000000004</v>
      </c>
      <c r="N2253">
        <v>-1.2575879999999999E-2</v>
      </c>
      <c r="O2253">
        <v>-3.5052930000000003E-2</v>
      </c>
      <c r="P2253">
        <v>0.98819170000000001</v>
      </c>
      <c r="Q2253">
        <v>0.15136869999999999</v>
      </c>
      <c r="R2253">
        <v>-2.376555E-2</v>
      </c>
      <c r="S2253">
        <v>3.0680239999999999</v>
      </c>
      <c r="T2253">
        <v>-0.2215464</v>
      </c>
      <c r="U2253">
        <v>-8.1558229999999995E-2</v>
      </c>
      <c r="V2253">
        <v>-1.054449E-2</v>
      </c>
      <c r="W2253">
        <v>0.16380999999999901</v>
      </c>
      <c r="X2253">
        <v>0.98643550000000002</v>
      </c>
      <c r="Y2253">
        <v>-8.3979099999999998E-3</v>
      </c>
      <c r="Z2253">
        <v>2.4420589999999999E-3</v>
      </c>
      <c r="AA2253">
        <v>0.99996169999999995</v>
      </c>
      <c r="AB2253">
        <v>20</v>
      </c>
      <c r="AC2253">
        <v>15.1603999999999</v>
      </c>
      <c r="AD2253">
        <v>-1.1095437461188999</v>
      </c>
      <c r="AE2253">
        <v>-0.39959999999999202</v>
      </c>
      <c r="AF2253">
        <v>-0.131400702663762</v>
      </c>
      <c r="AG2253">
        <v>-1.1095437461188999</v>
      </c>
      <c r="AH2253">
        <v>15.084349372266599</v>
      </c>
      <c r="AI2253">
        <v>94.206710688851103</v>
      </c>
      <c r="AJ2253">
        <v>90.499094463935407</v>
      </c>
      <c r="AK2253">
        <v>15.1256718678481</v>
      </c>
      <c r="AL2253">
        <v>80.571887584288007</v>
      </c>
      <c r="AM2253">
        <v>90.612439195890602</v>
      </c>
      <c r="AN2253">
        <v>0.99999994901480305</v>
      </c>
    </row>
    <row r="2254" spans="1:40" x14ac:dyDescent="0.25">
      <c r="A2254" t="str">
        <f>"20190304155409566"</f>
        <v>20190304155409566</v>
      </c>
      <c r="B2254" t="str">
        <f>"1551686049558445"</f>
        <v>1551686049558445</v>
      </c>
      <c r="C2254" t="s">
        <v>40</v>
      </c>
      <c r="D2254">
        <v>4.503984</v>
      </c>
      <c r="E2254">
        <v>0.50052029999999903</v>
      </c>
      <c r="F2254" t="s">
        <v>63</v>
      </c>
      <c r="G2254">
        <v>-453.27679999999998</v>
      </c>
      <c r="H2254" s="1">
        <v>1.8933040000000001E-7</v>
      </c>
      <c r="I2254">
        <v>215.01939999999999</v>
      </c>
      <c r="J2254">
        <v>-468.3519</v>
      </c>
      <c r="K2254">
        <v>1.109594</v>
      </c>
      <c r="L2254">
        <v>215.38820000000001</v>
      </c>
      <c r="M2254">
        <v>0.99924970000000002</v>
      </c>
      <c r="N2254">
        <v>-1.2509930000000001E-2</v>
      </c>
      <c r="O2254">
        <v>-3.6656979999999999E-2</v>
      </c>
      <c r="P2254">
        <v>0.98828950000000004</v>
      </c>
      <c r="Q2254">
        <v>0.15079870000000001</v>
      </c>
      <c r="R2254">
        <v>-2.3321629999999999E-2</v>
      </c>
      <c r="S2254">
        <v>3.0681759999999998</v>
      </c>
      <c r="T2254">
        <v>-0.22279409999999999</v>
      </c>
      <c r="U2254">
        <v>-7.5897220000000001E-2</v>
      </c>
      <c r="V2254">
        <v>-1.260555E-2</v>
      </c>
      <c r="W2254">
        <v>0.16317770000000001</v>
      </c>
      <c r="X2254">
        <v>0.98651619999999995</v>
      </c>
      <c r="Y2254">
        <v>-1.1833369999999999E-2</v>
      </c>
      <c r="Z2254">
        <v>2.702173E-3</v>
      </c>
      <c r="AA2254">
        <v>0.99992630000000005</v>
      </c>
      <c r="AB2254">
        <v>20</v>
      </c>
      <c r="AC2254">
        <v>15.075100000000001</v>
      </c>
      <c r="AD2254">
        <v>-1.1095938106695999</v>
      </c>
      <c r="AE2254">
        <v>-0.368800000000021</v>
      </c>
      <c r="AF2254">
        <v>-0.183107327453989</v>
      </c>
      <c r="AG2254">
        <v>-1.1095938106695999</v>
      </c>
      <c r="AH2254">
        <v>14.997285867495</v>
      </c>
      <c r="AI2254">
        <v>94.2310793764279</v>
      </c>
      <c r="AJ2254">
        <v>90.699510290979205</v>
      </c>
      <c r="AK2254">
        <v>15.039391946133</v>
      </c>
      <c r="AL2254">
        <v>80.608610666102607</v>
      </c>
      <c r="AM2254">
        <v>90.732076685134999</v>
      </c>
      <c r="AN2254">
        <v>1.00000003726526</v>
      </c>
    </row>
    <row r="2255" spans="1:40" x14ac:dyDescent="0.25">
      <c r="A2255" t="str">
        <f>"20190304155409608"</f>
        <v>20190304155409608</v>
      </c>
      <c r="B2255" t="str">
        <f>"1551686049598462"</f>
        <v>1551686049598462</v>
      </c>
      <c r="C2255" t="s">
        <v>40</v>
      </c>
      <c r="D2255">
        <v>4.521102</v>
      </c>
      <c r="E2255">
        <v>0.500525</v>
      </c>
      <c r="F2255" t="s">
        <v>63</v>
      </c>
      <c r="G2255">
        <v>-453.16269999999997</v>
      </c>
      <c r="H2255" s="1">
        <v>1.28528199999999E-7</v>
      </c>
      <c r="I2255">
        <v>215.02160000000001</v>
      </c>
      <c r="J2255">
        <v>-467.96870000000001</v>
      </c>
      <c r="K2255">
        <v>1.1096760000000001</v>
      </c>
      <c r="L2255">
        <v>215.37049999999999</v>
      </c>
      <c r="M2255">
        <v>0.9991466</v>
      </c>
      <c r="N2255">
        <v>-1.235585E-2</v>
      </c>
      <c r="O2255">
        <v>-3.941658E-2</v>
      </c>
      <c r="P2255">
        <v>0.98834560000000005</v>
      </c>
      <c r="Q2255">
        <v>0.1503091</v>
      </c>
      <c r="R2255">
        <v>-2.409269E-2</v>
      </c>
      <c r="S2255">
        <v>3.0679630000000002</v>
      </c>
      <c r="T2255">
        <v>-0.2241194</v>
      </c>
      <c r="U2255">
        <v>-7.403564E-2</v>
      </c>
      <c r="V2255">
        <v>-1.461197E-2</v>
      </c>
      <c r="W2255">
        <v>0.1625365</v>
      </c>
      <c r="X2255">
        <v>0.98659430000000004</v>
      </c>
      <c r="Y2255">
        <v>-1.5182350000000001E-2</v>
      </c>
      <c r="Z2255">
        <v>3.0353929999999999E-3</v>
      </c>
      <c r="AA2255">
        <v>0.99988010000000005</v>
      </c>
      <c r="AB2255">
        <v>20</v>
      </c>
      <c r="AC2255">
        <v>14.805999999999999</v>
      </c>
      <c r="AD2255">
        <v>-1.1096758714718</v>
      </c>
      <c r="AE2255">
        <v>-0.348899999999986</v>
      </c>
      <c r="AF2255">
        <v>-0.23370551165269901</v>
      </c>
      <c r="AG2255">
        <v>-1.1096758714718</v>
      </c>
      <c r="AH2255">
        <v>14.7255754649756</v>
      </c>
      <c r="AI2255">
        <v>94.308955010443</v>
      </c>
      <c r="AJ2255">
        <v>90.909249042002401</v>
      </c>
      <c r="AK2255">
        <v>14.7691764015667</v>
      </c>
      <c r="AL2255">
        <v>80.645845168585097</v>
      </c>
      <c r="AM2255">
        <v>90.848517982989506</v>
      </c>
      <c r="AN2255">
        <v>0.999999968146009</v>
      </c>
    </row>
    <row r="2256" spans="1:40" x14ac:dyDescent="0.25">
      <c r="A2256" t="str">
        <f>"20190304155409629"</f>
        <v>20190304155409629</v>
      </c>
      <c r="B2256" t="str">
        <f>"1551686049618958"</f>
        <v>1551686049618958</v>
      </c>
      <c r="C2256" t="s">
        <v>40</v>
      </c>
      <c r="D2256">
        <v>4.4987469999999998</v>
      </c>
      <c r="E2256">
        <v>0.50051920000000005</v>
      </c>
      <c r="F2256" t="s">
        <v>63</v>
      </c>
      <c r="G2256">
        <v>-452.82960000000003</v>
      </c>
      <c r="H2256" s="1">
        <v>-4.7812030000000001E-8</v>
      </c>
      <c r="I2256">
        <v>215.00049999999999</v>
      </c>
      <c r="J2256">
        <v>-467.77769999999998</v>
      </c>
      <c r="K2256">
        <v>1.109704</v>
      </c>
      <c r="L2256">
        <v>215.3614</v>
      </c>
      <c r="M2256">
        <v>0.99909749999999997</v>
      </c>
      <c r="N2256">
        <v>-1.225764E-2</v>
      </c>
      <c r="O2256">
        <v>-4.0669299999999999E-2</v>
      </c>
      <c r="P2256">
        <v>0.98837660000000005</v>
      </c>
      <c r="Q2256">
        <v>0.15000369999999999</v>
      </c>
      <c r="R2256">
        <v>-2.4717050000000001E-2</v>
      </c>
      <c r="S2256">
        <v>3.0677189999999999</v>
      </c>
      <c r="T2256">
        <v>-0.2248598</v>
      </c>
      <c r="U2256">
        <v>-7.4981690000000004E-2</v>
      </c>
      <c r="V2256">
        <v>-1.5247149999999999E-2</v>
      </c>
      <c r="W2256">
        <v>0.16213420000000001</v>
      </c>
      <c r="X2256">
        <v>0.9866509</v>
      </c>
      <c r="Y2256">
        <v>-1.611955E-2</v>
      </c>
      <c r="Z2256">
        <v>3.1663809999999998E-3</v>
      </c>
      <c r="AA2256">
        <v>0.99986509999999995</v>
      </c>
      <c r="AB2256">
        <v>20</v>
      </c>
      <c r="AC2256">
        <v>14.948099999999901</v>
      </c>
      <c r="AD2256">
        <v>-1.1097040478120299</v>
      </c>
      <c r="AE2256">
        <v>-0.36090000000001499</v>
      </c>
      <c r="AF2256">
        <v>-0.24601800059034001</v>
      </c>
      <c r="AG2256">
        <v>-1.1097040478120299</v>
      </c>
      <c r="AH2256">
        <v>14.868514759376</v>
      </c>
      <c r="AI2256">
        <v>94.267745835165599</v>
      </c>
      <c r="AJ2256">
        <v>90.947943166121107</v>
      </c>
      <c r="AK2256">
        <v>14.911897903356399</v>
      </c>
      <c r="AL2256">
        <v>80.669205288381505</v>
      </c>
      <c r="AM2256">
        <v>90.885346391166607</v>
      </c>
      <c r="AN2256">
        <v>0.999999986431786</v>
      </c>
    </row>
    <row r="2257" spans="1:40" x14ac:dyDescent="0.25">
      <c r="A2257" t="str">
        <f>"20190304155409651"</f>
        <v>20190304155409651</v>
      </c>
      <c r="B2257" t="str">
        <f>"1551686049649214"</f>
        <v>1551686049649214</v>
      </c>
      <c r="C2257" t="s">
        <v>40</v>
      </c>
      <c r="D2257">
        <v>4.5261040000000001</v>
      </c>
      <c r="E2257">
        <v>0.50049270000000001</v>
      </c>
      <c r="F2257" t="s">
        <v>63</v>
      </c>
      <c r="G2257">
        <v>-452.68209999999999</v>
      </c>
      <c r="H2257" s="1">
        <v>-1.2555019999999999E-7</v>
      </c>
      <c r="I2257">
        <v>214.983</v>
      </c>
      <c r="J2257">
        <v>-467.58319999999998</v>
      </c>
      <c r="K2257">
        <v>1.1097170000000001</v>
      </c>
      <c r="L2257">
        <v>215.352</v>
      </c>
      <c r="M2257">
        <v>0.99904939999999998</v>
      </c>
      <c r="N2257">
        <v>-1.2147140000000001E-2</v>
      </c>
      <c r="O2257">
        <v>-4.1867420000000002E-2</v>
      </c>
      <c r="P2257">
        <v>0.9885678</v>
      </c>
      <c r="Q2257">
        <v>0.14866599999999999</v>
      </c>
      <c r="R2257">
        <v>-2.5144280000000001E-2</v>
      </c>
      <c r="S2257">
        <v>3.067596</v>
      </c>
      <c r="T2257">
        <v>-0.2255036</v>
      </c>
      <c r="U2257">
        <v>-7.6889040000000006E-2</v>
      </c>
      <c r="V2257">
        <v>-1.6032439999999998E-2</v>
      </c>
      <c r="W2257">
        <v>0.16068950000000001</v>
      </c>
      <c r="X2257">
        <v>0.98687480000000005</v>
      </c>
      <c r="Y2257">
        <v>-1.6691250000000001E-2</v>
      </c>
      <c r="Z2257">
        <v>3.278048E-3</v>
      </c>
      <c r="AA2257">
        <v>0.9998553</v>
      </c>
      <c r="AB2257">
        <v>20</v>
      </c>
      <c r="AC2257">
        <v>14.9010999999999</v>
      </c>
      <c r="AD2257">
        <v>-1.1097171255501901</v>
      </c>
      <c r="AE2257">
        <v>-0.368999999999999</v>
      </c>
      <c r="AF2257">
        <v>-0.25383327474388501</v>
      </c>
      <c r="AG2257">
        <v>-1.1097171255501901</v>
      </c>
      <c r="AH2257">
        <v>14.8213323776056</v>
      </c>
      <c r="AI2257">
        <v>94.281290015151896</v>
      </c>
      <c r="AJ2257">
        <v>90.981163724763505</v>
      </c>
      <c r="AK2257">
        <v>14.864985599642001</v>
      </c>
      <c r="AL2257">
        <v>80.753080597798302</v>
      </c>
      <c r="AM2257">
        <v>90.930726317097296</v>
      </c>
      <c r="AN2257">
        <v>1.00000001270882</v>
      </c>
    </row>
    <row r="2258" spans="1:40" x14ac:dyDescent="0.25">
      <c r="A2258" t="str">
        <f>"20190304155409674"</f>
        <v>20190304155409674</v>
      </c>
      <c r="B2258" t="str">
        <f>"1551686049668734"</f>
        <v>1551686049668734</v>
      </c>
      <c r="C2258" t="s">
        <v>40</v>
      </c>
      <c r="D2258">
        <v>4.5062620000000004</v>
      </c>
      <c r="E2258">
        <v>0.5005754</v>
      </c>
      <c r="F2258" t="s">
        <v>63</v>
      </c>
      <c r="G2258">
        <v>-452.7525</v>
      </c>
      <c r="H2258" s="1">
        <v>-8.7637850000000005E-8</v>
      </c>
      <c r="I2258">
        <v>214.9726</v>
      </c>
      <c r="J2258">
        <v>-467.37889999999999</v>
      </c>
      <c r="K2258">
        <v>1.1097360000000001</v>
      </c>
      <c r="L2258">
        <v>215.34200000000001</v>
      </c>
      <c r="M2258">
        <v>0.99900149999999999</v>
      </c>
      <c r="N2258">
        <v>-1.2015130000000001E-2</v>
      </c>
      <c r="O2258">
        <v>-4.3033259999999997E-2</v>
      </c>
      <c r="P2258">
        <v>0.98875619999999997</v>
      </c>
      <c r="Q2258">
        <v>0.1472685</v>
      </c>
      <c r="R2258">
        <v>-2.5947720000000001E-2</v>
      </c>
      <c r="S2258">
        <v>3.0672000000000001</v>
      </c>
      <c r="T2258">
        <v>-0.22950429999999999</v>
      </c>
      <c r="U2258">
        <v>-7.8475950000000003E-2</v>
      </c>
      <c r="V2258">
        <v>-1.641254E-2</v>
      </c>
      <c r="W2258">
        <v>0.15916250000000001</v>
      </c>
      <c r="X2258">
        <v>0.98711599999999999</v>
      </c>
      <c r="Y2258">
        <v>-1.7328E-2</v>
      </c>
      <c r="Z2258">
        <v>3.448769E-3</v>
      </c>
      <c r="AA2258">
        <v>0.99984390000000001</v>
      </c>
      <c r="AB2258">
        <v>20</v>
      </c>
      <c r="AC2258">
        <v>14.626399999999901</v>
      </c>
      <c r="AD2258">
        <v>-1.1097360876378499</v>
      </c>
      <c r="AE2258">
        <v>-0.369400000000013</v>
      </c>
      <c r="AF2258">
        <v>-0.258919746472414</v>
      </c>
      <c r="AG2258">
        <v>-1.1097360876378499</v>
      </c>
      <c r="AH2258">
        <v>14.5450698870753</v>
      </c>
      <c r="AI2258">
        <v>94.362318970700798</v>
      </c>
      <c r="AJ2258">
        <v>91.019826108222901</v>
      </c>
      <c r="AK2258">
        <v>14.589640558945399</v>
      </c>
      <c r="AL2258">
        <v>80.8417122435294</v>
      </c>
      <c r="AM2258">
        <v>90.952555355912907</v>
      </c>
      <c r="AN2258">
        <v>1.0000000351657501</v>
      </c>
    </row>
    <row r="2259" spans="1:40" x14ac:dyDescent="0.25">
      <c r="A2259" t="str">
        <f>"20190304155409696"</f>
        <v>20190304155409696</v>
      </c>
      <c r="B2259" t="str">
        <f>"1551686049689230"</f>
        <v>1551686049689230</v>
      </c>
      <c r="C2259" t="s">
        <v>40</v>
      </c>
      <c r="D2259">
        <v>4.6011829999999998</v>
      </c>
      <c r="E2259">
        <v>0.5005811</v>
      </c>
      <c r="F2259" t="s">
        <v>63</v>
      </c>
      <c r="G2259">
        <v>-452.78800000000001</v>
      </c>
      <c r="H2259" s="1">
        <v>-6.7658929999999995E-8</v>
      </c>
      <c r="I2259">
        <v>214.9486</v>
      </c>
      <c r="J2259">
        <v>-467.19049999999999</v>
      </c>
      <c r="K2259">
        <v>1.1097619999999999</v>
      </c>
      <c r="L2259">
        <v>215.33269999999999</v>
      </c>
      <c r="M2259">
        <v>0.99895990000000001</v>
      </c>
      <c r="N2259">
        <v>-1.188064E-2</v>
      </c>
      <c r="O2259">
        <v>-4.4025670000000003E-2</v>
      </c>
      <c r="P2259">
        <v>0.98885860000000003</v>
      </c>
      <c r="Q2259">
        <v>0.1465272</v>
      </c>
      <c r="R2259">
        <v>-2.6241730000000001E-2</v>
      </c>
      <c r="S2259">
        <v>3.066681</v>
      </c>
      <c r="T2259">
        <v>-0.23324230000000001</v>
      </c>
      <c r="U2259">
        <v>-8.2687380000000005E-2</v>
      </c>
      <c r="V2259">
        <v>-1.7125720000000001E-2</v>
      </c>
      <c r="W2259">
        <v>0.15828919999999999</v>
      </c>
      <c r="X2259">
        <v>0.98724420000000002</v>
      </c>
      <c r="Y2259">
        <v>-1.6938669999999999E-2</v>
      </c>
      <c r="Z2259">
        <v>3.5630879999999998E-3</v>
      </c>
      <c r="AA2259">
        <v>0.99985020000000002</v>
      </c>
      <c r="AB2259">
        <v>20</v>
      </c>
      <c r="AC2259">
        <v>14.4024999999999</v>
      </c>
      <c r="AD2259">
        <v>-1.1097620676589299</v>
      </c>
      <c r="AE2259">
        <v>-0.38409999999998901</v>
      </c>
      <c r="AF2259">
        <v>-0.24892000515916701</v>
      </c>
      <c r="AG2259">
        <v>-1.1097620676589299</v>
      </c>
      <c r="AH2259">
        <v>14.320481236910201</v>
      </c>
      <c r="AI2259">
        <v>94.430598919081504</v>
      </c>
      <c r="AJ2259">
        <v>90.995820558607704</v>
      </c>
      <c r="AK2259">
        <v>14.365573983397899</v>
      </c>
      <c r="AL2259">
        <v>80.892390206395802</v>
      </c>
      <c r="AM2259">
        <v>90.9938099118841</v>
      </c>
      <c r="AN2259">
        <v>0.99999993577789703</v>
      </c>
    </row>
    <row r="2260" spans="1:40" x14ac:dyDescent="0.25">
      <c r="A2260" t="str">
        <f>"20190304155409719"</f>
        <v>20190304155409719</v>
      </c>
      <c r="B2260" t="str">
        <f>"1551686049708750"</f>
        <v>1551686049708750</v>
      </c>
      <c r="C2260" t="s">
        <v>40</v>
      </c>
      <c r="D2260">
        <v>4.5310220000000001</v>
      </c>
      <c r="E2260">
        <v>0.50057989999999997</v>
      </c>
      <c r="F2260" t="s">
        <v>63</v>
      </c>
      <c r="G2260">
        <v>-452.7373</v>
      </c>
      <c r="H2260" s="1">
        <v>-9.4069360000000002E-8</v>
      </c>
      <c r="I2260">
        <v>214.93559999999999</v>
      </c>
      <c r="J2260">
        <v>-466.97739999999999</v>
      </c>
      <c r="K2260">
        <v>1.1097900000000001</v>
      </c>
      <c r="L2260">
        <v>215.322</v>
      </c>
      <c r="M2260">
        <v>0.99891540000000001</v>
      </c>
      <c r="N2260">
        <v>-1.171318E-2</v>
      </c>
      <c r="O2260">
        <v>-4.5066340000000003E-2</v>
      </c>
      <c r="P2260">
        <v>0.98888670000000001</v>
      </c>
      <c r="Q2260">
        <v>0.14626649999999999</v>
      </c>
      <c r="R2260">
        <v>-2.6631490000000001E-2</v>
      </c>
      <c r="S2260">
        <v>3.0664980000000002</v>
      </c>
      <c r="T2260">
        <v>-0.2354562</v>
      </c>
      <c r="U2260">
        <v>-8.4243769999999996E-2</v>
      </c>
      <c r="V2260">
        <v>-1.7789300000000001E-2</v>
      </c>
      <c r="W2260">
        <v>0.15786169999999999</v>
      </c>
      <c r="X2260">
        <v>0.98730099999999998</v>
      </c>
      <c r="Y2260">
        <v>-1.7464090000000002E-2</v>
      </c>
      <c r="Z2260">
        <v>3.697695E-3</v>
      </c>
      <c r="AA2260">
        <v>0.99984070000000003</v>
      </c>
      <c r="AB2260">
        <v>20</v>
      </c>
      <c r="AC2260">
        <v>14.240099999999901</v>
      </c>
      <c r="AD2260">
        <v>-1.1097900940693599</v>
      </c>
      <c r="AE2260">
        <v>-0.38640000000000801</v>
      </c>
      <c r="AF2260">
        <v>-0.25424273975526701</v>
      </c>
      <c r="AG2260">
        <v>-1.1097900940693599</v>
      </c>
      <c r="AH2260">
        <v>14.1571215548857</v>
      </c>
      <c r="AI2260">
        <v>94.481583980997399</v>
      </c>
      <c r="AJ2260">
        <v>91.028844047635403</v>
      </c>
      <c r="AK2260">
        <v>14.202829441467699</v>
      </c>
      <c r="AL2260">
        <v>80.917196808767002</v>
      </c>
      <c r="AM2260">
        <v>91.032250074837805</v>
      </c>
      <c r="AN2260">
        <v>1.0000000200611801</v>
      </c>
    </row>
    <row r="2261" spans="1:40" x14ac:dyDescent="0.25">
      <c r="A2261" t="str">
        <f>"20190304155409740"</f>
        <v>20190304155409740</v>
      </c>
      <c r="B2261" t="str">
        <f>"1551686049729246"</f>
        <v>1551686049729246</v>
      </c>
      <c r="C2261" t="s">
        <v>40</v>
      </c>
      <c r="D2261">
        <v>4.4937269999999998</v>
      </c>
      <c r="E2261">
        <v>0.50065689999999996</v>
      </c>
      <c r="F2261" t="s">
        <v>63</v>
      </c>
      <c r="G2261">
        <v>-452.55860000000001</v>
      </c>
      <c r="H2261" s="1">
        <v>-1.8839019999999999E-7</v>
      </c>
      <c r="I2261">
        <v>214.9178</v>
      </c>
      <c r="J2261">
        <v>-466.7867</v>
      </c>
      <c r="K2261">
        <v>1.1098059999999901</v>
      </c>
      <c r="L2261">
        <v>215.3124</v>
      </c>
      <c r="M2261">
        <v>0.99887800000000004</v>
      </c>
      <c r="N2261">
        <v>-1.1547770000000001E-2</v>
      </c>
      <c r="O2261">
        <v>-4.5930829999999999E-2</v>
      </c>
      <c r="P2261">
        <v>0.98891759999999995</v>
      </c>
      <c r="Q2261">
        <v>0.14605209999999999</v>
      </c>
      <c r="R2261">
        <v>-2.6663619999999999E-2</v>
      </c>
      <c r="S2261">
        <v>3.0663149999999999</v>
      </c>
      <c r="T2261">
        <v>-0.23600940000000001</v>
      </c>
      <c r="U2261">
        <v>-8.5952760000000003E-2</v>
      </c>
      <c r="V2261">
        <v>-1.863078E-2</v>
      </c>
      <c r="W2261">
        <v>0.15748309999999999</v>
      </c>
      <c r="X2261">
        <v>0.9873459</v>
      </c>
      <c r="Y2261">
        <v>-1.7766799999999999E-2</v>
      </c>
      <c r="Z2261">
        <v>3.7833189999999998E-3</v>
      </c>
      <c r="AA2261">
        <v>0.99983500000000003</v>
      </c>
      <c r="AB2261">
        <v>20</v>
      </c>
      <c r="AC2261">
        <v>14.2280999999999</v>
      </c>
      <c r="AD2261">
        <v>-1.1098061883902</v>
      </c>
      <c r="AE2261">
        <v>-0.39459999999999601</v>
      </c>
      <c r="AF2261">
        <v>-0.25780114772322099</v>
      </c>
      <c r="AG2261">
        <v>-1.1098061883902</v>
      </c>
      <c r="AH2261">
        <v>14.1452119394222</v>
      </c>
      <c r="AI2261">
        <v>94.485385112730597</v>
      </c>
      <c r="AJ2261">
        <v>91.044118862149702</v>
      </c>
      <c r="AK2261">
        <v>14.1910236423849</v>
      </c>
      <c r="AL2261">
        <v>80.939163394161994</v>
      </c>
      <c r="AM2261">
        <v>91.081017702264205</v>
      </c>
      <c r="AN2261">
        <v>0.99999997949791397</v>
      </c>
    </row>
    <row r="2262" spans="1:40" x14ac:dyDescent="0.25">
      <c r="A2262" t="str">
        <f>"20190304155409764"</f>
        <v>20190304155409764</v>
      </c>
      <c r="B2262" t="str">
        <f>"1551686049758525"</f>
        <v>1551686049758525</v>
      </c>
      <c r="C2262" t="s">
        <v>40</v>
      </c>
      <c r="D2262">
        <v>4.61083</v>
      </c>
      <c r="E2262">
        <v>0.50073480000000004</v>
      </c>
      <c r="F2262" t="s">
        <v>63</v>
      </c>
      <c r="G2262">
        <v>-452.37040000000002</v>
      </c>
      <c r="H2262" s="1">
        <v>-2.8776319999999999E-7</v>
      </c>
      <c r="I2262">
        <v>214.89930000000001</v>
      </c>
      <c r="J2262">
        <v>-466.58390000000003</v>
      </c>
      <c r="K2262">
        <v>1.1098059999999901</v>
      </c>
      <c r="L2262">
        <v>215.30199999999999</v>
      </c>
      <c r="M2262">
        <v>0.99884019999999996</v>
      </c>
      <c r="N2262">
        <v>-1.1360739999999999E-2</v>
      </c>
      <c r="O2262">
        <v>-4.6790289999999998E-2</v>
      </c>
      <c r="P2262">
        <v>0.9890004</v>
      </c>
      <c r="Q2262">
        <v>0.14553469999999999</v>
      </c>
      <c r="R2262">
        <v>-2.6425799999999999E-2</v>
      </c>
      <c r="S2262">
        <v>3.0661619999999998</v>
      </c>
      <c r="T2262">
        <v>-0.23604140000000001</v>
      </c>
      <c r="U2262">
        <v>-8.7860110000000005E-2</v>
      </c>
      <c r="V2262">
        <v>-1.9735619999999999E-2</v>
      </c>
      <c r="W2262">
        <v>0.156781</v>
      </c>
      <c r="X2262">
        <v>0.98743619999999999</v>
      </c>
      <c r="Y2262">
        <v>-1.8001030000000001E-2</v>
      </c>
      <c r="Z2262">
        <v>3.8575219999999999E-3</v>
      </c>
      <c r="AA2262">
        <v>0.99983049999999996</v>
      </c>
      <c r="AB2262">
        <v>20</v>
      </c>
      <c r="AC2262">
        <v>14.2135</v>
      </c>
      <c r="AD2262">
        <v>-1.10980628776319</v>
      </c>
      <c r="AE2262">
        <v>-0.40270000000000999</v>
      </c>
      <c r="AF2262">
        <v>-0.26124632819675297</v>
      </c>
      <c r="AG2262">
        <v>-1.10980628776319</v>
      </c>
      <c r="AH2262">
        <v>14.130693104916899</v>
      </c>
      <c r="AI2262">
        <v>94.489953725236205</v>
      </c>
      <c r="AJ2262">
        <v>91.059155900018794</v>
      </c>
      <c r="AK2262">
        <v>14.176614802755299</v>
      </c>
      <c r="AL2262">
        <v>80.979897072409202</v>
      </c>
      <c r="AM2262">
        <v>91.145002785128298</v>
      </c>
      <c r="AN2262">
        <v>1.00000001286411</v>
      </c>
    </row>
    <row r="2263" spans="1:40" x14ac:dyDescent="0.25">
      <c r="A2263" t="str">
        <f>"20190304155409789"</f>
        <v>20190304155409789</v>
      </c>
      <c r="B2263" t="str">
        <f>"1551686049779022"</f>
        <v>1551686049779022</v>
      </c>
      <c r="C2263" t="s">
        <v>40</v>
      </c>
      <c r="D2263">
        <v>4.4898819999999997</v>
      </c>
      <c r="E2263">
        <v>0.50081169999999997</v>
      </c>
      <c r="F2263" t="s">
        <v>63</v>
      </c>
      <c r="G2263">
        <v>-452.27659999999997</v>
      </c>
      <c r="H2263" s="1">
        <v>-3.3727040000000002E-7</v>
      </c>
      <c r="I2263">
        <v>214.88990000000001</v>
      </c>
      <c r="J2263">
        <v>-466.34609999999998</v>
      </c>
      <c r="K2263">
        <v>1.1097859999999999</v>
      </c>
      <c r="L2263">
        <v>215.28970000000001</v>
      </c>
      <c r="M2263">
        <v>0.9987975</v>
      </c>
      <c r="N2263">
        <v>-1.113565E-2</v>
      </c>
      <c r="O2263">
        <v>-4.7744719999999997E-2</v>
      </c>
      <c r="P2263">
        <v>0.98900310000000002</v>
      </c>
      <c r="Q2263">
        <v>0.14559569999999999</v>
      </c>
      <c r="R2263">
        <v>-2.598137E-2</v>
      </c>
      <c r="S2263">
        <v>3.065979</v>
      </c>
      <c r="T2263">
        <v>-0.23782590000000001</v>
      </c>
      <c r="U2263">
        <v>-8.8317870000000007E-2</v>
      </c>
      <c r="V2263">
        <v>-2.112938E-2</v>
      </c>
      <c r="W2263">
        <v>0.15662039999999999</v>
      </c>
      <c r="X2263">
        <v>0.9874328</v>
      </c>
      <c r="Y2263">
        <v>-1.8797390000000001E-2</v>
      </c>
      <c r="Z2263">
        <v>3.9970520000000001E-3</v>
      </c>
      <c r="AA2263">
        <v>0.99981529999999996</v>
      </c>
      <c r="AB2263">
        <v>20</v>
      </c>
      <c r="AC2263">
        <v>14.0695</v>
      </c>
      <c r="AD2263">
        <v>-1.1097863372704</v>
      </c>
      <c r="AE2263">
        <v>-0.39979999999999899</v>
      </c>
      <c r="AF2263">
        <v>-0.27075872062476197</v>
      </c>
      <c r="AG2263">
        <v>-1.1097863372704</v>
      </c>
      <c r="AH2263">
        <v>13.9855958100518</v>
      </c>
      <c r="AI2263">
        <v>94.536186795008703</v>
      </c>
      <c r="AJ2263">
        <v>91.1090978501894</v>
      </c>
      <c r="AK2263">
        <v>14.0321711135991</v>
      </c>
      <c r="AL2263">
        <v>80.989213460399</v>
      </c>
      <c r="AM2263">
        <v>91.225845011487394</v>
      </c>
      <c r="AN2263">
        <v>0.99999996745559105</v>
      </c>
    </row>
    <row r="2264" spans="1:40" x14ac:dyDescent="0.25">
      <c r="A2264" t="str">
        <f>"20190304155409831"</f>
        <v>20190304155409831</v>
      </c>
      <c r="B2264" t="str">
        <f>"1551686049828798"</f>
        <v>1551686049828798</v>
      </c>
      <c r="C2264" t="s">
        <v>40</v>
      </c>
      <c r="D2264">
        <v>4.5004299999999997</v>
      </c>
      <c r="E2264">
        <v>0.50100310000000003</v>
      </c>
      <c r="F2264" t="s">
        <v>63</v>
      </c>
      <c r="G2264">
        <v>-451.96019999999999</v>
      </c>
      <c r="H2264" s="1">
        <v>-5.0497980000000003E-7</v>
      </c>
      <c r="I2264">
        <v>214.87559999999999</v>
      </c>
      <c r="J2264">
        <v>-465.9699</v>
      </c>
      <c r="K2264">
        <v>1.1097300000000001</v>
      </c>
      <c r="L2264">
        <v>215.26990000000001</v>
      </c>
      <c r="M2264">
        <v>0.99873009999999995</v>
      </c>
      <c r="N2264">
        <v>-1.079857E-2</v>
      </c>
      <c r="O2264">
        <v>-4.9210120000000003E-2</v>
      </c>
      <c r="P2264">
        <v>0.98900940000000004</v>
      </c>
      <c r="Q2264">
        <v>0.1458517</v>
      </c>
      <c r="R2264">
        <v>-2.4246899999999998E-2</v>
      </c>
      <c r="S2264">
        <v>3.065887</v>
      </c>
      <c r="T2264">
        <v>-0.23651620000000001</v>
      </c>
      <c r="U2264">
        <v>-8.8256840000000003E-2</v>
      </c>
      <c r="V2264">
        <v>-2.4305879999999998E-2</v>
      </c>
      <c r="W2264">
        <v>0.15654599999999999</v>
      </c>
      <c r="X2264">
        <v>0.98737160000000002</v>
      </c>
      <c r="Y2264">
        <v>-2.0276140000000002E-2</v>
      </c>
      <c r="Z2264">
        <v>4.1476350000000002E-3</v>
      </c>
      <c r="AA2264">
        <v>0.99978579999999995</v>
      </c>
      <c r="AB2264">
        <v>20</v>
      </c>
      <c r="AC2264">
        <v>14.0097</v>
      </c>
      <c r="AD2264">
        <v>-1.1097305049798001</v>
      </c>
      <c r="AE2264">
        <v>-0.39430000000001503</v>
      </c>
      <c r="AF2264">
        <v>-0.29379501832435601</v>
      </c>
      <c r="AG2264">
        <v>-1.1097305049798001</v>
      </c>
      <c r="AH2264">
        <v>13.9248273990599</v>
      </c>
      <c r="AI2264">
        <v>94.555511966379498</v>
      </c>
      <c r="AJ2264">
        <v>91.208684100114198</v>
      </c>
      <c r="AK2264">
        <v>13.9720662537823</v>
      </c>
      <c r="AL2264">
        <v>80.993530266483901</v>
      </c>
      <c r="AM2264">
        <v>91.410151092776104</v>
      </c>
      <c r="AN2264">
        <v>1.00000005120256</v>
      </c>
    </row>
    <row r="2265" spans="1:40" x14ac:dyDescent="0.25">
      <c r="A2265" t="str">
        <f>"20190304155409851"</f>
        <v>20190304155409851</v>
      </c>
      <c r="B2265" t="str">
        <f>"1551686049849294"</f>
        <v>1551686049849294</v>
      </c>
      <c r="C2265" t="s">
        <v>40</v>
      </c>
      <c r="D2265">
        <v>4.4366890000000003</v>
      </c>
      <c r="E2265">
        <v>0.50109229999999905</v>
      </c>
      <c r="F2265" t="s">
        <v>63</v>
      </c>
      <c r="G2265">
        <v>-451.43049999999999</v>
      </c>
      <c r="H2265" s="1">
        <v>-7.863824E-7</v>
      </c>
      <c r="I2265">
        <v>214.864</v>
      </c>
      <c r="J2265">
        <v>-465.7901</v>
      </c>
      <c r="K2265">
        <v>1.109696</v>
      </c>
      <c r="L2265">
        <v>215.2602</v>
      </c>
      <c r="M2265">
        <v>0.99869669999999999</v>
      </c>
      <c r="N2265">
        <v>-1.064213E-2</v>
      </c>
      <c r="O2265">
        <v>-4.9915300000000003E-2</v>
      </c>
      <c r="P2265">
        <v>0.98906050000000001</v>
      </c>
      <c r="Q2265">
        <v>0.14562429999999901</v>
      </c>
      <c r="R2265">
        <v>-2.3520940000000001E-2</v>
      </c>
      <c r="S2265">
        <v>3.0657350000000001</v>
      </c>
      <c r="T2265">
        <v>-0.23399410000000001</v>
      </c>
      <c r="U2265">
        <v>-8.5586549999999997E-2</v>
      </c>
      <c r="V2265">
        <v>-2.5726450000000001E-2</v>
      </c>
      <c r="W2265">
        <v>0.1561669</v>
      </c>
      <c r="X2265">
        <v>0.98739560000000004</v>
      </c>
      <c r="Y2265">
        <v>-2.1847559999999999E-2</v>
      </c>
      <c r="Z2265">
        <v>4.219848E-3</v>
      </c>
      <c r="AA2265">
        <v>0.99975239999999999</v>
      </c>
      <c r="AB2265">
        <v>20</v>
      </c>
      <c r="AC2265">
        <v>14.3596</v>
      </c>
      <c r="AD2265">
        <v>-1.1096967863823901</v>
      </c>
      <c r="AE2265">
        <v>-0.396199999999993</v>
      </c>
      <c r="AF2265">
        <v>-0.31919351845953903</v>
      </c>
      <c r="AG2265">
        <v>-1.1096967863823901</v>
      </c>
      <c r="AH2265">
        <v>14.2762817198818</v>
      </c>
      <c r="AI2265">
        <v>94.443563386225904</v>
      </c>
      <c r="AJ2265">
        <v>91.280823347484599</v>
      </c>
      <c r="AK2265">
        <v>14.322902331768001</v>
      </c>
      <c r="AL2265">
        <v>81.015521208152194</v>
      </c>
      <c r="AM2265">
        <v>91.4924956060743</v>
      </c>
      <c r="AN2265">
        <v>1.00000001089228</v>
      </c>
    </row>
    <row r="2266" spans="1:40" x14ac:dyDescent="0.25">
      <c r="A2266" t="str">
        <f>"20190304155409874"</f>
        <v>20190304155409874</v>
      </c>
      <c r="B2266" t="str">
        <f>"1551686049868815"</f>
        <v>1551686049868815</v>
      </c>
      <c r="C2266" t="s">
        <v>40</v>
      </c>
      <c r="D2266">
        <v>4.4495170000000002</v>
      </c>
      <c r="E2266">
        <v>0.501193</v>
      </c>
      <c r="F2266" t="s">
        <v>63</v>
      </c>
      <c r="G2266">
        <v>-451.24220000000003</v>
      </c>
      <c r="H2266" s="1">
        <v>-8.8632699999999999E-7</v>
      </c>
      <c r="I2266">
        <v>214.8586</v>
      </c>
      <c r="J2266">
        <v>-465.58139999999997</v>
      </c>
      <c r="K2266">
        <v>1.109658</v>
      </c>
      <c r="L2266">
        <v>215.24879999999999</v>
      </c>
      <c r="M2266">
        <v>0.99865669999999995</v>
      </c>
      <c r="N2266">
        <v>-1.046617E-2</v>
      </c>
      <c r="O2266">
        <v>-5.0747840000000002E-2</v>
      </c>
      <c r="P2266">
        <v>0.98917080000000002</v>
      </c>
      <c r="Q2266">
        <v>0.1451141</v>
      </c>
      <c r="R2266">
        <v>-2.1982060000000001E-2</v>
      </c>
      <c r="S2266">
        <v>3.0656430000000001</v>
      </c>
      <c r="T2266">
        <v>-0.23384360000000001</v>
      </c>
      <c r="U2266">
        <v>-8.4640499999999994E-2</v>
      </c>
      <c r="V2266">
        <v>-2.8086389999999999E-2</v>
      </c>
      <c r="W2266">
        <v>0.15548619999999999</v>
      </c>
      <c r="X2266">
        <v>0.9874387</v>
      </c>
      <c r="Y2266">
        <v>-2.2982610000000001E-2</v>
      </c>
      <c r="Z2266">
        <v>4.3276640000000002E-3</v>
      </c>
      <c r="AA2266">
        <v>0.99972649999999996</v>
      </c>
      <c r="AB2266">
        <v>20</v>
      </c>
      <c r="AC2266">
        <v>14.3391999999999</v>
      </c>
      <c r="AD2266">
        <v>-1.109658886327</v>
      </c>
      <c r="AE2266">
        <v>-0.390199999999993</v>
      </c>
      <c r="AF2266">
        <v>-0.33601529237172401</v>
      </c>
      <c r="AG2266">
        <v>-1.109658886327</v>
      </c>
      <c r="AH2266">
        <v>14.255218396388299</v>
      </c>
      <c r="AI2266">
        <v>94.449828004124299</v>
      </c>
      <c r="AJ2266">
        <v>91.350291042409793</v>
      </c>
      <c r="AK2266">
        <v>14.302290049129899</v>
      </c>
      <c r="AL2266">
        <v>81.0550046160823</v>
      </c>
      <c r="AM2266">
        <v>91.629263507862106</v>
      </c>
      <c r="AN2266">
        <v>0.99999999497568104</v>
      </c>
    </row>
    <row r="2267" spans="1:40" x14ac:dyDescent="0.25">
      <c r="A2267" t="str">
        <f>"20190304155409897"</f>
        <v>20190304155409897</v>
      </c>
      <c r="B2267" t="str">
        <f>"1551686049889310"</f>
        <v>1551686049889310</v>
      </c>
      <c r="C2267" t="s">
        <v>40</v>
      </c>
      <c r="D2267">
        <v>4.4441739999999896</v>
      </c>
      <c r="E2267">
        <v>0.50142219999999904</v>
      </c>
      <c r="F2267" t="s">
        <v>63</v>
      </c>
      <c r="G2267">
        <v>-451.07389999999998</v>
      </c>
      <c r="H2267" s="1">
        <v>-9.762707000000001E-7</v>
      </c>
      <c r="I2267">
        <v>214.86619999999999</v>
      </c>
      <c r="J2267">
        <v>-465.37560000000002</v>
      </c>
      <c r="K2267">
        <v>1.109629</v>
      </c>
      <c r="L2267">
        <v>215.23740000000001</v>
      </c>
      <c r="M2267">
        <v>0.9986157</v>
      </c>
      <c r="N2267">
        <v>-1.0304280000000001E-2</v>
      </c>
      <c r="O2267">
        <v>-5.1581009999999997E-2</v>
      </c>
      <c r="P2267">
        <v>0.98910189999999998</v>
      </c>
      <c r="Q2267">
        <v>0.14582039999999999</v>
      </c>
      <c r="R2267">
        <v>-2.034793E-2</v>
      </c>
      <c r="S2267">
        <v>3.0654300000000001</v>
      </c>
      <c r="T2267">
        <v>-0.23446919999999999</v>
      </c>
      <c r="U2267">
        <v>-8.0841060000000006E-2</v>
      </c>
      <c r="V2267">
        <v>-3.0534390000000002E-2</v>
      </c>
      <c r="W2267">
        <v>0.15603449999999999</v>
      </c>
      <c r="X2267">
        <v>0.98727949999999998</v>
      </c>
      <c r="Y2267">
        <v>-2.5042709999999999E-2</v>
      </c>
      <c r="Z2267">
        <v>4.4913330000000001E-3</v>
      </c>
      <c r="AA2267">
        <v>0.99967629999999996</v>
      </c>
      <c r="AB2267">
        <v>20</v>
      </c>
      <c r="AC2267">
        <v>14.3017</v>
      </c>
      <c r="AD2267">
        <v>-1.1096299762707</v>
      </c>
      <c r="AE2267">
        <v>-0.37120000000001602</v>
      </c>
      <c r="AF2267">
        <v>-0.364834702981227</v>
      </c>
      <c r="AG2267">
        <v>-1.1096299762707</v>
      </c>
      <c r="AH2267">
        <v>14.2162862530471</v>
      </c>
      <c r="AI2267">
        <v>94.4616205164033</v>
      </c>
      <c r="AJ2267">
        <v>91.470067579347599</v>
      </c>
      <c r="AK2267">
        <v>14.264192156351299</v>
      </c>
      <c r="AL2267">
        <v>81.023200881918399</v>
      </c>
      <c r="AM2267">
        <v>91.771468144129798</v>
      </c>
      <c r="AN2267">
        <v>0.99999996264158497</v>
      </c>
    </row>
    <row r="2268" spans="1:40" x14ac:dyDescent="0.25">
      <c r="A2268" t="str">
        <f>"20190304155409919"</f>
        <v>20190304155409919</v>
      </c>
      <c r="B2268" t="str">
        <f>"1551686049908830"</f>
        <v>1551686049908830</v>
      </c>
      <c r="C2268" t="s">
        <v>40</v>
      </c>
      <c r="D2268">
        <v>4.4425520000000001</v>
      </c>
      <c r="E2268">
        <v>0.51280550000000003</v>
      </c>
      <c r="F2268" t="s">
        <v>63</v>
      </c>
      <c r="G2268">
        <v>-450.63659999999999</v>
      </c>
      <c r="H2268" s="1">
        <v>-1.208694E-6</v>
      </c>
      <c r="I2268">
        <v>214.8605</v>
      </c>
      <c r="J2268">
        <v>-465.1678</v>
      </c>
      <c r="K2268">
        <v>1.1096109999999999</v>
      </c>
      <c r="L2268">
        <v>215.22569999999999</v>
      </c>
      <c r="M2268">
        <v>0.99857340000000006</v>
      </c>
      <c r="N2268">
        <v>-1.0157070000000001E-2</v>
      </c>
      <c r="O2268">
        <v>-5.2421759999999998E-2</v>
      </c>
      <c r="P2268">
        <v>0.98908379999999996</v>
      </c>
      <c r="Q2268">
        <v>0.14615010000000001</v>
      </c>
      <c r="R2268">
        <v>-1.880778E-2</v>
      </c>
      <c r="S2268">
        <v>3.0654910000000002</v>
      </c>
      <c r="T2268">
        <v>-0.2307863</v>
      </c>
      <c r="U2268">
        <v>-7.8384399999999896E-2</v>
      </c>
      <c r="V2268">
        <v>-3.2901769999999997E-2</v>
      </c>
      <c r="W2268">
        <v>0.15622049999999901</v>
      </c>
      <c r="X2268">
        <v>0.987174</v>
      </c>
      <c r="Y2268">
        <v>-2.668446E-2</v>
      </c>
      <c r="Z2268">
        <v>4.5450050000000004E-3</v>
      </c>
      <c r="AA2268">
        <v>0.99963360000000001</v>
      </c>
      <c r="AB2268">
        <v>20</v>
      </c>
      <c r="AC2268">
        <v>14.5312</v>
      </c>
      <c r="AD2268">
        <v>-1.1096122086939999</v>
      </c>
      <c r="AE2268">
        <v>-0.36519999999998698</v>
      </c>
      <c r="AF2268">
        <v>-0.394791988439747</v>
      </c>
      <c r="AG2268">
        <v>-1.1096122086939999</v>
      </c>
      <c r="AH2268">
        <v>14.446181624497701</v>
      </c>
      <c r="AI2268">
        <v>94.390635672338306</v>
      </c>
      <c r="AJ2268">
        <v>91.565416152337093</v>
      </c>
      <c r="AK2268">
        <v>14.494111338602099</v>
      </c>
      <c r="AL2268">
        <v>81.012411338915101</v>
      </c>
      <c r="AM2268">
        <v>91.908918790548498</v>
      </c>
      <c r="AN2268">
        <v>0.99999993868268899</v>
      </c>
    </row>
    <row r="2269" spans="1:40" x14ac:dyDescent="0.25">
      <c r="A2269" t="str">
        <f>"20190304155409943"</f>
        <v>20190304155409943</v>
      </c>
      <c r="B2269" t="str">
        <f>"1551686049938617"</f>
        <v>1551686049938617</v>
      </c>
      <c r="C2269" t="s">
        <v>40</v>
      </c>
      <c r="D2269">
        <v>4.4452439999999998</v>
      </c>
      <c r="E2269">
        <v>0.51076100000000002</v>
      </c>
      <c r="F2269" t="s">
        <v>63</v>
      </c>
      <c r="G2269">
        <v>-442.17750000000001</v>
      </c>
      <c r="H2269" s="1">
        <v>-3.5083379999999999E-7</v>
      </c>
      <c r="I2269">
        <v>213.99449999999999</v>
      </c>
      <c r="J2269">
        <v>-464.96129999999999</v>
      </c>
      <c r="K2269">
        <v>1.109604</v>
      </c>
      <c r="L2269">
        <v>215.2139</v>
      </c>
      <c r="M2269">
        <v>0.99853170000000002</v>
      </c>
      <c r="N2269">
        <v>-1.0027289999999999E-2</v>
      </c>
      <c r="O2269">
        <v>-5.3236690000000003E-2</v>
      </c>
      <c r="P2269">
        <v>0.98915600000000004</v>
      </c>
      <c r="Q2269">
        <v>0.1456944</v>
      </c>
      <c r="R2269">
        <v>-1.8546300000000002E-2</v>
      </c>
      <c r="S2269">
        <v>3.0517270000000001</v>
      </c>
      <c r="T2269">
        <v>-0.14728939999999999</v>
      </c>
      <c r="U2269">
        <v>-0.1634369</v>
      </c>
      <c r="V2269">
        <v>-3.397675E-2</v>
      </c>
      <c r="W2269">
        <v>0.15563740000000001</v>
      </c>
      <c r="X2269">
        <v>0.98722980000000005</v>
      </c>
      <c r="Y2269">
        <v>2.781827E-4</v>
      </c>
      <c r="Z2269">
        <v>2.0225899999999999E-3</v>
      </c>
      <c r="AA2269">
        <v>0.9999979</v>
      </c>
      <c r="AB2269">
        <v>20</v>
      </c>
      <c r="AC2269">
        <v>22.7837999999999</v>
      </c>
      <c r="AD2269">
        <v>-1.1096043508338</v>
      </c>
      <c r="AE2269">
        <v>-1.2194</v>
      </c>
      <c r="AF2269">
        <v>4.6646596578732097E-3</v>
      </c>
      <c r="AG2269">
        <v>-1.1096043508338</v>
      </c>
      <c r="AH2269">
        <v>22.7625728263769</v>
      </c>
      <c r="AI2269">
        <v>92.790781151132506</v>
      </c>
      <c r="AJ2269">
        <v>89.988258563319704</v>
      </c>
      <c r="AK2269">
        <v>22.7896021301503</v>
      </c>
      <c r="AL2269">
        <v>81.046235217924604</v>
      </c>
      <c r="AM2269">
        <v>91.9711280035079</v>
      </c>
      <c r="AN2269">
        <v>1.00000004891368</v>
      </c>
    </row>
    <row r="2270" spans="1:40" x14ac:dyDescent="0.25">
      <c r="A2270" t="str">
        <f>"20190304155409963"</f>
        <v>20190304155409963</v>
      </c>
      <c r="B2270" t="str">
        <f>"1551686049959113"</f>
        <v>1551686049959113</v>
      </c>
      <c r="C2270" t="s">
        <v>40</v>
      </c>
      <c r="D2270">
        <v>4.449211</v>
      </c>
      <c r="E2270">
        <v>0.50946979999999997</v>
      </c>
      <c r="F2270" t="s">
        <v>63</v>
      </c>
      <c r="G2270">
        <v>-442.1386</v>
      </c>
      <c r="H2270" s="1">
        <v>-3.77186E-7</v>
      </c>
      <c r="I2270">
        <v>214.1232</v>
      </c>
      <c r="J2270">
        <v>-464.76069999999999</v>
      </c>
      <c r="K2270">
        <v>1.10961</v>
      </c>
      <c r="L2270">
        <v>215.20240000000001</v>
      </c>
      <c r="M2270">
        <v>0.99849259999999995</v>
      </c>
      <c r="N2270">
        <v>-9.910561E-3</v>
      </c>
      <c r="O2270">
        <v>-5.3984629999999999E-2</v>
      </c>
      <c r="P2270">
        <v>0.98920140000000001</v>
      </c>
      <c r="Q2270">
        <v>0.14541809999999999</v>
      </c>
      <c r="R2270">
        <v>-1.8283689999999998E-2</v>
      </c>
      <c r="S2270">
        <v>3.0520019999999999</v>
      </c>
      <c r="T2270">
        <v>-0.1483835</v>
      </c>
      <c r="U2270">
        <v>-0.14585879999999901</v>
      </c>
      <c r="V2270">
        <v>-3.4991029999999999E-2</v>
      </c>
      <c r="W2270">
        <v>0.15524549999999901</v>
      </c>
      <c r="X2270">
        <v>0.98725609999999997</v>
      </c>
      <c r="Y2270">
        <v>-6.2096019999999998E-3</v>
      </c>
      <c r="Z2270">
        <v>2.2665469999999998E-3</v>
      </c>
      <c r="AA2270">
        <v>0.99997809999999998</v>
      </c>
      <c r="AB2270">
        <v>20</v>
      </c>
      <c r="AC2270">
        <v>22.6220999999999</v>
      </c>
      <c r="AD2270">
        <v>-1.109610377186</v>
      </c>
      <c r="AE2270">
        <v>-1.0792000000000099</v>
      </c>
      <c r="AF2270">
        <v>-0.143335472456914</v>
      </c>
      <c r="AG2270">
        <v>-1.109610377186</v>
      </c>
      <c r="AH2270">
        <v>22.5931384225415</v>
      </c>
      <c r="AI2270">
        <v>92.811635617851707</v>
      </c>
      <c r="AJ2270">
        <v>90.363491219931802</v>
      </c>
      <c r="AK2270">
        <v>22.620824123513799</v>
      </c>
      <c r="AL2270">
        <v>81.068965929606406</v>
      </c>
      <c r="AM2270">
        <v>92.029867922797493</v>
      </c>
      <c r="AN2270">
        <v>1.0000000722189499</v>
      </c>
    </row>
    <row r="2271" spans="1:40" x14ac:dyDescent="0.25">
      <c r="A2271" t="str">
        <f>"20190304155409989"</f>
        <v>20190304155409989</v>
      </c>
      <c r="B2271" t="str">
        <f>"1551686049978632"</f>
        <v>1551686049978632</v>
      </c>
      <c r="C2271" t="s">
        <v>40</v>
      </c>
      <c r="D2271">
        <v>4.4748950000000001</v>
      </c>
      <c r="E2271">
        <v>0.50945309999999999</v>
      </c>
      <c r="F2271" t="s">
        <v>65</v>
      </c>
      <c r="G2271">
        <v>-439.35469999999998</v>
      </c>
      <c r="H2271" s="1">
        <v>6.4124779999999998E-6</v>
      </c>
      <c r="I2271">
        <v>214.0778</v>
      </c>
      <c r="J2271">
        <v>-464.53449999999998</v>
      </c>
      <c r="K2271">
        <v>1.1096269999999999</v>
      </c>
      <c r="L2271">
        <v>215.1892</v>
      </c>
      <c r="M2271">
        <v>0.99845110000000004</v>
      </c>
      <c r="N2271">
        <v>-9.7882860000000002E-3</v>
      </c>
      <c r="O2271">
        <v>-5.476959E-2</v>
      </c>
      <c r="P2271">
        <v>0.98938899999999996</v>
      </c>
      <c r="Q2271">
        <v>0.14411460000000001</v>
      </c>
      <c r="R2271">
        <v>-1.845076E-2</v>
      </c>
      <c r="S2271">
        <v>3.0498349999999999</v>
      </c>
      <c r="T2271">
        <v>-0.13320079999999901</v>
      </c>
      <c r="U2271">
        <v>-0.13499449999999999</v>
      </c>
      <c r="V2271">
        <v>-3.5626099999999897E-2</v>
      </c>
      <c r="W2271">
        <v>0.1538204</v>
      </c>
      <c r="X2271">
        <v>0.98745640000000001</v>
      </c>
      <c r="Y2271">
        <v>-1.0521869999999999E-2</v>
      </c>
      <c r="Z2271">
        <v>2.1332030000000002E-3</v>
      </c>
      <c r="AA2271">
        <v>0.99994240000000001</v>
      </c>
      <c r="AB2271">
        <v>21</v>
      </c>
      <c r="AC2271">
        <v>25.1798</v>
      </c>
      <c r="AD2271">
        <v>-1.109620587522</v>
      </c>
      <c r="AE2271">
        <v>-1.1113999999999999</v>
      </c>
      <c r="AF2271">
        <v>-0.26890047730345601</v>
      </c>
      <c r="AG2271">
        <v>-1.109620587522</v>
      </c>
      <c r="AH2271">
        <v>25.154122041162601</v>
      </c>
      <c r="AI2271">
        <v>92.525699775863501</v>
      </c>
      <c r="AJ2271">
        <v>90.612475187252997</v>
      </c>
      <c r="AK2271">
        <v>25.180020273555101</v>
      </c>
      <c r="AL2271">
        <v>81.151610604561697</v>
      </c>
      <c r="AM2271">
        <v>92.066258515080406</v>
      </c>
      <c r="AN2271">
        <v>1.0000000381791601</v>
      </c>
    </row>
    <row r="2272" spans="1:40" x14ac:dyDescent="0.25">
      <c r="A2272" t="str">
        <f>"20190304155410032"</f>
        <v>20190304155410032</v>
      </c>
      <c r="B2272" t="str">
        <f>"1551686050029387"</f>
        <v>1551686050029387</v>
      </c>
      <c r="C2272" t="s">
        <v>40</v>
      </c>
      <c r="D2272">
        <v>4.4548370000000004</v>
      </c>
      <c r="E2272">
        <v>0.50957799999999998</v>
      </c>
      <c r="F2272" t="s">
        <v>65</v>
      </c>
      <c r="G2272">
        <v>-437.9042</v>
      </c>
      <c r="H2272" s="1">
        <v>5.7751739999999999E-6</v>
      </c>
      <c r="I2272">
        <v>214.0102</v>
      </c>
      <c r="J2272">
        <v>-464.13690000000003</v>
      </c>
      <c r="K2272">
        <v>1.109686</v>
      </c>
      <c r="L2272">
        <v>215.16589999999999</v>
      </c>
      <c r="M2272">
        <v>0.99838899999999997</v>
      </c>
      <c r="N2272">
        <v>-9.6092480000000008E-3</v>
      </c>
      <c r="O2272">
        <v>-5.5918719999999998E-2</v>
      </c>
      <c r="P2272">
        <v>0.98977349999999997</v>
      </c>
      <c r="Q2272">
        <v>0.1413461</v>
      </c>
      <c r="R2272">
        <v>-1.9231089999999999E-2</v>
      </c>
      <c r="S2272">
        <v>3.0481569999999998</v>
      </c>
      <c r="T2272">
        <v>-0.1270097</v>
      </c>
      <c r="U2272">
        <v>-0.1349487</v>
      </c>
      <c r="V2272">
        <v>-3.604243E-2</v>
      </c>
      <c r="W2272">
        <v>0.1508717</v>
      </c>
      <c r="X2272">
        <v>0.98789610000000005</v>
      </c>
      <c r="Y2272">
        <v>-1.166584E-2</v>
      </c>
      <c r="Z2272">
        <v>2.0878709999999998E-3</v>
      </c>
      <c r="AA2272">
        <v>0.99992979999999998</v>
      </c>
      <c r="AB2272">
        <v>21</v>
      </c>
      <c r="AC2272">
        <v>26.232700000000001</v>
      </c>
      <c r="AD2272">
        <v>-1.109680224826</v>
      </c>
      <c r="AE2272">
        <v>-1.15569999999999</v>
      </c>
      <c r="AF2272">
        <v>-0.31251718125542099</v>
      </c>
      <c r="AG2272">
        <v>-1.109680224826</v>
      </c>
      <c r="AH2272">
        <v>26.2094701642628</v>
      </c>
      <c r="AI2272">
        <v>92.424220399872794</v>
      </c>
      <c r="AJ2272">
        <v>90.683152572885504</v>
      </c>
      <c r="AK2272">
        <v>26.2348124346513</v>
      </c>
      <c r="AL2272">
        <v>81.322553919010801</v>
      </c>
      <c r="AM2272">
        <v>92.089454132499498</v>
      </c>
      <c r="AN2272">
        <v>1.0000000155082001</v>
      </c>
    </row>
    <row r="2273" spans="1:40" x14ac:dyDescent="0.25">
      <c r="A2273" t="str">
        <f>"20190304155410054"</f>
        <v>20190304155410054</v>
      </c>
      <c r="B2273" t="str">
        <f>"1551686050048905"</f>
        <v>1551686050048905</v>
      </c>
      <c r="C2273" t="s">
        <v>40</v>
      </c>
      <c r="D2273">
        <v>4.4519590000000004</v>
      </c>
      <c r="E2273">
        <v>0.50924579999999997</v>
      </c>
      <c r="F2273" t="s">
        <v>65</v>
      </c>
      <c r="G2273">
        <v>-437.56529999999998</v>
      </c>
      <c r="H2273" s="1">
        <v>5.6289719999999999E-6</v>
      </c>
      <c r="I2273">
        <v>213.96340000000001</v>
      </c>
      <c r="J2273">
        <v>-463.928</v>
      </c>
      <c r="K2273">
        <v>1.1097349999999999</v>
      </c>
      <c r="L2273">
        <v>215.15360000000001</v>
      </c>
      <c r="M2273">
        <v>0.99836440000000004</v>
      </c>
      <c r="N2273">
        <v>-9.5324940000000007E-3</v>
      </c>
      <c r="O2273">
        <v>-5.637284E-2</v>
      </c>
      <c r="P2273">
        <v>0.98990849999999997</v>
      </c>
      <c r="Q2273">
        <v>0.14037559999999999</v>
      </c>
      <c r="R2273">
        <v>-1.9394189999999999E-2</v>
      </c>
      <c r="S2273">
        <v>3.046478</v>
      </c>
      <c r="T2273">
        <v>-0.1272268</v>
      </c>
      <c r="U2273">
        <v>-0.13786319999999999</v>
      </c>
      <c r="V2273">
        <v>-3.6360139999999999E-2</v>
      </c>
      <c r="W2273">
        <v>0.14982139999999999</v>
      </c>
      <c r="X2273">
        <v>0.98804429999999999</v>
      </c>
      <c r="Y2273">
        <v>-1.11416E-2</v>
      </c>
      <c r="Z2273">
        <v>2.0985980000000001E-3</v>
      </c>
      <c r="AA2273">
        <v>0.99993569999999998</v>
      </c>
      <c r="AB2273">
        <v>21</v>
      </c>
      <c r="AC2273">
        <v>26.3627</v>
      </c>
      <c r="AD2273">
        <v>-1.1097293710280001</v>
      </c>
      <c r="AE2273">
        <v>-1.1901999999999999</v>
      </c>
      <c r="AF2273">
        <v>-0.29737459490405599</v>
      </c>
      <c r="AG2273">
        <v>-1.1097293710280001</v>
      </c>
      <c r="AH2273">
        <v>26.3412910645918</v>
      </c>
      <c r="AI2273">
        <v>92.412227574983604</v>
      </c>
      <c r="AJ2273">
        <v>90.646801457156798</v>
      </c>
      <c r="AK2273">
        <v>26.3663335690831</v>
      </c>
      <c r="AL2273">
        <v>81.383423646118302</v>
      </c>
      <c r="AM2273">
        <v>92.107540016884897</v>
      </c>
      <c r="AN2273">
        <v>1.00000002522063</v>
      </c>
    </row>
    <row r="2274" spans="1:40" x14ac:dyDescent="0.25">
      <c r="A2274" t="str">
        <f>"20190304155410077"</f>
        <v>20190304155410077</v>
      </c>
      <c r="B2274" t="str">
        <f>"1551686050069400"</f>
        <v>1551686050069400</v>
      </c>
      <c r="C2274" t="s">
        <v>40</v>
      </c>
      <c r="D2274">
        <v>4.434609</v>
      </c>
      <c r="E2274">
        <v>0.50879259999999904</v>
      </c>
      <c r="F2274" t="s">
        <v>65</v>
      </c>
      <c r="G2274">
        <v>-438.63389999999998</v>
      </c>
      <c r="H2274" s="1">
        <v>6.0968429999999999E-6</v>
      </c>
      <c r="I2274">
        <v>214.03190000000001</v>
      </c>
      <c r="J2274">
        <v>-463.7244</v>
      </c>
      <c r="K2274">
        <v>1.1097980000000001</v>
      </c>
      <c r="L2274">
        <v>215.14160000000001</v>
      </c>
      <c r="M2274">
        <v>0.99834610000000001</v>
      </c>
      <c r="N2274">
        <v>-9.4665170000000007E-3</v>
      </c>
      <c r="O2274">
        <v>-5.6707180000000003E-2</v>
      </c>
      <c r="P2274">
        <v>0.98992670000000005</v>
      </c>
      <c r="Q2274">
        <v>0.140269899999999</v>
      </c>
      <c r="R2274">
        <v>-1.922722E-2</v>
      </c>
      <c r="S2274">
        <v>3.0469360000000001</v>
      </c>
      <c r="T2274">
        <v>-0.13367799999999999</v>
      </c>
      <c r="U2274">
        <v>-0.1351166</v>
      </c>
      <c r="V2274">
        <v>-3.6882690000000003E-2</v>
      </c>
      <c r="W2274">
        <v>0.14964459999999999</v>
      </c>
      <c r="X2274">
        <v>0.98805169999999998</v>
      </c>
      <c r="Y2274">
        <v>-1.237596E-2</v>
      </c>
      <c r="Z2274">
        <v>2.276826E-3</v>
      </c>
      <c r="AA2274">
        <v>0.99992080000000005</v>
      </c>
      <c r="AB2274">
        <v>21</v>
      </c>
      <c r="AC2274">
        <v>25.090499999999999</v>
      </c>
      <c r="AD2274">
        <v>-1.109791903157</v>
      </c>
      <c r="AE2274">
        <v>-1.1096999999999999</v>
      </c>
      <c r="AF2274">
        <v>-0.31434710776052599</v>
      </c>
      <c r="AG2274">
        <v>-1.109791903157</v>
      </c>
      <c r="AH2274">
        <v>25.0641123938668</v>
      </c>
      <c r="AI2274">
        <v>92.535094586909807</v>
      </c>
      <c r="AJ2274">
        <v>90.718550014858295</v>
      </c>
      <c r="AK2274">
        <v>25.0906393355143</v>
      </c>
      <c r="AL2274">
        <v>81.393668827128195</v>
      </c>
      <c r="AM2274">
        <v>92.137784642072106</v>
      </c>
      <c r="AN2274">
        <v>1.0000000005018399</v>
      </c>
    </row>
    <row r="2275" spans="1:40" x14ac:dyDescent="0.25">
      <c r="A2275" t="str">
        <f>"20190304155410110"</f>
        <v>20190304155410110</v>
      </c>
      <c r="B2275" t="str">
        <f>"1551686050098682"</f>
        <v>1551686050098682</v>
      </c>
      <c r="C2275" t="s">
        <v>40</v>
      </c>
      <c r="D2275">
        <v>4.4326290000000004</v>
      </c>
      <c r="E2275">
        <v>0.5084959</v>
      </c>
      <c r="F2275" t="s">
        <v>65</v>
      </c>
      <c r="G2275">
        <v>-438.86410000000001</v>
      </c>
      <c r="H2275" s="1">
        <v>6.1952179999999996E-6</v>
      </c>
      <c r="I2275">
        <v>214.0744</v>
      </c>
      <c r="J2275">
        <v>-463.41550000000001</v>
      </c>
      <c r="K2275">
        <v>1.109901</v>
      </c>
      <c r="L2275">
        <v>215.12370000000001</v>
      </c>
      <c r="M2275">
        <v>0.99833139999999998</v>
      </c>
      <c r="N2275">
        <v>-9.3819760000000002E-3</v>
      </c>
      <c r="O2275">
        <v>-5.6979290000000002E-2</v>
      </c>
      <c r="P2275">
        <v>0.98975709999999995</v>
      </c>
      <c r="Q2275">
        <v>0.1414666</v>
      </c>
      <c r="R2275">
        <v>-1.9191159999999999E-2</v>
      </c>
      <c r="S2275">
        <v>3.047272</v>
      </c>
      <c r="T2275">
        <v>-0.136033399999999</v>
      </c>
      <c r="U2275">
        <v>-0.1308136</v>
      </c>
      <c r="V2275">
        <v>-3.7219380000000003E-2</v>
      </c>
      <c r="W2275">
        <v>0.1507463</v>
      </c>
      <c r="X2275">
        <v>0.98787159999999996</v>
      </c>
      <c r="Y2275">
        <v>-1.4058279999999999E-2</v>
      </c>
      <c r="Z2275">
        <v>2.384363E-3</v>
      </c>
      <c r="AA2275">
        <v>0.99989830000000002</v>
      </c>
      <c r="AB2275">
        <v>21</v>
      </c>
      <c r="AC2275">
        <v>24.551400000000001</v>
      </c>
      <c r="AD2275">
        <v>-1.1098948047820001</v>
      </c>
      <c r="AE2275">
        <v>-1.0493000000000099</v>
      </c>
      <c r="AF2275">
        <v>-0.35067227227810699</v>
      </c>
      <c r="AG2275">
        <v>-1.1098948047820001</v>
      </c>
      <c r="AH2275">
        <v>24.521278246052901</v>
      </c>
      <c r="AI2275">
        <v>92.591317843695805</v>
      </c>
      <c r="AJ2275">
        <v>90.819315839867301</v>
      </c>
      <c r="AK2275">
        <v>24.548888454277801</v>
      </c>
      <c r="AL2275">
        <v>81.329821918288005</v>
      </c>
      <c r="AM2275">
        <v>92.157674347581704</v>
      </c>
      <c r="AN2275">
        <v>1.00000001364891</v>
      </c>
    </row>
    <row r="2276" spans="1:40" x14ac:dyDescent="0.25">
      <c r="A2276" t="str">
        <f>"20190304155410131"</f>
        <v>20190304155410131</v>
      </c>
      <c r="B2276" t="str">
        <f>"1551686050128937"</f>
        <v>1551686050128937</v>
      </c>
      <c r="C2276" t="s">
        <v>40</v>
      </c>
      <c r="D2276">
        <v>4.4404870000000001</v>
      </c>
      <c r="E2276">
        <v>0.50832699999999997</v>
      </c>
      <c r="F2276" t="s">
        <v>65</v>
      </c>
      <c r="G2276">
        <v>-437.96699999999998</v>
      </c>
      <c r="H2276" s="1">
        <v>5.7993129999999901E-6</v>
      </c>
      <c r="I2276">
        <v>214.05269999999999</v>
      </c>
      <c r="J2276">
        <v>-463.21170000000001</v>
      </c>
      <c r="K2276">
        <v>1.1099669999999999</v>
      </c>
      <c r="L2276">
        <v>215.11189999999999</v>
      </c>
      <c r="M2276">
        <v>0.99832869999999996</v>
      </c>
      <c r="N2276">
        <v>-9.3353789999999996E-3</v>
      </c>
      <c r="O2276">
        <v>-5.703101E-2</v>
      </c>
      <c r="P2276">
        <v>0.98962519999999998</v>
      </c>
      <c r="Q2276">
        <v>0.1423412</v>
      </c>
      <c r="R2276">
        <v>-1.9517429999999999E-2</v>
      </c>
      <c r="S2276">
        <v>3.0475159999999999</v>
      </c>
      <c r="T2276">
        <v>-0.13291249999999999</v>
      </c>
      <c r="U2276">
        <v>-0.12825010000000001</v>
      </c>
      <c r="V2276">
        <v>-3.6962200000000001E-2</v>
      </c>
      <c r="W2276">
        <v>0.15156739999999999</v>
      </c>
      <c r="X2276">
        <v>0.98775559999999996</v>
      </c>
      <c r="Y2276">
        <v>-1.495463E-2</v>
      </c>
      <c r="Z2276">
        <v>2.3466070000000001E-3</v>
      </c>
      <c r="AA2276">
        <v>0.99988540000000004</v>
      </c>
      <c r="AB2276">
        <v>21</v>
      </c>
      <c r="AC2276">
        <v>25.244700000000002</v>
      </c>
      <c r="AD2276">
        <v>-1.1099612006870001</v>
      </c>
      <c r="AE2276">
        <v>-1.0591999999999999</v>
      </c>
      <c r="AF2276">
        <v>-0.38158128815507297</v>
      </c>
      <c r="AG2276">
        <v>-1.1099612006870001</v>
      </c>
      <c r="AH2276">
        <v>25.215357721290601</v>
      </c>
      <c r="AI2276">
        <v>92.520202070893205</v>
      </c>
      <c r="AJ2276">
        <v>90.866984673216095</v>
      </c>
      <c r="AK2276">
        <v>25.2426599858088</v>
      </c>
      <c r="AL2276">
        <v>81.282229413945601</v>
      </c>
      <c r="AM2276">
        <v>92.143030516002</v>
      </c>
      <c r="AN2276">
        <v>1.00000000315148</v>
      </c>
    </row>
    <row r="2277" spans="1:40" x14ac:dyDescent="0.25">
      <c r="A2277" t="str">
        <f>"20190304155410154"</f>
        <v>20190304155410154</v>
      </c>
      <c r="B2277" t="str">
        <f>"1551686050148457"</f>
        <v>1551686050148457</v>
      </c>
      <c r="C2277" t="s">
        <v>40</v>
      </c>
      <c r="D2277">
        <v>4.4154299999999997</v>
      </c>
      <c r="E2277">
        <v>0.50829239999999998</v>
      </c>
      <c r="F2277" t="s">
        <v>65</v>
      </c>
      <c r="G2277">
        <v>-437.37900000000002</v>
      </c>
      <c r="H2277" s="1">
        <v>5.5407960000000003E-6</v>
      </c>
      <c r="I2277">
        <v>214.02670000000001</v>
      </c>
      <c r="J2277">
        <v>-463.00299999999999</v>
      </c>
      <c r="K2277">
        <v>1.110017</v>
      </c>
      <c r="L2277">
        <v>215.09989999999999</v>
      </c>
      <c r="M2277">
        <v>0.99833050000000001</v>
      </c>
      <c r="N2277">
        <v>-9.2941010000000008E-3</v>
      </c>
      <c r="O2277">
        <v>-5.7009160000000003E-2</v>
      </c>
      <c r="P2277">
        <v>0.9895178</v>
      </c>
      <c r="Q2277">
        <v>0.1431644</v>
      </c>
      <c r="R2277">
        <v>-1.8937619999999999E-2</v>
      </c>
      <c r="S2277">
        <v>3.0477599999999998</v>
      </c>
      <c r="T2277">
        <v>-0.13095370000000001</v>
      </c>
      <c r="U2277">
        <v>-0.1280365</v>
      </c>
      <c r="V2277">
        <v>-3.753227E-2</v>
      </c>
      <c r="W2277">
        <v>0.15234410000000001</v>
      </c>
      <c r="X2277">
        <v>0.98761460000000001</v>
      </c>
      <c r="Y2277">
        <v>-1.5007650000000001E-2</v>
      </c>
      <c r="Z2277">
        <v>2.3077190000000002E-3</v>
      </c>
      <c r="AA2277">
        <v>0.99988469999999996</v>
      </c>
      <c r="AB2277">
        <v>21</v>
      </c>
      <c r="AC2277">
        <v>25.623999999999999</v>
      </c>
      <c r="AD2277">
        <v>-1.110011459204</v>
      </c>
      <c r="AE2277">
        <v>-1.0731999999999799</v>
      </c>
      <c r="AF2277">
        <v>-0.38868309346719598</v>
      </c>
      <c r="AG2277">
        <v>-1.110011459204</v>
      </c>
      <c r="AH2277">
        <v>25.595560471748801</v>
      </c>
      <c r="AI2277">
        <v>92.482923868405805</v>
      </c>
      <c r="AJ2277">
        <v>90.870002017006797</v>
      </c>
      <c r="AK2277">
        <v>25.622566535178699</v>
      </c>
      <c r="AL2277">
        <v>81.237204871607304</v>
      </c>
      <c r="AM2277">
        <v>92.176361429960807</v>
      </c>
      <c r="AN2277">
        <v>0.99999999711466103</v>
      </c>
    </row>
    <row r="2278" spans="1:40" x14ac:dyDescent="0.25">
      <c r="A2278" t="str">
        <f>"20190304155410176"</f>
        <v>20190304155410176</v>
      </c>
      <c r="B2278" t="str">
        <f>"1551686050168953"</f>
        <v>1551686050168953</v>
      </c>
      <c r="C2278" t="s">
        <v>40</v>
      </c>
      <c r="D2278">
        <v>4.4126010000000004</v>
      </c>
      <c r="E2278">
        <v>0.5082487</v>
      </c>
      <c r="F2278" t="s">
        <v>65</v>
      </c>
      <c r="G2278">
        <v>-436.69560000000001</v>
      </c>
      <c r="H2278" s="1">
        <v>5.2391219999999997E-6</v>
      </c>
      <c r="I2278">
        <v>214.0112</v>
      </c>
      <c r="J2278">
        <v>-462.78859999999997</v>
      </c>
      <c r="K2278">
        <v>1.1100479999999999</v>
      </c>
      <c r="L2278">
        <v>215.08779999999999</v>
      </c>
      <c r="M2278">
        <v>0.99833559999999999</v>
      </c>
      <c r="N2278">
        <v>-9.2574059999999993E-3</v>
      </c>
      <c r="O2278">
        <v>-5.6925940000000001E-2</v>
      </c>
      <c r="P2278">
        <v>0.9894771</v>
      </c>
      <c r="Q2278">
        <v>0.14348169999999999</v>
      </c>
      <c r="R2278">
        <v>-1.8657670000000001E-2</v>
      </c>
      <c r="S2278">
        <v>3.0480040000000002</v>
      </c>
      <c r="T2278">
        <v>-0.12860750000000001</v>
      </c>
      <c r="U2278">
        <v>-0.12614439999999999</v>
      </c>
      <c r="V2278">
        <v>-3.7737850000000003E-2</v>
      </c>
      <c r="W2278">
        <v>0.15262120000000001</v>
      </c>
      <c r="X2278">
        <v>0.987564</v>
      </c>
      <c r="Y2278">
        <v>-1.5548650000000001E-2</v>
      </c>
      <c r="Z2278">
        <v>2.2709869999999999E-3</v>
      </c>
      <c r="AA2278">
        <v>0.9998766</v>
      </c>
      <c r="AB2278">
        <v>21</v>
      </c>
      <c r="AC2278">
        <v>26.0929999999999</v>
      </c>
      <c r="AD2278">
        <v>-1.1100427608779999</v>
      </c>
      <c r="AE2278">
        <v>-1.07659999999998</v>
      </c>
      <c r="AF2278">
        <v>-0.40983752652926703</v>
      </c>
      <c r="AG2278">
        <v>-1.1100427608779999</v>
      </c>
      <c r="AH2278">
        <v>26.064881019660099</v>
      </c>
      <c r="AI2278">
        <v>92.438319568030707</v>
      </c>
      <c r="AJ2278">
        <v>90.900829956948897</v>
      </c>
      <c r="AK2278">
        <v>26.091726357183902</v>
      </c>
      <c r="AL2278">
        <v>81.221140513646304</v>
      </c>
      <c r="AM2278">
        <v>92.188382729559805</v>
      </c>
      <c r="AN2278">
        <v>1.00000001505403</v>
      </c>
    </row>
    <row r="2279" spans="1:40" x14ac:dyDescent="0.25">
      <c r="A2279" t="str">
        <f>"20190304155410220"</f>
        <v>20190304155410220</v>
      </c>
      <c r="B2279" t="str">
        <f>"1551686050208969"</f>
        <v>1551686050208969</v>
      </c>
      <c r="C2279" t="s">
        <v>40</v>
      </c>
      <c r="D2279">
        <v>4.7163570000000004</v>
      </c>
      <c r="E2279">
        <v>0.50812970000000002</v>
      </c>
      <c r="F2279" t="s">
        <v>65</v>
      </c>
      <c r="G2279">
        <v>-436.32209999999998</v>
      </c>
      <c r="H2279" s="1">
        <v>5.0743839999999996E-6</v>
      </c>
      <c r="I2279">
        <v>214.00049999999999</v>
      </c>
      <c r="J2279">
        <v>-462.37740000000002</v>
      </c>
      <c r="K2279">
        <v>1.11005</v>
      </c>
      <c r="L2279">
        <v>215.06460000000001</v>
      </c>
      <c r="M2279">
        <v>0.99835059999999998</v>
      </c>
      <c r="N2279">
        <v>-9.2009320000000002E-3</v>
      </c>
      <c r="O2279">
        <v>-5.6670489999999997E-2</v>
      </c>
      <c r="P2279">
        <v>0.98941619999999997</v>
      </c>
      <c r="Q2279">
        <v>0.14400260000000001</v>
      </c>
      <c r="R2279">
        <v>-1.785612E-2</v>
      </c>
      <c r="S2279">
        <v>3.0480960000000001</v>
      </c>
      <c r="T2279">
        <v>-0.12784139999999999</v>
      </c>
      <c r="U2279">
        <v>-0.12521360000000001</v>
      </c>
      <c r="V2279">
        <v>-3.8286029999999999E-2</v>
      </c>
      <c r="W2279">
        <v>0.15308440000000001</v>
      </c>
      <c r="X2279">
        <v>0.98747119999999999</v>
      </c>
      <c r="Y2279">
        <v>-1.5599490000000001E-2</v>
      </c>
      <c r="Z2279">
        <v>2.2504399999999998E-3</v>
      </c>
      <c r="AA2279">
        <v>0.99987579999999998</v>
      </c>
      <c r="AB2279">
        <v>21</v>
      </c>
      <c r="AC2279">
        <v>26.055299999999999</v>
      </c>
      <c r="AD2279">
        <v>-1.1100449256160001</v>
      </c>
      <c r="AE2279">
        <v>-1.06410000000002</v>
      </c>
      <c r="AF2279">
        <v>-0.413489997918219</v>
      </c>
      <c r="AG2279">
        <v>-1.1100449256160001</v>
      </c>
      <c r="AH2279">
        <v>26.026568649107801</v>
      </c>
      <c r="AI2279">
        <v>92.441903006761606</v>
      </c>
      <c r="AJ2279">
        <v>90.910194467780002</v>
      </c>
      <c r="AK2279">
        <v>26.053511267427702</v>
      </c>
      <c r="AL2279">
        <v>81.194285509866901</v>
      </c>
      <c r="AM2279">
        <v>92.220348028171102</v>
      </c>
      <c r="AN2279">
        <v>1.00000001222298</v>
      </c>
    </row>
    <row r="2280" spans="1:40" x14ac:dyDescent="0.25">
      <c r="A2280" t="str">
        <f>"20190304155410245"</f>
        <v>20190304155410245</v>
      </c>
      <c r="B2280" t="str">
        <f>"1551686050239225"</f>
        <v>1551686050239225</v>
      </c>
      <c r="C2280" t="s">
        <v>40</v>
      </c>
      <c r="D2280">
        <v>4.4615769999999904</v>
      </c>
      <c r="E2280">
        <v>0.50805339999999999</v>
      </c>
      <c r="F2280" t="s">
        <v>65</v>
      </c>
      <c r="G2280">
        <v>-435.7133</v>
      </c>
      <c r="H2280" s="1">
        <v>4.8053329999999998E-6</v>
      </c>
      <c r="I2280">
        <v>213.99010000000001</v>
      </c>
      <c r="J2280">
        <v>-462.14960000000002</v>
      </c>
      <c r="K2280">
        <v>1.110033</v>
      </c>
      <c r="L2280">
        <v>215.05179999999999</v>
      </c>
      <c r="M2280">
        <v>0.998359</v>
      </c>
      <c r="N2280">
        <v>-9.1765149999999997E-3</v>
      </c>
      <c r="O2280">
        <v>-5.6526130000000001E-2</v>
      </c>
      <c r="P2280">
        <v>0.9894444</v>
      </c>
      <c r="Q2280">
        <v>0.14386860000000001</v>
      </c>
      <c r="R2280">
        <v>-1.7370989999999999E-2</v>
      </c>
      <c r="S2280">
        <v>3.0483090000000002</v>
      </c>
      <c r="T2280">
        <v>-0.12690290000000001</v>
      </c>
      <c r="U2280">
        <v>-0.12283330000000001</v>
      </c>
      <c r="V2280">
        <v>-3.8625529999999998E-2</v>
      </c>
      <c r="W2280">
        <v>0.15292700000000001</v>
      </c>
      <c r="X2280">
        <v>0.98748239999999998</v>
      </c>
      <c r="Y2280">
        <v>-1.6237410000000001E-2</v>
      </c>
      <c r="Z2280">
        <v>2.2432179999999999E-3</v>
      </c>
      <c r="AA2280">
        <v>0.99986569999999997</v>
      </c>
      <c r="AB2280">
        <v>21</v>
      </c>
      <c r="AC2280">
        <v>26.436299999999999</v>
      </c>
      <c r="AD2280">
        <v>-1.1100281946670001</v>
      </c>
      <c r="AE2280">
        <v>-1.0616999999999699</v>
      </c>
      <c r="AF2280">
        <v>-0.43363894839001399</v>
      </c>
      <c r="AG2280">
        <v>-1.1100281946670001</v>
      </c>
      <c r="AH2280">
        <v>26.407561190847499</v>
      </c>
      <c r="AI2280">
        <v>92.406657460904597</v>
      </c>
      <c r="AJ2280">
        <v>90.940770279639494</v>
      </c>
      <c r="AK2280">
        <v>26.434437640677501</v>
      </c>
      <c r="AL2280">
        <v>81.203411606164295</v>
      </c>
      <c r="AM2280">
        <v>92.239991536028697</v>
      </c>
      <c r="AN2280">
        <v>1.00000004460326</v>
      </c>
    </row>
    <row r="2281" spans="1:40" x14ac:dyDescent="0.25">
      <c r="A2281" t="str">
        <f>"20190304155410277"</f>
        <v>20190304155410277</v>
      </c>
      <c r="B2281" t="str">
        <f>"1551686050268505"</f>
        <v>1551686050268505</v>
      </c>
      <c r="C2281" t="s">
        <v>40</v>
      </c>
      <c r="D2281">
        <v>4.4486410000000003</v>
      </c>
      <c r="E2281">
        <v>0.50803140000000002</v>
      </c>
      <c r="F2281" t="s">
        <v>65</v>
      </c>
      <c r="G2281">
        <v>-435.66419999999999</v>
      </c>
      <c r="H2281" s="1">
        <v>4.7830720000000001E-6</v>
      </c>
      <c r="I2281">
        <v>213.9957</v>
      </c>
      <c r="J2281">
        <v>-461.84480000000002</v>
      </c>
      <c r="K2281">
        <v>1.1100030000000001</v>
      </c>
      <c r="L2281">
        <v>215.03469999999999</v>
      </c>
      <c r="M2281">
        <v>0.99836840000000004</v>
      </c>
      <c r="N2281">
        <v>-9.1496839999999999E-3</v>
      </c>
      <c r="O2281">
        <v>-5.6365279999999997E-2</v>
      </c>
      <c r="P2281">
        <v>0.98954739999999997</v>
      </c>
      <c r="Q2281">
        <v>0.14326469999999999</v>
      </c>
      <c r="R2281">
        <v>-1.6473049999999999E-2</v>
      </c>
      <c r="S2281">
        <v>3.0484619999999998</v>
      </c>
      <c r="T2281">
        <v>-0.12776399999999999</v>
      </c>
      <c r="U2281">
        <v>-0.12155150000000001</v>
      </c>
      <c r="V2281">
        <v>-3.936158E-2</v>
      </c>
      <c r="W2281">
        <v>0.1522993</v>
      </c>
      <c r="X2281">
        <v>0.98755029999999999</v>
      </c>
      <c r="Y2281">
        <v>-1.6497080000000001E-2</v>
      </c>
      <c r="Z2281">
        <v>2.264004E-3</v>
      </c>
      <c r="AA2281">
        <v>0.99986140000000001</v>
      </c>
      <c r="AB2281">
        <v>21</v>
      </c>
      <c r="AC2281">
        <v>26.180599999999998</v>
      </c>
      <c r="AD2281">
        <v>-1.109998216928</v>
      </c>
      <c r="AE2281">
        <v>-1.0389999999999799</v>
      </c>
      <c r="AF2281">
        <v>-0.437604995780076</v>
      </c>
      <c r="AG2281">
        <v>-1.109998216928</v>
      </c>
      <c r="AH2281">
        <v>26.150607357898799</v>
      </c>
      <c r="AI2281">
        <v>92.430198728260905</v>
      </c>
      <c r="AJ2281">
        <v>90.958699697925695</v>
      </c>
      <c r="AK2281">
        <v>26.177812348645698</v>
      </c>
      <c r="AL2281">
        <v>81.239802079889898</v>
      </c>
      <c r="AM2281">
        <v>92.282475415790699</v>
      </c>
      <c r="AN2281">
        <v>1.00000000289533</v>
      </c>
    </row>
    <row r="2282" spans="1:40" x14ac:dyDescent="0.25">
      <c r="A2282" t="str">
        <f>"20190304155410297"</f>
        <v>20190304155410297</v>
      </c>
      <c r="B2282" t="str">
        <f>"1551686050289002"</f>
        <v>1551686050289002</v>
      </c>
      <c r="C2282" t="s">
        <v>40</v>
      </c>
      <c r="D2282">
        <v>4.4396019999999998</v>
      </c>
      <c r="E2282">
        <v>0.52380579999999999</v>
      </c>
      <c r="F2282" t="s">
        <v>65</v>
      </c>
      <c r="G2282">
        <v>-435.94560000000001</v>
      </c>
      <c r="H2282" s="1">
        <v>4.9052299999999996E-6</v>
      </c>
      <c r="I2282">
        <v>214.02590000000001</v>
      </c>
      <c r="J2282">
        <v>-461.64139999999998</v>
      </c>
      <c r="K2282">
        <v>1.1099840000000001</v>
      </c>
      <c r="L2282">
        <v>215.02330000000001</v>
      </c>
      <c r="M2282">
        <v>0.99837330000000002</v>
      </c>
      <c r="N2282">
        <v>-9.1348149999999993E-3</v>
      </c>
      <c r="O2282">
        <v>-5.6279639999999999E-2</v>
      </c>
      <c r="P2282">
        <v>0.98972490000000002</v>
      </c>
      <c r="Q2282">
        <v>0.14209720000000001</v>
      </c>
      <c r="R2282">
        <v>-1.5922149999999999E-2</v>
      </c>
      <c r="S2282">
        <v>3.048584</v>
      </c>
      <c r="T2282">
        <v>-0.13065739999999901</v>
      </c>
      <c r="U2282">
        <v>-0.1187439</v>
      </c>
      <c r="V2282">
        <v>-3.9832239999999998E-2</v>
      </c>
      <c r="W2282">
        <v>0.15111959999999999</v>
      </c>
      <c r="X2282">
        <v>0.98771260000000005</v>
      </c>
      <c r="Y2282">
        <v>-1.7328900000000001E-2</v>
      </c>
      <c r="Z2282">
        <v>2.3445990000000002E-3</v>
      </c>
      <c r="AA2282">
        <v>0.99984709999999999</v>
      </c>
      <c r="AB2282">
        <v>21</v>
      </c>
      <c r="AC2282">
        <v>25.695799999999899</v>
      </c>
      <c r="AD2282">
        <v>-1.1099790947699999</v>
      </c>
      <c r="AE2282">
        <v>-0.99739999999999895</v>
      </c>
      <c r="AF2282">
        <v>-0.44955402228017199</v>
      </c>
      <c r="AG2282">
        <v>-1.1099790947699999</v>
      </c>
      <c r="AH2282">
        <v>25.663390420816299</v>
      </c>
      <c r="AI2282">
        <v>92.476203141440607</v>
      </c>
      <c r="AJ2282">
        <v>91.0035663089092</v>
      </c>
      <c r="AK2282">
        <v>25.6913168269169</v>
      </c>
      <c r="AL2282">
        <v>81.308185072298599</v>
      </c>
      <c r="AM2282">
        <v>92.309359254595407</v>
      </c>
      <c r="AN2282">
        <v>0.99999996052316797</v>
      </c>
    </row>
    <row r="2283" spans="1:40" x14ac:dyDescent="0.25">
      <c r="A2283" t="str">
        <f>"20190304155410390"</f>
        <v>20190304155410390</v>
      </c>
      <c r="B2283" t="str">
        <f>"1551686050378793"</f>
        <v>1551686050378793</v>
      </c>
      <c r="C2283" t="s">
        <v>40</v>
      </c>
      <c r="D2283">
        <v>4.440652</v>
      </c>
      <c r="E2283">
        <v>0.51582129999999904</v>
      </c>
      <c r="F2283" t="s">
        <v>63</v>
      </c>
      <c r="G2283">
        <v>-441.89620000000002</v>
      </c>
      <c r="H2283" s="1">
        <v>-4.767017E-7</v>
      </c>
      <c r="I2283">
        <v>213.4496</v>
      </c>
      <c r="J2283">
        <v>-460.7586</v>
      </c>
      <c r="K2283">
        <v>1.1099380000000001</v>
      </c>
      <c r="L2283">
        <v>214.97409999999999</v>
      </c>
      <c r="M2283">
        <v>0.99838839999999995</v>
      </c>
      <c r="N2283">
        <v>-9.0922880000000005E-3</v>
      </c>
      <c r="O2283">
        <v>-5.601677E-2</v>
      </c>
      <c r="P2283">
        <v>0.98967910000000003</v>
      </c>
      <c r="Q2283">
        <v>0.1429002</v>
      </c>
      <c r="R2283">
        <v>-1.0717229999999999E-2</v>
      </c>
      <c r="S2283">
        <v>3.0518800000000001</v>
      </c>
      <c r="T2283">
        <v>-0.17156270000000001</v>
      </c>
      <c r="U2283">
        <v>-0.2432404</v>
      </c>
      <c r="V2283">
        <v>-4.4752399999999998E-2</v>
      </c>
      <c r="W2283">
        <v>0.15188080000000001</v>
      </c>
      <c r="X2283">
        <v>0.98738519999999996</v>
      </c>
      <c r="Y2283">
        <v>2.3501859999999999E-2</v>
      </c>
      <c r="Z2283">
        <v>1.863764E-3</v>
      </c>
      <c r="AA2283">
        <v>0.99972209999999995</v>
      </c>
      <c r="AB2283">
        <v>21</v>
      </c>
      <c r="AC2283">
        <v>18.862399999999901</v>
      </c>
      <c r="AD2283">
        <v>-1.10993847670169</v>
      </c>
      <c r="AE2283">
        <v>-1.52449999999998</v>
      </c>
      <c r="AF2283">
        <v>0.46385591610619697</v>
      </c>
      <c r="AG2283">
        <v>-1.10993847670169</v>
      </c>
      <c r="AH2283">
        <v>18.853323345472599</v>
      </c>
      <c r="AI2283">
        <v>93.368228335370702</v>
      </c>
      <c r="AJ2283">
        <v>88.590613168730002</v>
      </c>
      <c r="AK2283">
        <v>18.891662894036401</v>
      </c>
      <c r="AL2283">
        <v>81.264062956450701</v>
      </c>
      <c r="AM2283">
        <v>92.595106748184506</v>
      </c>
      <c r="AN2283">
        <v>1.00000004394671</v>
      </c>
    </row>
    <row r="2284" spans="1:40" x14ac:dyDescent="0.25">
      <c r="A2284" t="str">
        <f>"20190304155410412"</f>
        <v>20190304155410412</v>
      </c>
      <c r="B2284" t="str">
        <f>"1551686050409048"</f>
        <v>1551686050409048</v>
      </c>
      <c r="C2284" t="s">
        <v>40</v>
      </c>
      <c r="D2284">
        <v>4.4352790000000004</v>
      </c>
      <c r="E2284">
        <v>0.51464900000000002</v>
      </c>
      <c r="F2284" t="s">
        <v>48</v>
      </c>
      <c r="G2284">
        <v>-459.92759999999998</v>
      </c>
      <c r="H2284">
        <v>1.031755</v>
      </c>
      <c r="I2284">
        <v>214.9288</v>
      </c>
      <c r="J2284">
        <v>-460.54160000000002</v>
      </c>
      <c r="K2284">
        <v>1.1099319999999999</v>
      </c>
      <c r="L2284">
        <v>214.96199999999999</v>
      </c>
      <c r="M2284">
        <v>0.99839199999999995</v>
      </c>
      <c r="N2284">
        <v>-9.0855320000000003E-3</v>
      </c>
      <c r="O2284">
        <v>-5.5954429999999999E-2</v>
      </c>
      <c r="P2284">
        <v>0.98968829999999997</v>
      </c>
      <c r="Q2284">
        <v>0.14291670000000001</v>
      </c>
      <c r="R2284">
        <v>-9.600997E-3</v>
      </c>
      <c r="S2284">
        <v>3.0711979999999999</v>
      </c>
      <c r="T2284">
        <v>-0.28907569999999999</v>
      </c>
      <c r="U2284">
        <v>-0.1666107</v>
      </c>
      <c r="V2284">
        <v>-4.5805070000000003E-2</v>
      </c>
      <c r="W2284">
        <v>0.15189029999999901</v>
      </c>
      <c r="X2284">
        <v>0.98733539999999997</v>
      </c>
      <c r="Y2284">
        <v>-1.581135E-3</v>
      </c>
      <c r="Z2284">
        <v>4.8212050000000003E-3</v>
      </c>
      <c r="AA2284">
        <v>0.99998710000000002</v>
      </c>
      <c r="AB2284">
        <v>22</v>
      </c>
      <c r="AC2284">
        <v>0.61400000000003196</v>
      </c>
      <c r="AD2284">
        <v>-7.8176999999999899E-2</v>
      </c>
      <c r="AE2284">
        <v>-3.3200000000022101E-2</v>
      </c>
      <c r="AF2284">
        <v>-1.1902166591992E-3</v>
      </c>
      <c r="AG2284">
        <v>-7.8176999999999899E-2</v>
      </c>
      <c r="AH2284">
        <v>0.605114571632134</v>
      </c>
      <c r="AI2284">
        <v>97.361464438909806</v>
      </c>
      <c r="AJ2284">
        <v>90.112696514894594</v>
      </c>
      <c r="AK2284">
        <v>0.61014482276443005</v>
      </c>
      <c r="AL2284">
        <v>81.263511693332802</v>
      </c>
      <c r="AM2284">
        <v>92.656196448010505</v>
      </c>
      <c r="AN2284">
        <v>0.99999997988247702</v>
      </c>
    </row>
    <row r="2285" spans="1:40" x14ac:dyDescent="0.25">
      <c r="A2285" t="str">
        <f>"20190304155410436"</f>
        <v>20190304155410436</v>
      </c>
      <c r="B2285" t="str">
        <f>"1551686050428569"</f>
        <v>1551686050428569</v>
      </c>
      <c r="C2285" t="s">
        <v>40</v>
      </c>
      <c r="D2285">
        <v>4.4802030000000004</v>
      </c>
      <c r="E2285">
        <v>0.51314110000000002</v>
      </c>
      <c r="F2285" t="s">
        <v>63</v>
      </c>
      <c r="G2285">
        <v>-444.05110000000002</v>
      </c>
      <c r="H2285" s="1">
        <v>6.3994589999999996E-7</v>
      </c>
      <c r="I2285">
        <v>214.13679999999999</v>
      </c>
      <c r="J2285">
        <v>-460.31229999999999</v>
      </c>
      <c r="K2285">
        <v>1.109926</v>
      </c>
      <c r="L2285">
        <v>214.94919999999999</v>
      </c>
      <c r="M2285">
        <v>0.99839639999999996</v>
      </c>
      <c r="N2285">
        <v>-9.0796190000000006E-3</v>
      </c>
      <c r="O2285">
        <v>-5.5875929999999997E-2</v>
      </c>
      <c r="P2285">
        <v>0.98963480000000004</v>
      </c>
      <c r="Q2285">
        <v>0.143341</v>
      </c>
      <c r="R2285">
        <v>-8.7252479999999997E-3</v>
      </c>
      <c r="S2285">
        <v>3.0595089999999998</v>
      </c>
      <c r="T2285">
        <v>-0.205927</v>
      </c>
      <c r="U2285">
        <v>-0.15309139999999999</v>
      </c>
      <c r="V2285">
        <v>-4.6599080000000001E-2</v>
      </c>
      <c r="W2285">
        <v>0.15230779999999999</v>
      </c>
      <c r="X2285">
        <v>0.9872339</v>
      </c>
      <c r="Y2285">
        <v>-5.802069E-3</v>
      </c>
      <c r="Z2285">
        <v>3.4658879999999999E-3</v>
      </c>
      <c r="AA2285">
        <v>0.99997720000000001</v>
      </c>
      <c r="AB2285">
        <v>22</v>
      </c>
      <c r="AC2285">
        <v>16.261199999999899</v>
      </c>
      <c r="AD2285">
        <v>-1.1099253600540999</v>
      </c>
      <c r="AE2285">
        <v>-0.81239999999999601</v>
      </c>
      <c r="AF2285">
        <v>-9.70653697383001E-2</v>
      </c>
      <c r="AG2285">
        <v>-1.1099253600540999</v>
      </c>
      <c r="AH2285">
        <v>16.205875433307401</v>
      </c>
      <c r="AI2285">
        <v>93.917946173654798</v>
      </c>
      <c r="AJ2285">
        <v>90.343169953574005</v>
      </c>
      <c r="AK2285">
        <v>16.244129848987601</v>
      </c>
      <c r="AL2285">
        <v>81.239308909663293</v>
      </c>
      <c r="AM2285">
        <v>92.702450142808004</v>
      </c>
      <c r="AN2285">
        <v>0.99999995675344699</v>
      </c>
    </row>
    <row r="2286" spans="1:40" x14ac:dyDescent="0.25">
      <c r="A2286" t="str">
        <f>"20190304155410479"</f>
        <v>20190304155410479</v>
      </c>
      <c r="B2286" t="str">
        <f>"1551686050468585"</f>
        <v>1551686050468585</v>
      </c>
      <c r="C2286" t="s">
        <v>40</v>
      </c>
      <c r="D2286">
        <v>4.4577309999999999</v>
      </c>
      <c r="E2286">
        <v>0.50847330000000002</v>
      </c>
      <c r="F2286" t="s">
        <v>63</v>
      </c>
      <c r="G2286">
        <v>-443.04910000000001</v>
      </c>
      <c r="H2286" s="1">
        <v>1.055646E-7</v>
      </c>
      <c r="I2286">
        <v>214.16419999999999</v>
      </c>
      <c r="J2286">
        <v>-459.90609999999998</v>
      </c>
      <c r="K2286">
        <v>1.109947</v>
      </c>
      <c r="L2286">
        <v>214.92670000000001</v>
      </c>
      <c r="M2286">
        <v>0.99840779999999996</v>
      </c>
      <c r="N2286">
        <v>-9.0681719999999993E-3</v>
      </c>
      <c r="O2286">
        <v>-5.5674880000000003E-2</v>
      </c>
      <c r="P2286">
        <v>0.98979499999999998</v>
      </c>
      <c r="Q2286">
        <v>0.14223239999999901</v>
      </c>
      <c r="R2286">
        <v>-8.7244030000000004E-3</v>
      </c>
      <c r="S2286">
        <v>3.0586850000000001</v>
      </c>
      <c r="T2286">
        <v>-0.1966569</v>
      </c>
      <c r="U2286">
        <v>-0.13908389999999901</v>
      </c>
      <c r="V2286">
        <v>-4.6418859999999999E-2</v>
      </c>
      <c r="W2286">
        <v>0.1511866</v>
      </c>
      <c r="X2286">
        <v>0.98741480000000004</v>
      </c>
      <c r="Y2286">
        <v>-1.015696E-2</v>
      </c>
      <c r="Z2286">
        <v>3.439161E-3</v>
      </c>
      <c r="AA2286">
        <v>0.99994249999999996</v>
      </c>
      <c r="AB2286">
        <v>22</v>
      </c>
      <c r="AC2286">
        <v>16.8569999999999</v>
      </c>
      <c r="AD2286">
        <v>-1.1099468944353901</v>
      </c>
      <c r="AE2286">
        <v>-0.76250000000001705</v>
      </c>
      <c r="AF2286">
        <v>-0.176469258242552</v>
      </c>
      <c r="AG2286">
        <v>-1.1099468944353901</v>
      </c>
      <c r="AH2286">
        <v>16.800614545469099</v>
      </c>
      <c r="AI2286">
        <v>93.779593691182995</v>
      </c>
      <c r="AJ2286">
        <v>90.601797741775499</v>
      </c>
      <c r="AK2286">
        <v>16.838164169914702</v>
      </c>
      <c r="AL2286">
        <v>81.304302357703406</v>
      </c>
      <c r="AM2286">
        <v>92.691521467146998</v>
      </c>
      <c r="AN2286">
        <v>1.00000004292114</v>
      </c>
    </row>
    <row r="2287" spans="1:40" x14ac:dyDescent="0.25">
      <c r="A2287" t="str">
        <f>"20190304155410500"</f>
        <v>20190304155410500</v>
      </c>
      <c r="B2287" t="str">
        <f>"1551686050498842"</f>
        <v>1551686050498842</v>
      </c>
      <c r="C2287" t="s">
        <v>40</v>
      </c>
      <c r="D2287">
        <v>4.4365759999999996</v>
      </c>
      <c r="E2287">
        <v>0.50705959999999894</v>
      </c>
      <c r="F2287" t="s">
        <v>63</v>
      </c>
      <c r="G2287">
        <v>-441.41489999999999</v>
      </c>
      <c r="H2287" s="1">
        <v>-7.7035089999999899E-7</v>
      </c>
      <c r="I2287">
        <v>214.30789999999999</v>
      </c>
      <c r="J2287">
        <v>-459.68720000000002</v>
      </c>
      <c r="K2287">
        <v>1.109964</v>
      </c>
      <c r="L2287">
        <v>214.91470000000001</v>
      </c>
      <c r="M2287">
        <v>0.99841610000000003</v>
      </c>
      <c r="N2287">
        <v>-9.0559239999999999E-3</v>
      </c>
      <c r="O2287">
        <v>-5.552559E-2</v>
      </c>
      <c r="P2287">
        <v>0.98986779999999996</v>
      </c>
      <c r="Q2287">
        <v>0.14170969999999999</v>
      </c>
      <c r="R2287">
        <v>-8.9435279999999992E-3</v>
      </c>
      <c r="S2287">
        <v>3.0563959999999999</v>
      </c>
      <c r="T2287">
        <v>-0.18346309999999999</v>
      </c>
      <c r="U2287">
        <v>-0.1022797</v>
      </c>
      <c r="V2287">
        <v>-4.6063430000000002E-2</v>
      </c>
      <c r="W2287">
        <v>0.15065010000000001</v>
      </c>
      <c r="X2287">
        <v>0.98751339999999999</v>
      </c>
      <c r="Y2287">
        <v>-2.1985649999999999E-2</v>
      </c>
      <c r="Z2287">
        <v>3.5831209999999999E-3</v>
      </c>
      <c r="AA2287">
        <v>0.99975190000000003</v>
      </c>
      <c r="AB2287">
        <v>22</v>
      </c>
      <c r="AC2287">
        <v>18.272300000000001</v>
      </c>
      <c r="AD2287">
        <v>-1.1099647703508999</v>
      </c>
      <c r="AE2287">
        <v>-0.60680000000002099</v>
      </c>
      <c r="AF2287">
        <v>-0.40725700679993998</v>
      </c>
      <c r="AG2287">
        <v>-1.1099647703508999</v>
      </c>
      <c r="AH2287">
        <v>18.210678423984</v>
      </c>
      <c r="AI2287">
        <v>93.487068253081702</v>
      </c>
      <c r="AJ2287">
        <v>91.281128480978694</v>
      </c>
      <c r="AK2287">
        <v>18.249018842742299</v>
      </c>
      <c r="AL2287">
        <v>81.335397358854806</v>
      </c>
      <c r="AM2287">
        <v>92.670676101910203</v>
      </c>
      <c r="AN2287">
        <v>1.00000000369646</v>
      </c>
    </row>
    <row r="2288" spans="1:40" x14ac:dyDescent="0.25">
      <c r="A2288" t="str">
        <f>"20190304155410523"</f>
        <v>20190304155410523</v>
      </c>
      <c r="B2288" t="str">
        <f>"1551686050519336"</f>
        <v>1551686050519336</v>
      </c>
      <c r="C2288" t="s">
        <v>40</v>
      </c>
      <c r="D2288">
        <v>4.4437110000000004</v>
      </c>
      <c r="E2288">
        <v>0.50642959999999904</v>
      </c>
      <c r="F2288" t="s">
        <v>63</v>
      </c>
      <c r="G2288">
        <v>-440.47329999999999</v>
      </c>
      <c r="H2288" s="1">
        <v>-1.2726150000000001E-6</v>
      </c>
      <c r="I2288">
        <v>214.33519999999999</v>
      </c>
      <c r="J2288">
        <v>-459.47669999999999</v>
      </c>
      <c r="K2288">
        <v>1.1099779999999999</v>
      </c>
      <c r="L2288">
        <v>214.9032</v>
      </c>
      <c r="M2288">
        <v>0.99842690000000001</v>
      </c>
      <c r="N2288">
        <v>-9.02822E-3</v>
      </c>
      <c r="O2288">
        <v>-5.5340300000000002E-2</v>
      </c>
      <c r="P2288">
        <v>0.9899348</v>
      </c>
      <c r="Q2288">
        <v>0.14125270000000001</v>
      </c>
      <c r="R2288">
        <v>-8.7729279999999993E-3</v>
      </c>
      <c r="S2288">
        <v>3.055145</v>
      </c>
      <c r="T2288">
        <v>-0.1764927</v>
      </c>
      <c r="U2288">
        <v>-9.2132569999999997E-2</v>
      </c>
      <c r="V2288">
        <v>-4.6064059999999997E-2</v>
      </c>
      <c r="W2288">
        <v>0.1501632</v>
      </c>
      <c r="X2288">
        <v>0.98758749999999995</v>
      </c>
      <c r="Y2288">
        <v>-2.510691E-2</v>
      </c>
      <c r="Z2288">
        <v>3.530114E-3</v>
      </c>
      <c r="AA2288">
        <v>0.99967859999999997</v>
      </c>
      <c r="AB2288">
        <v>22</v>
      </c>
      <c r="AC2288">
        <v>19.003399999999999</v>
      </c>
      <c r="AD2288">
        <v>-1.109979272615</v>
      </c>
      <c r="AE2288">
        <v>-0.56800000000001205</v>
      </c>
      <c r="AF2288">
        <v>-0.48292094924213502</v>
      </c>
      <c r="AG2288">
        <v>-1.109979272615</v>
      </c>
      <c r="AH2288">
        <v>18.941147187042599</v>
      </c>
      <c r="AI2288">
        <v>93.352694891080304</v>
      </c>
      <c r="AJ2288">
        <v>91.460489109279706</v>
      </c>
      <c r="AK2288">
        <v>18.979787232476099</v>
      </c>
      <c r="AL2288">
        <v>81.363615449108593</v>
      </c>
      <c r="AM2288">
        <v>92.670512478304502</v>
      </c>
      <c r="AN2288">
        <v>0.999999977207086</v>
      </c>
    </row>
    <row r="2289" spans="1:40" x14ac:dyDescent="0.25">
      <c r="A2289" t="str">
        <f>"20190304155410546"</f>
        <v>20190304155410546</v>
      </c>
      <c r="B2289" t="str">
        <f>"1551686050538859"</f>
        <v>1551686050538859</v>
      </c>
      <c r="C2289" t="s">
        <v>40</v>
      </c>
      <c r="D2289">
        <v>4.4591459999999996</v>
      </c>
      <c r="E2289">
        <v>0.50568619999999997</v>
      </c>
      <c r="F2289" t="s">
        <v>65</v>
      </c>
      <c r="G2289">
        <v>-439.90750000000003</v>
      </c>
      <c r="H2289" s="1">
        <v>6.6340199999999899E-6</v>
      </c>
      <c r="I2289">
        <v>214.3477</v>
      </c>
      <c r="J2289">
        <v>-459.24619999999999</v>
      </c>
      <c r="K2289">
        <v>1.109999</v>
      </c>
      <c r="L2289">
        <v>214.89070000000001</v>
      </c>
      <c r="M2289">
        <v>0.99844180000000005</v>
      </c>
      <c r="N2289">
        <v>-8.9789280000000006E-3</v>
      </c>
      <c r="O2289">
        <v>-5.5079009999999998E-2</v>
      </c>
      <c r="P2289">
        <v>0.98987360000000002</v>
      </c>
      <c r="Q2289">
        <v>0.14171110000000001</v>
      </c>
      <c r="R2289">
        <v>-8.281287E-3</v>
      </c>
      <c r="S2289">
        <v>3.0544739999999999</v>
      </c>
      <c r="T2289">
        <v>-0.1732503</v>
      </c>
      <c r="U2289">
        <v>-8.6700440000000004E-2</v>
      </c>
      <c r="V2289">
        <v>-4.630604E-2</v>
      </c>
      <c r="W2289">
        <v>0.15056810000000001</v>
      </c>
      <c r="X2289">
        <v>0.98751460000000002</v>
      </c>
      <c r="Y2289">
        <v>-2.6616730000000002E-2</v>
      </c>
      <c r="Z2289">
        <v>3.4984769999999998E-3</v>
      </c>
      <c r="AA2289">
        <v>0.99963959999999996</v>
      </c>
      <c r="AB2289">
        <v>22</v>
      </c>
      <c r="AC2289">
        <v>19.3386999999999</v>
      </c>
      <c r="AD2289">
        <v>-1.10999236598</v>
      </c>
      <c r="AE2289">
        <v>-0.54300000000000603</v>
      </c>
      <c r="AF2289">
        <v>-0.52130746811433504</v>
      </c>
      <c r="AG2289">
        <v>-1.10999236598</v>
      </c>
      <c r="AH2289">
        <v>19.275797091365899</v>
      </c>
      <c r="AI2289">
        <v>93.294522736446993</v>
      </c>
      <c r="AJ2289">
        <v>91.549167521970901</v>
      </c>
      <c r="AK2289">
        <v>19.314766321039301</v>
      </c>
      <c r="AL2289">
        <v>81.340150170847394</v>
      </c>
      <c r="AM2289">
        <v>92.684718416275899</v>
      </c>
      <c r="AN2289">
        <v>1.00000004364562</v>
      </c>
    </row>
    <row r="2290" spans="1:40" x14ac:dyDescent="0.25">
      <c r="A2290" t="str">
        <f>"20190304155410569"</f>
        <v>20190304155410569</v>
      </c>
      <c r="B2290" t="str">
        <f>"1551686050559353"</f>
        <v>1551686050559353</v>
      </c>
      <c r="C2290" t="s">
        <v>40</v>
      </c>
      <c r="D2290">
        <v>4.4125269999999999</v>
      </c>
      <c r="E2290">
        <v>0.50516549999999905</v>
      </c>
      <c r="F2290" t="s">
        <v>65</v>
      </c>
      <c r="G2290">
        <v>-439.01519999999999</v>
      </c>
      <c r="H2290" s="1">
        <v>6.2369109999999996E-6</v>
      </c>
      <c r="I2290">
        <v>214.364</v>
      </c>
      <c r="J2290">
        <v>-459.02280000000002</v>
      </c>
      <c r="K2290">
        <v>1.110017</v>
      </c>
      <c r="L2290">
        <v>214.87860000000001</v>
      </c>
      <c r="M2290">
        <v>0.99845890000000004</v>
      </c>
      <c r="N2290">
        <v>-8.9261830000000007E-3</v>
      </c>
      <c r="O2290">
        <v>-5.4776610000000003E-2</v>
      </c>
      <c r="P2290">
        <v>0.98986090000000004</v>
      </c>
      <c r="Q2290">
        <v>0.1418558</v>
      </c>
      <c r="R2290">
        <v>-7.2587369999999899E-3</v>
      </c>
      <c r="S2290">
        <v>3.0540470000000002</v>
      </c>
      <c r="T2290">
        <v>-0.16756309999999999</v>
      </c>
      <c r="U2290">
        <v>-7.9498289999999999E-2</v>
      </c>
      <c r="V2290">
        <v>-4.7039980000000002E-2</v>
      </c>
      <c r="W2290">
        <v>0.15065619999999999</v>
      </c>
      <c r="X2290">
        <v>0.98746639999999997</v>
      </c>
      <c r="Y2290">
        <v>-2.8669920000000002E-2</v>
      </c>
      <c r="Z2290">
        <v>3.4259730000000001E-3</v>
      </c>
      <c r="AA2290">
        <v>0.99958309999999995</v>
      </c>
      <c r="AB2290">
        <v>22</v>
      </c>
      <c r="AC2290">
        <v>20.0076</v>
      </c>
      <c r="AD2290">
        <v>-1.1100107630889999</v>
      </c>
      <c r="AE2290">
        <v>-0.51460000000000095</v>
      </c>
      <c r="AF2290">
        <v>-0.58037944000195696</v>
      </c>
      <c r="AG2290">
        <v>-1.1100107630889999</v>
      </c>
      <c r="AH2290">
        <v>19.9444003716672</v>
      </c>
      <c r="AI2290">
        <v>93.184179957987595</v>
      </c>
      <c r="AJ2290">
        <v>91.666829298073694</v>
      </c>
      <c r="AK2290">
        <v>19.983695113114301</v>
      </c>
      <c r="AL2290">
        <v>81.335043531631797</v>
      </c>
      <c r="AM2290">
        <v>92.727339756867195</v>
      </c>
      <c r="AN2290">
        <v>0.99999997072289903</v>
      </c>
    </row>
    <row r="2291" spans="1:40" x14ac:dyDescent="0.25">
      <c r="A2291" t="str">
        <f>"20190304155410613"</f>
        <v>20190304155410613</v>
      </c>
      <c r="B2291" t="str">
        <f>"1551686050609128"</f>
        <v>1551686050609128</v>
      </c>
      <c r="C2291" t="s">
        <v>40</v>
      </c>
      <c r="D2291">
        <v>4.4797279999999997</v>
      </c>
      <c r="E2291">
        <v>0.5047661</v>
      </c>
      <c r="F2291" t="s">
        <v>65</v>
      </c>
      <c r="G2291">
        <v>-438.20699999999999</v>
      </c>
      <c r="H2291" s="1">
        <v>5.8767150000000002E-6</v>
      </c>
      <c r="I2291">
        <v>214.3843</v>
      </c>
      <c r="J2291">
        <v>-458.59100000000001</v>
      </c>
      <c r="K2291">
        <v>1.11007099999999</v>
      </c>
      <c r="L2291">
        <v>214.85579999999999</v>
      </c>
      <c r="M2291">
        <v>0.99849949999999998</v>
      </c>
      <c r="N2291">
        <v>-8.8222779999999994E-3</v>
      </c>
      <c r="O2291">
        <v>-5.4046589999999999E-2</v>
      </c>
      <c r="P2291">
        <v>0.98983290000000002</v>
      </c>
      <c r="Q2291">
        <v>0.1420797</v>
      </c>
      <c r="R2291">
        <v>-6.6412040000000004E-3</v>
      </c>
      <c r="S2291">
        <v>3.053528</v>
      </c>
      <c r="T2291">
        <v>-0.16283010000000001</v>
      </c>
      <c r="U2291">
        <v>-7.2509770000000001E-2</v>
      </c>
      <c r="V2291">
        <v>-4.6955810000000001E-2</v>
      </c>
      <c r="W2291">
        <v>0.15076989999999901</v>
      </c>
      <c r="X2291">
        <v>0.98745309999999997</v>
      </c>
      <c r="Y2291">
        <v>-3.022524E-2</v>
      </c>
      <c r="Z2291">
        <v>3.340015E-3</v>
      </c>
      <c r="AA2291">
        <v>0.99953749999999997</v>
      </c>
      <c r="AB2291">
        <v>22</v>
      </c>
      <c r="AC2291">
        <v>20.384</v>
      </c>
      <c r="AD2291">
        <v>-1.1100651232849901</v>
      </c>
      <c r="AE2291">
        <v>-0.47149999999999098</v>
      </c>
      <c r="AF2291">
        <v>-0.62905314642113197</v>
      </c>
      <c r="AG2291">
        <v>-1.1100651232849901</v>
      </c>
      <c r="AH2291">
        <v>20.319460755622998</v>
      </c>
      <c r="AI2291">
        <v>93.125502242634198</v>
      </c>
      <c r="AJ2291">
        <v>91.773205651947094</v>
      </c>
      <c r="AK2291">
        <v>20.359480293913698</v>
      </c>
      <c r="AL2291">
        <v>81.328454140740106</v>
      </c>
      <c r="AM2291">
        <v>92.7225036111859</v>
      </c>
      <c r="AN2291">
        <v>1.0000000177691799</v>
      </c>
    </row>
    <row r="2292" spans="1:40" x14ac:dyDescent="0.25">
      <c r="A2292" t="str">
        <f>"20190304155410637"</f>
        <v>20190304155410637</v>
      </c>
      <c r="B2292" t="str">
        <f>"1551686050628648"</f>
        <v>1551686050628648</v>
      </c>
      <c r="C2292" t="s">
        <v>40</v>
      </c>
      <c r="D2292">
        <v>4.4343339999999998</v>
      </c>
      <c r="E2292">
        <v>0.50475379999999903</v>
      </c>
      <c r="F2292" t="s">
        <v>65</v>
      </c>
      <c r="G2292">
        <v>-436.63479999999998</v>
      </c>
      <c r="H2292" s="1">
        <v>5.1803369999999997E-6</v>
      </c>
      <c r="I2292">
        <v>214.3749</v>
      </c>
      <c r="J2292">
        <v>-458.35399999999998</v>
      </c>
      <c r="K2292">
        <v>1.110098</v>
      </c>
      <c r="L2292">
        <v>214.84350000000001</v>
      </c>
      <c r="M2292">
        <v>0.99852600000000002</v>
      </c>
      <c r="N2292">
        <v>-8.7618030000000003E-3</v>
      </c>
      <c r="O2292">
        <v>-5.3562859999999997E-2</v>
      </c>
      <c r="P2292">
        <v>0.98978069999999896</v>
      </c>
      <c r="Q2292">
        <v>0.1424589</v>
      </c>
      <c r="R2292">
        <v>-6.3054180000000001E-3</v>
      </c>
      <c r="S2292">
        <v>3.052521</v>
      </c>
      <c r="T2292">
        <v>-0.15432979999999999</v>
      </c>
      <c r="U2292">
        <v>-6.6864010000000001E-2</v>
      </c>
      <c r="V2292">
        <v>-4.6822160000000002E-2</v>
      </c>
      <c r="W2292">
        <v>0.1510852</v>
      </c>
      <c r="X2292">
        <v>0.98741129999999999</v>
      </c>
      <c r="Y2292">
        <v>-3.1590260000000002E-2</v>
      </c>
      <c r="Z2292">
        <v>3.1718509999999998E-3</v>
      </c>
      <c r="AA2292">
        <v>0.99949589999999999</v>
      </c>
      <c r="AB2292">
        <v>22</v>
      </c>
      <c r="AC2292">
        <v>21.719200000000001</v>
      </c>
      <c r="AD2292">
        <v>-1.110092819663</v>
      </c>
      <c r="AE2292">
        <v>-0.46860000000000901</v>
      </c>
      <c r="AF2292">
        <v>-0.69364869965560805</v>
      </c>
      <c r="AG2292">
        <v>-1.110092819663</v>
      </c>
      <c r="AH2292">
        <v>21.656571602820701</v>
      </c>
      <c r="AI2292">
        <v>92.932851141405607</v>
      </c>
      <c r="AJ2292">
        <v>91.834526783757795</v>
      </c>
      <c r="AK2292">
        <v>21.6960952287479</v>
      </c>
      <c r="AL2292">
        <v>81.310179845371593</v>
      </c>
      <c r="AM2292">
        <v>92.714880928979596</v>
      </c>
      <c r="AN2292">
        <v>1.00000006384689</v>
      </c>
    </row>
    <row r="2293" spans="1:40" x14ac:dyDescent="0.25">
      <c r="A2293" t="str">
        <f>"20190304155410656"</f>
        <v>20190304155410656</v>
      </c>
      <c r="B2293" t="str">
        <f>"1551686050649145"</f>
        <v>1551686050649145</v>
      </c>
      <c r="C2293" t="s">
        <v>40</v>
      </c>
      <c r="D2293">
        <v>4.4665739999999996</v>
      </c>
      <c r="E2293">
        <v>0.50451849999999998</v>
      </c>
      <c r="F2293" t="s">
        <v>65</v>
      </c>
      <c r="G2293">
        <v>-435.96230000000003</v>
      </c>
      <c r="H2293" s="1">
        <v>4.8835650000000002E-6</v>
      </c>
      <c r="I2293">
        <v>214.35849999999999</v>
      </c>
      <c r="J2293">
        <v>-458.15359999999998</v>
      </c>
      <c r="K2293">
        <v>1.1101240000000001</v>
      </c>
      <c r="L2293">
        <v>214.83320000000001</v>
      </c>
      <c r="M2293">
        <v>0.99855099999999997</v>
      </c>
      <c r="N2293">
        <v>-8.7119680000000005E-3</v>
      </c>
      <c r="O2293">
        <v>-5.3104739999999998E-2</v>
      </c>
      <c r="P2293">
        <v>0.98970190000000002</v>
      </c>
      <c r="Q2293">
        <v>0.143014</v>
      </c>
      <c r="R2293">
        <v>-6.1175569999999896E-3</v>
      </c>
      <c r="S2293">
        <v>3.0523380000000002</v>
      </c>
      <c r="T2293">
        <v>-0.15132279999999901</v>
      </c>
      <c r="U2293">
        <v>-6.6116330000000001E-2</v>
      </c>
      <c r="V2293">
        <v>-4.6563340000000002E-2</v>
      </c>
      <c r="W2293">
        <v>0.15158720000000001</v>
      </c>
      <c r="X2293">
        <v>0.98734650000000002</v>
      </c>
      <c r="Y2293">
        <v>-3.1379539999999997E-2</v>
      </c>
      <c r="Z2293">
        <v>3.0809689999999998E-3</v>
      </c>
      <c r="AA2293">
        <v>0.99950280000000002</v>
      </c>
      <c r="AB2293">
        <v>22</v>
      </c>
      <c r="AC2293">
        <v>22.191299999999899</v>
      </c>
      <c r="AD2293">
        <v>-1.1101191164349999</v>
      </c>
      <c r="AE2293">
        <v>-0.474700000000012</v>
      </c>
      <c r="AF2293">
        <v>-0.70272000188043005</v>
      </c>
      <c r="AG2293">
        <v>-1.1101191164349999</v>
      </c>
      <c r="AH2293">
        <v>22.1298397749053</v>
      </c>
      <c r="AI2293">
        <v>92.8703282793619</v>
      </c>
      <c r="AJ2293">
        <v>91.818782510391699</v>
      </c>
      <c r="AK2293">
        <v>22.168806650713002</v>
      </c>
      <c r="AL2293">
        <v>81.2810813823899</v>
      </c>
      <c r="AM2293">
        <v>92.7000730155372</v>
      </c>
      <c r="AN2293">
        <v>0.99999996744902198</v>
      </c>
    </row>
    <row r="2294" spans="1:40" x14ac:dyDescent="0.25">
      <c r="A2294" t="str">
        <f>"20190304155410678"</f>
        <v>20190304155410678</v>
      </c>
      <c r="B2294" t="str">
        <f>"1551686050668665"</f>
        <v>1551686050668665</v>
      </c>
      <c r="C2294" t="s">
        <v>40</v>
      </c>
      <c r="D2294">
        <v>4.4799899999999999</v>
      </c>
      <c r="E2294">
        <v>0.50400420000000001</v>
      </c>
      <c r="F2294" t="s">
        <v>65</v>
      </c>
      <c r="G2294">
        <v>-435.33519999999999</v>
      </c>
      <c r="H2294" s="1">
        <v>4.6058229999999996E-6</v>
      </c>
      <c r="I2294">
        <v>214.35419999999999</v>
      </c>
      <c r="J2294">
        <v>-457.93470000000002</v>
      </c>
      <c r="K2294">
        <v>1.1101540000000001</v>
      </c>
      <c r="L2294">
        <v>214.82220000000001</v>
      </c>
      <c r="M2294">
        <v>0.99858089999999999</v>
      </c>
      <c r="N2294">
        <v>-8.6625350000000007E-3</v>
      </c>
      <c r="O2294">
        <v>-5.2548810000000001E-2</v>
      </c>
      <c r="P2294">
        <v>0.98968160000000005</v>
      </c>
      <c r="Q2294">
        <v>0.14318449999999999</v>
      </c>
      <c r="R2294">
        <v>-5.3502080000000004E-3</v>
      </c>
      <c r="S2294">
        <v>3.0523380000000002</v>
      </c>
      <c r="T2294">
        <v>-0.14849660000000001</v>
      </c>
      <c r="U2294">
        <v>-6.4071660000000002E-2</v>
      </c>
      <c r="V2294">
        <v>-4.6792250000000001E-2</v>
      </c>
      <c r="W2294">
        <v>0.15170410000000001</v>
      </c>
      <c r="X2294">
        <v>0.98731769999999996</v>
      </c>
      <c r="Y2294">
        <v>-3.1496040000000003E-2</v>
      </c>
      <c r="Z2294">
        <v>3.0004519999999998E-3</v>
      </c>
      <c r="AA2294">
        <v>0.99949940000000004</v>
      </c>
      <c r="AB2294">
        <v>22</v>
      </c>
      <c r="AC2294">
        <v>22.599499999999999</v>
      </c>
      <c r="AD2294">
        <v>-1.110149394177</v>
      </c>
      <c r="AE2294">
        <v>-0.46800000000001701</v>
      </c>
      <c r="AF2294">
        <v>-0.718534799399138</v>
      </c>
      <c r="AG2294">
        <v>-1.110149394177</v>
      </c>
      <c r="AH2294">
        <v>22.5385038978545</v>
      </c>
      <c r="AI2294">
        <v>92.818434167910496</v>
      </c>
      <c r="AJ2294">
        <v>91.825989545733506</v>
      </c>
      <c r="AK2294">
        <v>22.577264712292799</v>
      </c>
      <c r="AL2294">
        <v>81.2743049374767</v>
      </c>
      <c r="AM2294">
        <v>92.713406083441598</v>
      </c>
      <c r="AN2294">
        <v>0.99999994467507902</v>
      </c>
    </row>
    <row r="2295" spans="1:40" x14ac:dyDescent="0.25">
      <c r="A2295" t="str">
        <f>"20190304155410700"</f>
        <v>20190304155410700</v>
      </c>
      <c r="B2295" t="str">
        <f>"1551686050689161"</f>
        <v>1551686050689161</v>
      </c>
      <c r="C2295" t="s">
        <v>40</v>
      </c>
      <c r="D2295">
        <v>4.44916</v>
      </c>
      <c r="E2295">
        <v>0.50352819999999998</v>
      </c>
      <c r="F2295" t="s">
        <v>65</v>
      </c>
      <c r="G2295">
        <v>-434.9477</v>
      </c>
      <c r="H2295" s="1">
        <v>4.4311940000000003E-6</v>
      </c>
      <c r="I2295">
        <v>214.3862</v>
      </c>
      <c r="J2295">
        <v>-457.71319999999997</v>
      </c>
      <c r="K2295">
        <v>1.1101909999999999</v>
      </c>
      <c r="L2295">
        <v>214.81120000000001</v>
      </c>
      <c r="M2295">
        <v>0.99861369999999905</v>
      </c>
      <c r="N2295">
        <v>-8.6183749999999993E-3</v>
      </c>
      <c r="O2295">
        <v>-5.1929110000000001E-2</v>
      </c>
      <c r="P2295">
        <v>0.98964909999999995</v>
      </c>
      <c r="Q2295">
        <v>0.14344689999999999</v>
      </c>
      <c r="R2295">
        <v>-4.2352509999999998E-3</v>
      </c>
      <c r="S2295">
        <v>3.0523380000000002</v>
      </c>
      <c r="T2295">
        <v>-0.14741170000000001</v>
      </c>
      <c r="U2295">
        <v>-5.7891850000000002E-2</v>
      </c>
      <c r="V2295">
        <v>-4.7305720000000002E-2</v>
      </c>
      <c r="W2295">
        <v>0.1519171</v>
      </c>
      <c r="X2295">
        <v>0.98726049999999999</v>
      </c>
      <c r="Y2295">
        <v>-3.2898339999999998E-2</v>
      </c>
      <c r="Z2295">
        <v>2.9933059999999998E-3</v>
      </c>
      <c r="AA2295">
        <v>0.99945419999999996</v>
      </c>
      <c r="AB2295">
        <v>22</v>
      </c>
      <c r="AC2295">
        <v>22.7654999999999</v>
      </c>
      <c r="AD2295">
        <v>-1.110186568806</v>
      </c>
      <c r="AE2295">
        <v>-0.42500000000001098</v>
      </c>
      <c r="AF2295">
        <v>-0.75601211117584499</v>
      </c>
      <c r="AG2295">
        <v>-1.110186568806</v>
      </c>
      <c r="AH2295">
        <v>22.702880762926998</v>
      </c>
      <c r="AI2295">
        <v>92.798024662090995</v>
      </c>
      <c r="AJ2295">
        <v>91.907260275067699</v>
      </c>
      <c r="AK2295">
        <v>22.742578206207899</v>
      </c>
      <c r="AL2295">
        <v>81.261958012425794</v>
      </c>
      <c r="AM2295">
        <v>92.743294825461106</v>
      </c>
      <c r="AN2295">
        <v>0.99999996563868798</v>
      </c>
    </row>
    <row r="2296" spans="1:40" x14ac:dyDescent="0.25">
      <c r="A2296" t="str">
        <f>"20190304155410724"</f>
        <v>20190304155410724</v>
      </c>
      <c r="B2296" t="str">
        <f>"1551686050719417"</f>
        <v>1551686050719417</v>
      </c>
      <c r="C2296" t="s">
        <v>40</v>
      </c>
      <c r="D2296">
        <v>4.4780569999999997</v>
      </c>
      <c r="E2296">
        <v>0.50287919999999997</v>
      </c>
      <c r="F2296" t="s">
        <v>65</v>
      </c>
      <c r="G2296">
        <v>-434.95069999999998</v>
      </c>
      <c r="H2296" s="1">
        <v>4.4286679999999996E-6</v>
      </c>
      <c r="I2296">
        <v>214.43039999999999</v>
      </c>
      <c r="J2296">
        <v>-457.49059999999997</v>
      </c>
      <c r="K2296">
        <v>1.1102289999999999</v>
      </c>
      <c r="L2296">
        <v>214.8004</v>
      </c>
      <c r="M2296">
        <v>0.99864909999999996</v>
      </c>
      <c r="N2296">
        <v>-8.5791510000000001E-3</v>
      </c>
      <c r="O2296">
        <v>-5.1249000000000003E-2</v>
      </c>
      <c r="P2296">
        <v>0.98968339999999999</v>
      </c>
      <c r="Q2296">
        <v>0.14324029999999999</v>
      </c>
      <c r="R2296">
        <v>-2.9975039999999998E-3</v>
      </c>
      <c r="S2296">
        <v>3.0527340000000001</v>
      </c>
      <c r="T2296">
        <v>-0.14888999999999999</v>
      </c>
      <c r="U2296">
        <v>-5.1071169999999999E-2</v>
      </c>
      <c r="V2296">
        <v>-4.788473E-2</v>
      </c>
      <c r="W2296">
        <v>0.15166640000000001</v>
      </c>
      <c r="X2296">
        <v>0.98727120000000002</v>
      </c>
      <c r="Y2296">
        <v>-3.4448949999999999E-2</v>
      </c>
      <c r="Z2296">
        <v>3.0445899999999998E-3</v>
      </c>
      <c r="AA2296">
        <v>0.99940180000000001</v>
      </c>
      <c r="AB2296">
        <v>22</v>
      </c>
      <c r="AC2296">
        <v>22.5398999999999</v>
      </c>
      <c r="AD2296">
        <v>-1.110224571332</v>
      </c>
      <c r="AE2296">
        <v>-0.37000000000000399</v>
      </c>
      <c r="AF2296">
        <v>-0.78377500445316906</v>
      </c>
      <c r="AG2296">
        <v>-1.110224571332</v>
      </c>
      <c r="AH2296">
        <v>22.474728733142602</v>
      </c>
      <c r="AI2296">
        <v>92.826328393713695</v>
      </c>
      <c r="AJ2296">
        <v>91.997301449821293</v>
      </c>
      <c r="AK2296">
        <v>22.515779655271501</v>
      </c>
      <c r="AL2296">
        <v>81.276491054541296</v>
      </c>
      <c r="AM2296">
        <v>92.776789773223499</v>
      </c>
      <c r="AN2296">
        <v>1.0000000333027801</v>
      </c>
    </row>
    <row r="2297" spans="1:40" x14ac:dyDescent="0.25">
      <c r="A2297" t="str">
        <f>"20190304155410746"</f>
        <v>20190304155410746</v>
      </c>
      <c r="B2297" t="str">
        <f>"1551686050738937"</f>
        <v>1551686050738937</v>
      </c>
      <c r="C2297" t="s">
        <v>40</v>
      </c>
      <c r="D2297">
        <v>4.4738619999999996</v>
      </c>
      <c r="E2297">
        <v>0.50243629999999995</v>
      </c>
      <c r="F2297" t="s">
        <v>65</v>
      </c>
      <c r="G2297">
        <v>-434.97070000000002</v>
      </c>
      <c r="H2297" s="1">
        <v>4.4326160000000002E-6</v>
      </c>
      <c r="I2297">
        <v>214.48689999999999</v>
      </c>
      <c r="J2297">
        <v>-457.25580000000002</v>
      </c>
      <c r="K2297">
        <v>1.1102590000000001</v>
      </c>
      <c r="L2297">
        <v>214.78919999999999</v>
      </c>
      <c r="M2297">
        <v>0.99868860000000004</v>
      </c>
      <c r="N2297">
        <v>-8.5425540000000008E-3</v>
      </c>
      <c r="O2297">
        <v>-5.0477500000000002E-2</v>
      </c>
      <c r="P2297">
        <v>0.98973420000000001</v>
      </c>
      <c r="Q2297">
        <v>0.14290919999999999</v>
      </c>
      <c r="R2297">
        <v>-1.8344800000000001E-3</v>
      </c>
      <c r="S2297">
        <v>3.0528870000000001</v>
      </c>
      <c r="T2297">
        <v>-0.15050649999999999</v>
      </c>
      <c r="U2297">
        <v>-4.2495730000000002E-2</v>
      </c>
      <c r="V2297">
        <v>-4.8298960000000002E-2</v>
      </c>
      <c r="W2297">
        <v>0.15129500000000001</v>
      </c>
      <c r="X2297">
        <v>0.98730799999999996</v>
      </c>
      <c r="Y2297">
        <v>-3.6479890000000001E-2</v>
      </c>
      <c r="Z2297">
        <v>3.1093039999999998E-3</v>
      </c>
      <c r="AA2297">
        <v>0.99932960000000004</v>
      </c>
      <c r="AB2297">
        <v>22</v>
      </c>
      <c r="AC2297">
        <v>22.2851</v>
      </c>
      <c r="AD2297">
        <v>-1.1102545673840001</v>
      </c>
      <c r="AE2297">
        <v>-0.30230000000000201</v>
      </c>
      <c r="AF2297">
        <v>-0.82098527729973003</v>
      </c>
      <c r="AG2297">
        <v>-1.1102545673840001</v>
      </c>
      <c r="AH2297">
        <v>22.216814956931199</v>
      </c>
      <c r="AI2297">
        <v>92.858949160886993</v>
      </c>
      <c r="AJ2297">
        <v>92.116306847161098</v>
      </c>
      <c r="AK2297">
        <v>22.259684383666801</v>
      </c>
      <c r="AL2297">
        <v>81.298019078092693</v>
      </c>
      <c r="AM2297">
        <v>92.800668264692305</v>
      </c>
      <c r="AN2297">
        <v>1.00000002671304</v>
      </c>
    </row>
    <row r="2298" spans="1:40" x14ac:dyDescent="0.25">
      <c r="A2298" t="str">
        <f>"20190304155410769"</f>
        <v>20190304155410769</v>
      </c>
      <c r="B2298" t="str">
        <f>"1551686050759432"</f>
        <v>1551686050759432</v>
      </c>
      <c r="C2298" t="s">
        <v>40</v>
      </c>
      <c r="D2298">
        <v>4.4387150000000002</v>
      </c>
      <c r="E2298">
        <v>0.50226029999999999</v>
      </c>
      <c r="F2298" t="s">
        <v>65</v>
      </c>
      <c r="G2298">
        <v>-434.80079999999998</v>
      </c>
      <c r="H2298" s="1">
        <v>4.353688E-6</v>
      </c>
      <c r="I2298">
        <v>214.52799999999999</v>
      </c>
      <c r="J2298">
        <v>-457.03160000000003</v>
      </c>
      <c r="K2298">
        <v>1.110285</v>
      </c>
      <c r="L2298">
        <v>214.77869999999999</v>
      </c>
      <c r="M2298">
        <v>0.99872799999999995</v>
      </c>
      <c r="N2298">
        <v>-8.5120490000000007E-3</v>
      </c>
      <c r="O2298">
        <v>-4.970231E-2</v>
      </c>
      <c r="P2298">
        <v>0.98956379999999999</v>
      </c>
      <c r="Q2298">
        <v>0.14409749999999999</v>
      </c>
      <c r="R2298" s="1">
        <v>-9.8148359999999994E-5</v>
      </c>
      <c r="S2298">
        <v>3.0528870000000001</v>
      </c>
      <c r="T2298">
        <v>-0.15094589999999999</v>
      </c>
      <c r="U2298">
        <v>-3.5507200000000003E-2</v>
      </c>
      <c r="V2298">
        <v>-4.9267930000000001E-2</v>
      </c>
      <c r="W2298">
        <v>0.15244679999999999</v>
      </c>
      <c r="X2298">
        <v>0.98708289999999999</v>
      </c>
      <c r="Y2298">
        <v>-3.7989259999999997E-2</v>
      </c>
      <c r="Z2298">
        <v>3.1323000000000002E-3</v>
      </c>
      <c r="AA2298">
        <v>0.99927319999999997</v>
      </c>
      <c r="AB2298">
        <v>23</v>
      </c>
      <c r="AC2298">
        <v>22.230799999999999</v>
      </c>
      <c r="AD2298">
        <v>-1.1102806463120001</v>
      </c>
      <c r="AE2298">
        <v>-0.25069999999999398</v>
      </c>
      <c r="AF2298">
        <v>-0.85244577756766104</v>
      </c>
      <c r="AG2298">
        <v>-1.1102806463120001</v>
      </c>
      <c r="AH2298">
        <v>22.160514475889698</v>
      </c>
      <c r="AI2298">
        <v>92.866104570170904</v>
      </c>
      <c r="AJ2298">
        <v>92.202903567458094</v>
      </c>
      <c r="AK2298">
        <v>22.2046794337001</v>
      </c>
      <c r="AL2298">
        <v>81.231251109467195</v>
      </c>
      <c r="AM2298">
        <v>92.857413286234106</v>
      </c>
      <c r="AN2298">
        <v>1.00000000361456</v>
      </c>
    </row>
    <row r="2299" spans="1:40" x14ac:dyDescent="0.25">
      <c r="A2299" t="str">
        <f>"20190304155410791"</f>
        <v>20190304155410791</v>
      </c>
      <c r="B2299" t="str">
        <f>"1551686050788713"</f>
        <v>1551686050788713</v>
      </c>
      <c r="C2299" t="s">
        <v>40</v>
      </c>
      <c r="D2299">
        <v>4.4141279999999998</v>
      </c>
      <c r="E2299">
        <v>0.50174490000000005</v>
      </c>
      <c r="F2299" t="s">
        <v>65</v>
      </c>
      <c r="G2299">
        <v>-434.18529999999998</v>
      </c>
      <c r="H2299" s="1">
        <v>4.0778049999999997E-6</v>
      </c>
      <c r="I2299">
        <v>214.5615</v>
      </c>
      <c r="J2299">
        <v>-456.80579999999998</v>
      </c>
      <c r="K2299">
        <v>1.110306</v>
      </c>
      <c r="L2299">
        <v>214.76840000000001</v>
      </c>
      <c r="M2299">
        <v>0.99876830000000005</v>
      </c>
      <c r="N2299">
        <v>-8.4853040000000008E-3</v>
      </c>
      <c r="O2299">
        <v>-4.8887630000000001E-2</v>
      </c>
      <c r="P2299">
        <v>0.9893419</v>
      </c>
      <c r="Q2299">
        <v>0.1456026</v>
      </c>
      <c r="R2299">
        <v>1.780291E-3</v>
      </c>
      <c r="S2299">
        <v>3.0531920000000001</v>
      </c>
      <c r="T2299">
        <v>-0.1483785</v>
      </c>
      <c r="U2299">
        <v>-2.9022220000000001E-2</v>
      </c>
      <c r="V2299">
        <v>-5.0336480000000003E-2</v>
      </c>
      <c r="W2299">
        <v>0.15391930000000001</v>
      </c>
      <c r="X2299">
        <v>0.98680040000000002</v>
      </c>
      <c r="Y2299">
        <v>-3.9299699999999903E-2</v>
      </c>
      <c r="Z2299">
        <v>3.0799709999999999E-3</v>
      </c>
      <c r="AA2299">
        <v>0.99922270000000002</v>
      </c>
      <c r="AB2299">
        <v>23</v>
      </c>
      <c r="AC2299">
        <v>22.6205</v>
      </c>
      <c r="AD2299">
        <v>-1.1103019221949999</v>
      </c>
      <c r="AE2299">
        <v>-0.20690000000001799</v>
      </c>
      <c r="AF2299">
        <v>-0.897088684123303</v>
      </c>
      <c r="AG2299">
        <v>-1.1103019221949999</v>
      </c>
      <c r="AH2299">
        <v>22.549243886029</v>
      </c>
      <c r="AI2299">
        <v>92.816684922748195</v>
      </c>
      <c r="AJ2299">
        <v>92.278227345995006</v>
      </c>
      <c r="AK2299">
        <v>22.594378466716702</v>
      </c>
      <c r="AL2299">
        <v>81.145875155087694</v>
      </c>
      <c r="AM2299">
        <v>92.920114656172998</v>
      </c>
      <c r="AN2299">
        <v>0.99999997078571901</v>
      </c>
    </row>
    <row r="2300" spans="1:40" x14ac:dyDescent="0.25">
      <c r="A2300" t="str">
        <f>"20190304155410815"</f>
        <v>20190304155410815</v>
      </c>
      <c r="B2300" t="str">
        <f>"1551686050809208"</f>
        <v>1551686050809208</v>
      </c>
      <c r="C2300" t="s">
        <v>40</v>
      </c>
      <c r="D2300">
        <v>4.3995499999999996</v>
      </c>
      <c r="E2300">
        <v>0.50146290000000004</v>
      </c>
      <c r="F2300" t="s">
        <v>65</v>
      </c>
      <c r="G2300">
        <v>-433.01609999999999</v>
      </c>
      <c r="H2300" s="1">
        <v>3.5546229999999998E-6</v>
      </c>
      <c r="I2300">
        <v>214.6147</v>
      </c>
      <c r="J2300">
        <v>-456.57409999999999</v>
      </c>
      <c r="K2300">
        <v>1.110325</v>
      </c>
      <c r="L2300">
        <v>214.75800000000001</v>
      </c>
      <c r="M2300">
        <v>0.99881039999999999</v>
      </c>
      <c r="N2300">
        <v>-8.4619280000000005E-3</v>
      </c>
      <c r="O2300">
        <v>-4.8024839999999999E-2</v>
      </c>
      <c r="P2300">
        <v>0.98921990000000004</v>
      </c>
      <c r="Q2300">
        <v>0.1463882</v>
      </c>
      <c r="R2300">
        <v>3.8510250000000001E-3</v>
      </c>
      <c r="S2300">
        <v>3.0533450000000002</v>
      </c>
      <c r="T2300">
        <v>-0.1425043</v>
      </c>
      <c r="U2300">
        <v>-1.9729610000000002E-2</v>
      </c>
      <c r="V2300">
        <v>-5.1551800000000002E-2</v>
      </c>
      <c r="W2300">
        <v>0.15467739999999999</v>
      </c>
      <c r="X2300">
        <v>0.98661909999999997</v>
      </c>
      <c r="Y2300">
        <v>-4.1483159999999998E-2</v>
      </c>
      <c r="Z2300">
        <v>2.9762159999999998E-3</v>
      </c>
      <c r="AA2300">
        <v>0.99913479999999999</v>
      </c>
      <c r="AB2300">
        <v>23</v>
      </c>
      <c r="AC2300">
        <v>23.558</v>
      </c>
      <c r="AD2300">
        <v>-1.1103214453770001</v>
      </c>
      <c r="AE2300">
        <v>-0.143299999999982</v>
      </c>
      <c r="AF2300">
        <v>-0.98608455605830503</v>
      </c>
      <c r="AG2300">
        <v>-1.1103214453770001</v>
      </c>
      <c r="AH2300">
        <v>23.4855295820017</v>
      </c>
      <c r="AI2300">
        <v>92.704368375042804</v>
      </c>
      <c r="AJ2300">
        <v>92.404259942072201</v>
      </c>
      <c r="AK2300">
        <v>23.532430308211602</v>
      </c>
      <c r="AL2300">
        <v>81.101912710465797</v>
      </c>
      <c r="AM2300">
        <v>92.991039736263303</v>
      </c>
      <c r="AN2300">
        <v>0.99999996731940399</v>
      </c>
    </row>
    <row r="2301" spans="1:40" x14ac:dyDescent="0.25">
      <c r="A2301" t="str">
        <f>"20190304155410857"</f>
        <v>20190304155410857</v>
      </c>
      <c r="B2301" t="str">
        <f>"1551686050849225"</f>
        <v>1551686050849225</v>
      </c>
      <c r="C2301" t="s">
        <v>40</v>
      </c>
      <c r="D2301">
        <v>4.3621489999999996</v>
      </c>
      <c r="E2301">
        <v>0.50113209999999997</v>
      </c>
      <c r="F2301" t="s">
        <v>65</v>
      </c>
      <c r="G2301">
        <v>-432.21629999999999</v>
      </c>
      <c r="H2301" s="1">
        <v>3.1955909999999999E-6</v>
      </c>
      <c r="I2301">
        <v>214.66489999999999</v>
      </c>
      <c r="J2301">
        <v>-456.14</v>
      </c>
      <c r="K2301">
        <v>1.1103449999999999</v>
      </c>
      <c r="L2301">
        <v>214.73910000000001</v>
      </c>
      <c r="M2301">
        <v>0.99888889999999997</v>
      </c>
      <c r="N2301">
        <v>-8.4273769999999998E-3</v>
      </c>
      <c r="O2301">
        <v>-4.6370710000000002E-2</v>
      </c>
      <c r="P2301">
        <v>0.98879329999999999</v>
      </c>
      <c r="Q2301">
        <v>0.14911259999999901</v>
      </c>
      <c r="R2301">
        <v>7.3256349999999996E-3</v>
      </c>
      <c r="S2301">
        <v>3.053375</v>
      </c>
      <c r="T2301">
        <v>-0.13918469999999999</v>
      </c>
      <c r="U2301">
        <v>-1.167297E-2</v>
      </c>
      <c r="V2301">
        <v>-5.3375829999999999E-2</v>
      </c>
      <c r="W2301">
        <v>0.15735879999999999</v>
      </c>
      <c r="X2301">
        <v>0.98609800000000003</v>
      </c>
      <c r="Y2301">
        <v>-4.2468970000000002E-2</v>
      </c>
      <c r="Z2301">
        <v>2.8678089999999998E-3</v>
      </c>
      <c r="AA2301">
        <v>0.99909369999999997</v>
      </c>
      <c r="AB2301">
        <v>23</v>
      </c>
      <c r="AC2301">
        <v>23.9237</v>
      </c>
      <c r="AD2301">
        <v>-1.1103418044089901</v>
      </c>
      <c r="AE2301">
        <v>-7.4200000000018904E-2</v>
      </c>
      <c r="AF2301">
        <v>-1.0330527773503899</v>
      </c>
      <c r="AG2301">
        <v>-1.1103418044089901</v>
      </c>
      <c r="AH2301">
        <v>23.850030513262102</v>
      </c>
      <c r="AI2301">
        <v>92.662995828062805</v>
      </c>
      <c r="AJ2301">
        <v>92.480189264537998</v>
      </c>
      <c r="AK2301">
        <v>23.898201029511402</v>
      </c>
      <c r="AL2301">
        <v>80.946375534218106</v>
      </c>
      <c r="AM2301">
        <v>93.098300880956799</v>
      </c>
      <c r="AN2301">
        <v>1.0000000183848099</v>
      </c>
    </row>
    <row r="2302" spans="1:40" x14ac:dyDescent="0.25">
      <c r="A2302" t="str">
        <f>"20190304155410878"</f>
        <v>20190304155410878</v>
      </c>
      <c r="B2302" t="str">
        <f>"1551686050868746"</f>
        <v>1551686050868746</v>
      </c>
      <c r="C2302" t="s">
        <v>40</v>
      </c>
      <c r="D2302">
        <v>4.3430299999999997</v>
      </c>
      <c r="E2302">
        <v>0.50104519999999997</v>
      </c>
      <c r="F2302" t="s">
        <v>65</v>
      </c>
      <c r="G2302">
        <v>-429.86349999999999</v>
      </c>
      <c r="H2302" s="1">
        <v>2.2036859999999998E-6</v>
      </c>
      <c r="I2302">
        <v>214.7456</v>
      </c>
      <c r="J2302">
        <v>-455.91640000000001</v>
      </c>
      <c r="K2302">
        <v>1.110352</v>
      </c>
      <c r="L2302">
        <v>214.72970000000001</v>
      </c>
      <c r="M2302">
        <v>0.99892820000000004</v>
      </c>
      <c r="N2302">
        <v>-8.4133750000000007E-3</v>
      </c>
      <c r="O2302">
        <v>-4.5514609999999997E-2</v>
      </c>
      <c r="P2302">
        <v>0.98854450000000005</v>
      </c>
      <c r="Q2302">
        <v>0.1506789</v>
      </c>
      <c r="R2302">
        <v>8.7000559999999994E-3</v>
      </c>
      <c r="S2302">
        <v>3.0534970000000001</v>
      </c>
      <c r="T2302">
        <v>-0.1290288</v>
      </c>
      <c r="U2302">
        <v>7.4768070000000005E-4</v>
      </c>
      <c r="V2302">
        <v>-5.3894549999999999E-2</v>
      </c>
      <c r="W2302">
        <v>0.15890839999999901</v>
      </c>
      <c r="X2302">
        <v>0.98582119999999995</v>
      </c>
      <c r="Y2302">
        <v>-4.5685910000000003E-2</v>
      </c>
      <c r="Z2302">
        <v>2.6961300000000001E-3</v>
      </c>
      <c r="AA2302">
        <v>0.99895219999999996</v>
      </c>
      <c r="AB2302">
        <v>23</v>
      </c>
      <c r="AC2302">
        <v>26.052900000000001</v>
      </c>
      <c r="AD2302">
        <v>-1.1103497963140001</v>
      </c>
      <c r="AE2302">
        <v>1.5899999999987799E-2</v>
      </c>
      <c r="AF2302">
        <v>-1.1995343123953299</v>
      </c>
      <c r="AG2302">
        <v>-1.1103497963140001</v>
      </c>
      <c r="AH2302">
        <v>25.977989090896902</v>
      </c>
      <c r="AI2302">
        <v>92.444841615801593</v>
      </c>
      <c r="AJ2302">
        <v>92.6437562086914</v>
      </c>
      <c r="AK2302">
        <v>26.029361813988999</v>
      </c>
      <c r="AL2302">
        <v>80.856458182942404</v>
      </c>
      <c r="AM2302">
        <v>93.129228080412304</v>
      </c>
      <c r="AN2302">
        <v>0.99999997023984999</v>
      </c>
    </row>
    <row r="2303" spans="1:40" x14ac:dyDescent="0.25">
      <c r="A2303" t="str">
        <f>"20190304155410900"</f>
        <v>20190304155410900</v>
      </c>
      <c r="B2303" t="str">
        <f>"1551686050899002"</f>
        <v>1551686050899002</v>
      </c>
      <c r="C2303" t="s">
        <v>40</v>
      </c>
      <c r="D2303">
        <v>4.3121219999999996</v>
      </c>
      <c r="E2303">
        <v>0.50100559999999905</v>
      </c>
      <c r="F2303" t="s">
        <v>65</v>
      </c>
      <c r="G2303">
        <v>-428.43430000000001</v>
      </c>
      <c r="H2303" s="1">
        <v>2.454003E-6</v>
      </c>
      <c r="I2303">
        <v>214.78200000000001</v>
      </c>
      <c r="J2303">
        <v>-455.6859</v>
      </c>
      <c r="K2303">
        <v>1.110358</v>
      </c>
      <c r="L2303">
        <v>214.72020000000001</v>
      </c>
      <c r="M2303">
        <v>0.99896810000000003</v>
      </c>
      <c r="N2303">
        <v>-8.4013990000000004E-3</v>
      </c>
      <c r="O2303">
        <v>-4.4634819999999999E-2</v>
      </c>
      <c r="P2303">
        <v>0.98837019999999998</v>
      </c>
      <c r="Q2303">
        <v>0.15173639999999999</v>
      </c>
      <c r="R2303">
        <v>1.004188E-2</v>
      </c>
      <c r="S2303">
        <v>3.053528</v>
      </c>
      <c r="T2303">
        <v>-0.12337089999999901</v>
      </c>
      <c r="U2303">
        <v>5.813599E-3</v>
      </c>
      <c r="V2303">
        <v>-5.43591E-2</v>
      </c>
      <c r="W2303">
        <v>0.15995139999999999</v>
      </c>
      <c r="X2303">
        <v>0.98562700000000003</v>
      </c>
      <c r="Y2303">
        <v>-4.6469679999999999E-2</v>
      </c>
      <c r="Z2303">
        <v>2.560905E-3</v>
      </c>
      <c r="AA2303">
        <v>0.99891640000000004</v>
      </c>
      <c r="AB2303">
        <v>23</v>
      </c>
      <c r="AC2303">
        <v>27.2516</v>
      </c>
      <c r="AD2303">
        <v>-1.110355545997</v>
      </c>
      <c r="AE2303">
        <v>6.1800000000005101E-2</v>
      </c>
      <c r="AF2303">
        <v>-1.2760331640931799</v>
      </c>
      <c r="AG2303">
        <v>-1.110355545997</v>
      </c>
      <c r="AH2303">
        <v>27.176563596868998</v>
      </c>
      <c r="AI2303">
        <v>92.3370661532593</v>
      </c>
      <c r="AJ2303">
        <v>92.688259603798699</v>
      </c>
      <c r="AK2303">
        <v>27.229152741300201</v>
      </c>
      <c r="AL2303">
        <v>80.795924429932896</v>
      </c>
      <c r="AM2303">
        <v>93.156767111845397</v>
      </c>
      <c r="AN2303">
        <v>0.999999972621884</v>
      </c>
    </row>
    <row r="2304" spans="1:40" x14ac:dyDescent="0.25">
      <c r="A2304" t="str">
        <f>"20190304155410923"</f>
        <v>20190304155410923</v>
      </c>
      <c r="B2304" t="str">
        <f>"1551686050918522"</f>
        <v>1551686050918522</v>
      </c>
      <c r="C2304" t="s">
        <v>40</v>
      </c>
      <c r="D2304">
        <v>4.2984019999999896</v>
      </c>
      <c r="E2304">
        <v>0.50099609999999895</v>
      </c>
      <c r="F2304" t="s">
        <v>65</v>
      </c>
      <c r="G2304">
        <v>-427.18389999999999</v>
      </c>
      <c r="H2304" s="1">
        <v>2.6731089999999999E-6</v>
      </c>
      <c r="I2304">
        <v>214.81290000000001</v>
      </c>
      <c r="J2304">
        <v>-455.46199999999999</v>
      </c>
      <c r="K2304">
        <v>1.11036</v>
      </c>
      <c r="L2304">
        <v>214.71119999999999</v>
      </c>
      <c r="M2304">
        <v>0.9990057</v>
      </c>
      <c r="N2304">
        <v>-8.3921009999999904E-3</v>
      </c>
      <c r="O2304">
        <v>-4.3783780000000001E-2</v>
      </c>
      <c r="P2304">
        <v>0.98813320000000004</v>
      </c>
      <c r="Q2304">
        <v>0.153192299999999</v>
      </c>
      <c r="R2304">
        <v>1.1160939999999999E-2</v>
      </c>
      <c r="S2304">
        <v>3.053436</v>
      </c>
      <c r="T2304">
        <v>-0.11895310000000001</v>
      </c>
      <c r="U2304">
        <v>9.9334720000000005E-3</v>
      </c>
      <c r="V2304">
        <v>-5.4627120000000001E-2</v>
      </c>
      <c r="W2304">
        <v>0.16139589999999901</v>
      </c>
      <c r="X2304">
        <v>0.98537669999999999</v>
      </c>
      <c r="Y2304">
        <v>-4.6971430000000002E-2</v>
      </c>
      <c r="Z2304">
        <v>2.449021E-3</v>
      </c>
      <c r="AA2304">
        <v>0.99889320000000004</v>
      </c>
      <c r="AB2304">
        <v>23</v>
      </c>
      <c r="AC2304">
        <v>28.278099999999899</v>
      </c>
      <c r="AD2304">
        <v>-1.1103573268909901</v>
      </c>
      <c r="AE2304">
        <v>0.101700000000022</v>
      </c>
      <c r="AF2304">
        <v>-1.3377058440879599</v>
      </c>
      <c r="AG2304">
        <v>-1.1103573268909901</v>
      </c>
      <c r="AH2304">
        <v>28.203044686704299</v>
      </c>
      <c r="AI2304">
        <v>92.252048265605097</v>
      </c>
      <c r="AJ2304">
        <v>92.715575597646307</v>
      </c>
      <c r="AK2304">
        <v>28.256575870386801</v>
      </c>
      <c r="AL2304">
        <v>80.712071465562403</v>
      </c>
      <c r="AM2304">
        <v>93.173104146929504</v>
      </c>
      <c r="AN2304">
        <v>0.99999999983959698</v>
      </c>
    </row>
    <row r="2305" spans="1:40" x14ac:dyDescent="0.25">
      <c r="A2305" t="str">
        <f>"20190304155410946"</f>
        <v>20190304155410946</v>
      </c>
      <c r="B2305" t="str">
        <f>"1551686050939017"</f>
        <v>1551686050939017</v>
      </c>
      <c r="C2305" t="s">
        <v>40</v>
      </c>
      <c r="D2305">
        <v>4.3122800000000003</v>
      </c>
      <c r="E2305">
        <v>0.501027</v>
      </c>
      <c r="F2305" t="s">
        <v>65</v>
      </c>
      <c r="G2305">
        <v>-425.71510000000001</v>
      </c>
      <c r="H2305" s="1">
        <v>2.9315720000000001E-6</v>
      </c>
      <c r="I2305">
        <v>214.83680000000001</v>
      </c>
      <c r="J2305">
        <v>-455.21730000000002</v>
      </c>
      <c r="K2305">
        <v>1.1103529999999999</v>
      </c>
      <c r="L2305">
        <v>214.70150000000001</v>
      </c>
      <c r="M2305">
        <v>0.99904599999999999</v>
      </c>
      <c r="N2305">
        <v>-8.3837159999999994E-3</v>
      </c>
      <c r="O2305">
        <v>-4.2858849999999997E-2</v>
      </c>
      <c r="P2305">
        <v>0.98800750000000004</v>
      </c>
      <c r="Q2305">
        <v>0.1538668</v>
      </c>
      <c r="R2305">
        <v>1.290267E-2</v>
      </c>
      <c r="S2305">
        <v>3.0535890000000001</v>
      </c>
      <c r="T2305">
        <v>-0.1139807</v>
      </c>
      <c r="U2305">
        <v>1.2893679999999999E-2</v>
      </c>
      <c r="V2305">
        <v>-5.544843E-2</v>
      </c>
      <c r="W2305">
        <v>0.16206029999999999</v>
      </c>
      <c r="X2305">
        <v>0.98522169999999998</v>
      </c>
      <c r="Y2305">
        <v>-4.7020480000000003E-2</v>
      </c>
      <c r="Z2305">
        <v>2.3140330000000001E-3</v>
      </c>
      <c r="AA2305">
        <v>0.99889119999999998</v>
      </c>
      <c r="AB2305">
        <v>23</v>
      </c>
      <c r="AC2305">
        <v>29.502199999999998</v>
      </c>
      <c r="AD2305">
        <v>-1.1103500684280001</v>
      </c>
      <c r="AE2305">
        <v>0.1353</v>
      </c>
      <c r="AF2305">
        <v>-1.3976706894120099</v>
      </c>
      <c r="AG2305">
        <v>-1.1103500684280001</v>
      </c>
      <c r="AH2305">
        <v>29.427607821283299</v>
      </c>
      <c r="AI2305">
        <v>92.1584043171503</v>
      </c>
      <c r="AJ2305">
        <v>92.719232168694504</v>
      </c>
      <c r="AK2305">
        <v>29.481697079947001</v>
      </c>
      <c r="AL2305">
        <v>80.673495698390397</v>
      </c>
      <c r="AM2305">
        <v>93.221217199539893</v>
      </c>
      <c r="AN2305">
        <v>0.99999993368822004</v>
      </c>
    </row>
    <row r="2306" spans="1:40" x14ac:dyDescent="0.25">
      <c r="A2306" t="str">
        <f>"20190304155410968"</f>
        <v>20190304155410968</v>
      </c>
      <c r="B2306" t="str">
        <f>"1551686050958537"</f>
        <v>1551686050958537</v>
      </c>
      <c r="C2306" t="s">
        <v>40</v>
      </c>
      <c r="D2306">
        <v>4.2941140000000004</v>
      </c>
      <c r="E2306">
        <v>0.50096010000000002</v>
      </c>
      <c r="F2306" t="s">
        <v>65</v>
      </c>
      <c r="G2306">
        <v>-424.82979999999998</v>
      </c>
      <c r="H2306" s="1">
        <v>3.085033E-6</v>
      </c>
      <c r="I2306">
        <v>214.8777</v>
      </c>
      <c r="J2306">
        <v>-455.00069999999999</v>
      </c>
      <c r="K2306">
        <v>1.1103479999999999</v>
      </c>
      <c r="L2306">
        <v>214.69309999999999</v>
      </c>
      <c r="M2306">
        <v>0.99908070000000004</v>
      </c>
      <c r="N2306">
        <v>-8.3778989999999994E-3</v>
      </c>
      <c r="O2306">
        <v>-4.2044060000000001E-2</v>
      </c>
      <c r="P2306">
        <v>0.98785000000000001</v>
      </c>
      <c r="Q2306">
        <v>0.15476300000000001</v>
      </c>
      <c r="R2306">
        <v>1.418141E-2</v>
      </c>
      <c r="S2306">
        <v>3.053528</v>
      </c>
      <c r="T2306">
        <v>-0.11157499999999999</v>
      </c>
      <c r="U2306">
        <v>1.7700199999999999E-2</v>
      </c>
      <c r="V2306">
        <v>-5.5915079999999999E-2</v>
      </c>
      <c r="W2306">
        <v>0.16294910000000001</v>
      </c>
      <c r="X2306">
        <v>0.98504879999999995</v>
      </c>
      <c r="Y2306">
        <v>-4.7780389999999999E-2</v>
      </c>
      <c r="Z2306">
        <v>2.2561180000000001E-3</v>
      </c>
      <c r="AA2306">
        <v>0.9988553</v>
      </c>
      <c r="AB2306">
        <v>23</v>
      </c>
      <c r="AC2306">
        <v>30.1709</v>
      </c>
      <c r="AD2306">
        <v>-1.1103449149669999</v>
      </c>
      <c r="AE2306">
        <v>0.184600000000017</v>
      </c>
      <c r="AF2306">
        <v>-1.4510231627241701</v>
      </c>
      <c r="AG2306">
        <v>-1.1103449149669999</v>
      </c>
      <c r="AH2306">
        <v>30.0956987651962</v>
      </c>
      <c r="AI2306">
        <v>92.110451857310807</v>
      </c>
      <c r="AJ2306">
        <v>92.760300543726402</v>
      </c>
      <c r="AK2306">
        <v>30.151109734376</v>
      </c>
      <c r="AL2306">
        <v>80.621886019857598</v>
      </c>
      <c r="AM2306">
        <v>93.248837851128599</v>
      </c>
      <c r="AN2306">
        <v>1.0000000218718199</v>
      </c>
    </row>
    <row r="2307" spans="1:40" x14ac:dyDescent="0.25">
      <c r="A2307" t="str">
        <f>"20190304155410990"</f>
        <v>20190304155410990</v>
      </c>
      <c r="B2307" t="str">
        <f>"1551686050988793"</f>
        <v>1551686050988793</v>
      </c>
      <c r="C2307" t="s">
        <v>40</v>
      </c>
      <c r="D2307">
        <v>4.260955</v>
      </c>
      <c r="E2307">
        <v>0.50101379999999995</v>
      </c>
      <c r="F2307" t="s">
        <v>65</v>
      </c>
      <c r="G2307">
        <v>-423.7122</v>
      </c>
      <c r="H2307" s="1">
        <v>3.2795239999999999E-6</v>
      </c>
      <c r="I2307">
        <v>214.9205</v>
      </c>
      <c r="J2307">
        <v>-454.75689999999997</v>
      </c>
      <c r="K2307">
        <v>1.110344</v>
      </c>
      <c r="L2307">
        <v>214.68389999999999</v>
      </c>
      <c r="M2307">
        <v>0.99911890000000003</v>
      </c>
      <c r="N2307">
        <v>-8.3726479999999999E-3</v>
      </c>
      <c r="O2307">
        <v>-4.1129850000000003E-2</v>
      </c>
      <c r="P2307">
        <v>0.98782599999999998</v>
      </c>
      <c r="Q2307">
        <v>0.15483440000000001</v>
      </c>
      <c r="R2307">
        <v>1.504869E-2</v>
      </c>
      <c r="S2307">
        <v>3.0535580000000002</v>
      </c>
      <c r="T2307">
        <v>-0.1083626</v>
      </c>
      <c r="U2307">
        <v>2.2186279999999999E-2</v>
      </c>
      <c r="V2307">
        <v>-5.5877820000000002E-2</v>
      </c>
      <c r="W2307">
        <v>0.1630154</v>
      </c>
      <c r="X2307">
        <v>0.98503989999999997</v>
      </c>
      <c r="Y2307">
        <v>-4.8336869999999997E-2</v>
      </c>
      <c r="Z2307">
        <v>2.1743399999999999E-3</v>
      </c>
      <c r="AA2307">
        <v>0.99882870000000001</v>
      </c>
      <c r="AB2307">
        <v>23</v>
      </c>
      <c r="AC2307">
        <v>31.044699999999899</v>
      </c>
      <c r="AD2307">
        <v>-1.1103407204760001</v>
      </c>
      <c r="AE2307">
        <v>0.236600000000009</v>
      </c>
      <c r="AF2307">
        <v>-1.5113749357242401</v>
      </c>
      <c r="AG2307">
        <v>-1.1103407204760001</v>
      </c>
      <c r="AH2307">
        <v>30.969083507475101</v>
      </c>
      <c r="AI2307">
        <v>92.050918668103904</v>
      </c>
      <c r="AJ2307">
        <v>92.793972089485095</v>
      </c>
      <c r="AK2307">
        <v>31.0258157669521</v>
      </c>
      <c r="AL2307">
        <v>80.618035413525405</v>
      </c>
      <c r="AM2307">
        <v>93.246706835089995</v>
      </c>
      <c r="AN2307">
        <v>0.99999997799856</v>
      </c>
    </row>
    <row r="2308" spans="1:40" x14ac:dyDescent="0.25">
      <c r="A2308" t="str">
        <f>"20190304155411016"</f>
        <v>20190304155411016</v>
      </c>
      <c r="B2308" t="str">
        <f>"1551686051009289"</f>
        <v>1551686051009289</v>
      </c>
      <c r="C2308" t="s">
        <v>40</v>
      </c>
      <c r="D2308">
        <v>4.2723339999999999</v>
      </c>
      <c r="E2308">
        <v>0.5010637</v>
      </c>
      <c r="F2308" t="s">
        <v>65</v>
      </c>
      <c r="G2308">
        <v>-423.30700000000002</v>
      </c>
      <c r="H2308" s="1">
        <v>3.3499319999999999E-6</v>
      </c>
      <c r="I2308">
        <v>214.93729999999999</v>
      </c>
      <c r="J2308">
        <v>-454.50049999999999</v>
      </c>
      <c r="K2308">
        <v>1.1103430000000001</v>
      </c>
      <c r="L2308">
        <v>214.67449999999999</v>
      </c>
      <c r="M2308">
        <v>0.99915779999999998</v>
      </c>
      <c r="N2308">
        <v>-8.3686630000000001E-3</v>
      </c>
      <c r="O2308">
        <v>-4.0172010000000001E-2</v>
      </c>
      <c r="P2308">
        <v>0.98775760000000001</v>
      </c>
      <c r="Q2308">
        <v>0.15511259999999999</v>
      </c>
      <c r="R2308">
        <v>1.6594899999999999E-2</v>
      </c>
      <c r="S2308">
        <v>3.0534970000000001</v>
      </c>
      <c r="T2308">
        <v>-0.10780389999999999</v>
      </c>
      <c r="U2308">
        <v>2.4597170000000002E-2</v>
      </c>
      <c r="V2308">
        <v>-5.6475039999999997E-2</v>
      </c>
      <c r="W2308">
        <v>0.163288299999999</v>
      </c>
      <c r="X2308">
        <v>0.98496070000000002</v>
      </c>
      <c r="Y2308">
        <v>-4.8169080000000003E-2</v>
      </c>
      <c r="Z2308">
        <v>2.1330889999999999E-3</v>
      </c>
      <c r="AA2308">
        <v>0.99883690000000003</v>
      </c>
      <c r="AB2308">
        <v>23</v>
      </c>
      <c r="AC2308">
        <v>31.1935</v>
      </c>
      <c r="AD2308">
        <v>-1.1103396500680001</v>
      </c>
      <c r="AE2308">
        <v>0.26279999999999798</v>
      </c>
      <c r="AF2308">
        <v>-1.5138193366447401</v>
      </c>
      <c r="AG2308">
        <v>-1.1103396500680001</v>
      </c>
      <c r="AH2308">
        <v>31.1183358608092</v>
      </c>
      <c r="AI2308">
        <v>92.041103672492298</v>
      </c>
      <c r="AJ2308">
        <v>92.785082566592493</v>
      </c>
      <c r="AK2308">
        <v>31.1749150739603</v>
      </c>
      <c r="AL2308">
        <v>80.602187628167499</v>
      </c>
      <c r="AM2308">
        <v>93.281595360143896</v>
      </c>
      <c r="AN2308">
        <v>1.00000003980219</v>
      </c>
    </row>
    <row r="2309" spans="1:40" x14ac:dyDescent="0.25">
      <c r="A2309" t="str">
        <f>"20190304155411059"</f>
        <v>20190304155411059</v>
      </c>
      <c r="B2309" t="str">
        <f>"1551686051049306"</f>
        <v>1551686051049306</v>
      </c>
      <c r="C2309" t="s">
        <v>40</v>
      </c>
      <c r="D2309">
        <v>4.2434019999999997</v>
      </c>
      <c r="E2309">
        <v>0.50125850000000005</v>
      </c>
      <c r="F2309" t="s">
        <v>65</v>
      </c>
      <c r="G2309">
        <v>-422.73090000000002</v>
      </c>
      <c r="H2309" s="1">
        <v>3.448703E-6</v>
      </c>
      <c r="I2309">
        <v>214.97640000000001</v>
      </c>
      <c r="J2309">
        <v>-454.048</v>
      </c>
      <c r="K2309">
        <v>1.1103499999999999</v>
      </c>
      <c r="L2309">
        <v>214.6583</v>
      </c>
      <c r="M2309">
        <v>0.99922420000000001</v>
      </c>
      <c r="N2309">
        <v>-8.364682E-3</v>
      </c>
      <c r="O2309">
        <v>-3.848472E-2</v>
      </c>
      <c r="P2309">
        <v>0.98738190000000003</v>
      </c>
      <c r="Q2309">
        <v>0.1572469</v>
      </c>
      <c r="R2309">
        <v>1.8733840000000002E-2</v>
      </c>
      <c r="S2309">
        <v>3.0534970000000001</v>
      </c>
      <c r="T2309">
        <v>-0.10671890000000001</v>
      </c>
      <c r="U2309">
        <v>2.9022220000000001E-2</v>
      </c>
      <c r="V2309">
        <v>-5.6935520000000003E-2</v>
      </c>
      <c r="W2309">
        <v>0.16541429999999999</v>
      </c>
      <c r="X2309">
        <v>0.98457930000000005</v>
      </c>
      <c r="Y2309">
        <v>-4.7931590000000003E-2</v>
      </c>
      <c r="Z2309">
        <v>2.060395E-3</v>
      </c>
      <c r="AA2309">
        <v>0.99884850000000003</v>
      </c>
      <c r="AB2309">
        <v>23</v>
      </c>
      <c r="AC2309">
        <v>31.3170999999999</v>
      </c>
      <c r="AD2309">
        <v>-1.1103465512970001</v>
      </c>
      <c r="AE2309">
        <v>0.31810000000001498</v>
      </c>
      <c r="AF2309">
        <v>-1.52122423180442</v>
      </c>
      <c r="AG2309">
        <v>-1.1103465512970001</v>
      </c>
      <c r="AH2309">
        <v>31.242386576916999</v>
      </c>
      <c r="AI2309">
        <v>92.033014400219997</v>
      </c>
      <c r="AJ2309">
        <v>92.787589413164994</v>
      </c>
      <c r="AK2309">
        <v>31.2991008121469</v>
      </c>
      <c r="AL2309">
        <v>80.478696885398193</v>
      </c>
      <c r="AM2309">
        <v>93.309571977806399</v>
      </c>
      <c r="AN2309">
        <v>0.99999997103532401</v>
      </c>
    </row>
    <row r="2310" spans="1:40" x14ac:dyDescent="0.25">
      <c r="A2310" t="str">
        <f>"20190304155411080"</f>
        <v>20190304155411080</v>
      </c>
      <c r="B2310" t="str">
        <f>"1551686051068826"</f>
        <v>1551686051068826</v>
      </c>
      <c r="C2310" t="s">
        <v>40</v>
      </c>
      <c r="D2310">
        <v>4.2445279999999999</v>
      </c>
      <c r="E2310">
        <v>0.50141729999999995</v>
      </c>
      <c r="F2310" t="s">
        <v>65</v>
      </c>
      <c r="G2310">
        <v>-419.94450000000001</v>
      </c>
      <c r="H2310" s="1">
        <v>3.93342E-6</v>
      </c>
      <c r="I2310">
        <v>215.03190000000001</v>
      </c>
      <c r="J2310">
        <v>-453.82839999999999</v>
      </c>
      <c r="K2310">
        <v>1.110357</v>
      </c>
      <c r="L2310">
        <v>214.6508</v>
      </c>
      <c r="M2310">
        <v>0.99925549999999996</v>
      </c>
      <c r="N2310">
        <v>-8.3639419999999992E-3</v>
      </c>
      <c r="O2310">
        <v>-3.7665990000000003E-2</v>
      </c>
      <c r="P2310">
        <v>0.98724800000000001</v>
      </c>
      <c r="Q2310">
        <v>0.1580078</v>
      </c>
      <c r="R2310">
        <v>1.9366069999999999E-2</v>
      </c>
      <c r="S2310">
        <v>3.0535580000000002</v>
      </c>
      <c r="T2310">
        <v>-9.9418400000000004E-2</v>
      </c>
      <c r="U2310">
        <v>3.3447270000000001E-2</v>
      </c>
      <c r="V2310">
        <v>-5.6756340000000002E-2</v>
      </c>
      <c r="W2310">
        <v>0.16617370000000001</v>
      </c>
      <c r="X2310">
        <v>0.98446180000000005</v>
      </c>
      <c r="Y2310">
        <v>-4.85668E-2</v>
      </c>
      <c r="Z2310">
        <v>1.904385E-3</v>
      </c>
      <c r="AA2310">
        <v>0.99881810000000004</v>
      </c>
      <c r="AB2310">
        <v>23</v>
      </c>
      <c r="AC2310">
        <v>33.883899999999898</v>
      </c>
      <c r="AD2310">
        <v>-1.1103530665799899</v>
      </c>
      <c r="AE2310">
        <v>0.38110000000000299</v>
      </c>
      <c r="AF2310">
        <v>-1.6553673200338199</v>
      </c>
      <c r="AG2310">
        <v>-1.1103530665799899</v>
      </c>
      <c r="AH2310">
        <v>33.809198055160401</v>
      </c>
      <c r="AI2310">
        <v>91.878768303592494</v>
      </c>
      <c r="AJ2310">
        <v>92.803079775980507</v>
      </c>
      <c r="AK2310">
        <v>33.867905131994299</v>
      </c>
      <c r="AL2310">
        <v>80.434576209488498</v>
      </c>
      <c r="AM2310">
        <v>93.299572472618607</v>
      </c>
      <c r="AN2310">
        <v>1.00000000818056</v>
      </c>
    </row>
    <row r="2311" spans="1:40" x14ac:dyDescent="0.25">
      <c r="A2311" t="str">
        <f>"20190304155411103"</f>
        <v>20190304155411103</v>
      </c>
      <c r="B2311" t="str">
        <f>"1551686051099081"</f>
        <v>1551686051099081</v>
      </c>
      <c r="C2311" t="s">
        <v>40</v>
      </c>
      <c r="D2311">
        <v>4.2038949999999904</v>
      </c>
      <c r="E2311">
        <v>0.50169640000000004</v>
      </c>
      <c r="F2311" t="s">
        <v>65</v>
      </c>
      <c r="G2311">
        <v>-418.6893</v>
      </c>
      <c r="H2311" s="1">
        <v>3.7100710000000001E-6</v>
      </c>
      <c r="I2311">
        <v>215.03970000000001</v>
      </c>
      <c r="J2311">
        <v>-453.58460000000002</v>
      </c>
      <c r="K2311">
        <v>1.110363</v>
      </c>
      <c r="L2311">
        <v>214.64269999999999</v>
      </c>
      <c r="M2311">
        <v>0.99928919999999999</v>
      </c>
      <c r="N2311">
        <v>-8.3638749999999998E-3</v>
      </c>
      <c r="O2311">
        <v>-3.6756770000000001E-2</v>
      </c>
      <c r="P2311">
        <v>0.98712279999999997</v>
      </c>
      <c r="Q2311">
        <v>0.1587247</v>
      </c>
      <c r="R2311">
        <v>1.9889469999999999E-2</v>
      </c>
      <c r="S2311">
        <v>3.0535580000000002</v>
      </c>
      <c r="T2311">
        <v>-9.6488710000000005E-2</v>
      </c>
      <c r="U2311">
        <v>3.3798219999999997E-2</v>
      </c>
      <c r="V2311">
        <v>-5.6379520000000002E-2</v>
      </c>
      <c r="W2311">
        <v>0.1668898</v>
      </c>
      <c r="X2311">
        <v>0.98436230000000002</v>
      </c>
      <c r="Y2311">
        <v>-4.777605E-2</v>
      </c>
      <c r="Z2311">
        <v>1.8080920000000001E-3</v>
      </c>
      <c r="AA2311">
        <v>0.99885639999999998</v>
      </c>
      <c r="AB2311">
        <v>23</v>
      </c>
      <c r="AC2311">
        <v>34.895299999999999</v>
      </c>
      <c r="AD2311">
        <v>-1.110359289929</v>
      </c>
      <c r="AE2311">
        <v>0.397000000000019</v>
      </c>
      <c r="AF2311">
        <v>-1.67771667712697</v>
      </c>
      <c r="AG2311">
        <v>-1.110359289929</v>
      </c>
      <c r="AH2311">
        <v>34.8218721741707</v>
      </c>
      <c r="AI2311">
        <v>91.824247572464003</v>
      </c>
      <c r="AJ2311">
        <v>92.758375778963497</v>
      </c>
      <c r="AK2311">
        <v>34.879942842781801</v>
      </c>
      <c r="AL2311">
        <v>80.392965543308307</v>
      </c>
      <c r="AM2311">
        <v>93.278044272602202</v>
      </c>
      <c r="AN2311">
        <v>0.99999999664037997</v>
      </c>
    </row>
    <row r="2312" spans="1:40" x14ac:dyDescent="0.25">
      <c r="A2312" t="str">
        <f>"20190304155411125"</f>
        <v>20190304155411125</v>
      </c>
      <c r="B2312" t="str">
        <f>"1551686051118602"</f>
        <v>1551686051118602</v>
      </c>
      <c r="C2312" t="s">
        <v>40</v>
      </c>
      <c r="D2312">
        <v>4.187411</v>
      </c>
      <c r="E2312">
        <v>0.50180329999999995</v>
      </c>
      <c r="F2312" t="s">
        <v>65</v>
      </c>
      <c r="G2312">
        <v>-417.23099999999999</v>
      </c>
      <c r="H2312" s="1">
        <v>3.4519419999999998E-6</v>
      </c>
      <c r="I2312">
        <v>215.03360000000001</v>
      </c>
      <c r="J2312">
        <v>-453.34820000000002</v>
      </c>
      <c r="K2312">
        <v>1.1103639999999999</v>
      </c>
      <c r="L2312">
        <v>214.63489999999999</v>
      </c>
      <c r="M2312">
        <v>0.99932129999999997</v>
      </c>
      <c r="N2312">
        <v>-8.36446699999999E-3</v>
      </c>
      <c r="O2312">
        <v>-3.5874620000000003E-2</v>
      </c>
      <c r="P2312">
        <v>0.98692409999999997</v>
      </c>
      <c r="Q2312">
        <v>0.159887</v>
      </c>
      <c r="R2312">
        <v>2.0423500000000001E-2</v>
      </c>
      <c r="S2312">
        <v>3.0534669999999999</v>
      </c>
      <c r="T2312">
        <v>-9.3263150000000003E-2</v>
      </c>
      <c r="U2312">
        <v>3.2836909999999997E-2</v>
      </c>
      <c r="V2312">
        <v>-5.6037839999999998E-2</v>
      </c>
      <c r="W2312">
        <v>0.1680519</v>
      </c>
      <c r="X2312">
        <v>0.98418410000000001</v>
      </c>
      <c r="Y2312">
        <v>-4.658375E-2</v>
      </c>
      <c r="Z2312">
        <v>1.701386E-3</v>
      </c>
      <c r="AA2312">
        <v>0.99891289999999999</v>
      </c>
      <c r="AB2312">
        <v>24</v>
      </c>
      <c r="AC2312">
        <v>36.117199999999997</v>
      </c>
      <c r="AD2312">
        <v>-1.1103605480580001</v>
      </c>
      <c r="AE2312">
        <v>0.39870000000001898</v>
      </c>
      <c r="AF2312">
        <v>-1.69257993968236</v>
      </c>
      <c r="AG2312">
        <v>-1.1103605480580001</v>
      </c>
      <c r="AH2312">
        <v>36.045581706783302</v>
      </c>
      <c r="AI2312">
        <v>91.762460285291695</v>
      </c>
      <c r="AJ2312">
        <v>92.6884433635569</v>
      </c>
      <c r="AK2312">
        <v>36.102377871537598</v>
      </c>
      <c r="AL2312">
        <v>80.325428433335404</v>
      </c>
      <c r="AM2312">
        <v>93.258809760585095</v>
      </c>
      <c r="AN2312">
        <v>1.0000000116491401</v>
      </c>
    </row>
    <row r="2313" spans="1:40" x14ac:dyDescent="0.25">
      <c r="A2313" t="str">
        <f>"20190304155411147"</f>
        <v>20190304155411147</v>
      </c>
      <c r="B2313" t="str">
        <f>"1551686051139097"</f>
        <v>1551686051139097</v>
      </c>
      <c r="C2313" t="s">
        <v>40</v>
      </c>
      <c r="D2313">
        <v>4.3682299999999996</v>
      </c>
      <c r="E2313">
        <v>0.50194970000000005</v>
      </c>
      <c r="F2313" t="s">
        <v>65</v>
      </c>
      <c r="G2313">
        <v>-415.4692</v>
      </c>
      <c r="H2313" s="1">
        <v>3.137999E-6</v>
      </c>
      <c r="I2313">
        <v>215.04990000000001</v>
      </c>
      <c r="J2313">
        <v>-453.11540000000002</v>
      </c>
      <c r="K2313">
        <v>1.110366</v>
      </c>
      <c r="L2313">
        <v>214.6276</v>
      </c>
      <c r="M2313">
        <v>0.99935200000000002</v>
      </c>
      <c r="N2313">
        <v>-8.3655859999999995E-3</v>
      </c>
      <c r="O2313">
        <v>-3.5006179999999998E-2</v>
      </c>
      <c r="P2313">
        <v>0.98682400000000003</v>
      </c>
      <c r="Q2313">
        <v>0.16046270000000001</v>
      </c>
      <c r="R2313">
        <v>2.073442E-2</v>
      </c>
      <c r="S2313">
        <v>3.053528</v>
      </c>
      <c r="T2313">
        <v>-8.9509249999999999E-2</v>
      </c>
      <c r="U2313">
        <v>3.3447270000000001E-2</v>
      </c>
      <c r="V2313">
        <v>-5.549026E-2</v>
      </c>
      <c r="W2313">
        <v>0.1686281</v>
      </c>
      <c r="X2313">
        <v>0.98411660000000001</v>
      </c>
      <c r="Y2313">
        <v>-4.5918569999999999E-2</v>
      </c>
      <c r="Z2313">
        <v>1.5979410000000001E-3</v>
      </c>
      <c r="AA2313">
        <v>0.9989439</v>
      </c>
      <c r="AB2313">
        <v>24</v>
      </c>
      <c r="AC2313">
        <v>37.6462</v>
      </c>
      <c r="AD2313">
        <v>-1.110362862001</v>
      </c>
      <c r="AE2313">
        <v>0.422300000000007</v>
      </c>
      <c r="AF2313">
        <v>-1.7384249012281601</v>
      </c>
      <c r="AG2313">
        <v>-1.110362862001</v>
      </c>
      <c r="AH2313">
        <v>37.575656916934598</v>
      </c>
      <c r="AI2313">
        <v>91.690793606606704</v>
      </c>
      <c r="AJ2313">
        <v>92.648880793887201</v>
      </c>
      <c r="AK2313">
        <v>37.6322337838414</v>
      </c>
      <c r="AL2313">
        <v>80.291936957899694</v>
      </c>
      <c r="AM2313">
        <v>93.227254442027601</v>
      </c>
      <c r="AN2313">
        <v>1.0000000437300101</v>
      </c>
    </row>
    <row r="2314" spans="1:40" x14ac:dyDescent="0.25">
      <c r="A2314" t="str">
        <f>"20190304155411170"</f>
        <v>20190304155411170</v>
      </c>
      <c r="B2314" t="str">
        <f>"1551686051158618"</f>
        <v>1551686051158618</v>
      </c>
      <c r="C2314" t="s">
        <v>40</v>
      </c>
      <c r="D2314">
        <v>4.2457029999999998</v>
      </c>
      <c r="E2314">
        <v>0.51708290000000001</v>
      </c>
      <c r="F2314" t="s">
        <v>65</v>
      </c>
      <c r="G2314">
        <v>-414.3537</v>
      </c>
      <c r="H2314" s="1">
        <v>2.9400039999999999E-6</v>
      </c>
      <c r="I2314">
        <v>215.05119999999999</v>
      </c>
      <c r="J2314">
        <v>-452.87419999999997</v>
      </c>
      <c r="K2314">
        <v>1.1103670000000001</v>
      </c>
      <c r="L2314">
        <v>214.62010000000001</v>
      </c>
      <c r="M2314">
        <v>0.99938320000000003</v>
      </c>
      <c r="N2314">
        <v>-8.3672290000000003E-3</v>
      </c>
      <c r="O2314">
        <v>-3.4109010000000002E-2</v>
      </c>
      <c r="P2314">
        <v>0.98672729999999997</v>
      </c>
      <c r="Q2314">
        <v>0.16093209999999999</v>
      </c>
      <c r="R2314">
        <v>2.1682489999999999E-2</v>
      </c>
      <c r="S2314">
        <v>3.0535890000000001</v>
      </c>
      <c r="T2314">
        <v>-8.7472800000000003E-2</v>
      </c>
      <c r="U2314">
        <v>3.337097E-2</v>
      </c>
      <c r="V2314">
        <v>-5.5551419999999997E-2</v>
      </c>
      <c r="W2314">
        <v>0.1690981</v>
      </c>
      <c r="X2314">
        <v>0.98403249999999998</v>
      </c>
      <c r="Y2314">
        <v>-4.4998740000000002E-2</v>
      </c>
      <c r="Z2314">
        <v>1.524056E-3</v>
      </c>
      <c r="AA2314">
        <v>0.99898589999999998</v>
      </c>
      <c r="AB2314">
        <v>24</v>
      </c>
      <c r="AC2314">
        <v>38.520499999999899</v>
      </c>
      <c r="AD2314">
        <v>-1.1103640599959901</v>
      </c>
      <c r="AE2314">
        <v>0.43109999999998599</v>
      </c>
      <c r="AF2314">
        <v>-1.74334275103963</v>
      </c>
      <c r="AG2314">
        <v>-1.1103640599959901</v>
      </c>
      <c r="AH2314">
        <v>38.451433995282997</v>
      </c>
      <c r="AI2314">
        <v>91.652377033495796</v>
      </c>
      <c r="AJ2314">
        <v>92.595945417163804</v>
      </c>
      <c r="AK2314">
        <v>38.506946497832601</v>
      </c>
      <c r="AL2314">
        <v>80.264615600742104</v>
      </c>
      <c r="AM2314">
        <v>93.231079446027195</v>
      </c>
      <c r="AN2314">
        <v>1.0000000443719299</v>
      </c>
    </row>
    <row r="2315" spans="1:40" x14ac:dyDescent="0.25">
      <c r="A2315" t="str">
        <f>"20190304155411193"</f>
        <v>20190304155411193</v>
      </c>
      <c r="B2315" t="str">
        <f>"1551686051188874"</f>
        <v>1551686051188874</v>
      </c>
      <c r="C2315" t="s">
        <v>40</v>
      </c>
      <c r="D2315">
        <v>4.3415609999999996</v>
      </c>
      <c r="E2315">
        <v>0.51721839999999997</v>
      </c>
      <c r="F2315" t="s">
        <v>65</v>
      </c>
      <c r="G2315">
        <v>-417.68299999999999</v>
      </c>
      <c r="H2315" s="1">
        <v>3.6533619999999998E-6</v>
      </c>
      <c r="I2315">
        <v>213.64660000000001</v>
      </c>
      <c r="J2315">
        <v>-452.63830000000002</v>
      </c>
      <c r="K2315">
        <v>1.110368</v>
      </c>
      <c r="L2315">
        <v>214.6131</v>
      </c>
      <c r="M2315">
        <v>0.99941250000000004</v>
      </c>
      <c r="N2315">
        <v>-8.3692230000000003E-3</v>
      </c>
      <c r="O2315">
        <v>-3.3237019999999999E-2</v>
      </c>
      <c r="P2315">
        <v>0.98680140000000005</v>
      </c>
      <c r="Q2315">
        <v>0.1603831</v>
      </c>
      <c r="R2315">
        <v>2.2368079999999999E-2</v>
      </c>
      <c r="S2315">
        <v>3.0579529999999999</v>
      </c>
      <c r="T2315">
        <v>-9.6485379999999996E-2</v>
      </c>
      <c r="U2315">
        <v>-8.4594730000000007E-2</v>
      </c>
      <c r="V2315">
        <v>-5.5378370000000003E-2</v>
      </c>
      <c r="W2315">
        <v>0.16855200000000001</v>
      </c>
      <c r="X2315">
        <v>0.98413589999999995</v>
      </c>
      <c r="Y2315">
        <v>-5.5750649999999997E-3</v>
      </c>
      <c r="Z2315">
        <v>8.8109389999999998E-4</v>
      </c>
      <c r="AA2315">
        <v>0.99998410000000004</v>
      </c>
      <c r="AB2315">
        <v>24</v>
      </c>
      <c r="AC2315">
        <v>34.955299999999902</v>
      </c>
      <c r="AD2315">
        <v>-1.110364346638</v>
      </c>
      <c r="AE2315">
        <v>-0.96649999999999603</v>
      </c>
      <c r="AF2315">
        <v>-0.195687371680455</v>
      </c>
      <c r="AG2315">
        <v>-1.110364346638</v>
      </c>
      <c r="AH2315">
        <v>34.932888988798801</v>
      </c>
      <c r="AI2315">
        <v>91.820541702770896</v>
      </c>
      <c r="AJ2315">
        <v>90.3209566557166</v>
      </c>
      <c r="AK2315">
        <v>34.951079176950401</v>
      </c>
      <c r="AL2315">
        <v>80.296360105444904</v>
      </c>
      <c r="AM2315">
        <v>93.220697722598501</v>
      </c>
      <c r="AN2315">
        <v>1.00000000511833</v>
      </c>
    </row>
    <row r="2316" spans="1:40" x14ac:dyDescent="0.25">
      <c r="A2316" t="str">
        <f>"20190304155411216"</f>
        <v>20190304155411216</v>
      </c>
      <c r="B2316" t="str">
        <f>"1551686051209371"</f>
        <v>1551686051209371</v>
      </c>
      <c r="C2316" t="s">
        <v>40</v>
      </c>
      <c r="D2316">
        <v>4.2307519999999998</v>
      </c>
      <c r="E2316">
        <v>0.51683690000000004</v>
      </c>
      <c r="F2316" t="s">
        <v>65</v>
      </c>
      <c r="G2316">
        <v>-418.6234</v>
      </c>
      <c r="H2316" s="1">
        <v>3.8170839999999998E-6</v>
      </c>
      <c r="I2316">
        <v>213.68190000000001</v>
      </c>
      <c r="J2316">
        <v>-452.38619999999997</v>
      </c>
      <c r="K2316">
        <v>1.1103670000000001</v>
      </c>
      <c r="L2316">
        <v>214.60570000000001</v>
      </c>
      <c r="M2316">
        <v>0.99944259999999996</v>
      </c>
      <c r="N2316">
        <v>-8.3718049999999995E-3</v>
      </c>
      <c r="O2316">
        <v>-3.2319290000000001E-2</v>
      </c>
      <c r="P2316">
        <v>0.98683580000000004</v>
      </c>
      <c r="Q2316">
        <v>0.1600345</v>
      </c>
      <c r="R2316">
        <v>2.3329579999999999E-2</v>
      </c>
      <c r="S2316">
        <v>3.0582889999999998</v>
      </c>
      <c r="T2316">
        <v>-9.9832889999999994E-2</v>
      </c>
      <c r="U2316">
        <v>-8.3724980000000004E-2</v>
      </c>
      <c r="V2316">
        <v>-5.543377E-2</v>
      </c>
      <c r="W2316">
        <v>0.168207</v>
      </c>
      <c r="X2316">
        <v>0.98419179999999995</v>
      </c>
      <c r="Y2316">
        <v>-4.943645E-3</v>
      </c>
      <c r="Z2316">
        <v>8.8509880000000002E-4</v>
      </c>
      <c r="AA2316">
        <v>0.99998739999999997</v>
      </c>
      <c r="AB2316">
        <v>24</v>
      </c>
      <c r="AC2316">
        <v>33.762799999999899</v>
      </c>
      <c r="AD2316">
        <v>-1.1103631829159999</v>
      </c>
      <c r="AE2316">
        <v>-0.92379999999999995</v>
      </c>
      <c r="AF2316">
        <v>-0.16772924892869701</v>
      </c>
      <c r="AG2316">
        <v>-1.1103631829159999</v>
      </c>
      <c r="AH2316">
        <v>33.738555334340397</v>
      </c>
      <c r="AI2316">
        <v>91.884946880477003</v>
      </c>
      <c r="AJ2316">
        <v>90.2848402605823</v>
      </c>
      <c r="AK2316">
        <v>33.757238565191798</v>
      </c>
      <c r="AL2316">
        <v>80.3164134011285</v>
      </c>
      <c r="AM2316">
        <v>93.223730160158695</v>
      </c>
      <c r="AN2316">
        <v>0.99999999844632603</v>
      </c>
    </row>
    <row r="2317" spans="1:40" x14ac:dyDescent="0.25">
      <c r="A2317" t="str">
        <f>"20190304155411260"</f>
        <v>20190304155411260</v>
      </c>
      <c r="B2317" t="str">
        <f>"1551686051249385"</f>
        <v>1551686051249385</v>
      </c>
      <c r="C2317" t="s">
        <v>40</v>
      </c>
      <c r="D2317">
        <v>4.3270739999999996</v>
      </c>
      <c r="E2317">
        <v>0.51737670000000002</v>
      </c>
      <c r="F2317" t="s">
        <v>65</v>
      </c>
      <c r="G2317">
        <v>-417.88839999999999</v>
      </c>
      <c r="H2317" s="1">
        <v>3.682559E-6</v>
      </c>
      <c r="I2317">
        <v>213.72929999999999</v>
      </c>
      <c r="J2317">
        <v>-451.92500000000001</v>
      </c>
      <c r="K2317">
        <v>1.1103400000000001</v>
      </c>
      <c r="L2317">
        <v>214.59280000000001</v>
      </c>
      <c r="M2317">
        <v>0.99949330000000003</v>
      </c>
      <c r="N2317">
        <v>-8.3768929999999998E-3</v>
      </c>
      <c r="O2317">
        <v>-3.0708570000000001E-2</v>
      </c>
      <c r="P2317">
        <v>0.986649</v>
      </c>
      <c r="Q2317">
        <v>0.16101660000000001</v>
      </c>
      <c r="R2317">
        <v>2.443998E-2</v>
      </c>
      <c r="S2317">
        <v>3.0578310000000002</v>
      </c>
      <c r="T2317">
        <v>-9.8420740000000007E-2</v>
      </c>
      <c r="U2317">
        <v>-7.7682500000000002E-2</v>
      </c>
      <c r="V2317">
        <v>-5.4939519999999999E-2</v>
      </c>
      <c r="W2317">
        <v>0.16919729999999999</v>
      </c>
      <c r="X2317">
        <v>0.98404970000000003</v>
      </c>
      <c r="Y2317">
        <v>-5.3033230000000004E-3</v>
      </c>
      <c r="Z2317">
        <v>8.3809619999999896E-4</v>
      </c>
      <c r="AA2317">
        <v>0.99998560000000003</v>
      </c>
      <c r="AB2317">
        <v>24</v>
      </c>
      <c r="AC2317">
        <v>34.0366</v>
      </c>
      <c r="AD2317">
        <v>-1.1103363174409999</v>
      </c>
      <c r="AE2317">
        <v>-0.86350000000001603</v>
      </c>
      <c r="AF2317">
        <v>-0.18196571590334601</v>
      </c>
      <c r="AG2317">
        <v>-1.1103363174409999</v>
      </c>
      <c r="AH2317">
        <v>34.010893764179897</v>
      </c>
      <c r="AI2317">
        <v>91.8698152748821</v>
      </c>
      <c r="AJ2317">
        <v>90.306542019499403</v>
      </c>
      <c r="AK2317">
        <v>34.029499745043701</v>
      </c>
      <c r="AL2317">
        <v>80.258847782570996</v>
      </c>
      <c r="AM2317">
        <v>93.195507472016104</v>
      </c>
      <c r="AN2317">
        <v>0.999999944627603</v>
      </c>
    </row>
    <row r="2318" spans="1:40" x14ac:dyDescent="0.25">
      <c r="A2318" t="str">
        <f>"20190304155411281"</f>
        <v>20190304155411281</v>
      </c>
      <c r="B2318" t="str">
        <f>"1551686051269882"</f>
        <v>1551686051269882</v>
      </c>
      <c r="C2318" t="s">
        <v>40</v>
      </c>
      <c r="D2318">
        <v>4.198709</v>
      </c>
      <c r="E2318">
        <v>0.54204649999999999</v>
      </c>
      <c r="F2318" t="s">
        <v>65</v>
      </c>
      <c r="G2318">
        <v>-414.88</v>
      </c>
      <c r="H2318" s="1">
        <v>3.15657E-6</v>
      </c>
      <c r="I2318">
        <v>213.64179999999999</v>
      </c>
      <c r="J2318">
        <v>-451.6927</v>
      </c>
      <c r="K2318">
        <v>1.11032</v>
      </c>
      <c r="L2318">
        <v>214.5865</v>
      </c>
      <c r="M2318">
        <v>0.99951659999999998</v>
      </c>
      <c r="N2318">
        <v>-8.3798299999999996E-3</v>
      </c>
      <c r="O2318">
        <v>-2.9937829999999999E-2</v>
      </c>
      <c r="P2318">
        <v>0.9864849</v>
      </c>
      <c r="Q2318">
        <v>0.16187989999999999</v>
      </c>
      <c r="R2318">
        <v>2.534697E-2</v>
      </c>
      <c r="S2318">
        <v>3.0575260000000002</v>
      </c>
      <c r="T2318">
        <v>-9.1642020000000005E-2</v>
      </c>
      <c r="U2318">
        <v>-7.8491210000000006E-2</v>
      </c>
      <c r="V2318">
        <v>-5.5074770000000002E-2</v>
      </c>
      <c r="W2318">
        <v>0.170064299999999</v>
      </c>
      <c r="X2318">
        <v>0.98389269999999995</v>
      </c>
      <c r="Y2318">
        <v>-4.2680820000000003E-3</v>
      </c>
      <c r="Z2318">
        <v>7.2775970000000004E-4</v>
      </c>
      <c r="AA2318">
        <v>0.99999059999999995</v>
      </c>
      <c r="AB2318">
        <v>24</v>
      </c>
      <c r="AC2318">
        <v>36.8127</v>
      </c>
      <c r="AD2318">
        <v>-1.1103168434299999</v>
      </c>
      <c r="AE2318">
        <v>-0.94470000000001098</v>
      </c>
      <c r="AF2318">
        <v>-0.15771119496886199</v>
      </c>
      <c r="AG2318">
        <v>-1.1103168434299999</v>
      </c>
      <c r="AH2318">
        <v>36.791034474920302</v>
      </c>
      <c r="AI2318">
        <v>91.728589129831605</v>
      </c>
      <c r="AJ2318">
        <v>90.245606861423397</v>
      </c>
      <c r="AK2318">
        <v>36.808122664007101</v>
      </c>
      <c r="AL2318">
        <v>80.208442096680102</v>
      </c>
      <c r="AM2318">
        <v>93.203867898681295</v>
      </c>
      <c r="AN2318">
        <v>0.99999997076916602</v>
      </c>
    </row>
    <row r="2319" spans="1:40" x14ac:dyDescent="0.25">
      <c r="A2319" t="str">
        <f>"20190304155411304"</f>
        <v>20190304155411304</v>
      </c>
      <c r="B2319" t="str">
        <f>"1551686051299162"</f>
        <v>1551686051299162</v>
      </c>
      <c r="C2319" t="s">
        <v>40</v>
      </c>
      <c r="D2319">
        <v>4.1949610000000002</v>
      </c>
      <c r="E2319">
        <v>0.54788289999999995</v>
      </c>
      <c r="F2319" t="s">
        <v>65</v>
      </c>
      <c r="G2319">
        <v>-422.98989999999998</v>
      </c>
      <c r="H2319" s="1">
        <v>3.6598090000000001E-6</v>
      </c>
      <c r="I2319">
        <v>212.03620000000001</v>
      </c>
      <c r="J2319">
        <v>-451.45229999999998</v>
      </c>
      <c r="K2319">
        <v>1.1102939999999999</v>
      </c>
      <c r="L2319">
        <v>214.58019999999999</v>
      </c>
      <c r="M2319">
        <v>0.99953899999999996</v>
      </c>
      <c r="N2319">
        <v>-8.3830729999999996E-3</v>
      </c>
      <c r="O2319">
        <v>-2.9183359999999998E-2</v>
      </c>
      <c r="P2319">
        <v>0.98640729999999999</v>
      </c>
      <c r="Q2319">
        <v>0.16214100000000001</v>
      </c>
      <c r="R2319">
        <v>2.666986E-2</v>
      </c>
      <c r="S2319">
        <v>3.0675659999999998</v>
      </c>
      <c r="T2319">
        <v>-0.11866309999999999</v>
      </c>
      <c r="U2319">
        <v>-0.27256770000000002</v>
      </c>
      <c r="V2319">
        <v>-5.5640780000000001E-2</v>
      </c>
      <c r="W2319">
        <v>0.17033119999999999</v>
      </c>
      <c r="X2319">
        <v>0.98381470000000004</v>
      </c>
      <c r="Y2319">
        <v>5.935812E-2</v>
      </c>
      <c r="Z2319">
        <v>-5.1322610000000002E-4</v>
      </c>
      <c r="AA2319">
        <v>0.99823660000000003</v>
      </c>
      <c r="AB2319">
        <v>24</v>
      </c>
      <c r="AC2319">
        <v>28.462399999999999</v>
      </c>
      <c r="AD2319">
        <v>-1.110290340191</v>
      </c>
      <c r="AE2319">
        <v>-2.5439999999999801</v>
      </c>
      <c r="AF2319">
        <v>1.70967777893774</v>
      </c>
      <c r="AG2319">
        <v>-1.110290340191</v>
      </c>
      <c r="AH2319">
        <v>28.481524435501399</v>
      </c>
      <c r="AI2319">
        <v>92.228413906226606</v>
      </c>
      <c r="AJ2319">
        <v>86.564793502663207</v>
      </c>
      <c r="AK2319">
        <v>28.554386299085099</v>
      </c>
      <c r="AL2319">
        <v>80.192923614910896</v>
      </c>
      <c r="AM2319">
        <v>93.2369808521522</v>
      </c>
      <c r="AN2319">
        <v>0.99999998901426901</v>
      </c>
    </row>
    <row r="2320" spans="1:40" x14ac:dyDescent="0.25">
      <c r="A2320" t="str">
        <f>"20190304155411326"</f>
        <v>20190304155411326</v>
      </c>
      <c r="B2320" t="str">
        <f>"1551686051318681"</f>
        <v>1551686051318681</v>
      </c>
      <c r="C2320" t="s">
        <v>40</v>
      </c>
      <c r="D2320">
        <v>4.2270810000000001</v>
      </c>
      <c r="E2320">
        <v>0.54931960000000002</v>
      </c>
      <c r="F2320" t="s">
        <v>65</v>
      </c>
      <c r="G2320">
        <v>-420.0333</v>
      </c>
      <c r="H2320" s="1">
        <v>4.2442680000000001E-6</v>
      </c>
      <c r="I2320">
        <v>211.34979999999999</v>
      </c>
      <c r="J2320">
        <v>-451.19900000000001</v>
      </c>
      <c r="K2320">
        <v>1.1102620000000001</v>
      </c>
      <c r="L2320">
        <v>214.5737</v>
      </c>
      <c r="M2320">
        <v>0.99956020000000001</v>
      </c>
      <c r="N2320">
        <v>-8.3866959999999904E-3</v>
      </c>
      <c r="O2320">
        <v>-2.844528E-2</v>
      </c>
      <c r="P2320">
        <v>0.98634770000000005</v>
      </c>
      <c r="Q2320">
        <v>0.1623232</v>
      </c>
      <c r="R2320">
        <v>2.7745309999999999E-2</v>
      </c>
      <c r="S2320">
        <v>3.067688</v>
      </c>
      <c r="T2320">
        <v>-0.1084063</v>
      </c>
      <c r="U2320">
        <v>-0.31541439999999998</v>
      </c>
      <c r="V2320">
        <v>-5.5974339999999997E-2</v>
      </c>
      <c r="W2320">
        <v>0.17052010000000001</v>
      </c>
      <c r="X2320">
        <v>0.98376300000000005</v>
      </c>
      <c r="Y2320">
        <v>7.3894280000000007E-2</v>
      </c>
      <c r="Z2320">
        <v>-8.4882070000000004E-4</v>
      </c>
      <c r="AA2320">
        <v>0.99726570000000003</v>
      </c>
      <c r="AB2320">
        <v>24</v>
      </c>
      <c r="AC2320">
        <v>31.165700000000001</v>
      </c>
      <c r="AD2320">
        <v>-1.1102577557319999</v>
      </c>
      <c r="AE2320">
        <v>-3.2239000000000102</v>
      </c>
      <c r="AF2320">
        <v>2.3331175499907402</v>
      </c>
      <c r="AG2320">
        <v>-1.1102577557319999</v>
      </c>
      <c r="AH2320">
        <v>31.205612336751901</v>
      </c>
      <c r="AI2320">
        <v>92.031988026848097</v>
      </c>
      <c r="AJ2320">
        <v>85.724181426496799</v>
      </c>
      <c r="AK2320">
        <v>31.312399318766399</v>
      </c>
      <c r="AL2320">
        <v>80.181939225478601</v>
      </c>
      <c r="AM2320">
        <v>93.256515302594593</v>
      </c>
      <c r="AN2320">
        <v>0.99999993570571999</v>
      </c>
    </row>
    <row r="2321" spans="1:40" x14ac:dyDescent="0.25">
      <c r="A2321" t="str">
        <f>"20190304155411347"</f>
        <v>20190304155411347</v>
      </c>
      <c r="B2321" t="str">
        <f>"1551686051339178"</f>
        <v>1551686051339178</v>
      </c>
      <c r="C2321" t="s">
        <v>40</v>
      </c>
      <c r="D2321">
        <v>4.1861389999999998</v>
      </c>
      <c r="E2321">
        <v>0.55047290000000004</v>
      </c>
      <c r="F2321" t="s">
        <v>65</v>
      </c>
      <c r="G2321">
        <v>-419.33049999999997</v>
      </c>
      <c r="H2321" s="1">
        <v>4.1580410000000003E-6</v>
      </c>
      <c r="I2321">
        <v>211.2165</v>
      </c>
      <c r="J2321">
        <v>-450.97030000000001</v>
      </c>
      <c r="K2321">
        <v>1.1102350000000001</v>
      </c>
      <c r="L2321">
        <v>214.56790000000001</v>
      </c>
      <c r="M2321">
        <v>0.99957779999999996</v>
      </c>
      <c r="N2321">
        <v>-8.3902309999999997E-3</v>
      </c>
      <c r="O2321">
        <v>-2.781958E-2</v>
      </c>
      <c r="P2321">
        <v>0.98647300000000004</v>
      </c>
      <c r="Q2321">
        <v>0.16148579999999901</v>
      </c>
      <c r="R2321">
        <v>2.8170649999999998E-2</v>
      </c>
      <c r="S2321">
        <v>3.0681759999999998</v>
      </c>
      <c r="T2321">
        <v>-0.10689120000000001</v>
      </c>
      <c r="U2321">
        <v>-0.32321169999999999</v>
      </c>
      <c r="V2321">
        <v>-5.5773209999999997E-2</v>
      </c>
      <c r="W2321">
        <v>0.1696917</v>
      </c>
      <c r="X2321">
        <v>0.98391770000000001</v>
      </c>
      <c r="Y2321">
        <v>7.7007740000000005E-2</v>
      </c>
      <c r="Z2321">
        <v>-9.2843560000000001E-4</v>
      </c>
      <c r="AA2321">
        <v>0.99703010000000003</v>
      </c>
      <c r="AB2321">
        <v>24</v>
      </c>
      <c r="AC2321">
        <v>31.639800000000001</v>
      </c>
      <c r="AD2321">
        <v>-1.1102308419589999</v>
      </c>
      <c r="AE2321">
        <v>-3.3514000000000101</v>
      </c>
      <c r="AF2321">
        <v>2.46686218691086</v>
      </c>
      <c r="AG2321">
        <v>-1.1102308419589999</v>
      </c>
      <c r="AH2321">
        <v>31.6822140512072</v>
      </c>
      <c r="AI2321">
        <v>92.000927205995893</v>
      </c>
      <c r="AJ2321">
        <v>85.547779726800599</v>
      </c>
      <c r="AK2321">
        <v>31.797495322087201</v>
      </c>
      <c r="AL2321">
        <v>80.230105491177397</v>
      </c>
      <c r="AM2321">
        <v>93.244329774722701</v>
      </c>
      <c r="AN2321">
        <v>0.99999998218794095</v>
      </c>
    </row>
    <row r="2322" spans="1:40" x14ac:dyDescent="0.25">
      <c r="A2322" t="str">
        <f>"20190304155411371"</f>
        <v>20190304155411371</v>
      </c>
      <c r="B2322" t="str">
        <f>"1551686051369434"</f>
        <v>1551686051369434</v>
      </c>
      <c r="C2322" t="s">
        <v>40</v>
      </c>
      <c r="D2322">
        <v>4.1461920000000001</v>
      </c>
      <c r="E2322">
        <v>0.5517744</v>
      </c>
      <c r="F2322" t="s">
        <v>65</v>
      </c>
      <c r="G2322">
        <v>-418.85059999999999</v>
      </c>
      <c r="H2322" s="1">
        <v>4.0828339999999998E-6</v>
      </c>
      <c r="I2322">
        <v>211.10319999999999</v>
      </c>
      <c r="J2322">
        <v>-450.71870000000001</v>
      </c>
      <c r="K2322">
        <v>1.1102019999999999</v>
      </c>
      <c r="L2322">
        <v>214.5616</v>
      </c>
      <c r="M2322">
        <v>0.99959549999999997</v>
      </c>
      <c r="N2322">
        <v>-8.3940449999999993E-3</v>
      </c>
      <c r="O2322">
        <v>-2.7178529999999999E-2</v>
      </c>
      <c r="P2322">
        <v>0.98648179999999996</v>
      </c>
      <c r="Q2322">
        <v>0.16124150000000001</v>
      </c>
      <c r="R2322">
        <v>2.924057E-2</v>
      </c>
      <c r="S2322">
        <v>3.0679630000000002</v>
      </c>
      <c r="T2322">
        <v>-0.1060456</v>
      </c>
      <c r="U2322">
        <v>-0.33093260000000002</v>
      </c>
      <c r="V2322">
        <v>-5.6198730000000002E-2</v>
      </c>
      <c r="W2322">
        <v>0.16945439999999901</v>
      </c>
      <c r="X2322">
        <v>0.98393439999999999</v>
      </c>
      <c r="Y2322">
        <v>8.0133090000000004E-2</v>
      </c>
      <c r="Z2322">
        <v>-1.009448E-3</v>
      </c>
      <c r="AA2322">
        <v>0.99678370000000005</v>
      </c>
      <c r="AB2322">
        <v>24</v>
      </c>
      <c r="AC2322">
        <v>31.868099999999998</v>
      </c>
      <c r="AD2322">
        <v>-1.1101979171659999</v>
      </c>
      <c r="AE2322">
        <v>-3.4584000000000099</v>
      </c>
      <c r="AF2322">
        <v>2.5878597010859998</v>
      </c>
      <c r="AG2322">
        <v>-1.1101979171659999</v>
      </c>
      <c r="AH2322">
        <v>31.912045684216601</v>
      </c>
      <c r="AI2322">
        <v>91.985962772229399</v>
      </c>
      <c r="AJ2322">
        <v>85.363829269204402</v>
      </c>
      <c r="AK2322">
        <v>32.036045589293799</v>
      </c>
      <c r="AL2322">
        <v>80.243901728204193</v>
      </c>
      <c r="AM2322">
        <v>93.268973445123606</v>
      </c>
      <c r="AN2322">
        <v>0.99999999721816601</v>
      </c>
    </row>
    <row r="2323" spans="1:40" x14ac:dyDescent="0.25">
      <c r="A2323" t="str">
        <f>"20190304155411393"</f>
        <v>20190304155411393</v>
      </c>
      <c r="B2323" t="str">
        <f>"1551686051388954"</f>
        <v>1551686051388954</v>
      </c>
      <c r="C2323" t="s">
        <v>40</v>
      </c>
      <c r="D2323">
        <v>4.1835060000000004</v>
      </c>
      <c r="E2323">
        <v>0.5525371</v>
      </c>
      <c r="F2323" t="s">
        <v>65</v>
      </c>
      <c r="G2323">
        <v>-417.77260000000001</v>
      </c>
      <c r="H2323" s="1">
        <v>3.9065330000000001E-6</v>
      </c>
      <c r="I2323">
        <v>210.9325</v>
      </c>
      <c r="J2323">
        <v>-450.47539999999998</v>
      </c>
      <c r="K2323">
        <v>1.110163</v>
      </c>
      <c r="L2323">
        <v>214.5557</v>
      </c>
      <c r="M2323">
        <v>0.99961080000000002</v>
      </c>
      <c r="N2323">
        <v>-8.3975830000000001E-3</v>
      </c>
      <c r="O2323">
        <v>-2.6606479999999998E-2</v>
      </c>
      <c r="P2323">
        <v>0.98649480000000001</v>
      </c>
      <c r="Q2323">
        <v>0.1610453</v>
      </c>
      <c r="R2323">
        <v>2.9875229999999999E-2</v>
      </c>
      <c r="S2323">
        <v>3.0680239999999999</v>
      </c>
      <c r="T2323">
        <v>-0.1033845</v>
      </c>
      <c r="U2323">
        <v>-0.33795170000000002</v>
      </c>
      <c r="V2323">
        <v>-5.6257809999999998E-2</v>
      </c>
      <c r="W2323">
        <v>0.1692659</v>
      </c>
      <c r="X2323">
        <v>0.98396349999999999</v>
      </c>
      <c r="Y2323">
        <v>8.2954609999999998E-2</v>
      </c>
      <c r="Z2323">
        <v>-1.0721649999999999E-3</v>
      </c>
      <c r="AA2323">
        <v>0.99655280000000002</v>
      </c>
      <c r="AB2323">
        <v>24</v>
      </c>
      <c r="AC2323">
        <v>32.702799999999897</v>
      </c>
      <c r="AD2323">
        <v>-1.110159093467</v>
      </c>
      <c r="AE2323">
        <v>-3.62319999999999</v>
      </c>
      <c r="AF2323">
        <v>2.7486511267165001</v>
      </c>
      <c r="AG2323">
        <v>-1.110159093467</v>
      </c>
      <c r="AH2323">
        <v>32.750342279165501</v>
      </c>
      <c r="AI2323">
        <v>91.9346514405661</v>
      </c>
      <c r="AJ2323">
        <v>85.202557116651903</v>
      </c>
      <c r="AK2323">
        <v>32.8842280680526</v>
      </c>
      <c r="AL2323">
        <v>80.254860587573802</v>
      </c>
      <c r="AM2323">
        <v>93.272305983295595</v>
      </c>
      <c r="AN2323">
        <v>1.0000000277105201</v>
      </c>
    </row>
    <row r="2324" spans="1:40" x14ac:dyDescent="0.25">
      <c r="A2324" t="str">
        <f>"20190304155411416"</f>
        <v>20190304155411416</v>
      </c>
      <c r="B2324" t="str">
        <f>"1551686051408474"</f>
        <v>1551686051408474</v>
      </c>
      <c r="C2324" t="s">
        <v>40</v>
      </c>
      <c r="D2324">
        <v>4.1386859999999999</v>
      </c>
      <c r="E2324">
        <v>0.5532262</v>
      </c>
      <c r="F2324" t="s">
        <v>65</v>
      </c>
      <c r="G2324">
        <v>-416.86779999999999</v>
      </c>
      <c r="H2324" s="1">
        <v>3.7563139999999999E-6</v>
      </c>
      <c r="I2324">
        <v>210.815</v>
      </c>
      <c r="J2324">
        <v>-450.22250000000003</v>
      </c>
      <c r="K2324">
        <v>1.110128</v>
      </c>
      <c r="L2324">
        <v>214.5496</v>
      </c>
      <c r="M2324">
        <v>0.99962530000000005</v>
      </c>
      <c r="N2324">
        <v>-8.4014299999999997E-3</v>
      </c>
      <c r="O2324">
        <v>-2.6057549999999999E-2</v>
      </c>
      <c r="P2324">
        <v>0.98647890000000005</v>
      </c>
      <c r="Q2324">
        <v>0.1609553</v>
      </c>
      <c r="R2324">
        <v>3.0877660000000001E-2</v>
      </c>
      <c r="S2324">
        <v>3.0679319999999999</v>
      </c>
      <c r="T2324">
        <v>-0.1013429</v>
      </c>
      <c r="U2324">
        <v>-0.34147640000000001</v>
      </c>
      <c r="V2324">
        <v>-5.6707170000000001E-2</v>
      </c>
      <c r="W2324">
        <v>0.16918320000000001</v>
      </c>
      <c r="X2324">
        <v>0.98395189999999999</v>
      </c>
      <c r="Y2324">
        <v>8.4636359999999994E-2</v>
      </c>
      <c r="Z2324">
        <v>-1.1107809999999999E-3</v>
      </c>
      <c r="AA2324">
        <v>0.9964113</v>
      </c>
      <c r="AB2324">
        <v>24</v>
      </c>
      <c r="AC2324">
        <v>33.354700000000001</v>
      </c>
      <c r="AD2324">
        <v>-1.1101242436859999</v>
      </c>
      <c r="AE2324">
        <v>-3.7345999999999999</v>
      </c>
      <c r="AF2324">
        <v>2.8610295330281801</v>
      </c>
      <c r="AG2324">
        <v>-1.1101242436859999</v>
      </c>
      <c r="AH2324">
        <v>33.404147143197598</v>
      </c>
      <c r="AI2324">
        <v>91.896479120775396</v>
      </c>
      <c r="AJ2324">
        <v>85.104624739024501</v>
      </c>
      <c r="AK2324">
        <v>33.544819453824303</v>
      </c>
      <c r="AL2324">
        <v>80.259668013852604</v>
      </c>
      <c r="AM2324">
        <v>93.298424888767002</v>
      </c>
      <c r="AN2324">
        <v>0.999999999902629</v>
      </c>
    </row>
    <row r="2325" spans="1:40" x14ac:dyDescent="0.25">
      <c r="A2325" t="str">
        <f>"20190304155411440"</f>
        <v>20190304155411440</v>
      </c>
      <c r="B2325" t="str">
        <f>"1551686051428970"</f>
        <v>1551686051428970</v>
      </c>
      <c r="C2325" t="s">
        <v>40</v>
      </c>
      <c r="D2325">
        <v>4.1836890000000002</v>
      </c>
      <c r="E2325">
        <v>0.55416639999999995</v>
      </c>
      <c r="F2325" t="s">
        <v>65</v>
      </c>
      <c r="G2325">
        <v>-415.85</v>
      </c>
      <c r="H2325" s="1">
        <v>3.5854750000000002E-6</v>
      </c>
      <c r="I2325">
        <v>210.70400000000001</v>
      </c>
      <c r="J2325">
        <v>-449.96449999999999</v>
      </c>
      <c r="K2325">
        <v>1.1101030000000001</v>
      </c>
      <c r="L2325">
        <v>214.54339999999999</v>
      </c>
      <c r="M2325">
        <v>0.99963860000000004</v>
      </c>
      <c r="N2325">
        <v>-8.4057569999999998E-3</v>
      </c>
      <c r="O2325">
        <v>-2.5538539999999998E-2</v>
      </c>
      <c r="P2325">
        <v>0.98653919999999995</v>
      </c>
      <c r="Q2325">
        <v>0.160385</v>
      </c>
      <c r="R2325">
        <v>3.1894119999999998E-2</v>
      </c>
      <c r="S2325">
        <v>3.067993</v>
      </c>
      <c r="T2325">
        <v>-9.9086640000000004E-2</v>
      </c>
      <c r="U2325">
        <v>-0.34324650000000001</v>
      </c>
      <c r="V2325">
        <v>-5.7202589999999998E-2</v>
      </c>
      <c r="W2325">
        <v>0.1686211</v>
      </c>
      <c r="X2325">
        <v>0.98401970000000005</v>
      </c>
      <c r="Y2325">
        <v>8.5720229999999994E-2</v>
      </c>
      <c r="Z2325">
        <v>-1.133485E-3</v>
      </c>
      <c r="AA2325">
        <v>0.99631860000000005</v>
      </c>
      <c r="AB2325">
        <v>24</v>
      </c>
      <c r="AC2325">
        <v>34.1144999999999</v>
      </c>
      <c r="AD2325">
        <v>-1.110099414525</v>
      </c>
      <c r="AE2325">
        <v>-3.8393999999999799</v>
      </c>
      <c r="AF2325">
        <v>2.9637834013413098</v>
      </c>
      <c r="AG2325">
        <v>-1.110099414525</v>
      </c>
      <c r="AH2325">
        <v>34.1657037015745</v>
      </c>
      <c r="AI2325">
        <v>91.854020706386194</v>
      </c>
      <c r="AJ2325">
        <v>85.042155627362902</v>
      </c>
      <c r="AK2325">
        <v>34.311975200853396</v>
      </c>
      <c r="AL2325">
        <v>80.292343336437696</v>
      </c>
      <c r="AM2325">
        <v>93.326948259892404</v>
      </c>
      <c r="AN2325">
        <v>0.99999999082800395</v>
      </c>
    </row>
    <row r="2326" spans="1:40" x14ac:dyDescent="0.25">
      <c r="A2326" t="str">
        <f>"20190304155411462"</f>
        <v>20190304155411462</v>
      </c>
      <c r="B2326" t="str">
        <f>"1551686051459225"</f>
        <v>1551686051459225</v>
      </c>
      <c r="C2326" t="s">
        <v>40</v>
      </c>
      <c r="D2326">
        <v>4.1358550000000003</v>
      </c>
      <c r="E2326">
        <v>0.55529050000000002</v>
      </c>
      <c r="F2326" t="s">
        <v>65</v>
      </c>
      <c r="G2326">
        <v>-415.27379999999999</v>
      </c>
      <c r="H2326" s="1">
        <v>3.4907150000000001E-6</v>
      </c>
      <c r="I2326">
        <v>210.61869999999999</v>
      </c>
      <c r="J2326">
        <v>-449.72329999999999</v>
      </c>
      <c r="K2326">
        <v>1.11008</v>
      </c>
      <c r="L2326">
        <v>214.5378</v>
      </c>
      <c r="M2326">
        <v>0.99964989999999998</v>
      </c>
      <c r="N2326">
        <v>-8.4099150000000004E-3</v>
      </c>
      <c r="O2326">
        <v>-2.5086230000000001E-2</v>
      </c>
      <c r="P2326">
        <v>0.98662640000000001</v>
      </c>
      <c r="Q2326">
        <v>0.15958900000000001</v>
      </c>
      <c r="R2326">
        <v>3.3162469999999999E-2</v>
      </c>
      <c r="S2326">
        <v>3.068085</v>
      </c>
      <c r="T2326">
        <v>-9.8178390000000004E-2</v>
      </c>
      <c r="U2326">
        <v>-0.3471069</v>
      </c>
      <c r="V2326">
        <v>-5.8018019999999997E-2</v>
      </c>
      <c r="W2326">
        <v>0.16783190000000001</v>
      </c>
      <c r="X2326">
        <v>0.98410690000000001</v>
      </c>
      <c r="Y2326">
        <v>8.7405109999999994E-2</v>
      </c>
      <c r="Z2326">
        <v>-1.1732069999999999E-3</v>
      </c>
      <c r="AA2326">
        <v>0.9961721</v>
      </c>
      <c r="AB2326">
        <v>25</v>
      </c>
      <c r="AC2326">
        <v>34.4495</v>
      </c>
      <c r="AD2326">
        <v>-1.110076509285</v>
      </c>
      <c r="AE2326">
        <v>-3.91910000000001</v>
      </c>
      <c r="AF2326">
        <v>3.0505008897129802</v>
      </c>
      <c r="AG2326">
        <v>-1.110076509285</v>
      </c>
      <c r="AH2326">
        <v>34.501609875490502</v>
      </c>
      <c r="AI2326">
        <v>91.835678497964096</v>
      </c>
      <c r="AJ2326">
        <v>84.947264600036107</v>
      </c>
      <c r="AK2326">
        <v>34.653988364041801</v>
      </c>
      <c r="AL2326">
        <v>80.338215137881406</v>
      </c>
      <c r="AM2326">
        <v>93.373967207672607</v>
      </c>
      <c r="AN2326">
        <v>1.0000000139649701</v>
      </c>
    </row>
    <row r="2327" spans="1:40" x14ac:dyDescent="0.25">
      <c r="A2327" t="str">
        <f>"20190304155411506"</f>
        <v>20190304155411506</v>
      </c>
      <c r="B2327" t="str">
        <f>"1551686051499243"</f>
        <v>1551686051499243</v>
      </c>
      <c r="C2327" t="s">
        <v>40</v>
      </c>
      <c r="D2327">
        <v>4.4537440000000004</v>
      </c>
      <c r="E2327">
        <v>0.55666890000000002</v>
      </c>
      <c r="F2327" t="s">
        <v>65</v>
      </c>
      <c r="G2327">
        <v>-414.78390000000002</v>
      </c>
      <c r="H2327" s="1">
        <v>3.4116589999999998E-6</v>
      </c>
      <c r="I2327">
        <v>210.529</v>
      </c>
      <c r="J2327">
        <v>-449.24880000000002</v>
      </c>
      <c r="K2327">
        <v>1.1100570000000001</v>
      </c>
      <c r="L2327">
        <v>214.52690000000001</v>
      </c>
      <c r="M2327">
        <v>0.99967039999999996</v>
      </c>
      <c r="N2327">
        <v>-8.4177609999999993E-3</v>
      </c>
      <c r="O2327">
        <v>-2.425501E-2</v>
      </c>
      <c r="P2327">
        <v>0.98656829999999995</v>
      </c>
      <c r="Q2327">
        <v>0.15984000000000001</v>
      </c>
      <c r="R2327">
        <v>3.3684539999999999E-2</v>
      </c>
      <c r="S2327">
        <v>3.0682680000000002</v>
      </c>
      <c r="T2327">
        <v>-9.7483399999999998E-2</v>
      </c>
      <c r="U2327">
        <v>-0.3520355</v>
      </c>
      <c r="V2327">
        <v>-5.7710379999999999E-2</v>
      </c>
      <c r="W2327">
        <v>0.16809370000000001</v>
      </c>
      <c r="X2327">
        <v>0.98408030000000002</v>
      </c>
      <c r="Y2327">
        <v>8.9805010000000005E-2</v>
      </c>
      <c r="Z2327">
        <v>-1.236914E-3</v>
      </c>
      <c r="AA2327">
        <v>0.99595860000000003</v>
      </c>
      <c r="AB2327">
        <v>25</v>
      </c>
      <c r="AC2327">
        <v>34.4649</v>
      </c>
      <c r="AD2327">
        <v>-1.1100535883409901</v>
      </c>
      <c r="AE2327">
        <v>-3.99789999999998</v>
      </c>
      <c r="AF2327">
        <v>3.15751564438201</v>
      </c>
      <c r="AG2327">
        <v>-1.1100535883409901</v>
      </c>
      <c r="AH2327">
        <v>34.516401495042899</v>
      </c>
      <c r="AI2327">
        <v>91.834353545145603</v>
      </c>
      <c r="AJ2327">
        <v>84.773203894910793</v>
      </c>
      <c r="AK2327">
        <v>34.678294308983901</v>
      </c>
      <c r="AL2327">
        <v>80.322998876981799</v>
      </c>
      <c r="AM2327">
        <v>93.356208290841096</v>
      </c>
      <c r="AN2327">
        <v>1.0000000083937599</v>
      </c>
    </row>
    <row r="2328" spans="1:40" x14ac:dyDescent="0.25">
      <c r="A2328" t="str">
        <f>"20190304155411528"</f>
        <v>20190304155411528</v>
      </c>
      <c r="B2328" t="str">
        <f>"1551686051518762"</f>
        <v>1551686051518762</v>
      </c>
      <c r="C2328" t="s">
        <v>40</v>
      </c>
      <c r="D2328">
        <v>4.5062139999999999</v>
      </c>
      <c r="E2328">
        <v>0.61177879999999996</v>
      </c>
      <c r="F2328" t="s">
        <v>65</v>
      </c>
      <c r="G2328">
        <v>-412.91579999999999</v>
      </c>
      <c r="H2328" s="1">
        <v>3.1048630000000002E-6</v>
      </c>
      <c r="I2328">
        <v>210.24799999999999</v>
      </c>
      <c r="J2328">
        <v>-448.98379999999997</v>
      </c>
      <c r="K2328">
        <v>1.110055</v>
      </c>
      <c r="L2328">
        <v>214.52099999999999</v>
      </c>
      <c r="M2328">
        <v>0.99968109999999999</v>
      </c>
      <c r="N2328">
        <v>-8.4222979999999999E-3</v>
      </c>
      <c r="O2328">
        <v>-2.3806239999999999E-2</v>
      </c>
      <c r="P2328">
        <v>0.98655590000000004</v>
      </c>
      <c r="Q2328">
        <v>0.16001509999999999</v>
      </c>
      <c r="R2328">
        <v>3.320679E-2</v>
      </c>
      <c r="S2328">
        <v>3.0683289999999999</v>
      </c>
      <c r="T2328">
        <v>-9.3744400000000006E-2</v>
      </c>
      <c r="U2328">
        <v>-0.36135859999999997</v>
      </c>
      <c r="V2328">
        <v>-5.6788390000000001E-2</v>
      </c>
      <c r="W2328">
        <v>0.16827420000000001</v>
      </c>
      <c r="X2328">
        <v>0.98410310000000001</v>
      </c>
      <c r="Y2328">
        <v>9.3236250000000007E-2</v>
      </c>
      <c r="Z2328">
        <v>-1.288672E-3</v>
      </c>
      <c r="AA2328">
        <v>0.99564319999999895</v>
      </c>
      <c r="AB2328">
        <v>25</v>
      </c>
      <c r="AC2328">
        <v>36.067999999999898</v>
      </c>
      <c r="AD2328">
        <v>-1.110051895137</v>
      </c>
      <c r="AE2328">
        <v>-4.2729999999999899</v>
      </c>
      <c r="AF2328">
        <v>3.4099297914970901</v>
      </c>
      <c r="AG2328">
        <v>-1.110051895137</v>
      </c>
      <c r="AH2328">
        <v>36.125760201088902</v>
      </c>
      <c r="AI2328">
        <v>91.752214933755099</v>
      </c>
      <c r="AJ2328">
        <v>84.607796987978006</v>
      </c>
      <c r="AK2328">
        <v>36.303310957809501</v>
      </c>
      <c r="AL2328">
        <v>80.312507655335693</v>
      </c>
      <c r="AM2328">
        <v>93.302632293015094</v>
      </c>
      <c r="AN2328">
        <v>1.00000001952702</v>
      </c>
    </row>
    <row r="2329" spans="1:40" x14ac:dyDescent="0.25">
      <c r="A2329" t="str">
        <f>"20190304155411551"</f>
        <v>20190304155411551</v>
      </c>
      <c r="B2329" t="str">
        <f>"1551686051539258"</f>
        <v>1551686051539258</v>
      </c>
      <c r="C2329" t="s">
        <v>40</v>
      </c>
      <c r="D2329">
        <v>4.5143659999999999</v>
      </c>
      <c r="E2329">
        <v>0.61185489999999998</v>
      </c>
      <c r="F2329" t="s">
        <v>65</v>
      </c>
      <c r="G2329">
        <v>-431.56319999999999</v>
      </c>
      <c r="H2329" s="1">
        <v>3.3133140000000001E-6</v>
      </c>
      <c r="I2329">
        <v>210.0052</v>
      </c>
      <c r="J2329">
        <v>-448.74259999999998</v>
      </c>
      <c r="K2329">
        <v>1.1100509999999999</v>
      </c>
      <c r="L2329">
        <v>214.51570000000001</v>
      </c>
      <c r="M2329">
        <v>0.99969070000000004</v>
      </c>
      <c r="N2329">
        <v>-8.4265069999999997E-3</v>
      </c>
      <c r="O2329">
        <v>-2.3400109999999998E-2</v>
      </c>
      <c r="P2329">
        <v>0.98659830000000004</v>
      </c>
      <c r="Q2329">
        <v>0.15986939999999999</v>
      </c>
      <c r="R2329">
        <v>3.2642280000000003E-2</v>
      </c>
      <c r="S2329">
        <v>3.0999759999999998</v>
      </c>
      <c r="T2329">
        <v>-0.19753270000000001</v>
      </c>
      <c r="U2329">
        <v>-0.80358890000000005</v>
      </c>
      <c r="V2329">
        <v>-5.5825399999999997E-2</v>
      </c>
      <c r="W2329">
        <v>0.16813410000000001</v>
      </c>
      <c r="X2329">
        <v>0.98418209999999995</v>
      </c>
      <c r="Y2329">
        <v>0.22775039999999999</v>
      </c>
      <c r="Z2329">
        <v>-6.8373369999999998E-3</v>
      </c>
      <c r="AA2329">
        <v>0.97369559999999999</v>
      </c>
      <c r="AB2329">
        <v>25</v>
      </c>
      <c r="AC2329">
        <v>17.179399999999902</v>
      </c>
      <c r="AD2329">
        <v>-1.1100476866859901</v>
      </c>
      <c r="AE2329">
        <v>-4.5105000000000004</v>
      </c>
      <c r="AF2329">
        <v>4.0912708165861797</v>
      </c>
      <c r="AG2329">
        <v>-1.1100476866859901</v>
      </c>
      <c r="AH2329">
        <v>17.213013960849999</v>
      </c>
      <c r="AI2329">
        <v>93.590086689931496</v>
      </c>
      <c r="AJ2329">
        <v>76.629762103716203</v>
      </c>
      <c r="AK2329">
        <v>17.7273391228854</v>
      </c>
      <c r="AL2329">
        <v>80.320650414391693</v>
      </c>
      <c r="AM2329">
        <v>93.246488639778207</v>
      </c>
      <c r="AN2329">
        <v>0.99999997841418897</v>
      </c>
    </row>
    <row r="2330" spans="1:40" x14ac:dyDescent="0.25">
      <c r="A2330" t="str">
        <f>"20190304155411573"</f>
        <v>20190304155411573</v>
      </c>
      <c r="B2330" t="str">
        <f>"1551686051568660"</f>
        <v>1551686051568660</v>
      </c>
      <c r="C2330" t="s">
        <v>40</v>
      </c>
      <c r="D2330">
        <v>4.3960499999999998</v>
      </c>
      <c r="E2330">
        <v>0.6137688</v>
      </c>
      <c r="F2330" t="s">
        <v>65</v>
      </c>
      <c r="G2330">
        <v>-431.07389999999998</v>
      </c>
      <c r="H2330" s="1">
        <v>3.1039699999999999E-6</v>
      </c>
      <c r="I2330">
        <v>209.91800000000001</v>
      </c>
      <c r="J2330">
        <v>-448.48599999999999</v>
      </c>
      <c r="K2330">
        <v>1.1100479999999999</v>
      </c>
      <c r="L2330">
        <v>214.5102</v>
      </c>
      <c r="M2330">
        <v>0.9997007</v>
      </c>
      <c r="N2330">
        <v>-8.4311270000000001E-3</v>
      </c>
      <c r="O2330">
        <v>-2.296629E-2</v>
      </c>
      <c r="P2330">
        <v>0.98656929999999998</v>
      </c>
      <c r="Q2330">
        <v>0.16015850000000001</v>
      </c>
      <c r="R2330">
        <v>3.2099299999999997E-2</v>
      </c>
      <c r="S2330">
        <v>3.0989689999999999</v>
      </c>
      <c r="T2330">
        <v>-0.1946956</v>
      </c>
      <c r="U2330">
        <v>-0.80641169999999995</v>
      </c>
      <c r="V2330">
        <v>-5.4855830000000001E-2</v>
      </c>
      <c r="W2330">
        <v>0.16842789999999999</v>
      </c>
      <c r="X2330">
        <v>0.98418640000000002</v>
      </c>
      <c r="Y2330">
        <v>0.22908880000000001</v>
      </c>
      <c r="Z2330">
        <v>-6.8281339999999996E-3</v>
      </c>
      <c r="AA2330">
        <v>0.97338159999999896</v>
      </c>
      <c r="AB2330">
        <v>25</v>
      </c>
      <c r="AC2330">
        <v>17.412099999999999</v>
      </c>
      <c r="AD2330">
        <v>-1.11004489602999</v>
      </c>
      <c r="AE2330">
        <v>-4.5921999999999903</v>
      </c>
      <c r="AF2330">
        <v>4.1752176170686903</v>
      </c>
      <c r="AG2330">
        <v>-1.11004489602999</v>
      </c>
      <c r="AH2330">
        <v>17.446680535901201</v>
      </c>
      <c r="AI2330">
        <v>93.540820407369907</v>
      </c>
      <c r="AJ2330">
        <v>76.541490446075002</v>
      </c>
      <c r="AK2330">
        <v>17.973628001682801</v>
      </c>
      <c r="AL2330">
        <v>80.303573539517998</v>
      </c>
      <c r="AM2330">
        <v>93.190207529331403</v>
      </c>
      <c r="AN2330">
        <v>0.999999994764179</v>
      </c>
    </row>
    <row r="2331" spans="1:40" x14ac:dyDescent="0.25">
      <c r="A2331" t="str">
        <f>"20190304155411594"</f>
        <v>20190304155411594</v>
      </c>
      <c r="B2331" t="str">
        <f>"1551686051589156"</f>
        <v>1551686051589156</v>
      </c>
      <c r="C2331" t="s">
        <v>40</v>
      </c>
      <c r="D2331">
        <v>4.5172660000000002</v>
      </c>
      <c r="E2331">
        <v>0.61166309999999902</v>
      </c>
      <c r="F2331" t="s">
        <v>65</v>
      </c>
      <c r="G2331">
        <v>-430.21420000000001</v>
      </c>
      <c r="H2331" s="1">
        <v>2.7456049999999999E-6</v>
      </c>
      <c r="I2331">
        <v>209.65629999999999</v>
      </c>
      <c r="J2331">
        <v>-448.25830000000002</v>
      </c>
      <c r="K2331">
        <v>1.110047</v>
      </c>
      <c r="L2331">
        <v>214.50540000000001</v>
      </c>
      <c r="M2331">
        <v>0.99970959999999998</v>
      </c>
      <c r="N2331">
        <v>-8.4352699999999999E-3</v>
      </c>
      <c r="O2331">
        <v>-2.2578129999999998E-2</v>
      </c>
      <c r="P2331">
        <v>0.98661489999999996</v>
      </c>
      <c r="Q2331">
        <v>0.15999389999999999</v>
      </c>
      <c r="R2331">
        <v>3.1516479999999999E-2</v>
      </c>
      <c r="S2331">
        <v>3.0981749999999999</v>
      </c>
      <c r="T2331">
        <v>-0.18822050000000001</v>
      </c>
      <c r="U2331">
        <v>-0.8230286</v>
      </c>
      <c r="V2331">
        <v>-5.3892889999999999E-2</v>
      </c>
      <c r="W2331">
        <v>0.1682681</v>
      </c>
      <c r="X2331">
        <v>0.98426689999999994</v>
      </c>
      <c r="Y2331">
        <v>0.23442360000000001</v>
      </c>
      <c r="Z2331">
        <v>-6.8411059999999996E-3</v>
      </c>
      <c r="AA2331">
        <v>0.97211049999999999</v>
      </c>
      <c r="AB2331">
        <v>25</v>
      </c>
      <c r="AC2331">
        <v>18.0441</v>
      </c>
      <c r="AD2331">
        <v>-1.110044254395</v>
      </c>
      <c r="AE2331">
        <v>-4.8491000000000204</v>
      </c>
      <c r="AF2331">
        <v>4.4248293813912998</v>
      </c>
      <c r="AG2331">
        <v>-1.110044254395</v>
      </c>
      <c r="AH2331">
        <v>18.0851538692052</v>
      </c>
      <c r="AI2331">
        <v>93.411947531403698</v>
      </c>
      <c r="AJ2331">
        <v>76.251732560350803</v>
      </c>
      <c r="AK2331">
        <v>18.651651502587299</v>
      </c>
      <c r="AL2331">
        <v>80.312861669845205</v>
      </c>
      <c r="AM2331">
        <v>93.1340633985252</v>
      </c>
      <c r="AN2331">
        <v>0.99999996375288502</v>
      </c>
    </row>
    <row r="2332" spans="1:40" x14ac:dyDescent="0.25">
      <c r="A2332" t="str">
        <f>"20190304155411617"</f>
        <v>20190304155411617</v>
      </c>
      <c r="B2332" t="str">
        <f>"1551686051608676"</f>
        <v>1551686051608676</v>
      </c>
      <c r="C2332" t="s">
        <v>40</v>
      </c>
      <c r="D2332">
        <v>4.4938589999999996</v>
      </c>
      <c r="E2332">
        <v>0.61397639999999998</v>
      </c>
      <c r="F2332" t="s">
        <v>65</v>
      </c>
      <c r="G2332">
        <v>-430.47340000000003</v>
      </c>
      <c r="H2332" s="1">
        <v>2.8421120000000002E-6</v>
      </c>
      <c r="I2332">
        <v>209.86699999999999</v>
      </c>
      <c r="J2332">
        <v>-447.99599999999998</v>
      </c>
      <c r="K2332">
        <v>1.110055</v>
      </c>
      <c r="L2332">
        <v>214.5</v>
      </c>
      <c r="M2332">
        <v>0.99971960000000004</v>
      </c>
      <c r="N2332">
        <v>-8.4400789999999996E-3</v>
      </c>
      <c r="O2332">
        <v>-2.2125829999999999E-2</v>
      </c>
      <c r="P2332">
        <v>0.98672409999999999</v>
      </c>
      <c r="Q2332">
        <v>0.159437</v>
      </c>
      <c r="R2332">
        <v>3.0915439999999999E-2</v>
      </c>
      <c r="S2332">
        <v>3.0978699999999999</v>
      </c>
      <c r="T2332">
        <v>-0.19335369999999999</v>
      </c>
      <c r="U2332">
        <v>-0.80793760000000003</v>
      </c>
      <c r="V2332">
        <v>-5.2850349999999997E-2</v>
      </c>
      <c r="W2332">
        <v>0.16771720000000001</v>
      </c>
      <c r="X2332">
        <v>0.98441749999999995</v>
      </c>
      <c r="Y2332">
        <v>0.23044139999999999</v>
      </c>
      <c r="Z2332">
        <v>-6.8838679999999996E-3</v>
      </c>
      <c r="AA2332">
        <v>0.97306190000000004</v>
      </c>
      <c r="AB2332">
        <v>25</v>
      </c>
      <c r="AC2332">
        <v>17.522599999999901</v>
      </c>
      <c r="AD2332">
        <v>-1.110052157888</v>
      </c>
      <c r="AE2332">
        <v>-4.6329999999999796</v>
      </c>
      <c r="AF2332">
        <v>4.2282896931846903</v>
      </c>
      <c r="AG2332">
        <v>-1.110052157888</v>
      </c>
      <c r="AH2332">
        <v>17.5549745491364</v>
      </c>
      <c r="AI2332">
        <v>93.5178232409461</v>
      </c>
      <c r="AJ2332">
        <v>76.457689632167302</v>
      </c>
      <c r="AK2332">
        <v>18.0910967313635</v>
      </c>
      <c r="AL2332">
        <v>80.344881480759398</v>
      </c>
      <c r="AM2332">
        <v>93.073084068775799</v>
      </c>
      <c r="AN2332">
        <v>1.0000000164886</v>
      </c>
    </row>
    <row r="2333" spans="1:40" x14ac:dyDescent="0.25">
      <c r="A2333" t="str">
        <f>"20190304155411640"</f>
        <v>20190304155411640</v>
      </c>
      <c r="B2333" t="str">
        <f>"1551686051629172"</f>
        <v>1551686051629172</v>
      </c>
      <c r="C2333" t="s">
        <v>40</v>
      </c>
      <c r="D2333">
        <v>4.5064229999999998</v>
      </c>
      <c r="E2333">
        <v>0.61522369999999904</v>
      </c>
      <c r="F2333" t="s">
        <v>65</v>
      </c>
      <c r="G2333">
        <v>-430.17110000000002</v>
      </c>
      <c r="H2333" s="1">
        <v>2.7199180000000001E-6</v>
      </c>
      <c r="I2333">
        <v>209.73150000000001</v>
      </c>
      <c r="J2333">
        <v>-447.7355</v>
      </c>
      <c r="K2333">
        <v>1.1100559999999999</v>
      </c>
      <c r="L2333">
        <v>214.49469999999999</v>
      </c>
      <c r="M2333">
        <v>0.9997296</v>
      </c>
      <c r="N2333">
        <v>-8.4449250000000007E-3</v>
      </c>
      <c r="O2333">
        <v>-2.1672110000000001E-2</v>
      </c>
      <c r="P2333">
        <v>0.98682859999999994</v>
      </c>
      <c r="Q2333">
        <v>0.15887009999999999</v>
      </c>
      <c r="R2333">
        <v>3.0497529999999998E-2</v>
      </c>
      <c r="S2333">
        <v>3.0975649999999999</v>
      </c>
      <c r="T2333">
        <v>-0.19290180000000001</v>
      </c>
      <c r="U2333">
        <v>-0.82865909999999998</v>
      </c>
      <c r="V2333">
        <v>-5.1988350000000003E-2</v>
      </c>
      <c r="W2333">
        <v>0.1671559</v>
      </c>
      <c r="X2333">
        <v>0.98455879999999996</v>
      </c>
      <c r="Y2333">
        <v>0.2369744</v>
      </c>
      <c r="Z2333">
        <v>-7.1194090000000002E-3</v>
      </c>
      <c r="AA2333">
        <v>0.97148979999999996</v>
      </c>
      <c r="AB2333">
        <v>25</v>
      </c>
      <c r="AC2333">
        <v>17.5643999999999</v>
      </c>
      <c r="AD2333">
        <v>-1.110053280082</v>
      </c>
      <c r="AE2333">
        <v>-4.7631999999999799</v>
      </c>
      <c r="AF2333">
        <v>4.36516941763578</v>
      </c>
      <c r="AG2333">
        <v>-1.110053280082</v>
      </c>
      <c r="AH2333">
        <v>17.598033029591999</v>
      </c>
      <c r="AI2333">
        <v>93.503441203470999</v>
      </c>
      <c r="AJ2333">
        <v>76.069028837914701</v>
      </c>
      <c r="AK2333">
        <v>18.165288019734099</v>
      </c>
      <c r="AL2333">
        <v>80.377501534544507</v>
      </c>
      <c r="AM2333">
        <v>93.022622127197394</v>
      </c>
      <c r="AN2333">
        <v>0.99999995704898503</v>
      </c>
    </row>
    <row r="2334" spans="1:40" x14ac:dyDescent="0.25">
      <c r="A2334" t="str">
        <f>"20190304155411684"</f>
        <v>20190304155411684</v>
      </c>
      <c r="B2334" t="str">
        <f>"1551686051679354"</f>
        <v>1551686051679354</v>
      </c>
      <c r="C2334" t="s">
        <v>40</v>
      </c>
      <c r="D2334">
        <v>4.5703519999999997</v>
      </c>
      <c r="E2334">
        <v>0.61832719999999997</v>
      </c>
      <c r="F2334" t="s">
        <v>65</v>
      </c>
      <c r="G2334">
        <v>-429.82850000000002</v>
      </c>
      <c r="H2334" s="1">
        <v>2.6566990000000001E-6</v>
      </c>
      <c r="I2334">
        <v>209.63480000000001</v>
      </c>
      <c r="J2334">
        <v>-447.24950000000001</v>
      </c>
      <c r="K2334">
        <v>1.110063</v>
      </c>
      <c r="L2334">
        <v>214.48519999999999</v>
      </c>
      <c r="M2334">
        <v>0.99974779999999996</v>
      </c>
      <c r="N2334">
        <v>-8.4542769999999996E-3</v>
      </c>
      <c r="O2334">
        <v>-2.0813660000000001E-2</v>
      </c>
      <c r="P2334">
        <v>0.98690909999999998</v>
      </c>
      <c r="Q2334">
        <v>0.15843479999999999</v>
      </c>
      <c r="R2334">
        <v>3.0151290000000001E-2</v>
      </c>
      <c r="S2334">
        <v>3.096924</v>
      </c>
      <c r="T2334">
        <v>-0.19197790000000001</v>
      </c>
      <c r="U2334">
        <v>-0.84049989999999997</v>
      </c>
      <c r="V2334">
        <v>-5.0800030000000003E-2</v>
      </c>
      <c r="W2334">
        <v>0.16673089999999999</v>
      </c>
      <c r="X2334">
        <v>0.98469289999999998</v>
      </c>
      <c r="Y2334">
        <v>0.24131340000000001</v>
      </c>
      <c r="Z2334">
        <v>-7.286809E-3</v>
      </c>
      <c r="AA2334">
        <v>0.9704199</v>
      </c>
      <c r="AB2334">
        <v>25</v>
      </c>
      <c r="AC2334">
        <v>17.4209999999999</v>
      </c>
      <c r="AD2334">
        <v>-1.1100603433009999</v>
      </c>
      <c r="AE2334">
        <v>-4.8503999999999703</v>
      </c>
      <c r="AF2334">
        <v>4.4698985183398898</v>
      </c>
      <c r="AG2334">
        <v>-1.1100603433009999</v>
      </c>
      <c r="AH2334">
        <v>17.452421618165701</v>
      </c>
      <c r="AI2334">
        <v>93.525886486987304</v>
      </c>
      <c r="AJ2334">
        <v>75.634259416595597</v>
      </c>
      <c r="AK2334">
        <v>18.0499098908622</v>
      </c>
      <c r="AL2334">
        <v>80.402198973936706</v>
      </c>
      <c r="AM2334">
        <v>92.953254992676605</v>
      </c>
      <c r="AN2334">
        <v>0.99999997168661003</v>
      </c>
    </row>
    <row r="2335" spans="1:40" x14ac:dyDescent="0.25">
      <c r="A2335" t="str">
        <f>"20190304155411705"</f>
        <v>20190304155411705</v>
      </c>
      <c r="B2335" t="str">
        <f>"1551686051698874"</f>
        <v>1551686051698874</v>
      </c>
      <c r="C2335" t="s">
        <v>40</v>
      </c>
      <c r="D2335">
        <v>4.5803779999999996</v>
      </c>
      <c r="E2335">
        <v>0.62004759999999903</v>
      </c>
      <c r="F2335" t="s">
        <v>65</v>
      </c>
      <c r="G2335">
        <v>-429.21010000000001</v>
      </c>
      <c r="H2335" s="1">
        <v>2.815456E-6</v>
      </c>
      <c r="I2335">
        <v>209.43709999999999</v>
      </c>
      <c r="J2335">
        <v>-446.99590000000001</v>
      </c>
      <c r="K2335">
        <v>1.1100650000000001</v>
      </c>
      <c r="L2335">
        <v>214.4804</v>
      </c>
      <c r="M2335">
        <v>0.99975709999999995</v>
      </c>
      <c r="N2335">
        <v>-8.4592250000000008E-3</v>
      </c>
      <c r="O2335">
        <v>-2.0360400000000001E-2</v>
      </c>
      <c r="P2335">
        <v>0.98693699999999995</v>
      </c>
      <c r="Q2335">
        <v>0.15818399999999999</v>
      </c>
      <c r="R2335">
        <v>3.054724E-2</v>
      </c>
      <c r="S2335">
        <v>3.0968629999999999</v>
      </c>
      <c r="T2335">
        <v>-0.19056690000000001</v>
      </c>
      <c r="U2335">
        <v>-0.86662289999999997</v>
      </c>
      <c r="V2335">
        <v>-5.0751919999999999E-2</v>
      </c>
      <c r="W2335">
        <v>0.16648499999999999</v>
      </c>
      <c r="X2335">
        <v>0.98473699999999997</v>
      </c>
      <c r="Y2335">
        <v>0.24934829999999999</v>
      </c>
      <c r="Z2335">
        <v>-7.5379119999999999E-3</v>
      </c>
      <c r="AA2335">
        <v>0.96838460000000004</v>
      </c>
      <c r="AB2335">
        <v>25</v>
      </c>
      <c r="AC2335">
        <v>17.785799999999899</v>
      </c>
      <c r="AD2335">
        <v>-1.110062184544</v>
      </c>
      <c r="AE2335">
        <v>-5.0433000000000101</v>
      </c>
      <c r="AF2335">
        <v>4.6633022124843801</v>
      </c>
      <c r="AG2335">
        <v>-1.110062184544</v>
      </c>
      <c r="AH2335">
        <v>17.820548742515399</v>
      </c>
      <c r="AI2335">
        <v>93.448588543113303</v>
      </c>
      <c r="AJ2335">
        <v>75.335595545363901</v>
      </c>
      <c r="AK2335">
        <v>18.454012654782801</v>
      </c>
      <c r="AL2335">
        <v>80.416487854576204</v>
      </c>
      <c r="AM2335">
        <v>92.950331167764901</v>
      </c>
      <c r="AN2335">
        <v>0.99999998588884298</v>
      </c>
    </row>
    <row r="2336" spans="1:40" x14ac:dyDescent="0.25">
      <c r="A2336" t="str">
        <f>"20190304155411728"</f>
        <v>20190304155411728</v>
      </c>
      <c r="B2336" t="str">
        <f>"1551686051719370"</f>
        <v>1551686051719370</v>
      </c>
      <c r="C2336" t="s">
        <v>40</v>
      </c>
      <c r="D2336">
        <v>4.520969</v>
      </c>
      <c r="E2336">
        <v>0.62167759999999905</v>
      </c>
      <c r="F2336" t="s">
        <v>65</v>
      </c>
      <c r="G2336">
        <v>-428.91419999999999</v>
      </c>
      <c r="H2336" s="1">
        <v>2.8911090000000002E-6</v>
      </c>
      <c r="I2336">
        <v>209.34960000000001</v>
      </c>
      <c r="J2336">
        <v>-446.74099999999999</v>
      </c>
      <c r="K2336">
        <v>1.11007099999999</v>
      </c>
      <c r="L2336">
        <v>214.47579999999999</v>
      </c>
      <c r="M2336">
        <v>0.9997663</v>
      </c>
      <c r="N2336">
        <v>-8.4641760000000003E-3</v>
      </c>
      <c r="O2336">
        <v>-1.99013E-2</v>
      </c>
      <c r="P2336">
        <v>0.98696360000000005</v>
      </c>
      <c r="Q2336">
        <v>0.15786810000000001</v>
      </c>
      <c r="R2336">
        <v>3.1319319999999998E-2</v>
      </c>
      <c r="S2336">
        <v>3.0973820000000001</v>
      </c>
      <c r="T2336">
        <v>-0.19015290000000001</v>
      </c>
      <c r="U2336">
        <v>-0.87890630000000003</v>
      </c>
      <c r="V2336">
        <v>-5.1073460000000001E-2</v>
      </c>
      <c r="W2336">
        <v>0.16617319999999999</v>
      </c>
      <c r="X2336">
        <v>0.98477300000000001</v>
      </c>
      <c r="Y2336">
        <v>0.25330059999999999</v>
      </c>
      <c r="Z2336">
        <v>-7.6808279999999998E-3</v>
      </c>
      <c r="AA2336">
        <v>0.96735720000000003</v>
      </c>
      <c r="AB2336">
        <v>25</v>
      </c>
      <c r="AC2336">
        <v>17.826799999999899</v>
      </c>
      <c r="AD2336">
        <v>-1.1100681088909901</v>
      </c>
      <c r="AE2336">
        <v>-5.1261999999999803</v>
      </c>
      <c r="AF2336">
        <v>4.7533719643724499</v>
      </c>
      <c r="AG2336">
        <v>-1.1100681088909901</v>
      </c>
      <c r="AH2336">
        <v>17.861322843894001</v>
      </c>
      <c r="AI2336">
        <v>93.436990748410494</v>
      </c>
      <c r="AJ2336">
        <v>75.097479363681899</v>
      </c>
      <c r="AK2336">
        <v>18.516307676528498</v>
      </c>
      <c r="AL2336">
        <v>80.434604662105002</v>
      </c>
      <c r="AM2336">
        <v>92.968881381435693</v>
      </c>
      <c r="AN2336">
        <v>0.99999994612180398</v>
      </c>
    </row>
    <row r="2337" spans="1:40" x14ac:dyDescent="0.25">
      <c r="A2337" t="str">
        <f>"20190304155411750"</f>
        <v>20190304155411750</v>
      </c>
      <c r="B2337" t="str">
        <f>"1551686051738891"</f>
        <v>1551686051738891</v>
      </c>
      <c r="C2337" t="s">
        <v>40</v>
      </c>
      <c r="D2337">
        <v>4.422002</v>
      </c>
      <c r="E2337">
        <v>0.62272749999999999</v>
      </c>
      <c r="F2337" t="s">
        <v>65</v>
      </c>
      <c r="G2337">
        <v>-428.68790000000001</v>
      </c>
      <c r="H2337" s="1">
        <v>2.9455469999999998E-6</v>
      </c>
      <c r="I2337">
        <v>209.29560000000001</v>
      </c>
      <c r="J2337">
        <v>-446.49770000000001</v>
      </c>
      <c r="K2337">
        <v>1.110077</v>
      </c>
      <c r="L2337">
        <v>214.47139999999999</v>
      </c>
      <c r="M2337">
        <v>0.99977490000000002</v>
      </c>
      <c r="N2337">
        <v>-8.4690430000000008E-3</v>
      </c>
      <c r="O2337">
        <v>-1.9453379999999999E-2</v>
      </c>
      <c r="P2337">
        <v>0.98689959999999999</v>
      </c>
      <c r="Q2337">
        <v>0.1581698</v>
      </c>
      <c r="R2337">
        <v>3.180964E-2</v>
      </c>
      <c r="S2337">
        <v>3.0983890000000001</v>
      </c>
      <c r="T2337">
        <v>-0.1905174</v>
      </c>
      <c r="U2337">
        <v>-0.88905330000000005</v>
      </c>
      <c r="V2337">
        <v>-5.1124330000000003E-2</v>
      </c>
      <c r="W2337">
        <v>0.1664784</v>
      </c>
      <c r="X2337">
        <v>0.98471889999999995</v>
      </c>
      <c r="Y2337">
        <v>0.25657140000000001</v>
      </c>
      <c r="Z2337">
        <v>-7.8252300000000007E-3</v>
      </c>
      <c r="AA2337">
        <v>0.96649359999999995</v>
      </c>
      <c r="AB2337">
        <v>25</v>
      </c>
      <c r="AC2337">
        <v>17.8097999999999</v>
      </c>
      <c r="AD2337">
        <v>-1.1100740544529999</v>
      </c>
      <c r="AE2337">
        <v>-5.1757999999999802</v>
      </c>
      <c r="AF2337">
        <v>4.8111119565726304</v>
      </c>
      <c r="AG2337">
        <v>-1.1100740544529999</v>
      </c>
      <c r="AH2337">
        <v>17.843198564280101</v>
      </c>
      <c r="AI2337">
        <v>93.437485282685401</v>
      </c>
      <c r="AJ2337">
        <v>74.910035070542705</v>
      </c>
      <c r="AK2337">
        <v>18.513746181401899</v>
      </c>
      <c r="AL2337">
        <v>80.416871818308906</v>
      </c>
      <c r="AM2337">
        <v>92.971996116068993</v>
      </c>
      <c r="AN2337">
        <v>1.0000000334008501</v>
      </c>
    </row>
    <row r="2338" spans="1:40" x14ac:dyDescent="0.25">
      <c r="A2338" t="str">
        <f>"20190304155411928"</f>
        <v>20190304155411928</v>
      </c>
      <c r="B2338" t="str">
        <f>"1551686051918981"</f>
        <v>1551686051918981</v>
      </c>
      <c r="C2338" t="s">
        <v>40</v>
      </c>
      <c r="D2338">
        <v>4.4450190000000003</v>
      </c>
      <c r="E2338">
        <v>0.62447519999999901</v>
      </c>
      <c r="F2338" t="s">
        <v>65</v>
      </c>
      <c r="G2338">
        <v>-428.21359999999999</v>
      </c>
      <c r="H2338" s="1">
        <v>3.0585559999999999E-6</v>
      </c>
      <c r="I2338">
        <v>209.1866</v>
      </c>
      <c r="J2338">
        <v>-444.44159999999999</v>
      </c>
      <c r="K2338">
        <v>1.110188</v>
      </c>
      <c r="L2338">
        <v>214.44</v>
      </c>
      <c r="M2338">
        <v>0.99985190000000002</v>
      </c>
      <c r="N2338">
        <v>-8.5118190000000003E-3</v>
      </c>
      <c r="O2338">
        <v>-1.496686E-2</v>
      </c>
      <c r="P2338">
        <v>0.98700509999999997</v>
      </c>
      <c r="Q2338">
        <v>0.15692439999999999</v>
      </c>
      <c r="R2338">
        <v>3.4581199999999902E-2</v>
      </c>
      <c r="S2338">
        <v>3.098846</v>
      </c>
      <c r="T2338">
        <v>-0.1881391</v>
      </c>
      <c r="U2338">
        <v>-0.89569089999999996</v>
      </c>
      <c r="V2338">
        <v>-4.9520679999999997E-2</v>
      </c>
      <c r="W2338">
        <v>0.16526379999999999</v>
      </c>
      <c r="X2338">
        <v>0.98500540000000003</v>
      </c>
      <c r="Y2338">
        <v>0.2627698</v>
      </c>
      <c r="Z2338">
        <v>-8.1874700000000005E-3</v>
      </c>
      <c r="AA2338">
        <v>0.96482380000000001</v>
      </c>
      <c r="AB2338">
        <v>26</v>
      </c>
      <c r="AC2338">
        <v>16.228000000000002</v>
      </c>
      <c r="AD2338">
        <v>-1.1101849414439999</v>
      </c>
      <c r="AE2338">
        <v>-5.2533999999999903</v>
      </c>
      <c r="AF2338">
        <v>4.9887869828791098</v>
      </c>
      <c r="AG2338">
        <v>-1.1101849414439999</v>
      </c>
      <c r="AH2338">
        <v>16.236032591870899</v>
      </c>
      <c r="AI2338">
        <v>93.739643324298399</v>
      </c>
      <c r="AJ2338">
        <v>72.919566880647594</v>
      </c>
      <c r="AK2338">
        <v>17.021435323997999</v>
      </c>
      <c r="AL2338">
        <v>80.487440800177794</v>
      </c>
      <c r="AM2338">
        <v>92.878094990817601</v>
      </c>
      <c r="AN2338">
        <v>1.00000002968363</v>
      </c>
    </row>
    <row r="2339" spans="1:40" x14ac:dyDescent="0.25">
      <c r="A2339" t="str">
        <f>"20190304155411953"</f>
        <v>20190304155411953</v>
      </c>
      <c r="B2339" t="str">
        <f>"1551686051949237"</f>
        <v>1551686051949237</v>
      </c>
      <c r="C2339" t="s">
        <v>40</v>
      </c>
      <c r="D2339">
        <v>4.2305129999999904</v>
      </c>
      <c r="E2339">
        <v>0.57347360000000003</v>
      </c>
      <c r="F2339" t="s">
        <v>65</v>
      </c>
      <c r="G2339">
        <v>-425.92630000000003</v>
      </c>
      <c r="H2339" s="1">
        <v>3.501161E-6</v>
      </c>
      <c r="I2339">
        <v>209.04730000000001</v>
      </c>
      <c r="J2339">
        <v>-444.15809999999999</v>
      </c>
      <c r="K2339">
        <v>1.110198</v>
      </c>
      <c r="L2339">
        <v>214.4366</v>
      </c>
      <c r="M2339">
        <v>0.99986229999999998</v>
      </c>
      <c r="N2339">
        <v>-8.5179160000000004E-3</v>
      </c>
      <c r="O2339">
        <v>-1.4254630000000001E-2</v>
      </c>
      <c r="P2339">
        <v>0.98690460000000002</v>
      </c>
      <c r="Q2339">
        <v>0.15731229999999999</v>
      </c>
      <c r="R2339">
        <v>3.5672019999999999E-2</v>
      </c>
      <c r="S2339">
        <v>3.1007389999999999</v>
      </c>
      <c r="T2339">
        <v>-0.18592149999999999</v>
      </c>
      <c r="U2339">
        <v>-0.90310670000000004</v>
      </c>
      <c r="V2339">
        <v>-4.991284E-2</v>
      </c>
      <c r="W2339">
        <v>0.165655</v>
      </c>
      <c r="X2339">
        <v>0.98491980000000001</v>
      </c>
      <c r="Y2339">
        <v>0.26543290000000003</v>
      </c>
      <c r="Z2339">
        <v>-8.2265319999999999E-3</v>
      </c>
      <c r="AA2339">
        <v>0.96409420000000001</v>
      </c>
      <c r="AB2339">
        <v>26</v>
      </c>
      <c r="AC2339">
        <v>18.2317999999999</v>
      </c>
      <c r="AD2339">
        <v>-1.110194498839</v>
      </c>
      <c r="AE2339">
        <v>-5.3892999999999898</v>
      </c>
      <c r="AF2339">
        <v>5.1114253361364197</v>
      </c>
      <c r="AG2339">
        <v>-1.110194498839</v>
      </c>
      <c r="AH2339">
        <v>18.244558228114201</v>
      </c>
      <c r="AI2339">
        <v>93.353388678338106</v>
      </c>
      <c r="AJ2339">
        <v>74.349165964769796</v>
      </c>
      <c r="AK2339">
        <v>18.979544402624601</v>
      </c>
      <c r="AL2339">
        <v>80.464712582951194</v>
      </c>
      <c r="AM2339">
        <v>92.901099865808803</v>
      </c>
      <c r="AN2339">
        <v>0.99999994152695104</v>
      </c>
    </row>
    <row r="2340" spans="1:40" x14ac:dyDescent="0.25">
      <c r="A2340" t="str">
        <f>"20190304155411973"</f>
        <v>20190304155411973</v>
      </c>
      <c r="B2340" t="str">
        <f>"1551686051968757"</f>
        <v>1551686051968757</v>
      </c>
      <c r="C2340" t="s">
        <v>40</v>
      </c>
      <c r="D2340">
        <v>4.2707069999999998</v>
      </c>
      <c r="E2340">
        <v>0.51788389999999995</v>
      </c>
      <c r="F2340" t="s">
        <v>70</v>
      </c>
      <c r="G2340">
        <v>-165.1994</v>
      </c>
      <c r="H2340">
        <v>19.993390000000002</v>
      </c>
      <c r="I2340">
        <v>169.726</v>
      </c>
      <c r="J2340">
        <v>-443.91730000000001</v>
      </c>
      <c r="K2340">
        <v>1.1102110000000001</v>
      </c>
      <c r="L2340">
        <v>214.43379999999999</v>
      </c>
      <c r="M2340">
        <v>0.99987079999999995</v>
      </c>
      <c r="N2340">
        <v>-8.5230429999999992E-3</v>
      </c>
      <c r="O2340">
        <v>-1.36343E-2</v>
      </c>
      <c r="P2340">
        <v>0.9869019</v>
      </c>
      <c r="Q2340">
        <v>0.15693099999999999</v>
      </c>
      <c r="R2340">
        <v>3.7385170000000002E-2</v>
      </c>
      <c r="S2340">
        <v>3.024689</v>
      </c>
      <c r="T2340">
        <v>0.2047467</v>
      </c>
      <c r="U2340">
        <v>-0.48478700000000002</v>
      </c>
      <c r="V2340">
        <v>-5.1018359999999999E-2</v>
      </c>
      <c r="W2340">
        <v>0.16527600000000001</v>
      </c>
      <c r="X2340">
        <v>0.98492690000000005</v>
      </c>
      <c r="Y2340">
        <v>0.14453679999999999</v>
      </c>
      <c r="Z2340">
        <v>3.2039099999999999E-3</v>
      </c>
      <c r="AA2340">
        <v>0.98949419999999999</v>
      </c>
      <c r="AB2340">
        <v>26</v>
      </c>
      <c r="AC2340">
        <v>278.71789999999999</v>
      </c>
      <c r="AD2340">
        <v>18.883178999999998</v>
      </c>
      <c r="AE2340">
        <v>-44.707799999999899</v>
      </c>
      <c r="AF2340">
        <v>40.721157978298699</v>
      </c>
      <c r="AG2340">
        <v>18.883178999999998</v>
      </c>
      <c r="AH2340">
        <v>278.05728205544301</v>
      </c>
      <c r="AI2340">
        <v>86.155825030248593</v>
      </c>
      <c r="AJ2340">
        <v>81.668328230636803</v>
      </c>
      <c r="AK2340">
        <v>281.65695315454201</v>
      </c>
      <c r="AL2340">
        <v>80.486731892535701</v>
      </c>
      <c r="AM2340">
        <v>92.965221582998794</v>
      </c>
      <c r="AN2340">
        <v>1.00000001378834</v>
      </c>
    </row>
    <row r="2341" spans="1:40" x14ac:dyDescent="0.25">
      <c r="A2341" t="str">
        <f>"20190304155411996"</f>
        <v>20190304155411996</v>
      </c>
      <c r="B2341" t="str">
        <f>"1551686051989253"</f>
        <v>1551686051989253</v>
      </c>
      <c r="C2341" t="s">
        <v>40</v>
      </c>
      <c r="D2341">
        <v>4.2346870000000001</v>
      </c>
      <c r="E2341">
        <v>0.51330909999999996</v>
      </c>
      <c r="F2341" t="s">
        <v>63</v>
      </c>
      <c r="G2341">
        <v>-390.59350000000001</v>
      </c>
      <c r="H2341" s="1">
        <v>-1.22096E-6</v>
      </c>
      <c r="I2341">
        <v>213.6848</v>
      </c>
      <c r="J2341">
        <v>-443.65449999999998</v>
      </c>
      <c r="K2341">
        <v>1.110225</v>
      </c>
      <c r="L2341">
        <v>214.43100000000001</v>
      </c>
      <c r="M2341">
        <v>0.99987990000000004</v>
      </c>
      <c r="N2341">
        <v>-8.5285919999999998E-3</v>
      </c>
      <c r="O2341">
        <v>-1.294004E-2</v>
      </c>
      <c r="P2341">
        <v>0.98685710000000004</v>
      </c>
      <c r="Q2341">
        <v>0.1568213</v>
      </c>
      <c r="R2341">
        <v>3.8990810000000001E-2</v>
      </c>
      <c r="S2341">
        <v>3.0515140000000001</v>
      </c>
      <c r="T2341">
        <v>-6.3533069999999997E-2</v>
      </c>
      <c r="U2341">
        <v>-4.2861940000000001E-2</v>
      </c>
      <c r="V2341">
        <v>-5.1944490000000003E-2</v>
      </c>
      <c r="W2341">
        <v>0.16516829999999999</v>
      </c>
      <c r="X2341">
        <v>0.98489649999999995</v>
      </c>
      <c r="Y2341">
        <v>1.1049709999999999E-3</v>
      </c>
      <c r="Z2341">
        <v>1.427911E-4</v>
      </c>
      <c r="AA2341">
        <v>0.99999939999999998</v>
      </c>
      <c r="AB2341">
        <v>26</v>
      </c>
      <c r="AC2341">
        <v>53.0609999999999</v>
      </c>
      <c r="AD2341">
        <v>-1.11022622096</v>
      </c>
      <c r="AE2341">
        <v>-0.74619999999998698</v>
      </c>
      <c r="AF2341">
        <v>5.9475050252538603E-2</v>
      </c>
      <c r="AG2341">
        <v>-1.11022622096</v>
      </c>
      <c r="AH2341">
        <v>53.042995873696199</v>
      </c>
      <c r="AI2341">
        <v>91.1990640603819</v>
      </c>
      <c r="AJ2341">
        <v>89.935756495620197</v>
      </c>
      <c r="AK2341">
        <v>53.054646835128899</v>
      </c>
      <c r="AL2341">
        <v>80.492988088941104</v>
      </c>
      <c r="AM2341">
        <v>93.019043209125797</v>
      </c>
      <c r="AN2341">
        <v>0.999999956539249</v>
      </c>
    </row>
    <row r="2342" spans="1:40" x14ac:dyDescent="0.25">
      <c r="A2342" t="str">
        <f>"20190304155412018"</f>
        <v>20190304155412018</v>
      </c>
      <c r="B2342" t="str">
        <f>"1551686052008775"</f>
        <v>1551686052008775</v>
      </c>
      <c r="C2342" t="s">
        <v>40</v>
      </c>
      <c r="D2342">
        <v>4.2138080000000002</v>
      </c>
      <c r="E2342">
        <v>0.51288069999999997</v>
      </c>
      <c r="F2342" t="s">
        <v>63</v>
      </c>
      <c r="G2342">
        <v>-393.53149999999999</v>
      </c>
      <c r="H2342" s="1">
        <v>3.424987E-7</v>
      </c>
      <c r="I2342">
        <v>214.40459999999999</v>
      </c>
      <c r="J2342">
        <v>-443.39240000000001</v>
      </c>
      <c r="K2342">
        <v>1.110242</v>
      </c>
      <c r="L2342">
        <v>214.42830000000001</v>
      </c>
      <c r="M2342">
        <v>0.99988880000000002</v>
      </c>
      <c r="N2342">
        <v>-8.5342830000000001E-3</v>
      </c>
      <c r="O2342">
        <v>-1.222883E-2</v>
      </c>
      <c r="P2342">
        <v>0.98685140000000005</v>
      </c>
      <c r="Q2342">
        <v>0.15649060000000001</v>
      </c>
      <c r="R2342">
        <v>4.0434739999999997E-2</v>
      </c>
      <c r="S2342">
        <v>3.050751</v>
      </c>
      <c r="T2342">
        <v>-6.7574140000000005E-2</v>
      </c>
      <c r="U2342">
        <v>-1.6021729999999999E-3</v>
      </c>
      <c r="V2342">
        <v>-5.2693179999999999E-2</v>
      </c>
      <c r="W2342">
        <v>0.1648405</v>
      </c>
      <c r="X2342">
        <v>0.98491169999999995</v>
      </c>
      <c r="Y2342">
        <v>-1.1699029999999999E-2</v>
      </c>
      <c r="Z2342">
        <v>3.459515E-4</v>
      </c>
      <c r="AA2342">
        <v>0.99993149999999997</v>
      </c>
      <c r="AB2342">
        <v>26</v>
      </c>
      <c r="AC2342">
        <v>49.860900000000001</v>
      </c>
      <c r="AD2342">
        <v>-1.1102416575013001</v>
      </c>
      <c r="AE2342">
        <v>-2.3700000000019299E-2</v>
      </c>
      <c r="AF2342">
        <v>-0.585774018789748</v>
      </c>
      <c r="AG2342">
        <v>-1.1102416575013001</v>
      </c>
      <c r="AH2342">
        <v>49.832753671352101</v>
      </c>
      <c r="AI2342">
        <v>91.276213783768299</v>
      </c>
      <c r="AJ2342">
        <v>90.673469372049396</v>
      </c>
      <c r="AK2342">
        <v>49.848561726581401</v>
      </c>
      <c r="AL2342">
        <v>80.512031170756003</v>
      </c>
      <c r="AM2342">
        <v>93.062428079413095</v>
      </c>
      <c r="AN2342">
        <v>1.0000000092278201</v>
      </c>
    </row>
    <row r="2343" spans="1:40" x14ac:dyDescent="0.25">
      <c r="A2343" t="str">
        <f>"20190304155412043"</f>
        <v>20190304155412043</v>
      </c>
      <c r="B2343" t="str">
        <f>"1551686052039029"</f>
        <v>1551686052039029</v>
      </c>
      <c r="C2343" t="s">
        <v>40</v>
      </c>
      <c r="D2343">
        <v>4.2079740000000001</v>
      </c>
      <c r="E2343">
        <v>0.51237310000000003</v>
      </c>
      <c r="F2343" t="s">
        <v>63</v>
      </c>
      <c r="G2343">
        <v>-390.79140000000001</v>
      </c>
      <c r="H2343" s="1">
        <v>-1.1156660000000001E-6</v>
      </c>
      <c r="I2343">
        <v>214.53380000000001</v>
      </c>
      <c r="J2343">
        <v>-443.1105</v>
      </c>
      <c r="K2343">
        <v>1.1102620000000001</v>
      </c>
      <c r="L2343">
        <v>214.42570000000001</v>
      </c>
      <c r="M2343">
        <v>0.99989810000000001</v>
      </c>
      <c r="N2343">
        <v>-8.5403249999999997E-3</v>
      </c>
      <c r="O2343">
        <v>-1.143976E-2</v>
      </c>
      <c r="P2343">
        <v>0.98676960000000002</v>
      </c>
      <c r="Q2343">
        <v>0.1565657</v>
      </c>
      <c r="R2343">
        <v>4.2104229999999999E-2</v>
      </c>
      <c r="S2343">
        <v>3.0499269999999998</v>
      </c>
      <c r="T2343">
        <v>-6.437445E-2</v>
      </c>
      <c r="U2343">
        <v>6.1187739999999996E-3</v>
      </c>
      <c r="V2343">
        <v>-5.359183E-2</v>
      </c>
      <c r="W2343">
        <v>0.16491720000000001</v>
      </c>
      <c r="X2343">
        <v>0.98485029999999996</v>
      </c>
      <c r="Y2343">
        <v>-1.3441109999999999E-2</v>
      </c>
      <c r="Z2343">
        <v>3.4297130000000001E-4</v>
      </c>
      <c r="AA2343">
        <v>0.99990959999999995</v>
      </c>
      <c r="AB2343">
        <v>26</v>
      </c>
      <c r="AC2343">
        <v>52.319099999999899</v>
      </c>
      <c r="AD2343">
        <v>-1.1102631156660001</v>
      </c>
      <c r="AE2343">
        <v>0.108100000000007</v>
      </c>
      <c r="AF2343">
        <v>-0.70631462324565497</v>
      </c>
      <c r="AG2343">
        <v>-1.1102631156660001</v>
      </c>
      <c r="AH2343">
        <v>52.290891425181201</v>
      </c>
      <c r="AI2343">
        <v>91.216235418418705</v>
      </c>
      <c r="AJ2343">
        <v>90.773870647525499</v>
      </c>
      <c r="AK2343">
        <v>52.307445842567297</v>
      </c>
      <c r="AL2343">
        <v>80.507574944078598</v>
      </c>
      <c r="AM2343">
        <v>93.114747746763101</v>
      </c>
      <c r="AN2343">
        <v>0.99999994025433703</v>
      </c>
    </row>
    <row r="2344" spans="1:40" x14ac:dyDescent="0.25">
      <c r="A2344" t="str">
        <f>"20190304155412065"</f>
        <v>20190304155412065</v>
      </c>
      <c r="B2344" t="str">
        <f>"1551686052058549"</f>
        <v>1551686052058549</v>
      </c>
      <c r="C2344" t="s">
        <v>40</v>
      </c>
      <c r="D2344">
        <v>4.229552</v>
      </c>
      <c r="E2344">
        <v>0.51287819999999995</v>
      </c>
      <c r="F2344" t="s">
        <v>63</v>
      </c>
      <c r="G2344">
        <v>-387.67860000000002</v>
      </c>
      <c r="H2344" s="1">
        <v>2.5455590000000002E-6</v>
      </c>
      <c r="I2344">
        <v>214.70339999999999</v>
      </c>
      <c r="J2344">
        <v>-442.84859999999998</v>
      </c>
      <c r="K2344">
        <v>1.110284</v>
      </c>
      <c r="L2344">
        <v>214.42359999999999</v>
      </c>
      <c r="M2344">
        <v>0.99990659999999998</v>
      </c>
      <c r="N2344">
        <v>-8.5459709999999994E-3</v>
      </c>
      <c r="O2344">
        <v>-1.0678099999999999E-2</v>
      </c>
      <c r="P2344">
        <v>0.98667169999999904</v>
      </c>
      <c r="Q2344">
        <v>0.15696570000000001</v>
      </c>
      <c r="R2344">
        <v>4.2905489999999998E-2</v>
      </c>
      <c r="S2344">
        <v>3.0492249999999999</v>
      </c>
      <c r="T2344">
        <v>-6.1073660000000002E-2</v>
      </c>
      <c r="U2344">
        <v>1.5274050000000001E-2</v>
      </c>
      <c r="V2344">
        <v>-5.3649700000000002E-2</v>
      </c>
      <c r="W2344">
        <v>0.16531979999999999</v>
      </c>
      <c r="X2344">
        <v>0.98477969999999904</v>
      </c>
      <c r="Y2344">
        <v>-1.568197E-2</v>
      </c>
      <c r="Z2344">
        <v>3.4665100000000001E-4</v>
      </c>
      <c r="AA2344">
        <v>0.99987700000000002</v>
      </c>
      <c r="AB2344">
        <v>26</v>
      </c>
      <c r="AC2344">
        <v>55.169999999999902</v>
      </c>
      <c r="AD2344">
        <v>-1.110281454441</v>
      </c>
      <c r="AE2344">
        <v>0.279799999999994</v>
      </c>
      <c r="AF2344">
        <v>-0.86856449576841099</v>
      </c>
      <c r="AG2344">
        <v>-1.110281454441</v>
      </c>
      <c r="AH2344">
        <v>55.141534534978902</v>
      </c>
      <c r="AI2344">
        <v>91.153358535508303</v>
      </c>
      <c r="AJ2344">
        <v>90.902422558893505</v>
      </c>
      <c r="AK2344">
        <v>55.159550034999903</v>
      </c>
      <c r="AL2344">
        <v>80.484187124959703</v>
      </c>
      <c r="AM2344">
        <v>93.118327607044094</v>
      </c>
      <c r="AN2344">
        <v>0.99999999205710899</v>
      </c>
    </row>
    <row r="2345" spans="1:40" x14ac:dyDescent="0.25">
      <c r="A2345" t="str">
        <f>"20190304155412086"</f>
        <v>20190304155412086</v>
      </c>
      <c r="B2345" t="str">
        <f>"1551686052079045"</f>
        <v>1551686052079045</v>
      </c>
      <c r="C2345" t="s">
        <v>40</v>
      </c>
      <c r="D2345">
        <v>4.207287</v>
      </c>
      <c r="E2345">
        <v>0.51338539999999999</v>
      </c>
      <c r="F2345" t="s">
        <v>63</v>
      </c>
      <c r="G2345">
        <v>-385.68540000000002</v>
      </c>
      <c r="H2345" s="1">
        <v>1.485406E-6</v>
      </c>
      <c r="I2345">
        <v>214.6919</v>
      </c>
      <c r="J2345">
        <v>-442.59210000000002</v>
      </c>
      <c r="K2345">
        <v>1.1103000000000001</v>
      </c>
      <c r="L2345">
        <v>214.42169999999999</v>
      </c>
      <c r="M2345">
        <v>0.99991430000000003</v>
      </c>
      <c r="N2345">
        <v>-8.551454E-3</v>
      </c>
      <c r="O2345">
        <v>-9.9110989999999996E-3</v>
      </c>
      <c r="P2345">
        <v>0.98664940000000001</v>
      </c>
      <c r="Q2345">
        <v>0.15687079999999901</v>
      </c>
      <c r="R2345">
        <v>4.3757119999999997E-2</v>
      </c>
      <c r="S2345">
        <v>3.049347</v>
      </c>
      <c r="T2345">
        <v>-5.9227589999999997E-2</v>
      </c>
      <c r="U2345">
        <v>1.4312739999999999E-2</v>
      </c>
      <c r="V2345">
        <v>-5.3751479999999997E-2</v>
      </c>
      <c r="W2345">
        <v>0.16522809999999999</v>
      </c>
      <c r="X2345">
        <v>0.98478960000000004</v>
      </c>
      <c r="Y2345">
        <v>-1.460023E-2</v>
      </c>
      <c r="Z2345">
        <v>3.1194460000000002E-4</v>
      </c>
      <c r="AA2345">
        <v>0.99989340000000004</v>
      </c>
      <c r="AB2345">
        <v>26</v>
      </c>
      <c r="AC2345">
        <v>56.906700000000001</v>
      </c>
      <c r="AD2345">
        <v>-1.1102985145940001</v>
      </c>
      <c r="AE2345">
        <v>0.27020000000001598</v>
      </c>
      <c r="AF2345">
        <v>-0.83389786292135804</v>
      </c>
      <c r="AG2345">
        <v>-1.1102985145940001</v>
      </c>
      <c r="AH2345">
        <v>56.879574618626101</v>
      </c>
      <c r="AI2345">
        <v>91.118160750047593</v>
      </c>
      <c r="AJ2345">
        <v>90.839939568666793</v>
      </c>
      <c r="AK2345">
        <v>56.896521486231102</v>
      </c>
      <c r="AL2345">
        <v>80.489514980525996</v>
      </c>
      <c r="AM2345">
        <v>93.124200399605797</v>
      </c>
      <c r="AN2345">
        <v>1.0000000514499701</v>
      </c>
    </row>
    <row r="2346" spans="1:40" x14ac:dyDescent="0.25">
      <c r="A2346" t="str">
        <f>"20190304155412108"</f>
        <v>20190304155412108</v>
      </c>
      <c r="B2346" t="str">
        <f>"1551686052098566"</f>
        <v>1551686052098566</v>
      </c>
      <c r="C2346" t="s">
        <v>40</v>
      </c>
      <c r="D2346">
        <v>4.2232799999999999</v>
      </c>
      <c r="E2346">
        <v>0.51383820000000002</v>
      </c>
      <c r="F2346" t="s">
        <v>63</v>
      </c>
      <c r="G2346">
        <v>-385.99540000000002</v>
      </c>
      <c r="H2346" s="1">
        <v>1.6521170000000001E-6</v>
      </c>
      <c r="I2346">
        <v>214.6516</v>
      </c>
      <c r="J2346">
        <v>-442.34390000000002</v>
      </c>
      <c r="K2346">
        <v>1.1103080000000001</v>
      </c>
      <c r="L2346">
        <v>214.42</v>
      </c>
      <c r="M2346">
        <v>0.99992170000000002</v>
      </c>
      <c r="N2346">
        <v>-8.5566970000000003E-3</v>
      </c>
      <c r="O2346">
        <v>-9.1504340000000007E-3</v>
      </c>
      <c r="P2346">
        <v>0.98662289999999997</v>
      </c>
      <c r="Q2346">
        <v>0.15693650000000001</v>
      </c>
      <c r="R2346">
        <v>4.4121399999999998E-2</v>
      </c>
      <c r="S2346">
        <v>3.0495909999999999</v>
      </c>
      <c r="T2346">
        <v>-5.9826020000000001E-2</v>
      </c>
      <c r="U2346">
        <v>1.2390139999999999E-2</v>
      </c>
      <c r="V2346">
        <v>-5.33719E-2</v>
      </c>
      <c r="W2346">
        <v>0.16529720000000001</v>
      </c>
      <c r="X2346">
        <v>0.98479859999999997</v>
      </c>
      <c r="Y2346">
        <v>-1.3209169999999999E-2</v>
      </c>
      <c r="Z2346">
        <v>2.8727309999999998E-4</v>
      </c>
      <c r="AA2346">
        <v>0.99991269999999999</v>
      </c>
      <c r="AB2346">
        <v>26</v>
      </c>
      <c r="AC2346">
        <v>56.348500000000001</v>
      </c>
      <c r="AD2346">
        <v>-1.110306347883</v>
      </c>
      <c r="AE2346">
        <v>0.23160000000001399</v>
      </c>
      <c r="AF2346">
        <v>-0.74693232116133901</v>
      </c>
      <c r="AG2346">
        <v>-1.110306347883</v>
      </c>
      <c r="AH2346">
        <v>56.322154235168398</v>
      </c>
      <c r="AI2346">
        <v>91.129254346527503</v>
      </c>
      <c r="AJ2346">
        <v>90.759799789468403</v>
      </c>
      <c r="AK2346">
        <v>56.338048828199902</v>
      </c>
      <c r="AL2346">
        <v>80.485500181213396</v>
      </c>
      <c r="AM2346">
        <v>93.102152998538202</v>
      </c>
      <c r="AN2346">
        <v>1.0000000032997001</v>
      </c>
    </row>
    <row r="2347" spans="1:40" x14ac:dyDescent="0.25">
      <c r="A2347" t="str">
        <f>"20190304155412129"</f>
        <v>20190304155412129</v>
      </c>
      <c r="B2347" t="str">
        <f>"1551686052119061"</f>
        <v>1551686052119061</v>
      </c>
      <c r="C2347" t="s">
        <v>40</v>
      </c>
      <c r="D2347">
        <v>4.1913029999999996</v>
      </c>
      <c r="E2347">
        <v>0.51409609999999994</v>
      </c>
      <c r="F2347" t="s">
        <v>63</v>
      </c>
      <c r="G2347">
        <v>-385.79</v>
      </c>
      <c r="H2347" s="1">
        <v>1.545237E-6</v>
      </c>
      <c r="I2347">
        <v>214.5966</v>
      </c>
      <c r="J2347">
        <v>-442.07690000000002</v>
      </c>
      <c r="K2347">
        <v>1.11032</v>
      </c>
      <c r="L2347">
        <v>214.41849999999999</v>
      </c>
      <c r="M2347">
        <v>0.99992879999999995</v>
      </c>
      <c r="N2347">
        <v>-8.5625289999999993E-3</v>
      </c>
      <c r="O2347">
        <v>-8.3126509999999904E-3</v>
      </c>
      <c r="P2347">
        <v>0.98662810000000001</v>
      </c>
      <c r="Q2347">
        <v>0.156745</v>
      </c>
      <c r="R2347">
        <v>4.4681150000000003E-2</v>
      </c>
      <c r="S2347">
        <v>3.0497740000000002</v>
      </c>
      <c r="T2347">
        <v>-5.9875369999999997E-2</v>
      </c>
      <c r="U2347">
        <v>9.5214840000000002E-3</v>
      </c>
      <c r="V2347">
        <v>-5.311155E-2</v>
      </c>
      <c r="W2347">
        <v>0.16510999999999901</v>
      </c>
      <c r="X2347">
        <v>0.9848441</v>
      </c>
      <c r="Y2347">
        <v>-1.1431149999999999E-2</v>
      </c>
      <c r="Z2347">
        <v>2.5315679999999999E-4</v>
      </c>
      <c r="AA2347">
        <v>0.99993460000000001</v>
      </c>
      <c r="AB2347">
        <v>26</v>
      </c>
      <c r="AC2347">
        <v>56.286900000000003</v>
      </c>
      <c r="AD2347">
        <v>-1.1103184547630001</v>
      </c>
      <c r="AE2347">
        <v>0.17810000000000001</v>
      </c>
      <c r="AF2347">
        <v>-0.64575307852389097</v>
      </c>
      <c r="AG2347">
        <v>-1.1103184547630001</v>
      </c>
      <c r="AH2347">
        <v>56.261582437737303</v>
      </c>
      <c r="AI2347">
        <v>91.130507059891499</v>
      </c>
      <c r="AJ2347">
        <v>90.6575943977804</v>
      </c>
      <c r="AK2347">
        <v>56.276242434154497</v>
      </c>
      <c r="AL2347">
        <v>80.496375590839904</v>
      </c>
      <c r="AM2347">
        <v>93.086907581352506</v>
      </c>
      <c r="AN2347">
        <v>1.0000000250740999</v>
      </c>
    </row>
    <row r="2348" spans="1:40" x14ac:dyDescent="0.25">
      <c r="A2348" t="str">
        <f>"20190304155412152"</f>
        <v>20190304155412152</v>
      </c>
      <c r="B2348" t="str">
        <f>"1551686052149318"</f>
        <v>1551686052149318</v>
      </c>
      <c r="C2348" t="s">
        <v>40</v>
      </c>
      <c r="D2348">
        <v>4.1779519999999897</v>
      </c>
      <c r="E2348">
        <v>0.51430679999999995</v>
      </c>
      <c r="F2348" t="s">
        <v>63</v>
      </c>
      <c r="G2348">
        <v>-386.01170000000002</v>
      </c>
      <c r="H2348" s="1">
        <v>1.663446E-6</v>
      </c>
      <c r="I2348">
        <v>214.59039999999999</v>
      </c>
      <c r="J2348">
        <v>-441.81529999999998</v>
      </c>
      <c r="K2348">
        <v>1.1103369999999999</v>
      </c>
      <c r="L2348">
        <v>214.41720000000001</v>
      </c>
      <c r="M2348">
        <v>0.99993529999999997</v>
      </c>
      <c r="N2348">
        <v>-8.5682120000000004E-3</v>
      </c>
      <c r="O2348">
        <v>-7.476318E-3</v>
      </c>
      <c r="P2348">
        <v>0.98657930000000005</v>
      </c>
      <c r="Q2348">
        <v>0.15669720000000001</v>
      </c>
      <c r="R2348">
        <v>4.5907629999999998E-2</v>
      </c>
      <c r="S2348">
        <v>3.0498349999999999</v>
      </c>
      <c r="T2348">
        <v>-6.0399059999999997E-2</v>
      </c>
      <c r="U2348">
        <v>9.3536379999999992E-3</v>
      </c>
      <c r="V2348">
        <v>-5.3518169999999997E-2</v>
      </c>
      <c r="W2348">
        <v>0.165065299999999</v>
      </c>
      <c r="X2348">
        <v>0.98482950000000002</v>
      </c>
      <c r="Y2348">
        <v>-1.0539959999999999E-2</v>
      </c>
      <c r="Z2348">
        <v>2.3350740000000001E-4</v>
      </c>
      <c r="AA2348">
        <v>0.99994439999999996</v>
      </c>
      <c r="AB2348">
        <v>27</v>
      </c>
      <c r="AC2348">
        <v>55.803599999999904</v>
      </c>
      <c r="AD2348">
        <v>-1.1103353365539901</v>
      </c>
      <c r="AE2348">
        <v>0.17319999999998001</v>
      </c>
      <c r="AF2348">
        <v>-0.5901823013777</v>
      </c>
      <c r="AG2348">
        <v>-1.1103353365539901</v>
      </c>
      <c r="AH2348">
        <v>55.778662859460397</v>
      </c>
      <c r="AI2348">
        <v>91.140320780637893</v>
      </c>
      <c r="AJ2348">
        <v>90.606211971874401</v>
      </c>
      <c r="AK2348">
        <v>55.792834576653298</v>
      </c>
      <c r="AL2348">
        <v>80.498971583461497</v>
      </c>
      <c r="AM2348">
        <v>93.110540618296298</v>
      </c>
      <c r="AN2348">
        <v>0.99999994592724295</v>
      </c>
    </row>
    <row r="2349" spans="1:40" x14ac:dyDescent="0.25">
      <c r="A2349" t="str">
        <f>"20190304155412175"</f>
        <v>20190304155412175</v>
      </c>
      <c r="B2349" t="str">
        <f>"1551686052168838"</f>
        <v>1551686052168838</v>
      </c>
      <c r="C2349" t="s">
        <v>40</v>
      </c>
      <c r="D2349">
        <v>4.1905140000000003</v>
      </c>
      <c r="E2349">
        <v>0.51449809999999996</v>
      </c>
      <c r="F2349" t="s">
        <v>63</v>
      </c>
      <c r="G2349">
        <v>-385.82920000000001</v>
      </c>
      <c r="H2349" s="1">
        <v>1.5647419999999999E-6</v>
      </c>
      <c r="I2349">
        <v>214.62700000000001</v>
      </c>
      <c r="J2349">
        <v>-441.53859999999997</v>
      </c>
      <c r="K2349">
        <v>1.1103430000000001</v>
      </c>
      <c r="L2349">
        <v>214.4161</v>
      </c>
      <c r="M2349">
        <v>0.99994159999999999</v>
      </c>
      <c r="N2349">
        <v>-8.5741629999999992E-3</v>
      </c>
      <c r="O2349">
        <v>-6.5811180000000004E-3</v>
      </c>
      <c r="P2349">
        <v>0.98660219999999998</v>
      </c>
      <c r="Q2349">
        <v>0.1562019</v>
      </c>
      <c r="R2349">
        <v>4.7084309999999997E-2</v>
      </c>
      <c r="S2349">
        <v>3.0499269999999998</v>
      </c>
      <c r="T2349">
        <v>-6.0487150000000003E-2</v>
      </c>
      <c r="U2349">
        <v>1.1428829999999999E-2</v>
      </c>
      <c r="V2349">
        <v>-5.3815200000000001E-2</v>
      </c>
      <c r="W2349">
        <v>0.16457479999999999</v>
      </c>
      <c r="X2349">
        <v>0.98489550000000003</v>
      </c>
      <c r="Y2349">
        <v>-1.032513E-2</v>
      </c>
      <c r="Z2349">
        <v>2.207271E-4</v>
      </c>
      <c r="AA2349">
        <v>0.99994669999999997</v>
      </c>
      <c r="AB2349">
        <v>27</v>
      </c>
      <c r="AC2349">
        <v>55.709399999999903</v>
      </c>
      <c r="AD2349">
        <v>-1.1103414352580001</v>
      </c>
      <c r="AE2349">
        <v>0.210900000000009</v>
      </c>
      <c r="AF2349">
        <v>-0.57730971041389001</v>
      </c>
      <c r="AG2349">
        <v>-1.1103414352580001</v>
      </c>
      <c r="AH2349">
        <v>55.684685443091603</v>
      </c>
      <c r="AI2349">
        <v>91.142253580697897</v>
      </c>
      <c r="AJ2349">
        <v>90.593991410528304</v>
      </c>
      <c r="AK2349">
        <v>55.698746283023702</v>
      </c>
      <c r="AL2349">
        <v>80.527465779160593</v>
      </c>
      <c r="AM2349">
        <v>93.127560994504094</v>
      </c>
      <c r="AN2349">
        <v>1.0000000432331599</v>
      </c>
    </row>
    <row r="2350" spans="1:40" x14ac:dyDescent="0.25">
      <c r="A2350" t="str">
        <f>"20190304155412197"</f>
        <v>20190304155412197</v>
      </c>
      <c r="B2350" t="str">
        <f>"1551686052189335"</f>
        <v>1551686052189335</v>
      </c>
      <c r="C2350" t="s">
        <v>40</v>
      </c>
      <c r="D2350">
        <v>4.1730049999999999</v>
      </c>
      <c r="E2350">
        <v>0.51458839999999995</v>
      </c>
      <c r="F2350" t="s">
        <v>63</v>
      </c>
      <c r="G2350">
        <v>-387.0215</v>
      </c>
      <c r="H2350" s="1">
        <v>2.1979569999999998E-6</v>
      </c>
      <c r="I2350">
        <v>214.65610000000001</v>
      </c>
      <c r="J2350">
        <v>-441.27659999999997</v>
      </c>
      <c r="K2350">
        <v>1.1103479999999999</v>
      </c>
      <c r="L2350">
        <v>214.4153</v>
      </c>
      <c r="M2350">
        <v>0.99994689999999997</v>
      </c>
      <c r="N2350">
        <v>-8.5798060000000006E-3</v>
      </c>
      <c r="O2350">
        <v>-5.7283859999999898E-3</v>
      </c>
      <c r="P2350">
        <v>0.98661960000000004</v>
      </c>
      <c r="Q2350">
        <v>0.15573999999999999</v>
      </c>
      <c r="R2350">
        <v>4.8237500000000003E-2</v>
      </c>
      <c r="S2350">
        <v>3.0498959999999999</v>
      </c>
      <c r="T2350">
        <v>-6.2116739999999997E-2</v>
      </c>
      <c r="U2350">
        <v>1.3427730000000001E-2</v>
      </c>
      <c r="V2350">
        <v>-5.4129339999999998E-2</v>
      </c>
      <c r="W2350">
        <v>0.16411709999999999</v>
      </c>
      <c r="X2350">
        <v>0.98495460000000001</v>
      </c>
      <c r="Y2350">
        <v>-1.012773E-2</v>
      </c>
      <c r="Z2350">
        <v>2.1408829999999999E-4</v>
      </c>
      <c r="AA2350">
        <v>0.99994870000000002</v>
      </c>
      <c r="AB2350">
        <v>27</v>
      </c>
      <c r="AC2350">
        <v>54.255099999999899</v>
      </c>
      <c r="AD2350">
        <v>-1.1103458020429999</v>
      </c>
      <c r="AE2350">
        <v>0.24080000000000701</v>
      </c>
      <c r="AF2350">
        <v>-0.55137068343425899</v>
      </c>
      <c r="AG2350">
        <v>-1.1103458020429999</v>
      </c>
      <c r="AH2350">
        <v>54.230117680137802</v>
      </c>
      <c r="AI2350">
        <v>91.172889840400103</v>
      </c>
      <c r="AJ2350">
        <v>90.582519934855299</v>
      </c>
      <c r="AK2350">
        <v>54.244285791521499</v>
      </c>
      <c r="AL2350">
        <v>80.554051004116801</v>
      </c>
      <c r="AM2350">
        <v>93.145592831679707</v>
      </c>
      <c r="AN2350">
        <v>0.99999998601120199</v>
      </c>
    </row>
    <row r="2351" spans="1:40" x14ac:dyDescent="0.25">
      <c r="A2351" t="str">
        <f>"20190304155412219"</f>
        <v>20190304155412219</v>
      </c>
      <c r="B2351" t="str">
        <f>"1551686052208853"</f>
        <v>1551686052208853</v>
      </c>
      <c r="C2351" t="s">
        <v>40</v>
      </c>
      <c r="D2351">
        <v>4.1641309999999896</v>
      </c>
      <c r="E2351">
        <v>0.51477879999999998</v>
      </c>
      <c r="F2351" t="s">
        <v>63</v>
      </c>
      <c r="G2351">
        <v>-387.55239999999998</v>
      </c>
      <c r="H2351" s="1">
        <v>2.478473E-6</v>
      </c>
      <c r="I2351">
        <v>214.7021</v>
      </c>
      <c r="J2351">
        <v>-441.01249999999999</v>
      </c>
      <c r="K2351">
        <v>1.1103540000000001</v>
      </c>
      <c r="L2351">
        <v>214.41470000000001</v>
      </c>
      <c r="M2351">
        <v>0.99995140000000005</v>
      </c>
      <c r="N2351">
        <v>-8.5857160000000002E-3</v>
      </c>
      <c r="O2351">
        <v>-4.8661390000000002E-3</v>
      </c>
      <c r="P2351">
        <v>0.98657609999999996</v>
      </c>
      <c r="Q2351">
        <v>0.1557095</v>
      </c>
      <c r="R2351">
        <v>4.9215519999999999E-2</v>
      </c>
      <c r="S2351">
        <v>3.0498349999999999</v>
      </c>
      <c r="T2351">
        <v>-6.303251E-2</v>
      </c>
      <c r="U2351">
        <v>1.6281130000000001E-2</v>
      </c>
      <c r="V2351">
        <v>-5.42592E-2</v>
      </c>
      <c r="W2351">
        <v>0.16409219999999999</v>
      </c>
      <c r="X2351">
        <v>0.98495160000000004</v>
      </c>
      <c r="Y2351">
        <v>-1.020104E-2</v>
      </c>
      <c r="Z2351">
        <v>2.079847E-4</v>
      </c>
      <c r="AA2351">
        <v>0.99994799999999995</v>
      </c>
      <c r="AB2351">
        <v>27</v>
      </c>
      <c r="AC2351">
        <v>53.460099999999997</v>
      </c>
      <c r="AD2351">
        <v>-1.1103515215269999</v>
      </c>
      <c r="AE2351">
        <v>0.287399999999991</v>
      </c>
      <c r="AF2351">
        <v>-0.54731434335726403</v>
      </c>
      <c r="AG2351">
        <v>-1.1103515215269999</v>
      </c>
      <c r="AH2351">
        <v>53.435018212206501</v>
      </c>
      <c r="AI2351">
        <v>91.190342372626205</v>
      </c>
      <c r="AJ2351">
        <v>90.5868381153402</v>
      </c>
      <c r="AK2351">
        <v>53.449355513706998</v>
      </c>
      <c r="AL2351">
        <v>80.5554972438742</v>
      </c>
      <c r="AM2351">
        <v>93.1531336998857</v>
      </c>
      <c r="AN2351">
        <v>0.99999998261401901</v>
      </c>
    </row>
    <row r="2352" spans="1:40" x14ac:dyDescent="0.25">
      <c r="A2352" t="str">
        <f>"20190304155412244"</f>
        <v>20190304155412244</v>
      </c>
      <c r="B2352" t="str">
        <f>"1551686052239110"</f>
        <v>1551686052239110</v>
      </c>
      <c r="C2352" t="s">
        <v>40</v>
      </c>
      <c r="D2352">
        <v>4.1584190000000003</v>
      </c>
      <c r="E2352">
        <v>0.5151289</v>
      </c>
      <c r="F2352" t="s">
        <v>63</v>
      </c>
      <c r="G2352">
        <v>-387.0172</v>
      </c>
      <c r="H2352" s="1">
        <v>2.1923909999999999E-6</v>
      </c>
      <c r="I2352">
        <v>214.73179999999999</v>
      </c>
      <c r="J2352">
        <v>-440.71969999999999</v>
      </c>
      <c r="K2352">
        <v>1.110355</v>
      </c>
      <c r="L2352">
        <v>214.4143</v>
      </c>
      <c r="M2352">
        <v>0.9999555</v>
      </c>
      <c r="N2352">
        <v>-8.5919849999999999E-3</v>
      </c>
      <c r="O2352">
        <v>-3.9102099999999999E-3</v>
      </c>
      <c r="P2352">
        <v>0.98647390000000001</v>
      </c>
      <c r="Q2352">
        <v>0.1560366</v>
      </c>
      <c r="R2352">
        <v>5.0216860000000002E-2</v>
      </c>
      <c r="S2352">
        <v>3.0498349999999999</v>
      </c>
      <c r="T2352">
        <v>-6.2716480000000005E-2</v>
      </c>
      <c r="U2352">
        <v>1.791382E-2</v>
      </c>
      <c r="V2352">
        <v>-5.4318610000000003E-2</v>
      </c>
      <c r="W2352">
        <v>0.1644243</v>
      </c>
      <c r="X2352">
        <v>0.98489300000000002</v>
      </c>
      <c r="Y2352">
        <v>-9.7806300000000002E-3</v>
      </c>
      <c r="Z2352">
        <v>1.8938270000000001E-4</v>
      </c>
      <c r="AA2352">
        <v>0.99995210000000001</v>
      </c>
      <c r="AB2352">
        <v>27</v>
      </c>
      <c r="AC2352">
        <v>53.702499999999901</v>
      </c>
      <c r="AD2352">
        <v>-1.1103528076089999</v>
      </c>
      <c r="AE2352">
        <v>0.31749999999999501</v>
      </c>
      <c r="AF2352">
        <v>-0.52726796689751598</v>
      </c>
      <c r="AG2352">
        <v>-1.1103528076089999</v>
      </c>
      <c r="AH2352">
        <v>53.677901546929498</v>
      </c>
      <c r="AI2352">
        <v>91.184964176879703</v>
      </c>
      <c r="AJ2352">
        <v>90.562787603899295</v>
      </c>
      <c r="AK2352">
        <v>53.691973416406803</v>
      </c>
      <c r="AL2352">
        <v>80.536207870686596</v>
      </c>
      <c r="AM2352">
        <v>93.156766614153</v>
      </c>
      <c r="AN2352">
        <v>1.0000000416359101</v>
      </c>
    </row>
    <row r="2353" spans="1:40" x14ac:dyDescent="0.25">
      <c r="A2353" t="str">
        <f>"20190304155412265"</f>
        <v>20190304155412265</v>
      </c>
      <c r="B2353" t="str">
        <f>"1551686052258630"</f>
        <v>1551686052258630</v>
      </c>
      <c r="C2353" t="s">
        <v>40</v>
      </c>
      <c r="D2353">
        <v>4.1677660000000003</v>
      </c>
      <c r="E2353">
        <v>0.51529740000000002</v>
      </c>
      <c r="F2353" t="s">
        <v>63</v>
      </c>
      <c r="G2353">
        <v>-384.49400000000003</v>
      </c>
      <c r="H2353" s="1">
        <v>8.4848010000000003E-7</v>
      </c>
      <c r="I2353">
        <v>214.7578</v>
      </c>
      <c r="J2353">
        <v>-440.4588</v>
      </c>
      <c r="K2353">
        <v>1.11036</v>
      </c>
      <c r="L2353">
        <v>214.41419999999999</v>
      </c>
      <c r="M2353">
        <v>0.99995840000000003</v>
      </c>
      <c r="N2353">
        <v>-8.5971190000000003E-3</v>
      </c>
      <c r="O2353">
        <v>-3.0602630000000001E-3</v>
      </c>
      <c r="P2353">
        <v>0.98637580000000002</v>
      </c>
      <c r="Q2353">
        <v>0.1564024</v>
      </c>
      <c r="R2353">
        <v>5.1000429999999999E-2</v>
      </c>
      <c r="S2353">
        <v>3.0497130000000001</v>
      </c>
      <c r="T2353">
        <v>-6.0226200000000001E-2</v>
      </c>
      <c r="U2353">
        <v>1.8630979999999998E-2</v>
      </c>
      <c r="V2353">
        <v>-5.4264970000000003E-2</v>
      </c>
      <c r="W2353">
        <v>0.16479440000000001</v>
      </c>
      <c r="X2353">
        <v>0.98483410000000005</v>
      </c>
      <c r="Y2353">
        <v>-9.1665150000000001E-3</v>
      </c>
      <c r="Z2353">
        <v>1.640306E-4</v>
      </c>
      <c r="AA2353">
        <v>0.99995800000000001</v>
      </c>
      <c r="AB2353">
        <v>27</v>
      </c>
      <c r="AC2353">
        <v>55.964799999999897</v>
      </c>
      <c r="AD2353">
        <v>-1.1103591515199001</v>
      </c>
      <c r="AE2353">
        <v>0.34360000000000901</v>
      </c>
      <c r="AF2353">
        <v>-0.51466913490676003</v>
      </c>
      <c r="AG2353">
        <v>-1.1103591515199001</v>
      </c>
      <c r="AH2353">
        <v>55.941466515619403</v>
      </c>
      <c r="AI2353">
        <v>91.137042935972104</v>
      </c>
      <c r="AJ2353">
        <v>90.5271141277628</v>
      </c>
      <c r="AK2353">
        <v>55.954851958359797</v>
      </c>
      <c r="AL2353">
        <v>80.514709451860099</v>
      </c>
      <c r="AM2353">
        <v>93.153843810916101</v>
      </c>
      <c r="AN2353">
        <v>1.00000004288163</v>
      </c>
    </row>
    <row r="2354" spans="1:40" x14ac:dyDescent="0.25">
      <c r="A2354" t="str">
        <f>"20190304155412308"</f>
        <v>20190304155412308</v>
      </c>
      <c r="B2354" t="str">
        <f>"1551686052299622"</f>
        <v>1551686052299622</v>
      </c>
      <c r="C2354" t="s">
        <v>40</v>
      </c>
      <c r="D2354">
        <v>4.157635</v>
      </c>
      <c r="E2354">
        <v>0.51518240000000004</v>
      </c>
      <c r="F2354" t="s">
        <v>63</v>
      </c>
      <c r="G2354">
        <v>-382.18669999999997</v>
      </c>
      <c r="H2354" s="1">
        <v>-3.805737E-7</v>
      </c>
      <c r="I2354">
        <v>214.7868</v>
      </c>
      <c r="J2354">
        <v>-439.94929999999999</v>
      </c>
      <c r="K2354">
        <v>1.110368</v>
      </c>
      <c r="L2354">
        <v>214.41460000000001</v>
      </c>
      <c r="M2354">
        <v>0.99996200000000002</v>
      </c>
      <c r="N2354">
        <v>-8.6071069999999993E-3</v>
      </c>
      <c r="O2354">
        <v>-1.4054339999999999E-3</v>
      </c>
      <c r="P2354">
        <v>0.98619999999999997</v>
      </c>
      <c r="Q2354">
        <v>0.15710729999999901</v>
      </c>
      <c r="R2354">
        <v>5.2222570000000003E-2</v>
      </c>
      <c r="S2354">
        <v>3.0496219999999998</v>
      </c>
      <c r="T2354">
        <v>-5.8109760000000003E-2</v>
      </c>
      <c r="U2354">
        <v>1.9500730000000001E-2</v>
      </c>
      <c r="V2354">
        <v>-5.385786E-2</v>
      </c>
      <c r="W2354">
        <v>0.1655083</v>
      </c>
      <c r="X2354">
        <v>0.98473670000000002</v>
      </c>
      <c r="Y2354">
        <v>-7.797666E-3</v>
      </c>
      <c r="Z2354">
        <v>1.2252809999999901E-4</v>
      </c>
      <c r="AA2354">
        <v>0.99996960000000001</v>
      </c>
      <c r="AB2354">
        <v>27</v>
      </c>
      <c r="AC2354">
        <v>57.762599999999999</v>
      </c>
      <c r="AD2354">
        <v>-1.1103683805736999</v>
      </c>
      <c r="AE2354">
        <v>0.37219999999999198</v>
      </c>
      <c r="AF2354">
        <v>-0.45321669243553497</v>
      </c>
      <c r="AG2354">
        <v>-1.1103683805736999</v>
      </c>
      <c r="AH2354">
        <v>57.740684239026301</v>
      </c>
      <c r="AI2354">
        <v>91.101643032244198</v>
      </c>
      <c r="AJ2354">
        <v>90.449715322280397</v>
      </c>
      <c r="AK2354">
        <v>57.753137920824898</v>
      </c>
      <c r="AL2354">
        <v>80.473236253743096</v>
      </c>
      <c r="AM2354">
        <v>93.130539074388594</v>
      </c>
      <c r="AN2354">
        <v>1.0000000173897701</v>
      </c>
    </row>
    <row r="2355" spans="1:40" x14ac:dyDescent="0.25">
      <c r="A2355" t="str">
        <f>"20190304155412330"</f>
        <v>20190304155412330</v>
      </c>
      <c r="B2355" t="str">
        <f>"1551686052319142"</f>
        <v>1551686052319142</v>
      </c>
      <c r="C2355" t="s">
        <v>40</v>
      </c>
      <c r="D2355">
        <v>4.2097550000000004</v>
      </c>
      <c r="E2355">
        <v>0.5151789</v>
      </c>
      <c r="F2355" t="s">
        <v>63</v>
      </c>
      <c r="G2355">
        <v>-380.54559999999998</v>
      </c>
      <c r="H2355" s="1">
        <v>-1.2588239999999999E-6</v>
      </c>
      <c r="I2355">
        <v>214.8991</v>
      </c>
      <c r="J2355">
        <v>-439.67239999999998</v>
      </c>
      <c r="K2355">
        <v>1.110368</v>
      </c>
      <c r="L2355">
        <v>214.4152</v>
      </c>
      <c r="M2355">
        <v>0.99996289999999999</v>
      </c>
      <c r="N2355">
        <v>-8.6125300000000002E-3</v>
      </c>
      <c r="O2355">
        <v>-5.0899569999999996E-4</v>
      </c>
      <c r="P2355">
        <v>0.98613240000000002</v>
      </c>
      <c r="Q2355">
        <v>0.15729309999999999</v>
      </c>
      <c r="R2355">
        <v>5.2935679999999999E-2</v>
      </c>
      <c r="S2355">
        <v>3.0497740000000002</v>
      </c>
      <c r="T2355">
        <v>-5.700612E-2</v>
      </c>
      <c r="U2355">
        <v>2.4871830000000001E-2</v>
      </c>
      <c r="V2355">
        <v>-5.3687539999999999E-2</v>
      </c>
      <c r="W2355">
        <v>0.16569970000000001</v>
      </c>
      <c r="X2355">
        <v>0.98471379999999997</v>
      </c>
      <c r="Y2355">
        <v>-8.6617910000000003E-3</v>
      </c>
      <c r="Z2355">
        <v>1.2337989999999999E-4</v>
      </c>
      <c r="AA2355">
        <v>0.99996240000000003</v>
      </c>
      <c r="AB2355">
        <v>27</v>
      </c>
      <c r="AC2355">
        <v>59.126800000000003</v>
      </c>
      <c r="AD2355">
        <v>-1.1103692588239999</v>
      </c>
      <c r="AE2355">
        <v>0.48390000000000499</v>
      </c>
      <c r="AF2355">
        <v>-0.51381514289918595</v>
      </c>
      <c r="AG2355">
        <v>-1.1103692588239999</v>
      </c>
      <c r="AH2355">
        <v>59.105702731639902</v>
      </c>
      <c r="AI2355">
        <v>91.076200498025599</v>
      </c>
      <c r="AJ2355">
        <v>90.498068650266703</v>
      </c>
      <c r="AK2355">
        <v>59.118364501168301</v>
      </c>
      <c r="AL2355">
        <v>80.462116183955104</v>
      </c>
      <c r="AM2355">
        <v>93.120731090602405</v>
      </c>
      <c r="AN2355">
        <v>1.0000000052208899</v>
      </c>
    </row>
    <row r="2356" spans="1:40" x14ac:dyDescent="0.25">
      <c r="A2356" t="str">
        <f>"20190304155412353"</f>
        <v>20190304155412353</v>
      </c>
      <c r="B2356" t="str">
        <f>"1551686052349398"</f>
        <v>1551686052349398</v>
      </c>
      <c r="C2356" t="s">
        <v>40</v>
      </c>
      <c r="D2356">
        <v>4.1711830000000001</v>
      </c>
      <c r="E2356">
        <v>0.51501269999999999</v>
      </c>
      <c r="F2356" t="s">
        <v>63</v>
      </c>
      <c r="G2356">
        <v>-379.96960000000001</v>
      </c>
      <c r="H2356" s="1">
        <v>-1.5672490000000001E-6</v>
      </c>
      <c r="I2356">
        <v>214.9427</v>
      </c>
      <c r="J2356">
        <v>-439.40309999999999</v>
      </c>
      <c r="K2356">
        <v>1.110371</v>
      </c>
      <c r="L2356">
        <v>214.416</v>
      </c>
      <c r="M2356">
        <v>0.99996280000000004</v>
      </c>
      <c r="N2356">
        <v>-8.6178030000000003E-3</v>
      </c>
      <c r="O2356">
        <v>3.6025919999999999E-4</v>
      </c>
      <c r="P2356">
        <v>0.98617390000000005</v>
      </c>
      <c r="Q2356">
        <v>0.15694449999999999</v>
      </c>
      <c r="R2356">
        <v>5.3193589999999999E-2</v>
      </c>
      <c r="S2356">
        <v>3.0498050000000001</v>
      </c>
      <c r="T2356">
        <v>-5.6721090000000002E-2</v>
      </c>
      <c r="U2356">
        <v>2.6947019999999999E-2</v>
      </c>
      <c r="V2356">
        <v>-5.3088650000000001E-2</v>
      </c>
      <c r="W2356">
        <v>0.16535739999999999</v>
      </c>
      <c r="X2356">
        <v>0.98480380000000001</v>
      </c>
      <c r="Y2356">
        <v>-8.4729260000000004E-3</v>
      </c>
      <c r="Z2356">
        <v>1.117026E-4</v>
      </c>
      <c r="AA2356">
        <v>0.99996410000000002</v>
      </c>
      <c r="AB2356">
        <v>27</v>
      </c>
      <c r="AC2356">
        <v>59.433499999999903</v>
      </c>
      <c r="AD2356">
        <v>-1.1103725672489999</v>
      </c>
      <c r="AE2356">
        <v>0.52670000000000505</v>
      </c>
      <c r="AF2356">
        <v>-0.50511141541329696</v>
      </c>
      <c r="AG2356">
        <v>-1.1103725672489999</v>
      </c>
      <c r="AH2356">
        <v>59.412950048298796</v>
      </c>
      <c r="AI2356">
        <v>91.070641299322702</v>
      </c>
      <c r="AJ2356">
        <v>90.487100119152998</v>
      </c>
      <c r="AK2356">
        <v>59.425471796374701</v>
      </c>
      <c r="AL2356">
        <v>80.482002811077706</v>
      </c>
      <c r="AM2356">
        <v>93.085705201710596</v>
      </c>
      <c r="AN2356">
        <v>0.99999999949401097</v>
      </c>
    </row>
    <row r="2357" spans="1:40" x14ac:dyDescent="0.25">
      <c r="A2357" t="str">
        <f>"20190304155412375"</f>
        <v>20190304155412375</v>
      </c>
      <c r="B2357" t="str">
        <f>"1551686052368918"</f>
        <v>1551686052368918</v>
      </c>
      <c r="C2357" t="s">
        <v>40</v>
      </c>
      <c r="D2357">
        <v>4.2010560000000003</v>
      </c>
      <c r="E2357">
        <v>0.51493180000000005</v>
      </c>
      <c r="F2357" t="s">
        <v>63</v>
      </c>
      <c r="G2357">
        <v>-383.52640000000002</v>
      </c>
      <c r="H2357" s="1">
        <v>3.2528039999999998E-7</v>
      </c>
      <c r="I2357">
        <v>214.9479</v>
      </c>
      <c r="J2357">
        <v>-439.13290000000001</v>
      </c>
      <c r="K2357">
        <v>1.110368</v>
      </c>
      <c r="L2357">
        <v>214.417</v>
      </c>
      <c r="M2357">
        <v>0.99996209999999996</v>
      </c>
      <c r="N2357">
        <v>-8.6231180000000008E-3</v>
      </c>
      <c r="O2357">
        <v>1.2269329999999999E-3</v>
      </c>
      <c r="P2357">
        <v>0.98632310000000001</v>
      </c>
      <c r="Q2357">
        <v>0.1559384</v>
      </c>
      <c r="R2357">
        <v>5.3385349999999998E-2</v>
      </c>
      <c r="S2357">
        <v>3.0501100000000001</v>
      </c>
      <c r="T2357">
        <v>-6.0611129999999999E-2</v>
      </c>
      <c r="U2357">
        <v>2.9037480000000001E-2</v>
      </c>
      <c r="V2357">
        <v>-5.2423650000000002E-2</v>
      </c>
      <c r="W2357">
        <v>0.16435939999999999</v>
      </c>
      <c r="X2357">
        <v>0.98500650000000001</v>
      </c>
      <c r="Y2357">
        <v>-8.2905119999999999E-3</v>
      </c>
      <c r="Z2357">
        <v>1.043162E-4</v>
      </c>
      <c r="AA2357">
        <v>0.99996560000000001</v>
      </c>
      <c r="AB2357">
        <v>27</v>
      </c>
      <c r="AC2357">
        <v>55.606499999999897</v>
      </c>
      <c r="AD2357">
        <v>-1.1103676747196001</v>
      </c>
      <c r="AE2357">
        <v>0.53090000000000204</v>
      </c>
      <c r="AF2357">
        <v>-0.462487223776407</v>
      </c>
      <c r="AG2357">
        <v>-1.1103676747196001</v>
      </c>
      <c r="AH2357">
        <v>55.584947996540997</v>
      </c>
      <c r="AI2357">
        <v>91.144351526121497</v>
      </c>
      <c r="AJ2357">
        <v>90.476710971153906</v>
      </c>
      <c r="AK2357">
        <v>55.597960885120401</v>
      </c>
      <c r="AL2357">
        <v>80.539977526252102</v>
      </c>
      <c r="AM2357">
        <v>93.046500414065505</v>
      </c>
      <c r="AN2357">
        <v>1.0000000282449599</v>
      </c>
    </row>
    <row r="2358" spans="1:40" x14ac:dyDescent="0.25">
      <c r="A2358" t="str">
        <f>"20190304155412398"</f>
        <v>20190304155412398</v>
      </c>
      <c r="B2358" t="str">
        <f>"1551686052389414"</f>
        <v>1551686052389414</v>
      </c>
      <c r="C2358" t="s">
        <v>40</v>
      </c>
      <c r="D2358">
        <v>4.1447349999999998</v>
      </c>
      <c r="E2358">
        <v>0.51482890000000003</v>
      </c>
      <c r="F2358" t="s">
        <v>63</v>
      </c>
      <c r="G2358">
        <v>-387.45400000000001</v>
      </c>
      <c r="H2358" s="1">
        <v>2.4166369999999998E-6</v>
      </c>
      <c r="I2358">
        <v>214.91929999999999</v>
      </c>
      <c r="J2358">
        <v>-438.85270000000003</v>
      </c>
      <c r="K2358">
        <v>1.1103559999999999</v>
      </c>
      <c r="L2358">
        <v>214.41829999999999</v>
      </c>
      <c r="M2358">
        <v>0.99996050000000003</v>
      </c>
      <c r="N2358">
        <v>-8.6286009999999996E-3</v>
      </c>
      <c r="O2358">
        <v>2.1134130000000002E-3</v>
      </c>
      <c r="P2358">
        <v>0.98628919999999998</v>
      </c>
      <c r="Q2358">
        <v>0.15578020000000001</v>
      </c>
      <c r="R2358">
        <v>5.4464319999999997E-2</v>
      </c>
      <c r="S2358">
        <v>3.050354</v>
      </c>
      <c r="T2358">
        <v>-6.5539479999999997E-2</v>
      </c>
      <c r="U2358">
        <v>2.964783E-2</v>
      </c>
      <c r="V2358">
        <v>-5.2626029999999997E-2</v>
      </c>
      <c r="W2358">
        <v>0.16420699999999999</v>
      </c>
      <c r="X2358">
        <v>0.98502109999999998</v>
      </c>
      <c r="Y2358">
        <v>-7.6033130000000004E-3</v>
      </c>
      <c r="Z2358" s="1">
        <v>8.7312659999999999E-5</v>
      </c>
      <c r="AA2358">
        <v>0.9999711</v>
      </c>
      <c r="AB2358">
        <v>27</v>
      </c>
      <c r="AC2358">
        <v>51.398699999999998</v>
      </c>
      <c r="AD2358">
        <v>-1.1103535833629901</v>
      </c>
      <c r="AE2358">
        <v>0.501000000000004</v>
      </c>
      <c r="AF2358">
        <v>-0.39218514477364902</v>
      </c>
      <c r="AG2358">
        <v>-1.1103535833629901</v>
      </c>
      <c r="AH2358">
        <v>51.375670391634401</v>
      </c>
      <c r="AI2358">
        <v>91.238072775465298</v>
      </c>
      <c r="AJ2358">
        <v>90.437368835322403</v>
      </c>
      <c r="AK2358">
        <v>51.3891642514035</v>
      </c>
      <c r="AL2358">
        <v>80.5488294310626</v>
      </c>
      <c r="AM2358">
        <v>93.058193815805197</v>
      </c>
      <c r="AN2358">
        <v>1.00000000266388</v>
      </c>
    </row>
    <row r="2359" spans="1:40" x14ac:dyDescent="0.25">
      <c r="A2359" t="str">
        <f>"20190304155412419"</f>
        <v>20190304155412419</v>
      </c>
      <c r="B2359" t="str">
        <f>"1551686052408934"</f>
        <v>1551686052408934</v>
      </c>
      <c r="C2359" t="s">
        <v>40</v>
      </c>
      <c r="D2359">
        <v>4.1698820000000003</v>
      </c>
      <c r="E2359">
        <v>0.51478780000000002</v>
      </c>
      <c r="F2359" t="s">
        <v>63</v>
      </c>
      <c r="G2359">
        <v>-388.94459999999998</v>
      </c>
      <c r="H2359" s="1">
        <v>3.2075849999999998E-6</v>
      </c>
      <c r="I2359">
        <v>214.97049999999999</v>
      </c>
      <c r="J2359">
        <v>-438.58640000000003</v>
      </c>
      <c r="K2359">
        <v>1.1103419999999999</v>
      </c>
      <c r="L2359">
        <v>214.41980000000001</v>
      </c>
      <c r="M2359">
        <v>0.99995849999999997</v>
      </c>
      <c r="N2359">
        <v>-8.6338539999999998E-3</v>
      </c>
      <c r="O2359">
        <v>2.9335569999999998E-3</v>
      </c>
      <c r="P2359">
        <v>0.98626610000000003</v>
      </c>
      <c r="Q2359">
        <v>0.15546109999999999</v>
      </c>
      <c r="R2359">
        <v>5.5774789999999998E-2</v>
      </c>
      <c r="S2359">
        <v>3.0505979999999999</v>
      </c>
      <c r="T2359">
        <v>-6.7869540000000006E-2</v>
      </c>
      <c r="U2359">
        <v>3.3752440000000002E-2</v>
      </c>
      <c r="V2359">
        <v>-5.3122009999999997E-2</v>
      </c>
      <c r="W2359">
        <v>0.1638937</v>
      </c>
      <c r="X2359">
        <v>0.98504659999999999</v>
      </c>
      <c r="Y2359">
        <v>-8.1274740000000009E-3</v>
      </c>
      <c r="Z2359" s="1">
        <v>8.5559909999999994E-5</v>
      </c>
      <c r="AA2359">
        <v>0.99996700000000005</v>
      </c>
      <c r="AB2359">
        <v>27</v>
      </c>
      <c r="AC2359">
        <v>49.641800000000003</v>
      </c>
      <c r="AD2359">
        <v>-1.1103387924150001</v>
      </c>
      <c r="AE2359">
        <v>0.55069999999997699</v>
      </c>
      <c r="AF2359">
        <v>-0.40486264217113399</v>
      </c>
      <c r="AG2359">
        <v>-1.1103387924150001</v>
      </c>
      <c r="AH2359">
        <v>49.6183817588633</v>
      </c>
      <c r="AI2359">
        <v>91.281883688853199</v>
      </c>
      <c r="AJ2359">
        <v>90.467496219673393</v>
      </c>
      <c r="AK2359">
        <v>49.632454849234101</v>
      </c>
      <c r="AL2359">
        <v>80.567026221007097</v>
      </c>
      <c r="AM2359">
        <v>93.086880867966201</v>
      </c>
      <c r="AN2359">
        <v>0.999999948508843</v>
      </c>
    </row>
    <row r="2360" spans="1:40" x14ac:dyDescent="0.25">
      <c r="A2360" t="str">
        <f>"20190304155412444"</f>
        <v>20190304155412444</v>
      </c>
      <c r="B2360" t="str">
        <f>"1551686052439191"</f>
        <v>1551686052439191</v>
      </c>
      <c r="C2360" t="s">
        <v>40</v>
      </c>
      <c r="D2360">
        <v>4.191859</v>
      </c>
      <c r="E2360">
        <v>0.51466250000000002</v>
      </c>
      <c r="F2360" t="s">
        <v>63</v>
      </c>
      <c r="G2360">
        <v>-390.32380000000001</v>
      </c>
      <c r="H2360" s="1">
        <v>-1.364475E-6</v>
      </c>
      <c r="I2360">
        <v>215.02180000000001</v>
      </c>
      <c r="J2360">
        <v>-438.29539999999997</v>
      </c>
      <c r="K2360">
        <v>1.1103179999999999</v>
      </c>
      <c r="L2360">
        <v>214.42160000000001</v>
      </c>
      <c r="M2360">
        <v>0.99995540000000005</v>
      </c>
      <c r="N2360">
        <v>-8.6396500000000005E-3</v>
      </c>
      <c r="O2360">
        <v>3.79372E-3</v>
      </c>
      <c r="P2360">
        <v>0.98629560000000005</v>
      </c>
      <c r="Q2360">
        <v>0.15477050000000001</v>
      </c>
      <c r="R2360">
        <v>5.7160790000000003E-2</v>
      </c>
      <c r="S2360">
        <v>3.0507200000000001</v>
      </c>
      <c r="T2360">
        <v>-7.0185780000000003E-2</v>
      </c>
      <c r="U2360">
        <v>3.805542E-2</v>
      </c>
      <c r="V2360">
        <v>-5.3650459999999997E-2</v>
      </c>
      <c r="W2360">
        <v>0.1632121</v>
      </c>
      <c r="X2360">
        <v>0.98513119999999998</v>
      </c>
      <c r="Y2360">
        <v>-8.6768469999999997E-3</v>
      </c>
      <c r="Z2360" s="1">
        <v>8.2794880000000001E-5</v>
      </c>
      <c r="AA2360">
        <v>0.99996229999999997</v>
      </c>
      <c r="AB2360">
        <v>27</v>
      </c>
      <c r="AC2360">
        <v>47.971599999999903</v>
      </c>
      <c r="AD2360">
        <v>-1.110319364475</v>
      </c>
      <c r="AE2360">
        <v>0.60020000000000095</v>
      </c>
      <c r="AF2360">
        <v>-0.417974178120673</v>
      </c>
      <c r="AG2360">
        <v>-1.110319364475</v>
      </c>
      <c r="AH2360">
        <v>47.947849853294898</v>
      </c>
      <c r="AI2360">
        <v>91.326500154439998</v>
      </c>
      <c r="AJ2360">
        <v>90.499449919861704</v>
      </c>
      <c r="AK2360">
        <v>47.962525132219803</v>
      </c>
      <c r="AL2360">
        <v>80.606612758081894</v>
      </c>
      <c r="AM2360">
        <v>93.117261237323603</v>
      </c>
      <c r="AN2360">
        <v>1.0000000213290301</v>
      </c>
    </row>
    <row r="2361" spans="1:40" x14ac:dyDescent="0.25">
      <c r="A2361" t="str">
        <f>"20190304155412487"</f>
        <v>20190304155412487</v>
      </c>
      <c r="B2361" t="str">
        <f>"1551686052479205"</f>
        <v>1551686052479205</v>
      </c>
      <c r="C2361" t="s">
        <v>40</v>
      </c>
      <c r="D2361">
        <v>4.2094149999999999</v>
      </c>
      <c r="E2361">
        <v>0.51456789999999997</v>
      </c>
      <c r="F2361" t="s">
        <v>63</v>
      </c>
      <c r="G2361">
        <v>-392.75790000000001</v>
      </c>
      <c r="H2361" s="1">
        <v>-6.9146439999999997E-8</v>
      </c>
      <c r="I2361">
        <v>215.0607</v>
      </c>
      <c r="J2361">
        <v>-437.76429999999999</v>
      </c>
      <c r="K2361">
        <v>1.110258</v>
      </c>
      <c r="L2361">
        <v>214.4254</v>
      </c>
      <c r="M2361">
        <v>0.99994890000000003</v>
      </c>
      <c r="N2361">
        <v>-8.6498809999999999E-3</v>
      </c>
      <c r="O2361">
        <v>5.2376669999999997E-3</v>
      </c>
      <c r="P2361">
        <v>0.98626380000000002</v>
      </c>
      <c r="Q2361">
        <v>0.15393870000000001</v>
      </c>
      <c r="R2361">
        <v>5.989046E-2</v>
      </c>
      <c r="S2361">
        <v>3.0509029999999999</v>
      </c>
      <c r="T2361">
        <v>-7.4388739999999995E-2</v>
      </c>
      <c r="U2361">
        <v>4.2816159999999999E-2</v>
      </c>
      <c r="V2361">
        <v>-5.4931849999999997E-2</v>
      </c>
      <c r="W2361">
        <v>0.1623967</v>
      </c>
      <c r="X2361">
        <v>0.9851953</v>
      </c>
      <c r="Y2361">
        <v>-8.7921179999999998E-3</v>
      </c>
      <c r="Z2361" s="1">
        <v>6.2820810000000001E-5</v>
      </c>
      <c r="AA2361">
        <v>0.9999614</v>
      </c>
      <c r="AB2361">
        <v>27</v>
      </c>
      <c r="AC2361">
        <v>45.0063999999999</v>
      </c>
      <c r="AD2361">
        <v>-1.1102580691464401</v>
      </c>
      <c r="AE2361">
        <v>0.63529999999999998</v>
      </c>
      <c r="AF2361">
        <v>-0.39931098255238201</v>
      </c>
      <c r="AG2361">
        <v>-1.1102580691464401</v>
      </c>
      <c r="AH2361">
        <v>44.981741851578398</v>
      </c>
      <c r="AI2361">
        <v>91.413855503487198</v>
      </c>
      <c r="AJ2361">
        <v>90.508611541407106</v>
      </c>
      <c r="AK2361">
        <v>44.9972134942035</v>
      </c>
      <c r="AL2361">
        <v>80.653963156268404</v>
      </c>
      <c r="AM2361">
        <v>93.191354694969107</v>
      </c>
      <c r="AN2361">
        <v>0.99999998772870102</v>
      </c>
    </row>
    <row r="2362" spans="1:40" x14ac:dyDescent="0.25">
      <c r="A2362" t="str">
        <f>"20190304155412510"</f>
        <v>20190304155412510</v>
      </c>
      <c r="B2362" t="str">
        <f>"1551686052498726"</f>
        <v>1551686052498726</v>
      </c>
      <c r="C2362" t="s">
        <v>40</v>
      </c>
      <c r="D2362">
        <v>4.1968719999999999</v>
      </c>
      <c r="E2362">
        <v>0.51459009999999905</v>
      </c>
      <c r="F2362" t="s">
        <v>63</v>
      </c>
      <c r="G2362">
        <v>-395.02949999999998</v>
      </c>
      <c r="H2362" s="1">
        <v>1.1396840000000001E-6</v>
      </c>
      <c r="I2362">
        <v>215.1422</v>
      </c>
      <c r="J2362">
        <v>-437.47820000000002</v>
      </c>
      <c r="K2362">
        <v>1.1102270000000001</v>
      </c>
      <c r="L2362">
        <v>214.42769999999999</v>
      </c>
      <c r="M2362">
        <v>0.99994499999999997</v>
      </c>
      <c r="N2362">
        <v>-8.6554359999999903E-3</v>
      </c>
      <c r="O2362">
        <v>5.9474799999999998E-3</v>
      </c>
      <c r="P2362">
        <v>0.98628320000000003</v>
      </c>
      <c r="Q2362">
        <v>0.15348200000000001</v>
      </c>
      <c r="R2362">
        <v>6.0737470000000002E-2</v>
      </c>
      <c r="S2362">
        <v>3.0510860000000002</v>
      </c>
      <c r="T2362">
        <v>-7.9267740000000003E-2</v>
      </c>
      <c r="U2362">
        <v>5.1177979999999998E-2</v>
      </c>
      <c r="V2362">
        <v>-5.5065139999999999E-2</v>
      </c>
      <c r="W2362">
        <v>0.16195019999999999</v>
      </c>
      <c r="X2362">
        <v>0.98526139999999995</v>
      </c>
      <c r="Y2362">
        <v>-1.08202E-2</v>
      </c>
      <c r="Z2362" s="1">
        <v>8.4356589999999896E-5</v>
      </c>
      <c r="AA2362">
        <v>0.99994150000000004</v>
      </c>
      <c r="AB2362">
        <v>28</v>
      </c>
      <c r="AC2362">
        <v>42.448700000000002</v>
      </c>
      <c r="AD2362">
        <v>-1.110225860316</v>
      </c>
      <c r="AE2362">
        <v>0.71450000000001501</v>
      </c>
      <c r="AF2362">
        <v>-0.46169940694234302</v>
      </c>
      <c r="AG2362">
        <v>-1.110225860316</v>
      </c>
      <c r="AH2362">
        <v>42.423187046399299</v>
      </c>
      <c r="AI2362">
        <v>91.499014575530794</v>
      </c>
      <c r="AJ2362">
        <v>90.623535969907905</v>
      </c>
      <c r="AK2362">
        <v>42.440223455786203</v>
      </c>
      <c r="AL2362">
        <v>80.679889333500498</v>
      </c>
      <c r="AM2362">
        <v>93.198868151792595</v>
      </c>
      <c r="AN2362">
        <v>1.0000000316266</v>
      </c>
    </row>
    <row r="2363" spans="1:40" x14ac:dyDescent="0.25">
      <c r="A2363" t="str">
        <f>"20190304155412533"</f>
        <v>20190304155412533</v>
      </c>
      <c r="B2363" t="str">
        <f>"1551686052528982"</f>
        <v>1551686052528982</v>
      </c>
      <c r="C2363" t="s">
        <v>40</v>
      </c>
      <c r="D2363">
        <v>4.1745910000000004</v>
      </c>
      <c r="E2363">
        <v>0.54813219999999996</v>
      </c>
      <c r="F2363" t="s">
        <v>63</v>
      </c>
      <c r="G2363">
        <v>-395.98829999999998</v>
      </c>
      <c r="H2363" s="1">
        <v>1.649906E-6</v>
      </c>
      <c r="I2363">
        <v>215.15469999999999</v>
      </c>
      <c r="J2363">
        <v>-437.19049999999999</v>
      </c>
      <c r="K2363">
        <v>1.110195</v>
      </c>
      <c r="L2363">
        <v>214.43010000000001</v>
      </c>
      <c r="M2363">
        <v>0.99994079999999996</v>
      </c>
      <c r="N2363">
        <v>-8.661106E-3</v>
      </c>
      <c r="O2363">
        <v>6.6076349999999997E-3</v>
      </c>
      <c r="P2363">
        <v>0.98623859999999997</v>
      </c>
      <c r="Q2363">
        <v>0.15340970000000001</v>
      </c>
      <c r="R2363">
        <v>6.1636839999999998E-2</v>
      </c>
      <c r="S2363">
        <v>3.0511170000000001</v>
      </c>
      <c r="T2363">
        <v>-8.1644649999999999E-2</v>
      </c>
      <c r="U2363">
        <v>5.3466800000000002E-2</v>
      </c>
      <c r="V2363">
        <v>-5.5300630000000003E-2</v>
      </c>
      <c r="W2363">
        <v>0.16188720000000001</v>
      </c>
      <c r="X2363">
        <v>0.98525850000000004</v>
      </c>
      <c r="Y2363">
        <v>-1.090965E-2</v>
      </c>
      <c r="Z2363" s="1">
        <v>7.3644339999999998E-5</v>
      </c>
      <c r="AA2363">
        <v>0.99994050000000001</v>
      </c>
      <c r="AB2363">
        <v>28</v>
      </c>
      <c r="AC2363">
        <v>41.202199999999998</v>
      </c>
      <c r="AD2363">
        <v>-1.110193350094</v>
      </c>
      <c r="AE2363">
        <v>0.72459999999998004</v>
      </c>
      <c r="AF2363">
        <v>-0.451996844384011</v>
      </c>
      <c r="AG2363">
        <v>-1.110193350094</v>
      </c>
      <c r="AH2363">
        <v>41.176202489421499</v>
      </c>
      <c r="AI2363">
        <v>91.544342445395699</v>
      </c>
      <c r="AJ2363">
        <v>90.628918400687994</v>
      </c>
      <c r="AK2363">
        <v>41.193646134710697</v>
      </c>
      <c r="AL2363">
        <v>80.683546643574701</v>
      </c>
      <c r="AM2363">
        <v>93.212529183111599</v>
      </c>
      <c r="AN2363">
        <v>0.99999996851224304</v>
      </c>
    </row>
    <row r="2364" spans="1:40" x14ac:dyDescent="0.25">
      <c r="A2364" t="str">
        <f>"20190304155412555"</f>
        <v>20190304155412555</v>
      </c>
      <c r="B2364" t="str">
        <f>"1551686052549479"</f>
        <v>1551686052549479</v>
      </c>
      <c r="C2364" t="s">
        <v>40</v>
      </c>
      <c r="D2364">
        <v>3.9918779999999998</v>
      </c>
      <c r="E2364">
        <v>0.56163469999999904</v>
      </c>
      <c r="F2364" t="s">
        <v>48</v>
      </c>
      <c r="G2364">
        <v>-436.36599999999999</v>
      </c>
      <c r="H2364">
        <v>1.031865</v>
      </c>
      <c r="I2364">
        <v>214.37270000000001</v>
      </c>
      <c r="J2364">
        <v>-436.91980000000001</v>
      </c>
      <c r="K2364">
        <v>1.1101559999999999</v>
      </c>
      <c r="L2364">
        <v>214.4325</v>
      </c>
      <c r="M2364">
        <v>0.99993679999999996</v>
      </c>
      <c r="N2364">
        <v>-8.6664450000000001E-3</v>
      </c>
      <c r="O2364">
        <v>7.1653439999999997E-3</v>
      </c>
      <c r="P2364">
        <v>0.98620850000000004</v>
      </c>
      <c r="Q2364">
        <v>0.15337529999999999</v>
      </c>
      <c r="R2364">
        <v>6.2198610000000001E-2</v>
      </c>
      <c r="S2364">
        <v>3.1011660000000001</v>
      </c>
      <c r="T2364">
        <v>-0.29471770000000003</v>
      </c>
      <c r="U2364">
        <v>-0.215332</v>
      </c>
      <c r="V2364">
        <v>-5.5297560000000003E-2</v>
      </c>
      <c r="W2364">
        <v>0.1618627</v>
      </c>
      <c r="X2364">
        <v>0.98526279999999999</v>
      </c>
      <c r="Y2364">
        <v>7.601687E-2</v>
      </c>
      <c r="Z2364">
        <v>-4.5470490000000001E-3</v>
      </c>
      <c r="AA2364">
        <v>0.99709619999999999</v>
      </c>
      <c r="AB2364">
        <v>28</v>
      </c>
      <c r="AC2364">
        <v>0.55380000000002305</v>
      </c>
      <c r="AD2364">
        <v>-7.8290999999999805E-2</v>
      </c>
      <c r="AE2364">
        <v>-5.97999999999956E-2</v>
      </c>
      <c r="AF2364">
        <v>6.25314546721909E-2</v>
      </c>
      <c r="AG2364">
        <v>-7.8290999999999805E-2</v>
      </c>
      <c r="AH2364">
        <v>0.54263732532855502</v>
      </c>
      <c r="AI2364">
        <v>98.156660240189495</v>
      </c>
      <c r="AJ2364">
        <v>83.426448240093407</v>
      </c>
      <c r="AK2364">
        <v>0.55181059281618405</v>
      </c>
      <c r="AL2364">
        <v>80.684970099684307</v>
      </c>
      <c r="AM2364">
        <v>93.212337223545703</v>
      </c>
      <c r="AN2364">
        <v>1.00000006942853</v>
      </c>
    </row>
    <row r="2365" spans="1:40" x14ac:dyDescent="0.25">
      <c r="A2365" t="str">
        <f>"20190304155412578"</f>
        <v>20190304155412578</v>
      </c>
      <c r="B2365" t="str">
        <f>"1551686052568998"</f>
        <v>1551686052568998</v>
      </c>
      <c r="C2365" t="s">
        <v>40</v>
      </c>
      <c r="D2365">
        <v>4.0764690000000003</v>
      </c>
      <c r="E2365">
        <v>0.5712469</v>
      </c>
      <c r="F2365" t="s">
        <v>48</v>
      </c>
      <c r="G2365">
        <v>-436.12189999999998</v>
      </c>
      <c r="H2365">
        <v>1.023388</v>
      </c>
      <c r="I2365">
        <v>214.34950000000001</v>
      </c>
      <c r="J2365">
        <v>-436.63499999999999</v>
      </c>
      <c r="K2365">
        <v>1.1101080000000001</v>
      </c>
      <c r="L2365">
        <v>214.43520000000001</v>
      </c>
      <c r="M2365">
        <v>0.99993290000000001</v>
      </c>
      <c r="N2365">
        <v>-8.6720440000000003E-3</v>
      </c>
      <c r="O2365">
        <v>7.6852329999999996E-3</v>
      </c>
      <c r="P2365">
        <v>0.9862071</v>
      </c>
      <c r="Q2365">
        <v>0.15311920000000001</v>
      </c>
      <c r="R2365">
        <v>6.2851740000000003E-2</v>
      </c>
      <c r="S2365">
        <v>3.115021</v>
      </c>
      <c r="T2365">
        <v>-0.33903620000000001</v>
      </c>
      <c r="U2365">
        <v>-0.32203670000000001</v>
      </c>
      <c r="V2365">
        <v>-5.5420079999999997E-2</v>
      </c>
      <c r="W2365">
        <v>0.16161889999999901</v>
      </c>
      <c r="X2365">
        <v>0.9852959</v>
      </c>
      <c r="Y2365">
        <v>0.1097443</v>
      </c>
      <c r="Z2365">
        <v>-7.1831780000000001E-3</v>
      </c>
      <c r="AA2365">
        <v>0.99393390000000004</v>
      </c>
      <c r="AB2365">
        <v>28</v>
      </c>
      <c r="AC2365">
        <v>0.51310000000000799</v>
      </c>
      <c r="AD2365">
        <v>-8.6720000000000103E-2</v>
      </c>
      <c r="AE2365">
        <v>-8.5700000000002705E-2</v>
      </c>
      <c r="AF2365">
        <v>8.7217165410673897E-2</v>
      </c>
      <c r="AG2365">
        <v>-8.6720000000000103E-2</v>
      </c>
      <c r="AH2365">
        <v>0.49857102420390198</v>
      </c>
      <c r="AI2365">
        <v>99.722384647142604</v>
      </c>
      <c r="AJ2365">
        <v>80.077407869318606</v>
      </c>
      <c r="AK2365">
        <v>0.51351753477169704</v>
      </c>
      <c r="AL2365">
        <v>80.6991248377864</v>
      </c>
      <c r="AM2365">
        <v>93.219331754761498</v>
      </c>
      <c r="AN2365">
        <v>1.00000003233061</v>
      </c>
    </row>
    <row r="2366" spans="1:40" x14ac:dyDescent="0.25">
      <c r="A2366" t="str">
        <f>"20190304155412621"</f>
        <v>20190304155412621</v>
      </c>
      <c r="B2366" t="str">
        <f>"1551686052609013"</f>
        <v>1551686052609013</v>
      </c>
      <c r="C2366" t="s">
        <v>40</v>
      </c>
      <c r="D2366">
        <v>4.1395900000000001</v>
      </c>
      <c r="E2366">
        <v>0.57993819999999996</v>
      </c>
      <c r="F2366" t="s">
        <v>48</v>
      </c>
      <c r="G2366">
        <v>-435.87380000000002</v>
      </c>
      <c r="H2366">
        <v>1.0223869999999999</v>
      </c>
      <c r="I2366">
        <v>214.3382</v>
      </c>
      <c r="J2366">
        <v>-436.1001</v>
      </c>
      <c r="K2366">
        <v>1.1100080000000001</v>
      </c>
      <c r="L2366">
        <v>214.44030000000001</v>
      </c>
      <c r="M2366">
        <v>0.99992610000000004</v>
      </c>
      <c r="N2366">
        <v>-8.6826290000000007E-3</v>
      </c>
      <c r="O2366">
        <v>8.4901100000000004E-3</v>
      </c>
      <c r="P2366">
        <v>0.98631659999999999</v>
      </c>
      <c r="Q2366">
        <v>0.1516305</v>
      </c>
      <c r="R2366">
        <v>6.4713950000000006E-2</v>
      </c>
      <c r="S2366">
        <v>3.123138</v>
      </c>
      <c r="T2366">
        <v>-0.35989460000000001</v>
      </c>
      <c r="U2366">
        <v>-0.39720149999999999</v>
      </c>
      <c r="V2366">
        <v>-5.645087E-2</v>
      </c>
      <c r="W2366">
        <v>0.1601534</v>
      </c>
      <c r="X2366">
        <v>0.98547660000000004</v>
      </c>
      <c r="Y2366">
        <v>0.13359770000000001</v>
      </c>
      <c r="Z2366">
        <v>-9.1242379999999998E-3</v>
      </c>
      <c r="AA2366">
        <v>0.99099369999999998</v>
      </c>
      <c r="AB2366">
        <v>28</v>
      </c>
      <c r="AC2366">
        <v>0.22629999999997999</v>
      </c>
      <c r="AD2366">
        <v>-8.7620999999999699E-2</v>
      </c>
      <c r="AE2366">
        <v>-0.102100000000007</v>
      </c>
      <c r="AF2366">
        <v>9.2496295379353E-2</v>
      </c>
      <c r="AG2366">
        <v>-8.7620999999999699E-2</v>
      </c>
      <c r="AH2366">
        <v>0.20045601584217199</v>
      </c>
      <c r="AI2366">
        <v>111.64778676974301</v>
      </c>
      <c r="AJ2366">
        <v>65.230011947197298</v>
      </c>
      <c r="AK2366">
        <v>0.23751972252261799</v>
      </c>
      <c r="AL2366">
        <v>80.784199512963198</v>
      </c>
      <c r="AM2366">
        <v>93.278480536530097</v>
      </c>
      <c r="AN2366">
        <v>0.99999997070143798</v>
      </c>
    </row>
    <row r="2367" spans="1:40" x14ac:dyDescent="0.25">
      <c r="A2367" t="str">
        <f>"20190304155412644"</f>
        <v>20190304155412644</v>
      </c>
      <c r="B2367" t="str">
        <f>"1551686052639271"</f>
        <v>1551686052639271</v>
      </c>
      <c r="C2367" t="s">
        <v>40</v>
      </c>
      <c r="D2367">
        <v>4.2285009999999996</v>
      </c>
      <c r="E2367">
        <v>0.58213789999999999</v>
      </c>
      <c r="F2367" t="s">
        <v>48</v>
      </c>
      <c r="G2367">
        <v>-435.37639999999999</v>
      </c>
      <c r="H2367">
        <v>1.020016</v>
      </c>
      <c r="I2367">
        <v>214.33369999999999</v>
      </c>
      <c r="J2367">
        <v>-435.81439999999998</v>
      </c>
      <c r="K2367">
        <v>1.1099699999999999</v>
      </c>
      <c r="L2367">
        <v>214.44309999999999</v>
      </c>
      <c r="M2367">
        <v>0.99992329999999996</v>
      </c>
      <c r="N2367">
        <v>-8.6883469999999904E-3</v>
      </c>
      <c r="O2367">
        <v>8.8428740000000006E-3</v>
      </c>
      <c r="P2367">
        <v>0.98646180000000006</v>
      </c>
      <c r="Q2367">
        <v>0.15053250000000001</v>
      </c>
      <c r="R2367">
        <v>6.5064529999999995E-2</v>
      </c>
      <c r="S2367">
        <v>3.1317750000000002</v>
      </c>
      <c r="T2367">
        <v>-0.38933269999999998</v>
      </c>
      <c r="U2367">
        <v>-0.46154790000000001</v>
      </c>
      <c r="V2367">
        <v>-5.6436010000000002E-2</v>
      </c>
      <c r="W2367">
        <v>0.1590674</v>
      </c>
      <c r="X2367">
        <v>0.98565329999999995</v>
      </c>
      <c r="Y2367">
        <v>0.15324849999999901</v>
      </c>
      <c r="Z2367">
        <v>-1.112409E-2</v>
      </c>
      <c r="AA2367">
        <v>0.98812509999999998</v>
      </c>
      <c r="AB2367">
        <v>28</v>
      </c>
      <c r="AC2367">
        <v>0.43799999999998801</v>
      </c>
      <c r="AD2367">
        <v>-8.9954000000000006E-2</v>
      </c>
      <c r="AE2367">
        <v>-0.109399999999993</v>
      </c>
      <c r="AF2367">
        <v>0.108943780090951</v>
      </c>
      <c r="AG2367">
        <v>-8.9954000000000006E-2</v>
      </c>
      <c r="AH2367">
        <v>0.420327652757923</v>
      </c>
      <c r="AI2367">
        <v>101.704056173363</v>
      </c>
      <c r="AJ2367">
        <v>75.4693839235117</v>
      </c>
      <c r="AK2367">
        <v>0.44343635959344901</v>
      </c>
      <c r="AL2367">
        <v>80.847230547442194</v>
      </c>
      <c r="AM2367">
        <v>93.277033093945406</v>
      </c>
      <c r="AN2367">
        <v>0.99999994438418305</v>
      </c>
    </row>
    <row r="2368" spans="1:40" x14ac:dyDescent="0.25">
      <c r="A2368" t="str">
        <f>"20190304155412689"</f>
        <v>20190304155412689</v>
      </c>
      <c r="B2368" t="str">
        <f>"1551686052678688"</f>
        <v>1551686052678688</v>
      </c>
      <c r="C2368" t="s">
        <v>40</v>
      </c>
      <c r="D2368">
        <v>4.2225380000000001</v>
      </c>
      <c r="E2368">
        <v>0.58385750000000003</v>
      </c>
      <c r="F2368" t="s">
        <v>48</v>
      </c>
      <c r="G2368">
        <v>-434.88839999999999</v>
      </c>
      <c r="H2368">
        <v>0.99179269999999997</v>
      </c>
      <c r="I2368">
        <v>214.3014</v>
      </c>
      <c r="J2368">
        <v>-435.255</v>
      </c>
      <c r="K2368">
        <v>1.1099159999999999</v>
      </c>
      <c r="L2368">
        <v>214.44890000000001</v>
      </c>
      <c r="M2368">
        <v>0.99991790000000003</v>
      </c>
      <c r="N2368">
        <v>-8.6995379999999997E-3</v>
      </c>
      <c r="O2368">
        <v>9.4211090000000004E-3</v>
      </c>
      <c r="P2368">
        <v>0.98647839999999998</v>
      </c>
      <c r="Q2368">
        <v>0.1500283</v>
      </c>
      <c r="R2368">
        <v>6.5969239999999998E-2</v>
      </c>
      <c r="S2368">
        <v>3.133759</v>
      </c>
      <c r="T2368">
        <v>-0.40014699999999997</v>
      </c>
      <c r="U2368">
        <v>-0.47859190000000001</v>
      </c>
      <c r="V2368">
        <v>-5.6751639999999999E-2</v>
      </c>
      <c r="W2368">
        <v>0.1585811</v>
      </c>
      <c r="X2368">
        <v>0.98571359999999997</v>
      </c>
      <c r="Y2368">
        <v>0.15886359999999999</v>
      </c>
      <c r="Z2368">
        <v>-1.185229E-2</v>
      </c>
      <c r="AA2368">
        <v>0.98722940000000003</v>
      </c>
      <c r="AB2368">
        <v>28</v>
      </c>
      <c r="AC2368">
        <v>0.36660000000000498</v>
      </c>
      <c r="AD2368">
        <v>-0.118123299999999</v>
      </c>
      <c r="AE2368">
        <v>-0.14750000000000699</v>
      </c>
      <c r="AF2368">
        <v>0.13856567635143199</v>
      </c>
      <c r="AG2368">
        <v>-0.118123299999999</v>
      </c>
      <c r="AH2368">
        <v>0.33523846711121602</v>
      </c>
      <c r="AI2368">
        <v>108.037095295922</v>
      </c>
      <c r="AJ2368">
        <v>67.542996293791404</v>
      </c>
      <c r="AK2368">
        <v>0.38149494163972603</v>
      </c>
      <c r="AL2368">
        <v>80.875452283150807</v>
      </c>
      <c r="AM2368">
        <v>93.295119154239302</v>
      </c>
      <c r="AN2368">
        <v>1.00000000757242</v>
      </c>
    </row>
    <row r="2369" spans="1:40" x14ac:dyDescent="0.25">
      <c r="A2369" t="str">
        <f>"20190304155412710"</f>
        <v>20190304155412710</v>
      </c>
      <c r="B2369" t="str">
        <f>"1551686052699184"</f>
        <v>1551686052699184</v>
      </c>
      <c r="C2369" t="s">
        <v>40</v>
      </c>
      <c r="D2369">
        <v>4.1279019999999997</v>
      </c>
      <c r="E2369">
        <v>0.62330649999999999</v>
      </c>
      <c r="F2369" t="s">
        <v>48</v>
      </c>
      <c r="G2369">
        <v>-434.38350000000003</v>
      </c>
      <c r="H2369">
        <v>0.99762859999999998</v>
      </c>
      <c r="I2369">
        <v>214.31270000000001</v>
      </c>
      <c r="J2369">
        <v>-434.97750000000002</v>
      </c>
      <c r="K2369">
        <v>1.109909</v>
      </c>
      <c r="L2369">
        <v>214.45179999999999</v>
      </c>
      <c r="M2369">
        <v>0.99991540000000001</v>
      </c>
      <c r="N2369">
        <v>-8.7049409999999904E-3</v>
      </c>
      <c r="O2369">
        <v>9.6746249999999992E-3</v>
      </c>
      <c r="P2369">
        <v>0.98646100000000003</v>
      </c>
      <c r="Q2369">
        <v>0.15004329999999999</v>
      </c>
      <c r="R2369">
        <v>6.6196329999999998E-2</v>
      </c>
      <c r="S2369">
        <v>3.1352229999999999</v>
      </c>
      <c r="T2369">
        <v>-0.40405069999999998</v>
      </c>
      <c r="U2369">
        <v>-0.48887629999999999</v>
      </c>
      <c r="V2369">
        <v>-5.6723229999999999E-2</v>
      </c>
      <c r="W2369">
        <v>0.15860369999999999</v>
      </c>
      <c r="X2369">
        <v>0.98571160000000002</v>
      </c>
      <c r="Y2369">
        <v>0.1621522</v>
      </c>
      <c r="Z2369">
        <v>-1.220809E-2</v>
      </c>
      <c r="AA2369">
        <v>0.98669019999999996</v>
      </c>
      <c r="AB2369">
        <v>28</v>
      </c>
      <c r="AC2369">
        <v>0.59399999999999398</v>
      </c>
      <c r="AD2369">
        <v>-0.1122804</v>
      </c>
      <c r="AE2369">
        <v>-0.13909999999998399</v>
      </c>
      <c r="AF2369">
        <v>0.14009504279937099</v>
      </c>
      <c r="AG2369">
        <v>-0.1122804</v>
      </c>
      <c r="AH2369">
        <v>0.57321025331304698</v>
      </c>
      <c r="AI2369">
        <v>100.773414669194</v>
      </c>
      <c r="AJ2369">
        <v>76.265902879036702</v>
      </c>
      <c r="AK2369">
        <v>0.60066921324829403</v>
      </c>
      <c r="AL2369">
        <v>80.874140808450605</v>
      </c>
      <c r="AM2369">
        <v>93.293479909910999</v>
      </c>
      <c r="AN2369">
        <v>1.0000000084249401</v>
      </c>
    </row>
    <row r="2370" spans="1:40" x14ac:dyDescent="0.25">
      <c r="A2370" t="str">
        <f>"20190304155412733"</f>
        <v>20190304155412733</v>
      </c>
      <c r="B2370" t="str">
        <f>"1551686052729440"</f>
        <v>1551686052729440</v>
      </c>
      <c r="C2370" t="s">
        <v>40</v>
      </c>
      <c r="D2370">
        <v>4.2411430000000001</v>
      </c>
      <c r="E2370">
        <v>0.6559933</v>
      </c>
      <c r="F2370" t="s">
        <v>65</v>
      </c>
      <c r="G2370">
        <v>-425.6506</v>
      </c>
      <c r="H2370" s="1">
        <v>3.1838820000000001E-6</v>
      </c>
      <c r="I2370">
        <v>212.0814</v>
      </c>
      <c r="J2370">
        <v>-434.69760000000002</v>
      </c>
      <c r="K2370">
        <v>1.1098950000000001</v>
      </c>
      <c r="L2370">
        <v>214.45480000000001</v>
      </c>
      <c r="M2370">
        <v>0.99991289999999999</v>
      </c>
      <c r="N2370">
        <v>-8.7103809999999997E-3</v>
      </c>
      <c r="O2370">
        <v>9.9218080000000007E-3</v>
      </c>
      <c r="P2370">
        <v>0.98634900000000003</v>
      </c>
      <c r="Q2370">
        <v>0.150759</v>
      </c>
      <c r="R2370">
        <v>6.6237550000000006E-2</v>
      </c>
      <c r="S2370">
        <v>3.1519780000000002</v>
      </c>
      <c r="T2370">
        <v>-0.37508639999999999</v>
      </c>
      <c r="U2370">
        <v>-0.80105590000000004</v>
      </c>
      <c r="V2370">
        <v>-5.6518230000000003E-2</v>
      </c>
      <c r="W2370">
        <v>0.15932499999999999</v>
      </c>
      <c r="X2370">
        <v>0.98560700000000001</v>
      </c>
      <c r="Y2370">
        <v>0.254046299999999</v>
      </c>
      <c r="Z2370">
        <v>-1.7030960000000001E-2</v>
      </c>
      <c r="AA2370">
        <v>0.96704210000000002</v>
      </c>
      <c r="AB2370">
        <v>28</v>
      </c>
      <c r="AC2370">
        <v>9.0470000000000201</v>
      </c>
      <c r="AD2370">
        <v>-1.109891816118</v>
      </c>
      <c r="AE2370">
        <v>-2.3734000000000002</v>
      </c>
      <c r="AF2370">
        <v>2.4288475466344202</v>
      </c>
      <c r="AG2370">
        <v>-1.109891816118</v>
      </c>
      <c r="AH2370">
        <v>8.8977129272435302</v>
      </c>
      <c r="AI2370">
        <v>96.861757732357006</v>
      </c>
      <c r="AJ2370">
        <v>74.731704840974402</v>
      </c>
      <c r="AK2370">
        <v>9.2898038506695304</v>
      </c>
      <c r="AL2370">
        <v>80.832280659934696</v>
      </c>
      <c r="AM2370">
        <v>93.281950710624002</v>
      </c>
      <c r="AN2370">
        <v>0.999999962198165</v>
      </c>
    </row>
    <row r="2371" spans="1:40" x14ac:dyDescent="0.25">
      <c r="A2371" t="str">
        <f>"20190304155412754"</f>
        <v>20190304155412754</v>
      </c>
      <c r="B2371" t="str">
        <f>"1551686052748960"</f>
        <v>1551686052748960</v>
      </c>
      <c r="C2371" t="s">
        <v>40</v>
      </c>
      <c r="D2371">
        <v>4.1817149999999996</v>
      </c>
      <c r="E2371">
        <v>0.65377459999999998</v>
      </c>
      <c r="F2371" t="s">
        <v>65</v>
      </c>
      <c r="G2371">
        <v>-425.45240000000001</v>
      </c>
      <c r="H2371" s="1">
        <v>3.2819919999999999E-6</v>
      </c>
      <c r="I2371">
        <v>211.3614</v>
      </c>
      <c r="J2371">
        <v>-434.41820000000001</v>
      </c>
      <c r="K2371">
        <v>1.1098889999999999</v>
      </c>
      <c r="L2371">
        <v>214.45779999999999</v>
      </c>
      <c r="M2371">
        <v>0.99991039999999998</v>
      </c>
      <c r="N2371">
        <v>-8.7157929999999995E-3</v>
      </c>
      <c r="O2371">
        <v>1.016509E-2</v>
      </c>
      <c r="P2371">
        <v>0.98635919999999999</v>
      </c>
      <c r="Q2371">
        <v>0.15072070000000001</v>
      </c>
      <c r="R2371">
        <v>6.6174170000000004E-2</v>
      </c>
      <c r="S2371">
        <v>3.1709900000000002</v>
      </c>
      <c r="T2371">
        <v>-0.38067770000000001</v>
      </c>
      <c r="U2371">
        <v>-1.060989</v>
      </c>
      <c r="V2371">
        <v>-5.6213039999999999E-2</v>
      </c>
      <c r="W2371">
        <v>0.15929299999999999</v>
      </c>
      <c r="X2371">
        <v>0.98562969999999905</v>
      </c>
      <c r="Y2371">
        <v>0.32460470000000002</v>
      </c>
      <c r="Z2371">
        <v>-2.146056E-2</v>
      </c>
      <c r="AA2371">
        <v>0.94560630000000001</v>
      </c>
      <c r="AB2371">
        <v>28</v>
      </c>
      <c r="AC2371">
        <v>8.9657999999999998</v>
      </c>
      <c r="AD2371">
        <v>-1.109885718008</v>
      </c>
      <c r="AE2371">
        <v>-3.0963999999999801</v>
      </c>
      <c r="AF2371">
        <v>3.14433180237224</v>
      </c>
      <c r="AG2371">
        <v>-1.109885718008</v>
      </c>
      <c r="AH2371">
        <v>8.8131966933954402</v>
      </c>
      <c r="AI2371">
        <v>96.764341315161303</v>
      </c>
      <c r="AJ2371">
        <v>70.364850058420501</v>
      </c>
      <c r="AK2371">
        <v>9.4229032016106409</v>
      </c>
      <c r="AL2371">
        <v>80.834138522231498</v>
      </c>
      <c r="AM2371">
        <v>93.264192077669605</v>
      </c>
      <c r="AN2371">
        <v>1.0000000356185601</v>
      </c>
    </row>
    <row r="2372" spans="1:40" x14ac:dyDescent="0.25">
      <c r="A2372" t="str">
        <f>"20190304155412778"</f>
        <v>20190304155412778</v>
      </c>
      <c r="B2372" t="str">
        <f>"1551686052769456"</f>
        <v>1551686052769456</v>
      </c>
      <c r="C2372" t="s">
        <v>40</v>
      </c>
      <c r="D2372">
        <v>4.2653210000000001</v>
      </c>
      <c r="E2372">
        <v>0.65347869999999997</v>
      </c>
      <c r="F2372" t="s">
        <v>65</v>
      </c>
      <c r="G2372">
        <v>-425.10509999999999</v>
      </c>
      <c r="H2372" s="1">
        <v>3.340896E-6</v>
      </c>
      <c r="I2372">
        <v>211.39230000000001</v>
      </c>
      <c r="J2372">
        <v>-434.12950000000001</v>
      </c>
      <c r="K2372">
        <v>1.1098920000000001</v>
      </c>
      <c r="L2372">
        <v>214.46100000000001</v>
      </c>
      <c r="M2372">
        <v>0.99990769999999995</v>
      </c>
      <c r="N2372">
        <v>-8.7214149999999997E-3</v>
      </c>
      <c r="O2372">
        <v>1.041711E-2</v>
      </c>
      <c r="P2372">
        <v>0.98628959999999999</v>
      </c>
      <c r="Q2372">
        <v>0.151288899999999</v>
      </c>
      <c r="R2372">
        <v>6.5913269999999996E-2</v>
      </c>
      <c r="S2372">
        <v>3.1691889999999998</v>
      </c>
      <c r="T2372">
        <v>-0.37768499999999999</v>
      </c>
      <c r="U2372">
        <v>-1.043167</v>
      </c>
      <c r="V2372">
        <v>-5.5703500000000003E-2</v>
      </c>
      <c r="W2372">
        <v>0.159866799999999</v>
      </c>
      <c r="X2372">
        <v>0.98556569999999999</v>
      </c>
      <c r="Y2372">
        <v>0.32026779999999999</v>
      </c>
      <c r="Z2372">
        <v>-2.108761E-2</v>
      </c>
      <c r="AA2372">
        <v>0.94709239999999995</v>
      </c>
      <c r="AB2372">
        <v>28</v>
      </c>
      <c r="AC2372">
        <v>9.0244000000000106</v>
      </c>
      <c r="AD2372">
        <v>-1.109888659104</v>
      </c>
      <c r="AE2372">
        <v>-3.06869999999997</v>
      </c>
      <c r="AF2372">
        <v>3.12024040439668</v>
      </c>
      <c r="AG2372">
        <v>-1.109888659104</v>
      </c>
      <c r="AH2372">
        <v>8.8716584479460394</v>
      </c>
      <c r="AI2372">
        <v>96.730819639171997</v>
      </c>
      <c r="AJ2372">
        <v>70.622777668226803</v>
      </c>
      <c r="AK2372">
        <v>9.4696397309427507</v>
      </c>
      <c r="AL2372">
        <v>80.800835200675493</v>
      </c>
      <c r="AM2372">
        <v>93.234876708955795</v>
      </c>
      <c r="AN2372">
        <v>1.0000000113354801</v>
      </c>
    </row>
    <row r="2373" spans="1:40" x14ac:dyDescent="0.25">
      <c r="A2373" t="str">
        <f>"20190304155412799"</f>
        <v>20190304155412799</v>
      </c>
      <c r="B2373" t="str">
        <f>"1551686052788976"</f>
        <v>1551686052788976</v>
      </c>
      <c r="C2373" t="s">
        <v>40</v>
      </c>
      <c r="D2373">
        <v>4.2004149999999996</v>
      </c>
      <c r="E2373">
        <v>0.65146559999999998</v>
      </c>
      <c r="F2373" t="s">
        <v>65</v>
      </c>
      <c r="G2373">
        <v>-424.7928</v>
      </c>
      <c r="H2373" s="1">
        <v>3.3961290000000001E-6</v>
      </c>
      <c r="I2373">
        <v>211.39420000000001</v>
      </c>
      <c r="J2373">
        <v>-433.85509999999999</v>
      </c>
      <c r="K2373">
        <v>1.10989</v>
      </c>
      <c r="L2373">
        <v>214.4641</v>
      </c>
      <c r="M2373">
        <v>0.9999053</v>
      </c>
      <c r="N2373">
        <v>-8.7267930000000001E-3</v>
      </c>
      <c r="O2373">
        <v>1.065841E-2</v>
      </c>
      <c r="P2373">
        <v>0.98628349999999998</v>
      </c>
      <c r="Q2373">
        <v>0.15135460000000001</v>
      </c>
      <c r="R2373">
        <v>6.5856339999999999E-2</v>
      </c>
      <c r="S2373">
        <v>3.169098</v>
      </c>
      <c r="T2373">
        <v>-0.37672020000000001</v>
      </c>
      <c r="U2373">
        <v>-1.0409550000000001</v>
      </c>
      <c r="V2373">
        <v>-5.5408190000000003E-2</v>
      </c>
      <c r="W2373">
        <v>0.15993829999999901</v>
      </c>
      <c r="X2373">
        <v>0.98557070000000002</v>
      </c>
      <c r="Y2373">
        <v>0.31991910000000001</v>
      </c>
      <c r="Z2373">
        <v>-2.1044920000000002E-2</v>
      </c>
      <c r="AA2373">
        <v>0.94721109999999997</v>
      </c>
      <c r="AB2373">
        <v>28</v>
      </c>
      <c r="AC2373">
        <v>9.0622999999999898</v>
      </c>
      <c r="AD2373">
        <v>-1.109886603871</v>
      </c>
      <c r="AE2373">
        <v>-3.0698999999999899</v>
      </c>
      <c r="AF2373">
        <v>3.12428012230402</v>
      </c>
      <c r="AG2373">
        <v>-1.109886603871</v>
      </c>
      <c r="AH2373">
        <v>8.9091858580164605</v>
      </c>
      <c r="AI2373">
        <v>96.704849172658797</v>
      </c>
      <c r="AJ2373">
        <v>70.675212806408595</v>
      </c>
      <c r="AK2373">
        <v>9.5061331364943999</v>
      </c>
      <c r="AL2373">
        <v>80.796684732264893</v>
      </c>
      <c r="AM2373">
        <v>93.217746975193705</v>
      </c>
      <c r="AN2373">
        <v>0.99999996601222696</v>
      </c>
    </row>
    <row r="2374" spans="1:40" x14ac:dyDescent="0.25">
      <c r="A2374" t="str">
        <f>"20190304155412824"</f>
        <v>20190304155412824</v>
      </c>
      <c r="B2374" t="str">
        <f>"1551686052819232"</f>
        <v>1551686052819232</v>
      </c>
      <c r="C2374" t="s">
        <v>40</v>
      </c>
      <c r="D2374">
        <v>4.2348160000000004</v>
      </c>
      <c r="E2374">
        <v>0.64918659999999995</v>
      </c>
      <c r="F2374" t="s">
        <v>65</v>
      </c>
      <c r="G2374">
        <v>-424.44220000000001</v>
      </c>
      <c r="H2374" s="1">
        <v>3.4564320000000001E-6</v>
      </c>
      <c r="I2374">
        <v>211.41569999999999</v>
      </c>
      <c r="J2374">
        <v>-433.54790000000003</v>
      </c>
      <c r="K2374">
        <v>1.10989</v>
      </c>
      <c r="L2374">
        <v>214.46770000000001</v>
      </c>
      <c r="M2374">
        <v>0.99990230000000002</v>
      </c>
      <c r="N2374">
        <v>-8.7328530000000005E-3</v>
      </c>
      <c r="O2374">
        <v>1.0930840000000001E-2</v>
      </c>
      <c r="P2374">
        <v>0.98630479999999998</v>
      </c>
      <c r="Q2374">
        <v>0.15119379999999999</v>
      </c>
      <c r="R2374">
        <v>6.5905649999999996E-2</v>
      </c>
      <c r="S2374">
        <v>3.1675420000000001</v>
      </c>
      <c r="T2374">
        <v>-0.37348930000000002</v>
      </c>
      <c r="U2374">
        <v>-1.025833</v>
      </c>
      <c r="V2374">
        <v>-5.5188719999999997E-2</v>
      </c>
      <c r="W2374">
        <v>0.15978339999999999</v>
      </c>
      <c r="X2374">
        <v>0.98560820000000005</v>
      </c>
      <c r="Y2374">
        <v>0.31628030000000001</v>
      </c>
      <c r="Z2374">
        <v>-2.0704029999999998E-2</v>
      </c>
      <c r="AA2374">
        <v>0.94843980000000006</v>
      </c>
      <c r="AB2374">
        <v>28</v>
      </c>
      <c r="AC2374">
        <v>9.1057000000000095</v>
      </c>
      <c r="AD2374">
        <v>-1.1098865435680001</v>
      </c>
      <c r="AE2374">
        <v>-3.05200000000002</v>
      </c>
      <c r="AF2374">
        <v>3.1098181416807398</v>
      </c>
      <c r="AG2374">
        <v>-1.1098865435680001</v>
      </c>
      <c r="AH2374">
        <v>8.9522235357462101</v>
      </c>
      <c r="AI2374">
        <v>96.679702333639995</v>
      </c>
      <c r="AJ2374">
        <v>70.843825662476306</v>
      </c>
      <c r="AK2374">
        <v>9.5417568218797406</v>
      </c>
      <c r="AL2374">
        <v>80.805676037658699</v>
      </c>
      <c r="AM2374">
        <v>93.204906520669496</v>
      </c>
      <c r="AN2374">
        <v>1.0000000268190099</v>
      </c>
    </row>
    <row r="2375" spans="1:40" x14ac:dyDescent="0.25">
      <c r="A2375" t="str">
        <f>"20190304155412845"</f>
        <v>20190304155412845</v>
      </c>
      <c r="B2375" t="str">
        <f>"1551686052838753"</f>
        <v>1551686052838753</v>
      </c>
      <c r="C2375" t="s">
        <v>40</v>
      </c>
      <c r="D2375">
        <v>4.2540889999999996</v>
      </c>
      <c r="E2375">
        <v>0.64932500000000004</v>
      </c>
      <c r="F2375" t="s">
        <v>65</v>
      </c>
      <c r="G2375">
        <v>-424.14330000000001</v>
      </c>
      <c r="H2375" s="1">
        <v>3.5041859999999999E-6</v>
      </c>
      <c r="I2375">
        <v>211.4759</v>
      </c>
      <c r="J2375">
        <v>-433.27789999999999</v>
      </c>
      <c r="K2375">
        <v>1.109891</v>
      </c>
      <c r="L2375">
        <v>214.4709</v>
      </c>
      <c r="M2375">
        <v>0.99989939999999999</v>
      </c>
      <c r="N2375">
        <v>-8.7382009999999993E-3</v>
      </c>
      <c r="O2375">
        <v>1.1170909999999999E-2</v>
      </c>
      <c r="P2375">
        <v>0.98624619999999996</v>
      </c>
      <c r="Q2375">
        <v>0.151557</v>
      </c>
      <c r="R2375">
        <v>6.5947820000000004E-2</v>
      </c>
      <c r="S2375">
        <v>3.1661990000000002</v>
      </c>
      <c r="T2375">
        <v>-0.373664</v>
      </c>
      <c r="U2375">
        <v>-1.007263</v>
      </c>
      <c r="V2375">
        <v>-5.4994580000000001E-2</v>
      </c>
      <c r="W2375">
        <v>0.16015160000000001</v>
      </c>
      <c r="X2375">
        <v>0.98555930000000003</v>
      </c>
      <c r="Y2375">
        <v>0.31160149999999998</v>
      </c>
      <c r="Z2375">
        <v>-2.0473189999999999E-2</v>
      </c>
      <c r="AA2375">
        <v>0.94999230000000001</v>
      </c>
      <c r="AB2375">
        <v>28</v>
      </c>
      <c r="AC2375">
        <v>9.1345999999999705</v>
      </c>
      <c r="AD2375">
        <v>-1.1098874958139999</v>
      </c>
      <c r="AE2375">
        <v>-2.9950000000000001</v>
      </c>
      <c r="AF2375">
        <v>3.0561203071688601</v>
      </c>
      <c r="AG2375">
        <v>-1.1098874958139999</v>
      </c>
      <c r="AH2375">
        <v>8.9808558225810504</v>
      </c>
      <c r="AI2375">
        <v>96.672997783957001</v>
      </c>
      <c r="AJ2375">
        <v>71.206931815871997</v>
      </c>
      <c r="AK2375">
        <v>9.5513084387031508</v>
      </c>
      <c r="AL2375">
        <v>80.784304603916993</v>
      </c>
      <c r="AM2375">
        <v>93.193813976013303</v>
      </c>
      <c r="AN2375">
        <v>1.0000000363142101</v>
      </c>
    </row>
    <row r="2376" spans="1:40" x14ac:dyDescent="0.25">
      <c r="A2376" t="str">
        <f>"20190304155412869"</f>
        <v>20190304155412869</v>
      </c>
      <c r="B2376" t="str">
        <f>"1551686052859249"</f>
        <v>1551686052859249</v>
      </c>
      <c r="C2376" t="s">
        <v>40</v>
      </c>
      <c r="D2376">
        <v>4.1454899999999997</v>
      </c>
      <c r="E2376">
        <v>0.64996169999999998</v>
      </c>
      <c r="F2376" t="s">
        <v>65</v>
      </c>
      <c r="G2376">
        <v>-423.89440000000002</v>
      </c>
      <c r="H2376" s="1">
        <v>3.5476320000000002E-6</v>
      </c>
      <c r="I2376">
        <v>211.48400000000001</v>
      </c>
      <c r="J2376">
        <v>-432.96589999999998</v>
      </c>
      <c r="K2376">
        <v>1.109888</v>
      </c>
      <c r="L2376">
        <v>214.47470000000001</v>
      </c>
      <c r="M2376">
        <v>0.99989620000000001</v>
      </c>
      <c r="N2376">
        <v>-8.7444040000000008E-3</v>
      </c>
      <c r="O2376">
        <v>1.1446599999999999E-2</v>
      </c>
      <c r="P2376">
        <v>0.9861837</v>
      </c>
      <c r="Q2376">
        <v>0.15185789999999999</v>
      </c>
      <c r="R2376">
        <v>6.6188780000000003E-2</v>
      </c>
      <c r="S2376">
        <v>3.1668400000000001</v>
      </c>
      <c r="T2376">
        <v>-0.37457499999999999</v>
      </c>
      <c r="U2376">
        <v>-1.008041</v>
      </c>
      <c r="V2376">
        <v>-5.4964079999999998E-2</v>
      </c>
      <c r="W2376">
        <v>0.160458399999999</v>
      </c>
      <c r="X2376">
        <v>0.98551109999999997</v>
      </c>
      <c r="Y2376">
        <v>0.31200600000000001</v>
      </c>
      <c r="Z2376">
        <v>-2.0570720000000001E-2</v>
      </c>
      <c r="AA2376">
        <v>0.94985739999999996</v>
      </c>
      <c r="AB2376">
        <v>29</v>
      </c>
      <c r="AC2376">
        <v>9.0714999999999506</v>
      </c>
      <c r="AD2376">
        <v>-1.109884452368</v>
      </c>
      <c r="AE2376">
        <v>-2.9906999999999999</v>
      </c>
      <c r="AF2376">
        <v>3.05312359920958</v>
      </c>
      <c r="AG2376">
        <v>-1.109884452368</v>
      </c>
      <c r="AH2376">
        <v>8.9162862525744693</v>
      </c>
      <c r="AI2376">
        <v>96.716531592878297</v>
      </c>
      <c r="AJ2376">
        <v>71.097719525554297</v>
      </c>
      <c r="AK2376">
        <v>9.4896558287172503</v>
      </c>
      <c r="AL2376">
        <v>80.766495967204804</v>
      </c>
      <c r="AM2376">
        <v>93.1922021460812</v>
      </c>
      <c r="AN2376">
        <v>1.000000038222</v>
      </c>
    </row>
    <row r="2377" spans="1:40" x14ac:dyDescent="0.25">
      <c r="A2377" t="str">
        <f>"20190304155412891"</f>
        <v>20190304155412891</v>
      </c>
      <c r="B2377" t="str">
        <f>"1551686052878768"</f>
        <v>1551686052878768</v>
      </c>
      <c r="C2377" t="s">
        <v>40</v>
      </c>
      <c r="D2377">
        <v>4.2227249999999996</v>
      </c>
      <c r="E2377">
        <v>0.65052339999999997</v>
      </c>
      <c r="F2377" t="s">
        <v>65</v>
      </c>
      <c r="G2377">
        <v>-423.59390000000002</v>
      </c>
      <c r="H2377" s="1">
        <v>3.6010849999999999E-6</v>
      </c>
      <c r="I2377">
        <v>211.48230000000001</v>
      </c>
      <c r="J2377">
        <v>-432.68389999999999</v>
      </c>
      <c r="K2377">
        <v>1.1098840000000001</v>
      </c>
      <c r="L2377">
        <v>214.47819999999999</v>
      </c>
      <c r="M2377">
        <v>0.99989340000000004</v>
      </c>
      <c r="N2377">
        <v>-8.7500479999999999E-3</v>
      </c>
      <c r="O2377">
        <v>1.168962E-2</v>
      </c>
      <c r="P2377">
        <v>0.98613519999999999</v>
      </c>
      <c r="Q2377">
        <v>0.15203</v>
      </c>
      <c r="R2377">
        <v>6.6515790000000005E-2</v>
      </c>
      <c r="S2377">
        <v>3.167694</v>
      </c>
      <c r="T2377">
        <v>-0.37513639999999998</v>
      </c>
      <c r="U2377">
        <v>-1.0114289999999999</v>
      </c>
      <c r="V2377">
        <v>-5.5050809999999999E-2</v>
      </c>
      <c r="W2377">
        <v>0.1606359</v>
      </c>
      <c r="X2377">
        <v>0.9854773</v>
      </c>
      <c r="Y2377">
        <v>0.3130713</v>
      </c>
      <c r="Z2377">
        <v>-2.0684589999999999E-2</v>
      </c>
      <c r="AA2377">
        <v>0.94950440000000003</v>
      </c>
      <c r="AB2377">
        <v>29</v>
      </c>
      <c r="AC2377">
        <v>9.0899999999999697</v>
      </c>
      <c r="AD2377">
        <v>-1.1098803989149999</v>
      </c>
      <c r="AE2377">
        <v>-2.99589999999997</v>
      </c>
      <c r="AF2377">
        <v>3.0607980442850198</v>
      </c>
      <c r="AG2377">
        <v>-1.1098803989149999</v>
      </c>
      <c r="AH2377">
        <v>8.9342141222018601</v>
      </c>
      <c r="AI2377">
        <v>96.702802402905604</v>
      </c>
      <c r="AJ2377">
        <v>71.088905775526399</v>
      </c>
      <c r="AK2377">
        <v>9.5089695103699796</v>
      </c>
      <c r="AL2377">
        <v>80.7561919197734</v>
      </c>
      <c r="AM2377">
        <v>93.197338237800807</v>
      </c>
      <c r="AN2377">
        <v>0.99999999643287796</v>
      </c>
    </row>
    <row r="2378" spans="1:40" x14ac:dyDescent="0.25">
      <c r="A2378" t="str">
        <f>"20190304155412934"</f>
        <v>20190304155412934</v>
      </c>
      <c r="B2378" t="str">
        <f>"1551686052929520"</f>
        <v>1551686052929520</v>
      </c>
      <c r="C2378" t="s">
        <v>40</v>
      </c>
      <c r="D2378">
        <v>4.1308980000000002</v>
      </c>
      <c r="E2378">
        <v>0.653217099999999</v>
      </c>
      <c r="F2378" t="s">
        <v>65</v>
      </c>
      <c r="G2378">
        <v>-423.27390000000003</v>
      </c>
      <c r="H2378" s="1">
        <v>3.6593650000000002E-6</v>
      </c>
      <c r="I2378">
        <v>211.4649</v>
      </c>
      <c r="J2378">
        <v>-432.14030000000002</v>
      </c>
      <c r="K2378">
        <v>1.109874</v>
      </c>
      <c r="L2378">
        <v>214.48500000000001</v>
      </c>
      <c r="M2378">
        <v>0.9998882</v>
      </c>
      <c r="N2378">
        <v>-8.7609219999999904E-3</v>
      </c>
      <c r="O2378">
        <v>1.2119080000000001E-2</v>
      </c>
      <c r="P2378">
        <v>0.98598010000000003</v>
      </c>
      <c r="Q2378">
        <v>0.15291089999999999</v>
      </c>
      <c r="R2378">
        <v>6.6795709999999994E-2</v>
      </c>
      <c r="S2378">
        <v>3.1682429999999999</v>
      </c>
      <c r="T2378">
        <v>-0.37368600000000002</v>
      </c>
      <c r="U2378">
        <v>-1.0145420000000001</v>
      </c>
      <c r="V2378">
        <v>-5.4903140000000003E-2</v>
      </c>
      <c r="W2378">
        <v>0.16152900000000001</v>
      </c>
      <c r="X2378">
        <v>0.98533950000000003</v>
      </c>
      <c r="Y2378">
        <v>0.31428430000000002</v>
      </c>
      <c r="Z2378">
        <v>-2.0726660000000001E-2</v>
      </c>
      <c r="AA2378">
        <v>0.94910260000000002</v>
      </c>
      <c r="AB2378">
        <v>29</v>
      </c>
      <c r="AC2378">
        <v>8.8663999999999898</v>
      </c>
      <c r="AD2378">
        <v>-1.1098703406349999</v>
      </c>
      <c r="AE2378">
        <v>-3.02010000000001</v>
      </c>
      <c r="AF2378">
        <v>3.0840341673088099</v>
      </c>
      <c r="AG2378">
        <v>-1.1098703406349999</v>
      </c>
      <c r="AH2378">
        <v>8.70689912434975</v>
      </c>
      <c r="AI2378">
        <v>96.851551712156706</v>
      </c>
      <c r="AJ2378">
        <v>70.495559257111594</v>
      </c>
      <c r="AK2378">
        <v>9.3033956854339994</v>
      </c>
      <c r="AL2378">
        <v>80.704343550290403</v>
      </c>
      <c r="AM2378">
        <v>93.189224352927198</v>
      </c>
      <c r="AN2378">
        <v>0.99999995144155296</v>
      </c>
    </row>
    <row r="2379" spans="1:40" x14ac:dyDescent="0.25">
      <c r="A2379" t="str">
        <f>"20190304155412967"</f>
        <v>20190304155412967</v>
      </c>
      <c r="B2379" t="str">
        <f>"1551686052958801"</f>
        <v>1551686052958801</v>
      </c>
      <c r="C2379" t="s">
        <v>40</v>
      </c>
      <c r="D2379">
        <v>4.2004239999999999</v>
      </c>
      <c r="E2379">
        <v>0.652520199999999</v>
      </c>
      <c r="F2379" t="s">
        <v>65</v>
      </c>
      <c r="G2379">
        <v>-422.59140000000002</v>
      </c>
      <c r="H2379" s="1">
        <v>3.7889069999999998E-6</v>
      </c>
      <c r="I2379">
        <v>211.36799999999999</v>
      </c>
      <c r="J2379">
        <v>-431.70979999999997</v>
      </c>
      <c r="K2379">
        <v>1.109858</v>
      </c>
      <c r="L2379">
        <v>214.4906</v>
      </c>
      <c r="M2379">
        <v>0.99988449999999995</v>
      </c>
      <c r="N2379">
        <v>-8.7695150000000003E-3</v>
      </c>
      <c r="O2379">
        <v>1.2409150000000001E-2</v>
      </c>
      <c r="P2379">
        <v>0.98575749999999995</v>
      </c>
      <c r="Q2379">
        <v>0.1542885</v>
      </c>
      <c r="R2379">
        <v>6.6911010000000007E-2</v>
      </c>
      <c r="S2379">
        <v>3.1698909999999998</v>
      </c>
      <c r="T2379">
        <v>-0.36843690000000001</v>
      </c>
      <c r="U2379">
        <v>-1.0347599999999999</v>
      </c>
      <c r="V2379">
        <v>-5.4726049999999998E-2</v>
      </c>
      <c r="W2379">
        <v>0.16291610000000001</v>
      </c>
      <c r="X2379">
        <v>0.98512100000000002</v>
      </c>
      <c r="Y2379">
        <v>0.31991839999999999</v>
      </c>
      <c r="Z2379">
        <v>-2.080448E-2</v>
      </c>
      <c r="AA2379">
        <v>0.94721659999999996</v>
      </c>
      <c r="AB2379">
        <v>29</v>
      </c>
      <c r="AC2379">
        <v>9.1183999999999497</v>
      </c>
      <c r="AD2379">
        <v>-1.1098542110930001</v>
      </c>
      <c r="AE2379">
        <v>-3.1225999999999998</v>
      </c>
      <c r="AF2379">
        <v>3.1931747812236599</v>
      </c>
      <c r="AG2379">
        <v>-1.1098542110930001</v>
      </c>
      <c r="AH2379">
        <v>8.9601383028518899</v>
      </c>
      <c r="AI2379">
        <v>96.655059564749607</v>
      </c>
      <c r="AJ2379">
        <v>70.385172424625196</v>
      </c>
      <c r="AK2379">
        <v>9.5766497252200509</v>
      </c>
      <c r="AL2379">
        <v>80.623802090975403</v>
      </c>
      <c r="AM2379">
        <v>93.179662293574495</v>
      </c>
      <c r="AN2379">
        <v>0.99999999041440601</v>
      </c>
    </row>
    <row r="2380" spans="1:40" x14ac:dyDescent="0.25">
      <c r="A2380" t="str">
        <f>"20190304155412989"</f>
        <v>20190304155412989</v>
      </c>
      <c r="B2380" t="str">
        <f>"1551686052979296"</f>
        <v>1551686052979296</v>
      </c>
      <c r="C2380" t="s">
        <v>40</v>
      </c>
      <c r="D2380">
        <v>4.2025199999999998</v>
      </c>
      <c r="E2380">
        <v>0.65284940000000002</v>
      </c>
      <c r="F2380" t="s">
        <v>65</v>
      </c>
      <c r="G2380">
        <v>-421.79880000000003</v>
      </c>
      <c r="H2380" s="1">
        <v>3.93764599999999E-6</v>
      </c>
      <c r="I2380">
        <v>211.2748</v>
      </c>
      <c r="J2380">
        <v>-431.4221</v>
      </c>
      <c r="K2380">
        <v>1.1098399999999999</v>
      </c>
      <c r="L2380">
        <v>214.49430000000001</v>
      </c>
      <c r="M2380">
        <v>0.99988250000000001</v>
      </c>
      <c r="N2380">
        <v>-8.7752769999999997E-3</v>
      </c>
      <c r="O2380">
        <v>1.256555E-2</v>
      </c>
      <c r="P2380">
        <v>0.98560789999999998</v>
      </c>
      <c r="Q2380">
        <v>0.1553387</v>
      </c>
      <c r="R2380">
        <v>6.6686629999999997E-2</v>
      </c>
      <c r="S2380">
        <v>3.1686709999999998</v>
      </c>
      <c r="T2380">
        <v>-0.354832599999999</v>
      </c>
      <c r="U2380">
        <v>-1.0281070000000001</v>
      </c>
      <c r="V2380">
        <v>-5.4341540000000001E-2</v>
      </c>
      <c r="W2380">
        <v>0.16397320000000001</v>
      </c>
      <c r="X2380">
        <v>0.98496689999999998</v>
      </c>
      <c r="Y2380">
        <v>0.31853219999999999</v>
      </c>
      <c r="Z2380">
        <v>-2.0036700000000001E-2</v>
      </c>
      <c r="AA2380">
        <v>0.94770030000000005</v>
      </c>
      <c r="AB2380">
        <v>29</v>
      </c>
      <c r="AC2380">
        <v>9.6232999999999702</v>
      </c>
      <c r="AD2380">
        <v>-1.109836062354</v>
      </c>
      <c r="AE2380">
        <v>-3.2195000000000098</v>
      </c>
      <c r="AF2380">
        <v>3.3006905557572699</v>
      </c>
      <c r="AG2380">
        <v>-1.109836062354</v>
      </c>
      <c r="AH2380">
        <v>9.4688203770565202</v>
      </c>
      <c r="AI2380">
        <v>96.315674307488607</v>
      </c>
      <c r="AJ2380">
        <v>70.782201746317497</v>
      </c>
      <c r="AK2380">
        <v>10.088847979979001</v>
      </c>
      <c r="AL2380">
        <v>80.562409263773105</v>
      </c>
      <c r="AM2380">
        <v>93.1578600456007</v>
      </c>
      <c r="AN2380">
        <v>1.00000000369171</v>
      </c>
    </row>
    <row r="2381" spans="1:40" x14ac:dyDescent="0.25">
      <c r="A2381" t="str">
        <f>"20190304155413013"</f>
        <v>20190304155413013</v>
      </c>
      <c r="B2381" t="str">
        <f>"1551686053009553"</f>
        <v>1551686053009553</v>
      </c>
      <c r="C2381" t="s">
        <v>40</v>
      </c>
      <c r="D2381">
        <v>4.1221290000000002</v>
      </c>
      <c r="E2381">
        <v>0.65315829999999997</v>
      </c>
      <c r="F2381" t="s">
        <v>65</v>
      </c>
      <c r="G2381">
        <v>-421.29340000000002</v>
      </c>
      <c r="H2381" s="1">
        <v>4.0343209999999996E-6</v>
      </c>
      <c r="I2381">
        <v>211.19450000000001</v>
      </c>
      <c r="J2381">
        <v>-431.11630000000002</v>
      </c>
      <c r="K2381">
        <v>1.1098159999999999</v>
      </c>
      <c r="L2381">
        <v>214.4983</v>
      </c>
      <c r="M2381">
        <v>0.99988100000000002</v>
      </c>
      <c r="N2381">
        <v>-8.7814069999999998E-3</v>
      </c>
      <c r="O2381">
        <v>1.2694250000000001E-2</v>
      </c>
      <c r="P2381">
        <v>0.98546809999999996</v>
      </c>
      <c r="Q2381">
        <v>0.15629589999999999</v>
      </c>
      <c r="R2381">
        <v>6.6516489999999998E-2</v>
      </c>
      <c r="S2381">
        <v>3.168396</v>
      </c>
      <c r="T2381">
        <v>-0.34717249999999999</v>
      </c>
      <c r="U2381">
        <v>-1.032227</v>
      </c>
      <c r="V2381">
        <v>-5.4036349999999997E-2</v>
      </c>
      <c r="W2381">
        <v>0.1649388</v>
      </c>
      <c r="X2381">
        <v>0.98482250000000005</v>
      </c>
      <c r="Y2381">
        <v>0.31986730000000002</v>
      </c>
      <c r="Z2381">
        <v>-1.9723850000000001E-2</v>
      </c>
      <c r="AA2381">
        <v>0.94725700000000002</v>
      </c>
      <c r="AB2381">
        <v>29</v>
      </c>
      <c r="AC2381">
        <v>9.8229000000000006</v>
      </c>
      <c r="AD2381">
        <v>-1.109811965679</v>
      </c>
      <c r="AE2381">
        <v>-3.3037999999999901</v>
      </c>
      <c r="AF2381">
        <v>3.3893646818337602</v>
      </c>
      <c r="AG2381">
        <v>-1.109811965679</v>
      </c>
      <c r="AH2381">
        <v>9.6692831004816995</v>
      </c>
      <c r="AI2381">
        <v>96.181915426658506</v>
      </c>
      <c r="AJ2381">
        <v>70.682953602381701</v>
      </c>
      <c r="AK2381">
        <v>10.306042461725401</v>
      </c>
      <c r="AL2381">
        <v>80.506321182024806</v>
      </c>
      <c r="AM2381">
        <v>93.140620142017198</v>
      </c>
      <c r="AN2381">
        <v>1.0000000456864999</v>
      </c>
    </row>
    <row r="2382" spans="1:40" x14ac:dyDescent="0.25">
      <c r="A2382" t="str">
        <f>"20190304155413034"</f>
        <v>20190304155413034</v>
      </c>
      <c r="B2382" t="str">
        <f>"1551686053029072"</f>
        <v>1551686053029072</v>
      </c>
      <c r="C2382" t="s">
        <v>40</v>
      </c>
      <c r="D2382">
        <v>4.2209409999999998</v>
      </c>
      <c r="E2382">
        <v>0.6536843</v>
      </c>
      <c r="F2382" t="s">
        <v>65</v>
      </c>
      <c r="G2382">
        <v>-420.88810000000001</v>
      </c>
      <c r="H2382" s="1">
        <v>4.1093690000000002E-6</v>
      </c>
      <c r="I2382">
        <v>211.1584</v>
      </c>
      <c r="J2382">
        <v>-430.84230000000002</v>
      </c>
      <c r="K2382">
        <v>1.1097900000000001</v>
      </c>
      <c r="L2382">
        <v>214.50190000000001</v>
      </c>
      <c r="M2382">
        <v>0.99987979999999999</v>
      </c>
      <c r="N2382">
        <v>-8.7840990000000001E-3</v>
      </c>
      <c r="O2382">
        <v>1.27727E-2</v>
      </c>
      <c r="P2382">
        <v>0.98531530000000001</v>
      </c>
      <c r="Q2382">
        <v>0.15714990000000001</v>
      </c>
      <c r="R2382">
        <v>6.6768149999999998E-2</v>
      </c>
      <c r="S2382">
        <v>3.1686100000000001</v>
      </c>
      <c r="T2382">
        <v>-0.34380959999999899</v>
      </c>
      <c r="U2382">
        <v>-1.034683</v>
      </c>
      <c r="V2382">
        <v>-5.4202649999999998E-2</v>
      </c>
      <c r="W2382">
        <v>0.1657971</v>
      </c>
      <c r="X2382">
        <v>0.98466920000000002</v>
      </c>
      <c r="Y2382">
        <v>0.32061849999999997</v>
      </c>
      <c r="Z2382">
        <v>-1.9594529999999999E-2</v>
      </c>
      <c r="AA2382">
        <v>0.94700569999999895</v>
      </c>
      <c r="AB2382">
        <v>29</v>
      </c>
      <c r="AC2382">
        <v>9.9542000000000108</v>
      </c>
      <c r="AD2382">
        <v>-1.1097858906309901</v>
      </c>
      <c r="AE2382">
        <v>-3.3435000000000001</v>
      </c>
      <c r="AF2382">
        <v>3.4320394071138298</v>
      </c>
      <c r="AG2382">
        <v>-1.1097858906309901</v>
      </c>
      <c r="AH2382">
        <v>9.80120453360081</v>
      </c>
      <c r="AI2382">
        <v>96.099885375720703</v>
      </c>
      <c r="AJ2382">
        <v>70.701528880498103</v>
      </c>
      <c r="AK2382">
        <v>10.4438560658649</v>
      </c>
      <c r="AL2382">
        <v>80.456457439668696</v>
      </c>
      <c r="AM2382">
        <v>93.150755611327597</v>
      </c>
      <c r="AN2382">
        <v>1.00000001953203</v>
      </c>
    </row>
    <row r="2383" spans="1:40" x14ac:dyDescent="0.25">
      <c r="A2383" t="str">
        <f>"20190304155413058"</f>
        <v>20190304155413058</v>
      </c>
      <c r="B2383" t="str">
        <f>"1551686053049568"</f>
        <v>1551686053049568</v>
      </c>
      <c r="C2383" t="s">
        <v>40</v>
      </c>
      <c r="D2383">
        <v>4.1218779999999997</v>
      </c>
      <c r="E2383">
        <v>0.65368919999999997</v>
      </c>
      <c r="F2383" t="s">
        <v>65</v>
      </c>
      <c r="G2383">
        <v>-420.63080000000002</v>
      </c>
      <c r="H2383" s="1">
        <v>4.1548119999999999E-6</v>
      </c>
      <c r="I2383">
        <v>211.16069999999999</v>
      </c>
      <c r="J2383">
        <v>-430.52980000000002</v>
      </c>
      <c r="K2383">
        <v>1.109761</v>
      </c>
      <c r="L2383">
        <v>214.5059</v>
      </c>
      <c r="M2383">
        <v>0.99987919999999997</v>
      </c>
      <c r="N2383">
        <v>-8.7820889999999999E-3</v>
      </c>
      <c r="O2383">
        <v>1.282582E-2</v>
      </c>
      <c r="P2383">
        <v>0.98523360000000004</v>
      </c>
      <c r="Q2383">
        <v>0.1576535</v>
      </c>
      <c r="R2383">
        <v>6.6784780000000002E-2</v>
      </c>
      <c r="S2383">
        <v>3.1699519999999999</v>
      </c>
      <c r="T2383">
        <v>-0.34450960000000003</v>
      </c>
      <c r="U2383">
        <v>-1.0372159999999999</v>
      </c>
      <c r="V2383">
        <v>-5.4156200000000002E-2</v>
      </c>
      <c r="W2383">
        <v>0.16630210000000001</v>
      </c>
      <c r="X2383">
        <v>0.98458659999999998</v>
      </c>
      <c r="Y2383">
        <v>0.32122479999999998</v>
      </c>
      <c r="Z2383">
        <v>-1.966176E-2</v>
      </c>
      <c r="AA2383">
        <v>0.94679880000000005</v>
      </c>
      <c r="AB2383">
        <v>29</v>
      </c>
      <c r="AC2383">
        <v>9.8989999999999991</v>
      </c>
      <c r="AD2383">
        <v>-1.109756845188</v>
      </c>
      <c r="AE2383">
        <v>-3.3452000000000002</v>
      </c>
      <c r="AF2383">
        <v>3.43316628233972</v>
      </c>
      <c r="AG2383">
        <v>-1.109756845188</v>
      </c>
      <c r="AH2383">
        <v>9.7453512421855493</v>
      </c>
      <c r="AI2383">
        <v>96.130381763929194</v>
      </c>
      <c r="AJ2383">
        <v>70.593271795430098</v>
      </c>
      <c r="AK2383">
        <v>10.391826683081399</v>
      </c>
      <c r="AL2383">
        <v>80.427115810864507</v>
      </c>
      <c r="AM2383">
        <v>93.148324513328205</v>
      </c>
      <c r="AN2383">
        <v>1.0000000276812</v>
      </c>
    </row>
    <row r="2384" spans="1:40" x14ac:dyDescent="0.25">
      <c r="A2384" t="str">
        <f>"20190304155413080"</f>
        <v>20190304155413080</v>
      </c>
      <c r="B2384" t="str">
        <f>"1551686053069089"</f>
        <v>1551686053069089</v>
      </c>
      <c r="C2384" t="s">
        <v>40</v>
      </c>
      <c r="D2384">
        <v>4.2547889999999997</v>
      </c>
      <c r="E2384">
        <v>0.65341199999999999</v>
      </c>
      <c r="F2384" t="s">
        <v>65</v>
      </c>
      <c r="G2384">
        <v>-420.28339999999997</v>
      </c>
      <c r="H2384" s="1">
        <v>4.2170600000000004E-6</v>
      </c>
      <c r="I2384">
        <v>211.15350000000001</v>
      </c>
      <c r="J2384">
        <v>-430.23390000000001</v>
      </c>
      <c r="K2384">
        <v>1.109739</v>
      </c>
      <c r="L2384">
        <v>214.50980000000001</v>
      </c>
      <c r="M2384">
        <v>0.99987899999999996</v>
      </c>
      <c r="N2384">
        <v>-8.7782959999999997E-3</v>
      </c>
      <c r="O2384">
        <v>1.2849269999999999E-2</v>
      </c>
      <c r="P2384">
        <v>0.98510379999999997</v>
      </c>
      <c r="Q2384">
        <v>0.15851660000000001</v>
      </c>
      <c r="R2384">
        <v>6.6655569999999997E-2</v>
      </c>
      <c r="S2384">
        <v>3.1702270000000001</v>
      </c>
      <c r="T2384">
        <v>-0.34335670000000001</v>
      </c>
      <c r="U2384">
        <v>-1.037247</v>
      </c>
      <c r="V2384">
        <v>-5.3997049999999998E-2</v>
      </c>
      <c r="W2384">
        <v>0.16716339999999999</v>
      </c>
      <c r="X2384">
        <v>0.98444940000000003</v>
      </c>
      <c r="Y2384">
        <v>0.32124340000000001</v>
      </c>
      <c r="Z2384">
        <v>-1.9601980000000001E-2</v>
      </c>
      <c r="AA2384">
        <v>0.94679369999999996</v>
      </c>
      <c r="AB2384">
        <v>29</v>
      </c>
      <c r="AC2384">
        <v>9.9505000000000301</v>
      </c>
      <c r="AD2384">
        <v>-1.1097347829399999</v>
      </c>
      <c r="AE2384">
        <v>-3.3563000000000001</v>
      </c>
      <c r="AF2384">
        <v>3.4454081708705102</v>
      </c>
      <c r="AG2384">
        <v>-1.1097347829399999</v>
      </c>
      <c r="AH2384">
        <v>9.7971420538084608</v>
      </c>
      <c r="AI2384">
        <v>96.099260684034206</v>
      </c>
      <c r="AJ2384">
        <v>70.624510595311705</v>
      </c>
      <c r="AK2384">
        <v>10.4444406827206</v>
      </c>
      <c r="AL2384">
        <v>80.377065638859307</v>
      </c>
      <c r="AM2384">
        <v>93.139527605566599</v>
      </c>
      <c r="AN2384">
        <v>0.99999995243430995</v>
      </c>
    </row>
    <row r="2385" spans="1:40" x14ac:dyDescent="0.25">
      <c r="A2385" t="str">
        <f>"20190304155413104"</f>
        <v>20190304155413104</v>
      </c>
      <c r="B2385" t="str">
        <f>"1551686053099344"</f>
        <v>1551686053099344</v>
      </c>
      <c r="C2385" t="s">
        <v>40</v>
      </c>
      <c r="D2385">
        <v>4.448277</v>
      </c>
      <c r="E2385">
        <v>0.55719600000000002</v>
      </c>
      <c r="F2385" t="s">
        <v>65</v>
      </c>
      <c r="G2385">
        <v>-419.93279999999999</v>
      </c>
      <c r="H2385" s="1">
        <v>4.2710789999999997E-6</v>
      </c>
      <c r="I2385">
        <v>211.14570000000001</v>
      </c>
      <c r="J2385">
        <v>-429.94200000000001</v>
      </c>
      <c r="K2385">
        <v>1.1097170000000001</v>
      </c>
      <c r="L2385">
        <v>214.51349999999999</v>
      </c>
      <c r="M2385">
        <v>0.99987910000000002</v>
      </c>
      <c r="N2385">
        <v>-8.77497E-3</v>
      </c>
      <c r="O2385">
        <v>1.2842889999999999E-2</v>
      </c>
      <c r="P2385">
        <v>0.9850563</v>
      </c>
      <c r="Q2385">
        <v>0.15882360000000001</v>
      </c>
      <c r="R2385">
        <v>6.6628510000000002E-2</v>
      </c>
      <c r="S2385">
        <v>3.1703800000000002</v>
      </c>
      <c r="T2385">
        <v>-0.34154590000000001</v>
      </c>
      <c r="U2385">
        <v>-1.035355</v>
      </c>
      <c r="V2385">
        <v>-5.3969799999999998E-2</v>
      </c>
      <c r="W2385">
        <v>0.16746900000000001</v>
      </c>
      <c r="X2385">
        <v>0.98439900000000002</v>
      </c>
      <c r="Y2385">
        <v>0.3207354</v>
      </c>
      <c r="Z2385">
        <v>-1.9476799999999999E-2</v>
      </c>
      <c r="AA2385">
        <v>0.94696860000000005</v>
      </c>
      <c r="AB2385">
        <v>29</v>
      </c>
      <c r="AC2385">
        <v>10.0091999999999</v>
      </c>
      <c r="AD2385">
        <v>-1.109712728921</v>
      </c>
      <c r="AE2385">
        <v>-3.3677999999999799</v>
      </c>
      <c r="AF2385">
        <v>3.4578924660426602</v>
      </c>
      <c r="AG2385">
        <v>-1.109712728921</v>
      </c>
      <c r="AH2385">
        <v>9.8562882060047592</v>
      </c>
      <c r="AI2385">
        <v>96.064401461578896</v>
      </c>
      <c r="AJ2385">
        <v>70.667542762883599</v>
      </c>
      <c r="AK2385">
        <v>10.504042071853601</v>
      </c>
      <c r="AL2385">
        <v>80.359306136582404</v>
      </c>
      <c r="AM2385">
        <v>93.13810672532</v>
      </c>
      <c r="AN2385">
        <v>0.99999999823702002</v>
      </c>
    </row>
    <row r="2386" spans="1:40" x14ac:dyDescent="0.25">
      <c r="A2386" t="str">
        <f>"20190304155413123"</f>
        <v>20190304155413123</v>
      </c>
      <c r="B2386" t="str">
        <f>"1551686053118865"</f>
        <v>1551686053118865</v>
      </c>
      <c r="C2386" t="s">
        <v>40</v>
      </c>
      <c r="D2386">
        <v>4.3336870000000003</v>
      </c>
      <c r="E2386">
        <v>0.5455333</v>
      </c>
      <c r="F2386" t="s">
        <v>63</v>
      </c>
      <c r="G2386">
        <v>-368.83069999999998</v>
      </c>
      <c r="H2386">
        <v>8.0000329999999995E-2</v>
      </c>
      <c r="I2386">
        <v>209.26390000000001</v>
      </c>
      <c r="J2386">
        <v>-429.66860000000003</v>
      </c>
      <c r="K2386">
        <v>1.109704</v>
      </c>
      <c r="L2386">
        <v>214.517</v>
      </c>
      <c r="M2386">
        <v>0.99987950000000003</v>
      </c>
      <c r="N2386">
        <v>-8.7723490000000005E-3</v>
      </c>
      <c r="O2386">
        <v>1.280736E-2</v>
      </c>
      <c r="P2386">
        <v>0.98510249999999999</v>
      </c>
      <c r="Q2386">
        <v>0.15867809999999999</v>
      </c>
      <c r="R2386">
        <v>6.6289669999999995E-2</v>
      </c>
      <c r="S2386">
        <v>3.0717159999999999</v>
      </c>
      <c r="T2386">
        <v>-5.175805E-2</v>
      </c>
      <c r="U2386">
        <v>-0.2638702</v>
      </c>
      <c r="V2386">
        <v>-5.3657589999999998E-2</v>
      </c>
      <c r="W2386">
        <v>0.16732320000000001</v>
      </c>
      <c r="X2386">
        <v>0.98444089999999995</v>
      </c>
      <c r="Y2386">
        <v>9.8320279999999996E-2</v>
      </c>
      <c r="Z2386">
        <v>-1.3621449999999999E-3</v>
      </c>
      <c r="AA2386">
        <v>0.99515390000000004</v>
      </c>
      <c r="AB2386">
        <v>29</v>
      </c>
      <c r="AC2386">
        <v>60.837899999999998</v>
      </c>
      <c r="AD2386">
        <v>-1.02970367</v>
      </c>
      <c r="AE2386">
        <v>-5.2530999999999803</v>
      </c>
      <c r="AF2386">
        <v>6.0301573271132698</v>
      </c>
      <c r="AG2386">
        <v>-1.02970367</v>
      </c>
      <c r="AH2386">
        <v>60.748355232591798</v>
      </c>
      <c r="AI2386">
        <v>90.966340120337804</v>
      </c>
      <c r="AJ2386">
        <v>84.331131628917404</v>
      </c>
      <c r="AK2386">
        <v>61.055595570782202</v>
      </c>
      <c r="AL2386">
        <v>80.367779807418202</v>
      </c>
      <c r="AM2386">
        <v>93.119856523743493</v>
      </c>
      <c r="AN2386">
        <v>1.00000003790782</v>
      </c>
    </row>
    <row r="2387" spans="1:40" x14ac:dyDescent="0.25">
      <c r="A2387" t="str">
        <f>"20190304155413168"</f>
        <v>20190304155413168</v>
      </c>
      <c r="B2387" t="str">
        <f>"1551686053158881"</f>
        <v>1551686053158881</v>
      </c>
      <c r="C2387" t="s">
        <v>40</v>
      </c>
      <c r="D2387">
        <v>4.3135709999999996</v>
      </c>
      <c r="E2387">
        <v>0.53920159999999995</v>
      </c>
      <c r="F2387" t="s">
        <v>63</v>
      </c>
      <c r="G2387">
        <v>-359.30329999999998</v>
      </c>
      <c r="H2387" s="1">
        <v>3.5907650000000001E-6</v>
      </c>
      <c r="I2387">
        <v>210.5718</v>
      </c>
      <c r="J2387">
        <v>-429.08420000000001</v>
      </c>
      <c r="K2387">
        <v>1.1096569999999999</v>
      </c>
      <c r="L2387">
        <v>214.52430000000001</v>
      </c>
      <c r="M2387">
        <v>0.99988140000000003</v>
      </c>
      <c r="N2387">
        <v>-8.7682379999999994E-3</v>
      </c>
      <c r="O2387">
        <v>1.2656819999999999E-2</v>
      </c>
      <c r="P2387">
        <v>0.98526080000000005</v>
      </c>
      <c r="Q2387">
        <v>0.1580116</v>
      </c>
      <c r="R2387">
        <v>6.5525520000000004E-2</v>
      </c>
      <c r="S2387">
        <v>3.0647280000000001</v>
      </c>
      <c r="T2387">
        <v>-4.8332449999999999E-2</v>
      </c>
      <c r="U2387">
        <v>-0.17182919999999999</v>
      </c>
      <c r="V2387">
        <v>-5.3021930000000002E-2</v>
      </c>
      <c r="W2387">
        <v>0.1666599</v>
      </c>
      <c r="X2387">
        <v>0.98458780000000001</v>
      </c>
      <c r="Y2387">
        <v>6.8598229999999996E-2</v>
      </c>
      <c r="Z2387">
        <v>-9.3003889999999998E-4</v>
      </c>
      <c r="AA2387">
        <v>0.99764390000000003</v>
      </c>
      <c r="AB2387">
        <v>29</v>
      </c>
      <c r="AC2387">
        <v>69.780900000000003</v>
      </c>
      <c r="AD2387">
        <v>-1.1096534092350001</v>
      </c>
      <c r="AE2387">
        <v>-3.9525000000000099</v>
      </c>
      <c r="AF2387">
        <v>4.8342031418303701</v>
      </c>
      <c r="AG2387">
        <v>-1.1096534092350001</v>
      </c>
      <c r="AH2387">
        <v>69.707711269809195</v>
      </c>
      <c r="AI2387">
        <v>90.909810234913607</v>
      </c>
      <c r="AJ2387">
        <v>86.032911179138594</v>
      </c>
      <c r="AK2387">
        <v>69.883945661218803</v>
      </c>
      <c r="AL2387">
        <v>80.4063248927731</v>
      </c>
      <c r="AM2387">
        <v>93.082509465813999</v>
      </c>
      <c r="AN2387">
        <v>0.99999999161888697</v>
      </c>
    </row>
    <row r="2388" spans="1:40" x14ac:dyDescent="0.25">
      <c r="A2388" t="str">
        <f>"20190304155413191"</f>
        <v>20190304155413191</v>
      </c>
      <c r="B2388" t="str">
        <f>"1551686053179376"</f>
        <v>1551686053179376</v>
      </c>
      <c r="C2388" t="s">
        <v>40</v>
      </c>
      <c r="D2388">
        <v>4.339575</v>
      </c>
      <c r="E2388">
        <v>0.53769100000000003</v>
      </c>
      <c r="F2388" t="s">
        <v>63</v>
      </c>
      <c r="G2388">
        <v>-346.08139999999997</v>
      </c>
      <c r="H2388" s="1">
        <v>1.6994139999999999E-6</v>
      </c>
      <c r="I2388">
        <v>211.1891</v>
      </c>
      <c r="J2388">
        <v>-428.7878</v>
      </c>
      <c r="K2388">
        <v>1.1096299999999999</v>
      </c>
      <c r="L2388">
        <v>214.52789999999999</v>
      </c>
      <c r="M2388">
        <v>0.99988290000000002</v>
      </c>
      <c r="N2388">
        <v>-8.7671859999999997E-3</v>
      </c>
      <c r="O2388">
        <v>1.2544E-2</v>
      </c>
      <c r="P2388">
        <v>0.98537609999999998</v>
      </c>
      <c r="Q2388">
        <v>0.15742449999999999</v>
      </c>
      <c r="R2388">
        <v>6.5206009999999995E-2</v>
      </c>
      <c r="S2388">
        <v>3.0596009999999998</v>
      </c>
      <c r="T2388">
        <v>-4.0903450000000001E-2</v>
      </c>
      <c r="U2388">
        <v>-0.1229401</v>
      </c>
      <c r="V2388">
        <v>-5.2804199999999898E-2</v>
      </c>
      <c r="W2388">
        <v>0.16607549999999999</v>
      </c>
      <c r="X2388">
        <v>0.98469819999999997</v>
      </c>
      <c r="Y2388">
        <v>5.2672620000000003E-2</v>
      </c>
      <c r="Z2388">
        <v>-6.4064389999999997E-4</v>
      </c>
      <c r="AA2388">
        <v>0.99861160000000004</v>
      </c>
      <c r="AB2388">
        <v>29</v>
      </c>
      <c r="AC2388">
        <v>82.706400000000002</v>
      </c>
      <c r="AD2388">
        <v>-1.1096283005859999</v>
      </c>
      <c r="AE2388">
        <v>-3.3387999999999902</v>
      </c>
      <c r="AF2388">
        <v>4.3752599534548997</v>
      </c>
      <c r="AG2388">
        <v>-1.1096283005859999</v>
      </c>
      <c r="AH2388">
        <v>82.643157009295194</v>
      </c>
      <c r="AI2388">
        <v>90.768173752256601</v>
      </c>
      <c r="AJ2388">
        <v>86.969499652170398</v>
      </c>
      <c r="AK2388">
        <v>82.766331168469605</v>
      </c>
      <c r="AL2388">
        <v>80.440281377534106</v>
      </c>
      <c r="AM2388">
        <v>93.069532144221</v>
      </c>
      <c r="AN2388">
        <v>0.99999995016056298</v>
      </c>
    </row>
    <row r="2389" spans="1:40" x14ac:dyDescent="0.25">
      <c r="A2389" t="str">
        <f>"20190304155413212"</f>
        <v>20190304155413212</v>
      </c>
      <c r="B2389" t="str">
        <f>"1551686053208656"</f>
        <v>1551686053208656</v>
      </c>
      <c r="C2389" t="s">
        <v>40</v>
      </c>
      <c r="D2389">
        <v>4.3345719999999996</v>
      </c>
      <c r="E2389">
        <v>0.53595809999999999</v>
      </c>
      <c r="F2389" t="s">
        <v>63</v>
      </c>
      <c r="G2389">
        <v>-351.55169999999998</v>
      </c>
      <c r="H2389" s="1">
        <v>-5.8378430000000004E-7</v>
      </c>
      <c r="I2389">
        <v>211.70429999999999</v>
      </c>
      <c r="J2389">
        <v>-428.50839999999999</v>
      </c>
      <c r="K2389">
        <v>1.1096109999999999</v>
      </c>
      <c r="L2389">
        <v>214.53129999999999</v>
      </c>
      <c r="M2389">
        <v>0.99988449999999995</v>
      </c>
      <c r="N2389">
        <v>-8.7669150000000001E-3</v>
      </c>
      <c r="O2389">
        <v>1.24163E-2</v>
      </c>
      <c r="P2389">
        <v>0.98542010000000002</v>
      </c>
      <c r="Q2389">
        <v>0.15731249999999999</v>
      </c>
      <c r="R2389">
        <v>6.4809140000000001E-2</v>
      </c>
      <c r="S2389">
        <v>3.0589599999999999</v>
      </c>
      <c r="T2389">
        <v>-4.3947220000000002E-2</v>
      </c>
      <c r="U2389">
        <v>-0.11183170000000001</v>
      </c>
      <c r="V2389">
        <v>-5.2524389999999997E-2</v>
      </c>
      <c r="W2389">
        <v>0.1659659</v>
      </c>
      <c r="X2389">
        <v>0.98473169999999999</v>
      </c>
      <c r="Y2389">
        <v>4.8931669999999997E-2</v>
      </c>
      <c r="Z2389">
        <v>-6.3544909999999999E-4</v>
      </c>
      <c r="AA2389">
        <v>0.99880190000000002</v>
      </c>
      <c r="AB2389">
        <v>29</v>
      </c>
      <c r="AC2389">
        <v>76.956699999999998</v>
      </c>
      <c r="AD2389">
        <v>-1.1096115837842999</v>
      </c>
      <c r="AE2389">
        <v>-2.8269999999999902</v>
      </c>
      <c r="AF2389">
        <v>3.7815511268803701</v>
      </c>
      <c r="AG2389">
        <v>-1.1096115837842999</v>
      </c>
      <c r="AH2389">
        <v>76.899699387562407</v>
      </c>
      <c r="AI2389">
        <v>90.825685080074294</v>
      </c>
      <c r="AJ2389">
        <v>87.184741593142405</v>
      </c>
      <c r="AK2389">
        <v>77.000617742259294</v>
      </c>
      <c r="AL2389">
        <v>80.446649909395703</v>
      </c>
      <c r="AM2389">
        <v>93.053193845302502</v>
      </c>
      <c r="AN2389">
        <v>1.0000000062462799</v>
      </c>
    </row>
    <row r="2390" spans="1:40" x14ac:dyDescent="0.25">
      <c r="A2390" t="str">
        <f>"20190304155413234"</f>
        <v>20190304155413234</v>
      </c>
      <c r="B2390" t="str">
        <f>"1551686053229152"</f>
        <v>1551686053229152</v>
      </c>
      <c r="C2390" t="s">
        <v>40</v>
      </c>
      <c r="D2390">
        <v>4.3436779999999997</v>
      </c>
      <c r="E2390">
        <v>0.53528869999999995</v>
      </c>
      <c r="F2390" t="s">
        <v>63</v>
      </c>
      <c r="G2390">
        <v>-361.07799999999997</v>
      </c>
      <c r="H2390" s="1">
        <v>-9.6310869999999994E-7</v>
      </c>
      <c r="I2390">
        <v>212.3527</v>
      </c>
      <c r="J2390">
        <v>-428.2158</v>
      </c>
      <c r="K2390">
        <v>1.1095889999999999</v>
      </c>
      <c r="L2390">
        <v>214.53479999999999</v>
      </c>
      <c r="M2390">
        <v>0.99988650000000001</v>
      </c>
      <c r="N2390">
        <v>-8.76737E-3</v>
      </c>
      <c r="O2390">
        <v>1.2259630000000001E-2</v>
      </c>
      <c r="P2390">
        <v>0.98530709999999999</v>
      </c>
      <c r="Q2390">
        <v>0.15824769999999999</v>
      </c>
      <c r="R2390">
        <v>6.4247990000000005E-2</v>
      </c>
      <c r="S2390">
        <v>3.058929</v>
      </c>
      <c r="T2390">
        <v>-5.0336720000000001E-2</v>
      </c>
      <c r="U2390">
        <v>-9.8831180000000005E-2</v>
      </c>
      <c r="V2390">
        <v>-5.2111739999999997E-2</v>
      </c>
      <c r="W2390">
        <v>0.16690289999999999</v>
      </c>
      <c r="X2390">
        <v>0.9845952</v>
      </c>
      <c r="Y2390">
        <v>4.4533910000000003E-2</v>
      </c>
      <c r="Z2390">
        <v>-6.5582289999999903E-4</v>
      </c>
      <c r="AA2390">
        <v>0.9990076</v>
      </c>
      <c r="AB2390">
        <v>29</v>
      </c>
      <c r="AC2390">
        <v>67.137799999999899</v>
      </c>
      <c r="AD2390">
        <v>-1.1095899631086901</v>
      </c>
      <c r="AE2390">
        <v>-2.1820999999999899</v>
      </c>
      <c r="AF2390">
        <v>3.0042324269264702</v>
      </c>
      <c r="AG2390">
        <v>-1.1095899631086901</v>
      </c>
      <c r="AH2390">
        <v>67.087696073466603</v>
      </c>
      <c r="AI2390">
        <v>90.946602716483596</v>
      </c>
      <c r="AJ2390">
        <v>87.435969198430698</v>
      </c>
      <c r="AK2390">
        <v>67.164094327304497</v>
      </c>
      <c r="AL2390">
        <v>80.392203933033102</v>
      </c>
      <c r="AM2390">
        <v>93.029670916860994</v>
      </c>
      <c r="AN2390">
        <v>0.99999995966863797</v>
      </c>
    </row>
    <row r="2391" spans="1:40" x14ac:dyDescent="0.25">
      <c r="A2391" t="str">
        <f>"20190304155413258"</f>
        <v>20190304155413258</v>
      </c>
      <c r="B2391" t="str">
        <f>"1551686053248672"</f>
        <v>1551686053248672</v>
      </c>
      <c r="C2391" t="s">
        <v>40</v>
      </c>
      <c r="D2391">
        <v>4.3278379999999999</v>
      </c>
      <c r="E2391">
        <v>0.53522109999999901</v>
      </c>
      <c r="F2391" t="s">
        <v>63</v>
      </c>
      <c r="G2391">
        <v>-360.29700000000003</v>
      </c>
      <c r="H2391" s="1">
        <v>-1.378762E-6</v>
      </c>
      <c r="I2391">
        <v>212.4299</v>
      </c>
      <c r="J2391">
        <v>-427.9008</v>
      </c>
      <c r="K2391">
        <v>1.109572</v>
      </c>
      <c r="L2391">
        <v>214.5385</v>
      </c>
      <c r="M2391">
        <v>0.99988880000000002</v>
      </c>
      <c r="N2391">
        <v>-8.7686180000000006E-3</v>
      </c>
      <c r="O2391">
        <v>1.2071439999999999E-2</v>
      </c>
      <c r="P2391">
        <v>0.98534489999999997</v>
      </c>
      <c r="Q2391">
        <v>0.15835469999999999</v>
      </c>
      <c r="R2391">
        <v>6.3399369999999997E-2</v>
      </c>
      <c r="S2391">
        <v>3.0588989999999998</v>
      </c>
      <c r="T2391">
        <v>-4.9973249999999997E-2</v>
      </c>
      <c r="U2391">
        <v>-9.4802860000000003E-2</v>
      </c>
      <c r="V2391">
        <v>-5.144079E-2</v>
      </c>
      <c r="W2391">
        <v>0.16701299999999999</v>
      </c>
      <c r="X2391">
        <v>0.98461189999999998</v>
      </c>
      <c r="Y2391">
        <v>4.3032290000000001E-2</v>
      </c>
      <c r="Z2391">
        <v>-6.3147289999999998E-4</v>
      </c>
      <c r="AA2391">
        <v>0.99907349999999995</v>
      </c>
      <c r="AB2391">
        <v>30</v>
      </c>
      <c r="AC2391">
        <v>67.603800000000007</v>
      </c>
      <c r="AD2391">
        <v>-1.1095733787619999</v>
      </c>
      <c r="AE2391">
        <v>-2.1085999999999898</v>
      </c>
      <c r="AF2391">
        <v>2.9237660043193801</v>
      </c>
      <c r="AG2391">
        <v>-1.1095733787619999</v>
      </c>
      <c r="AH2391">
        <v>67.555238495745598</v>
      </c>
      <c r="AI2391">
        <v>90.940100513303605</v>
      </c>
      <c r="AJ2391">
        <v>87.521806178182302</v>
      </c>
      <c r="AK2391">
        <v>67.627581717431994</v>
      </c>
      <c r="AL2391">
        <v>80.385806695673097</v>
      </c>
      <c r="AM2391">
        <v>92.990683887001197</v>
      </c>
      <c r="AN2391">
        <v>1.0000000453332101</v>
      </c>
    </row>
    <row r="2392" spans="1:40" x14ac:dyDescent="0.25">
      <c r="A2392" t="str">
        <f>"20190304155413302"</f>
        <v>20190304155413302</v>
      </c>
      <c r="B2392" t="str">
        <f>"1551686053298633"</f>
        <v>1551686053298633</v>
      </c>
      <c r="C2392" t="s">
        <v>40</v>
      </c>
      <c r="D2392">
        <v>4.3260930000000002</v>
      </c>
      <c r="E2392">
        <v>0.53396669999999902</v>
      </c>
      <c r="F2392" t="s">
        <v>63</v>
      </c>
      <c r="G2392">
        <v>-357.62400000000002</v>
      </c>
      <c r="H2392" s="1">
        <v>2.620372E-6</v>
      </c>
      <c r="I2392">
        <v>212.32689999999999</v>
      </c>
      <c r="J2392">
        <v>-427.3152</v>
      </c>
      <c r="K2392">
        <v>1.10955</v>
      </c>
      <c r="L2392">
        <v>214.54509999999999</v>
      </c>
      <c r="M2392">
        <v>0.99989320000000004</v>
      </c>
      <c r="N2392">
        <v>-8.7727569999999904E-3</v>
      </c>
      <c r="O2392">
        <v>1.169076E-2</v>
      </c>
      <c r="P2392">
        <v>0.98537609999999998</v>
      </c>
      <c r="Q2392">
        <v>0.15854009999999999</v>
      </c>
      <c r="R2392">
        <v>6.2442350000000001E-2</v>
      </c>
      <c r="S2392">
        <v>3.0585939999999998</v>
      </c>
      <c r="T2392">
        <v>-4.8290729999999997E-2</v>
      </c>
      <c r="U2392">
        <v>-9.6252439999999995E-2</v>
      </c>
      <c r="V2392">
        <v>-5.0850819999999998E-2</v>
      </c>
      <c r="W2392">
        <v>0.16720479999999999</v>
      </c>
      <c r="X2392">
        <v>0.98460999999999999</v>
      </c>
      <c r="Y2392">
        <v>4.3128569999999998E-2</v>
      </c>
      <c r="Z2392">
        <v>-6.1160730000000001E-4</v>
      </c>
      <c r="AA2392">
        <v>0.99906930000000005</v>
      </c>
      <c r="AB2392">
        <v>30</v>
      </c>
      <c r="AC2392">
        <v>69.691199999999895</v>
      </c>
      <c r="AD2392">
        <v>-1.109547379628</v>
      </c>
      <c r="AE2392">
        <v>-2.2181999999999902</v>
      </c>
      <c r="AF2392">
        <v>3.03205505260927</v>
      </c>
      <c r="AG2392">
        <v>-1.109547379628</v>
      </c>
      <c r="AH2392">
        <v>69.642868658296607</v>
      </c>
      <c r="AI2392">
        <v>90.911893144467498</v>
      </c>
      <c r="AJ2392">
        <v>87.507076863317096</v>
      </c>
      <c r="AK2392">
        <v>69.717670702530199</v>
      </c>
      <c r="AL2392">
        <v>80.374660695287801</v>
      </c>
      <c r="AM2392">
        <v>92.956450887982598</v>
      </c>
      <c r="AN2392">
        <v>1.0000000515688501</v>
      </c>
    </row>
    <row r="2393" spans="1:40" x14ac:dyDescent="0.25">
      <c r="A2393" t="str">
        <f>"20190304155413323"</f>
        <v>20190304155413323</v>
      </c>
      <c r="B2393" t="str">
        <f>"1551686053319129"</f>
        <v>1551686053319129</v>
      </c>
      <c r="C2393" t="s">
        <v>40</v>
      </c>
      <c r="D2393">
        <v>4.3453280000000003</v>
      </c>
      <c r="E2393">
        <v>0.53350830000000005</v>
      </c>
      <c r="F2393" t="s">
        <v>63</v>
      </c>
      <c r="G2393">
        <v>-362.91579999999999</v>
      </c>
      <c r="H2393" s="1">
        <v>1.487012E-8</v>
      </c>
      <c r="I2393">
        <v>212.6772</v>
      </c>
      <c r="J2393">
        <v>-427.0324</v>
      </c>
      <c r="K2393">
        <v>1.1095459999999999</v>
      </c>
      <c r="L2393">
        <v>214.54820000000001</v>
      </c>
      <c r="M2393">
        <v>0.99989550000000005</v>
      </c>
      <c r="N2393">
        <v>-8.7754959999999903E-3</v>
      </c>
      <c r="O2393">
        <v>1.1500140000000001E-2</v>
      </c>
      <c r="P2393">
        <v>0.98529670000000003</v>
      </c>
      <c r="Q2393">
        <v>0.15916379999999999</v>
      </c>
      <c r="R2393">
        <v>6.2108669999999998E-2</v>
      </c>
      <c r="S2393">
        <v>3.058624</v>
      </c>
      <c r="T2393">
        <v>-5.269766E-2</v>
      </c>
      <c r="U2393">
        <v>-8.8714600000000005E-2</v>
      </c>
      <c r="V2393">
        <v>-5.07045E-2</v>
      </c>
      <c r="W2393">
        <v>0.16783049999999999</v>
      </c>
      <c r="X2393">
        <v>0.98451100000000002</v>
      </c>
      <c r="Y2393">
        <v>4.0476909999999998E-2</v>
      </c>
      <c r="Z2393">
        <v>-6.2344929999999998E-4</v>
      </c>
      <c r="AA2393">
        <v>0.99918030000000002</v>
      </c>
      <c r="AB2393">
        <v>30</v>
      </c>
      <c r="AC2393">
        <v>64.116600000000005</v>
      </c>
      <c r="AD2393">
        <v>-1.1095459851298799</v>
      </c>
      <c r="AE2393">
        <v>-1.871</v>
      </c>
      <c r="AF2393">
        <v>2.6074742427347002</v>
      </c>
      <c r="AG2393">
        <v>-1.1095459851298799</v>
      </c>
      <c r="AH2393">
        <v>64.0716710776437</v>
      </c>
      <c r="AI2393">
        <v>90.991286550863506</v>
      </c>
      <c r="AJ2393">
        <v>87.669564843377103</v>
      </c>
      <c r="AK2393">
        <v>64.134304774445098</v>
      </c>
      <c r="AL2393">
        <v>80.338296039089101</v>
      </c>
      <c r="AM2393">
        <v>92.948254832290701</v>
      </c>
      <c r="AN2393">
        <v>0.99999996608574904</v>
      </c>
    </row>
    <row r="2394" spans="1:40" x14ac:dyDescent="0.25">
      <c r="A2394" t="str">
        <f>"20190304155413346"</f>
        <v>20190304155413346</v>
      </c>
      <c r="B2394" t="str">
        <f>"1551686053338649"</f>
        <v>1551686053338649</v>
      </c>
      <c r="C2394" t="s">
        <v>40</v>
      </c>
      <c r="D2394">
        <v>4.3412230000000003</v>
      </c>
      <c r="E2394">
        <v>0.53312859999999995</v>
      </c>
      <c r="F2394" t="s">
        <v>63</v>
      </c>
      <c r="G2394">
        <v>-362.17469999999997</v>
      </c>
      <c r="H2394" s="1">
        <v>-3.7951240000000001E-7</v>
      </c>
      <c r="I2394">
        <v>212.7201</v>
      </c>
      <c r="J2394">
        <v>-426.72500000000002</v>
      </c>
      <c r="K2394">
        <v>1.109548</v>
      </c>
      <c r="L2394">
        <v>214.5515</v>
      </c>
      <c r="M2394">
        <v>0.9998977</v>
      </c>
      <c r="N2394">
        <v>-8.7789129999999993E-3</v>
      </c>
      <c r="O2394">
        <v>1.129226E-2</v>
      </c>
      <c r="P2394">
        <v>0.98519409999999996</v>
      </c>
      <c r="Q2394">
        <v>0.15985569999999999</v>
      </c>
      <c r="R2394">
        <v>6.195444E-2</v>
      </c>
      <c r="S2394">
        <v>3.0586549999999999</v>
      </c>
      <c r="T2394">
        <v>-5.2325610000000002E-2</v>
      </c>
      <c r="U2394">
        <v>-8.6212159999999996E-2</v>
      </c>
      <c r="V2394">
        <v>-5.0754729999999998E-2</v>
      </c>
      <c r="W2394">
        <v>0.16852519999999999</v>
      </c>
      <c r="X2394">
        <v>0.98438979999999998</v>
      </c>
      <c r="Y2394">
        <v>3.9452399999999999E-2</v>
      </c>
      <c r="Z2394">
        <v>-6.0462679999999998E-4</v>
      </c>
      <c r="AA2394">
        <v>0.99922129999999998</v>
      </c>
      <c r="AB2394">
        <v>30</v>
      </c>
      <c r="AC2394">
        <v>64.550299999999993</v>
      </c>
      <c r="AD2394">
        <v>-1.1095483795123999</v>
      </c>
      <c r="AE2394">
        <v>-1.8313999999999999</v>
      </c>
      <c r="AF2394">
        <v>2.55947447512222</v>
      </c>
      <c r="AG2394">
        <v>-1.1095483795123999</v>
      </c>
      <c r="AH2394">
        <v>64.506458910367797</v>
      </c>
      <c r="AI2394">
        <v>90.984648728724395</v>
      </c>
      <c r="AJ2394">
        <v>87.727821315636604</v>
      </c>
      <c r="AK2394">
        <v>64.566750331345006</v>
      </c>
      <c r="AL2394">
        <v>80.297918180045997</v>
      </c>
      <c r="AM2394">
        <v>92.951533047897399</v>
      </c>
      <c r="AN2394">
        <v>1.0000000319982201</v>
      </c>
    </row>
    <row r="2395" spans="1:40" x14ac:dyDescent="0.25">
      <c r="A2395" t="str">
        <f>"20190304155413368"</f>
        <v>20190304155413368</v>
      </c>
      <c r="B2395" t="str">
        <f>"1551686053358677"</f>
        <v>1551686053358677</v>
      </c>
      <c r="C2395" t="s">
        <v>40</v>
      </c>
      <c r="D2395">
        <v>4.3367019999999998</v>
      </c>
      <c r="E2395">
        <v>0.53281880000000004</v>
      </c>
      <c r="F2395" t="s">
        <v>63</v>
      </c>
      <c r="G2395">
        <v>-361.0342</v>
      </c>
      <c r="H2395" s="1">
        <v>-9.8643340000000002E-7</v>
      </c>
      <c r="I2395">
        <v>212.7587</v>
      </c>
      <c r="J2395">
        <v>-426.43380000000002</v>
      </c>
      <c r="K2395">
        <v>1.1095459999999999</v>
      </c>
      <c r="L2395">
        <v>214.55459999999999</v>
      </c>
      <c r="M2395">
        <v>0.99990000000000001</v>
      </c>
      <c r="N2395">
        <v>-8.7825249999999994E-3</v>
      </c>
      <c r="O2395">
        <v>1.1095600000000001E-2</v>
      </c>
      <c r="P2395">
        <v>0.98520929999999995</v>
      </c>
      <c r="Q2395">
        <v>0.15983</v>
      </c>
      <c r="R2395">
        <v>6.1787910000000001E-2</v>
      </c>
      <c r="S2395">
        <v>3.058716</v>
      </c>
      <c r="T2395">
        <v>-5.166316E-2</v>
      </c>
      <c r="U2395">
        <v>-8.3480830000000006E-2</v>
      </c>
      <c r="V2395">
        <v>-5.0781689999999997E-2</v>
      </c>
      <c r="W2395">
        <v>0.16850309999999999</v>
      </c>
      <c r="X2395">
        <v>0.98439219999999905</v>
      </c>
      <c r="Y2395">
        <v>3.8364160000000001E-2</v>
      </c>
      <c r="Z2395">
        <v>-5.8237129999999895E-4</v>
      </c>
      <c r="AA2395">
        <v>0.99926360000000003</v>
      </c>
      <c r="AB2395">
        <v>30</v>
      </c>
      <c r="AC2395">
        <v>65.399600000000007</v>
      </c>
      <c r="AD2395">
        <v>-1.1095469864334</v>
      </c>
      <c r="AE2395">
        <v>-1.7958999999999801</v>
      </c>
      <c r="AF2395">
        <v>2.5207401292593299</v>
      </c>
      <c r="AG2395">
        <v>-1.1095469864334</v>
      </c>
      <c r="AH2395">
        <v>65.356848753460596</v>
      </c>
      <c r="AI2395">
        <v>90.971880328678097</v>
      </c>
      <c r="AJ2395">
        <v>87.791261017641403</v>
      </c>
      <c r="AK2395">
        <v>65.414852321908398</v>
      </c>
      <c r="AL2395">
        <v>80.299202857013199</v>
      </c>
      <c r="AM2395">
        <v>92.953090887748203</v>
      </c>
      <c r="AN2395">
        <v>1.00000003908485</v>
      </c>
    </row>
    <row r="2396" spans="1:40" x14ac:dyDescent="0.25">
      <c r="A2396" t="str">
        <f>"20190304155413391"</f>
        <v>20190304155413391</v>
      </c>
      <c r="B2396" t="str">
        <f>"1551686053388933"</f>
        <v>1551686053388933</v>
      </c>
      <c r="C2396" t="s">
        <v>40</v>
      </c>
      <c r="D2396">
        <v>4.3056619999999999</v>
      </c>
      <c r="E2396">
        <v>0.53235650000000001</v>
      </c>
      <c r="F2396" t="s">
        <v>63</v>
      </c>
      <c r="G2396">
        <v>-362.697</v>
      </c>
      <c r="H2396" s="1">
        <v>-1.015766E-7</v>
      </c>
      <c r="I2396">
        <v>212.86439999999999</v>
      </c>
      <c r="J2396">
        <v>-426.12389999999999</v>
      </c>
      <c r="K2396">
        <v>1.1095410000000001</v>
      </c>
      <c r="L2396">
        <v>214.55779999999999</v>
      </c>
      <c r="M2396">
        <v>0.99990219999999996</v>
      </c>
      <c r="N2396">
        <v>-8.7866639999999996E-3</v>
      </c>
      <c r="O2396">
        <v>1.0888500000000001E-2</v>
      </c>
      <c r="P2396">
        <v>0.98522790000000005</v>
      </c>
      <c r="Q2396">
        <v>0.15986310000000001</v>
      </c>
      <c r="R2396">
        <v>6.139886E-2</v>
      </c>
      <c r="S2396">
        <v>3.0587770000000001</v>
      </c>
      <c r="T2396">
        <v>-5.3247929999999999E-2</v>
      </c>
      <c r="U2396">
        <v>-8.1115720000000002E-2</v>
      </c>
      <c r="V2396">
        <v>-5.0595950000000001E-2</v>
      </c>
      <c r="W2396">
        <v>0.16854069999999999</v>
      </c>
      <c r="X2396">
        <v>0.98439529999999997</v>
      </c>
      <c r="Y2396">
        <v>3.7384279999999999E-2</v>
      </c>
      <c r="Z2396">
        <v>-5.8346089999999895E-4</v>
      </c>
      <c r="AA2396">
        <v>0.99930079999999999</v>
      </c>
      <c r="AB2396">
        <v>30</v>
      </c>
      <c r="AC2396">
        <v>63.426900000000003</v>
      </c>
      <c r="AD2396">
        <v>-1.1095411015765999</v>
      </c>
      <c r="AE2396">
        <v>-1.69339999999999</v>
      </c>
      <c r="AF2396">
        <v>2.38322122982572</v>
      </c>
      <c r="AG2396">
        <v>-1.1095411015765999</v>
      </c>
      <c r="AH2396">
        <v>63.385317461876298</v>
      </c>
      <c r="AI2396">
        <v>91.002135178517307</v>
      </c>
      <c r="AJ2396">
        <v>87.846753274082801</v>
      </c>
      <c r="AK2396">
        <v>63.439808437835197</v>
      </c>
      <c r="AL2396">
        <v>80.297017013925</v>
      </c>
      <c r="AM2396">
        <v>92.942299375550206</v>
      </c>
      <c r="AN2396">
        <v>1.0000000121874899</v>
      </c>
    </row>
    <row r="2397" spans="1:40" x14ac:dyDescent="0.25">
      <c r="A2397" t="str">
        <f>"20190304155413413"</f>
        <v>20190304155413413</v>
      </c>
      <c r="B2397" t="str">
        <f>"1551686053409430"</f>
        <v>1551686053409430</v>
      </c>
      <c r="C2397" t="s">
        <v>40</v>
      </c>
      <c r="D2397">
        <v>4.3219810000000001</v>
      </c>
      <c r="E2397">
        <v>0.5320549</v>
      </c>
      <c r="F2397" t="s">
        <v>63</v>
      </c>
      <c r="G2397">
        <v>-364.04989999999998</v>
      </c>
      <c r="H2397" s="1">
        <v>6.1834419999999905E-7</v>
      </c>
      <c r="I2397">
        <v>212.9622</v>
      </c>
      <c r="J2397">
        <v>-425.8374</v>
      </c>
      <c r="K2397">
        <v>1.1095440000000001</v>
      </c>
      <c r="L2397">
        <v>214.5608</v>
      </c>
      <c r="M2397">
        <v>0.99990409999999996</v>
      </c>
      <c r="N2397">
        <v>-8.7907909999999992E-3</v>
      </c>
      <c r="O2397">
        <v>1.069852E-2</v>
      </c>
      <c r="P2397">
        <v>0.98522779999999999</v>
      </c>
      <c r="Q2397">
        <v>0.16003220000000001</v>
      </c>
      <c r="R2397">
        <v>6.0955959999999997E-2</v>
      </c>
      <c r="S2397">
        <v>3.0587460000000002</v>
      </c>
      <c r="T2397">
        <v>-5.4673430000000002E-2</v>
      </c>
      <c r="U2397">
        <v>-7.8628539999999997E-2</v>
      </c>
      <c r="V2397">
        <v>-5.0340019999999999E-2</v>
      </c>
      <c r="W2397">
        <v>0.16871369999999999</v>
      </c>
      <c r="X2397">
        <v>0.9843788</v>
      </c>
      <c r="Y2397">
        <v>3.638247E-2</v>
      </c>
      <c r="Z2397">
        <v>-5.822008E-4</v>
      </c>
      <c r="AA2397">
        <v>0.99933780000000005</v>
      </c>
      <c r="AB2397">
        <v>30</v>
      </c>
      <c r="AC2397">
        <v>61.787500000000001</v>
      </c>
      <c r="AD2397">
        <v>-1.1095433816558</v>
      </c>
      <c r="AE2397">
        <v>-1.5986</v>
      </c>
      <c r="AF2397">
        <v>2.2588409516295802</v>
      </c>
      <c r="AG2397">
        <v>-1.1095433816558</v>
      </c>
      <c r="AH2397">
        <v>61.746962130827001</v>
      </c>
      <c r="AI2397">
        <v>91.02876041399</v>
      </c>
      <c r="AJ2397">
        <v>87.904927439873504</v>
      </c>
      <c r="AK2397">
        <v>61.798226360845597</v>
      </c>
      <c r="AL2397">
        <v>80.286960974565105</v>
      </c>
      <c r="AM2397">
        <v>92.927491251204003</v>
      </c>
      <c r="AN2397">
        <v>1.0000000260353601</v>
      </c>
    </row>
    <row r="2398" spans="1:40" x14ac:dyDescent="0.25">
      <c r="A2398" t="str">
        <f>"20190304155413436"</f>
        <v>20190304155413436</v>
      </c>
      <c r="B2398" t="str">
        <f>"1551686053428949"</f>
        <v>1551686053428949</v>
      </c>
      <c r="C2398" t="s">
        <v>40</v>
      </c>
      <c r="D2398">
        <v>4.3029960000000003</v>
      </c>
      <c r="E2398">
        <v>0.5317731</v>
      </c>
      <c r="F2398" t="s">
        <v>63</v>
      </c>
      <c r="G2398">
        <v>-364.37900000000002</v>
      </c>
      <c r="H2398" s="1">
        <v>7.9351029999999999E-7</v>
      </c>
      <c r="I2398">
        <v>213.0027</v>
      </c>
      <c r="J2398">
        <v>-425.51490000000001</v>
      </c>
      <c r="K2398">
        <v>1.1095410000000001</v>
      </c>
      <c r="L2398">
        <v>214.56399999999999</v>
      </c>
      <c r="M2398">
        <v>0.99990650000000003</v>
      </c>
      <c r="N2398">
        <v>-8.7957850000000004E-3</v>
      </c>
      <c r="O2398">
        <v>1.0486179999999999E-2</v>
      </c>
      <c r="P2398">
        <v>0.98515050000000004</v>
      </c>
      <c r="Q2398">
        <v>0.16056429999999999</v>
      </c>
      <c r="R2398">
        <v>6.0811169999999998E-2</v>
      </c>
      <c r="S2398">
        <v>3.0587460000000002</v>
      </c>
      <c r="T2398">
        <v>-5.5221319999999997E-2</v>
      </c>
      <c r="U2398">
        <v>-7.7545169999999997E-2</v>
      </c>
      <c r="V2398">
        <v>-5.0404789999999998E-2</v>
      </c>
      <c r="W2398">
        <v>0.16925000000000001</v>
      </c>
      <c r="X2398">
        <v>0.98428340000000003</v>
      </c>
      <c r="Y2398">
        <v>3.5816489999999999E-2</v>
      </c>
      <c r="Z2398">
        <v>-5.7784959999999995E-4</v>
      </c>
      <c r="AA2398">
        <v>0.99935819999999997</v>
      </c>
      <c r="AB2398">
        <v>30</v>
      </c>
      <c r="AC2398">
        <v>61.1358999999999</v>
      </c>
      <c r="AD2398">
        <v>-1.1095402064897</v>
      </c>
      <c r="AE2398">
        <v>-1.5613000000000099</v>
      </c>
      <c r="AF2398">
        <v>2.2015962129007001</v>
      </c>
      <c r="AG2398">
        <v>-1.1095402064897</v>
      </c>
      <c r="AH2398">
        <v>61.096055165762202</v>
      </c>
      <c r="AI2398">
        <v>91.039735910693295</v>
      </c>
      <c r="AJ2398">
        <v>87.936239681488502</v>
      </c>
      <c r="AK2398">
        <v>61.145777140963197</v>
      </c>
      <c r="AL2398">
        <v>80.255784737354404</v>
      </c>
      <c r="AM2398">
        <v>92.931534954834703</v>
      </c>
      <c r="AN2398">
        <v>1.0000000084352501</v>
      </c>
    </row>
    <row r="2399" spans="1:40" x14ac:dyDescent="0.25">
      <c r="A2399" t="str">
        <f>"20190304155413458"</f>
        <v>20190304155413458</v>
      </c>
      <c r="B2399" t="str">
        <f>"1551686053449445"</f>
        <v>1551686053449445</v>
      </c>
      <c r="C2399" t="s">
        <v>40</v>
      </c>
      <c r="D2399">
        <v>4.2687229999999996</v>
      </c>
      <c r="E2399">
        <v>0.53159019999999901</v>
      </c>
      <c r="F2399" t="s">
        <v>63</v>
      </c>
      <c r="G2399">
        <v>-363.16399999999999</v>
      </c>
      <c r="H2399" s="1">
        <v>1.469422E-7</v>
      </c>
      <c r="I2399">
        <v>213.01249999999999</v>
      </c>
      <c r="J2399">
        <v>-425.22609999999997</v>
      </c>
      <c r="K2399">
        <v>1.1095330000000001</v>
      </c>
      <c r="L2399">
        <v>214.5668</v>
      </c>
      <c r="M2399">
        <v>0.99990840000000003</v>
      </c>
      <c r="N2399">
        <v>-8.8004659999999998E-3</v>
      </c>
      <c r="O2399">
        <v>1.0296670000000001E-2</v>
      </c>
      <c r="P2399">
        <v>0.9850738</v>
      </c>
      <c r="Q2399">
        <v>0.16079260000000001</v>
      </c>
      <c r="R2399">
        <v>6.1446029999999999E-2</v>
      </c>
      <c r="S2399">
        <v>3.0587770000000001</v>
      </c>
      <c r="T2399">
        <v>-5.4431319999999998E-2</v>
      </c>
      <c r="U2399">
        <v>-7.6110839999999999E-2</v>
      </c>
      <c r="V2399">
        <v>-5.1226380000000002E-2</v>
      </c>
      <c r="W2399">
        <v>0.16948299999999999</v>
      </c>
      <c r="X2399">
        <v>0.98420090000000005</v>
      </c>
      <c r="Y2399">
        <v>3.51589E-2</v>
      </c>
      <c r="Z2399">
        <v>-5.6010109999999995E-4</v>
      </c>
      <c r="AA2399">
        <v>0.99938159999999998</v>
      </c>
      <c r="AB2399">
        <v>30</v>
      </c>
      <c r="AC2399">
        <v>62.062100000000001</v>
      </c>
      <c r="AD2399">
        <v>-1.1095328530577999</v>
      </c>
      <c r="AE2399">
        <v>-1.55430000000001</v>
      </c>
      <c r="AF2399">
        <v>2.1925748777482701</v>
      </c>
      <c r="AG2399">
        <v>-1.1095328530577999</v>
      </c>
      <c r="AH2399">
        <v>62.022993906766096</v>
      </c>
      <c r="AI2399">
        <v>91.024218488501305</v>
      </c>
      <c r="AJ2399">
        <v>87.975379983581703</v>
      </c>
      <c r="AK2399">
        <v>62.071653924358202</v>
      </c>
      <c r="AL2399">
        <v>80.242239247460802</v>
      </c>
      <c r="AM2399">
        <v>92.979482392797294</v>
      </c>
      <c r="AN2399">
        <v>1.0000000204288499</v>
      </c>
    </row>
    <row r="2400" spans="1:40" x14ac:dyDescent="0.25">
      <c r="A2400" t="str">
        <f>"20190304155413484"</f>
        <v>20190304155413484</v>
      </c>
      <c r="B2400" t="str">
        <f>"1551686053479231"</f>
        <v>1551686053479231</v>
      </c>
      <c r="C2400" t="s">
        <v>40</v>
      </c>
      <c r="D2400">
        <v>4.2860250000000004</v>
      </c>
      <c r="E2400">
        <v>0.53128299999999995</v>
      </c>
      <c r="F2400" t="s">
        <v>63</v>
      </c>
      <c r="G2400">
        <v>-362.76799999999997</v>
      </c>
      <c r="H2400" s="1">
        <v>-6.3800999999999897E-8</v>
      </c>
      <c r="I2400">
        <v>213.08099999999999</v>
      </c>
      <c r="J2400">
        <v>-424.88670000000002</v>
      </c>
      <c r="K2400">
        <v>1.1095389999999901</v>
      </c>
      <c r="L2400">
        <v>214.5701</v>
      </c>
      <c r="M2400">
        <v>0.99991059999999998</v>
      </c>
      <c r="N2400">
        <v>-8.8061540000000001E-3</v>
      </c>
      <c r="O2400">
        <v>1.0074369999999999E-2</v>
      </c>
      <c r="P2400">
        <v>0.98497369999999995</v>
      </c>
      <c r="Q2400">
        <v>0.16135169999999999</v>
      </c>
      <c r="R2400">
        <v>6.1585040000000001E-2</v>
      </c>
      <c r="S2400">
        <v>3.0588989999999998</v>
      </c>
      <c r="T2400">
        <v>-5.4339650000000003E-2</v>
      </c>
      <c r="U2400">
        <v>-7.2769169999999994E-2</v>
      </c>
      <c r="V2400">
        <v>-5.1585480000000003E-2</v>
      </c>
      <c r="W2400">
        <v>0.17004639999999999</v>
      </c>
      <c r="X2400">
        <v>0.98408490000000004</v>
      </c>
      <c r="Y2400">
        <v>3.3844920000000001E-2</v>
      </c>
      <c r="Z2400">
        <v>-5.3984400000000004E-4</v>
      </c>
      <c r="AA2400">
        <v>0.99942699999999995</v>
      </c>
      <c r="AB2400">
        <v>30</v>
      </c>
      <c r="AC2400">
        <v>62.118699999999897</v>
      </c>
      <c r="AD2400">
        <v>-1.1095390638010001</v>
      </c>
      <c r="AE2400">
        <v>-1.4891000000000001</v>
      </c>
      <c r="AF2400">
        <v>2.1141812681662699</v>
      </c>
      <c r="AG2400">
        <v>-1.1095390638010001</v>
      </c>
      <c r="AH2400">
        <v>62.080750392498402</v>
      </c>
      <c r="AI2400">
        <v>91.023317487453198</v>
      </c>
      <c r="AJ2400">
        <v>88.049526356119898</v>
      </c>
      <c r="AK2400">
        <v>62.126648136403297</v>
      </c>
      <c r="AL2400">
        <v>80.209482794729794</v>
      </c>
      <c r="AM2400">
        <v>93.000683734881605</v>
      </c>
      <c r="AN2400">
        <v>0.999999965153899</v>
      </c>
    </row>
    <row r="2401" spans="1:40" x14ac:dyDescent="0.25">
      <c r="A2401" t="str">
        <f>"20190304155413505"</f>
        <v>20190304155413505</v>
      </c>
      <c r="B2401" t="str">
        <f>"1551686053498752"</f>
        <v>1551686053498752</v>
      </c>
      <c r="C2401" t="s">
        <v>40</v>
      </c>
      <c r="D2401">
        <v>4.3058949999999996</v>
      </c>
      <c r="E2401">
        <v>0.53133299999999895</v>
      </c>
      <c r="F2401" t="s">
        <v>63</v>
      </c>
      <c r="G2401">
        <v>-361.31310000000002</v>
      </c>
      <c r="H2401" s="1">
        <v>-8.380292E-7</v>
      </c>
      <c r="I2401">
        <v>213.10939999999999</v>
      </c>
      <c r="J2401">
        <v>-424.58359999999999</v>
      </c>
      <c r="K2401">
        <v>1.109531</v>
      </c>
      <c r="L2401">
        <v>214.57300000000001</v>
      </c>
      <c r="M2401">
        <v>0.99991260000000004</v>
      </c>
      <c r="N2401">
        <v>-8.8114519999999905E-3</v>
      </c>
      <c r="O2401">
        <v>9.8759209999999993E-3</v>
      </c>
      <c r="P2401">
        <v>0.98485829999999996</v>
      </c>
      <c r="Q2401">
        <v>0.161881</v>
      </c>
      <c r="R2401">
        <v>6.204109E-2</v>
      </c>
      <c r="S2401">
        <v>3.0588989999999998</v>
      </c>
      <c r="T2401">
        <v>-5.3386450000000002E-2</v>
      </c>
      <c r="U2401">
        <v>-7.0281979999999994E-2</v>
      </c>
      <c r="V2401">
        <v>-5.2237510000000001E-2</v>
      </c>
      <c r="W2401">
        <v>0.17058019999999999</v>
      </c>
      <c r="X2401">
        <v>0.98395809999999995</v>
      </c>
      <c r="Y2401">
        <v>3.283486E-2</v>
      </c>
      <c r="Z2401">
        <v>-5.1649400000000005E-4</v>
      </c>
      <c r="AA2401">
        <v>0.99946060000000003</v>
      </c>
      <c r="AB2401">
        <v>30</v>
      </c>
      <c r="AC2401">
        <v>63.270499999999899</v>
      </c>
      <c r="AD2401">
        <v>-1.1095318380292001</v>
      </c>
      <c r="AE2401">
        <v>-1.46359999999998</v>
      </c>
      <c r="AF2401">
        <v>2.0877655245426001</v>
      </c>
      <c r="AG2401">
        <v>-1.1095318380292001</v>
      </c>
      <c r="AH2401">
        <v>63.233523887175203</v>
      </c>
      <c r="AI2401">
        <v>91.004694247610203</v>
      </c>
      <c r="AJ2401">
        <v>88.108966446655998</v>
      </c>
      <c r="AK2401">
        <v>63.277708310075703</v>
      </c>
      <c r="AL2401">
        <v>80.178444713166101</v>
      </c>
      <c r="AM2401">
        <v>93.038931971458993</v>
      </c>
      <c r="AN2401">
        <v>0.99999995231932304</v>
      </c>
    </row>
    <row r="2402" spans="1:40" x14ac:dyDescent="0.25">
      <c r="A2402" t="str">
        <f>"20190304155413548"</f>
        <v>20190304155413548</v>
      </c>
      <c r="B2402" t="str">
        <f>"1551686053538767"</f>
        <v>1551686053538767</v>
      </c>
      <c r="C2402" t="s">
        <v>40</v>
      </c>
      <c r="D2402">
        <v>4.2852420000000002</v>
      </c>
      <c r="E2402">
        <v>0.50771509999999997</v>
      </c>
      <c r="F2402" t="s">
        <v>63</v>
      </c>
      <c r="G2402">
        <v>-358.85430000000002</v>
      </c>
      <c r="H2402" s="1">
        <v>3.2411089999999998E-6</v>
      </c>
      <c r="I2402">
        <v>213.10470000000001</v>
      </c>
      <c r="J2402">
        <v>-424.00450000000001</v>
      </c>
      <c r="K2402">
        <v>1.1095219999999999</v>
      </c>
      <c r="L2402">
        <v>214.57820000000001</v>
      </c>
      <c r="M2402">
        <v>0.99991609999999997</v>
      </c>
      <c r="N2402">
        <v>-8.8220150000000008E-3</v>
      </c>
      <c r="O2402">
        <v>9.4967239999999998E-3</v>
      </c>
      <c r="P2402">
        <v>0.98482780000000003</v>
      </c>
      <c r="Q2402">
        <v>0.16193270000000001</v>
      </c>
      <c r="R2402">
        <v>6.2388899999999997E-2</v>
      </c>
      <c r="S2402">
        <v>3.0588989999999998</v>
      </c>
      <c r="T2402">
        <v>-5.1635029999999998E-2</v>
      </c>
      <c r="U2402">
        <v>-6.8328860000000005E-2</v>
      </c>
      <c r="V2402">
        <v>-5.2959480000000003E-2</v>
      </c>
      <c r="W2402">
        <v>0.170642299999999</v>
      </c>
      <c r="X2402">
        <v>0.98390880000000003</v>
      </c>
      <c r="Y2402">
        <v>3.181867E-2</v>
      </c>
      <c r="Z2402">
        <v>-4.8539999999999998E-4</v>
      </c>
      <c r="AA2402">
        <v>0.99949350000000003</v>
      </c>
      <c r="AB2402">
        <v>30</v>
      </c>
      <c r="AC2402">
        <v>65.150199999999899</v>
      </c>
      <c r="AD2402">
        <v>-1.1095187588909901</v>
      </c>
      <c r="AE2402">
        <v>-1.4735</v>
      </c>
      <c r="AF2402">
        <v>2.0915647253263998</v>
      </c>
      <c r="AG2402">
        <v>-1.1095187588909901</v>
      </c>
      <c r="AH2402">
        <v>65.114392615394493</v>
      </c>
      <c r="AI2402">
        <v>90.975695655557203</v>
      </c>
      <c r="AJ2402">
        <v>88.160212566625304</v>
      </c>
      <c r="AK2402">
        <v>65.157423219064597</v>
      </c>
      <c r="AL2402">
        <v>80.174834312937094</v>
      </c>
      <c r="AM2402">
        <v>93.081006491804402</v>
      </c>
      <c r="AN2402">
        <v>1.0000000138942999</v>
      </c>
    </row>
    <row r="2403" spans="1:40" x14ac:dyDescent="0.25">
      <c r="A2403" t="str">
        <f>"20190304155413570"</f>
        <v>20190304155413570</v>
      </c>
      <c r="B2403" t="str">
        <f>"1551686053559772"</f>
        <v>1551686053559772</v>
      </c>
      <c r="C2403" t="s">
        <v>40</v>
      </c>
      <c r="D2403">
        <v>4.2658889999999996</v>
      </c>
      <c r="E2403">
        <v>0.50606949999999995</v>
      </c>
      <c r="F2403" t="s">
        <v>65</v>
      </c>
      <c r="G2403">
        <v>-309.72289999999998</v>
      </c>
      <c r="H2403" s="1">
        <v>9.2858410000000002E-7</v>
      </c>
      <c r="I2403">
        <v>219.08109999999999</v>
      </c>
      <c r="J2403">
        <v>-423.69869999999997</v>
      </c>
      <c r="K2403">
        <v>1.1095269999999999</v>
      </c>
      <c r="L2403">
        <v>214.58090000000001</v>
      </c>
      <c r="M2403">
        <v>0.99991790000000003</v>
      </c>
      <c r="N2403">
        <v>-8.82773699999999E-3</v>
      </c>
      <c r="O2403">
        <v>9.2963649999999991E-3</v>
      </c>
      <c r="P2403">
        <v>0.98481359999999996</v>
      </c>
      <c r="Q2403">
        <v>0.16195409999999999</v>
      </c>
      <c r="R2403">
        <v>6.2554540000000006E-2</v>
      </c>
      <c r="S2403">
        <v>3.043488</v>
      </c>
      <c r="T2403">
        <v>-2.9548169999999999E-2</v>
      </c>
      <c r="U2403">
        <v>0.11991880000000001</v>
      </c>
      <c r="V2403">
        <v>-5.3322349999999998E-2</v>
      </c>
      <c r="W2403">
        <v>0.1706695</v>
      </c>
      <c r="X2403">
        <v>0.98388450000000005</v>
      </c>
      <c r="Y2403">
        <v>-3.0077309999999999E-2</v>
      </c>
      <c r="Z2403">
        <v>2.7058950000000002E-4</v>
      </c>
      <c r="AA2403">
        <v>0.99954750000000003</v>
      </c>
      <c r="AB2403">
        <v>30</v>
      </c>
      <c r="AC2403">
        <v>113.97580000000001</v>
      </c>
      <c r="AD2403">
        <v>-1.1095260714158901</v>
      </c>
      <c r="AE2403">
        <v>4.5001999999999702</v>
      </c>
      <c r="AF2403">
        <v>-3.44007818689147</v>
      </c>
      <c r="AG2403">
        <v>-1.1095260714158901</v>
      </c>
      <c r="AH2403">
        <v>114.00192498784899</v>
      </c>
      <c r="AI2403">
        <v>90.557361058970997</v>
      </c>
      <c r="AJ2403">
        <v>91.728410893876898</v>
      </c>
      <c r="AK2403">
        <v>114.05921307360499</v>
      </c>
      <c r="AL2403">
        <v>80.173252828799804</v>
      </c>
      <c r="AM2403">
        <v>93.102152437425403</v>
      </c>
      <c r="AN2403">
        <v>1.0000000302900101</v>
      </c>
    </row>
    <row r="2404" spans="1:40" x14ac:dyDescent="0.25">
      <c r="A2404" t="str">
        <f>"20190304155413592"</f>
        <v>20190304155413592</v>
      </c>
      <c r="B2404" t="str">
        <f>"1551686053589052"</f>
        <v>1551686053589052</v>
      </c>
      <c r="C2404" t="s">
        <v>40</v>
      </c>
      <c r="D2404">
        <v>4.2714089999999896</v>
      </c>
      <c r="E2404">
        <v>0.5048608</v>
      </c>
      <c r="F2404" t="s">
        <v>63</v>
      </c>
      <c r="G2404">
        <v>-332.45760000000001</v>
      </c>
      <c r="H2404" s="1">
        <v>-4.0189019999999999E-7</v>
      </c>
      <c r="I2404">
        <v>218.57159999999999</v>
      </c>
      <c r="J2404">
        <v>-423.3997</v>
      </c>
      <c r="K2404">
        <v>1.109524</v>
      </c>
      <c r="L2404">
        <v>214.58349999999999</v>
      </c>
      <c r="M2404">
        <v>0.99991960000000002</v>
      </c>
      <c r="N2404">
        <v>-8.8334199999999998E-3</v>
      </c>
      <c r="O2404">
        <v>9.1004759999999997E-3</v>
      </c>
      <c r="P2404">
        <v>0.98485199999999995</v>
      </c>
      <c r="Q2404">
        <v>0.1616235</v>
      </c>
      <c r="R2404">
        <v>6.2805120000000006E-2</v>
      </c>
      <c r="S2404">
        <v>3.0439150000000001</v>
      </c>
      <c r="T2404">
        <v>-3.7015199999999998E-2</v>
      </c>
      <c r="U2404">
        <v>0.1331329</v>
      </c>
      <c r="V2404">
        <v>-5.3765479999999997E-2</v>
      </c>
      <c r="W2404">
        <v>0.17034479999999999</v>
      </c>
      <c r="X2404">
        <v>0.98391660000000003</v>
      </c>
      <c r="Y2404">
        <v>-3.4597330000000003E-2</v>
      </c>
      <c r="Z2404">
        <v>3.3289609999999999E-4</v>
      </c>
      <c r="AA2404">
        <v>0.99940130000000005</v>
      </c>
      <c r="AB2404">
        <v>30</v>
      </c>
      <c r="AC2404">
        <v>90.942099999999897</v>
      </c>
      <c r="AD2404">
        <v>-1.1095244018902</v>
      </c>
      <c r="AE2404">
        <v>3.9881000000000002</v>
      </c>
      <c r="AF2404">
        <v>-3.1598167417194301</v>
      </c>
      <c r="AG2404">
        <v>-1.1095244018902</v>
      </c>
      <c r="AH2404">
        <v>90.961115384182804</v>
      </c>
      <c r="AI2404">
        <v>90.698425874759295</v>
      </c>
      <c r="AJ2404">
        <v>91.989546754003101</v>
      </c>
      <c r="AK2404">
        <v>91.022744400365397</v>
      </c>
      <c r="AL2404">
        <v>80.192132714046707</v>
      </c>
      <c r="AM2404">
        <v>93.127779737759198</v>
      </c>
      <c r="AN2404">
        <v>0.99999997674111496</v>
      </c>
    </row>
    <row r="2405" spans="1:40" x14ac:dyDescent="0.25">
      <c r="A2405" t="str">
        <f>"20190304155413614"</f>
        <v>20190304155413614</v>
      </c>
      <c r="B2405" t="str">
        <f>"1551686053609549"</f>
        <v>1551686053609549</v>
      </c>
      <c r="C2405" t="s">
        <v>40</v>
      </c>
      <c r="D2405">
        <v>4.2761360000000002</v>
      </c>
      <c r="E2405">
        <v>0.50456889999999999</v>
      </c>
      <c r="F2405" t="s">
        <v>63</v>
      </c>
      <c r="G2405">
        <v>-347.7312</v>
      </c>
      <c r="H2405" s="1">
        <v>2.5773869999999999E-6</v>
      </c>
      <c r="I2405">
        <v>218.1463</v>
      </c>
      <c r="J2405">
        <v>-423.09890000000001</v>
      </c>
      <c r="K2405">
        <v>1.1095189999999999</v>
      </c>
      <c r="L2405">
        <v>214.58609999999999</v>
      </c>
      <c r="M2405">
        <v>0.99992139999999996</v>
      </c>
      <c r="N2405">
        <v>-8.8392090000000006E-3</v>
      </c>
      <c r="O2405">
        <v>8.9033949999999997E-3</v>
      </c>
      <c r="P2405">
        <v>0.98485350000000005</v>
      </c>
      <c r="Q2405">
        <v>0.161445799999999</v>
      </c>
      <c r="R2405">
        <v>6.3240009999999999E-2</v>
      </c>
      <c r="S2405">
        <v>3.0443419999999999</v>
      </c>
      <c r="T2405">
        <v>-4.4638990000000003E-2</v>
      </c>
      <c r="U2405">
        <v>0.1433411</v>
      </c>
      <c r="V2405">
        <v>-5.4394390000000001E-2</v>
      </c>
      <c r="W2405">
        <v>0.1701733</v>
      </c>
      <c r="X2405">
        <v>0.9839118</v>
      </c>
      <c r="Y2405">
        <v>-3.8130160000000003E-2</v>
      </c>
      <c r="Z2405">
        <v>3.9620919999999997E-4</v>
      </c>
      <c r="AA2405">
        <v>0.99927270000000001</v>
      </c>
      <c r="AB2405">
        <v>31</v>
      </c>
      <c r="AC2405">
        <v>75.367699999999999</v>
      </c>
      <c r="AD2405">
        <v>-1.1095164226129901</v>
      </c>
      <c r="AE2405">
        <v>3.5602</v>
      </c>
      <c r="AF2405">
        <v>-2.8883797545859</v>
      </c>
      <c r="AG2405">
        <v>-1.1095164226129901</v>
      </c>
      <c r="AH2405">
        <v>75.380111665396299</v>
      </c>
      <c r="AI2405">
        <v>90.842654778317296</v>
      </c>
      <c r="AJ2405">
        <v>92.194359275813397</v>
      </c>
      <c r="AK2405">
        <v>75.443588190026901</v>
      </c>
      <c r="AL2405">
        <v>80.202105418235803</v>
      </c>
      <c r="AM2405">
        <v>93.164307745867205</v>
      </c>
      <c r="AN2405">
        <v>1.0000000659377899</v>
      </c>
    </row>
    <row r="2406" spans="1:40" x14ac:dyDescent="0.25">
      <c r="A2406" t="str">
        <f>"20190304155413637"</f>
        <v>20190304155413637</v>
      </c>
      <c r="B2406" t="str">
        <f>"1551686053629068"</f>
        <v>1551686053629068</v>
      </c>
      <c r="C2406" t="s">
        <v>40</v>
      </c>
      <c r="D2406">
        <v>4.2683809999999998</v>
      </c>
      <c r="E2406">
        <v>0.50428850000000003</v>
      </c>
      <c r="F2406" t="s">
        <v>63</v>
      </c>
      <c r="G2406">
        <v>-351.87220000000002</v>
      </c>
      <c r="H2406" s="1">
        <v>-6.8935050000000003E-7</v>
      </c>
      <c r="I2406">
        <v>218.02199999999999</v>
      </c>
      <c r="J2406">
        <v>-422.77929999999998</v>
      </c>
      <c r="K2406">
        <v>1.1095219999999999</v>
      </c>
      <c r="L2406">
        <v>214.58869999999999</v>
      </c>
      <c r="M2406">
        <v>0.99992309999999995</v>
      </c>
      <c r="N2406">
        <v>-8.8454269999999995E-3</v>
      </c>
      <c r="O2406">
        <v>8.6940919999999901E-3</v>
      </c>
      <c r="P2406">
        <v>0.98486569999999996</v>
      </c>
      <c r="Q2406">
        <v>0.161245</v>
      </c>
      <c r="R2406">
        <v>6.3558409999999996E-2</v>
      </c>
      <c r="S2406">
        <v>3.044495</v>
      </c>
      <c r="T2406">
        <v>-4.742503E-2</v>
      </c>
      <c r="U2406">
        <v>0.14686579999999999</v>
      </c>
      <c r="V2406">
        <v>-5.4918889999999998E-2</v>
      </c>
      <c r="W2406">
        <v>0.16997880000000001</v>
      </c>
      <c r="X2406">
        <v>0.98391620000000002</v>
      </c>
      <c r="Y2406">
        <v>-3.9490320000000002E-2</v>
      </c>
      <c r="Z2406">
        <v>4.2368229999999998E-4</v>
      </c>
      <c r="AA2406">
        <v>0.99921979999999999</v>
      </c>
      <c r="AB2406">
        <v>31</v>
      </c>
      <c r="AC2406">
        <v>70.9070999999999</v>
      </c>
      <c r="AD2406">
        <v>-1.1095226893504999</v>
      </c>
      <c r="AE2406">
        <v>3.4333000000000302</v>
      </c>
      <c r="AF2406">
        <v>-2.8159854021649799</v>
      </c>
      <c r="AG2406">
        <v>-1.1095226893504999</v>
      </c>
      <c r="AH2406">
        <v>70.916947383228404</v>
      </c>
      <c r="AI2406">
        <v>90.895635492877702</v>
      </c>
      <c r="AJ2406">
        <v>92.273918512449498</v>
      </c>
      <c r="AK2406">
        <v>70.981506327627201</v>
      </c>
      <c r="AL2406">
        <v>80.213413383123907</v>
      </c>
      <c r="AM2406">
        <v>93.194742545636501</v>
      </c>
      <c r="AN2406">
        <v>0.99999998277535596</v>
      </c>
    </row>
    <row r="2407" spans="1:40" x14ac:dyDescent="0.25">
      <c r="A2407" t="str">
        <f>"20190304155413658"</f>
        <v>20190304155413658</v>
      </c>
      <c r="B2407" t="str">
        <f>"1551686053649565"</f>
        <v>1551686053649565</v>
      </c>
      <c r="C2407" t="s">
        <v>40</v>
      </c>
      <c r="D2407">
        <v>4.2690669999999997</v>
      </c>
      <c r="E2407">
        <v>0.50408679999999995</v>
      </c>
      <c r="F2407" t="s">
        <v>63</v>
      </c>
      <c r="G2407">
        <v>-354.93709999999999</v>
      </c>
      <c r="H2407" s="1">
        <v>9.4589219999999999E-7</v>
      </c>
      <c r="I2407">
        <v>217.9238</v>
      </c>
      <c r="J2407">
        <v>-422.48880000000003</v>
      </c>
      <c r="K2407">
        <v>1.1095219999999999</v>
      </c>
      <c r="L2407">
        <v>214.59100000000001</v>
      </c>
      <c r="M2407">
        <v>0.9999247</v>
      </c>
      <c r="N2407">
        <v>-8.8511300000000005E-3</v>
      </c>
      <c r="O2407">
        <v>8.5040429999999993E-3</v>
      </c>
      <c r="P2407">
        <v>0.98478100000000002</v>
      </c>
      <c r="Q2407">
        <v>0.16156980000000001</v>
      </c>
      <c r="R2407">
        <v>6.4046099999999995E-2</v>
      </c>
      <c r="S2407">
        <v>3.0446170000000001</v>
      </c>
      <c r="T2407">
        <v>-4.9792999999999997E-2</v>
      </c>
      <c r="U2407">
        <v>0.14967349999999999</v>
      </c>
      <c r="V2407">
        <v>-5.5594079999999997E-2</v>
      </c>
      <c r="W2407">
        <v>0.17030909999999999</v>
      </c>
      <c r="X2407">
        <v>0.98382119999999995</v>
      </c>
      <c r="Y2407">
        <v>-4.0596729999999998E-2</v>
      </c>
      <c r="Z2407">
        <v>4.4779139999999998E-4</v>
      </c>
      <c r="AA2407">
        <v>0.99917549999999999</v>
      </c>
      <c r="AB2407">
        <v>31</v>
      </c>
      <c r="AC2407">
        <v>67.551699999999997</v>
      </c>
      <c r="AD2407">
        <v>-1.1095210541078</v>
      </c>
      <c r="AE2407">
        <v>3.3328000000000202</v>
      </c>
      <c r="AF2407">
        <v>-2.7574523504400399</v>
      </c>
      <c r="AG2407">
        <v>-1.1095210541078</v>
      </c>
      <c r="AH2407">
        <v>67.559419068343104</v>
      </c>
      <c r="AI2407">
        <v>90.940095248706001</v>
      </c>
      <c r="AJ2407">
        <v>92.337242394084996</v>
      </c>
      <c r="AK2407">
        <v>67.624771240178305</v>
      </c>
      <c r="AL2407">
        <v>80.194208958073304</v>
      </c>
      <c r="AM2407">
        <v>93.234248460798995</v>
      </c>
      <c r="AN2407">
        <v>1.0000000224216401</v>
      </c>
    </row>
    <row r="2408" spans="1:40" x14ac:dyDescent="0.25">
      <c r="A2408" t="str">
        <f>"20190304155413685"</f>
        <v>20190304155413685</v>
      </c>
      <c r="B2408" t="str">
        <f>"1551686053679351"</f>
        <v>1551686053679351</v>
      </c>
      <c r="C2408" t="s">
        <v>40</v>
      </c>
      <c r="D2408">
        <v>4.3744170000000002</v>
      </c>
      <c r="E2408">
        <v>0.5036505</v>
      </c>
      <c r="F2408" t="s">
        <v>63</v>
      </c>
      <c r="G2408">
        <v>-355.77510000000001</v>
      </c>
      <c r="H2408" s="1">
        <v>1.3918979999999999E-6</v>
      </c>
      <c r="I2408">
        <v>217.923</v>
      </c>
      <c r="J2408">
        <v>-422.13560000000001</v>
      </c>
      <c r="K2408">
        <v>1.1095189999999999</v>
      </c>
      <c r="L2408">
        <v>214.59379999999999</v>
      </c>
      <c r="M2408">
        <v>0.9999266</v>
      </c>
      <c r="N2408">
        <v>-8.8581349999999996E-3</v>
      </c>
      <c r="O2408">
        <v>8.2730389999999994E-3</v>
      </c>
      <c r="P2408">
        <v>0.98472190000000004</v>
      </c>
      <c r="Q2408">
        <v>0.16188150000000001</v>
      </c>
      <c r="R2408">
        <v>6.4166580000000001E-2</v>
      </c>
      <c r="S2408">
        <v>3.0448</v>
      </c>
      <c r="T2408">
        <v>-5.0638320000000001E-2</v>
      </c>
      <c r="U2408">
        <v>0.15206910000000001</v>
      </c>
      <c r="V2408">
        <v>-5.5942319999999997E-2</v>
      </c>
      <c r="W2408">
        <v>0.17062720000000001</v>
      </c>
      <c r="X2408">
        <v>0.98374629999999996</v>
      </c>
      <c r="Y2408">
        <v>-4.1608369999999999E-2</v>
      </c>
      <c r="Z2408">
        <v>4.6593639999999999E-4</v>
      </c>
      <c r="AA2408">
        <v>0.99913390000000002</v>
      </c>
      <c r="AB2408">
        <v>31</v>
      </c>
      <c r="AC2408">
        <v>66.360500000000002</v>
      </c>
      <c r="AD2408">
        <v>-1.109517608102</v>
      </c>
      <c r="AE2408">
        <v>3.3292000000000099</v>
      </c>
      <c r="AF2408">
        <v>-2.7792865647701701</v>
      </c>
      <c r="AG2408">
        <v>-1.109517608102</v>
      </c>
      <c r="AH2408">
        <v>66.367266553919194</v>
      </c>
      <c r="AI2408">
        <v>90.956934110861297</v>
      </c>
      <c r="AJ2408">
        <v>92.397995402740904</v>
      </c>
      <c r="AK2408">
        <v>66.434701271028302</v>
      </c>
      <c r="AL2408">
        <v>80.175712056248102</v>
      </c>
      <c r="AM2408">
        <v>93.254711558004004</v>
      </c>
      <c r="AN2408">
        <v>0.999999983655256</v>
      </c>
    </row>
    <row r="2409" spans="1:40" x14ac:dyDescent="0.25">
      <c r="A2409" t="str">
        <f>"20190304155413706"</f>
        <v>20190304155413706</v>
      </c>
      <c r="B2409" t="str">
        <f>"1551686053698871"</f>
        <v>1551686053698871</v>
      </c>
      <c r="C2409" t="s">
        <v>40</v>
      </c>
      <c r="D2409">
        <v>4.2795909999999999</v>
      </c>
      <c r="E2409">
        <v>0.50349659999999996</v>
      </c>
      <c r="F2409" t="s">
        <v>63</v>
      </c>
      <c r="G2409">
        <v>-357.0582</v>
      </c>
      <c r="H2409" s="1">
        <v>2.0744980000000002E-6</v>
      </c>
      <c r="I2409">
        <v>217.9273</v>
      </c>
      <c r="J2409">
        <v>-421.83429999999998</v>
      </c>
      <c r="K2409">
        <v>1.1095189999999999</v>
      </c>
      <c r="L2409">
        <v>214.59610000000001</v>
      </c>
      <c r="M2409">
        <v>0.99992829999999999</v>
      </c>
      <c r="N2409">
        <v>-8.8641599999999994E-3</v>
      </c>
      <c r="O2409">
        <v>8.0758949999999996E-3</v>
      </c>
      <c r="P2409">
        <v>0.98460990000000004</v>
      </c>
      <c r="Q2409">
        <v>0.16239629999999999</v>
      </c>
      <c r="R2409">
        <v>6.45844E-2</v>
      </c>
      <c r="S2409">
        <v>3.0449830000000002</v>
      </c>
      <c r="T2409">
        <v>-5.1914450000000001E-2</v>
      </c>
      <c r="U2409">
        <v>0.15597529999999901</v>
      </c>
      <c r="V2409">
        <v>-5.6554920000000002E-2</v>
      </c>
      <c r="W2409">
        <v>0.1711473</v>
      </c>
      <c r="X2409">
        <v>0.98362090000000002</v>
      </c>
      <c r="Y2409">
        <v>-4.308012E-2</v>
      </c>
      <c r="Z2409">
        <v>4.9202079999999997E-4</v>
      </c>
      <c r="AA2409">
        <v>0.9990715</v>
      </c>
      <c r="AB2409">
        <v>31</v>
      </c>
      <c r="AC2409">
        <v>64.7760999999999</v>
      </c>
      <c r="AD2409">
        <v>-1.1095169255020001</v>
      </c>
      <c r="AE2409">
        <v>3.3311999999999902</v>
      </c>
      <c r="AF2409">
        <v>-2.8071245316750502</v>
      </c>
      <c r="AG2409">
        <v>-1.1095169255020001</v>
      </c>
      <c r="AH2409">
        <v>64.781934990508802</v>
      </c>
      <c r="AI2409">
        <v>90.980286278995806</v>
      </c>
      <c r="AJ2409">
        <v>92.481183010242802</v>
      </c>
      <c r="AK2409">
        <v>64.852217210044699</v>
      </c>
      <c r="AL2409">
        <v>80.145467468212203</v>
      </c>
      <c r="AM2409">
        <v>93.2906931544983</v>
      </c>
      <c r="AN2409">
        <v>0.99999996609515196</v>
      </c>
    </row>
    <row r="2410" spans="1:40" x14ac:dyDescent="0.25">
      <c r="A2410" t="str">
        <f>"20190304155413727"</f>
        <v>20190304155413727</v>
      </c>
      <c r="B2410" t="str">
        <f>"1551686053719368"</f>
        <v>1551686053719368</v>
      </c>
      <c r="C2410" t="s">
        <v>40</v>
      </c>
      <c r="D2410">
        <v>4.2993839999999999</v>
      </c>
      <c r="E2410">
        <v>0.50332390000000005</v>
      </c>
      <c r="F2410" t="s">
        <v>63</v>
      </c>
      <c r="G2410">
        <v>-356.12119999999999</v>
      </c>
      <c r="H2410" s="1">
        <v>1.5718689999999999E-6</v>
      </c>
      <c r="I2410">
        <v>218.0187</v>
      </c>
      <c r="J2410">
        <v>-421.54680000000002</v>
      </c>
      <c r="K2410">
        <v>1.109521</v>
      </c>
      <c r="L2410">
        <v>214.59819999999999</v>
      </c>
      <c r="M2410">
        <v>0.99992970000000003</v>
      </c>
      <c r="N2410">
        <v>-8.8699480000000008E-3</v>
      </c>
      <c r="O2410">
        <v>7.8881100000000003E-3</v>
      </c>
      <c r="P2410">
        <v>0.9845718</v>
      </c>
      <c r="Q2410">
        <v>0.16257559999999999</v>
      </c>
      <c r="R2410">
        <v>6.4714309999999997E-2</v>
      </c>
      <c r="S2410">
        <v>3.045013</v>
      </c>
      <c r="T2410">
        <v>-5.1412819999999998E-2</v>
      </c>
      <c r="U2410">
        <v>0.15859989999999999</v>
      </c>
      <c r="V2410">
        <v>-5.686919E-2</v>
      </c>
      <c r="W2410">
        <v>0.17133190000000001</v>
      </c>
      <c r="X2410">
        <v>0.98357070000000002</v>
      </c>
      <c r="Y2410">
        <v>-4.4125919999999999E-2</v>
      </c>
      <c r="Z2410">
        <v>5.0493849999999998E-4</v>
      </c>
      <c r="AA2410">
        <v>0.99902579999999996</v>
      </c>
      <c r="AB2410">
        <v>31</v>
      </c>
      <c r="AC2410">
        <v>65.425600000000003</v>
      </c>
      <c r="AD2410">
        <v>-1.1095194281309999</v>
      </c>
      <c r="AE2410">
        <v>3.4205000000000001</v>
      </c>
      <c r="AF2410">
        <v>-2.90345628997256</v>
      </c>
      <c r="AG2410">
        <v>-1.1095194281309999</v>
      </c>
      <c r="AH2410">
        <v>65.431780422510002</v>
      </c>
      <c r="AI2410">
        <v>90.970510230941798</v>
      </c>
      <c r="AJ2410">
        <v>92.540764326556499</v>
      </c>
      <c r="AK2410">
        <v>65.505564504465994</v>
      </c>
      <c r="AL2410">
        <v>80.134732669364894</v>
      </c>
      <c r="AM2410">
        <v>93.309107192918404</v>
      </c>
      <c r="AN2410">
        <v>1.0000000233136701</v>
      </c>
    </row>
    <row r="2411" spans="1:40" x14ac:dyDescent="0.25">
      <c r="A2411" t="str">
        <f>"20190304155413748"</f>
        <v>20190304155413748</v>
      </c>
      <c r="B2411" t="str">
        <f>"1551686053738887"</f>
        <v>1551686053738887</v>
      </c>
      <c r="C2411" t="s">
        <v>40</v>
      </c>
      <c r="D2411">
        <v>4.3300780000000003</v>
      </c>
      <c r="E2411">
        <v>0.50315670000000001</v>
      </c>
      <c r="F2411" t="s">
        <v>63</v>
      </c>
      <c r="G2411">
        <v>-356.8168</v>
      </c>
      <c r="H2411" s="1">
        <v>1.942983E-6</v>
      </c>
      <c r="I2411">
        <v>217.99719999999999</v>
      </c>
      <c r="J2411">
        <v>-421.25240000000002</v>
      </c>
      <c r="K2411">
        <v>1.1095219999999999</v>
      </c>
      <c r="L2411">
        <v>214.6003</v>
      </c>
      <c r="M2411">
        <v>0.99993120000000002</v>
      </c>
      <c r="N2411">
        <v>-8.875895E-3</v>
      </c>
      <c r="O2411">
        <v>7.696334E-3</v>
      </c>
      <c r="P2411">
        <v>0.98448250000000004</v>
      </c>
      <c r="Q2411">
        <v>0.1630434</v>
      </c>
      <c r="R2411">
        <v>6.4894999999999994E-2</v>
      </c>
      <c r="S2411">
        <v>3.0450740000000001</v>
      </c>
      <c r="T2411">
        <v>-5.2194709999999998E-2</v>
      </c>
      <c r="U2411">
        <v>0.15989690000000001</v>
      </c>
      <c r="V2411">
        <v>-5.7239610000000003E-2</v>
      </c>
      <c r="W2411">
        <v>0.1718045</v>
      </c>
      <c r="X2411">
        <v>0.98346670000000003</v>
      </c>
      <c r="Y2411">
        <v>-4.4740469999999997E-2</v>
      </c>
      <c r="Z2411">
        <v>5.183233E-4</v>
      </c>
      <c r="AA2411">
        <v>0.99899850000000001</v>
      </c>
      <c r="AB2411">
        <v>31</v>
      </c>
      <c r="AC2411">
        <v>64.435599999999994</v>
      </c>
      <c r="AD2411">
        <v>-1.1095200570169901</v>
      </c>
      <c r="AE2411">
        <v>3.39689999999998</v>
      </c>
      <c r="AF2411">
        <v>-2.9000045984663001</v>
      </c>
      <c r="AG2411">
        <v>-1.1095200570169901</v>
      </c>
      <c r="AH2411">
        <v>64.4407826792158</v>
      </c>
      <c r="AI2411">
        <v>90.985405156242393</v>
      </c>
      <c r="AJ2411">
        <v>92.576722123688299</v>
      </c>
      <c r="AK2411">
        <v>64.515544899953895</v>
      </c>
      <c r="AL2411">
        <v>80.107246448885604</v>
      </c>
      <c r="AM2411">
        <v>93.330964257318698</v>
      </c>
      <c r="AN2411">
        <v>0.99999995459104496</v>
      </c>
    </row>
    <row r="2412" spans="1:40" x14ac:dyDescent="0.25">
      <c r="A2412" t="str">
        <f>"20190304155413771"</f>
        <v>20190304155413771</v>
      </c>
      <c r="B2412" t="str">
        <f>"1551686053769143"</f>
        <v>1551686053769143</v>
      </c>
      <c r="C2412" t="s">
        <v>40</v>
      </c>
      <c r="D2412">
        <v>4.3362910000000001</v>
      </c>
      <c r="E2412">
        <v>0.50300290000000003</v>
      </c>
      <c r="F2412" t="s">
        <v>63</v>
      </c>
      <c r="G2412">
        <v>-356.24709999999999</v>
      </c>
      <c r="H2412" s="1">
        <v>1.637707E-6</v>
      </c>
      <c r="I2412">
        <v>218.04580000000001</v>
      </c>
      <c r="J2412">
        <v>-420.93669999999997</v>
      </c>
      <c r="K2412">
        <v>1.1095219999999999</v>
      </c>
      <c r="L2412">
        <v>214.6026</v>
      </c>
      <c r="M2412">
        <v>0.99993259999999995</v>
      </c>
      <c r="N2412">
        <v>-8.882236E-3</v>
      </c>
      <c r="O2412">
        <v>7.4927630000000004E-3</v>
      </c>
      <c r="P2412">
        <v>0.98453380000000001</v>
      </c>
      <c r="Q2412">
        <v>0.16281209999999999</v>
      </c>
      <c r="R2412">
        <v>6.4698240000000004E-2</v>
      </c>
      <c r="S2412">
        <v>3.045258</v>
      </c>
      <c r="T2412">
        <v>-5.1976920000000003E-2</v>
      </c>
      <c r="U2412">
        <v>0.16140750000000001</v>
      </c>
      <c r="V2412">
        <v>-5.7243299999999997E-2</v>
      </c>
      <c r="W2412">
        <v>0.17157999999999901</v>
      </c>
      <c r="X2412">
        <v>0.98350570000000004</v>
      </c>
      <c r="Y2412">
        <v>-4.5434769999999999E-2</v>
      </c>
      <c r="Z2412">
        <v>5.2811989999999897E-4</v>
      </c>
      <c r="AA2412">
        <v>0.99896719999999894</v>
      </c>
      <c r="AB2412">
        <v>31</v>
      </c>
      <c r="AC2412">
        <v>64.689599999999899</v>
      </c>
      <c r="AD2412">
        <v>-1.1095203622930001</v>
      </c>
      <c r="AE2412">
        <v>3.4432000000000098</v>
      </c>
      <c r="AF2412">
        <v>-2.9575128732035099</v>
      </c>
      <c r="AG2412">
        <v>-1.1095203622930001</v>
      </c>
      <c r="AH2412">
        <v>64.694606452567598</v>
      </c>
      <c r="AI2412">
        <v>90.981508387695996</v>
      </c>
      <c r="AJ2412">
        <v>92.617453265971804</v>
      </c>
      <c r="AK2412">
        <v>64.771676077449996</v>
      </c>
      <c r="AL2412">
        <v>80.120303459301397</v>
      </c>
      <c r="AM2412">
        <v>93.331046709878606</v>
      </c>
      <c r="AN2412">
        <v>0.99999997686368902</v>
      </c>
    </row>
    <row r="2413" spans="1:40" x14ac:dyDescent="0.25">
      <c r="A2413" t="str">
        <f>"20190304155413793"</f>
        <v>20190304155413793</v>
      </c>
      <c r="B2413" t="str">
        <f>"1551686053788662"</f>
        <v>1551686053788662</v>
      </c>
      <c r="C2413" t="s">
        <v>40</v>
      </c>
      <c r="D2413">
        <v>4.353917</v>
      </c>
      <c r="E2413">
        <v>0.50294659999999902</v>
      </c>
      <c r="F2413" t="s">
        <v>63</v>
      </c>
      <c r="G2413">
        <v>-359.01850000000002</v>
      </c>
      <c r="H2413" s="1">
        <v>3.1186929999999999E-6</v>
      </c>
      <c r="I2413">
        <v>217.904</v>
      </c>
      <c r="J2413">
        <v>-420.62920000000003</v>
      </c>
      <c r="K2413">
        <v>1.109521</v>
      </c>
      <c r="L2413">
        <v>214.6046</v>
      </c>
      <c r="M2413">
        <v>0.99993390000000004</v>
      </c>
      <c r="N2413">
        <v>-8.8884380000000002E-3</v>
      </c>
      <c r="O2413">
        <v>7.29874699999999E-3</v>
      </c>
      <c r="P2413">
        <v>0.98464569999999996</v>
      </c>
      <c r="Q2413">
        <v>0.1621919</v>
      </c>
      <c r="R2413">
        <v>6.4550679999999999E-2</v>
      </c>
      <c r="S2413">
        <v>3.045471</v>
      </c>
      <c r="T2413">
        <v>-5.457211E-2</v>
      </c>
      <c r="U2413">
        <v>0.162384</v>
      </c>
      <c r="V2413">
        <v>-5.7287009999999999E-2</v>
      </c>
      <c r="W2413">
        <v>0.17096639999999999</v>
      </c>
      <c r="X2413">
        <v>0.98360999999999998</v>
      </c>
      <c r="Y2413">
        <v>-4.5943400000000002E-2</v>
      </c>
      <c r="Z2413">
        <v>5.4981729999999996E-4</v>
      </c>
      <c r="AA2413">
        <v>0.9989439</v>
      </c>
      <c r="AB2413">
        <v>31</v>
      </c>
      <c r="AC2413">
        <v>61.610700000000001</v>
      </c>
      <c r="AD2413">
        <v>-1.1095178813069999</v>
      </c>
      <c r="AE2413">
        <v>3.2994000000000199</v>
      </c>
      <c r="AF2413">
        <v>-2.84869224247816</v>
      </c>
      <c r="AG2413">
        <v>-1.1095178813069999</v>
      </c>
      <c r="AH2413">
        <v>61.613216774121703</v>
      </c>
      <c r="AI2413">
        <v>91.030558193417306</v>
      </c>
      <c r="AJ2413">
        <v>92.647189958559196</v>
      </c>
      <c r="AK2413">
        <v>61.6890148946812</v>
      </c>
      <c r="AL2413">
        <v>80.155987382033203</v>
      </c>
      <c r="AM2413">
        <v>93.333231816370102</v>
      </c>
      <c r="AN2413">
        <v>0.99999997177184896</v>
      </c>
    </row>
    <row r="2414" spans="1:40" x14ac:dyDescent="0.25">
      <c r="A2414" t="str">
        <f>"20190304155413816"</f>
        <v>20190304155413816</v>
      </c>
      <c r="B2414" t="str">
        <f>"1551686053809159"</f>
        <v>1551686053809159</v>
      </c>
      <c r="C2414" t="s">
        <v>40</v>
      </c>
      <c r="D2414">
        <v>4.3269840000000004</v>
      </c>
      <c r="E2414">
        <v>0.50285360000000001</v>
      </c>
      <c r="F2414" t="s">
        <v>63</v>
      </c>
      <c r="G2414">
        <v>-361.75990000000002</v>
      </c>
      <c r="H2414" s="1">
        <v>-6.002289E-7</v>
      </c>
      <c r="I2414">
        <v>217.73689999999999</v>
      </c>
      <c r="J2414">
        <v>-420.31229999999999</v>
      </c>
      <c r="K2414">
        <v>1.1095170000000001</v>
      </c>
      <c r="L2414">
        <v>214.60679999999999</v>
      </c>
      <c r="M2414">
        <v>0.99993529999999997</v>
      </c>
      <c r="N2414">
        <v>-8.8949240000000002E-3</v>
      </c>
      <c r="O2414">
        <v>7.105948E-3</v>
      </c>
      <c r="P2414">
        <v>0.98464850000000004</v>
      </c>
      <c r="Q2414">
        <v>0.1621138</v>
      </c>
      <c r="R2414">
        <v>6.4707410000000007E-2</v>
      </c>
      <c r="S2414">
        <v>3.0456539999999999</v>
      </c>
      <c r="T2414">
        <v>-5.7402130000000003E-2</v>
      </c>
      <c r="U2414">
        <v>0.16204830000000001</v>
      </c>
      <c r="V2414">
        <v>-5.7635289999999999E-2</v>
      </c>
      <c r="W2414">
        <v>0.17089409999999999</v>
      </c>
      <c r="X2414">
        <v>0.98360219999999998</v>
      </c>
      <c r="Y2414">
        <v>-4.602208E-2</v>
      </c>
      <c r="Z2414">
        <v>5.6755629999999998E-4</v>
      </c>
      <c r="AA2414">
        <v>0.9989403</v>
      </c>
      <c r="AB2414">
        <v>31</v>
      </c>
      <c r="AC2414">
        <v>58.552399999999899</v>
      </c>
      <c r="AD2414">
        <v>-1.10951760022889</v>
      </c>
      <c r="AE2414">
        <v>3.1300999999999899</v>
      </c>
      <c r="AF2414">
        <v>-2.7129628741196901</v>
      </c>
      <c r="AG2414">
        <v>-1.10951760022889</v>
      </c>
      <c r="AH2414">
        <v>58.552200362327</v>
      </c>
      <c r="AI2414">
        <v>91.084416367484096</v>
      </c>
      <c r="AJ2414">
        <v>92.652850421987594</v>
      </c>
      <c r="AK2414">
        <v>58.625518028684802</v>
      </c>
      <c r="AL2414">
        <v>80.160191564982199</v>
      </c>
      <c r="AM2414">
        <v>93.353476834071003</v>
      </c>
      <c r="AN2414">
        <v>0.99999995395651498</v>
      </c>
    </row>
    <row r="2415" spans="1:40" x14ac:dyDescent="0.25">
      <c r="A2415" t="str">
        <f>"20190304155413837"</f>
        <v>20190304155413837</v>
      </c>
      <c r="B2415" t="str">
        <f>"1551686053828679"</f>
        <v>1551686053828679</v>
      </c>
      <c r="C2415" t="s">
        <v>40</v>
      </c>
      <c r="D2415">
        <v>4.3726529999999997</v>
      </c>
      <c r="E2415">
        <v>0.502691</v>
      </c>
      <c r="F2415" t="s">
        <v>63</v>
      </c>
      <c r="G2415">
        <v>-362.69600000000003</v>
      </c>
      <c r="H2415" s="1">
        <v>-1.021211E-7</v>
      </c>
      <c r="I2415">
        <v>217.69800000000001</v>
      </c>
      <c r="J2415">
        <v>-420.01350000000002</v>
      </c>
      <c r="K2415">
        <v>1.1095159999999999</v>
      </c>
      <c r="L2415">
        <v>214.6087</v>
      </c>
      <c r="M2415">
        <v>0.9999363</v>
      </c>
      <c r="N2415">
        <v>-8.9012199999999996E-3</v>
      </c>
      <c r="O2415">
        <v>6.9336110000000001E-3</v>
      </c>
      <c r="P2415">
        <v>0.98476430000000004</v>
      </c>
      <c r="Q2415">
        <v>0.161377399999999</v>
      </c>
      <c r="R2415">
        <v>6.4781729999999996E-2</v>
      </c>
      <c r="S2415">
        <v>3.0456539999999999</v>
      </c>
      <c r="T2415">
        <v>-5.8650140000000003E-2</v>
      </c>
      <c r="U2415">
        <v>0.16340639999999901</v>
      </c>
      <c r="V2415">
        <v>-5.7881429999999998E-2</v>
      </c>
      <c r="W2415">
        <v>0.17016439999999999</v>
      </c>
      <c r="X2415">
        <v>0.98371430000000004</v>
      </c>
      <c r="Y2415">
        <v>-4.66378E-2</v>
      </c>
      <c r="Z2415">
        <v>5.8470500000000003E-4</v>
      </c>
      <c r="AA2415">
        <v>0.99891169999999996</v>
      </c>
      <c r="AB2415">
        <v>31</v>
      </c>
      <c r="AC2415">
        <v>57.317500000000003</v>
      </c>
      <c r="AD2415">
        <v>-1.1095161021211</v>
      </c>
      <c r="AE2415">
        <v>3.08929999999997</v>
      </c>
      <c r="AF2415">
        <v>-2.6907873845044699</v>
      </c>
      <c r="AG2415">
        <v>-1.1095161021211</v>
      </c>
      <c r="AH2415">
        <v>57.316128368543602</v>
      </c>
      <c r="AI2415">
        <v>91.107763923495796</v>
      </c>
      <c r="AJ2415">
        <v>92.687858587204602</v>
      </c>
      <c r="AK2415">
        <v>57.389981128145102</v>
      </c>
      <c r="AL2415">
        <v>80.202622280319503</v>
      </c>
      <c r="AM2415">
        <v>93.367382563841602</v>
      </c>
      <c r="AN2415">
        <v>1.00000000349534</v>
      </c>
    </row>
    <row r="2416" spans="1:40" x14ac:dyDescent="0.25">
      <c r="A2416" t="str">
        <f>"20190304155413859"</f>
        <v>20190304155413859</v>
      </c>
      <c r="B2416" t="str">
        <f>"1551686053849175"</f>
        <v>1551686053849175</v>
      </c>
      <c r="C2416" t="s">
        <v>40</v>
      </c>
      <c r="D2416">
        <v>4.2970759999999997</v>
      </c>
      <c r="E2416">
        <v>0.50288080000000002</v>
      </c>
      <c r="F2416" t="s">
        <v>63</v>
      </c>
      <c r="G2416">
        <v>-364.17360000000002</v>
      </c>
      <c r="H2416" s="1">
        <v>6.8416359999999898E-7</v>
      </c>
      <c r="I2416">
        <v>217.6275</v>
      </c>
      <c r="J2416">
        <v>-419.69830000000002</v>
      </c>
      <c r="K2416">
        <v>1.1095170000000001</v>
      </c>
      <c r="L2416">
        <v>214.61070000000001</v>
      </c>
      <c r="M2416">
        <v>0.99993750000000003</v>
      </c>
      <c r="N2416">
        <v>-8.9077889999999993E-3</v>
      </c>
      <c r="O2416">
        <v>6.7633260000000001E-3</v>
      </c>
      <c r="P2416">
        <v>0.98492389999999996</v>
      </c>
      <c r="Q2416">
        <v>0.1603358</v>
      </c>
      <c r="R2416">
        <v>6.4942520000000004E-2</v>
      </c>
      <c r="S2416">
        <v>3.0455019999999999</v>
      </c>
      <c r="T2416">
        <v>-6.0512780000000002E-2</v>
      </c>
      <c r="U2416">
        <v>0.16464229999999899</v>
      </c>
      <c r="V2416">
        <v>-5.821233E-2</v>
      </c>
      <c r="W2416">
        <v>0.16912959999999999</v>
      </c>
      <c r="X2416">
        <v>0.9838732</v>
      </c>
      <c r="Y2416">
        <v>-4.7213980000000003E-2</v>
      </c>
      <c r="Z2416">
        <v>6.0508299999999997E-4</v>
      </c>
      <c r="AA2416">
        <v>0.99888460000000001</v>
      </c>
      <c r="AB2416">
        <v>31</v>
      </c>
      <c r="AC2416">
        <v>55.524700000000003</v>
      </c>
      <c r="AD2416">
        <v>-1.1095163158363901</v>
      </c>
      <c r="AE2416">
        <v>3.0167999999999799</v>
      </c>
      <c r="AF2416">
        <v>-2.6401333746917701</v>
      </c>
      <c r="AG2416">
        <v>-1.1095163158363901</v>
      </c>
      <c r="AH2416">
        <v>55.521730022532303</v>
      </c>
      <c r="AI2416">
        <v>91.143523835778197</v>
      </c>
      <c r="AJ2416">
        <v>92.722441131607297</v>
      </c>
      <c r="AK2416">
        <v>55.595537908956601</v>
      </c>
      <c r="AL2416">
        <v>80.262783827620595</v>
      </c>
      <c r="AM2416">
        <v>93.386043060882699</v>
      </c>
      <c r="AN2416">
        <v>0.99999998531921397</v>
      </c>
    </row>
    <row r="2417" spans="1:40" x14ac:dyDescent="0.25">
      <c r="A2417" t="str">
        <f>"20190304155413950"</f>
        <v>20190304155413950</v>
      </c>
      <c r="B2417" t="str">
        <f>"1551686053938967"</f>
        <v>1551686053938967</v>
      </c>
      <c r="C2417" t="s">
        <v>40</v>
      </c>
      <c r="D2417">
        <v>4.1598499999999996</v>
      </c>
      <c r="E2417">
        <v>0.54511419999999999</v>
      </c>
      <c r="F2417" t="s">
        <v>63</v>
      </c>
      <c r="G2417">
        <v>-367.34769999999997</v>
      </c>
      <c r="H2417" s="1">
        <v>2.3733109999999999E-6</v>
      </c>
      <c r="I2417">
        <v>217.42150000000001</v>
      </c>
      <c r="J2417">
        <v>-418.43610000000001</v>
      </c>
      <c r="K2417">
        <v>1.109542</v>
      </c>
      <c r="L2417">
        <v>214.61840000000001</v>
      </c>
      <c r="M2417">
        <v>0.99994099999999997</v>
      </c>
      <c r="N2417">
        <v>-8.9339309999999904E-3</v>
      </c>
      <c r="O2417">
        <v>6.2143060000000002E-3</v>
      </c>
      <c r="P2417">
        <v>0.98550420000000005</v>
      </c>
      <c r="Q2417">
        <v>0.15698309999999999</v>
      </c>
      <c r="R2417">
        <v>6.4331109999999997E-2</v>
      </c>
      <c r="S2417">
        <v>3.0456850000000002</v>
      </c>
      <c r="T2417">
        <v>-6.4550040000000003E-2</v>
      </c>
      <c r="U2417">
        <v>0.16352839999999999</v>
      </c>
      <c r="V2417">
        <v>-5.815464E-2</v>
      </c>
      <c r="W2417">
        <v>0.1658027</v>
      </c>
      <c r="X2417">
        <v>0.9844427</v>
      </c>
      <c r="Y2417">
        <v>-4.7393339999999999E-2</v>
      </c>
      <c r="Z2417">
        <v>6.3759109999999999E-4</v>
      </c>
      <c r="AA2417">
        <v>0.99887610000000004</v>
      </c>
      <c r="AB2417">
        <v>31</v>
      </c>
      <c r="AC2417">
        <v>51.0884</v>
      </c>
      <c r="AD2417">
        <v>-1.1095396266890001</v>
      </c>
      <c r="AE2417">
        <v>2.8031000000000001</v>
      </c>
      <c r="AF2417">
        <v>-2.4843860179889701</v>
      </c>
      <c r="AG2417">
        <v>-1.1095396266890001</v>
      </c>
      <c r="AH2417">
        <v>51.080812342791802</v>
      </c>
      <c r="AI2417">
        <v>91.242872197004502</v>
      </c>
      <c r="AJ2417">
        <v>92.784465383770893</v>
      </c>
      <c r="AK2417">
        <v>51.153227089491402</v>
      </c>
      <c r="AL2417">
        <v>80.456131540688901</v>
      </c>
      <c r="AM2417">
        <v>93.380742847775394</v>
      </c>
      <c r="AN2417">
        <v>0.999999963532054</v>
      </c>
    </row>
    <row r="2418" spans="1:40" x14ac:dyDescent="0.25">
      <c r="A2418" t="str">
        <f>"20190304155413972"</f>
        <v>20190304155413972</v>
      </c>
      <c r="B2418" t="str">
        <f>"1551686053969223"</f>
        <v>1551686053969223</v>
      </c>
      <c r="C2418" t="s">
        <v>40</v>
      </c>
      <c r="D2418">
        <v>4.4729729999999996</v>
      </c>
      <c r="E2418">
        <v>0.54554329999999995</v>
      </c>
      <c r="F2418" t="s">
        <v>48</v>
      </c>
      <c r="G2418">
        <v>-417.5548</v>
      </c>
      <c r="H2418">
        <v>1.023523</v>
      </c>
      <c r="I2418">
        <v>214.56780000000001</v>
      </c>
      <c r="J2418">
        <v>-418.12549999999999</v>
      </c>
      <c r="K2418">
        <v>1.109551</v>
      </c>
      <c r="L2418">
        <v>214.62020000000001</v>
      </c>
      <c r="M2418">
        <v>0.99994150000000004</v>
      </c>
      <c r="N2418">
        <v>-8.9403599999999996E-3</v>
      </c>
      <c r="O2418">
        <v>6.103776E-3</v>
      </c>
      <c r="P2418">
        <v>0.98548880000000005</v>
      </c>
      <c r="Q2418">
        <v>0.15730720000000001</v>
      </c>
      <c r="R2418">
        <v>6.377128E-2</v>
      </c>
      <c r="S2418">
        <v>3.1039729999999999</v>
      </c>
      <c r="T2418">
        <v>-0.30298900000000001</v>
      </c>
      <c r="U2418">
        <v>-0.1777802</v>
      </c>
      <c r="V2418">
        <v>-5.7706380000000002E-2</v>
      </c>
      <c r="W2418">
        <v>0.1661319</v>
      </c>
      <c r="X2418">
        <v>0.9844136</v>
      </c>
      <c r="Y2418">
        <v>6.2924789999999994E-2</v>
      </c>
      <c r="Z2418">
        <v>-3.8831529999999999E-3</v>
      </c>
      <c r="AA2418">
        <v>0.99801070000000003</v>
      </c>
      <c r="AB2418">
        <v>31</v>
      </c>
      <c r="AC2418">
        <v>0.570699999999987</v>
      </c>
      <c r="AD2418">
        <v>-8.6027999999999993E-2</v>
      </c>
      <c r="AE2418">
        <v>-5.2400000000005699E-2</v>
      </c>
      <c r="AF2418">
        <v>5.4651136513308697E-2</v>
      </c>
      <c r="AG2418">
        <v>-8.6027999999999993E-2</v>
      </c>
      <c r="AH2418">
        <v>0.55780062564016197</v>
      </c>
      <c r="AI2418">
        <v>98.726349935319703</v>
      </c>
      <c r="AJ2418">
        <v>84.404241845289903</v>
      </c>
      <c r="AK2418">
        <v>0.56703536174629598</v>
      </c>
      <c r="AL2418">
        <v>80.437004710210402</v>
      </c>
      <c r="AM2418">
        <v>93.354842537019607</v>
      </c>
      <c r="AN2418">
        <v>0.999999985177637</v>
      </c>
    </row>
    <row r="2419" spans="1:40" x14ac:dyDescent="0.25">
      <c r="A2419" t="str">
        <f>"20190304155413994"</f>
        <v>20190304155413994</v>
      </c>
      <c r="B2419" t="str">
        <f>"1551686053988743"</f>
        <v>1551686053988743</v>
      </c>
      <c r="C2419" t="s">
        <v>40</v>
      </c>
      <c r="D2419">
        <v>4.5197459999999996</v>
      </c>
      <c r="E2419">
        <v>0.54066939999999997</v>
      </c>
      <c r="F2419" t="s">
        <v>48</v>
      </c>
      <c r="G2419">
        <v>-417.255</v>
      </c>
      <c r="H2419">
        <v>1.053585</v>
      </c>
      <c r="I2419">
        <v>214.56909999999999</v>
      </c>
      <c r="J2419">
        <v>-417.8159</v>
      </c>
      <c r="K2419">
        <v>1.1095569999999999</v>
      </c>
      <c r="L2419">
        <v>214.62200000000001</v>
      </c>
      <c r="M2419">
        <v>0.99994209999999994</v>
      </c>
      <c r="N2419">
        <v>-8.9467629999999999E-3</v>
      </c>
      <c r="O2419">
        <v>5.9984110000000004E-3</v>
      </c>
      <c r="P2419">
        <v>0.98554779999999997</v>
      </c>
      <c r="Q2419">
        <v>0.15712200000000001</v>
      </c>
      <c r="R2419">
        <v>6.3310259999999993E-2</v>
      </c>
      <c r="S2419">
        <v>3.0875849999999998</v>
      </c>
      <c r="T2419">
        <v>-0.19861110000000001</v>
      </c>
      <c r="U2419">
        <v>-0.18092349999999999</v>
      </c>
      <c r="V2419">
        <v>-5.7350440000000003E-2</v>
      </c>
      <c r="W2419">
        <v>0.16595270000000001</v>
      </c>
      <c r="X2419">
        <v>0.98446460000000002</v>
      </c>
      <c r="Y2419">
        <v>6.4323889999999995E-2</v>
      </c>
      <c r="Z2419">
        <v>-2.6848419999999998E-3</v>
      </c>
      <c r="AA2419">
        <v>0.99792550000000002</v>
      </c>
      <c r="AB2419">
        <v>32</v>
      </c>
      <c r="AC2419">
        <v>0.56090000000000295</v>
      </c>
      <c r="AD2419">
        <v>-5.5971999999999897E-2</v>
      </c>
      <c r="AE2419">
        <v>-5.2900000000022297E-2</v>
      </c>
      <c r="AF2419">
        <v>5.5713786410415599E-2</v>
      </c>
      <c r="AG2419">
        <v>-5.5971999999999897E-2</v>
      </c>
      <c r="AH2419">
        <v>0.55509370765007804</v>
      </c>
      <c r="AI2419">
        <v>95.7292756943352</v>
      </c>
      <c r="AJ2419">
        <v>84.268517112958705</v>
      </c>
      <c r="AK2419">
        <v>0.56068343568621304</v>
      </c>
      <c r="AL2419">
        <v>80.447416404474396</v>
      </c>
      <c r="AM2419">
        <v>93.334023950033298</v>
      </c>
      <c r="AN2419">
        <v>0.99999996012932102</v>
      </c>
    </row>
    <row r="2420" spans="1:40" x14ac:dyDescent="0.25">
      <c r="A2420" t="str">
        <f>"20190304155414017"</f>
        <v>20190304155414017</v>
      </c>
      <c r="B2420" t="str">
        <f>"1551686054009239"</f>
        <v>1551686054009239</v>
      </c>
      <c r="C2420" t="s">
        <v>40</v>
      </c>
      <c r="D2420">
        <v>4.4775609999999997</v>
      </c>
      <c r="E2420">
        <v>0.53776480000000004</v>
      </c>
      <c r="F2420" t="s">
        <v>63</v>
      </c>
      <c r="G2420">
        <v>-398.87459999999999</v>
      </c>
      <c r="H2420" s="1">
        <v>3.185844E-6</v>
      </c>
      <c r="I2420">
        <v>213.74100000000001</v>
      </c>
      <c r="J2420">
        <v>-417.49560000000002</v>
      </c>
      <c r="K2420">
        <v>1.1095569999999999</v>
      </c>
      <c r="L2420">
        <v>214.62379999999999</v>
      </c>
      <c r="M2420">
        <v>0.99994260000000001</v>
      </c>
      <c r="N2420">
        <v>-8.9533960000000006E-3</v>
      </c>
      <c r="O2420">
        <v>5.8923140000000001E-3</v>
      </c>
      <c r="P2420">
        <v>0.98557220000000001</v>
      </c>
      <c r="Q2420">
        <v>0.15717120000000001</v>
      </c>
      <c r="R2420">
        <v>6.2808920000000004E-2</v>
      </c>
      <c r="S2420">
        <v>3.0819700000000001</v>
      </c>
      <c r="T2420">
        <v>-0.1805377</v>
      </c>
      <c r="U2420">
        <v>-0.1433411</v>
      </c>
      <c r="V2420">
        <v>-5.6954640000000001E-2</v>
      </c>
      <c r="W2420">
        <v>0.16600819999999999</v>
      </c>
      <c r="X2420">
        <v>0.98447819999999997</v>
      </c>
      <c r="Y2420">
        <v>5.2234419999999997E-2</v>
      </c>
      <c r="Z2420">
        <v>-2.05398E-3</v>
      </c>
      <c r="AA2420">
        <v>0.99863270000000004</v>
      </c>
      <c r="AB2420">
        <v>32</v>
      </c>
      <c r="AC2420">
        <v>18.620999999999999</v>
      </c>
      <c r="AD2420">
        <v>-1.109553814156</v>
      </c>
      <c r="AE2420">
        <v>-0.88280000000000303</v>
      </c>
      <c r="AF2420">
        <v>0.98900624396601</v>
      </c>
      <c r="AG2420">
        <v>-1.109553814156</v>
      </c>
      <c r="AH2420">
        <v>18.549761357586</v>
      </c>
      <c r="AI2420">
        <v>93.418224649646803</v>
      </c>
      <c r="AJ2420">
        <v>86.948085720373598</v>
      </c>
      <c r="AK2420">
        <v>18.609215175296999</v>
      </c>
      <c r="AL2420">
        <v>80.444191564359599</v>
      </c>
      <c r="AM2420">
        <v>93.3110201521352</v>
      </c>
      <c r="AN2420">
        <v>0.99999993988000202</v>
      </c>
    </row>
    <row r="2421" spans="1:40" x14ac:dyDescent="0.25">
      <c r="A2421" t="str">
        <f>"20190304155414039"</f>
        <v>20190304155414039</v>
      </c>
      <c r="B2421" t="str">
        <f>"1551686054028759"</f>
        <v>1551686054028759</v>
      </c>
      <c r="C2421" t="s">
        <v>40</v>
      </c>
      <c r="D2421">
        <v>4.4788480000000002</v>
      </c>
      <c r="E2421">
        <v>0.53531779999999995</v>
      </c>
      <c r="F2421" t="s">
        <v>63</v>
      </c>
      <c r="G2421">
        <v>-397.00220000000002</v>
      </c>
      <c r="H2421" s="1">
        <v>2.1894190000000001E-6</v>
      </c>
      <c r="I2421">
        <v>213.81309999999999</v>
      </c>
      <c r="J2421">
        <v>-417.17860000000002</v>
      </c>
      <c r="K2421">
        <v>1.1095569999999999</v>
      </c>
      <c r="L2421">
        <v>214.62559999999999</v>
      </c>
      <c r="M2421">
        <v>0.99994320000000003</v>
      </c>
      <c r="N2421">
        <v>-8.9637969999999904E-3</v>
      </c>
      <c r="O2421">
        <v>5.7883939999999997E-3</v>
      </c>
      <c r="P2421">
        <v>0.98557360000000005</v>
      </c>
      <c r="Q2421">
        <v>0.15723500000000001</v>
      </c>
      <c r="R2421">
        <v>6.2626589999999996E-2</v>
      </c>
      <c r="S2421">
        <v>3.0782470000000002</v>
      </c>
      <c r="T2421">
        <v>-0.16666230000000001</v>
      </c>
      <c r="U2421">
        <v>-0.121780399999999</v>
      </c>
      <c r="V2421">
        <v>-5.6875059999999998E-2</v>
      </c>
      <c r="W2421">
        <v>0.16608200000000001</v>
      </c>
      <c r="X2421">
        <v>0.98447039999999997</v>
      </c>
      <c r="Y2421">
        <v>4.5231100000000003E-2</v>
      </c>
      <c r="Z2421">
        <v>-1.6872720000000001E-3</v>
      </c>
      <c r="AA2421">
        <v>0.9989751</v>
      </c>
      <c r="AB2421">
        <v>32</v>
      </c>
      <c r="AC2421">
        <v>20.176400000000001</v>
      </c>
      <c r="AD2421">
        <v>-1.10955481058099</v>
      </c>
      <c r="AE2421">
        <v>-0.8125</v>
      </c>
      <c r="AF2421">
        <v>0.92648268666149503</v>
      </c>
      <c r="AG2421">
        <v>-1.10955481058099</v>
      </c>
      <c r="AH2421">
        <v>20.1106386237668</v>
      </c>
      <c r="AI2421">
        <v>93.154612329831906</v>
      </c>
      <c r="AJ2421">
        <v>87.362289581365303</v>
      </c>
      <c r="AK2421">
        <v>20.162521367678899</v>
      </c>
      <c r="AL2421">
        <v>80.439904054244906</v>
      </c>
      <c r="AM2421">
        <v>93.306430231667804</v>
      </c>
      <c r="AN2421">
        <v>0.99999998582508098</v>
      </c>
    </row>
    <row r="2422" spans="1:40" x14ac:dyDescent="0.25">
      <c r="A2422" t="str">
        <f>"20190304155414062"</f>
        <v>20190304155414062</v>
      </c>
      <c r="B2422" t="str">
        <f>"1551686054059014"</f>
        <v>1551686054059014</v>
      </c>
      <c r="C2422" t="s">
        <v>40</v>
      </c>
      <c r="D2422">
        <v>4.5292969999999997</v>
      </c>
      <c r="E2422">
        <v>0.53292499999999998</v>
      </c>
      <c r="F2422" t="s">
        <v>63</v>
      </c>
      <c r="G2422">
        <v>-395.26589999999999</v>
      </c>
      <c r="H2422" s="1">
        <v>1.265477E-6</v>
      </c>
      <c r="I2422">
        <v>213.89340000000001</v>
      </c>
      <c r="J2422">
        <v>-416.85399999999998</v>
      </c>
      <c r="K2422">
        <v>1.1095600000000001</v>
      </c>
      <c r="L2422">
        <v>214.62729999999999</v>
      </c>
      <c r="M2422">
        <v>0.99994349999999999</v>
      </c>
      <c r="N2422">
        <v>-8.9788100000000003E-3</v>
      </c>
      <c r="O2422">
        <v>5.6825959999999998E-3</v>
      </c>
      <c r="P2422">
        <v>0.98556379999999999</v>
      </c>
      <c r="Q2422">
        <v>0.1572414</v>
      </c>
      <c r="R2422">
        <v>6.2762960000000007E-2</v>
      </c>
      <c r="S2422">
        <v>3.0752869999999999</v>
      </c>
      <c r="T2422">
        <v>-0.15571779999999999</v>
      </c>
      <c r="U2422">
        <v>-0.1027527</v>
      </c>
      <c r="V2422">
        <v>-5.7116140000000003E-2</v>
      </c>
      <c r="W2422">
        <v>0.16610320000000001</v>
      </c>
      <c r="X2422">
        <v>0.98445289999999996</v>
      </c>
      <c r="Y2422">
        <v>3.9009160000000001E-2</v>
      </c>
      <c r="Z2422">
        <v>-1.3985229999999901E-3</v>
      </c>
      <c r="AA2422">
        <v>0.99923790000000001</v>
      </c>
      <c r="AB2422">
        <v>32</v>
      </c>
      <c r="AC2422">
        <v>21.588100000000001</v>
      </c>
      <c r="AD2422">
        <v>-1.109558734523</v>
      </c>
      <c r="AE2422">
        <v>-0.73389999999997702</v>
      </c>
      <c r="AF2422">
        <v>0.85431537200909002</v>
      </c>
      <c r="AG2422">
        <v>-1.109558734523</v>
      </c>
      <c r="AH2422">
        <v>21.5267806685011</v>
      </c>
      <c r="AI2422">
        <v>92.948278842183001</v>
      </c>
      <c r="AJ2422">
        <v>87.727342871842197</v>
      </c>
      <c r="AK2422">
        <v>21.572279927952899</v>
      </c>
      <c r="AL2422">
        <v>80.438672598595005</v>
      </c>
      <c r="AM2422">
        <v>93.320473011924506</v>
      </c>
      <c r="AN2422">
        <v>1.0000000194085701</v>
      </c>
    </row>
    <row r="2423" spans="1:40" x14ac:dyDescent="0.25">
      <c r="A2423" t="str">
        <f>"20190304155414083"</f>
        <v>20190304155414083</v>
      </c>
      <c r="B2423" t="str">
        <f>"1551686054079510"</f>
        <v>1551686054079510</v>
      </c>
      <c r="C2423" t="s">
        <v>40</v>
      </c>
      <c r="D2423">
        <v>4.4767729999999997</v>
      </c>
      <c r="E2423">
        <v>0.53184489999999995</v>
      </c>
      <c r="F2423" t="s">
        <v>63</v>
      </c>
      <c r="G2423">
        <v>-392.96210000000002</v>
      </c>
      <c r="H2423" s="1">
        <v>3.9500859999999999E-8</v>
      </c>
      <c r="I2423">
        <v>213.98169999999999</v>
      </c>
      <c r="J2423">
        <v>-416.55439999999999</v>
      </c>
      <c r="K2423">
        <v>1.1095600000000001</v>
      </c>
      <c r="L2423">
        <v>214.62899999999999</v>
      </c>
      <c r="M2423">
        <v>0.99994400000000006</v>
      </c>
      <c r="N2423">
        <v>-8.9937929999999999E-3</v>
      </c>
      <c r="O2423">
        <v>5.5838889999999999E-3</v>
      </c>
      <c r="P2423">
        <v>0.98557360000000005</v>
      </c>
      <c r="Q2423">
        <v>0.15713849999999999</v>
      </c>
      <c r="R2423">
        <v>6.2867939999999997E-2</v>
      </c>
      <c r="S2423">
        <v>3.0720209999999999</v>
      </c>
      <c r="T2423">
        <v>-0.14266719999999999</v>
      </c>
      <c r="U2423">
        <v>-8.3023070000000004E-2</v>
      </c>
      <c r="V2423">
        <v>-5.7318380000000002E-2</v>
      </c>
      <c r="W2423">
        <v>0.16601479999999999</v>
      </c>
      <c r="X2423">
        <v>0.98445609999999995</v>
      </c>
      <c r="Y2423">
        <v>3.2551570000000002E-2</v>
      </c>
      <c r="Z2423">
        <v>-1.110768E-3</v>
      </c>
      <c r="AA2423">
        <v>0.99946950000000001</v>
      </c>
      <c r="AB2423">
        <v>32</v>
      </c>
      <c r="AC2423">
        <v>23.592299999999899</v>
      </c>
      <c r="AD2423">
        <v>-1.10955996049914</v>
      </c>
      <c r="AE2423">
        <v>-0.64730000000002896</v>
      </c>
      <c r="AF2423">
        <v>0.77731398613940095</v>
      </c>
      <c r="AG2423">
        <v>-1.10955996049914</v>
      </c>
      <c r="AH2423">
        <v>23.536297331572399</v>
      </c>
      <c r="AI2423">
        <v>92.697599541176501</v>
      </c>
      <c r="AJ2423">
        <v>88.108426818365899</v>
      </c>
      <c r="AK2423">
        <v>23.575254662870002</v>
      </c>
      <c r="AL2423">
        <v>80.443809265769104</v>
      </c>
      <c r="AM2423">
        <v>93.332193073104804</v>
      </c>
      <c r="AN2423">
        <v>1.0000000616660301</v>
      </c>
    </row>
    <row r="2424" spans="1:40" x14ac:dyDescent="0.25">
      <c r="A2424" t="str">
        <f>"20190304155414108"</f>
        <v>20190304155414108</v>
      </c>
      <c r="B2424" t="str">
        <f>"1551686054099031"</f>
        <v>1551686054099031</v>
      </c>
      <c r="C2424" t="s">
        <v>40</v>
      </c>
      <c r="D2424">
        <v>4.4597509999999998</v>
      </c>
      <c r="E2424">
        <v>0.53107329999999997</v>
      </c>
      <c r="F2424" t="s">
        <v>63</v>
      </c>
      <c r="G2424">
        <v>-391.78609999999998</v>
      </c>
      <c r="H2424" s="1">
        <v>-5.8631130000000002E-7</v>
      </c>
      <c r="I2424">
        <v>214.0341</v>
      </c>
      <c r="J2424">
        <v>-416.19869999999997</v>
      </c>
      <c r="K2424">
        <v>1.1095649999999999</v>
      </c>
      <c r="L2424">
        <v>214.63079999999999</v>
      </c>
      <c r="M2424">
        <v>0.99994450000000001</v>
      </c>
      <c r="N2424">
        <v>-9.0125250000000004E-3</v>
      </c>
      <c r="O2424">
        <v>5.4666250000000001E-3</v>
      </c>
      <c r="P2424">
        <v>0.98556410000000005</v>
      </c>
      <c r="Q2424">
        <v>0.15707279999999901</v>
      </c>
      <c r="R2424">
        <v>6.3179440000000003E-2</v>
      </c>
      <c r="S2424">
        <v>3.070557</v>
      </c>
      <c r="T2424">
        <v>-0.1375537</v>
      </c>
      <c r="U2424">
        <v>-7.3745729999999995E-2</v>
      </c>
      <c r="V2424">
        <v>-5.774555E-2</v>
      </c>
      <c r="W2424">
        <v>0.16596729999999901</v>
      </c>
      <c r="X2424">
        <v>0.98443910000000001</v>
      </c>
      <c r="Y2424">
        <v>2.94361E-2</v>
      </c>
      <c r="Z2424">
        <v>-9.8715249999999999E-4</v>
      </c>
      <c r="AA2424">
        <v>0.99956619999999996</v>
      </c>
      <c r="AB2424">
        <v>32</v>
      </c>
      <c r="AC2424">
        <v>24.412600000000001</v>
      </c>
      <c r="AD2424">
        <v>-1.1095655863113001</v>
      </c>
      <c r="AE2424">
        <v>-0.59669999999999801</v>
      </c>
      <c r="AF2424">
        <v>0.72864672188169299</v>
      </c>
      <c r="AG2424">
        <v>-1.1095655863113001</v>
      </c>
      <c r="AH2424">
        <v>24.358684204849101</v>
      </c>
      <c r="AI2424">
        <v>92.606920177755299</v>
      </c>
      <c r="AJ2424">
        <v>88.286609568579294</v>
      </c>
      <c r="AK2424">
        <v>24.394826460280399</v>
      </c>
      <c r="AL2424">
        <v>80.446568674865702</v>
      </c>
      <c r="AM2424">
        <v>93.357027773433202</v>
      </c>
      <c r="AN2424">
        <v>1.0000000174114501</v>
      </c>
    </row>
    <row r="2425" spans="1:40" x14ac:dyDescent="0.25">
      <c r="A2425" t="str">
        <f>"20190304155414130"</f>
        <v>20190304155414130</v>
      </c>
      <c r="B2425" t="str">
        <f>"1551686054119527"</f>
        <v>1551686054119527</v>
      </c>
      <c r="C2425" t="s">
        <v>40</v>
      </c>
      <c r="D2425">
        <v>4.4698699999999896</v>
      </c>
      <c r="E2425">
        <v>0.53030659999999996</v>
      </c>
      <c r="F2425" t="s">
        <v>63</v>
      </c>
      <c r="G2425">
        <v>-390.64400000000001</v>
      </c>
      <c r="H2425" s="1">
        <v>-1.194095E-6</v>
      </c>
      <c r="I2425">
        <v>214.0762</v>
      </c>
      <c r="J2425">
        <v>-415.87900000000002</v>
      </c>
      <c r="K2425">
        <v>1.109567</v>
      </c>
      <c r="L2425">
        <v>214.63249999999999</v>
      </c>
      <c r="M2425">
        <v>0.99994490000000003</v>
      </c>
      <c r="N2425">
        <v>-9.0339370000000006E-3</v>
      </c>
      <c r="O2425">
        <v>5.3606110000000004E-3</v>
      </c>
      <c r="P2425">
        <v>0.98562369999999999</v>
      </c>
      <c r="Q2425">
        <v>0.1568898</v>
      </c>
      <c r="R2425">
        <v>6.2702900000000006E-2</v>
      </c>
      <c r="S2425">
        <v>3.069458</v>
      </c>
      <c r="T2425">
        <v>-0.13327339999999999</v>
      </c>
      <c r="U2425">
        <v>-6.6619869999999998E-2</v>
      </c>
      <c r="V2425">
        <v>-5.737395E-2</v>
      </c>
      <c r="W2425">
        <v>0.16580549999999999</v>
      </c>
      <c r="X2425">
        <v>0.98448809999999998</v>
      </c>
      <c r="Y2425">
        <v>2.7024340000000001E-2</v>
      </c>
      <c r="Z2425">
        <v>-8.9271119999999999E-4</v>
      </c>
      <c r="AA2425">
        <v>0.99963440000000003</v>
      </c>
      <c r="AB2425">
        <v>32</v>
      </c>
      <c r="AC2425">
        <v>25.234999999999999</v>
      </c>
      <c r="AD2425">
        <v>-1.109568194095</v>
      </c>
      <c r="AE2425">
        <v>-0.55629999999999302</v>
      </c>
      <c r="AF2425">
        <v>0.69023873815292502</v>
      </c>
      <c r="AG2425">
        <v>-1.109568194095</v>
      </c>
      <c r="AH2425">
        <v>25.182992291226899</v>
      </c>
      <c r="AI2425">
        <v>92.521887116110406</v>
      </c>
      <c r="AJ2425">
        <v>88.429977377260997</v>
      </c>
      <c r="AK2425">
        <v>25.2168727607725</v>
      </c>
      <c r="AL2425">
        <v>80.4559694674399</v>
      </c>
      <c r="AM2425">
        <v>93.335308164006506</v>
      </c>
      <c r="AN2425">
        <v>1.00000002650523</v>
      </c>
    </row>
    <row r="2426" spans="1:40" x14ac:dyDescent="0.25">
      <c r="A2426" t="str">
        <f>"20190304155414150"</f>
        <v>20190304155414150</v>
      </c>
      <c r="B2426" t="str">
        <f>"1551686054139051"</f>
        <v>1551686054139051</v>
      </c>
      <c r="C2426" t="s">
        <v>40</v>
      </c>
      <c r="D2426">
        <v>4.5060289999999998</v>
      </c>
      <c r="E2426">
        <v>0.52967759999999997</v>
      </c>
      <c r="F2426" t="s">
        <v>63</v>
      </c>
      <c r="G2426">
        <v>-389.798</v>
      </c>
      <c r="H2426" s="1">
        <v>3.6996460000000001E-6</v>
      </c>
      <c r="I2426">
        <v>214.10319999999999</v>
      </c>
      <c r="J2426">
        <v>-415.58179999999999</v>
      </c>
      <c r="K2426">
        <v>1.1095729999999999</v>
      </c>
      <c r="L2426">
        <v>214.63390000000001</v>
      </c>
      <c r="M2426">
        <v>0.99994519999999998</v>
      </c>
      <c r="N2426">
        <v>-9.0556720000000007E-3</v>
      </c>
      <c r="O2426">
        <v>5.2618059999999999E-3</v>
      </c>
      <c r="P2426">
        <v>0.98563350000000005</v>
      </c>
      <c r="Q2426">
        <v>0.156897799999999</v>
      </c>
      <c r="R2426">
        <v>6.2529580000000001E-2</v>
      </c>
      <c r="S2426">
        <v>3.0685419999999999</v>
      </c>
      <c r="T2426">
        <v>-0.13054479999999999</v>
      </c>
      <c r="U2426">
        <v>-6.2271119999999999E-2</v>
      </c>
      <c r="V2426">
        <v>-5.7297609999999999E-2</v>
      </c>
      <c r="W2426">
        <v>0.1658356</v>
      </c>
      <c r="X2426">
        <v>0.98448749999999996</v>
      </c>
      <c r="Y2426">
        <v>2.5518929999999999E-2</v>
      </c>
      <c r="Z2426">
        <v>-8.3424979999999996E-4</v>
      </c>
      <c r="AA2426">
        <v>0.99967399999999995</v>
      </c>
      <c r="AB2426">
        <v>32</v>
      </c>
      <c r="AC2426">
        <v>25.7837999999999</v>
      </c>
      <c r="AD2426">
        <v>-1.1095693003539999</v>
      </c>
      <c r="AE2426">
        <v>-0.53070000000002404</v>
      </c>
      <c r="AF2426">
        <v>0.66513632573829995</v>
      </c>
      <c r="AG2426">
        <v>-1.1095693003539999</v>
      </c>
      <c r="AH2426">
        <v>25.733015964494001</v>
      </c>
      <c r="AI2426">
        <v>92.468155946151796</v>
      </c>
      <c r="AJ2426">
        <v>88.519372126388205</v>
      </c>
      <c r="AK2426">
        <v>25.765513016297799</v>
      </c>
      <c r="AL2426">
        <v>80.454220880201305</v>
      </c>
      <c r="AM2426">
        <v>93.330882330601796</v>
      </c>
      <c r="AN2426">
        <v>1.00000004999765</v>
      </c>
    </row>
    <row r="2427" spans="1:40" x14ac:dyDescent="0.25">
      <c r="A2427" t="str">
        <f>"20190304155414174"</f>
        <v>20190304155414174</v>
      </c>
      <c r="B2427" t="str">
        <f>"1551686054169303"</f>
        <v>1551686054169303</v>
      </c>
      <c r="C2427" t="s">
        <v>40</v>
      </c>
      <c r="D2427">
        <v>4.4966429999999997</v>
      </c>
      <c r="E2427">
        <v>0.52898420000000002</v>
      </c>
      <c r="F2427" t="s">
        <v>63</v>
      </c>
      <c r="G2427">
        <v>-389.12920000000003</v>
      </c>
      <c r="H2427" s="1">
        <v>3.3422980000000001E-6</v>
      </c>
      <c r="I2427">
        <v>214.13570000000001</v>
      </c>
      <c r="J2427">
        <v>-415.24520000000001</v>
      </c>
      <c r="K2427">
        <v>1.1095660000000001</v>
      </c>
      <c r="L2427">
        <v>214.63560000000001</v>
      </c>
      <c r="M2427">
        <v>0.99994559999999999</v>
      </c>
      <c r="N2427">
        <v>-9.0797970000000006E-3</v>
      </c>
      <c r="O2427">
        <v>5.1498769999999998E-3</v>
      </c>
      <c r="P2427">
        <v>0.98567660000000001</v>
      </c>
      <c r="Q2427">
        <v>0.15678829999999999</v>
      </c>
      <c r="R2427">
        <v>6.212239E-2</v>
      </c>
      <c r="S2427">
        <v>3.067841</v>
      </c>
      <c r="T2427">
        <v>-0.12868189999999999</v>
      </c>
      <c r="U2427">
        <v>-5.7785030000000001E-2</v>
      </c>
      <c r="V2427">
        <v>-5.7000349999999998E-2</v>
      </c>
      <c r="W2427">
        <v>0.16575010000000001</v>
      </c>
      <c r="X2427">
        <v>0.98451909999999998</v>
      </c>
      <c r="Y2427">
        <v>2.3952919999999999E-2</v>
      </c>
      <c r="Z2427">
        <v>-7.8006789999999896E-4</v>
      </c>
      <c r="AA2427">
        <v>0.99971279999999996</v>
      </c>
      <c r="AB2427">
        <v>32</v>
      </c>
      <c r="AC2427">
        <v>26.1159999999999</v>
      </c>
      <c r="AD2427">
        <v>-1.1095626577019999</v>
      </c>
      <c r="AE2427">
        <v>-0.49989999999999601</v>
      </c>
      <c r="AF2427">
        <v>0.63325045831298898</v>
      </c>
      <c r="AG2427">
        <v>-1.1095626577019999</v>
      </c>
      <c r="AH2427">
        <v>26.066045722586502</v>
      </c>
      <c r="AI2427">
        <v>92.436740256390195</v>
      </c>
      <c r="AJ2427">
        <v>88.608325807019199</v>
      </c>
      <c r="AK2427">
        <v>26.097334634906499</v>
      </c>
      <c r="AL2427">
        <v>80.459187905563297</v>
      </c>
      <c r="AM2427">
        <v>93.313534199893795</v>
      </c>
      <c r="AN2427">
        <v>0.99999999690747099</v>
      </c>
    </row>
    <row r="2428" spans="1:40" x14ac:dyDescent="0.25">
      <c r="A2428" t="str">
        <f>"20190304155414195"</f>
        <v>20190304155414195</v>
      </c>
      <c r="B2428" t="str">
        <f>"1551686054188823"</f>
        <v>1551686054188823</v>
      </c>
      <c r="C2428" t="s">
        <v>40</v>
      </c>
      <c r="D2428">
        <v>4.4614560000000001</v>
      </c>
      <c r="E2428">
        <v>0.52857279999999995</v>
      </c>
      <c r="F2428" t="s">
        <v>63</v>
      </c>
      <c r="G2428">
        <v>-388.53269999999998</v>
      </c>
      <c r="H2428" s="1">
        <v>3.0234690000000001E-6</v>
      </c>
      <c r="I2428">
        <v>214.1686</v>
      </c>
      <c r="J2428">
        <v>-414.94060000000002</v>
      </c>
      <c r="K2428">
        <v>1.1095660000000001</v>
      </c>
      <c r="L2428">
        <v>214.6371</v>
      </c>
      <c r="M2428">
        <v>0.9999458</v>
      </c>
      <c r="N2428">
        <v>-9.1006330000000003E-3</v>
      </c>
      <c r="O2428">
        <v>5.0486890000000003E-3</v>
      </c>
      <c r="P2428">
        <v>0.98569110000000004</v>
      </c>
      <c r="Q2428">
        <v>0.1567634</v>
      </c>
      <c r="R2428">
        <v>6.195664E-2</v>
      </c>
      <c r="S2428">
        <v>3.0672000000000001</v>
      </c>
      <c r="T2428">
        <v>-0.12740299999999999</v>
      </c>
      <c r="U2428">
        <v>-5.3619380000000001E-2</v>
      </c>
      <c r="V2428">
        <v>-5.6934659999999998E-2</v>
      </c>
      <c r="W2428">
        <v>0.16574529999999901</v>
      </c>
      <c r="X2428">
        <v>0.9845237</v>
      </c>
      <c r="Y2428">
        <v>2.2500470000000002E-2</v>
      </c>
      <c r="Z2428">
        <v>-7.3319070000000001E-4</v>
      </c>
      <c r="AA2428">
        <v>0.99974660000000004</v>
      </c>
      <c r="AB2428">
        <v>32</v>
      </c>
      <c r="AC2428">
        <v>26.407900000000001</v>
      </c>
      <c r="AD2428">
        <v>-1.109562976531</v>
      </c>
      <c r="AE2428">
        <v>-0.46850000000000502</v>
      </c>
      <c r="AF2428">
        <v>0.600764590890288</v>
      </c>
      <c r="AG2428">
        <v>-1.109562976531</v>
      </c>
      <c r="AH2428">
        <v>26.358679773833099</v>
      </c>
      <c r="AI2428">
        <v>92.4098054021389</v>
      </c>
      <c r="AJ2428">
        <v>88.694345945779702</v>
      </c>
      <c r="AK2428">
        <v>26.3888621867643</v>
      </c>
      <c r="AL2428">
        <v>80.459466696149306</v>
      </c>
      <c r="AM2428">
        <v>93.309708584978694</v>
      </c>
      <c r="AN2428">
        <v>0.99999998792154698</v>
      </c>
    </row>
    <row r="2429" spans="1:40" x14ac:dyDescent="0.25">
      <c r="A2429" t="str">
        <f>"20190304155414218"</f>
        <v>20190304155414218</v>
      </c>
      <c r="B2429" t="str">
        <f>"1551686054209320"</f>
        <v>1551686054209320</v>
      </c>
      <c r="C2429" t="s">
        <v>40</v>
      </c>
      <c r="D2429">
        <v>4.4803350000000002</v>
      </c>
      <c r="E2429">
        <v>0.52821859999999998</v>
      </c>
      <c r="F2429" t="s">
        <v>63</v>
      </c>
      <c r="G2429">
        <v>-388.12819999999999</v>
      </c>
      <c r="H2429" s="1">
        <v>2.807347E-6</v>
      </c>
      <c r="I2429">
        <v>214.18870000000001</v>
      </c>
      <c r="J2429">
        <v>-414.6241</v>
      </c>
      <c r="K2429">
        <v>1.1095710000000001</v>
      </c>
      <c r="L2429">
        <v>214.6386</v>
      </c>
      <c r="M2429">
        <v>0.99994620000000001</v>
      </c>
      <c r="N2429">
        <v>-9.1247180000000004E-3</v>
      </c>
      <c r="O2429">
        <v>4.9433139999999999E-3</v>
      </c>
      <c r="P2429">
        <v>0.98563999999999996</v>
      </c>
      <c r="Q2429">
        <v>0.15709500000000001</v>
      </c>
      <c r="R2429">
        <v>6.1930640000000002E-2</v>
      </c>
      <c r="S2429">
        <v>3.0669559999999998</v>
      </c>
      <c r="T2429">
        <v>-0.12691820000000001</v>
      </c>
      <c r="U2429">
        <v>-5.1284789999999997E-2</v>
      </c>
      <c r="V2429">
        <v>-5.7012889999999997E-2</v>
      </c>
      <c r="W2429">
        <v>0.16610039999999901</v>
      </c>
      <c r="X2429">
        <v>0.98445930000000004</v>
      </c>
      <c r="Y2429">
        <v>2.1636840000000001E-2</v>
      </c>
      <c r="Z2429">
        <v>-7.0562330000000005E-4</v>
      </c>
      <c r="AA2429">
        <v>0.99976560000000003</v>
      </c>
      <c r="AB2429">
        <v>32</v>
      </c>
      <c r="AC2429">
        <v>26.495899999999999</v>
      </c>
      <c r="AD2429">
        <v>-1.1095681926530001</v>
      </c>
      <c r="AE2429">
        <v>-0.44989999999998498</v>
      </c>
      <c r="AF2429">
        <v>0.57986090434125703</v>
      </c>
      <c r="AG2429">
        <v>-1.1095681926530001</v>
      </c>
      <c r="AH2429">
        <v>26.446985936448399</v>
      </c>
      <c r="AI2429">
        <v>92.401826261692506</v>
      </c>
      <c r="AJ2429">
        <v>88.743968013844096</v>
      </c>
      <c r="AK2429">
        <v>26.476601847012599</v>
      </c>
      <c r="AL2429">
        <v>80.438834741682399</v>
      </c>
      <c r="AM2429">
        <v>93.314462420796701</v>
      </c>
      <c r="AN2429">
        <v>0.99999996293140003</v>
      </c>
    </row>
    <row r="2430" spans="1:40" x14ac:dyDescent="0.25">
      <c r="A2430" t="str">
        <f>"20190304155414240"</f>
        <v>20190304155414240</v>
      </c>
      <c r="B2430" t="str">
        <f>"1551686054229816"</f>
        <v>1551686054229816</v>
      </c>
      <c r="C2430" t="s">
        <v>40</v>
      </c>
      <c r="D2430">
        <v>4.5109690000000002</v>
      </c>
      <c r="E2430">
        <v>0.52794379999999996</v>
      </c>
      <c r="F2430" t="s">
        <v>63</v>
      </c>
      <c r="G2430">
        <v>-387.5498</v>
      </c>
      <c r="H2430" s="1">
        <v>2.498619E-6</v>
      </c>
      <c r="I2430">
        <v>214.20949999999999</v>
      </c>
      <c r="J2430">
        <v>-414.30070000000001</v>
      </c>
      <c r="K2430">
        <v>1.109578</v>
      </c>
      <c r="L2430">
        <v>214.64009999999999</v>
      </c>
      <c r="M2430">
        <v>0.99994649999999996</v>
      </c>
      <c r="N2430">
        <v>-9.1523760000000003E-3</v>
      </c>
      <c r="O2430">
        <v>4.835893E-3</v>
      </c>
      <c r="P2430">
        <v>0.9856298</v>
      </c>
      <c r="Q2430">
        <v>0.15723509999999999</v>
      </c>
      <c r="R2430">
        <v>6.1736729999999997E-2</v>
      </c>
      <c r="S2430">
        <v>3.0667719999999998</v>
      </c>
      <c r="T2430">
        <v>-0.12568370000000001</v>
      </c>
      <c r="U2430">
        <v>-4.8599240000000002E-2</v>
      </c>
      <c r="V2430">
        <v>-5.6924420000000003E-2</v>
      </c>
      <c r="W2430">
        <v>0.16626729999999901</v>
      </c>
      <c r="X2430">
        <v>0.98443630000000004</v>
      </c>
      <c r="Y2430">
        <v>2.0656689999999998E-2</v>
      </c>
      <c r="Z2430">
        <v>-6.7151020000000001E-4</v>
      </c>
      <c r="AA2430">
        <v>0.99978639999999996</v>
      </c>
      <c r="AB2430">
        <v>32</v>
      </c>
      <c r="AC2430">
        <v>26.750900000000001</v>
      </c>
      <c r="AD2430">
        <v>-1.109575501381</v>
      </c>
      <c r="AE2430">
        <v>-0.43059999999999798</v>
      </c>
      <c r="AF2430">
        <v>0.55900338624312695</v>
      </c>
      <c r="AG2430">
        <v>-1.109575501381</v>
      </c>
      <c r="AH2430">
        <v>26.702576747859201</v>
      </c>
      <c r="AI2430">
        <v>92.378929171381301</v>
      </c>
      <c r="AJ2430">
        <v>88.800720340367107</v>
      </c>
      <c r="AK2430">
        <v>26.7314654958235</v>
      </c>
      <c r="AL2430">
        <v>80.429137749179901</v>
      </c>
      <c r="AM2430">
        <v>93.309407775434806</v>
      </c>
      <c r="AN2430">
        <v>1.0000000166996501</v>
      </c>
    </row>
    <row r="2431" spans="1:40" x14ac:dyDescent="0.25">
      <c r="A2431" t="str">
        <f>"20190304155414262"</f>
        <v>20190304155414262</v>
      </c>
      <c r="B2431" t="str">
        <f>"1551686054259095"</f>
        <v>1551686054259095</v>
      </c>
      <c r="C2431" t="s">
        <v>40</v>
      </c>
      <c r="D2431">
        <v>4.5205029999999997</v>
      </c>
      <c r="E2431">
        <v>0.52755980000000002</v>
      </c>
      <c r="F2431" t="s">
        <v>63</v>
      </c>
      <c r="G2431">
        <v>-387.0822</v>
      </c>
      <c r="H2431" s="1">
        <v>2.2489490000000001E-6</v>
      </c>
      <c r="I2431">
        <v>214.22810000000001</v>
      </c>
      <c r="J2431">
        <v>-413.98070000000001</v>
      </c>
      <c r="K2431">
        <v>1.1095790000000001</v>
      </c>
      <c r="L2431">
        <v>214.64150000000001</v>
      </c>
      <c r="M2431">
        <v>0.99994680000000002</v>
      </c>
      <c r="N2431">
        <v>-9.1799069999999993E-3</v>
      </c>
      <c r="O2431">
        <v>4.7303199999999997E-3</v>
      </c>
      <c r="P2431">
        <v>0.98567000000000005</v>
      </c>
      <c r="Q2431">
        <v>0.1569941</v>
      </c>
      <c r="R2431">
        <v>6.1705469999999998E-2</v>
      </c>
      <c r="S2431">
        <v>3.0665589999999998</v>
      </c>
      <c r="T2431">
        <v>-0.1250098</v>
      </c>
      <c r="U2431">
        <v>-4.6417239999999999E-2</v>
      </c>
      <c r="V2431">
        <v>-5.6996909999999998E-2</v>
      </c>
      <c r="W2431">
        <v>0.16605429999999999</v>
      </c>
      <c r="X2431">
        <v>0.98446800000000001</v>
      </c>
      <c r="Y2431">
        <v>1.984211E-2</v>
      </c>
      <c r="Z2431">
        <v>-6.4470930000000003E-4</v>
      </c>
      <c r="AA2431">
        <v>0.99980290000000005</v>
      </c>
      <c r="AB2431">
        <v>32</v>
      </c>
      <c r="AC2431">
        <v>26.898499999999999</v>
      </c>
      <c r="AD2431">
        <v>-1.109576751051</v>
      </c>
      <c r="AE2431">
        <v>-0.41339999999999499</v>
      </c>
      <c r="AF2431">
        <v>0.53972105791356495</v>
      </c>
      <c r="AG2431">
        <v>-1.109576751051</v>
      </c>
      <c r="AH2431">
        <v>26.850565189484399</v>
      </c>
      <c r="AI2431">
        <v>92.365875564334402</v>
      </c>
      <c r="AJ2431">
        <v>88.848457205912695</v>
      </c>
      <c r="AK2431">
        <v>26.878900840279599</v>
      </c>
      <c r="AL2431">
        <v>80.441513252828898</v>
      </c>
      <c r="AM2431">
        <v>93.313506271407704</v>
      </c>
      <c r="AN2431">
        <v>0.99999996066101804</v>
      </c>
    </row>
    <row r="2432" spans="1:40" x14ac:dyDescent="0.25">
      <c r="A2432" t="str">
        <f>"20190304155414284"</f>
        <v>20190304155414284</v>
      </c>
      <c r="B2432" t="str">
        <f>"1551686054278614"</f>
        <v>1551686054278614</v>
      </c>
      <c r="C2432" t="s">
        <v>40</v>
      </c>
      <c r="D2432">
        <v>4.4385529999999997</v>
      </c>
      <c r="E2432">
        <v>0.52698480000000003</v>
      </c>
      <c r="F2432" t="s">
        <v>63</v>
      </c>
      <c r="G2432">
        <v>-386.93830000000003</v>
      </c>
      <c r="H2432" s="1">
        <v>2.171352E-6</v>
      </c>
      <c r="I2432">
        <v>214.25239999999999</v>
      </c>
      <c r="J2432">
        <v>-413.66910000000001</v>
      </c>
      <c r="K2432">
        <v>1.109585</v>
      </c>
      <c r="L2432">
        <v>214.6429</v>
      </c>
      <c r="M2432">
        <v>0.99994709999999998</v>
      </c>
      <c r="N2432">
        <v>-9.2100540000000005E-3</v>
      </c>
      <c r="O2432">
        <v>4.6268799999999999E-3</v>
      </c>
      <c r="P2432">
        <v>0.98562110000000003</v>
      </c>
      <c r="Q2432">
        <v>0.15722179999999999</v>
      </c>
      <c r="R2432">
        <v>6.1908480000000002E-2</v>
      </c>
      <c r="S2432">
        <v>3.0664370000000001</v>
      </c>
      <c r="T2432">
        <v>-0.12581909999999999</v>
      </c>
      <c r="U2432">
        <v>-4.4128420000000002E-2</v>
      </c>
      <c r="V2432">
        <v>-5.7301869999999998E-2</v>
      </c>
      <c r="W2432">
        <v>0.16631099999999999</v>
      </c>
      <c r="X2432">
        <v>0.98440700000000003</v>
      </c>
      <c r="Y2432">
        <v>1.899383E-2</v>
      </c>
      <c r="Z2432">
        <v>-6.2416139999999995E-4</v>
      </c>
      <c r="AA2432">
        <v>0.99981940000000002</v>
      </c>
      <c r="AB2432">
        <v>32</v>
      </c>
      <c r="AC2432">
        <v>26.730799999999899</v>
      </c>
      <c r="AD2432">
        <v>-1.1095828286480001</v>
      </c>
      <c r="AE2432">
        <v>-0.39050000000000201</v>
      </c>
      <c r="AF2432">
        <v>0.51329699965466102</v>
      </c>
      <c r="AG2432">
        <v>-1.1095828286480001</v>
      </c>
      <c r="AH2432">
        <v>26.682741334446</v>
      </c>
      <c r="AI2432">
        <v>92.380792330556602</v>
      </c>
      <c r="AJ2432">
        <v>88.897934648997307</v>
      </c>
      <c r="AK2432">
        <v>26.7107344149208</v>
      </c>
      <c r="AL2432">
        <v>80.426598383661499</v>
      </c>
      <c r="AM2432">
        <v>93.331401209549895</v>
      </c>
      <c r="AN2432">
        <v>0.99999999733774803</v>
      </c>
    </row>
    <row r="2433" spans="1:40" x14ac:dyDescent="0.25">
      <c r="A2433" t="str">
        <f>"20190304155414308"</f>
        <v>20190304155414308</v>
      </c>
      <c r="B2433" t="str">
        <f>"1551686054299111"</f>
        <v>1551686054299111</v>
      </c>
      <c r="C2433" t="s">
        <v>40</v>
      </c>
      <c r="D2433">
        <v>4.4636940000000003</v>
      </c>
      <c r="E2433">
        <v>0.49517099999999997</v>
      </c>
      <c r="F2433" t="s">
        <v>63</v>
      </c>
      <c r="G2433">
        <v>-386.18310000000002</v>
      </c>
      <c r="H2433" s="1">
        <v>1.767737E-6</v>
      </c>
      <c r="I2433">
        <v>214.29159999999999</v>
      </c>
      <c r="J2433">
        <v>-413.32350000000002</v>
      </c>
      <c r="K2433">
        <v>1.1095820000000001</v>
      </c>
      <c r="L2433">
        <v>214.64439999999999</v>
      </c>
      <c r="M2433">
        <v>0.99994709999999998</v>
      </c>
      <c r="N2433">
        <v>-9.2452609999999994E-3</v>
      </c>
      <c r="O2433">
        <v>4.512332E-3</v>
      </c>
      <c r="P2433">
        <v>0.9856258</v>
      </c>
      <c r="Q2433">
        <v>0.15715119999999999</v>
      </c>
      <c r="R2433">
        <v>6.2010820000000001E-2</v>
      </c>
      <c r="S2433">
        <v>3.0660099999999999</v>
      </c>
      <c r="T2433">
        <v>-0.1237719</v>
      </c>
      <c r="U2433">
        <v>-3.9184570000000002E-2</v>
      </c>
      <c r="V2433">
        <v>-5.7517209999999999E-2</v>
      </c>
      <c r="W2433">
        <v>0.16627529999999999</v>
      </c>
      <c r="X2433">
        <v>0.98440050000000001</v>
      </c>
      <c r="Y2433">
        <v>1.7271829999999998E-2</v>
      </c>
      <c r="Z2433">
        <v>-5.6872800000000001E-4</v>
      </c>
      <c r="AA2433">
        <v>0.99985069999999998</v>
      </c>
      <c r="AB2433">
        <v>32</v>
      </c>
      <c r="AC2433">
        <v>27.1404</v>
      </c>
      <c r="AD2433">
        <v>-1.109580232263</v>
      </c>
      <c r="AE2433">
        <v>-0.352800000000002</v>
      </c>
      <c r="AF2433">
        <v>0.47447522305767298</v>
      </c>
      <c r="AG2433">
        <v>-1.109580232263</v>
      </c>
      <c r="AH2433">
        <v>27.093255162496899</v>
      </c>
      <c r="AI2433">
        <v>92.344828122275004</v>
      </c>
      <c r="AJ2433">
        <v>88.996700510360597</v>
      </c>
      <c r="AK2433">
        <v>27.120117446819599</v>
      </c>
      <c r="AL2433">
        <v>80.4286729889497</v>
      </c>
      <c r="AM2433">
        <v>93.343914264121295</v>
      </c>
      <c r="AN2433">
        <v>1.0000000246182601</v>
      </c>
    </row>
    <row r="2434" spans="1:40" x14ac:dyDescent="0.25">
      <c r="A2434" t="str">
        <f>"20190304155414330"</f>
        <v>20190304155414330</v>
      </c>
      <c r="B2434" t="str">
        <f>"1551686054319607"</f>
        <v>1551686054319607</v>
      </c>
      <c r="C2434" t="s">
        <v>40</v>
      </c>
      <c r="D2434">
        <v>4.6664870000000001</v>
      </c>
      <c r="E2434">
        <v>0.49317179999999999</v>
      </c>
      <c r="F2434" t="s">
        <v>63</v>
      </c>
      <c r="G2434">
        <v>-378.79669999999999</v>
      </c>
      <c r="H2434" s="1">
        <v>3.144356E-6</v>
      </c>
      <c r="I2434">
        <v>217.08519999999999</v>
      </c>
      <c r="J2434">
        <v>-412.99919999999997</v>
      </c>
      <c r="K2434">
        <v>1.109585</v>
      </c>
      <c r="L2434">
        <v>214.64570000000001</v>
      </c>
      <c r="M2434">
        <v>0.99994729999999998</v>
      </c>
      <c r="N2434">
        <v>-9.277113E-3</v>
      </c>
      <c r="O2434">
        <v>4.4047119999999999E-3</v>
      </c>
      <c r="P2434">
        <v>0.9856914</v>
      </c>
      <c r="Q2434">
        <v>0.1568213</v>
      </c>
      <c r="R2434">
        <v>6.1805199999999998E-2</v>
      </c>
      <c r="S2434">
        <v>3.0458069999999999</v>
      </c>
      <c r="T2434">
        <v>-9.7882029999999995E-2</v>
      </c>
      <c r="U2434">
        <v>0.2153168</v>
      </c>
      <c r="V2434">
        <v>-5.7417330000000003E-2</v>
      </c>
      <c r="W2434">
        <v>0.1659767</v>
      </c>
      <c r="X2434">
        <v>0.98445669999999996</v>
      </c>
      <c r="Y2434">
        <v>-6.6079620000000006E-2</v>
      </c>
      <c r="Z2434">
        <v>1.2666699999999999E-3</v>
      </c>
      <c r="AA2434">
        <v>0.99781350000000002</v>
      </c>
      <c r="AB2434">
        <v>32</v>
      </c>
      <c r="AC2434">
        <v>34.202499999999901</v>
      </c>
      <c r="AD2434">
        <v>-1.109581855644</v>
      </c>
      <c r="AE2434">
        <v>2.4394999999999798</v>
      </c>
      <c r="AF2434">
        <v>-2.28642351757542</v>
      </c>
      <c r="AG2434">
        <v>-1.109581855644</v>
      </c>
      <c r="AH2434">
        <v>34.177126157643499</v>
      </c>
      <c r="AI2434">
        <v>91.855346057560695</v>
      </c>
      <c r="AJ2434">
        <v>93.827340723944602</v>
      </c>
      <c r="AK2434">
        <v>34.271487519388103</v>
      </c>
      <c r="AL2434">
        <v>80.446022394645297</v>
      </c>
      <c r="AM2434">
        <v>93.337930486880794</v>
      </c>
      <c r="AN2434">
        <v>1.00000000445105</v>
      </c>
    </row>
    <row r="2435" spans="1:40" x14ac:dyDescent="0.25">
      <c r="A2435" t="str">
        <f>"20190304155414351"</f>
        <v>20190304155414351</v>
      </c>
      <c r="B2435" t="str">
        <f>"1551686054348887"</f>
        <v>1551686054348887</v>
      </c>
      <c r="C2435" t="s">
        <v>40</v>
      </c>
      <c r="D2435">
        <v>4.4554819999999999</v>
      </c>
      <c r="E2435">
        <v>0.49380639999999998</v>
      </c>
      <c r="F2435" t="s">
        <v>63</v>
      </c>
      <c r="G2435">
        <v>-377.32170000000002</v>
      </c>
      <c r="H2435" s="1">
        <v>2.359484E-6</v>
      </c>
      <c r="I2435">
        <v>217.34880000000001</v>
      </c>
      <c r="J2435">
        <v>-412.68830000000003</v>
      </c>
      <c r="K2435">
        <v>1.109585</v>
      </c>
      <c r="L2435">
        <v>214.64699999999999</v>
      </c>
      <c r="M2435">
        <v>0.99994749999999999</v>
      </c>
      <c r="N2435">
        <v>-9.3080379999999994E-3</v>
      </c>
      <c r="O2435">
        <v>4.3016269999999997E-3</v>
      </c>
      <c r="P2435">
        <v>0.98562709999999998</v>
      </c>
      <c r="Q2435">
        <v>0.15695599999999901</v>
      </c>
      <c r="R2435">
        <v>6.248331E-2</v>
      </c>
      <c r="S2435">
        <v>3.0441590000000001</v>
      </c>
      <c r="T2435">
        <v>-9.4674590000000003E-2</v>
      </c>
      <c r="U2435">
        <v>0.2306366</v>
      </c>
      <c r="V2435">
        <v>-5.8197270000000002E-2</v>
      </c>
      <c r="W2435">
        <v>0.16614179999999901</v>
      </c>
      <c r="X2435">
        <v>0.98438300000000001</v>
      </c>
      <c r="Y2435">
        <v>-7.1213410000000005E-2</v>
      </c>
      <c r="Z2435">
        <v>1.343971E-3</v>
      </c>
      <c r="AA2435">
        <v>0.99746020000000002</v>
      </c>
      <c r="AB2435">
        <v>32</v>
      </c>
      <c r="AC2435">
        <v>35.366599999999998</v>
      </c>
      <c r="AD2435">
        <v>-1.1095826405159901</v>
      </c>
      <c r="AE2435">
        <v>2.7017999999999902</v>
      </c>
      <c r="AF2435">
        <v>-2.5471418649152202</v>
      </c>
      <c r="AG2435">
        <v>-1.1095826405159901</v>
      </c>
      <c r="AH2435">
        <v>35.343308413604198</v>
      </c>
      <c r="AI2435">
        <v>91.793528505884396</v>
      </c>
      <c r="AJ2435">
        <v>94.122098466383406</v>
      </c>
      <c r="AK2435">
        <v>35.452342023275101</v>
      </c>
      <c r="AL2435">
        <v>80.436429199684397</v>
      </c>
      <c r="AM2435">
        <v>93.383420037450506</v>
      </c>
      <c r="AN2435">
        <v>0.99999995531584496</v>
      </c>
    </row>
    <row r="2436" spans="1:40" x14ac:dyDescent="0.25">
      <c r="A2436" t="str">
        <f>"20190304155414372"</f>
        <v>20190304155414372</v>
      </c>
      <c r="B2436" t="str">
        <f>"1551686054369383"</f>
        <v>1551686054369383</v>
      </c>
      <c r="C2436" t="s">
        <v>40</v>
      </c>
      <c r="D2436">
        <v>4.4613329999999998</v>
      </c>
      <c r="E2436">
        <v>0.49396830000000003</v>
      </c>
      <c r="F2436" t="s">
        <v>63</v>
      </c>
      <c r="G2436">
        <v>-376.91039999999998</v>
      </c>
      <c r="H2436" s="1">
        <v>2.1405960000000002E-6</v>
      </c>
      <c r="I2436">
        <v>217.32470000000001</v>
      </c>
      <c r="J2436">
        <v>-412.39510000000001</v>
      </c>
      <c r="K2436">
        <v>1.109586</v>
      </c>
      <c r="L2436">
        <v>214.6482</v>
      </c>
      <c r="M2436">
        <v>0.99994769999999999</v>
      </c>
      <c r="N2436">
        <v>-9.3393269999999997E-3</v>
      </c>
      <c r="O2436">
        <v>4.2042609999999999E-3</v>
      </c>
      <c r="P2436">
        <v>0.98560630000000005</v>
      </c>
      <c r="Q2436">
        <v>0.1570309</v>
      </c>
      <c r="R2436">
        <v>6.2624340000000001E-2</v>
      </c>
      <c r="S2436">
        <v>3.0443120000000001</v>
      </c>
      <c r="T2436">
        <v>-9.4413520000000001E-2</v>
      </c>
      <c r="U2436">
        <v>0.2278442</v>
      </c>
      <c r="V2436">
        <v>-5.8434199999999999E-2</v>
      </c>
      <c r="W2436">
        <v>0.16624749999999999</v>
      </c>
      <c r="X2436">
        <v>0.98435119999999998</v>
      </c>
      <c r="Y2436">
        <v>-7.0397630000000003E-2</v>
      </c>
      <c r="Z2436">
        <v>1.328178E-3</v>
      </c>
      <c r="AA2436">
        <v>0.99751809999999996</v>
      </c>
      <c r="AB2436">
        <v>32</v>
      </c>
      <c r="AC2436">
        <v>35.484699999999997</v>
      </c>
      <c r="AD2436">
        <v>-1.109583859404</v>
      </c>
      <c r="AE2436">
        <v>2.6764999999999999</v>
      </c>
      <c r="AF2436">
        <v>-2.5248281757332101</v>
      </c>
      <c r="AG2436">
        <v>-1.109583859404</v>
      </c>
      <c r="AH2436">
        <v>35.461162737479299</v>
      </c>
      <c r="AI2436">
        <v>91.787684202764694</v>
      </c>
      <c r="AJ2436">
        <v>94.0725762404157</v>
      </c>
      <c r="AK2436">
        <v>35.568244212387199</v>
      </c>
      <c r="AL2436">
        <v>80.4302884034486</v>
      </c>
      <c r="AM2436">
        <v>93.397271753956105</v>
      </c>
      <c r="AN2436">
        <v>1.00000003596366</v>
      </c>
    </row>
    <row r="2437" spans="1:40" x14ac:dyDescent="0.25">
      <c r="A2437" t="str">
        <f>"20190304155414397"</f>
        <v>20190304155414397</v>
      </c>
      <c r="B2437" t="str">
        <f>"1551686054388903"</f>
        <v>1551686054388903</v>
      </c>
      <c r="C2437" t="s">
        <v>40</v>
      </c>
      <c r="D2437">
        <v>4.4389849999999997</v>
      </c>
      <c r="E2437">
        <v>0.49405250000000001</v>
      </c>
      <c r="F2437" t="s">
        <v>63</v>
      </c>
      <c r="G2437">
        <v>-376.2833</v>
      </c>
      <c r="H2437" s="1">
        <v>1.8068800000000001E-6</v>
      </c>
      <c r="I2437">
        <v>217.33860000000001</v>
      </c>
      <c r="J2437">
        <v>-412.03559999999999</v>
      </c>
      <c r="K2437">
        <v>1.1095930000000001</v>
      </c>
      <c r="L2437">
        <v>214.64949999999999</v>
      </c>
      <c r="M2437">
        <v>0.99994769999999999</v>
      </c>
      <c r="N2437">
        <v>-9.3777989999999992E-3</v>
      </c>
      <c r="O2437">
        <v>4.0854589999999996E-3</v>
      </c>
      <c r="P2437">
        <v>0.98566220000000004</v>
      </c>
      <c r="Q2437">
        <v>0.1569306</v>
      </c>
      <c r="R2437">
        <v>6.1990440000000001E-2</v>
      </c>
      <c r="S2437">
        <v>3.0443120000000001</v>
      </c>
      <c r="T2437">
        <v>-9.354055E-2</v>
      </c>
      <c r="U2437">
        <v>0.2268066</v>
      </c>
      <c r="V2437">
        <v>-5.7917080000000003E-2</v>
      </c>
      <c r="W2437">
        <v>0.16618550000000001</v>
      </c>
      <c r="X2437">
        <v>0.98439219999999905</v>
      </c>
      <c r="Y2437">
        <v>-7.01788E-2</v>
      </c>
      <c r="Z2437">
        <v>1.3189810000000001E-3</v>
      </c>
      <c r="AA2437">
        <v>0.99753360000000002</v>
      </c>
      <c r="AB2437">
        <v>32</v>
      </c>
      <c r="AC2437">
        <v>35.752299999999899</v>
      </c>
      <c r="AD2437">
        <v>-1.10959119312</v>
      </c>
      <c r="AE2437">
        <v>2.6891000000000198</v>
      </c>
      <c r="AF2437">
        <v>-2.54057325686022</v>
      </c>
      <c r="AG2437">
        <v>-1.10959119312</v>
      </c>
      <c r="AH2437">
        <v>35.728767814409601</v>
      </c>
      <c r="AI2437">
        <v>91.774326552283</v>
      </c>
      <c r="AJ2437">
        <v>94.067297590095905</v>
      </c>
      <c r="AK2437">
        <v>35.836162666018197</v>
      </c>
      <c r="AL2437">
        <v>80.433890564927495</v>
      </c>
      <c r="AM2437">
        <v>93.367136779228403</v>
      </c>
      <c r="AN2437">
        <v>1.0000000059934</v>
      </c>
    </row>
    <row r="2438" spans="1:40" x14ac:dyDescent="0.25">
      <c r="A2438" t="str">
        <f>"20190304155414418"</f>
        <v>20190304155414418</v>
      </c>
      <c r="B2438" t="str">
        <f>"1551686054409399"</f>
        <v>1551686054409399</v>
      </c>
      <c r="C2438" t="s">
        <v>40</v>
      </c>
      <c r="D2438">
        <v>4.4882479999999996</v>
      </c>
      <c r="E2438">
        <v>0.49407980000000001</v>
      </c>
      <c r="F2438" t="s">
        <v>63</v>
      </c>
      <c r="G2438">
        <v>-376.26350000000002</v>
      </c>
      <c r="H2438" s="1">
        <v>1.7963479999999999E-6</v>
      </c>
      <c r="I2438">
        <v>217.28030000000001</v>
      </c>
      <c r="J2438">
        <v>-411.72269999999997</v>
      </c>
      <c r="K2438">
        <v>1.10959599999999</v>
      </c>
      <c r="L2438">
        <v>214.6507</v>
      </c>
      <c r="M2438">
        <v>0.9999479</v>
      </c>
      <c r="N2438">
        <v>-9.4092210000000006E-3</v>
      </c>
      <c r="O2438">
        <v>3.9818309999999999E-3</v>
      </c>
      <c r="P2438">
        <v>0.98565100000000005</v>
      </c>
      <c r="Q2438">
        <v>0.15702739999999901</v>
      </c>
      <c r="R2438">
        <v>6.1925460000000002E-2</v>
      </c>
      <c r="S2438">
        <v>3.0445859999999998</v>
      </c>
      <c r="T2438">
        <v>-9.44382E-2</v>
      </c>
      <c r="U2438">
        <v>0.22390750000000001</v>
      </c>
      <c r="V2438">
        <v>-5.7954310000000002E-2</v>
      </c>
      <c r="W2438">
        <v>0.16631290000000001</v>
      </c>
      <c r="X2438">
        <v>0.98436849999999998</v>
      </c>
      <c r="Y2438">
        <v>-6.9330550000000005E-2</v>
      </c>
      <c r="Z2438">
        <v>1.3143790000000001E-3</v>
      </c>
      <c r="AA2438">
        <v>0.9975929</v>
      </c>
      <c r="AB2438">
        <v>32</v>
      </c>
      <c r="AC2438">
        <v>35.459199999999903</v>
      </c>
      <c r="AD2438">
        <v>-1.1095942036519999</v>
      </c>
      <c r="AE2438">
        <v>2.6296000000000102</v>
      </c>
      <c r="AF2438">
        <v>-2.4859594406009098</v>
      </c>
      <c r="AG2438">
        <v>-1.1095942036519999</v>
      </c>
      <c r="AH2438">
        <v>35.434881969370402</v>
      </c>
      <c r="AI2438">
        <v>91.789157153242996</v>
      </c>
      <c r="AJ2438">
        <v>94.013051088731004</v>
      </c>
      <c r="AK2438">
        <v>35.539302945053699</v>
      </c>
      <c r="AL2438">
        <v>80.426488138160593</v>
      </c>
      <c r="AM2438">
        <v>93.369377175771902</v>
      </c>
      <c r="AN2438">
        <v>1.0000000132731099</v>
      </c>
    </row>
    <row r="2439" spans="1:40" x14ac:dyDescent="0.25">
      <c r="A2439" t="str">
        <f>"20190304155414441"</f>
        <v>20190304155414441</v>
      </c>
      <c r="B2439" t="str">
        <f>"1551686054438681"</f>
        <v>1551686054438681</v>
      </c>
      <c r="C2439" t="s">
        <v>40</v>
      </c>
      <c r="D2439">
        <v>4.4719730000000002</v>
      </c>
      <c r="E2439">
        <v>0.49410870000000001</v>
      </c>
      <c r="F2439" t="s">
        <v>63</v>
      </c>
      <c r="G2439">
        <v>-375.62290000000002</v>
      </c>
      <c r="H2439" s="1">
        <v>1.455414E-6</v>
      </c>
      <c r="I2439">
        <v>217.30109999999999</v>
      </c>
      <c r="J2439">
        <v>-411.38920000000002</v>
      </c>
      <c r="K2439">
        <v>1.10959599999999</v>
      </c>
      <c r="L2439">
        <v>214.65190000000001</v>
      </c>
      <c r="M2439">
        <v>0.99994799999999995</v>
      </c>
      <c r="N2439">
        <v>-9.4404090000000003E-3</v>
      </c>
      <c r="O2439">
        <v>3.8712920000000001E-3</v>
      </c>
      <c r="P2439">
        <v>0.98565760000000002</v>
      </c>
      <c r="Q2439">
        <v>0.15708250000000001</v>
      </c>
      <c r="R2439">
        <v>6.1679489999999997E-2</v>
      </c>
      <c r="S2439">
        <v>3.0445859999999998</v>
      </c>
      <c r="T2439">
        <v>-9.3580839999999998E-2</v>
      </c>
      <c r="U2439">
        <v>0.223526</v>
      </c>
      <c r="V2439">
        <v>-5.7817340000000002E-2</v>
      </c>
      <c r="W2439">
        <v>0.16639849999999901</v>
      </c>
      <c r="X2439">
        <v>0.98436210000000002</v>
      </c>
      <c r="Y2439">
        <v>-6.9317110000000001E-2</v>
      </c>
      <c r="Z2439">
        <v>1.309045E-3</v>
      </c>
      <c r="AA2439">
        <v>0.99759379999999998</v>
      </c>
      <c r="AB2439">
        <v>33</v>
      </c>
      <c r="AC2439">
        <v>35.766300000000001</v>
      </c>
      <c r="AD2439">
        <v>-1.1095945445859901</v>
      </c>
      <c r="AE2439">
        <v>2.6491999999999698</v>
      </c>
      <c r="AF2439">
        <v>-2.5083112276542798</v>
      </c>
      <c r="AG2439">
        <v>-1.1095945445859901</v>
      </c>
      <c r="AH2439">
        <v>35.742075793520797</v>
      </c>
      <c r="AI2439">
        <v>91.773787452922406</v>
      </c>
      <c r="AJ2439">
        <v>94.014327847522594</v>
      </c>
      <c r="AK2439">
        <v>35.847158985028898</v>
      </c>
      <c r="AL2439">
        <v>80.421514424356801</v>
      </c>
      <c r="AM2439">
        <v>93.361454030630796</v>
      </c>
      <c r="AN2439">
        <v>1.0000000247616601</v>
      </c>
    </row>
    <row r="2440" spans="1:40" x14ac:dyDescent="0.25">
      <c r="A2440" t="str">
        <f>"20190304155414463"</f>
        <v>20190304155414463</v>
      </c>
      <c r="B2440" t="str">
        <f>"1551686054459175"</f>
        <v>1551686054459175</v>
      </c>
      <c r="C2440" t="s">
        <v>40</v>
      </c>
      <c r="D2440">
        <v>4.4830110000000003</v>
      </c>
      <c r="E2440">
        <v>0.49410850000000001</v>
      </c>
      <c r="F2440" t="s">
        <v>63</v>
      </c>
      <c r="G2440">
        <v>-374.96089999999998</v>
      </c>
      <c r="H2440" s="1">
        <v>1.1031620000000001E-6</v>
      </c>
      <c r="I2440">
        <v>217.31700000000001</v>
      </c>
      <c r="J2440">
        <v>-411.07530000000003</v>
      </c>
      <c r="K2440">
        <v>1.1095999999999999</v>
      </c>
      <c r="L2440">
        <v>214.65299999999999</v>
      </c>
      <c r="M2440">
        <v>0.99994799999999995</v>
      </c>
      <c r="N2440">
        <v>-9.4672290000000006E-3</v>
      </c>
      <c r="O2440">
        <v>3.7675080000000001E-3</v>
      </c>
      <c r="P2440">
        <v>0.98555519999999996</v>
      </c>
      <c r="Q2440">
        <v>0.15745229999999999</v>
      </c>
      <c r="R2440">
        <v>6.2367930000000002E-2</v>
      </c>
      <c r="S2440">
        <v>3.044495</v>
      </c>
      <c r="T2440">
        <v>-9.2734339999999998E-2</v>
      </c>
      <c r="U2440">
        <v>0.2227325</v>
      </c>
      <c r="V2440">
        <v>-5.8608010000000002E-2</v>
      </c>
      <c r="W2440">
        <v>0.16679389999999999</v>
      </c>
      <c r="X2440">
        <v>0.98424840000000002</v>
      </c>
      <c r="Y2440">
        <v>-6.9164929999999999E-2</v>
      </c>
      <c r="Z2440">
        <v>1.3007089999999999E-3</v>
      </c>
      <c r="AA2440">
        <v>0.99760439999999995</v>
      </c>
      <c r="AB2440">
        <v>33</v>
      </c>
      <c r="AC2440">
        <v>36.114400000000003</v>
      </c>
      <c r="AD2440">
        <v>-1.1095988968379999</v>
      </c>
      <c r="AE2440">
        <v>2.6640000000000099</v>
      </c>
      <c r="AF2440">
        <v>-2.5255424856818398</v>
      </c>
      <c r="AG2440">
        <v>-1.1095988968379999</v>
      </c>
      <c r="AH2440">
        <v>36.090295962524898</v>
      </c>
      <c r="AI2440">
        <v>91.756715026805693</v>
      </c>
      <c r="AJ2440">
        <v>94.002943467954594</v>
      </c>
      <c r="AK2440">
        <v>36.1955665409658</v>
      </c>
      <c r="AL2440">
        <v>80.398538432497006</v>
      </c>
      <c r="AM2440">
        <v>93.407708061662603</v>
      </c>
      <c r="AN2440">
        <v>1.0000000084079601</v>
      </c>
    </row>
    <row r="2441" spans="1:40" x14ac:dyDescent="0.25">
      <c r="A2441" t="str">
        <f>"20190304155414485"</f>
        <v>20190304155414485</v>
      </c>
      <c r="B2441" t="str">
        <f>"1551686054478695"</f>
        <v>1551686054478695</v>
      </c>
      <c r="C2441" t="s">
        <v>40</v>
      </c>
      <c r="D2441">
        <v>4.4786460000000003</v>
      </c>
      <c r="E2441">
        <v>0.49408649999999998</v>
      </c>
      <c r="F2441" t="s">
        <v>63</v>
      </c>
      <c r="G2441">
        <v>-374.05739999999997</v>
      </c>
      <c r="H2441" s="1">
        <v>6.2235899999999999E-7</v>
      </c>
      <c r="I2441">
        <v>217.3871</v>
      </c>
      <c r="J2441">
        <v>-410.74689999999998</v>
      </c>
      <c r="K2441">
        <v>1.1095950000000001</v>
      </c>
      <c r="L2441">
        <v>214.6542</v>
      </c>
      <c r="M2441">
        <v>0.99994830000000001</v>
      </c>
      <c r="N2441">
        <v>-9.4931019999999998E-3</v>
      </c>
      <c r="O2441">
        <v>3.65884E-3</v>
      </c>
      <c r="P2441">
        <v>0.985514</v>
      </c>
      <c r="Q2441">
        <v>0.15756629999999899</v>
      </c>
      <c r="R2441">
        <v>6.2732220000000005E-2</v>
      </c>
      <c r="S2441">
        <v>3.0443419999999999</v>
      </c>
      <c r="T2441">
        <v>-9.1253280000000006E-2</v>
      </c>
      <c r="U2441">
        <v>0.22485350000000001</v>
      </c>
      <c r="V2441">
        <v>-5.9079670000000001E-2</v>
      </c>
      <c r="W2441">
        <v>0.16693350000000001</v>
      </c>
      <c r="X2441">
        <v>0.98419650000000003</v>
      </c>
      <c r="Y2441">
        <v>-6.9968849999999999E-2</v>
      </c>
      <c r="Z2441">
        <v>1.304843E-3</v>
      </c>
      <c r="AA2441">
        <v>0.99754830000000005</v>
      </c>
      <c r="AB2441">
        <v>33</v>
      </c>
      <c r="AC2441">
        <v>36.689500000000002</v>
      </c>
      <c r="AD2441">
        <v>-1.109594377641</v>
      </c>
      <c r="AE2441">
        <v>2.7328999999999999</v>
      </c>
      <c r="AF2441">
        <v>-2.5962731295445698</v>
      </c>
      <c r="AG2441">
        <v>-1.109594377641</v>
      </c>
      <c r="AH2441">
        <v>36.665903434841098</v>
      </c>
      <c r="AI2441">
        <v>91.729046175171405</v>
      </c>
      <c r="AJ2441">
        <v>94.050292203212393</v>
      </c>
      <c r="AK2441">
        <v>36.774451845529697</v>
      </c>
      <c r="AL2441">
        <v>80.390425891040394</v>
      </c>
      <c r="AM2441">
        <v>93.4352475939709</v>
      </c>
      <c r="AN2441">
        <v>0.99999997572090404</v>
      </c>
    </row>
    <row r="2442" spans="1:40" x14ac:dyDescent="0.25">
      <c r="A2442" t="str">
        <f>"20190304155414509"</f>
        <v>20190304155414509</v>
      </c>
      <c r="B2442" t="str">
        <f>"1551686054499192"</f>
        <v>1551686054499192</v>
      </c>
      <c r="C2442" t="s">
        <v>40</v>
      </c>
      <c r="D2442">
        <v>4.4863720000000002</v>
      </c>
      <c r="E2442">
        <v>0.4941199</v>
      </c>
      <c r="F2442" t="s">
        <v>63</v>
      </c>
      <c r="G2442">
        <v>-373.54309999999998</v>
      </c>
      <c r="H2442" s="1">
        <v>3.4867299999999999E-7</v>
      </c>
      <c r="I2442">
        <v>217.41980000000001</v>
      </c>
      <c r="J2442">
        <v>-410.38749999999999</v>
      </c>
      <c r="K2442">
        <v>1.1095930000000001</v>
      </c>
      <c r="L2442">
        <v>214.65530000000001</v>
      </c>
      <c r="M2442">
        <v>0.99994839999999996</v>
      </c>
      <c r="N2442">
        <v>-9.5186630000000001E-3</v>
      </c>
      <c r="O2442">
        <v>3.539922E-3</v>
      </c>
      <c r="P2442">
        <v>0.98543879999999995</v>
      </c>
      <c r="Q2442">
        <v>0.15808029999999901</v>
      </c>
      <c r="R2442">
        <v>6.2616829999999998E-2</v>
      </c>
      <c r="S2442">
        <v>3.0442499999999999</v>
      </c>
      <c r="T2442">
        <v>-9.0793970000000002E-2</v>
      </c>
      <c r="U2442">
        <v>0.22630310000000001</v>
      </c>
      <c r="V2442">
        <v>-5.9081710000000003E-2</v>
      </c>
      <c r="W2442">
        <v>0.16747129999999999</v>
      </c>
      <c r="X2442">
        <v>0.98410509999999995</v>
      </c>
      <c r="Y2442">
        <v>-7.0562020000000003E-2</v>
      </c>
      <c r="Z2442">
        <v>1.3152019999999999E-3</v>
      </c>
      <c r="AA2442">
        <v>0.99750649999999996</v>
      </c>
      <c r="AB2442">
        <v>33</v>
      </c>
      <c r="AC2442">
        <v>36.8444</v>
      </c>
      <c r="AD2442">
        <v>-1.109592651327</v>
      </c>
      <c r="AE2442">
        <v>2.7644999999999902</v>
      </c>
      <c r="AF2442">
        <v>-2.6316770200930701</v>
      </c>
      <c r="AG2442">
        <v>-1.109592651327</v>
      </c>
      <c r="AH2442">
        <v>36.820747997819403</v>
      </c>
      <c r="AI2442">
        <v>91.721695778515695</v>
      </c>
      <c r="AJ2442">
        <v>94.088130375103802</v>
      </c>
      <c r="AK2442">
        <v>36.931347158056496</v>
      </c>
      <c r="AL2442">
        <v>80.359173131089506</v>
      </c>
      <c r="AM2442">
        <v>93.435684227454999</v>
      </c>
      <c r="AN2442">
        <v>1.0000000663131099</v>
      </c>
    </row>
    <row r="2443" spans="1:40" x14ac:dyDescent="0.25">
      <c r="A2443" t="str">
        <f>"20190304155414533"</f>
        <v>20190304155414533</v>
      </c>
      <c r="B2443" t="str">
        <f>"1551686054529447"</f>
        <v>1551686054529447</v>
      </c>
      <c r="C2443" t="s">
        <v>40</v>
      </c>
      <c r="D2443">
        <v>4.4964199999999996</v>
      </c>
      <c r="E2443">
        <v>0.49397839999999998</v>
      </c>
      <c r="F2443" t="s">
        <v>63</v>
      </c>
      <c r="G2443">
        <v>-372.69330000000002</v>
      </c>
      <c r="H2443" s="1">
        <v>-1.035326E-7</v>
      </c>
      <c r="I2443">
        <v>217.45849999999999</v>
      </c>
      <c r="J2443">
        <v>-410.0566</v>
      </c>
      <c r="K2443">
        <v>1.109594</v>
      </c>
      <c r="L2443">
        <v>214.65639999999999</v>
      </c>
      <c r="M2443">
        <v>0.99994870000000002</v>
      </c>
      <c r="N2443">
        <v>-9.5399409999999997E-3</v>
      </c>
      <c r="O2443">
        <v>3.4302640000000001E-3</v>
      </c>
      <c r="P2443">
        <v>0.98551599999999995</v>
      </c>
      <c r="Q2443">
        <v>0.1575539</v>
      </c>
      <c r="R2443">
        <v>6.2730140000000004E-2</v>
      </c>
      <c r="S2443">
        <v>3.0443120000000001</v>
      </c>
      <c r="T2443">
        <v>-8.9614509999999994E-2</v>
      </c>
      <c r="U2443">
        <v>0.2263947</v>
      </c>
      <c r="V2443">
        <v>-5.9302720000000003E-2</v>
      </c>
      <c r="W2443">
        <v>0.166966899999999</v>
      </c>
      <c r="X2443">
        <v>0.98417750000000004</v>
      </c>
      <c r="Y2443">
        <v>-7.0700550000000001E-2</v>
      </c>
      <c r="Z2443">
        <v>1.3086110000000001E-3</v>
      </c>
      <c r="AA2443">
        <v>0.99749670000000001</v>
      </c>
      <c r="AB2443">
        <v>33</v>
      </c>
      <c r="AC2443">
        <v>37.363299999999903</v>
      </c>
      <c r="AD2443">
        <v>-1.1095941035326</v>
      </c>
      <c r="AE2443">
        <v>2.80209999999999</v>
      </c>
      <c r="AF2443">
        <v>-2.67156872982414</v>
      </c>
      <c r="AG2443">
        <v>-1.1095941035326</v>
      </c>
      <c r="AH2443">
        <v>37.339945222131803</v>
      </c>
      <c r="AI2443">
        <v>91.697763608929293</v>
      </c>
      <c r="AJ2443">
        <v>94.092379444184701</v>
      </c>
      <c r="AK2443">
        <v>37.451835572433197</v>
      </c>
      <c r="AL2443">
        <v>80.388485740051607</v>
      </c>
      <c r="AM2443">
        <v>93.448252236871397</v>
      </c>
      <c r="AN2443">
        <v>1.0000000549006201</v>
      </c>
    </row>
    <row r="2444" spans="1:40" x14ac:dyDescent="0.25">
      <c r="A2444" t="str">
        <f>"20190304155414555"</f>
        <v>20190304155414555</v>
      </c>
      <c r="B2444" t="str">
        <f>"1551686054548967"</f>
        <v>1551686054548967</v>
      </c>
      <c r="C2444" t="s">
        <v>40</v>
      </c>
      <c r="D2444">
        <v>4.4821070000000001</v>
      </c>
      <c r="E2444">
        <v>0.49399700000000002</v>
      </c>
      <c r="F2444" t="s">
        <v>63</v>
      </c>
      <c r="G2444">
        <v>-374.02859999999998</v>
      </c>
      <c r="H2444" s="1">
        <v>6.0703140000000005E-7</v>
      </c>
      <c r="I2444">
        <v>217.34819999999999</v>
      </c>
      <c r="J2444">
        <v>-409.71519999999998</v>
      </c>
      <c r="K2444">
        <v>1.109602</v>
      </c>
      <c r="L2444">
        <v>214.6575</v>
      </c>
      <c r="M2444">
        <v>0.99994870000000002</v>
      </c>
      <c r="N2444">
        <v>-9.5597619999999994E-3</v>
      </c>
      <c r="O2444">
        <v>3.317572E-3</v>
      </c>
      <c r="P2444">
        <v>0.98558069999999998</v>
      </c>
      <c r="Q2444">
        <v>0.15716340000000001</v>
      </c>
      <c r="R2444">
        <v>6.2692189999999995E-2</v>
      </c>
      <c r="S2444">
        <v>3.0446170000000001</v>
      </c>
      <c r="T2444">
        <v>-9.3768240000000003E-2</v>
      </c>
      <c r="U2444">
        <v>0.22747800000000001</v>
      </c>
      <c r="V2444">
        <v>-5.937547E-2</v>
      </c>
      <c r="W2444">
        <v>0.16659689999999999</v>
      </c>
      <c r="X2444">
        <v>0.98423579999999999</v>
      </c>
      <c r="Y2444">
        <v>-7.1154969999999998E-2</v>
      </c>
      <c r="Z2444">
        <v>1.364295E-3</v>
      </c>
      <c r="AA2444">
        <v>0.99746440000000003</v>
      </c>
      <c r="AB2444">
        <v>33</v>
      </c>
      <c r="AC2444">
        <v>35.686599999999999</v>
      </c>
      <c r="AD2444">
        <v>-1.1096013929685999</v>
      </c>
      <c r="AE2444">
        <v>2.6906999999999899</v>
      </c>
      <c r="AF2444">
        <v>-2.5698165236676802</v>
      </c>
      <c r="AG2444">
        <v>-1.1096013929685999</v>
      </c>
      <c r="AH2444">
        <v>35.661049406332701</v>
      </c>
      <c r="AI2444">
        <v>91.7775892366368</v>
      </c>
      <c r="AJ2444">
        <v>94.121739660223099</v>
      </c>
      <c r="AK2444">
        <v>35.7707368805493</v>
      </c>
      <c r="AL2444">
        <v>80.409986191382501</v>
      </c>
      <c r="AM2444">
        <v>93.452268168660297</v>
      </c>
      <c r="AN2444">
        <v>1.0000000417644801</v>
      </c>
    </row>
    <row r="2445" spans="1:40" x14ac:dyDescent="0.25">
      <c r="A2445" t="str">
        <f>"20190304155414576"</f>
        <v>20190304155414576</v>
      </c>
      <c r="B2445" t="str">
        <f>"1551686054568976"</f>
        <v>1551686054568976</v>
      </c>
      <c r="C2445" t="s">
        <v>40</v>
      </c>
      <c r="D2445">
        <v>4.4930250000000003</v>
      </c>
      <c r="E2445">
        <v>0.49402970000000002</v>
      </c>
      <c r="F2445" t="s">
        <v>63</v>
      </c>
      <c r="G2445">
        <v>-374.34859999999998</v>
      </c>
      <c r="H2445" s="1">
        <v>7.7731739999999997E-7</v>
      </c>
      <c r="I2445">
        <v>217.29580000000001</v>
      </c>
      <c r="J2445">
        <v>-409.40109999999999</v>
      </c>
      <c r="K2445">
        <v>1.1096029999999999</v>
      </c>
      <c r="L2445">
        <v>214.6584</v>
      </c>
      <c r="M2445">
        <v>0.99994910000000004</v>
      </c>
      <c r="N2445">
        <v>-9.5762629999999998E-3</v>
      </c>
      <c r="O2445">
        <v>3.2136589999999998E-3</v>
      </c>
      <c r="P2445">
        <v>0.98568800000000001</v>
      </c>
      <c r="Q2445">
        <v>0.15637870000000001</v>
      </c>
      <c r="R2445">
        <v>6.2970579999999998E-2</v>
      </c>
      <c r="S2445">
        <v>3.0446780000000002</v>
      </c>
      <c r="T2445">
        <v>-9.5524429999999994E-2</v>
      </c>
      <c r="U2445">
        <v>0.2271271</v>
      </c>
      <c r="V2445">
        <v>-5.975594E-2</v>
      </c>
      <c r="W2445">
        <v>0.16582949999999999</v>
      </c>
      <c r="X2445">
        <v>0.9843423</v>
      </c>
      <c r="Y2445">
        <v>-7.1141360000000001E-2</v>
      </c>
      <c r="Z2445">
        <v>1.3854749999999999E-3</v>
      </c>
      <c r="AA2445">
        <v>0.9974653</v>
      </c>
      <c r="AB2445">
        <v>33</v>
      </c>
      <c r="AC2445">
        <v>35.052500000000002</v>
      </c>
      <c r="AD2445">
        <v>-1.1096022226825999</v>
      </c>
      <c r="AE2445">
        <v>2.6374000000000102</v>
      </c>
      <c r="AF2445">
        <v>-2.5222212393378198</v>
      </c>
      <c r="AG2445">
        <v>-1.1096022226825999</v>
      </c>
      <c r="AH2445">
        <v>35.025894369880596</v>
      </c>
      <c r="AI2445">
        <v>91.809810667844602</v>
      </c>
      <c r="AJ2445">
        <v>94.118770423975405</v>
      </c>
      <c r="AK2445">
        <v>35.134115806190202</v>
      </c>
      <c r="AL2445">
        <v>80.454574612442997</v>
      </c>
      <c r="AM2445">
        <v>93.473960838904205</v>
      </c>
      <c r="AN2445">
        <v>0.99999997950241104</v>
      </c>
    </row>
    <row r="2446" spans="1:40" x14ac:dyDescent="0.25">
      <c r="A2446" t="str">
        <f>"20190304155414598"</f>
        <v>20190304155414598</v>
      </c>
      <c r="B2446" t="str">
        <f>"1551686054589472"</f>
        <v>1551686054589472</v>
      </c>
      <c r="C2446" t="s">
        <v>40</v>
      </c>
      <c r="D2446">
        <v>4.5590659999999996</v>
      </c>
      <c r="E2446">
        <v>0.4939212</v>
      </c>
      <c r="F2446" t="s">
        <v>63</v>
      </c>
      <c r="G2446">
        <v>-374.9753</v>
      </c>
      <c r="H2446" s="1">
        <v>1.110785E-6</v>
      </c>
      <c r="I2446">
        <v>217.2328</v>
      </c>
      <c r="J2446">
        <v>-409.09050000000002</v>
      </c>
      <c r="K2446">
        <v>1.1096010000000001</v>
      </c>
      <c r="L2446">
        <v>214.6593</v>
      </c>
      <c r="M2446">
        <v>0.99994930000000004</v>
      </c>
      <c r="N2446">
        <v>-9.5946940000000008E-3</v>
      </c>
      <c r="O2446">
        <v>3.11087E-3</v>
      </c>
      <c r="P2446">
        <v>0.98569359999999995</v>
      </c>
      <c r="Q2446">
        <v>0.15624959999999999</v>
      </c>
      <c r="R2446">
        <v>6.3202289999999994E-2</v>
      </c>
      <c r="S2446">
        <v>3.0446170000000001</v>
      </c>
      <c r="T2446">
        <v>-9.8132849999999994E-2</v>
      </c>
      <c r="U2446">
        <v>0.2276764</v>
      </c>
      <c r="V2446">
        <v>-6.0088929999999999E-2</v>
      </c>
      <c r="W2446">
        <v>0.16571849999999999</v>
      </c>
      <c r="X2446">
        <v>0.98434069999999996</v>
      </c>
      <c r="Y2446">
        <v>-7.1421940000000003E-2</v>
      </c>
      <c r="Z2446">
        <v>1.422059E-3</v>
      </c>
      <c r="AA2446">
        <v>0.99744520000000003</v>
      </c>
      <c r="AB2446">
        <v>33</v>
      </c>
      <c r="AC2446">
        <v>34.115200000000002</v>
      </c>
      <c r="AD2446">
        <v>-1.1095998892150001</v>
      </c>
      <c r="AE2446">
        <v>2.5734999999999899</v>
      </c>
      <c r="AF2446">
        <v>-2.4647620545364699</v>
      </c>
      <c r="AG2446">
        <v>-1.1095998892150001</v>
      </c>
      <c r="AH2446">
        <v>34.087184943216002</v>
      </c>
      <c r="AI2446">
        <v>91.859572006056794</v>
      </c>
      <c r="AJ2446">
        <v>94.135721804626897</v>
      </c>
      <c r="AK2446">
        <v>34.194187243633102</v>
      </c>
      <c r="AL2446">
        <v>80.461023460219593</v>
      </c>
      <c r="AM2446">
        <v>93.493277345440006</v>
      </c>
      <c r="AN2446">
        <v>0.99999995721364099</v>
      </c>
    </row>
    <row r="2447" spans="1:40" x14ac:dyDescent="0.25">
      <c r="A2447" t="str">
        <f>"20190304155414619"</f>
        <v>20190304155414619</v>
      </c>
      <c r="B2447" t="str">
        <f>"1551686054608992"</f>
        <v>1551686054608992</v>
      </c>
      <c r="C2447" t="s">
        <v>40</v>
      </c>
      <c r="D2447">
        <v>4.5269649999999997</v>
      </c>
      <c r="E2447">
        <v>0.4938459</v>
      </c>
      <c r="F2447" t="s">
        <v>63</v>
      </c>
      <c r="G2447">
        <v>-375.40629999999999</v>
      </c>
      <c r="H2447" s="1">
        <v>1.3402009999999999E-6</v>
      </c>
      <c r="I2447">
        <v>217.1943</v>
      </c>
      <c r="J2447">
        <v>-408.77530000000002</v>
      </c>
      <c r="K2447">
        <v>1.10959599999999</v>
      </c>
      <c r="L2447">
        <v>214.6602</v>
      </c>
      <c r="M2447">
        <v>0.99994930000000004</v>
      </c>
      <c r="N2447">
        <v>-9.6160619999999999E-3</v>
      </c>
      <c r="O2447">
        <v>3.0067549999999998E-3</v>
      </c>
      <c r="P2447">
        <v>0.98581589999999997</v>
      </c>
      <c r="Q2447">
        <v>0.1554596</v>
      </c>
      <c r="R2447">
        <v>6.3240820000000003E-2</v>
      </c>
      <c r="S2447">
        <v>3.0447389999999999</v>
      </c>
      <c r="T2447">
        <v>-0.1002977</v>
      </c>
      <c r="U2447">
        <v>0.22914119999999999</v>
      </c>
      <c r="V2447">
        <v>-6.0230079999999998E-2</v>
      </c>
      <c r="W2447">
        <v>0.16495099999999999</v>
      </c>
      <c r="X2447">
        <v>0.98446100000000003</v>
      </c>
      <c r="Y2447">
        <v>-7.1997699999999998E-2</v>
      </c>
      <c r="Z2447">
        <v>1.4606319999999999E-3</v>
      </c>
      <c r="AA2447">
        <v>0.9974037</v>
      </c>
      <c r="AB2447">
        <v>33</v>
      </c>
      <c r="AC2447">
        <v>33.369</v>
      </c>
      <c r="AD2447">
        <v>-1.1095946597989901</v>
      </c>
      <c r="AE2447">
        <v>2.5340999999999898</v>
      </c>
      <c r="AF2447">
        <v>-2.4310788416190099</v>
      </c>
      <c r="AG2447">
        <v>-1.1095946597989901</v>
      </c>
      <c r="AH2447">
        <v>33.339816039641299</v>
      </c>
      <c r="AI2447">
        <v>91.901134486802903</v>
      </c>
      <c r="AJ2447">
        <v>94.170523003749096</v>
      </c>
      <c r="AK2447">
        <v>33.446743910287303</v>
      </c>
      <c r="AL2447">
        <v>80.505611814929594</v>
      </c>
      <c r="AM2447">
        <v>93.501035916130903</v>
      </c>
      <c r="AN2447">
        <v>0.99999997772940297</v>
      </c>
    </row>
    <row r="2448" spans="1:40" x14ac:dyDescent="0.25">
      <c r="A2448" t="str">
        <f>"20190304155414643"</f>
        <v>20190304155414643</v>
      </c>
      <c r="B2448" t="str">
        <f>"1551686054639248"</f>
        <v>1551686054639248</v>
      </c>
      <c r="C2448" t="s">
        <v>40</v>
      </c>
      <c r="D2448">
        <v>4.5560989999999997</v>
      </c>
      <c r="E2448">
        <v>0.49362810000000001</v>
      </c>
      <c r="F2448" t="s">
        <v>63</v>
      </c>
      <c r="G2448">
        <v>-376.32339999999999</v>
      </c>
      <c r="H2448" s="1">
        <v>1.828203E-6</v>
      </c>
      <c r="I2448">
        <v>217.1079</v>
      </c>
      <c r="J2448">
        <v>-408.43830000000003</v>
      </c>
      <c r="K2448">
        <v>1.10959599999999</v>
      </c>
      <c r="L2448">
        <v>214.6611</v>
      </c>
      <c r="M2448">
        <v>0.99994950000000005</v>
      </c>
      <c r="N2448">
        <v>-9.6391459999999995E-3</v>
      </c>
      <c r="O2448">
        <v>2.895005E-3</v>
      </c>
      <c r="P2448">
        <v>0.98594079999999995</v>
      </c>
      <c r="Q2448">
        <v>0.15461910000000001</v>
      </c>
      <c r="R2448">
        <v>6.3355339999999996E-2</v>
      </c>
      <c r="S2448">
        <v>3.0448909999999998</v>
      </c>
      <c r="T2448">
        <v>-0.1041108</v>
      </c>
      <c r="U2448">
        <v>0.22966</v>
      </c>
      <c r="V2448">
        <v>-6.0454359999999999E-2</v>
      </c>
      <c r="W2448">
        <v>0.1641341</v>
      </c>
      <c r="X2448">
        <v>0.98458380000000001</v>
      </c>
      <c r="Y2448">
        <v>-7.2270799999999996E-2</v>
      </c>
      <c r="Z2448">
        <v>1.51142299999999E-3</v>
      </c>
      <c r="AA2448">
        <v>0.99738389999999999</v>
      </c>
      <c r="AB2448">
        <v>33</v>
      </c>
      <c r="AC2448">
        <v>32.114899999999999</v>
      </c>
      <c r="AD2448">
        <v>-1.1095941717969899</v>
      </c>
      <c r="AE2448">
        <v>2.4467999999999899</v>
      </c>
      <c r="AF2448">
        <v>-2.3510222966432202</v>
      </c>
      <c r="AG2448">
        <v>-1.1095941717969899</v>
      </c>
      <c r="AH2448">
        <v>32.083770115668997</v>
      </c>
      <c r="AI2448">
        <v>91.975451588541901</v>
      </c>
      <c r="AJ2448">
        <v>94.191007679337801</v>
      </c>
      <c r="AK2448">
        <v>32.188923714540302</v>
      </c>
      <c r="AL2448">
        <v>80.553063679468096</v>
      </c>
      <c r="AM2448">
        <v>93.513603005841901</v>
      </c>
      <c r="AN2448">
        <v>0.99999999582412902</v>
      </c>
    </row>
    <row r="2449" spans="1:40" x14ac:dyDescent="0.25">
      <c r="A2449" t="str">
        <f>"20190304155414663"</f>
        <v>20190304155414663</v>
      </c>
      <c r="B2449" t="str">
        <f>"1551686054658768"</f>
        <v>1551686054658768</v>
      </c>
      <c r="C2449" t="s">
        <v>40</v>
      </c>
      <c r="D2449">
        <v>4.5623839999999998</v>
      </c>
      <c r="E2449">
        <v>0.49363059999999997</v>
      </c>
      <c r="F2449" t="s">
        <v>63</v>
      </c>
      <c r="G2449">
        <v>-377.49099999999999</v>
      </c>
      <c r="H2449" s="1">
        <v>2.4495649999999999E-6</v>
      </c>
      <c r="I2449">
        <v>217.01519999999999</v>
      </c>
      <c r="J2449">
        <v>-408.11869999999999</v>
      </c>
      <c r="K2449">
        <v>1.1095930000000001</v>
      </c>
      <c r="L2449">
        <v>214.6619</v>
      </c>
      <c r="M2449">
        <v>0.99994950000000005</v>
      </c>
      <c r="N2449">
        <v>-9.6594880000000008E-3</v>
      </c>
      <c r="O2449">
        <v>2.7893470000000002E-3</v>
      </c>
      <c r="P2449">
        <v>0.98604380000000003</v>
      </c>
      <c r="Q2449">
        <v>0.15385450000000001</v>
      </c>
      <c r="R2449">
        <v>6.3614799999999999E-2</v>
      </c>
      <c r="S2449">
        <v>3.0450439999999999</v>
      </c>
      <c r="T2449">
        <v>-0.1091781</v>
      </c>
      <c r="U2449">
        <v>0.23162840000000001</v>
      </c>
      <c r="V2449">
        <v>-6.081831E-2</v>
      </c>
      <c r="W2449">
        <v>0.16339039999999999</v>
      </c>
      <c r="X2449">
        <v>0.98468509999999998</v>
      </c>
      <c r="Y2449">
        <v>-7.3008160000000002E-2</v>
      </c>
      <c r="Z2449">
        <v>1.5868639999999999E-3</v>
      </c>
      <c r="AA2449">
        <v>0.9973301</v>
      </c>
      <c r="AB2449">
        <v>33</v>
      </c>
      <c r="AC2449">
        <v>30.627700000000001</v>
      </c>
      <c r="AD2449">
        <v>-1.1095905504350001</v>
      </c>
      <c r="AE2449">
        <v>2.3532999999999902</v>
      </c>
      <c r="AF2449">
        <v>-2.2649003617673999</v>
      </c>
      <c r="AG2449">
        <v>-1.1095905504350001</v>
      </c>
      <c r="AH2449">
        <v>30.5942263035999</v>
      </c>
      <c r="AI2449">
        <v>92.071427844888007</v>
      </c>
      <c r="AJ2449">
        <v>94.2339015445353</v>
      </c>
      <c r="AK2449">
        <v>30.698007230995199</v>
      </c>
      <c r="AL2449">
        <v>80.596257887558707</v>
      </c>
      <c r="AM2449">
        <v>93.534339570923905</v>
      </c>
      <c r="AN2449">
        <v>1.00000001790271</v>
      </c>
    </row>
    <row r="2450" spans="1:40" x14ac:dyDescent="0.25">
      <c r="A2450" t="str">
        <f>"20190304155414687"</f>
        <v>20190304155414687</v>
      </c>
      <c r="B2450" t="str">
        <f>"1551686054679264"</f>
        <v>1551686054679264</v>
      </c>
      <c r="C2450" t="s">
        <v>40</v>
      </c>
      <c r="D2450">
        <v>4.6124080000000003</v>
      </c>
      <c r="E2450">
        <v>0.4936914</v>
      </c>
      <c r="F2450" t="s">
        <v>63</v>
      </c>
      <c r="G2450">
        <v>-378.17360000000002</v>
      </c>
      <c r="H2450" s="1">
        <v>2.812786E-6</v>
      </c>
      <c r="I2450">
        <v>216.94479999999999</v>
      </c>
      <c r="J2450">
        <v>-407.78449999999998</v>
      </c>
      <c r="K2450">
        <v>1.1095950000000001</v>
      </c>
      <c r="L2450">
        <v>214.6627</v>
      </c>
      <c r="M2450">
        <v>0.99994950000000005</v>
      </c>
      <c r="N2450">
        <v>-9.679455E-3</v>
      </c>
      <c r="O2450">
        <v>2.6789819999999999E-3</v>
      </c>
      <c r="P2450">
        <v>0.98624849999999997</v>
      </c>
      <c r="Q2450">
        <v>0.15244659999999999</v>
      </c>
      <c r="R2450">
        <v>6.3828549999999998E-2</v>
      </c>
      <c r="S2450">
        <v>3.0450740000000001</v>
      </c>
      <c r="T2450">
        <v>-0.1128328</v>
      </c>
      <c r="U2450">
        <v>0.2321472</v>
      </c>
      <c r="V2450">
        <v>-6.1140949999999999E-2</v>
      </c>
      <c r="W2450">
        <v>0.16200479999999901</v>
      </c>
      <c r="X2450">
        <v>0.98489400000000005</v>
      </c>
      <c r="Y2450">
        <v>-7.3282609999999998E-2</v>
      </c>
      <c r="Z2450">
        <v>1.63742799999999E-3</v>
      </c>
      <c r="AA2450">
        <v>0.99730989999999997</v>
      </c>
      <c r="AB2450">
        <v>33</v>
      </c>
      <c r="AC2450">
        <v>29.610899999999901</v>
      </c>
      <c r="AD2450">
        <v>-1.109592187214</v>
      </c>
      <c r="AE2450">
        <v>2.2820999999999798</v>
      </c>
      <c r="AF2450">
        <v>-2.19969049147773</v>
      </c>
      <c r="AG2450">
        <v>-1.109592187214</v>
      </c>
      <c r="AH2450">
        <v>29.5756233675821</v>
      </c>
      <c r="AI2450">
        <v>92.142652409280302</v>
      </c>
      <c r="AJ2450">
        <v>94.253548864928206</v>
      </c>
      <c r="AK2450">
        <v>29.6780614370496</v>
      </c>
      <c r="AL2450">
        <v>80.676718644473098</v>
      </c>
      <c r="AM2450">
        <v>93.552289587085696</v>
      </c>
      <c r="AN2450">
        <v>0.99999998111297095</v>
      </c>
    </row>
    <row r="2451" spans="1:40" x14ac:dyDescent="0.25">
      <c r="A2451" t="str">
        <f>"20190304155414711"</f>
        <v>20190304155414711</v>
      </c>
      <c r="B2451" t="str">
        <f>"1551686054698784"</f>
        <v>1551686054698784</v>
      </c>
      <c r="C2451" t="s">
        <v>40</v>
      </c>
      <c r="D2451">
        <v>4.5239599999999998</v>
      </c>
      <c r="E2451">
        <v>0.49382530000000002</v>
      </c>
      <c r="F2451" t="s">
        <v>63</v>
      </c>
      <c r="G2451">
        <v>-378.91669999999999</v>
      </c>
      <c r="H2451" s="1">
        <v>3.2082379999999998E-6</v>
      </c>
      <c r="I2451">
        <v>216.86760000000001</v>
      </c>
      <c r="J2451">
        <v>-407.42200000000003</v>
      </c>
      <c r="K2451">
        <v>1.10959599999999</v>
      </c>
      <c r="L2451">
        <v>214.6635</v>
      </c>
      <c r="M2451">
        <v>0.9999498</v>
      </c>
      <c r="N2451">
        <v>-9.6995810000000005E-3</v>
      </c>
      <c r="O2451">
        <v>2.5591960000000001E-3</v>
      </c>
      <c r="P2451">
        <v>0.98625099999999999</v>
      </c>
      <c r="Q2451">
        <v>0.1521921</v>
      </c>
      <c r="R2451">
        <v>6.4393210000000006E-2</v>
      </c>
      <c r="S2451">
        <v>3.044861</v>
      </c>
      <c r="T2451">
        <v>-0.1170355</v>
      </c>
      <c r="U2451">
        <v>0.23255919999999999</v>
      </c>
      <c r="V2451">
        <v>-6.1823379999999997E-2</v>
      </c>
      <c r="W2451">
        <v>0.16177049999999901</v>
      </c>
      <c r="X2451">
        <v>0.98488989999999998</v>
      </c>
      <c r="Y2451">
        <v>-7.3537039999999998E-2</v>
      </c>
      <c r="Z2451">
        <v>1.6946260000000001E-3</v>
      </c>
      <c r="AA2451">
        <v>0.99729100000000004</v>
      </c>
      <c r="AB2451">
        <v>33</v>
      </c>
      <c r="AC2451">
        <v>28.505299999999899</v>
      </c>
      <c r="AD2451">
        <v>-1.1095927917620001</v>
      </c>
      <c r="AE2451">
        <v>2.2041000000000102</v>
      </c>
      <c r="AF2451">
        <v>-2.12793358108188</v>
      </c>
      <c r="AG2451">
        <v>-1.1095927917620001</v>
      </c>
      <c r="AH2451">
        <v>28.4679687269239</v>
      </c>
      <c r="AI2451">
        <v>92.225877833374597</v>
      </c>
      <c r="AJ2451">
        <v>94.274815009038605</v>
      </c>
      <c r="AK2451">
        <v>28.568943643861601</v>
      </c>
      <c r="AL2451">
        <v>80.690322387715696</v>
      </c>
      <c r="AM2451">
        <v>93.591850460211603</v>
      </c>
      <c r="AN2451">
        <v>0.99999997005344099</v>
      </c>
    </row>
    <row r="2452" spans="1:40" x14ac:dyDescent="0.25">
      <c r="A2452" t="str">
        <f>"20190304155414733"</f>
        <v>20190304155414733</v>
      </c>
      <c r="B2452" t="str">
        <f>"1551686054729041"</f>
        <v>1551686054729041</v>
      </c>
      <c r="C2452" t="s">
        <v>40</v>
      </c>
      <c r="D2452">
        <v>4.528467</v>
      </c>
      <c r="E2452">
        <v>0.49390669999999998</v>
      </c>
      <c r="F2452" t="s">
        <v>63</v>
      </c>
      <c r="G2452">
        <v>-378.6628</v>
      </c>
      <c r="H2452" s="1">
        <v>3.0731439999999998E-6</v>
      </c>
      <c r="I2452">
        <v>216.86750000000001</v>
      </c>
      <c r="J2452">
        <v>-407.08429999999998</v>
      </c>
      <c r="K2452">
        <v>1.109602</v>
      </c>
      <c r="L2452">
        <v>214.6643</v>
      </c>
      <c r="M2452">
        <v>0.99994989999999995</v>
      </c>
      <c r="N2452">
        <v>-9.7169500000000002E-3</v>
      </c>
      <c r="O2452">
        <v>2.4476509999999999E-3</v>
      </c>
      <c r="P2452">
        <v>0.98621890000000001</v>
      </c>
      <c r="Q2452">
        <v>0.1522375</v>
      </c>
      <c r="R2452">
        <v>6.4779920000000005E-2</v>
      </c>
      <c r="S2452">
        <v>3.044708</v>
      </c>
      <c r="T2452">
        <v>-0.117471699999999</v>
      </c>
      <c r="U2452">
        <v>0.2333374</v>
      </c>
      <c r="V2452">
        <v>-6.2320069999999998E-2</v>
      </c>
      <c r="W2452">
        <v>0.16183210000000001</v>
      </c>
      <c r="X2452">
        <v>0.98484850000000002</v>
      </c>
      <c r="Y2452">
        <v>-7.3904629999999999E-2</v>
      </c>
      <c r="Z2452">
        <v>1.7123360000000001E-3</v>
      </c>
      <c r="AA2452">
        <v>0.99726380000000003</v>
      </c>
      <c r="AB2452">
        <v>33</v>
      </c>
      <c r="AC2452">
        <v>28.421499999999899</v>
      </c>
      <c r="AD2452">
        <v>-1.109598926856</v>
      </c>
      <c r="AE2452">
        <v>2.2031999999999998</v>
      </c>
      <c r="AF2452">
        <v>-2.13039648447229</v>
      </c>
      <c r="AG2452">
        <v>-1.109598926856</v>
      </c>
      <c r="AH2452">
        <v>28.383803984310099</v>
      </c>
      <c r="AI2452">
        <v>92.232432521238593</v>
      </c>
      <c r="AJ2452">
        <v>94.292387475536799</v>
      </c>
      <c r="AK2452">
        <v>28.485261585235101</v>
      </c>
      <c r="AL2452">
        <v>80.686746064151194</v>
      </c>
      <c r="AM2452">
        <v>93.620782782584598</v>
      </c>
      <c r="AN2452">
        <v>0.99999999383373195</v>
      </c>
    </row>
    <row r="2453" spans="1:40" x14ac:dyDescent="0.25">
      <c r="A2453" t="str">
        <f>"20190304155414776"</f>
        <v>20190304155414776</v>
      </c>
      <c r="B2453" t="str">
        <f>"1551686054769055"</f>
        <v>1551686054769055</v>
      </c>
      <c r="C2453" t="s">
        <v>40</v>
      </c>
      <c r="D2453">
        <v>4.5399450000000003</v>
      </c>
      <c r="E2453">
        <v>0.49402119999999999</v>
      </c>
      <c r="F2453" t="s">
        <v>63</v>
      </c>
      <c r="G2453">
        <v>-378.16129999999998</v>
      </c>
      <c r="H2453" s="1">
        <v>2.8062349999999998E-6</v>
      </c>
      <c r="I2453">
        <v>216.88560000000001</v>
      </c>
      <c r="J2453">
        <v>-406.45400000000001</v>
      </c>
      <c r="K2453">
        <v>1.1095969999999999</v>
      </c>
      <c r="L2453">
        <v>214.66560000000001</v>
      </c>
      <c r="M2453">
        <v>0.99995009999999995</v>
      </c>
      <c r="N2453">
        <v>-9.7457380000000003E-3</v>
      </c>
      <c r="O2453">
        <v>2.2395499999999999E-3</v>
      </c>
      <c r="P2453">
        <v>0.98609570000000002</v>
      </c>
      <c r="Q2453">
        <v>0.15222149999999901</v>
      </c>
      <c r="R2453">
        <v>6.6663699999999895E-2</v>
      </c>
      <c r="S2453">
        <v>3.0445859999999998</v>
      </c>
      <c r="T2453">
        <v>-0.11680210000000001</v>
      </c>
      <c r="U2453">
        <v>0.2338257</v>
      </c>
      <c r="V2453">
        <v>-6.4409569999999999E-2</v>
      </c>
      <c r="W2453">
        <v>0.16184389999999901</v>
      </c>
      <c r="X2453">
        <v>0.98471209999999998</v>
      </c>
      <c r="Y2453">
        <v>-7.4274430000000002E-2</v>
      </c>
      <c r="Z2453">
        <v>1.720779E-3</v>
      </c>
      <c r="AA2453">
        <v>0.99723640000000002</v>
      </c>
      <c r="AB2453">
        <v>33</v>
      </c>
      <c r="AC2453">
        <v>28.2927</v>
      </c>
      <c r="AD2453">
        <v>-1.109594193765</v>
      </c>
      <c r="AE2453">
        <v>2.2200000000000002</v>
      </c>
      <c r="AF2453">
        <v>-2.1533367704598398</v>
      </c>
      <c r="AG2453">
        <v>-1.109594193765</v>
      </c>
      <c r="AH2453">
        <v>28.2544093957179</v>
      </c>
      <c r="AI2453">
        <v>92.242441552480201</v>
      </c>
      <c r="AJ2453">
        <v>94.358224742161198</v>
      </c>
      <c r="AK2453">
        <v>28.358062501212601</v>
      </c>
      <c r="AL2453">
        <v>80.686060814862103</v>
      </c>
      <c r="AM2453">
        <v>93.742359804967805</v>
      </c>
      <c r="AN2453">
        <v>0.999999980280602</v>
      </c>
    </row>
    <row r="2454" spans="1:40" x14ac:dyDescent="0.25">
      <c r="A2454" t="str">
        <f>"20190304155414797"</f>
        <v>20190304155414797</v>
      </c>
      <c r="B2454" t="str">
        <f>"1551686054789552"</f>
        <v>1551686054789552</v>
      </c>
      <c r="C2454" t="s">
        <v>40</v>
      </c>
      <c r="D2454">
        <v>4.552797</v>
      </c>
      <c r="E2454">
        <v>0.49406499999999998</v>
      </c>
      <c r="F2454" t="s">
        <v>63</v>
      </c>
      <c r="G2454">
        <v>-377.24369999999999</v>
      </c>
      <c r="H2454" s="1">
        <v>2.317943E-6</v>
      </c>
      <c r="I2454">
        <v>216.965</v>
      </c>
      <c r="J2454">
        <v>-406.13639999999998</v>
      </c>
      <c r="K2454">
        <v>1.109602</v>
      </c>
      <c r="L2454">
        <v>214.6662</v>
      </c>
      <c r="M2454">
        <v>0.99995020000000001</v>
      </c>
      <c r="N2454">
        <v>-9.7586059999999995E-3</v>
      </c>
      <c r="O2454">
        <v>2.1347610000000002E-3</v>
      </c>
      <c r="P2454">
        <v>0.98604250000000004</v>
      </c>
      <c r="Q2454">
        <v>0.1524122</v>
      </c>
      <c r="R2454">
        <v>6.7014399999999905E-2</v>
      </c>
      <c r="S2454">
        <v>3.0439759999999998</v>
      </c>
      <c r="T2454">
        <v>-0.1156297</v>
      </c>
      <c r="U2454">
        <v>0.239624</v>
      </c>
      <c r="V2454">
        <v>-6.4863299999999999E-2</v>
      </c>
      <c r="W2454">
        <v>0.16204669999999999</v>
      </c>
      <c r="X2454">
        <v>0.984649</v>
      </c>
      <c r="Y2454">
        <v>-7.6281539999999995E-2</v>
      </c>
      <c r="Z2454">
        <v>1.7588860000000001E-3</v>
      </c>
      <c r="AA2454">
        <v>0.99708479999999999</v>
      </c>
      <c r="AB2454">
        <v>33</v>
      </c>
      <c r="AC2454">
        <v>28.892699999999898</v>
      </c>
      <c r="AD2454">
        <v>-1.109599682057</v>
      </c>
      <c r="AE2454">
        <v>2.2988</v>
      </c>
      <c r="AF2454">
        <v>-2.2338389039801698</v>
      </c>
      <c r="AG2454">
        <v>-1.109599682057</v>
      </c>
      <c r="AH2454">
        <v>28.855251487523699</v>
      </c>
      <c r="AI2454">
        <v>92.195603576536797</v>
      </c>
      <c r="AJ2454">
        <v>94.4267425884792</v>
      </c>
      <c r="AK2454">
        <v>28.9628518297421</v>
      </c>
      <c r="AL2454">
        <v>80.674286142056104</v>
      </c>
      <c r="AM2454">
        <v>93.768887777662499</v>
      </c>
      <c r="AN2454">
        <v>1.0000000169343899</v>
      </c>
    </row>
    <row r="2455" spans="1:40" x14ac:dyDescent="0.25">
      <c r="A2455" t="str">
        <f>"20190304155414822"</f>
        <v>20190304155414822</v>
      </c>
      <c r="B2455" t="str">
        <f>"1551686054818831"</f>
        <v>1551686054818831</v>
      </c>
      <c r="C2455" t="s">
        <v>40</v>
      </c>
      <c r="D2455">
        <v>4.5139019999999999</v>
      </c>
      <c r="E2455">
        <v>0.49414609999999898</v>
      </c>
      <c r="F2455" t="s">
        <v>63</v>
      </c>
      <c r="G2455">
        <v>-376.63709999999998</v>
      </c>
      <c r="H2455" s="1">
        <v>1.9951160000000002E-6</v>
      </c>
      <c r="I2455">
        <v>216.9984</v>
      </c>
      <c r="J2455">
        <v>-405.77190000000002</v>
      </c>
      <c r="K2455">
        <v>1.1096029999999999</v>
      </c>
      <c r="L2455">
        <v>214.66679999999999</v>
      </c>
      <c r="M2455">
        <v>0.99995020000000001</v>
      </c>
      <c r="N2455">
        <v>-9.7765309999999998E-3</v>
      </c>
      <c r="O2455">
        <v>2.0151029999999999E-3</v>
      </c>
      <c r="P2455">
        <v>0.98602909999999999</v>
      </c>
      <c r="Q2455">
        <v>0.15251219999999999</v>
      </c>
      <c r="R2455">
        <v>6.6982150000000004E-2</v>
      </c>
      <c r="S2455">
        <v>3.043793</v>
      </c>
      <c r="T2455">
        <v>-0.11449040000000001</v>
      </c>
      <c r="U2455">
        <v>0.24064640000000001</v>
      </c>
      <c r="V2455">
        <v>-6.4949370000000006E-2</v>
      </c>
      <c r="W2455">
        <v>0.16216429999999901</v>
      </c>
      <c r="X2455">
        <v>0.98462400000000005</v>
      </c>
      <c r="Y2455">
        <v>-7.6739059999999998E-2</v>
      </c>
      <c r="Z2455">
        <v>1.760387E-3</v>
      </c>
      <c r="AA2455">
        <v>0.99704959999999998</v>
      </c>
      <c r="AB2455">
        <v>33</v>
      </c>
      <c r="AC2455">
        <v>29.134799999999998</v>
      </c>
      <c r="AD2455">
        <v>-1.1096010048839999</v>
      </c>
      <c r="AE2455">
        <v>2.3315999999999999</v>
      </c>
      <c r="AF2455">
        <v>-2.26961177731082</v>
      </c>
      <c r="AG2455">
        <v>-1.1096010048839999</v>
      </c>
      <c r="AH2455">
        <v>29.097502924203699</v>
      </c>
      <c r="AI2455">
        <v>92.177246055463897</v>
      </c>
      <c r="AJ2455">
        <v>94.460053285979896</v>
      </c>
      <c r="AK2455">
        <v>29.2069688333759</v>
      </c>
      <c r="AL2455">
        <v>80.667458165407893</v>
      </c>
      <c r="AM2455">
        <v>93.773969983448595</v>
      </c>
      <c r="AN2455">
        <v>1.00000005111694</v>
      </c>
    </row>
    <row r="2456" spans="1:40" x14ac:dyDescent="0.25">
      <c r="A2456" t="str">
        <f>"20190304155414842"</f>
        <v>20190304155414842</v>
      </c>
      <c r="B2456" t="str">
        <f>"1551686054839327"</f>
        <v>1551686054839327</v>
      </c>
      <c r="C2456" t="s">
        <v>40</v>
      </c>
      <c r="D2456">
        <v>4.5430539999999997</v>
      </c>
      <c r="E2456">
        <v>0.49416520000000003</v>
      </c>
      <c r="F2456" t="s">
        <v>63</v>
      </c>
      <c r="G2456">
        <v>-376.00319999999999</v>
      </c>
      <c r="H2456" s="1">
        <v>1.6578229999999901E-6</v>
      </c>
      <c r="I2456">
        <v>217.0154</v>
      </c>
      <c r="J2456">
        <v>-405.46460000000002</v>
      </c>
      <c r="K2456">
        <v>1.1096060000000001</v>
      </c>
      <c r="L2456">
        <v>214.66730000000001</v>
      </c>
      <c r="M2456">
        <v>0.99995029999999996</v>
      </c>
      <c r="N2456">
        <v>-9.7948340000000005E-3</v>
      </c>
      <c r="O2456">
        <v>1.9137430000000001E-3</v>
      </c>
      <c r="P2456">
        <v>0.98600540000000003</v>
      </c>
      <c r="Q2456">
        <v>0.15298390000000001</v>
      </c>
      <c r="R2456">
        <v>6.625172E-2</v>
      </c>
      <c r="S2456">
        <v>3.043701</v>
      </c>
      <c r="T2456">
        <v>-0.1134511</v>
      </c>
      <c r="U2456">
        <v>0.2401276</v>
      </c>
      <c r="V2456">
        <v>-6.4318249999999993E-2</v>
      </c>
      <c r="W2456">
        <v>0.16265360000000001</v>
      </c>
      <c r="X2456">
        <v>0.98458469999999998</v>
      </c>
      <c r="Y2456">
        <v>-7.6674660000000006E-2</v>
      </c>
      <c r="Z2456">
        <v>1.750057E-3</v>
      </c>
      <c r="AA2456">
        <v>0.99705460000000001</v>
      </c>
      <c r="AB2456">
        <v>33</v>
      </c>
      <c r="AC2456">
        <v>29.461400000000001</v>
      </c>
      <c r="AD2456">
        <v>-1.1096043421770001</v>
      </c>
      <c r="AE2456">
        <v>2.3480999999999801</v>
      </c>
      <c r="AF2456">
        <v>-2.28848572479344</v>
      </c>
      <c r="AG2456">
        <v>-1.1096043421770001</v>
      </c>
      <c r="AH2456">
        <v>29.424364898700102</v>
      </c>
      <c r="AI2456">
        <v>92.153126847759694</v>
      </c>
      <c r="AJ2456">
        <v>94.447237771250997</v>
      </c>
      <c r="AK2456">
        <v>29.534075885333198</v>
      </c>
      <c r="AL2456">
        <v>80.639045941886494</v>
      </c>
      <c r="AM2456">
        <v>93.737551113077998</v>
      </c>
      <c r="AN2456">
        <v>1.0000000311750501</v>
      </c>
    </row>
    <row r="2457" spans="1:40" x14ac:dyDescent="0.25">
      <c r="A2457" t="str">
        <f>"20190304155414864"</f>
        <v>20190304155414864</v>
      </c>
      <c r="B2457" t="str">
        <f>"1551686054858848"</f>
        <v>1551686054858848</v>
      </c>
      <c r="C2457" t="s">
        <v>40</v>
      </c>
      <c r="D2457">
        <v>4.5613570000000001</v>
      </c>
      <c r="E2457">
        <v>0.49419259999999898</v>
      </c>
      <c r="F2457" t="s">
        <v>63</v>
      </c>
      <c r="G2457">
        <v>-375.12189999999998</v>
      </c>
      <c r="H2457" s="1">
        <v>1.1888050000000001E-6</v>
      </c>
      <c r="I2457">
        <v>217.04169999999999</v>
      </c>
      <c r="J2457">
        <v>-405.12619999999998</v>
      </c>
      <c r="K2457">
        <v>1.10961</v>
      </c>
      <c r="L2457">
        <v>214.6678</v>
      </c>
      <c r="M2457">
        <v>0.99995029999999996</v>
      </c>
      <c r="N2457">
        <v>-9.8150600000000005E-3</v>
      </c>
      <c r="O2457">
        <v>1.8021809999999999E-3</v>
      </c>
      <c r="P2457">
        <v>0.9860314</v>
      </c>
      <c r="Q2457">
        <v>0.15337700000000001</v>
      </c>
      <c r="R2457">
        <v>6.4945879999999998E-2</v>
      </c>
      <c r="S2457">
        <v>3.0438839999999998</v>
      </c>
      <c r="T2457">
        <v>-0.1113118</v>
      </c>
      <c r="U2457">
        <v>0.2381897</v>
      </c>
      <c r="V2457">
        <v>-6.312276E-2</v>
      </c>
      <c r="W2457">
        <v>0.16306619999999999</v>
      </c>
      <c r="X2457">
        <v>0.98459379999999996</v>
      </c>
      <c r="Y2457">
        <v>-7.6152919999999999E-2</v>
      </c>
      <c r="Z2457">
        <v>1.7161679999999999E-3</v>
      </c>
      <c r="AA2457">
        <v>0.9970947</v>
      </c>
      <c r="AB2457">
        <v>33</v>
      </c>
      <c r="AC2457">
        <v>30.004300000000001</v>
      </c>
      <c r="AD2457">
        <v>-1.109608811195</v>
      </c>
      <c r="AE2457">
        <v>2.3738999999999901</v>
      </c>
      <c r="AF2457">
        <v>-2.31667169520634</v>
      </c>
      <c r="AG2457">
        <v>-1.109608811195</v>
      </c>
      <c r="AH2457">
        <v>29.967799379970199</v>
      </c>
      <c r="AI2457">
        <v>92.114202913921702</v>
      </c>
      <c r="AJ2457">
        <v>94.420479415904694</v>
      </c>
      <c r="AK2457">
        <v>30.077686066840201</v>
      </c>
      <c r="AL2457">
        <v>80.615085613794903</v>
      </c>
      <c r="AM2457">
        <v>93.668238522588595</v>
      </c>
      <c r="AN2457">
        <v>1.00000000970544</v>
      </c>
    </row>
    <row r="2458" spans="1:40" x14ac:dyDescent="0.25">
      <c r="A2458" t="str">
        <f>"20190304155414887"</f>
        <v>20190304155414887</v>
      </c>
      <c r="B2458" t="str">
        <f>"1551686054879344"</f>
        <v>1551686054879344</v>
      </c>
      <c r="C2458" t="s">
        <v>40</v>
      </c>
      <c r="D2458">
        <v>4.5022710000000004</v>
      </c>
      <c r="E2458">
        <v>0.4942395</v>
      </c>
      <c r="F2458" t="s">
        <v>63</v>
      </c>
      <c r="G2458">
        <v>-374.28089999999997</v>
      </c>
      <c r="H2458" s="1">
        <v>7.4129140000000004E-7</v>
      </c>
      <c r="I2458">
        <v>217.0401</v>
      </c>
      <c r="J2458">
        <v>-404.79219999999998</v>
      </c>
      <c r="K2458">
        <v>1.1096170000000001</v>
      </c>
      <c r="L2458">
        <v>214.66829999999999</v>
      </c>
      <c r="M2458">
        <v>0.99995029999999996</v>
      </c>
      <c r="N2458">
        <v>-9.8339240000000008E-3</v>
      </c>
      <c r="O2458">
        <v>1.6919379999999901E-3</v>
      </c>
      <c r="P2458">
        <v>0.98605929999999997</v>
      </c>
      <c r="Q2458">
        <v>0.15375429999999901</v>
      </c>
      <c r="R2458">
        <v>6.3615140000000001E-2</v>
      </c>
      <c r="S2458">
        <v>3.044098</v>
      </c>
      <c r="T2458">
        <v>-0.1095064</v>
      </c>
      <c r="U2458">
        <v>0.23411560000000001</v>
      </c>
      <c r="V2458">
        <v>-6.190027E-2</v>
      </c>
      <c r="W2458">
        <v>0.16346189999999999</v>
      </c>
      <c r="X2458">
        <v>0.98460579999999998</v>
      </c>
      <c r="Y2458">
        <v>-7.4933600000000003E-2</v>
      </c>
      <c r="Z2458">
        <v>1.670391E-3</v>
      </c>
      <c r="AA2458">
        <v>0.99718709999999999</v>
      </c>
      <c r="AB2458">
        <v>33</v>
      </c>
      <c r="AC2458">
        <v>30.511299999999999</v>
      </c>
      <c r="AD2458">
        <v>-1.1096162587086</v>
      </c>
      <c r="AE2458">
        <v>2.3717999999999999</v>
      </c>
      <c r="AF2458">
        <v>-2.3171246937822301</v>
      </c>
      <c r="AG2458">
        <v>-1.1096162587086</v>
      </c>
      <c r="AH2458">
        <v>30.4752054473356</v>
      </c>
      <c r="AI2458">
        <v>92.079248396172702</v>
      </c>
      <c r="AJ2458">
        <v>94.348010604117903</v>
      </c>
      <c r="AK2458">
        <v>30.583303649956399</v>
      </c>
      <c r="AL2458">
        <v>80.592105325177499</v>
      </c>
      <c r="AM2458">
        <v>93.597340903621699</v>
      </c>
      <c r="AN2458">
        <v>1.00000000878566</v>
      </c>
    </row>
    <row r="2459" spans="1:40" x14ac:dyDescent="0.25">
      <c r="A2459" t="str">
        <f>"20190304155414911"</f>
        <v>20190304155414911</v>
      </c>
      <c r="B2459" t="str">
        <f>"1551686054909599"</f>
        <v>1551686054909599</v>
      </c>
      <c r="C2459" t="s">
        <v>40</v>
      </c>
      <c r="D2459">
        <v>4.5348819999999996</v>
      </c>
      <c r="E2459">
        <v>0.49424459999999998</v>
      </c>
      <c r="F2459" t="s">
        <v>63</v>
      </c>
      <c r="G2459">
        <v>-373.4366</v>
      </c>
      <c r="H2459" s="1">
        <v>2.9201360000000001E-7</v>
      </c>
      <c r="I2459">
        <v>217.03479999999999</v>
      </c>
      <c r="J2459">
        <v>-404.43180000000001</v>
      </c>
      <c r="K2459">
        <v>1.109618</v>
      </c>
      <c r="L2459">
        <v>214.6688</v>
      </c>
      <c r="M2459">
        <v>0.99995020000000001</v>
      </c>
      <c r="N2459">
        <v>-9.8529350000000002E-3</v>
      </c>
      <c r="O2459">
        <v>1.573229E-3</v>
      </c>
      <c r="P2459">
        <v>0.98612710000000003</v>
      </c>
      <c r="Q2459">
        <v>0.1540078</v>
      </c>
      <c r="R2459">
        <v>6.1926389999999998E-2</v>
      </c>
      <c r="S2459">
        <v>3.0444339999999999</v>
      </c>
      <c r="T2459">
        <v>-0.1077371</v>
      </c>
      <c r="U2459">
        <v>0.22976679999999999</v>
      </c>
      <c r="V2459">
        <v>-6.0328359999999998E-2</v>
      </c>
      <c r="W2459">
        <v>0.16373470000000001</v>
      </c>
      <c r="X2459">
        <v>0.98465809999999998</v>
      </c>
      <c r="Y2459">
        <v>-7.3630029999999999E-2</v>
      </c>
      <c r="Z2459">
        <v>1.6238660000000001E-3</v>
      </c>
      <c r="AA2459">
        <v>0.99728430000000001</v>
      </c>
      <c r="AB2459">
        <v>33</v>
      </c>
      <c r="AC2459">
        <v>30.995200000000001</v>
      </c>
      <c r="AD2459">
        <v>-1.10961770798639</v>
      </c>
      <c r="AE2459">
        <v>2.3659999999999801</v>
      </c>
      <c r="AF2459">
        <v>-2.31428331660711</v>
      </c>
      <c r="AG2459">
        <v>-1.10961770798639</v>
      </c>
      <c r="AH2459">
        <v>30.959435838218401</v>
      </c>
      <c r="AI2459">
        <v>92.046954231014695</v>
      </c>
      <c r="AJ2459">
        <v>94.275029763002195</v>
      </c>
      <c r="AK2459">
        <v>31.065637385190801</v>
      </c>
      <c r="AL2459">
        <v>80.576262141743598</v>
      </c>
      <c r="AM2459">
        <v>93.506034266634998</v>
      </c>
      <c r="AN2459">
        <v>1.0000000684499899</v>
      </c>
    </row>
    <row r="2460" spans="1:40" x14ac:dyDescent="0.25">
      <c r="A2460" t="str">
        <f>"20190304155414934"</f>
        <v>20190304155414934</v>
      </c>
      <c r="B2460" t="str">
        <f>"1551686054929119"</f>
        <v>1551686054929119</v>
      </c>
      <c r="C2460" t="s">
        <v>40</v>
      </c>
      <c r="D2460">
        <v>4.2143169999999897</v>
      </c>
      <c r="E2460">
        <v>0.494286</v>
      </c>
      <c r="F2460" t="s">
        <v>63</v>
      </c>
      <c r="G2460">
        <v>-372.70979999999997</v>
      </c>
      <c r="H2460" s="1">
        <v>-9.4787500000000001E-8</v>
      </c>
      <c r="I2460">
        <v>217.0147</v>
      </c>
      <c r="J2460">
        <v>-404.10140000000001</v>
      </c>
      <c r="K2460">
        <v>1.1096170000000001</v>
      </c>
      <c r="L2460">
        <v>214.66919999999999</v>
      </c>
      <c r="M2460">
        <v>0.99995020000000001</v>
      </c>
      <c r="N2460">
        <v>-9.8693860000000008E-3</v>
      </c>
      <c r="O2460">
        <v>1.4643080000000001E-3</v>
      </c>
      <c r="P2460">
        <v>0.98616170000000003</v>
      </c>
      <c r="Q2460">
        <v>0.15409329999999999</v>
      </c>
      <c r="R2460">
        <v>6.115992E-2</v>
      </c>
      <c r="S2460">
        <v>3.044708</v>
      </c>
      <c r="T2460">
        <v>-0.1065021</v>
      </c>
      <c r="U2460">
        <v>0.22515869999999999</v>
      </c>
      <c r="V2460">
        <v>-5.966954E-2</v>
      </c>
      <c r="W2460">
        <v>0.1638368</v>
      </c>
      <c r="X2460">
        <v>0.98468120000000003</v>
      </c>
      <c r="Y2460">
        <v>-7.2233030000000004E-2</v>
      </c>
      <c r="Z2460">
        <v>1.5816039999999999E-3</v>
      </c>
      <c r="AA2460">
        <v>0.99738649999999995</v>
      </c>
      <c r="AB2460">
        <v>33</v>
      </c>
      <c r="AC2460">
        <v>31.3916</v>
      </c>
      <c r="AD2460">
        <v>-1.1096170947874999</v>
      </c>
      <c r="AE2460">
        <v>2.3455000000000101</v>
      </c>
      <c r="AF2460">
        <v>-2.2966746218632599</v>
      </c>
      <c r="AG2460">
        <v>-1.1096170947874999</v>
      </c>
      <c r="AH2460">
        <v>31.356040697847899</v>
      </c>
      <c r="AI2460">
        <v>92.021307947849905</v>
      </c>
      <c r="AJ2460">
        <v>94.189151283403305</v>
      </c>
      <c r="AK2460">
        <v>31.459613040545399</v>
      </c>
      <c r="AL2460">
        <v>80.570331592225997</v>
      </c>
      <c r="AM2460">
        <v>93.467759175826501</v>
      </c>
      <c r="AN2460">
        <v>1.0000000083357401</v>
      </c>
    </row>
    <row r="2461" spans="1:40" x14ac:dyDescent="0.25">
      <c r="A2461" t="str">
        <f>"20190304155414955"</f>
        <v>20190304155414955</v>
      </c>
      <c r="B2461" t="str">
        <f>"1551686054949615"</f>
        <v>1551686054949615</v>
      </c>
      <c r="C2461" t="s">
        <v>40</v>
      </c>
      <c r="D2461">
        <v>4.5751730000000004</v>
      </c>
      <c r="E2461">
        <v>0.52683119999999894</v>
      </c>
      <c r="F2461" t="s">
        <v>63</v>
      </c>
      <c r="G2461">
        <v>-372.18169999999998</v>
      </c>
      <c r="H2461" s="1">
        <v>-3.7578250000000001E-7</v>
      </c>
      <c r="I2461">
        <v>217.00559999999999</v>
      </c>
      <c r="J2461">
        <v>-403.76949999999999</v>
      </c>
      <c r="K2461">
        <v>1.1096109999999999</v>
      </c>
      <c r="L2461">
        <v>214.6696</v>
      </c>
      <c r="M2461">
        <v>0.99995029999999996</v>
      </c>
      <c r="N2461">
        <v>-9.8848229999999992E-3</v>
      </c>
      <c r="O2461">
        <v>1.355094E-3</v>
      </c>
      <c r="P2461">
        <v>0.98623680000000002</v>
      </c>
      <c r="Q2461">
        <v>0.15388540000000001</v>
      </c>
      <c r="R2461">
        <v>6.0466499999999999E-2</v>
      </c>
      <c r="S2461">
        <v>3.0448</v>
      </c>
      <c r="T2461">
        <v>-0.1058457</v>
      </c>
      <c r="U2461">
        <v>0.22286990000000001</v>
      </c>
      <c r="V2461">
        <v>-5.9083120000000003E-2</v>
      </c>
      <c r="W2461">
        <v>0.1636444</v>
      </c>
      <c r="X2461">
        <v>0.98474850000000003</v>
      </c>
      <c r="Y2461">
        <v>-7.1595080000000005E-2</v>
      </c>
      <c r="Z2461">
        <v>1.563201E-3</v>
      </c>
      <c r="AA2461">
        <v>0.99743250000000006</v>
      </c>
      <c r="AB2461">
        <v>34</v>
      </c>
      <c r="AC2461">
        <v>31.587800000000001</v>
      </c>
      <c r="AD2461">
        <v>-1.1096113757824999</v>
      </c>
      <c r="AE2461">
        <v>2.3359999999999799</v>
      </c>
      <c r="AF2461">
        <v>-2.2903804506220999</v>
      </c>
      <c r="AG2461">
        <v>-1.1096113757824999</v>
      </c>
      <c r="AH2461">
        <v>31.552214076616298</v>
      </c>
      <c r="AI2461">
        <v>92.0088359483414</v>
      </c>
      <c r="AJ2461">
        <v>94.151827898891597</v>
      </c>
      <c r="AK2461">
        <v>31.654688328121001</v>
      </c>
      <c r="AL2461">
        <v>80.581505625114602</v>
      </c>
      <c r="AM2461">
        <v>93.433526588170196</v>
      </c>
      <c r="AN2461">
        <v>0.99999995648627105</v>
      </c>
    </row>
    <row r="2462" spans="1:40" x14ac:dyDescent="0.25">
      <c r="A2462" t="str">
        <f>"20190304155414977"</f>
        <v>20190304155414977</v>
      </c>
      <c r="B2462" t="str">
        <f>"1551686054969394"</f>
        <v>1551686054969394</v>
      </c>
      <c r="C2462" t="s">
        <v>40</v>
      </c>
      <c r="D2462">
        <v>4.5118359999999997</v>
      </c>
      <c r="E2462">
        <v>0.53548339999999905</v>
      </c>
      <c r="F2462" t="s">
        <v>63</v>
      </c>
      <c r="G2462">
        <v>-365.3107</v>
      </c>
      <c r="H2462" s="1">
        <v>1.289319E-6</v>
      </c>
      <c r="I2462">
        <v>214.1979</v>
      </c>
      <c r="J2462">
        <v>-403.44959999999998</v>
      </c>
      <c r="K2462">
        <v>1.1096079999999999</v>
      </c>
      <c r="L2462">
        <v>214.66990000000001</v>
      </c>
      <c r="M2462">
        <v>0.99995029999999996</v>
      </c>
      <c r="N2462">
        <v>-9.8986379999999995E-3</v>
      </c>
      <c r="O2462">
        <v>1.249879E-3</v>
      </c>
      <c r="P2462">
        <v>0.98629270000000002</v>
      </c>
      <c r="Q2462">
        <v>0.15362700000000001</v>
      </c>
      <c r="R2462">
        <v>6.0214860000000002E-2</v>
      </c>
      <c r="S2462">
        <v>3.057922</v>
      </c>
      <c r="T2462">
        <v>-8.8227029999999998E-2</v>
      </c>
      <c r="U2462">
        <v>-3.7506100000000001E-2</v>
      </c>
      <c r="V2462">
        <v>-5.893574E-2</v>
      </c>
      <c r="W2462">
        <v>0.16339979999999901</v>
      </c>
      <c r="X2462">
        <v>0.98479799999999995</v>
      </c>
      <c r="Y2462">
        <v>1.350637E-2</v>
      </c>
      <c r="Z2462">
        <v>-2.8534730000000003E-4</v>
      </c>
      <c r="AA2462">
        <v>0.99990869999999998</v>
      </c>
      <c r="AB2462">
        <v>34</v>
      </c>
      <c r="AC2462">
        <v>38.1388999999999</v>
      </c>
      <c r="AD2462">
        <v>-1.1096067106809999</v>
      </c>
      <c r="AE2462">
        <v>-0.47200000000000802</v>
      </c>
      <c r="AF2462">
        <v>0.51923153675627598</v>
      </c>
      <c r="AG2462">
        <v>-1.1096067106809999</v>
      </c>
      <c r="AH2462">
        <v>38.106030287003101</v>
      </c>
      <c r="AI2462">
        <v>91.667765575948593</v>
      </c>
      <c r="AJ2462">
        <v>89.219337872682004</v>
      </c>
      <c r="AK2462">
        <v>38.125717995536199</v>
      </c>
      <c r="AL2462">
        <v>80.595711880771006</v>
      </c>
      <c r="AM2462">
        <v>93.424810491280695</v>
      </c>
      <c r="AN2462">
        <v>1.00000000844669</v>
      </c>
    </row>
    <row r="2463" spans="1:40" x14ac:dyDescent="0.25">
      <c r="A2463" t="str">
        <f>"20190304155414998"</f>
        <v>20190304155414998</v>
      </c>
      <c r="B2463" t="str">
        <f>"1551686054988914"</f>
        <v>1551686054988914</v>
      </c>
      <c r="C2463" t="s">
        <v>40</v>
      </c>
      <c r="D2463">
        <v>4.526821</v>
      </c>
      <c r="E2463">
        <v>0.53917569999999904</v>
      </c>
      <c r="F2463" t="s">
        <v>63</v>
      </c>
      <c r="G2463">
        <v>-360.54610000000002</v>
      </c>
      <c r="H2463" s="1">
        <v>-1.2461780000000001E-6</v>
      </c>
      <c r="I2463">
        <v>213.173</v>
      </c>
      <c r="J2463">
        <v>-403.12439999999998</v>
      </c>
      <c r="K2463">
        <v>1.1096079999999999</v>
      </c>
      <c r="L2463">
        <v>214.67019999999999</v>
      </c>
      <c r="M2463">
        <v>0.99995029999999996</v>
      </c>
      <c r="N2463">
        <v>-9.9118109999999995E-3</v>
      </c>
      <c r="O2463">
        <v>1.143179E-3</v>
      </c>
      <c r="P2463">
        <v>0.98633590000000004</v>
      </c>
      <c r="Q2463">
        <v>0.15344269999999999</v>
      </c>
      <c r="R2463">
        <v>5.9976109999999999E-2</v>
      </c>
      <c r="S2463">
        <v>3.0605769999999999</v>
      </c>
      <c r="T2463">
        <v>-7.9155329999999996E-2</v>
      </c>
      <c r="U2463">
        <v>-0.106781</v>
      </c>
      <c r="V2463">
        <v>-5.8802189999999997E-2</v>
      </c>
      <c r="W2463">
        <v>0.16322900000000001</v>
      </c>
      <c r="X2463">
        <v>0.98483430000000005</v>
      </c>
      <c r="Y2463">
        <v>3.5993700000000003E-2</v>
      </c>
      <c r="Z2463">
        <v>-6.6193759999999904E-4</v>
      </c>
      <c r="AA2463">
        <v>0.99935180000000001</v>
      </c>
      <c r="AB2463">
        <v>34</v>
      </c>
      <c r="AC2463">
        <v>42.578299999999899</v>
      </c>
      <c r="AD2463">
        <v>-1.1096092461779901</v>
      </c>
      <c r="AE2463">
        <v>-1.4971999999999901</v>
      </c>
      <c r="AF2463">
        <v>1.54482815838709</v>
      </c>
      <c r="AG2463">
        <v>-1.1096092461779901</v>
      </c>
      <c r="AH2463">
        <v>42.547700085115601</v>
      </c>
      <c r="AI2463">
        <v>91.492905224863804</v>
      </c>
      <c r="AJ2463">
        <v>87.920609822166398</v>
      </c>
      <c r="AK2463">
        <v>42.590192641629301</v>
      </c>
      <c r="AL2463">
        <v>80.605631107065904</v>
      </c>
      <c r="AM2463">
        <v>93.416942535731806</v>
      </c>
      <c r="AN2463">
        <v>1.00000000122314</v>
      </c>
    </row>
    <row r="2464" spans="1:40" x14ac:dyDescent="0.25">
      <c r="A2464" t="str">
        <f>"20190304155415024"</f>
        <v>20190304155415024</v>
      </c>
      <c r="B2464" t="str">
        <f>"1551686055019172"</f>
        <v>1551686055019172</v>
      </c>
      <c r="C2464" t="s">
        <v>40</v>
      </c>
      <c r="D2464">
        <v>4.5453340000000004</v>
      </c>
      <c r="E2464">
        <v>0.54206509999999997</v>
      </c>
      <c r="F2464" t="s">
        <v>63</v>
      </c>
      <c r="G2464">
        <v>-356.3544</v>
      </c>
      <c r="H2464" s="1">
        <v>1.9328860000000002E-6</v>
      </c>
      <c r="I2464">
        <v>212.5986</v>
      </c>
      <c r="J2464">
        <v>-402.74939999999998</v>
      </c>
      <c r="K2464">
        <v>1.1096060000000001</v>
      </c>
      <c r="L2464">
        <v>214.6705</v>
      </c>
      <c r="M2464">
        <v>0.99995020000000001</v>
      </c>
      <c r="N2464">
        <v>-9.9256629999999995E-3</v>
      </c>
      <c r="O2464">
        <v>1.0199059999999999E-3</v>
      </c>
      <c r="P2464">
        <v>0.9864368</v>
      </c>
      <c r="Q2464">
        <v>0.1529452</v>
      </c>
      <c r="R2464">
        <v>5.9585600000000002E-2</v>
      </c>
      <c r="S2464">
        <v>3.0611269999999999</v>
      </c>
      <c r="T2464">
        <v>-7.2624330000000001E-2</v>
      </c>
      <c r="U2464">
        <v>-0.1355896</v>
      </c>
      <c r="V2464">
        <v>-5.8533139999999997E-2</v>
      </c>
      <c r="W2464">
        <v>0.16274630000000001</v>
      </c>
      <c r="X2464">
        <v>0.98493019999999998</v>
      </c>
      <c r="Y2464">
        <v>4.5251430000000002E-2</v>
      </c>
      <c r="Z2464">
        <v>-7.7524979999999896E-4</v>
      </c>
      <c r="AA2464">
        <v>0.99897530000000001</v>
      </c>
      <c r="AB2464">
        <v>34</v>
      </c>
      <c r="AC2464">
        <v>46.394999999999897</v>
      </c>
      <c r="AD2464">
        <v>-1.1096040671139999</v>
      </c>
      <c r="AE2464">
        <v>-2.0718999999999901</v>
      </c>
      <c r="AF2464">
        <v>2.1180107087397602</v>
      </c>
      <c r="AG2464">
        <v>-1.1096040671139999</v>
      </c>
      <c r="AH2464">
        <v>46.366393970542497</v>
      </c>
      <c r="AI2464">
        <v>91.369468347590697</v>
      </c>
      <c r="AJ2464">
        <v>87.384554575669696</v>
      </c>
      <c r="AK2464">
        <v>46.428005345692497</v>
      </c>
      <c r="AL2464">
        <v>80.633662534342903</v>
      </c>
      <c r="AM2464">
        <v>93.401014669042993</v>
      </c>
      <c r="AN2464">
        <v>0.99999999275699403</v>
      </c>
    </row>
    <row r="2465" spans="1:40" x14ac:dyDescent="0.25">
      <c r="A2465" t="str">
        <f>"20190304155415043"</f>
        <v>20190304155415043</v>
      </c>
      <c r="B2465" t="str">
        <f>"1551686055039666"</f>
        <v>1551686055039666</v>
      </c>
      <c r="C2465" t="s">
        <v>40</v>
      </c>
      <c r="D2465">
        <v>4.5764889999999996</v>
      </c>
      <c r="E2465">
        <v>0.54307740000000004</v>
      </c>
      <c r="F2465" t="s">
        <v>63</v>
      </c>
      <c r="G2465">
        <v>-351.58359999999999</v>
      </c>
      <c r="H2465" s="1">
        <v>-5.7962350000000004E-7</v>
      </c>
      <c r="I2465">
        <v>211.9984</v>
      </c>
      <c r="J2465">
        <v>-402.44779999999997</v>
      </c>
      <c r="K2465">
        <v>1.109605</v>
      </c>
      <c r="L2465">
        <v>214.67070000000001</v>
      </c>
      <c r="M2465">
        <v>0.99995029999999996</v>
      </c>
      <c r="N2465">
        <v>-9.9358490000000001E-3</v>
      </c>
      <c r="O2465">
        <v>9.2043349999999997E-4</v>
      </c>
      <c r="P2465">
        <v>0.98637660000000005</v>
      </c>
      <c r="Q2465">
        <v>0.15316769999999999</v>
      </c>
      <c r="R2465">
        <v>6.0010319999999999E-2</v>
      </c>
      <c r="S2465">
        <v>3.061188</v>
      </c>
      <c r="T2465">
        <v>-6.6386459999999994E-2</v>
      </c>
      <c r="U2465">
        <v>-0.15986629999999999</v>
      </c>
      <c r="V2465">
        <v>-5.9055900000000001E-2</v>
      </c>
      <c r="W2465">
        <v>0.16297819999999999</v>
      </c>
      <c r="X2465">
        <v>0.98486070000000003</v>
      </c>
      <c r="Y2465">
        <v>5.3053549999999998E-2</v>
      </c>
      <c r="Z2465">
        <v>-8.4941740000000002E-4</v>
      </c>
      <c r="AA2465">
        <v>0.99859129999999996</v>
      </c>
      <c r="AB2465">
        <v>34</v>
      </c>
      <c r="AC2465">
        <v>50.864199999999897</v>
      </c>
      <c r="AD2465">
        <v>-1.1096055796235</v>
      </c>
      <c r="AE2465">
        <v>-2.6722999999999999</v>
      </c>
      <c r="AF2465">
        <v>2.71782844291738</v>
      </c>
      <c r="AG2465">
        <v>-1.1096055796235</v>
      </c>
      <c r="AH2465">
        <v>50.837591802333002</v>
      </c>
      <c r="AI2465">
        <v>91.248584103805797</v>
      </c>
      <c r="AJ2465">
        <v>86.939823579921196</v>
      </c>
      <c r="AK2465">
        <v>50.922279566493302</v>
      </c>
      <c r="AL2465">
        <v>80.620196347828198</v>
      </c>
      <c r="AM2465">
        <v>93.4315584711605</v>
      </c>
      <c r="AN2465">
        <v>1.00000004570226</v>
      </c>
    </row>
    <row r="2466" spans="1:40" x14ac:dyDescent="0.25">
      <c r="A2466" t="str">
        <f>"20190304155415066"</f>
        <v>20190304155415066</v>
      </c>
      <c r="B2466" t="str">
        <f>"1551686055059186"</f>
        <v>1551686055059186</v>
      </c>
      <c r="C2466" t="s">
        <v>40</v>
      </c>
      <c r="D2466">
        <v>4.546913</v>
      </c>
      <c r="E2466">
        <v>0.54416390000000003</v>
      </c>
      <c r="F2466" t="s">
        <v>63</v>
      </c>
      <c r="G2466">
        <v>-348.55790000000002</v>
      </c>
      <c r="H2466" s="1">
        <v>3.0172870000000002E-6</v>
      </c>
      <c r="I2466">
        <v>211.72229999999999</v>
      </c>
      <c r="J2466">
        <v>-402.10289999999998</v>
      </c>
      <c r="K2466">
        <v>1.1096029999999999</v>
      </c>
      <c r="L2466">
        <v>214.67089999999999</v>
      </c>
      <c r="M2466">
        <v>0.99995020000000001</v>
      </c>
      <c r="N2466">
        <v>-9.9466290000000002E-3</v>
      </c>
      <c r="O2466">
        <v>8.0712850000000001E-4</v>
      </c>
      <c r="P2466">
        <v>0.98637370000000002</v>
      </c>
      <c r="Q2466">
        <v>0.15285599999999999</v>
      </c>
      <c r="R2466">
        <v>6.0844429999999998E-2</v>
      </c>
      <c r="S2466">
        <v>3.0614319999999999</v>
      </c>
      <c r="T2466">
        <v>-6.3035369999999993E-2</v>
      </c>
      <c r="U2466">
        <v>-0.1674957</v>
      </c>
      <c r="V2466">
        <v>-6.000142E-2</v>
      </c>
      <c r="W2466">
        <v>0.16267760000000001</v>
      </c>
      <c r="X2466">
        <v>0.98485319999999998</v>
      </c>
      <c r="Y2466">
        <v>5.5418380000000003E-2</v>
      </c>
      <c r="Z2466">
        <v>-8.5450209999999996E-4</v>
      </c>
      <c r="AA2466">
        <v>0.99846290000000004</v>
      </c>
      <c r="AB2466">
        <v>34</v>
      </c>
      <c r="AC2466">
        <v>53.544999999999902</v>
      </c>
      <c r="AD2466">
        <v>-1.1095999827130001</v>
      </c>
      <c r="AE2466">
        <v>-2.9485999999999901</v>
      </c>
      <c r="AF2466">
        <v>2.9905385210598499</v>
      </c>
      <c r="AG2466">
        <v>-1.1095999827130001</v>
      </c>
      <c r="AH2466">
        <v>53.519688924180699</v>
      </c>
      <c r="AI2466">
        <v>91.185868504929104</v>
      </c>
      <c r="AJ2466">
        <v>86.801789335501198</v>
      </c>
      <c r="AK2466">
        <v>53.614658772658899</v>
      </c>
      <c r="AL2466">
        <v>80.637651975082406</v>
      </c>
      <c r="AM2466">
        <v>93.486391791679395</v>
      </c>
      <c r="AN2466">
        <v>0.99999999874700796</v>
      </c>
    </row>
    <row r="2467" spans="1:40" x14ac:dyDescent="0.25">
      <c r="A2467" t="str">
        <f>"20190304155415088"</f>
        <v>20190304155415088</v>
      </c>
      <c r="B2467" t="str">
        <f>"1551686055079682"</f>
        <v>1551686055079682</v>
      </c>
      <c r="C2467" t="s">
        <v>40</v>
      </c>
      <c r="D2467">
        <v>4.5956970000000004</v>
      </c>
      <c r="E2467">
        <v>0.54480280000000003</v>
      </c>
      <c r="F2467" t="s">
        <v>63</v>
      </c>
      <c r="G2467">
        <v>-347.75199999999899</v>
      </c>
      <c r="H2467" s="1">
        <v>2.5884129999999998E-6</v>
      </c>
      <c r="I2467">
        <v>211.57900000000001</v>
      </c>
      <c r="J2467">
        <v>-401.7672</v>
      </c>
      <c r="K2467">
        <v>1.109607</v>
      </c>
      <c r="L2467">
        <v>214.6711</v>
      </c>
      <c r="M2467">
        <v>0.99995029999999996</v>
      </c>
      <c r="N2467">
        <v>-9.9564089999999994E-3</v>
      </c>
      <c r="O2467">
        <v>6.9657179999999897E-4</v>
      </c>
      <c r="P2467">
        <v>0.98642890000000005</v>
      </c>
      <c r="Q2467">
        <v>0.1522898</v>
      </c>
      <c r="R2467">
        <v>6.1368010000000001E-2</v>
      </c>
      <c r="S2467">
        <v>3.0618289999999999</v>
      </c>
      <c r="T2467">
        <v>-6.25087E-2</v>
      </c>
      <c r="U2467">
        <v>-0.1741791</v>
      </c>
      <c r="V2467">
        <v>-6.0633970000000002E-2</v>
      </c>
      <c r="W2467">
        <v>0.1621215</v>
      </c>
      <c r="X2467">
        <v>0.98490610000000001</v>
      </c>
      <c r="Y2467">
        <v>5.7473110000000001E-2</v>
      </c>
      <c r="Z2467">
        <v>-8.7980960000000005E-4</v>
      </c>
      <c r="AA2467">
        <v>0.99834670000000003</v>
      </c>
      <c r="AB2467">
        <v>34</v>
      </c>
      <c r="AC2467">
        <v>54.0152</v>
      </c>
      <c r="AD2467">
        <v>-1.1096044115870001</v>
      </c>
      <c r="AE2467">
        <v>-3.0920999999999799</v>
      </c>
      <c r="AF2467">
        <v>3.12841072307139</v>
      </c>
      <c r="AG2467">
        <v>-1.1096044115870001</v>
      </c>
      <c r="AH2467">
        <v>53.990323842641999</v>
      </c>
      <c r="AI2467">
        <v>91.175401104380398</v>
      </c>
      <c r="AJ2467">
        <v>86.683766333317706</v>
      </c>
      <c r="AK2467">
        <v>54.092266029773597</v>
      </c>
      <c r="AL2467">
        <v>80.669942286905396</v>
      </c>
      <c r="AM2467">
        <v>93.522865366320005</v>
      </c>
      <c r="AN2467">
        <v>0.99999994244870805</v>
      </c>
    </row>
    <row r="2468" spans="1:40" x14ac:dyDescent="0.25">
      <c r="A2468" t="str">
        <f>"20190304155415112"</f>
        <v>20190304155415112</v>
      </c>
      <c r="B2468" t="str">
        <f>"1551686055108962"</f>
        <v>1551686055108962</v>
      </c>
      <c r="C2468" t="s">
        <v>40</v>
      </c>
      <c r="D2468">
        <v>4.5543870000000002</v>
      </c>
      <c r="E2468">
        <v>0.54572900000000002</v>
      </c>
      <c r="F2468" t="s">
        <v>63</v>
      </c>
      <c r="G2468">
        <v>-348.61900000000003</v>
      </c>
      <c r="H2468" s="1">
        <v>3.049816E-6</v>
      </c>
      <c r="I2468">
        <v>211.59950000000001</v>
      </c>
      <c r="J2468">
        <v>-401.40629999999999</v>
      </c>
      <c r="K2468">
        <v>1.109607</v>
      </c>
      <c r="L2468">
        <v>214.6712</v>
      </c>
      <c r="M2468">
        <v>0.99995020000000001</v>
      </c>
      <c r="N2468">
        <v>-9.9660289999999995E-3</v>
      </c>
      <c r="O2468">
        <v>5.7785099999999999E-4</v>
      </c>
      <c r="P2468">
        <v>0.98645620000000001</v>
      </c>
      <c r="Q2468">
        <v>0.15198879999999901</v>
      </c>
      <c r="R2468">
        <v>6.1673169999999999E-2</v>
      </c>
      <c r="S2468">
        <v>3.0622250000000002</v>
      </c>
      <c r="T2468">
        <v>-6.3931699999999994E-2</v>
      </c>
      <c r="U2468">
        <v>-0.1769714</v>
      </c>
      <c r="V2468">
        <v>-6.1056300000000001E-2</v>
      </c>
      <c r="W2468">
        <v>0.16183020000000001</v>
      </c>
      <c r="X2468">
        <v>0.98492800000000003</v>
      </c>
      <c r="Y2468">
        <v>5.8253680000000002E-2</v>
      </c>
      <c r="Z2468">
        <v>-9.0439700000000004E-4</v>
      </c>
      <c r="AA2468">
        <v>0.99830140000000001</v>
      </c>
      <c r="AB2468">
        <v>34</v>
      </c>
      <c r="AC2468">
        <v>52.787299999999902</v>
      </c>
      <c r="AD2468">
        <v>-1.109603950184</v>
      </c>
      <c r="AE2468">
        <v>-3.0716999999999901</v>
      </c>
      <c r="AF2468">
        <v>3.1008387062940699</v>
      </c>
      <c r="AG2468">
        <v>-1.109603950184</v>
      </c>
      <c r="AH2468">
        <v>52.762281653053698</v>
      </c>
      <c r="AI2468">
        <v>91.202692356075801</v>
      </c>
      <c r="AJ2468">
        <v>86.636596414291702</v>
      </c>
      <c r="AK2468">
        <v>52.864967481734801</v>
      </c>
      <c r="AL2468">
        <v>80.686856675860298</v>
      </c>
      <c r="AM2468">
        <v>93.547261845030405</v>
      </c>
      <c r="AN2468">
        <v>1.00000002529286</v>
      </c>
    </row>
    <row r="2469" spans="1:40" x14ac:dyDescent="0.25">
      <c r="A2469" t="str">
        <f>"20190304155415156"</f>
        <v>20190304155415156</v>
      </c>
      <c r="B2469" t="str">
        <f>"1551686055148978"</f>
        <v>1551686055148978</v>
      </c>
      <c r="C2469" t="s">
        <v>40</v>
      </c>
      <c r="D2469">
        <v>4.5653739999999896</v>
      </c>
      <c r="E2469">
        <v>0.5463865</v>
      </c>
      <c r="F2469" t="s">
        <v>63</v>
      </c>
      <c r="G2469">
        <v>-348.45650000000001</v>
      </c>
      <c r="H2469" s="1">
        <v>2.963321E-6</v>
      </c>
      <c r="I2469">
        <v>211.50569999999999</v>
      </c>
      <c r="J2469">
        <v>-400.74259999999998</v>
      </c>
      <c r="K2469">
        <v>1.109612</v>
      </c>
      <c r="L2469">
        <v>214.6713</v>
      </c>
      <c r="M2469">
        <v>0.99995020000000001</v>
      </c>
      <c r="N2469">
        <v>-9.9818509999999999E-3</v>
      </c>
      <c r="O2469">
        <v>3.5932120000000003E-4</v>
      </c>
      <c r="P2469">
        <v>0.98640729999999999</v>
      </c>
      <c r="Q2469">
        <v>0.15231539999999999</v>
      </c>
      <c r="R2469">
        <v>6.1650249999999997E-2</v>
      </c>
      <c r="S2469">
        <v>3.0625610000000001</v>
      </c>
      <c r="T2469">
        <v>-6.4178349999999995E-2</v>
      </c>
      <c r="U2469">
        <v>-0.18309020000000001</v>
      </c>
      <c r="V2469">
        <v>-6.1249140000000001E-2</v>
      </c>
      <c r="W2469">
        <v>0.16217179999999901</v>
      </c>
      <c r="X2469">
        <v>0.98485979999999995</v>
      </c>
      <c r="Y2469">
        <v>6.0016100000000003E-2</v>
      </c>
      <c r="Z2469">
        <v>-9.320102E-4</v>
      </c>
      <c r="AA2469">
        <v>0.998197</v>
      </c>
      <c r="AB2469">
        <v>34</v>
      </c>
      <c r="AC2469">
        <v>52.286099999999898</v>
      </c>
      <c r="AD2469">
        <v>-1.1096090366789999</v>
      </c>
      <c r="AE2469">
        <v>-3.1656000000000102</v>
      </c>
      <c r="AF2469">
        <v>3.1829599665223101</v>
      </c>
      <c r="AG2469">
        <v>-1.1096090366789999</v>
      </c>
      <c r="AH2469">
        <v>52.261508153218898</v>
      </c>
      <c r="AI2469">
        <v>91.214064297756593</v>
      </c>
      <c r="AJ2469">
        <v>86.514735462757102</v>
      </c>
      <c r="AK2469">
        <v>52.370103120117399</v>
      </c>
      <c r="AL2469">
        <v>80.667022086081104</v>
      </c>
      <c r="AM2469">
        <v>93.5586825445708</v>
      </c>
      <c r="AN2469">
        <v>0.99999998776100896</v>
      </c>
    </row>
    <row r="2470" spans="1:40" x14ac:dyDescent="0.25">
      <c r="A2470" t="str">
        <f>"20190304155415177"</f>
        <v>20190304155415177</v>
      </c>
      <c r="B2470" t="str">
        <f>"1551686055169475"</f>
        <v>1551686055169475</v>
      </c>
      <c r="C2470" t="s">
        <v>40</v>
      </c>
      <c r="D2470">
        <v>4.5837849999999998</v>
      </c>
      <c r="E2470">
        <v>0.5466105</v>
      </c>
      <c r="F2470" t="s">
        <v>63</v>
      </c>
      <c r="G2470">
        <v>-346.56420000000003</v>
      </c>
      <c r="H2470" s="1">
        <v>1.956352E-6</v>
      </c>
      <c r="I2470">
        <v>211.3451</v>
      </c>
      <c r="J2470">
        <v>-400.41239999999999</v>
      </c>
      <c r="K2470">
        <v>1.109604</v>
      </c>
      <c r="L2470">
        <v>214.6713</v>
      </c>
      <c r="M2470">
        <v>0.99995020000000001</v>
      </c>
      <c r="N2470">
        <v>-9.9893559999999996E-3</v>
      </c>
      <c r="O2470">
        <v>2.5044629999999997E-4</v>
      </c>
      <c r="P2470">
        <v>0.98641060000000003</v>
      </c>
      <c r="Q2470">
        <v>0.15245120000000001</v>
      </c>
      <c r="R2470">
        <v>6.1261870000000003E-2</v>
      </c>
      <c r="S2470">
        <v>3.0627439999999999</v>
      </c>
      <c r="T2470">
        <v>-6.2727089999999999E-2</v>
      </c>
      <c r="U2470">
        <v>-0.18803410000000001</v>
      </c>
      <c r="V2470">
        <v>-6.0968260000000003E-2</v>
      </c>
      <c r="W2470">
        <v>0.162315299999999</v>
      </c>
      <c r="X2470">
        <v>0.9848536</v>
      </c>
      <c r="Y2470">
        <v>6.1509429999999997E-2</v>
      </c>
      <c r="Z2470">
        <v>-9.3940820000000004E-4</v>
      </c>
      <c r="AA2470">
        <v>0.9981061</v>
      </c>
      <c r="AB2470">
        <v>34</v>
      </c>
      <c r="AC2470">
        <v>53.848199999999899</v>
      </c>
      <c r="AD2470">
        <v>-1.1096020436480001</v>
      </c>
      <c r="AE2470">
        <v>-3.3262</v>
      </c>
      <c r="AF2470">
        <v>3.3382745662282098</v>
      </c>
      <c r="AG2470">
        <v>-1.1096020436480001</v>
      </c>
      <c r="AH2470">
        <v>53.824597543645602</v>
      </c>
      <c r="AI2470">
        <v>91.178729429140205</v>
      </c>
      <c r="AJ2470">
        <v>86.450983965954507</v>
      </c>
      <c r="AK2470">
        <v>53.939434503062898</v>
      </c>
      <c r="AL2470">
        <v>80.658689853855705</v>
      </c>
      <c r="AM2470">
        <v>93.542426819164405</v>
      </c>
      <c r="AN2470">
        <v>0.99999999938723805</v>
      </c>
    </row>
    <row r="2471" spans="1:40" x14ac:dyDescent="0.25">
      <c r="A2471" t="str">
        <f>"20190304155415200"</f>
        <v>20190304155415200</v>
      </c>
      <c r="B2471" t="str">
        <f>"1551686055188994"</f>
        <v>1551686055188994</v>
      </c>
      <c r="C2471" t="s">
        <v>40</v>
      </c>
      <c r="D2471">
        <v>4.5662830000000003</v>
      </c>
      <c r="E2471">
        <v>0.54684999999999995</v>
      </c>
      <c r="F2471" t="s">
        <v>63</v>
      </c>
      <c r="G2471">
        <v>-345.01229999999998</v>
      </c>
      <c r="H2471" s="1">
        <v>1.1305020000000001E-6</v>
      </c>
      <c r="I2471">
        <v>211.21449999999999</v>
      </c>
      <c r="J2471">
        <v>-400.06380000000001</v>
      </c>
      <c r="K2471">
        <v>1.1096029999999999</v>
      </c>
      <c r="L2471">
        <v>214.6713</v>
      </c>
      <c r="M2471">
        <v>0.99995009999999995</v>
      </c>
      <c r="N2471">
        <v>-9.9970570000000002E-3</v>
      </c>
      <c r="O2471">
        <v>1.3674330000000001E-4</v>
      </c>
      <c r="P2471">
        <v>0.98641009999999996</v>
      </c>
      <c r="Q2471">
        <v>0.15270230000000001</v>
      </c>
      <c r="R2471">
        <v>6.0643559999999999E-2</v>
      </c>
      <c r="S2471">
        <v>3.0626829999999998</v>
      </c>
      <c r="T2471">
        <v>-6.134212E-2</v>
      </c>
      <c r="U2471">
        <v>-0.1911011</v>
      </c>
      <c r="V2471">
        <v>-6.0462229999999999E-2</v>
      </c>
      <c r="W2471">
        <v>0.1625732</v>
      </c>
      <c r="X2471">
        <v>0.9848422</v>
      </c>
      <c r="Y2471">
        <v>6.2393280000000002E-2</v>
      </c>
      <c r="Z2471">
        <v>-9.3776669999999995E-4</v>
      </c>
      <c r="AA2471">
        <v>0.99805120000000003</v>
      </c>
      <c r="AB2471">
        <v>34</v>
      </c>
      <c r="AC2471">
        <v>55.051499999999997</v>
      </c>
      <c r="AD2471">
        <v>-1.1096018694980001</v>
      </c>
      <c r="AE2471">
        <v>-3.4568000000000101</v>
      </c>
      <c r="AF2471">
        <v>3.4629269694183602</v>
      </c>
      <c r="AG2471">
        <v>-1.1096018694980001</v>
      </c>
      <c r="AH2471">
        <v>55.028758995017697</v>
      </c>
      <c r="AI2471">
        <v>91.152877723278607</v>
      </c>
      <c r="AJ2471">
        <v>86.399159014766298</v>
      </c>
      <c r="AK2471">
        <v>55.148775109117899</v>
      </c>
      <c r="AL2471">
        <v>80.643713829059905</v>
      </c>
      <c r="AM2471">
        <v>93.513139564531897</v>
      </c>
      <c r="AN2471">
        <v>0.999999942757824</v>
      </c>
    </row>
    <row r="2472" spans="1:40" x14ac:dyDescent="0.25">
      <c r="A2472" t="str">
        <f>"20190304155415223"</f>
        <v>20190304155415223</v>
      </c>
      <c r="B2472" t="str">
        <f>"1551686055219252"</f>
        <v>1551686055219252</v>
      </c>
      <c r="C2472" t="s">
        <v>40</v>
      </c>
      <c r="D2472">
        <v>4.6753629999999999</v>
      </c>
      <c r="E2472">
        <v>0.54703480000000004</v>
      </c>
      <c r="F2472" t="s">
        <v>63</v>
      </c>
      <c r="G2472">
        <v>-343.4513</v>
      </c>
      <c r="H2472" s="1">
        <v>2.9982899999999998E-7</v>
      </c>
      <c r="I2472">
        <v>211.0789</v>
      </c>
      <c r="J2472">
        <v>-399.73149999999998</v>
      </c>
      <c r="K2472">
        <v>1.109602</v>
      </c>
      <c r="L2472">
        <v>214.6712</v>
      </c>
      <c r="M2472">
        <v>0.99995009999999995</v>
      </c>
      <c r="N2472">
        <v>-1.000407E-2</v>
      </c>
      <c r="O2472" s="1">
        <v>3.2240850000000002E-5</v>
      </c>
      <c r="P2472">
        <v>0.98636069999999998</v>
      </c>
      <c r="Q2472">
        <v>0.15321170000000001</v>
      </c>
      <c r="R2472">
        <v>6.0154640000000002E-2</v>
      </c>
      <c r="S2472">
        <v>3.0625610000000001</v>
      </c>
      <c r="T2472">
        <v>-6.0026049999999997E-2</v>
      </c>
      <c r="U2472">
        <v>-0.19433590000000001</v>
      </c>
      <c r="V2472">
        <v>-6.007618E-2</v>
      </c>
      <c r="W2472">
        <v>0.16308879999999901</v>
      </c>
      <c r="X2472">
        <v>0.98478060000000001</v>
      </c>
      <c r="Y2472">
        <v>6.334186E-2</v>
      </c>
      <c r="Z2472">
        <v>-9.37585E-4</v>
      </c>
      <c r="AA2472">
        <v>0.99799139999999997</v>
      </c>
      <c r="AB2472">
        <v>34</v>
      </c>
      <c r="AC2472">
        <v>56.280199999999901</v>
      </c>
      <c r="AD2472">
        <v>-1.1096017001709999</v>
      </c>
      <c r="AE2472">
        <v>-3.5922999999999901</v>
      </c>
      <c r="AF2472">
        <v>3.5927237578609801</v>
      </c>
      <c r="AG2472">
        <v>-1.1096017001709999</v>
      </c>
      <c r="AH2472">
        <v>56.258304850475</v>
      </c>
      <c r="AI2472">
        <v>91.127621235934299</v>
      </c>
      <c r="AJ2472">
        <v>86.345983794483999</v>
      </c>
      <c r="AK2472">
        <v>56.383825203530698</v>
      </c>
      <c r="AL2472">
        <v>80.613772756310695</v>
      </c>
      <c r="AM2472">
        <v>93.490981705256402</v>
      </c>
      <c r="AN2472">
        <v>0.99999996711259498</v>
      </c>
    </row>
    <row r="2473" spans="1:40" x14ac:dyDescent="0.25">
      <c r="A2473" t="str">
        <f>"20190304155415245"</f>
        <v>20190304155415245</v>
      </c>
      <c r="B2473" t="str">
        <f>"1551686055238771"</f>
        <v>1551686055238771</v>
      </c>
      <c r="C2473" t="s">
        <v>40</v>
      </c>
      <c r="D2473">
        <v>4.6168019999999999</v>
      </c>
      <c r="E2473">
        <v>0.54719640000000003</v>
      </c>
      <c r="F2473" t="s">
        <v>63</v>
      </c>
      <c r="G2473">
        <v>-340.81380000000001</v>
      </c>
      <c r="H2473" s="1">
        <v>-1.1037549999999999E-6</v>
      </c>
      <c r="I2473">
        <v>210.87729999999999</v>
      </c>
      <c r="J2473">
        <v>-399.37329999999997</v>
      </c>
      <c r="K2473">
        <v>1.1096090000000001</v>
      </c>
      <c r="L2473">
        <v>214.6711</v>
      </c>
      <c r="M2473">
        <v>0.99994989999999995</v>
      </c>
      <c r="N2473">
        <v>-1.0011300000000001E-2</v>
      </c>
      <c r="O2473" s="1">
        <v>-7.282585E-5</v>
      </c>
      <c r="P2473">
        <v>0.9863421</v>
      </c>
      <c r="Q2473">
        <v>0.15354609999999999</v>
      </c>
      <c r="R2473">
        <v>5.9606100000000002E-2</v>
      </c>
      <c r="S2473">
        <v>3.0624690000000001</v>
      </c>
      <c r="T2473">
        <v>-5.767572E-2</v>
      </c>
      <c r="U2473">
        <v>-0.19720460000000001</v>
      </c>
      <c r="V2473">
        <v>-5.9633239999999997E-2</v>
      </c>
      <c r="W2473">
        <v>0.163429399999999</v>
      </c>
      <c r="X2473">
        <v>0.98475109999999999</v>
      </c>
      <c r="Y2473">
        <v>6.4170840000000007E-2</v>
      </c>
      <c r="Z2473">
        <v>-9.2454750000000002E-4</v>
      </c>
      <c r="AA2473">
        <v>0.99793849999999995</v>
      </c>
      <c r="AB2473">
        <v>34</v>
      </c>
      <c r="AC2473">
        <v>58.5594999999999</v>
      </c>
      <c r="AD2473">
        <v>-1.1096101037549999</v>
      </c>
      <c r="AE2473">
        <v>-3.7938000000000001</v>
      </c>
      <c r="AF2473">
        <v>3.7881806970984302</v>
      </c>
      <c r="AG2473">
        <v>-1.1096101037549999</v>
      </c>
      <c r="AH2473">
        <v>58.538846047359399</v>
      </c>
      <c r="AI2473">
        <v>91.083651523461597</v>
      </c>
      <c r="AJ2473">
        <v>86.297423578342105</v>
      </c>
      <c r="AK2473">
        <v>58.671782350058798</v>
      </c>
      <c r="AL2473">
        <v>80.593992836890394</v>
      </c>
      <c r="AM2473">
        <v>93.465409304906004</v>
      </c>
      <c r="AN2473">
        <v>1.0000000105242299</v>
      </c>
    </row>
    <row r="2474" spans="1:40" x14ac:dyDescent="0.25">
      <c r="A2474" t="str">
        <f>"20190304155415267"</f>
        <v>20190304155415267</v>
      </c>
      <c r="B2474" t="str">
        <f>"1551686055259266"</f>
        <v>1551686055259266</v>
      </c>
      <c r="C2474" t="s">
        <v>40</v>
      </c>
      <c r="D2474">
        <v>4.6257080000000004</v>
      </c>
      <c r="E2474">
        <v>0.54742469999999999</v>
      </c>
      <c r="F2474" t="s">
        <v>63</v>
      </c>
      <c r="G2474">
        <v>-340.1259</v>
      </c>
      <c r="H2474" s="1">
        <v>-1.4698230000000001E-6</v>
      </c>
      <c r="I2474">
        <v>210.81899999999999</v>
      </c>
      <c r="J2474">
        <v>-399.04649999999998</v>
      </c>
      <c r="K2474">
        <v>1.109613</v>
      </c>
      <c r="L2474">
        <v>214.67099999999999</v>
      </c>
      <c r="M2474">
        <v>0.9999498</v>
      </c>
      <c r="N2474">
        <v>-1.001764E-2</v>
      </c>
      <c r="O2474">
        <v>-1.607616E-4</v>
      </c>
      <c r="P2474">
        <v>0.98640349999999999</v>
      </c>
      <c r="Q2474">
        <v>0.15335599999999999</v>
      </c>
      <c r="R2474">
        <v>5.9079939999999997E-2</v>
      </c>
      <c r="S2474">
        <v>3.0624690000000001</v>
      </c>
      <c r="T2474">
        <v>-5.7355169999999997E-2</v>
      </c>
      <c r="U2474">
        <v>-0.19911190000000001</v>
      </c>
      <c r="V2474">
        <v>-5.9196029999999997E-2</v>
      </c>
      <c r="W2474">
        <v>0.163245</v>
      </c>
      <c r="X2474">
        <v>0.98480800000000002</v>
      </c>
      <c r="Y2474">
        <v>6.4702010000000004E-2</v>
      </c>
      <c r="Z2474">
        <v>-9.2826659999999995E-4</v>
      </c>
      <c r="AA2474">
        <v>0.99790420000000002</v>
      </c>
      <c r="AB2474">
        <v>34</v>
      </c>
      <c r="AC2474">
        <v>58.920599999999901</v>
      </c>
      <c r="AD2474">
        <v>-1.1096144698229999</v>
      </c>
      <c r="AE2474">
        <v>-3.8519999999999701</v>
      </c>
      <c r="AF2474">
        <v>3.84117080024033</v>
      </c>
      <c r="AG2474">
        <v>-1.1096144698229999</v>
      </c>
      <c r="AH2474">
        <v>58.900417914674001</v>
      </c>
      <c r="AI2474">
        <v>91.076970127825803</v>
      </c>
      <c r="AJ2474">
        <v>86.268758760471897</v>
      </c>
      <c r="AK2474">
        <v>59.0359641905806</v>
      </c>
      <c r="AL2474">
        <v>80.604701410666905</v>
      </c>
      <c r="AM2474">
        <v>93.439865097311696</v>
      </c>
      <c r="AN2474">
        <v>0.99999994842837903</v>
      </c>
    </row>
    <row r="2475" spans="1:40" x14ac:dyDescent="0.25">
      <c r="A2475" t="str">
        <f>"20190304155415289"</f>
        <v>20190304155415289</v>
      </c>
      <c r="B2475" t="str">
        <f>"1551686055278787"</f>
        <v>1551686055278787</v>
      </c>
      <c r="C2475" t="s">
        <v>40</v>
      </c>
      <c r="D2475">
        <v>4.5892730000000004</v>
      </c>
      <c r="E2475">
        <v>0.54760069999999905</v>
      </c>
      <c r="F2475" t="s">
        <v>63</v>
      </c>
      <c r="G2475">
        <v>-340.83780000000002</v>
      </c>
      <c r="H2475" s="1">
        <v>-1.0909410000000001E-6</v>
      </c>
      <c r="I2475">
        <v>210.8398</v>
      </c>
      <c r="J2475">
        <v>-398.70170000000002</v>
      </c>
      <c r="K2475">
        <v>1.1096220000000001</v>
      </c>
      <c r="L2475">
        <v>214.67089999999999</v>
      </c>
      <c r="M2475">
        <v>0.9999498</v>
      </c>
      <c r="N2475">
        <v>-1.0024119999999999E-2</v>
      </c>
      <c r="O2475">
        <v>-2.3707010000000001E-4</v>
      </c>
      <c r="P2475">
        <v>0.98645839999999996</v>
      </c>
      <c r="Q2475">
        <v>0.15311820000000001</v>
      </c>
      <c r="R2475">
        <v>5.8776380000000003E-2</v>
      </c>
      <c r="S2475">
        <v>3.0625</v>
      </c>
      <c r="T2475">
        <v>-5.8379529999999999E-2</v>
      </c>
      <c r="U2475">
        <v>-0.20156859999999999</v>
      </c>
      <c r="V2475">
        <v>-5.8971969999999999E-2</v>
      </c>
      <c r="W2475">
        <v>0.16301260000000001</v>
      </c>
      <c r="X2475">
        <v>0.98485999999999996</v>
      </c>
      <c r="Y2475">
        <v>6.5421569999999998E-2</v>
      </c>
      <c r="Z2475">
        <v>-9.4899049999999999E-4</v>
      </c>
      <c r="AA2475">
        <v>0.99785729999999995</v>
      </c>
      <c r="AB2475">
        <v>34</v>
      </c>
      <c r="AC2475">
        <v>57.863900000000001</v>
      </c>
      <c r="AD2475">
        <v>-1.1096230909410001</v>
      </c>
      <c r="AE2475">
        <v>-3.83109999999999</v>
      </c>
      <c r="AF2475">
        <v>3.8159842551240901</v>
      </c>
      <c r="AG2475">
        <v>-1.1096230909410001</v>
      </c>
      <c r="AH2475">
        <v>57.843628339915099</v>
      </c>
      <c r="AI2475">
        <v>91.096595741219204</v>
      </c>
      <c r="AJ2475">
        <v>86.225626895208194</v>
      </c>
      <c r="AK2475">
        <v>57.979982224605202</v>
      </c>
      <c r="AL2475">
        <v>80.618198322536301</v>
      </c>
      <c r="AM2475">
        <v>93.426695613631694</v>
      </c>
      <c r="AN2475">
        <v>1.00000001030222</v>
      </c>
    </row>
    <row r="2476" spans="1:40" x14ac:dyDescent="0.25">
      <c r="A2476" t="str">
        <f>"20190304155415314"</f>
        <v>20190304155415314</v>
      </c>
      <c r="B2476" t="str">
        <f>"1551686055309042"</f>
        <v>1551686055309042</v>
      </c>
      <c r="C2476" t="s">
        <v>40</v>
      </c>
      <c r="D2476">
        <v>4.5502339999999997</v>
      </c>
      <c r="E2476">
        <v>0.54769789999999996</v>
      </c>
      <c r="F2476" t="s">
        <v>63</v>
      </c>
      <c r="G2476">
        <v>-340.98439999999999</v>
      </c>
      <c r="H2476" s="1">
        <v>-1.0129559999999999E-6</v>
      </c>
      <c r="I2476">
        <v>210.82310000000001</v>
      </c>
      <c r="J2476">
        <v>-398.3313</v>
      </c>
      <c r="K2476">
        <v>1.109645</v>
      </c>
      <c r="L2476">
        <v>214.67070000000001</v>
      </c>
      <c r="M2476">
        <v>0.99994970000000005</v>
      </c>
      <c r="N2476">
        <v>-1.00307E-2</v>
      </c>
      <c r="O2476">
        <v>-2.9470590000000001E-4</v>
      </c>
      <c r="P2476">
        <v>0.98654229999999998</v>
      </c>
      <c r="Q2476">
        <v>0.15273879999999901</v>
      </c>
      <c r="R2476">
        <v>5.8353750000000003E-2</v>
      </c>
      <c r="S2476">
        <v>3.0625</v>
      </c>
      <c r="T2476">
        <v>-5.8876989999999997E-2</v>
      </c>
      <c r="U2476">
        <v>-0.2041626</v>
      </c>
      <c r="V2476">
        <v>-5.8613100000000001E-2</v>
      </c>
      <c r="W2476">
        <v>0.16263810000000001</v>
      </c>
      <c r="X2476">
        <v>0.98494329999999997</v>
      </c>
      <c r="Y2476">
        <v>6.6205059999999996E-2</v>
      </c>
      <c r="Z2476">
        <v>-9.653954E-4</v>
      </c>
      <c r="AA2476">
        <v>0.99780559999999996</v>
      </c>
      <c r="AB2476">
        <v>34</v>
      </c>
      <c r="AC2476">
        <v>57.346899999999998</v>
      </c>
      <c r="AD2476">
        <v>-1.109646012956</v>
      </c>
      <c r="AE2476">
        <v>-3.8475999999999999</v>
      </c>
      <c r="AF2476">
        <v>3.8292712160805999</v>
      </c>
      <c r="AG2476">
        <v>-1.109646012956</v>
      </c>
      <c r="AH2476">
        <v>57.3266639091079</v>
      </c>
      <c r="AI2476">
        <v>91.106444662619893</v>
      </c>
      <c r="AJ2476">
        <v>86.178468785203506</v>
      </c>
      <c r="AK2476">
        <v>57.4651287936275</v>
      </c>
      <c r="AL2476">
        <v>80.639945486809395</v>
      </c>
      <c r="AM2476">
        <v>93.405604554442604</v>
      </c>
      <c r="AN2476">
        <v>0.99999997563905396</v>
      </c>
    </row>
    <row r="2477" spans="1:40" x14ac:dyDescent="0.25">
      <c r="A2477" t="str">
        <f>"20190304155415336"</f>
        <v>20190304155415336</v>
      </c>
      <c r="B2477" t="str">
        <f>"1551686055329538"</f>
        <v>1551686055329538</v>
      </c>
      <c r="C2477" t="s">
        <v>40</v>
      </c>
      <c r="D2477">
        <v>4.501614</v>
      </c>
      <c r="E2477">
        <v>0.54780640000000003</v>
      </c>
      <c r="F2477" t="s">
        <v>63</v>
      </c>
      <c r="G2477">
        <v>-341.6961</v>
      </c>
      <c r="H2477" s="1">
        <v>-6.3418340000000003E-7</v>
      </c>
      <c r="I2477">
        <v>210.85509999999999</v>
      </c>
      <c r="J2477">
        <v>-397.98809999999997</v>
      </c>
      <c r="K2477">
        <v>1.1096629999999901</v>
      </c>
      <c r="L2477">
        <v>214.6705</v>
      </c>
      <c r="M2477">
        <v>0.99994970000000005</v>
      </c>
      <c r="N2477">
        <v>-1.003649E-2</v>
      </c>
      <c r="O2477">
        <v>-3.2957370000000002E-4</v>
      </c>
      <c r="P2477">
        <v>0.98660199999999998</v>
      </c>
      <c r="Q2477">
        <v>0.15268080000000001</v>
      </c>
      <c r="R2477">
        <v>5.7493660000000002E-2</v>
      </c>
      <c r="S2477">
        <v>3.0623779999999998</v>
      </c>
      <c r="T2477">
        <v>-6.0000779999999997E-2</v>
      </c>
      <c r="U2477">
        <v>-0.2063141</v>
      </c>
      <c r="V2477">
        <v>-5.7794520000000002E-2</v>
      </c>
      <c r="W2477">
        <v>0.16258399999999901</v>
      </c>
      <c r="X2477">
        <v>0.9850006</v>
      </c>
      <c r="Y2477">
        <v>6.6870009999999994E-2</v>
      </c>
      <c r="Z2477">
        <v>-9.8714539999999996E-4</v>
      </c>
      <c r="AA2477">
        <v>0.99776120000000001</v>
      </c>
      <c r="AB2477">
        <v>34</v>
      </c>
      <c r="AC2477">
        <v>56.291999999999902</v>
      </c>
      <c r="AD2477">
        <v>-1.1096636341834001</v>
      </c>
      <c r="AE2477">
        <v>-3.8154000000000101</v>
      </c>
      <c r="AF2477">
        <v>3.7953784038007101</v>
      </c>
      <c r="AG2477">
        <v>-1.1096636341834001</v>
      </c>
      <c r="AH2477">
        <v>56.271488032006999</v>
      </c>
      <c r="AI2477">
        <v>91.127155808662806</v>
      </c>
      <c r="AJ2477">
        <v>86.141379673319406</v>
      </c>
      <c r="AK2477">
        <v>56.410252755553003</v>
      </c>
      <c r="AL2477">
        <v>80.643086974525701</v>
      </c>
      <c r="AM2477">
        <v>93.357957206747898</v>
      </c>
      <c r="AN2477">
        <v>0.99999997279919395</v>
      </c>
    </row>
    <row r="2478" spans="1:40" x14ac:dyDescent="0.25">
      <c r="A2478" t="str">
        <f>"20190304155415358"</f>
        <v>20190304155415358</v>
      </c>
      <c r="B2478" t="str">
        <f>"1551686055349058"</f>
        <v>1551686055349058</v>
      </c>
      <c r="C2478" t="s">
        <v>40</v>
      </c>
      <c r="D2478">
        <v>4.5176259999999999</v>
      </c>
      <c r="E2478">
        <v>0.54785090000000003</v>
      </c>
      <c r="F2478" t="s">
        <v>63</v>
      </c>
      <c r="G2478">
        <v>-341.69839999999999</v>
      </c>
      <c r="H2478" s="1">
        <v>-6.3299840000000004E-7</v>
      </c>
      <c r="I2478">
        <v>210.82650000000001</v>
      </c>
      <c r="J2478">
        <v>-397.65480000000002</v>
      </c>
      <c r="K2478">
        <v>1.1096790000000001</v>
      </c>
      <c r="L2478">
        <v>214.6704</v>
      </c>
      <c r="M2478">
        <v>0.99994959999999999</v>
      </c>
      <c r="N2478">
        <v>-1.0041889999999999E-2</v>
      </c>
      <c r="O2478">
        <v>-3.4154889999999999E-4</v>
      </c>
      <c r="P2478">
        <v>0.98663369999999995</v>
      </c>
      <c r="Q2478">
        <v>0.152751</v>
      </c>
      <c r="R2478">
        <v>5.6757380000000003E-2</v>
      </c>
      <c r="S2478">
        <v>3.0622560000000001</v>
      </c>
      <c r="T2478">
        <v>-6.0367579999999997E-2</v>
      </c>
      <c r="U2478">
        <v>-0.20912169999999999</v>
      </c>
      <c r="V2478">
        <v>-5.7076599999999998E-2</v>
      </c>
      <c r="W2478">
        <v>0.16265689999999999</v>
      </c>
      <c r="X2478">
        <v>0.98503050000000003</v>
      </c>
      <c r="Y2478">
        <v>6.7770819999999996E-2</v>
      </c>
      <c r="Z2478">
        <v>-1.0045849999999999E-3</v>
      </c>
      <c r="AA2478">
        <v>0.99770040000000004</v>
      </c>
      <c r="AB2478">
        <v>34</v>
      </c>
      <c r="AC2478">
        <v>55.956400000000002</v>
      </c>
      <c r="AD2478">
        <v>-1.10967963299839</v>
      </c>
      <c r="AE2478">
        <v>-3.8438999999999899</v>
      </c>
      <c r="AF2478">
        <v>3.8232904264977199</v>
      </c>
      <c r="AG2478">
        <v>-1.10967963299839</v>
      </c>
      <c r="AH2478">
        <v>55.935814876984097</v>
      </c>
      <c r="AI2478">
        <v>91.133865257124995</v>
      </c>
      <c r="AJ2478">
        <v>86.089835853118998</v>
      </c>
      <c r="AK2478">
        <v>56.077306680380701</v>
      </c>
      <c r="AL2478">
        <v>80.638854450696797</v>
      </c>
      <c r="AM2478">
        <v>93.316238111005305</v>
      </c>
      <c r="AN2478">
        <v>1.0000000456577001</v>
      </c>
    </row>
    <row r="2479" spans="1:40" x14ac:dyDescent="0.25">
      <c r="A2479" t="str">
        <f>"20190304155415378"</f>
        <v>20190304155415378</v>
      </c>
      <c r="B2479" t="str">
        <f>"1551686055369555"</f>
        <v>1551686055369555</v>
      </c>
      <c r="C2479" t="s">
        <v>40</v>
      </c>
      <c r="D2479">
        <v>4.5005790000000001</v>
      </c>
      <c r="E2479">
        <v>0.54794969999999998</v>
      </c>
      <c r="F2479" t="s">
        <v>63</v>
      </c>
      <c r="G2479">
        <v>-341.72149999999999</v>
      </c>
      <c r="H2479" s="1">
        <v>-6.2069939999999999E-7</v>
      </c>
      <c r="I2479">
        <v>210.8125</v>
      </c>
      <c r="J2479">
        <v>-397.34699999999998</v>
      </c>
      <c r="K2479">
        <v>1.1096919999999999</v>
      </c>
      <c r="L2479">
        <v>214.6703</v>
      </c>
      <c r="M2479">
        <v>0.99994970000000005</v>
      </c>
      <c r="N2479">
        <v>-1.0046859999999999E-2</v>
      </c>
      <c r="O2479">
        <v>-3.2237120000000002E-4</v>
      </c>
      <c r="P2479">
        <v>0.98666279999999995</v>
      </c>
      <c r="Q2479">
        <v>0.15273789999999901</v>
      </c>
      <c r="R2479">
        <v>5.6287129999999998E-2</v>
      </c>
      <c r="S2479">
        <v>3.062195</v>
      </c>
      <c r="T2479">
        <v>-6.0751909999999999E-2</v>
      </c>
      <c r="U2479">
        <v>-0.21121219999999999</v>
      </c>
      <c r="V2479">
        <v>-5.659525E-2</v>
      </c>
      <c r="W2479">
        <v>0.1626466</v>
      </c>
      <c r="X2479">
        <v>0.98505989999999999</v>
      </c>
      <c r="Y2479">
        <v>6.8468790000000002E-2</v>
      </c>
      <c r="Z2479">
        <v>-1.0195789999999901E-3</v>
      </c>
      <c r="AA2479">
        <v>0.99765269999999995</v>
      </c>
      <c r="AB2479">
        <v>34</v>
      </c>
      <c r="AC2479">
        <v>55.625499999999903</v>
      </c>
      <c r="AD2479">
        <v>-1.10969262069939</v>
      </c>
      <c r="AE2479">
        <v>-3.8577999999999899</v>
      </c>
      <c r="AF2479">
        <v>3.8383465793309299</v>
      </c>
      <c r="AG2479">
        <v>-1.10969262069939</v>
      </c>
      <c r="AH2479">
        <v>55.604717368388201</v>
      </c>
      <c r="AI2479">
        <v>91.140575571093095</v>
      </c>
      <c r="AJ2479">
        <v>86.051184948359193</v>
      </c>
      <c r="AK2479">
        <v>55.7480844136714</v>
      </c>
      <c r="AL2479">
        <v>80.6394518728668</v>
      </c>
      <c r="AM2479">
        <v>93.288234642003303</v>
      </c>
      <c r="AN2479">
        <v>0.999999972701065</v>
      </c>
    </row>
    <row r="2480" spans="1:40" x14ac:dyDescent="0.25">
      <c r="A2480" t="str">
        <f>"20190304155415401"</f>
        <v>20190304155415401</v>
      </c>
      <c r="B2480" t="str">
        <f>"1551686055398834"</f>
        <v>1551686055398834</v>
      </c>
      <c r="C2480" t="s">
        <v>40</v>
      </c>
      <c r="D2480">
        <v>4.5181170000000002</v>
      </c>
      <c r="E2480">
        <v>0.52965799999999996</v>
      </c>
      <c r="F2480" t="s">
        <v>63</v>
      </c>
      <c r="G2480">
        <v>-341.4391</v>
      </c>
      <c r="H2480" s="1">
        <v>-7.7096649999999898E-7</v>
      </c>
      <c r="I2480">
        <v>210.7764</v>
      </c>
      <c r="J2480">
        <v>-396.9862</v>
      </c>
      <c r="K2480">
        <v>1.1097220000000001</v>
      </c>
      <c r="L2480">
        <v>214.67019999999999</v>
      </c>
      <c r="M2480">
        <v>0.99994950000000005</v>
      </c>
      <c r="N2480">
        <v>-1.005261E-2</v>
      </c>
      <c r="O2480">
        <v>-2.613591E-4</v>
      </c>
      <c r="P2480">
        <v>0.98672559999999998</v>
      </c>
      <c r="Q2480">
        <v>0.15243870000000001</v>
      </c>
      <c r="R2480">
        <v>5.599473E-2</v>
      </c>
      <c r="S2480">
        <v>3.0621339999999999</v>
      </c>
      <c r="T2480">
        <v>-6.0778980000000003E-2</v>
      </c>
      <c r="U2480">
        <v>-0.21327209999999999</v>
      </c>
      <c r="V2480">
        <v>-5.625467E-2</v>
      </c>
      <c r="W2480">
        <v>0.16234970000000001</v>
      </c>
      <c r="X2480">
        <v>0.98512840000000002</v>
      </c>
      <c r="Y2480">
        <v>6.9198679999999999E-2</v>
      </c>
      <c r="Z2480">
        <v>-1.031587E-3</v>
      </c>
      <c r="AA2480">
        <v>0.99760230000000005</v>
      </c>
      <c r="AB2480">
        <v>34</v>
      </c>
      <c r="AC2480">
        <v>55.5471</v>
      </c>
      <c r="AD2480">
        <v>-1.1097227709664901</v>
      </c>
      <c r="AE2480">
        <v>-3.8937999999999899</v>
      </c>
      <c r="AF2480">
        <v>3.8777412684366199</v>
      </c>
      <c r="AG2480">
        <v>-1.1097227709664901</v>
      </c>
      <c r="AH2480">
        <v>55.526062500424104</v>
      </c>
      <c r="AI2480">
        <v>91.142158142553001</v>
      </c>
      <c r="AJ2480">
        <v>86.005154065466797</v>
      </c>
      <c r="AK2480">
        <v>55.6723627913738</v>
      </c>
      <c r="AL2480">
        <v>80.656692284436005</v>
      </c>
      <c r="AM2480">
        <v>93.268262892021994</v>
      </c>
      <c r="AN2480">
        <v>0.99999998873672902</v>
      </c>
    </row>
    <row r="2481" spans="1:40" x14ac:dyDescent="0.25">
      <c r="A2481" t="str">
        <f>"20190304155415423"</f>
        <v>20190304155415423</v>
      </c>
      <c r="B2481" t="str">
        <f>"1551686055419331"</f>
        <v>1551686055419331</v>
      </c>
      <c r="C2481" t="s">
        <v>40</v>
      </c>
      <c r="D2481">
        <v>4.4476829999999996</v>
      </c>
      <c r="E2481">
        <v>0.52525409999999995</v>
      </c>
      <c r="F2481" t="s">
        <v>63</v>
      </c>
      <c r="G2481">
        <v>-356.53379999999999</v>
      </c>
      <c r="H2481" s="1">
        <v>1.9777280000000001E-6</v>
      </c>
      <c r="I2481">
        <v>213.7577</v>
      </c>
      <c r="J2481">
        <v>-396.65629999999999</v>
      </c>
      <c r="K2481">
        <v>1.1097509999999999</v>
      </c>
      <c r="L2481">
        <v>214.67019999999999</v>
      </c>
      <c r="M2481">
        <v>0.99994950000000005</v>
      </c>
      <c r="N2481">
        <v>-1.005779E-2</v>
      </c>
      <c r="O2481">
        <v>-1.67076E-4</v>
      </c>
      <c r="P2481">
        <v>0.9867823</v>
      </c>
      <c r="Q2481">
        <v>0.1520503</v>
      </c>
      <c r="R2481">
        <v>5.6052129999999999E-2</v>
      </c>
      <c r="S2481">
        <v>3.05722</v>
      </c>
      <c r="T2481">
        <v>-8.3868029999999996E-2</v>
      </c>
      <c r="U2481">
        <v>-6.8969730000000007E-2</v>
      </c>
      <c r="V2481">
        <v>-5.6231049999999998E-2</v>
      </c>
      <c r="W2481">
        <v>0.16196240000000001</v>
      </c>
      <c r="X2481">
        <v>0.98519350000000006</v>
      </c>
      <c r="Y2481">
        <v>2.237536E-2</v>
      </c>
      <c r="Z2481">
        <v>-4.1647990000000002E-4</v>
      </c>
      <c r="AA2481">
        <v>0.99974949999999996</v>
      </c>
      <c r="AB2481">
        <v>34</v>
      </c>
      <c r="AC2481">
        <v>40.122500000000002</v>
      </c>
      <c r="AD2481">
        <v>-1.1097490222719999</v>
      </c>
      <c r="AE2481">
        <v>-0.91249999999999398</v>
      </c>
      <c r="AF2481">
        <v>0.90510407599811005</v>
      </c>
      <c r="AG2481">
        <v>-1.1097490222719999</v>
      </c>
      <c r="AH2481">
        <v>40.091996526215901</v>
      </c>
      <c r="AI2481">
        <v>91.585142289626106</v>
      </c>
      <c r="AJ2481">
        <v>88.706728508291704</v>
      </c>
      <c r="AK2481">
        <v>40.117564005544097</v>
      </c>
      <c r="AL2481">
        <v>80.679180593211399</v>
      </c>
      <c r="AM2481">
        <v>93.266678195402207</v>
      </c>
      <c r="AN2481">
        <v>0.99999999122005601</v>
      </c>
    </row>
    <row r="2482" spans="1:40" x14ac:dyDescent="0.25">
      <c r="A2482" t="str">
        <f>"20190304155415446"</f>
        <v>20190304155415446</v>
      </c>
      <c r="B2482" t="str">
        <f>"1551686055438850"</f>
        <v>1551686055438850</v>
      </c>
      <c r="C2482" t="s">
        <v>40</v>
      </c>
      <c r="D2482">
        <v>4.4124499999999998</v>
      </c>
      <c r="E2482">
        <v>0.52371659999999998</v>
      </c>
      <c r="F2482" t="s">
        <v>63</v>
      </c>
      <c r="G2482">
        <v>-346.66680000000002</v>
      </c>
      <c r="H2482" s="1">
        <v>2.010951E-6</v>
      </c>
      <c r="I2482">
        <v>214.1165</v>
      </c>
      <c r="J2482">
        <v>-396.29309999999998</v>
      </c>
      <c r="K2482">
        <v>1.10978</v>
      </c>
      <c r="L2482">
        <v>214.6703</v>
      </c>
      <c r="M2482">
        <v>0.99994930000000004</v>
      </c>
      <c r="N2482">
        <v>-1.006336E-2</v>
      </c>
      <c r="O2482" s="1">
        <v>-3.2625320000000002E-5</v>
      </c>
      <c r="P2482">
        <v>0.98685129999999999</v>
      </c>
      <c r="Q2482">
        <v>0.1514414</v>
      </c>
      <c r="R2482">
        <v>5.6483760000000001E-2</v>
      </c>
      <c r="S2482">
        <v>3.0525509999999998</v>
      </c>
      <c r="T2482">
        <v>-6.7765590000000001E-2</v>
      </c>
      <c r="U2482">
        <v>-3.381348E-2</v>
      </c>
      <c r="V2482">
        <v>-5.654211E-2</v>
      </c>
      <c r="W2482">
        <v>0.16135539999999901</v>
      </c>
      <c r="X2482">
        <v>0.98527529999999997</v>
      </c>
      <c r="Y2482">
        <v>1.103987E-2</v>
      </c>
      <c r="Z2482">
        <v>-1.7768809999999999E-4</v>
      </c>
      <c r="AA2482">
        <v>0.99993900000000002</v>
      </c>
      <c r="AB2482">
        <v>34</v>
      </c>
      <c r="AC2482">
        <v>49.626299999999901</v>
      </c>
      <c r="AD2482">
        <v>-1.109777989049</v>
      </c>
      <c r="AE2482">
        <v>-0.55379999999999496</v>
      </c>
      <c r="AF2482">
        <v>0.55190487579547498</v>
      </c>
      <c r="AG2482">
        <v>-1.109777989049</v>
      </c>
      <c r="AH2482">
        <v>49.601515894692497</v>
      </c>
      <c r="AI2482">
        <v>91.281635311420104</v>
      </c>
      <c r="AJ2482">
        <v>89.362509096316998</v>
      </c>
      <c r="AK2482">
        <v>49.6169989542731</v>
      </c>
      <c r="AL2482">
        <v>80.714422727473604</v>
      </c>
      <c r="AM2482">
        <v>93.284437301037201</v>
      </c>
      <c r="AN2482">
        <v>0.99999999605125001</v>
      </c>
    </row>
    <row r="2483" spans="1:40" x14ac:dyDescent="0.25">
      <c r="A2483" t="str">
        <f>"20190304155415468"</f>
        <v>20190304155415468</v>
      </c>
      <c r="B2483" t="str">
        <f>"1551686055459347"</f>
        <v>1551686055459347</v>
      </c>
      <c r="C2483" t="s">
        <v>40</v>
      </c>
      <c r="D2483">
        <v>4.4015979999999999</v>
      </c>
      <c r="E2483">
        <v>0.52294099999999999</v>
      </c>
      <c r="F2483" t="s">
        <v>63</v>
      </c>
      <c r="G2483">
        <v>-340.85410000000002</v>
      </c>
      <c r="H2483" s="1">
        <v>-1.0822969999999999E-6</v>
      </c>
      <c r="I2483">
        <v>214.29480000000001</v>
      </c>
      <c r="J2483">
        <v>-395.97320000000002</v>
      </c>
      <c r="K2483">
        <v>1.109801</v>
      </c>
      <c r="L2483">
        <v>214.6704</v>
      </c>
      <c r="M2483">
        <v>0.99994950000000005</v>
      </c>
      <c r="N2483">
        <v>-1.006815E-2</v>
      </c>
      <c r="O2483">
        <v>1.055319E-4</v>
      </c>
      <c r="P2483">
        <v>0.98685129999999999</v>
      </c>
      <c r="Q2483">
        <v>0.15120229999999901</v>
      </c>
      <c r="R2483">
        <v>5.7118919999999997E-2</v>
      </c>
      <c r="S2483">
        <v>3.0505369999999998</v>
      </c>
      <c r="T2483">
        <v>-6.1065790000000002E-2</v>
      </c>
      <c r="U2483">
        <v>-2.0660399999999999E-2</v>
      </c>
      <c r="V2483">
        <v>-5.7048920000000003E-2</v>
      </c>
      <c r="W2483">
        <v>0.1611187</v>
      </c>
      <c r="X2483">
        <v>0.98528479999999996</v>
      </c>
      <c r="Y2483">
        <v>6.8760139999999997E-3</v>
      </c>
      <c r="Z2483">
        <v>-1.044852E-4</v>
      </c>
      <c r="AA2483">
        <v>0.99997630000000004</v>
      </c>
      <c r="AB2483">
        <v>34</v>
      </c>
      <c r="AC2483">
        <v>55.119100000000003</v>
      </c>
      <c r="AD2483">
        <v>-1.1098020822970001</v>
      </c>
      <c r="AE2483">
        <v>-0.375599999999991</v>
      </c>
      <c r="AF2483">
        <v>0.38126255722571201</v>
      </c>
      <c r="AG2483">
        <v>-1.1098020822970001</v>
      </c>
      <c r="AH2483">
        <v>55.096724719227197</v>
      </c>
      <c r="AI2483">
        <v>91.153913527821501</v>
      </c>
      <c r="AJ2483">
        <v>89.603526582377498</v>
      </c>
      <c r="AK2483">
        <v>55.109219705832501</v>
      </c>
      <c r="AL2483">
        <v>80.728164251007797</v>
      </c>
      <c r="AM2483">
        <v>93.313779853878302</v>
      </c>
      <c r="AN2483">
        <v>0.99999997593694701</v>
      </c>
    </row>
    <row r="2484" spans="1:40" x14ac:dyDescent="0.25">
      <c r="A2484" t="str">
        <f>"20190304155415490"</f>
        <v>20190304155415490</v>
      </c>
      <c r="B2484" t="str">
        <f>"1551686055478870"</f>
        <v>1551686055478870</v>
      </c>
      <c r="C2484" t="s">
        <v>40</v>
      </c>
      <c r="D2484">
        <v>4.3949290000000003</v>
      </c>
      <c r="E2484">
        <v>0.52260240000000002</v>
      </c>
      <c r="F2484" t="s">
        <v>63</v>
      </c>
      <c r="G2484">
        <v>-334.83839999999998</v>
      </c>
      <c r="H2484" s="1">
        <v>1.04702E-6</v>
      </c>
      <c r="I2484">
        <v>214.40979999999999</v>
      </c>
      <c r="J2484">
        <v>-395.61989999999997</v>
      </c>
      <c r="K2484">
        <v>1.109815</v>
      </c>
      <c r="L2484">
        <v>214.67060000000001</v>
      </c>
      <c r="M2484">
        <v>0.99994930000000004</v>
      </c>
      <c r="N2484">
        <v>-1.007336E-2</v>
      </c>
      <c r="O2484">
        <v>2.7498209999999998E-4</v>
      </c>
      <c r="P2484">
        <v>0.98684499999999997</v>
      </c>
      <c r="Q2484">
        <v>0.15120710000000001</v>
      </c>
      <c r="R2484">
        <v>5.7214800000000003E-2</v>
      </c>
      <c r="S2484">
        <v>3.0491640000000002</v>
      </c>
      <c r="T2484">
        <v>-5.5352449999999997E-2</v>
      </c>
      <c r="U2484">
        <v>-1.300049E-2</v>
      </c>
      <c r="V2484">
        <v>-5.6984479999999997E-2</v>
      </c>
      <c r="W2484">
        <v>0.16112580000000001</v>
      </c>
      <c r="X2484">
        <v>0.98528740000000004</v>
      </c>
      <c r="Y2484">
        <v>4.5374070000000002E-3</v>
      </c>
      <c r="Z2484" s="1">
        <v>-6.6259449999999995E-5</v>
      </c>
      <c r="AA2484">
        <v>0.99998969999999998</v>
      </c>
      <c r="AB2484">
        <v>34</v>
      </c>
      <c r="AC2484">
        <v>60.781500000000001</v>
      </c>
      <c r="AD2484">
        <v>-1.10981395298</v>
      </c>
      <c r="AE2484">
        <v>-0.26080000000001702</v>
      </c>
      <c r="AF2484">
        <v>0.277422172319225</v>
      </c>
      <c r="AG2484">
        <v>-1.10981395298</v>
      </c>
      <c r="AH2484">
        <v>60.761168958046497</v>
      </c>
      <c r="AI2484">
        <v>91.046390716228103</v>
      </c>
      <c r="AJ2484">
        <v>89.738401853693105</v>
      </c>
      <c r="AK2484">
        <v>60.771936806557299</v>
      </c>
      <c r="AL2484">
        <v>80.727752360709303</v>
      </c>
      <c r="AM2484">
        <v>93.310036363405601</v>
      </c>
      <c r="AN2484">
        <v>1.0000000074926301</v>
      </c>
    </row>
    <row r="2485" spans="1:40" x14ac:dyDescent="0.25">
      <c r="A2485" t="str">
        <f>"20190304155415514"</f>
        <v>20190304155415514</v>
      </c>
      <c r="B2485" t="str">
        <f>"1551686055509122"</f>
        <v>1551686055509122</v>
      </c>
      <c r="C2485" t="s">
        <v>40</v>
      </c>
      <c r="D2485">
        <v>4.3800220000000003</v>
      </c>
      <c r="E2485">
        <v>0.52215199999999995</v>
      </c>
      <c r="F2485" t="s">
        <v>63</v>
      </c>
      <c r="G2485">
        <v>-328.93310000000002</v>
      </c>
      <c r="H2485" s="1">
        <v>3.2169589999999998E-6</v>
      </c>
      <c r="I2485">
        <v>214.44560000000001</v>
      </c>
      <c r="J2485">
        <v>-395.25349999999997</v>
      </c>
      <c r="K2485">
        <v>1.1098159999999999</v>
      </c>
      <c r="L2485">
        <v>214.67089999999999</v>
      </c>
      <c r="M2485">
        <v>0.99994919999999998</v>
      </c>
      <c r="N2485">
        <v>-1.0078719999999999E-2</v>
      </c>
      <c r="O2485">
        <v>4.6218959999999999E-4</v>
      </c>
      <c r="P2485">
        <v>0.98686470000000004</v>
      </c>
      <c r="Q2485">
        <v>0.15111540000000001</v>
      </c>
      <c r="R2485">
        <v>5.7118059999999998E-2</v>
      </c>
      <c r="S2485">
        <v>3.04834</v>
      </c>
      <c r="T2485">
        <v>-5.0730940000000002E-2</v>
      </c>
      <c r="U2485">
        <v>-1.0284420000000001E-2</v>
      </c>
      <c r="V2485">
        <v>-5.6707630000000002E-2</v>
      </c>
      <c r="W2485">
        <v>0.16103870000000001</v>
      </c>
      <c r="X2485">
        <v>0.98531760000000002</v>
      </c>
      <c r="Y2485">
        <v>3.8351069999999999E-3</v>
      </c>
      <c r="Z2485" s="1">
        <v>-5.4272109999999897E-5</v>
      </c>
      <c r="AA2485">
        <v>0.99999269999999996</v>
      </c>
      <c r="AB2485">
        <v>35</v>
      </c>
      <c r="AC2485">
        <v>66.320399999999907</v>
      </c>
      <c r="AD2485">
        <v>-1.1098127830409901</v>
      </c>
      <c r="AE2485">
        <v>-0.22529999999997499</v>
      </c>
      <c r="AF2485">
        <v>0.25588247499441202</v>
      </c>
      <c r="AG2485">
        <v>-1.1098127830409901</v>
      </c>
      <c r="AH2485">
        <v>66.301722495808903</v>
      </c>
      <c r="AI2485">
        <v>90.958967201326601</v>
      </c>
      <c r="AJ2485">
        <v>89.778875834185996</v>
      </c>
      <c r="AK2485">
        <v>66.311504025814898</v>
      </c>
      <c r="AL2485">
        <v>80.732808744111594</v>
      </c>
      <c r="AM2485">
        <v>93.293889838966805</v>
      </c>
      <c r="AN2485">
        <v>0.99999999553383301</v>
      </c>
    </row>
    <row r="2486" spans="1:40" x14ac:dyDescent="0.25">
      <c r="A2486" t="str">
        <f>"20190304155415538"</f>
        <v>20190304155415538</v>
      </c>
      <c r="B2486" t="str">
        <f>"1551686055529619"</f>
        <v>1551686055529619</v>
      </c>
      <c r="C2486" t="s">
        <v>40</v>
      </c>
      <c r="D2486">
        <v>4.3212390000000003</v>
      </c>
      <c r="E2486">
        <v>0.52193369999999994</v>
      </c>
      <c r="F2486" t="s">
        <v>63</v>
      </c>
      <c r="G2486">
        <v>-322.50779999999997</v>
      </c>
      <c r="H2486" s="1">
        <v>-2.0223589999999999E-7</v>
      </c>
      <c r="I2486">
        <v>214.50409999999999</v>
      </c>
      <c r="J2486">
        <v>-394.88659999999999</v>
      </c>
      <c r="K2486">
        <v>1.1098250000000001</v>
      </c>
      <c r="L2486">
        <v>214.6712</v>
      </c>
      <c r="M2486">
        <v>0.99994910000000004</v>
      </c>
      <c r="N2486">
        <v>-1.0084009999999999E-2</v>
      </c>
      <c r="O2486">
        <v>6.5507689999999997E-4</v>
      </c>
      <c r="P2486">
        <v>0.98680659999999998</v>
      </c>
      <c r="Q2486">
        <v>0.1514306</v>
      </c>
      <c r="R2486">
        <v>5.7284799999999997E-2</v>
      </c>
      <c r="S2486">
        <v>3.0474239999999999</v>
      </c>
      <c r="T2486">
        <v>-4.6491860000000003E-2</v>
      </c>
      <c r="U2486">
        <v>-6.9885249999999998E-3</v>
      </c>
      <c r="V2486">
        <v>-5.6686790000000001E-2</v>
      </c>
      <c r="W2486">
        <v>0.16135729999999901</v>
      </c>
      <c r="X2486">
        <v>0.98526670000000005</v>
      </c>
      <c r="Y2486">
        <v>2.9477800000000001E-3</v>
      </c>
      <c r="Z2486" s="1">
        <v>-4.0736569999999997E-5</v>
      </c>
      <c r="AA2486">
        <v>0.99999559999999998</v>
      </c>
      <c r="AB2486">
        <v>35</v>
      </c>
      <c r="AC2486">
        <v>72.378799999999998</v>
      </c>
      <c r="AD2486">
        <v>-1.1098252022358901</v>
      </c>
      <c r="AE2486">
        <v>-0.167100000000004</v>
      </c>
      <c r="AF2486">
        <v>0.21446562285597801</v>
      </c>
      <c r="AG2486">
        <v>-1.1098252022358901</v>
      </c>
      <c r="AH2486">
        <v>72.361661540519506</v>
      </c>
      <c r="AI2486">
        <v>90.878684019513997</v>
      </c>
      <c r="AJ2486">
        <v>89.830187162660494</v>
      </c>
      <c r="AK2486">
        <v>72.370489623793503</v>
      </c>
      <c r="AL2486">
        <v>80.7143126469837</v>
      </c>
      <c r="AM2486">
        <v>93.292851730907699</v>
      </c>
      <c r="AN2486">
        <v>1.0000000202763399</v>
      </c>
    </row>
    <row r="2487" spans="1:40" x14ac:dyDescent="0.25">
      <c r="A2487" t="str">
        <f>"20190304155415559"</f>
        <v>20190304155415559</v>
      </c>
      <c r="B2487" t="str">
        <f>"1551686055549139"</f>
        <v>1551686055549139</v>
      </c>
      <c r="C2487" t="s">
        <v>40</v>
      </c>
      <c r="D2487">
        <v>4.3053400000000002</v>
      </c>
      <c r="E2487">
        <v>0.52165729999999999</v>
      </c>
      <c r="F2487" t="s">
        <v>65</v>
      </c>
      <c r="G2487">
        <v>-318.24759999999998</v>
      </c>
      <c r="H2487" s="1">
        <v>4.5631000000000004E-6</v>
      </c>
      <c r="I2487">
        <v>214.55770000000001</v>
      </c>
      <c r="J2487">
        <v>-394.5498</v>
      </c>
      <c r="K2487">
        <v>1.1098319999999999</v>
      </c>
      <c r="L2487">
        <v>214.67160000000001</v>
      </c>
      <c r="M2487">
        <v>0.99994890000000003</v>
      </c>
      <c r="N2487">
        <v>-1.008881E-2</v>
      </c>
      <c r="O2487">
        <v>8.3273880000000002E-4</v>
      </c>
      <c r="P2487">
        <v>0.98678849999999996</v>
      </c>
      <c r="Q2487">
        <v>0.15155940000000001</v>
      </c>
      <c r="R2487">
        <v>5.7257780000000001E-2</v>
      </c>
      <c r="S2487">
        <v>3.0471499999999998</v>
      </c>
      <c r="T2487">
        <v>-4.4126150000000003E-2</v>
      </c>
      <c r="U2487">
        <v>-4.5166019999999998E-3</v>
      </c>
      <c r="V2487">
        <v>-5.6487280000000001E-2</v>
      </c>
      <c r="W2487">
        <v>0.16148950000000001</v>
      </c>
      <c r="X2487">
        <v>0.98525649999999998</v>
      </c>
      <c r="Y2487">
        <v>2.3145969999999998E-3</v>
      </c>
      <c r="Z2487" s="1">
        <v>-3.209214E-5</v>
      </c>
      <c r="AA2487">
        <v>0.99999729999999998</v>
      </c>
      <c r="AB2487">
        <v>35</v>
      </c>
      <c r="AC2487">
        <v>76.302199999999999</v>
      </c>
      <c r="AD2487">
        <v>-1.1098274369000001</v>
      </c>
      <c r="AE2487">
        <v>-0.1139</v>
      </c>
      <c r="AF2487">
        <v>0.17740545589038401</v>
      </c>
      <c r="AG2487">
        <v>-1.1098274369000001</v>
      </c>
      <c r="AH2487">
        <v>76.285939549857801</v>
      </c>
      <c r="AI2487">
        <v>90.833492658758203</v>
      </c>
      <c r="AJ2487">
        <v>89.866757024669994</v>
      </c>
      <c r="AK2487">
        <v>76.294218408998901</v>
      </c>
      <c r="AL2487">
        <v>80.706637494983198</v>
      </c>
      <c r="AM2487">
        <v>93.281321754016403</v>
      </c>
      <c r="AN2487">
        <v>1.00000002110214</v>
      </c>
    </row>
    <row r="2488" spans="1:40" x14ac:dyDescent="0.25">
      <c r="A2488" t="str">
        <f>"20190304155415603"</f>
        <v>20190304155415603</v>
      </c>
      <c r="B2488" t="str">
        <f>"1551686055598915"</f>
        <v>1551686055598915</v>
      </c>
      <c r="C2488" t="s">
        <v>40</v>
      </c>
      <c r="D2488">
        <v>4.2657119999999997</v>
      </c>
      <c r="E2488">
        <v>0.5210806</v>
      </c>
      <c r="F2488" t="s">
        <v>65</v>
      </c>
      <c r="G2488">
        <v>-312.96789999999999</v>
      </c>
      <c r="H2488" s="1">
        <v>2.2217919999999998E-6</v>
      </c>
      <c r="I2488">
        <v>214.6164</v>
      </c>
      <c r="J2488">
        <v>-393.88499999999999</v>
      </c>
      <c r="K2488">
        <v>1.1098300000000001</v>
      </c>
      <c r="L2488">
        <v>214.67250000000001</v>
      </c>
      <c r="M2488">
        <v>0.99994839999999996</v>
      </c>
      <c r="N2488">
        <v>-1.009823E-2</v>
      </c>
      <c r="O2488">
        <v>1.1785560000000001E-3</v>
      </c>
      <c r="P2488">
        <v>0.98672519999999997</v>
      </c>
      <c r="Q2488">
        <v>0.15085090000000001</v>
      </c>
      <c r="R2488">
        <v>6.0145320000000002E-2</v>
      </c>
      <c r="S2488">
        <v>3.0466310000000001</v>
      </c>
      <c r="T2488">
        <v>-4.1445969999999999E-2</v>
      </c>
      <c r="U2488">
        <v>-2.059937E-3</v>
      </c>
      <c r="V2488">
        <v>-5.9037020000000003E-2</v>
      </c>
      <c r="W2488">
        <v>0.160788299999999</v>
      </c>
      <c r="X2488">
        <v>0.98522169999999998</v>
      </c>
      <c r="Y2488">
        <v>1.8544449999999999E-3</v>
      </c>
      <c r="Z2488" s="1">
        <v>-2.610822E-5</v>
      </c>
      <c r="AA2488">
        <v>0.99999830000000001</v>
      </c>
      <c r="AB2488">
        <v>35</v>
      </c>
      <c r="AC2488">
        <v>80.917100000000005</v>
      </c>
      <c r="AD2488">
        <v>-1.1098277782079999</v>
      </c>
      <c r="AE2488">
        <v>-5.6100000000014902E-2</v>
      </c>
      <c r="AF2488">
        <v>0.15144166070399601</v>
      </c>
      <c r="AG2488">
        <v>-1.1098277782079999</v>
      </c>
      <c r="AH2488">
        <v>80.901758600164797</v>
      </c>
      <c r="AI2488">
        <v>90.785945187697493</v>
      </c>
      <c r="AJ2488">
        <v>89.892746980832001</v>
      </c>
      <c r="AK2488">
        <v>80.909512400416901</v>
      </c>
      <c r="AL2488">
        <v>80.7473452900132</v>
      </c>
      <c r="AM2488">
        <v>93.429210058927595</v>
      </c>
      <c r="AN2488">
        <v>1.0000000226491299</v>
      </c>
    </row>
    <row r="2489" spans="1:40" x14ac:dyDescent="0.25">
      <c r="A2489" t="str">
        <f>"20190304155415624"</f>
        <v>20190304155415624</v>
      </c>
      <c r="B2489" t="str">
        <f>"1551686055619411"</f>
        <v>1551686055619411</v>
      </c>
      <c r="C2489" t="s">
        <v>40</v>
      </c>
      <c r="D2489">
        <v>4.2378629999999999</v>
      </c>
      <c r="E2489">
        <v>0.52128169999999996</v>
      </c>
      <c r="F2489" t="s">
        <v>65</v>
      </c>
      <c r="G2489">
        <v>-306.67259999999999</v>
      </c>
      <c r="H2489" s="1">
        <v>1.469652E-6</v>
      </c>
      <c r="I2489">
        <v>214.97749999999999</v>
      </c>
      <c r="J2489">
        <v>-393.54149999999998</v>
      </c>
      <c r="K2489">
        <v>1.1098300000000001</v>
      </c>
      <c r="L2489">
        <v>214.67310000000001</v>
      </c>
      <c r="M2489">
        <v>0.99994799999999995</v>
      </c>
      <c r="N2489">
        <v>-1.0103030000000001E-2</v>
      </c>
      <c r="O2489">
        <v>1.3547609999999999E-3</v>
      </c>
      <c r="P2489">
        <v>0.98671850000000005</v>
      </c>
      <c r="Q2489">
        <v>0.15032179999999901</v>
      </c>
      <c r="R2489">
        <v>6.1564170000000001E-2</v>
      </c>
      <c r="S2489">
        <v>3.0456240000000001</v>
      </c>
      <c r="T2489">
        <v>-3.8757319999999998E-2</v>
      </c>
      <c r="U2489">
        <v>1.0650629999999999E-2</v>
      </c>
      <c r="V2489">
        <v>-6.0282889999999999E-2</v>
      </c>
      <c r="W2489">
        <v>0.16026309999999999</v>
      </c>
      <c r="X2489">
        <v>0.98523179999999999</v>
      </c>
      <c r="Y2489">
        <v>-2.141876E-3</v>
      </c>
      <c r="Z2489" s="1">
        <v>2.0896580000000001E-5</v>
      </c>
      <c r="AA2489">
        <v>0.99999769999999999</v>
      </c>
      <c r="AB2489">
        <v>35</v>
      </c>
      <c r="AC2489">
        <v>86.868899999999996</v>
      </c>
      <c r="AD2489">
        <v>-1.10982853034799</v>
      </c>
      <c r="AE2489">
        <v>0.30439999999998602</v>
      </c>
      <c r="AF2489">
        <v>-0.186676641117582</v>
      </c>
      <c r="AG2489">
        <v>-1.10982853034799</v>
      </c>
      <c r="AH2489">
        <v>86.855056057012106</v>
      </c>
      <c r="AI2489">
        <v>90.732080391539299</v>
      </c>
      <c r="AJ2489">
        <v>90.123145015221795</v>
      </c>
      <c r="AK2489">
        <v>86.862347022181197</v>
      </c>
      <c r="AL2489">
        <v>80.7778321327431</v>
      </c>
      <c r="AM2489">
        <v>93.501363372317797</v>
      </c>
      <c r="AN2489">
        <v>0.99999999388980099</v>
      </c>
    </row>
    <row r="2490" spans="1:40" x14ac:dyDescent="0.25">
      <c r="A2490" t="str">
        <f>"20190304155415646"</f>
        <v>20190304155415646</v>
      </c>
      <c r="B2490" t="str">
        <f>"1551686055638931"</f>
        <v>1551686055638931</v>
      </c>
      <c r="C2490" t="s">
        <v>40</v>
      </c>
      <c r="D2490">
        <v>2.5315180000000002</v>
      </c>
      <c r="E2490">
        <v>0.57356750000000001</v>
      </c>
      <c r="F2490" t="s">
        <v>65</v>
      </c>
      <c r="G2490">
        <v>-302.97570000000002</v>
      </c>
      <c r="H2490" s="1">
        <v>2.1254180000000001E-6</v>
      </c>
      <c r="I2490">
        <v>215.0557</v>
      </c>
      <c r="J2490">
        <v>-393.19549999999998</v>
      </c>
      <c r="K2490">
        <v>1.1098380000000001</v>
      </c>
      <c r="L2490">
        <v>214.6738</v>
      </c>
      <c r="M2490">
        <v>0.99994780000000005</v>
      </c>
      <c r="N2490">
        <v>-1.010787E-2</v>
      </c>
      <c r="O2490">
        <v>1.531672E-3</v>
      </c>
      <c r="P2490">
        <v>0.98666390000000004</v>
      </c>
      <c r="Q2490">
        <v>0.15038270000000001</v>
      </c>
      <c r="R2490">
        <v>6.2286319999999999E-2</v>
      </c>
      <c r="S2490">
        <v>3.045258</v>
      </c>
      <c r="T2490">
        <v>-3.7317749999999997E-2</v>
      </c>
      <c r="U2490">
        <v>1.286316E-2</v>
      </c>
      <c r="V2490">
        <v>-6.0831429999999999E-2</v>
      </c>
      <c r="W2490">
        <v>0.160328</v>
      </c>
      <c r="X2490">
        <v>0.98518749999999999</v>
      </c>
      <c r="Y2490">
        <v>-2.6918530000000001E-3</v>
      </c>
      <c r="Z2490" s="1">
        <v>2.6811879999999998E-5</v>
      </c>
      <c r="AA2490">
        <v>0.99999640000000001</v>
      </c>
      <c r="AB2490">
        <v>35</v>
      </c>
      <c r="AC2490">
        <v>90.219799999999907</v>
      </c>
      <c r="AD2490">
        <v>-1.1098358745819901</v>
      </c>
      <c r="AE2490">
        <v>0.38190000000000102</v>
      </c>
      <c r="AF2490">
        <v>-0.243668486113199</v>
      </c>
      <c r="AG2490">
        <v>-1.1098358745819901</v>
      </c>
      <c r="AH2490">
        <v>90.206628764410894</v>
      </c>
      <c r="AI2490">
        <v>90.704886905562304</v>
      </c>
      <c r="AJ2490">
        <v>90.154768469784699</v>
      </c>
      <c r="AK2490">
        <v>90.213784883685406</v>
      </c>
      <c r="AL2490">
        <v>80.774064703617</v>
      </c>
      <c r="AM2490">
        <v>93.533301912088902</v>
      </c>
      <c r="AN2490">
        <v>0.99999997030804699</v>
      </c>
    </row>
    <row r="2491" spans="1:40" x14ac:dyDescent="0.25">
      <c r="A2491" t="str">
        <f>"20190304155415827"</f>
        <v>20190304155415827</v>
      </c>
      <c r="B2491" t="str">
        <f>"1551686055819491"</f>
        <v>1551686055819491</v>
      </c>
      <c r="C2491" t="s">
        <v>40</v>
      </c>
      <c r="D2491">
        <v>4.6255730000000002</v>
      </c>
      <c r="E2491">
        <v>0.51971290000000003</v>
      </c>
      <c r="F2491" t="s">
        <v>71</v>
      </c>
      <c r="G2491">
        <v>-107.39749999999999</v>
      </c>
      <c r="H2491">
        <v>12.202260000000001</v>
      </c>
      <c r="I2491">
        <v>218.43469999999999</v>
      </c>
      <c r="J2491">
        <v>-390.38060000000002</v>
      </c>
      <c r="K2491">
        <v>1.1098129999999999</v>
      </c>
      <c r="L2491">
        <v>214.68109999999999</v>
      </c>
      <c r="M2491">
        <v>0.99994439999999996</v>
      </c>
      <c r="N2491">
        <v>-1.0146820000000001E-2</v>
      </c>
      <c r="O2491">
        <v>2.858092E-3</v>
      </c>
      <c r="P2491">
        <v>0.98631829999999998</v>
      </c>
      <c r="Q2491">
        <v>0.1499607</v>
      </c>
      <c r="R2491">
        <v>6.8467379999999994E-2</v>
      </c>
      <c r="S2491">
        <v>3.0205380000000002</v>
      </c>
      <c r="T2491">
        <v>0.1182373</v>
      </c>
      <c r="U2491">
        <v>4.0023799999999998E-2</v>
      </c>
      <c r="V2491">
        <v>-6.5699350000000004E-2</v>
      </c>
      <c r="W2491">
        <v>0.1599421</v>
      </c>
      <c r="X2491">
        <v>0.98493759999999997</v>
      </c>
      <c r="Y2491">
        <v>-1.0388929999999999E-2</v>
      </c>
      <c r="Z2491" s="1">
        <v>-9.7053709999999993E-6</v>
      </c>
      <c r="AA2491">
        <v>0.99994609999999995</v>
      </c>
      <c r="AB2491">
        <v>35</v>
      </c>
      <c r="AC2491">
        <v>282.98309999999998</v>
      </c>
      <c r="AD2491">
        <v>11.092447</v>
      </c>
      <c r="AE2491">
        <v>3.7536</v>
      </c>
      <c r="AF2491">
        <v>-2.94023437826865</v>
      </c>
      <c r="AG2491">
        <v>11.092447</v>
      </c>
      <c r="AH2491">
        <v>282.55859669415503</v>
      </c>
      <c r="AI2491">
        <v>87.752006605638599</v>
      </c>
      <c r="AJ2491">
        <v>90.596184092954601</v>
      </c>
      <c r="AK2491">
        <v>282.79152732077603</v>
      </c>
      <c r="AL2491">
        <v>80.7964642794485</v>
      </c>
      <c r="AM2491">
        <v>93.816208595576597</v>
      </c>
      <c r="AN2491">
        <v>0.99999997791829598</v>
      </c>
    </row>
    <row r="2492" spans="1:40" x14ac:dyDescent="0.25">
      <c r="A2492" t="str">
        <f>"20190304155415870"</f>
        <v>20190304155415870</v>
      </c>
      <c r="B2492" t="str">
        <f>"1551686055859507"</f>
        <v>1551686055859507</v>
      </c>
      <c r="C2492" t="s">
        <v>40</v>
      </c>
      <c r="D2492">
        <v>4.3978199999999896</v>
      </c>
      <c r="E2492">
        <v>0.52185930000000003</v>
      </c>
      <c r="F2492" t="s">
        <v>71</v>
      </c>
      <c r="G2492">
        <v>-107.39749999999999</v>
      </c>
      <c r="H2492">
        <v>13.04654</v>
      </c>
      <c r="I2492">
        <v>218.9761</v>
      </c>
      <c r="J2492">
        <v>-389.69749999999999</v>
      </c>
      <c r="K2492">
        <v>1.109793</v>
      </c>
      <c r="L2492">
        <v>214.68340000000001</v>
      </c>
      <c r="M2492">
        <v>0.99994369999999999</v>
      </c>
      <c r="N2492">
        <v>-1.015572E-2</v>
      </c>
      <c r="O2492">
        <v>3.1418079999999998E-3</v>
      </c>
      <c r="P2492">
        <v>0.9863056</v>
      </c>
      <c r="Q2492">
        <v>0.14863129999999999</v>
      </c>
      <c r="R2492">
        <v>7.1487839999999997E-2</v>
      </c>
      <c r="S2492">
        <v>3.0190429999999999</v>
      </c>
      <c r="T2492">
        <v>0.12734909999999999</v>
      </c>
      <c r="U2492">
        <v>4.5822139999999997E-2</v>
      </c>
      <c r="V2492">
        <v>-6.8437390000000001E-2</v>
      </c>
      <c r="W2492">
        <v>0.1586216</v>
      </c>
      <c r="X2492">
        <v>0.98496470000000003</v>
      </c>
      <c r="Y2492">
        <v>-1.203046E-2</v>
      </c>
      <c r="Z2492" s="1">
        <v>-2.814303E-5</v>
      </c>
      <c r="AA2492">
        <v>0.99992760000000003</v>
      </c>
      <c r="AB2492">
        <v>35</v>
      </c>
      <c r="AC2492">
        <v>282.3</v>
      </c>
      <c r="AD2492">
        <v>11.936747</v>
      </c>
      <c r="AE2492">
        <v>4.2926999999999902</v>
      </c>
      <c r="AF2492">
        <v>-3.3996239733842</v>
      </c>
      <c r="AG2492">
        <v>11.936747</v>
      </c>
      <c r="AH2492">
        <v>281.80835729734503</v>
      </c>
      <c r="AI2492">
        <v>87.574710088708301</v>
      </c>
      <c r="AJ2492">
        <v>90.691159975842297</v>
      </c>
      <c r="AK2492">
        <v>282.08153717450301</v>
      </c>
      <c r="AL2492">
        <v>80.873101750232195</v>
      </c>
      <c r="AM2492">
        <v>93.974641592338799</v>
      </c>
      <c r="AN2492">
        <v>0.99999997429133003</v>
      </c>
    </row>
    <row r="2493" spans="1:40" x14ac:dyDescent="0.25">
      <c r="A2493" t="str">
        <f>"20190304155415891"</f>
        <v>20190304155415891</v>
      </c>
      <c r="B2493" t="str">
        <f>"1551686055888786"</f>
        <v>1551686055888786</v>
      </c>
      <c r="C2493" t="s">
        <v>40</v>
      </c>
      <c r="D2493">
        <v>4.4074650000000002</v>
      </c>
      <c r="E2493">
        <v>0.52312199999999998</v>
      </c>
      <c r="F2493" t="s">
        <v>71</v>
      </c>
      <c r="G2493">
        <v>-107.39749999999999</v>
      </c>
      <c r="H2493">
        <v>14.340909999999999</v>
      </c>
      <c r="I2493">
        <v>218.2407</v>
      </c>
      <c r="J2493">
        <v>-389.36180000000002</v>
      </c>
      <c r="K2493">
        <v>1.1097840000000001</v>
      </c>
      <c r="L2493">
        <v>214.68459999999999</v>
      </c>
      <c r="M2493">
        <v>0.99994309999999997</v>
      </c>
      <c r="N2493">
        <v>-1.016006E-2</v>
      </c>
      <c r="O2493">
        <v>3.269802E-3</v>
      </c>
      <c r="P2493">
        <v>0.98635059999999997</v>
      </c>
      <c r="Q2493">
        <v>0.14778329999999901</v>
      </c>
      <c r="R2493">
        <v>7.2614639999999994E-2</v>
      </c>
      <c r="S2493">
        <v>3.0175779999999999</v>
      </c>
      <c r="T2493">
        <v>0.14143129999999901</v>
      </c>
      <c r="U2493">
        <v>3.80249E-2</v>
      </c>
      <c r="V2493">
        <v>-6.9435490000000002E-2</v>
      </c>
      <c r="W2493">
        <v>0.157778799999999</v>
      </c>
      <c r="X2493">
        <v>0.98503019999999997</v>
      </c>
      <c r="Y2493">
        <v>-9.327653E-3</v>
      </c>
      <c r="Z2493" s="1">
        <v>1.53078299999999E-5</v>
      </c>
      <c r="AA2493">
        <v>0.99995650000000003</v>
      </c>
      <c r="AB2493">
        <v>35</v>
      </c>
      <c r="AC2493">
        <v>281.96429999999998</v>
      </c>
      <c r="AD2493">
        <v>13.231126</v>
      </c>
      <c r="AE2493">
        <v>3.55610000000001</v>
      </c>
      <c r="AF2493">
        <v>-2.6282796301733802</v>
      </c>
      <c r="AG2493">
        <v>13.231126</v>
      </c>
      <c r="AH2493">
        <v>281.35499274236099</v>
      </c>
      <c r="AI2493">
        <v>87.307683877644806</v>
      </c>
      <c r="AJ2493">
        <v>90.535213356694598</v>
      </c>
      <c r="AK2493">
        <v>281.678189588929</v>
      </c>
      <c r="AL2493">
        <v>80.922006414350903</v>
      </c>
      <c r="AM2493">
        <v>94.032151184121304</v>
      </c>
      <c r="AN2493">
        <v>0.99999996595650897</v>
      </c>
    </row>
    <row r="2494" spans="1:40" x14ac:dyDescent="0.25">
      <c r="A2494" t="str">
        <f>"20190304155415915"</f>
        <v>20190304155415915</v>
      </c>
      <c r="B2494" t="str">
        <f>"1551686055909283"</f>
        <v>1551686055909283</v>
      </c>
      <c r="C2494" t="s">
        <v>40</v>
      </c>
      <c r="D2494">
        <v>4.4515609999999999</v>
      </c>
      <c r="E2494">
        <v>0.52212689999999995</v>
      </c>
      <c r="F2494" t="s">
        <v>71</v>
      </c>
      <c r="G2494">
        <v>-107.39749999999999</v>
      </c>
      <c r="H2494">
        <v>14.916729999999999</v>
      </c>
      <c r="I2494">
        <v>217.59219999999999</v>
      </c>
      <c r="J2494">
        <v>-388.99090000000001</v>
      </c>
      <c r="K2494">
        <v>1.10978</v>
      </c>
      <c r="L2494">
        <v>214.6859</v>
      </c>
      <c r="M2494">
        <v>0.99994269999999996</v>
      </c>
      <c r="N2494">
        <v>-1.0164869999999999E-2</v>
      </c>
      <c r="O2494">
        <v>3.398047E-3</v>
      </c>
      <c r="P2494">
        <v>0.98624029999999996</v>
      </c>
      <c r="Q2494">
        <v>0.14808089999999999</v>
      </c>
      <c r="R2494">
        <v>7.3501739999999996E-2</v>
      </c>
      <c r="S2494">
        <v>3.01709</v>
      </c>
      <c r="T2494">
        <v>0.14773829999999999</v>
      </c>
      <c r="U2494">
        <v>3.1112669999999999E-2</v>
      </c>
      <c r="V2494">
        <v>-7.0192470000000007E-2</v>
      </c>
      <c r="W2494">
        <v>0.1580821</v>
      </c>
      <c r="X2494">
        <v>0.98492800000000003</v>
      </c>
      <c r="Y2494">
        <v>-6.9128729999999999E-3</v>
      </c>
      <c r="Z2494" s="1">
        <v>6.6810289999999999E-5</v>
      </c>
      <c r="AA2494">
        <v>0.99997610000000003</v>
      </c>
      <c r="AB2494">
        <v>35</v>
      </c>
      <c r="AC2494">
        <v>281.59339999999997</v>
      </c>
      <c r="AD2494">
        <v>13.806950000000001</v>
      </c>
      <c r="AE2494">
        <v>2.9062999999999799</v>
      </c>
      <c r="AF2494">
        <v>-1.9446915906819899</v>
      </c>
      <c r="AG2494">
        <v>13.806950000000001</v>
      </c>
      <c r="AH2494">
        <v>280.92635029455897</v>
      </c>
      <c r="AI2494">
        <v>87.186362121585105</v>
      </c>
      <c r="AJ2494">
        <v>90.396619401296903</v>
      </c>
      <c r="AK2494">
        <v>281.27215998656197</v>
      </c>
      <c r="AL2494">
        <v>80.904408508063895</v>
      </c>
      <c r="AM2494">
        <v>94.076383513829299</v>
      </c>
      <c r="AN2494">
        <v>1.00000004918455</v>
      </c>
    </row>
    <row r="2495" spans="1:40" x14ac:dyDescent="0.25">
      <c r="A2495" t="str">
        <f>"20190304155415940"</f>
        <v>20190304155415940</v>
      </c>
      <c r="B2495" t="str">
        <f>"1551686055928803"</f>
        <v>1551686055928803</v>
      </c>
      <c r="C2495" t="s">
        <v>40</v>
      </c>
      <c r="D2495">
        <v>4.4416010000000004</v>
      </c>
      <c r="E2495">
        <v>0.52136309999999997</v>
      </c>
      <c r="F2495" t="s">
        <v>61</v>
      </c>
      <c r="G2495">
        <v>-122.26139999999999</v>
      </c>
      <c r="H2495">
        <v>13.28279</v>
      </c>
      <c r="I2495">
        <v>218.34440000000001</v>
      </c>
      <c r="J2495">
        <v>-388.60520000000002</v>
      </c>
      <c r="K2495">
        <v>1.109772</v>
      </c>
      <c r="L2495">
        <v>214.6874</v>
      </c>
      <c r="M2495">
        <v>0.99994209999999994</v>
      </c>
      <c r="N2495">
        <v>-1.0169879999999999E-2</v>
      </c>
      <c r="O2495">
        <v>3.5124689999999998E-3</v>
      </c>
      <c r="P2495">
        <v>0.98607840000000002</v>
      </c>
      <c r="Q2495">
        <v>0.14907319999999999</v>
      </c>
      <c r="R2495">
        <v>7.3666759999999998E-2</v>
      </c>
      <c r="S2495">
        <v>3.0181269999999998</v>
      </c>
      <c r="T2495">
        <v>0.137742</v>
      </c>
      <c r="U2495">
        <v>4.1397089999999998E-2</v>
      </c>
      <c r="V2495">
        <v>-7.0239789999999996E-2</v>
      </c>
      <c r="W2495">
        <v>0.1590802</v>
      </c>
      <c r="X2495">
        <v>0.98476390000000003</v>
      </c>
      <c r="Y2495">
        <v>-1.0199679999999999E-2</v>
      </c>
      <c r="Z2495" s="1">
        <v>1.5182740000000001E-5</v>
      </c>
      <c r="AA2495">
        <v>0.99994799999999995</v>
      </c>
      <c r="AB2495">
        <v>35</v>
      </c>
      <c r="AC2495">
        <v>266.34379999999999</v>
      </c>
      <c r="AD2495">
        <v>12.173018000000001</v>
      </c>
      <c r="AE2495">
        <v>3.657</v>
      </c>
      <c r="AF2495">
        <v>-2.7157329567245001</v>
      </c>
      <c r="AG2495">
        <v>12.173018000000001</v>
      </c>
      <c r="AH2495">
        <v>265.79988591951297</v>
      </c>
      <c r="AI2495">
        <v>87.377955169300407</v>
      </c>
      <c r="AJ2495">
        <v>90.585382578599393</v>
      </c>
      <c r="AK2495">
        <v>266.09234661588198</v>
      </c>
      <c r="AL2495">
        <v>80.846488570867393</v>
      </c>
      <c r="AM2495">
        <v>94.079799765049003</v>
      </c>
      <c r="AN2495">
        <v>1.0000000384372401</v>
      </c>
    </row>
    <row r="2496" spans="1:40" x14ac:dyDescent="0.25">
      <c r="A2496" t="str">
        <f>"20190304155415961"</f>
        <v>20190304155415961</v>
      </c>
      <c r="B2496" t="str">
        <f>"1551686055949299"</f>
        <v>1551686055949299</v>
      </c>
      <c r="C2496" t="s">
        <v>40</v>
      </c>
      <c r="D2496">
        <v>4.4900739999999999</v>
      </c>
      <c r="E2496">
        <v>0.5206752</v>
      </c>
      <c r="F2496" t="s">
        <v>61</v>
      </c>
      <c r="G2496">
        <v>-124.2368</v>
      </c>
      <c r="H2496">
        <v>12.649789999999999</v>
      </c>
      <c r="I2496">
        <v>218.84979999999999</v>
      </c>
      <c r="J2496">
        <v>-388.26710000000003</v>
      </c>
      <c r="K2496">
        <v>1.109761</v>
      </c>
      <c r="L2496">
        <v>214.68860000000001</v>
      </c>
      <c r="M2496">
        <v>0.99994179999999999</v>
      </c>
      <c r="N2496">
        <v>-1.017445E-2</v>
      </c>
      <c r="O2496">
        <v>3.5915280000000001E-3</v>
      </c>
      <c r="P2496">
        <v>0.98605160000000003</v>
      </c>
      <c r="Q2496">
        <v>0.149426</v>
      </c>
      <c r="R2496">
        <v>7.3309559999999996E-2</v>
      </c>
      <c r="S2496">
        <v>3.0188600000000001</v>
      </c>
      <c r="T2496">
        <v>0.13177759999999999</v>
      </c>
      <c r="U2496">
        <v>4.7531129999999998E-2</v>
      </c>
      <c r="V2496">
        <v>-6.9798959999999993E-2</v>
      </c>
      <c r="W2496">
        <v>0.15943979999999999</v>
      </c>
      <c r="X2496">
        <v>0.98473699999999997</v>
      </c>
      <c r="Y2496">
        <v>-1.2147740000000001E-2</v>
      </c>
      <c r="Z2496" s="1">
        <v>-9.9553439999999997E-6</v>
      </c>
      <c r="AA2496">
        <v>0.99992619999999999</v>
      </c>
      <c r="AB2496">
        <v>35</v>
      </c>
      <c r="AC2496">
        <v>264.03030000000001</v>
      </c>
      <c r="AD2496">
        <v>11.540029000000001</v>
      </c>
      <c r="AE2496">
        <v>4.1611999999999796</v>
      </c>
      <c r="AF2496">
        <v>-3.2067275118399001</v>
      </c>
      <c r="AG2496">
        <v>11.540029000000001</v>
      </c>
      <c r="AH2496">
        <v>263.54022148594498</v>
      </c>
      <c r="AI2496">
        <v>87.492891248961101</v>
      </c>
      <c r="AJ2496">
        <v>90.697134139971297</v>
      </c>
      <c r="AK2496">
        <v>263.81225087458898</v>
      </c>
      <c r="AL2496">
        <v>80.825617838792596</v>
      </c>
      <c r="AM2496">
        <v>94.054390681411206</v>
      </c>
      <c r="AN2496">
        <v>0.99999995190505897</v>
      </c>
    </row>
    <row r="2497" spans="1:40" x14ac:dyDescent="0.25">
      <c r="A2497" t="str">
        <f>"20190304155415983"</f>
        <v>20190304155415983</v>
      </c>
      <c r="B2497" t="str">
        <f>"1551686055979555"</f>
        <v>1551686055979555</v>
      </c>
      <c r="C2497" t="s">
        <v>40</v>
      </c>
      <c r="D2497">
        <v>4.4124230000000004</v>
      </c>
      <c r="E2497">
        <v>0.52008589999999999</v>
      </c>
      <c r="F2497" t="s">
        <v>61</v>
      </c>
      <c r="G2497">
        <v>-141.2441</v>
      </c>
      <c r="H2497">
        <v>11.4011</v>
      </c>
      <c r="I2497">
        <v>218.91909999999999</v>
      </c>
      <c r="J2497">
        <v>-387.91989999999998</v>
      </c>
      <c r="K2497">
        <v>1.1097440000000001</v>
      </c>
      <c r="L2497">
        <v>214.68989999999999</v>
      </c>
      <c r="M2497">
        <v>0.99994159999999999</v>
      </c>
      <c r="N2497">
        <v>-1.017913E-2</v>
      </c>
      <c r="O2497">
        <v>3.6515470000000002E-3</v>
      </c>
      <c r="P2497">
        <v>0.98595710000000003</v>
      </c>
      <c r="Q2497">
        <v>0.15020890000000001</v>
      </c>
      <c r="R2497">
        <v>7.2979790000000003E-2</v>
      </c>
      <c r="S2497">
        <v>3.019501</v>
      </c>
      <c r="T2497">
        <v>0.12579749999999901</v>
      </c>
      <c r="U2497">
        <v>5.1712040000000001E-2</v>
      </c>
      <c r="V2497">
        <v>-6.9403510000000002E-2</v>
      </c>
      <c r="W2497">
        <v>0.1602296</v>
      </c>
      <c r="X2497">
        <v>0.98463679999999998</v>
      </c>
      <c r="Y2497">
        <v>-1.3468279999999999E-2</v>
      </c>
      <c r="Z2497" s="1">
        <v>-2.2637310000000002E-5</v>
      </c>
      <c r="AA2497">
        <v>0.9999093</v>
      </c>
      <c r="AB2497">
        <v>35</v>
      </c>
      <c r="AC2497">
        <v>246.67580000000001</v>
      </c>
      <c r="AD2497">
        <v>10.291356</v>
      </c>
      <c r="AE2497">
        <v>4.2291999999999899</v>
      </c>
      <c r="AF2497">
        <v>-3.32259540461463</v>
      </c>
      <c r="AG2497">
        <v>10.291356</v>
      </c>
      <c r="AH2497">
        <v>246.26108986509101</v>
      </c>
      <c r="AI2497">
        <v>87.607194901915406</v>
      </c>
      <c r="AJ2497">
        <v>90.772997242395107</v>
      </c>
      <c r="AK2497">
        <v>246.49843007630699</v>
      </c>
      <c r="AL2497">
        <v>80.779776726570503</v>
      </c>
      <c r="AM2497">
        <v>94.031905161140003</v>
      </c>
      <c r="AN2497">
        <v>0.99999999991536004</v>
      </c>
    </row>
    <row r="2498" spans="1:40" x14ac:dyDescent="0.25">
      <c r="A2498" t="str">
        <f>"20190304155416003"</f>
        <v>20190304155416003</v>
      </c>
      <c r="B2498" t="str">
        <f>"1551686055999075"</f>
        <v>1551686055999075</v>
      </c>
      <c r="C2498" t="s">
        <v>40</v>
      </c>
      <c r="D2498">
        <v>4.4051920000000004</v>
      </c>
      <c r="E2498">
        <v>0.51987640000000002</v>
      </c>
      <c r="F2498" t="s">
        <v>61</v>
      </c>
      <c r="G2498">
        <v>-157.17429999999999</v>
      </c>
      <c r="H2498">
        <v>11.146140000000001</v>
      </c>
      <c r="I2498">
        <v>218.89709999999999</v>
      </c>
      <c r="J2498">
        <v>-387.59199999999998</v>
      </c>
      <c r="K2498">
        <v>1.1097300000000001</v>
      </c>
      <c r="L2498">
        <v>214.69120000000001</v>
      </c>
      <c r="M2498">
        <v>0.99994150000000004</v>
      </c>
      <c r="N2498">
        <v>-1.018348E-2</v>
      </c>
      <c r="O2498">
        <v>3.6912049999999999E-3</v>
      </c>
      <c r="P2498">
        <v>0.98590549999999999</v>
      </c>
      <c r="Q2498">
        <v>0.15071180000000001</v>
      </c>
      <c r="R2498">
        <v>7.2637869999999993E-2</v>
      </c>
      <c r="S2498">
        <v>3.0186459999999999</v>
      </c>
      <c r="T2498">
        <v>0.13129830000000001</v>
      </c>
      <c r="U2498">
        <v>5.5038450000000003E-2</v>
      </c>
      <c r="V2498">
        <v>-6.9016469999999996E-2</v>
      </c>
      <c r="W2498">
        <v>0.16073889999999999</v>
      </c>
      <c r="X2498">
        <v>0.98458100000000004</v>
      </c>
      <c r="Y2498">
        <v>-1.453369E-2</v>
      </c>
      <c r="Z2498" s="1">
        <v>-4.3838170000000001E-5</v>
      </c>
      <c r="AA2498">
        <v>0.99989439999999996</v>
      </c>
      <c r="AB2498">
        <v>35</v>
      </c>
      <c r="AC2498">
        <v>230.4177</v>
      </c>
      <c r="AD2498">
        <v>10.03641</v>
      </c>
      <c r="AE2498">
        <v>4.2058999999999802</v>
      </c>
      <c r="AF2498">
        <v>-3.3489567148525499</v>
      </c>
      <c r="AG2498">
        <v>10.03641</v>
      </c>
      <c r="AH2498">
        <v>229.995441686909</v>
      </c>
      <c r="AI2498">
        <v>87.501609132359306</v>
      </c>
      <c r="AJ2498">
        <v>90.834223169192697</v>
      </c>
      <c r="AK2498">
        <v>230.23867666732801</v>
      </c>
      <c r="AL2498">
        <v>80.750212849706898</v>
      </c>
      <c r="AM2498">
        <v>94.009720614289193</v>
      </c>
      <c r="AN2498">
        <v>1.0000000063327299</v>
      </c>
    </row>
    <row r="2499" spans="1:40" x14ac:dyDescent="0.25">
      <c r="A2499" t="str">
        <f>"20190304155416027"</f>
        <v>20190304155416027</v>
      </c>
      <c r="B2499" t="str">
        <f>"1551686056019572"</f>
        <v>1551686056019572</v>
      </c>
      <c r="C2499" t="s">
        <v>40</v>
      </c>
      <c r="D2499">
        <v>4.5402659999999999</v>
      </c>
      <c r="E2499">
        <v>0.51976659999999997</v>
      </c>
      <c r="F2499" t="s">
        <v>61</v>
      </c>
      <c r="G2499">
        <v>-157.8382</v>
      </c>
      <c r="H2499">
        <v>11.312060000000001</v>
      </c>
      <c r="I2499">
        <v>218.9306</v>
      </c>
      <c r="J2499">
        <v>-387.22280000000001</v>
      </c>
      <c r="K2499">
        <v>1.1097159999999999</v>
      </c>
      <c r="L2499">
        <v>214.6926</v>
      </c>
      <c r="M2499">
        <v>0.99994119999999997</v>
      </c>
      <c r="N2499">
        <v>-1.018836E-2</v>
      </c>
      <c r="O2499">
        <v>3.7199049999999999E-3</v>
      </c>
      <c r="P2499">
        <v>0.98588779999999998</v>
      </c>
      <c r="Q2499">
        <v>0.15086469999999999</v>
      </c>
      <c r="R2499">
        <v>7.2560559999999996E-2</v>
      </c>
      <c r="S2499">
        <v>3.0183110000000002</v>
      </c>
      <c r="T2499">
        <v>0.13403019999999999</v>
      </c>
      <c r="U2499">
        <v>5.569458E-2</v>
      </c>
      <c r="V2499">
        <v>-6.8904789999999994E-2</v>
      </c>
      <c r="W2499">
        <v>0.16089890000000001</v>
      </c>
      <c r="X2499">
        <v>0.98456270000000001</v>
      </c>
      <c r="Y2499">
        <v>-1.472387E-2</v>
      </c>
      <c r="Z2499" s="1">
        <v>-4.8717480000000001E-5</v>
      </c>
      <c r="AA2499">
        <v>0.99989159999999999</v>
      </c>
      <c r="AB2499">
        <v>35</v>
      </c>
      <c r="AC2499">
        <v>229.38460000000001</v>
      </c>
      <c r="AD2499">
        <v>10.202344</v>
      </c>
      <c r="AE2499">
        <v>4.2380000000000004</v>
      </c>
      <c r="AF2499">
        <v>-3.3779574687995999</v>
      </c>
      <c r="AG2499">
        <v>10.202344</v>
      </c>
      <c r="AH2499">
        <v>228.946030768534</v>
      </c>
      <c r="AI2499">
        <v>87.448738076640396</v>
      </c>
      <c r="AJ2499">
        <v>90.8453025514345</v>
      </c>
      <c r="AK2499">
        <v>229.198131372012</v>
      </c>
      <c r="AL2499">
        <v>80.740924739471595</v>
      </c>
      <c r="AM2499">
        <v>94.003327506212401</v>
      </c>
      <c r="AN2499">
        <v>1.0000000181687201</v>
      </c>
    </row>
    <row r="2500" spans="1:40" x14ac:dyDescent="0.25">
      <c r="A2500" t="str">
        <f>"20190304155416048"</f>
        <v>20190304155416048</v>
      </c>
      <c r="B2500" t="str">
        <f>"1551686056039092"</f>
        <v>1551686056039092</v>
      </c>
      <c r="C2500" t="s">
        <v>40</v>
      </c>
      <c r="D2500">
        <v>4.4314600000000004</v>
      </c>
      <c r="E2500">
        <v>0.51972839999999998</v>
      </c>
      <c r="F2500" t="s">
        <v>61</v>
      </c>
      <c r="G2500">
        <v>-157.8382</v>
      </c>
      <c r="H2500">
        <v>11.40034</v>
      </c>
      <c r="I2500">
        <v>218.99160000000001</v>
      </c>
      <c r="J2500">
        <v>-386.87939999999998</v>
      </c>
      <c r="K2500">
        <v>1.1097109999999999</v>
      </c>
      <c r="L2500">
        <v>214.69390000000001</v>
      </c>
      <c r="M2500">
        <v>0.99994119999999997</v>
      </c>
      <c r="N2500">
        <v>-1.0192929999999999E-2</v>
      </c>
      <c r="O2500">
        <v>3.7359089999999999E-3</v>
      </c>
      <c r="P2500">
        <v>0.98582619999999999</v>
      </c>
      <c r="Q2500">
        <v>0.15127959999999999</v>
      </c>
      <c r="R2500">
        <v>7.2537030000000002E-2</v>
      </c>
      <c r="S2500">
        <v>3.018097</v>
      </c>
      <c r="T2500">
        <v>0.13539809999999999</v>
      </c>
      <c r="U2500">
        <v>5.6564330000000003E-2</v>
      </c>
      <c r="V2500">
        <v>-6.8862450000000006E-2</v>
      </c>
      <c r="W2500">
        <v>0.1613192</v>
      </c>
      <c r="X2500">
        <v>0.98449690000000001</v>
      </c>
      <c r="Y2500">
        <v>-1.4996860000000001E-2</v>
      </c>
      <c r="Z2500" s="1">
        <v>-5.4172999999999998E-5</v>
      </c>
      <c r="AA2500">
        <v>0.99988750000000004</v>
      </c>
      <c r="AB2500">
        <v>35</v>
      </c>
      <c r="AC2500">
        <v>229.0412</v>
      </c>
      <c r="AD2500">
        <v>10.290628999999999</v>
      </c>
      <c r="AE2500">
        <v>4.2976999999999901</v>
      </c>
      <c r="AF2500">
        <v>-3.4350169941323099</v>
      </c>
      <c r="AG2500">
        <v>10.290628999999999</v>
      </c>
      <c r="AH2500">
        <v>228.59437317010699</v>
      </c>
      <c r="AI2500">
        <v>87.422747650271305</v>
      </c>
      <c r="AJ2500">
        <v>90.860901176704601</v>
      </c>
      <c r="AK2500">
        <v>228.851663380453</v>
      </c>
      <c r="AL2500">
        <v>80.7165247202948</v>
      </c>
      <c r="AM2500">
        <v>94.001142103067195</v>
      </c>
      <c r="AN2500">
        <v>1.0000000337091199</v>
      </c>
    </row>
    <row r="2501" spans="1:40" x14ac:dyDescent="0.25">
      <c r="A2501" t="str">
        <f>"20190304155416072"</f>
        <v>20190304155416072</v>
      </c>
      <c r="B2501" t="str">
        <f>"1551686056069347"</f>
        <v>1551686056069347</v>
      </c>
      <c r="C2501" t="s">
        <v>40</v>
      </c>
      <c r="D2501">
        <v>4.388312</v>
      </c>
      <c r="E2501">
        <v>0.51978340000000001</v>
      </c>
      <c r="F2501" t="s">
        <v>61</v>
      </c>
      <c r="G2501">
        <v>-157.8382</v>
      </c>
      <c r="H2501">
        <v>11.499510000000001</v>
      </c>
      <c r="I2501">
        <v>219.00989999999999</v>
      </c>
      <c r="J2501">
        <v>-386.51609999999999</v>
      </c>
      <c r="K2501">
        <v>1.1096999999999999</v>
      </c>
      <c r="L2501">
        <v>214.6952</v>
      </c>
      <c r="M2501">
        <v>0.99994099999999997</v>
      </c>
      <c r="N2501">
        <v>-1.019781E-2</v>
      </c>
      <c r="O2501">
        <v>3.7455660000000001E-3</v>
      </c>
      <c r="P2501">
        <v>0.98575760000000001</v>
      </c>
      <c r="Q2501">
        <v>0.15168219999999999</v>
      </c>
      <c r="R2501">
        <v>7.2625789999999996E-2</v>
      </c>
      <c r="S2501">
        <v>3.017944</v>
      </c>
      <c r="T2501">
        <v>0.1369011</v>
      </c>
      <c r="U2501">
        <v>5.6869509999999998E-2</v>
      </c>
      <c r="V2501">
        <v>-6.8938509999999995E-2</v>
      </c>
      <c r="W2501">
        <v>0.16172719999999999</v>
      </c>
      <c r="X2501">
        <v>0.98442459999999998</v>
      </c>
      <c r="Y2501">
        <v>-1.508897E-2</v>
      </c>
      <c r="Z2501" s="1">
        <v>-5.7078720000000001E-5</v>
      </c>
      <c r="AA2501">
        <v>0.99988619999999995</v>
      </c>
      <c r="AB2501">
        <v>35</v>
      </c>
      <c r="AC2501">
        <v>228.67789999999999</v>
      </c>
      <c r="AD2501">
        <v>10.389810000000001</v>
      </c>
      <c r="AE2501">
        <v>4.3146999999999798</v>
      </c>
      <c r="AF2501">
        <v>-3.4509758186826902</v>
      </c>
      <c r="AG2501">
        <v>10.389810000000001</v>
      </c>
      <c r="AH2501">
        <v>228.221514055505</v>
      </c>
      <c r="AI2501">
        <v>87.393700515535102</v>
      </c>
      <c r="AJ2501">
        <v>90.866313075140795</v>
      </c>
      <c r="AK2501">
        <v>228.48395318648599</v>
      </c>
      <c r="AL2501">
        <v>80.692836673658107</v>
      </c>
      <c r="AM2501">
        <v>94.005840295176995</v>
      </c>
      <c r="AN2501">
        <v>0.99999999923300997</v>
      </c>
    </row>
    <row r="2502" spans="1:40" x14ac:dyDescent="0.25">
      <c r="A2502" t="str">
        <f>"20190304155416093"</f>
        <v>20190304155416093</v>
      </c>
      <c r="B2502" t="str">
        <f>"1551686056088867"</f>
        <v>1551686056088867</v>
      </c>
      <c r="C2502" t="s">
        <v>40</v>
      </c>
      <c r="D2502">
        <v>4.3649639999999996</v>
      </c>
      <c r="E2502">
        <v>0.51991920000000003</v>
      </c>
      <c r="F2502" t="s">
        <v>61</v>
      </c>
      <c r="G2502">
        <v>-157.8382</v>
      </c>
      <c r="H2502">
        <v>11.68163</v>
      </c>
      <c r="I2502">
        <v>219.01519999999999</v>
      </c>
      <c r="J2502">
        <v>-386.17259999999999</v>
      </c>
      <c r="K2502">
        <v>1.109694</v>
      </c>
      <c r="L2502">
        <v>214.69649999999999</v>
      </c>
      <c r="M2502">
        <v>0.99994099999999997</v>
      </c>
      <c r="N2502">
        <v>-1.020247E-2</v>
      </c>
      <c r="O2502">
        <v>3.750368E-3</v>
      </c>
      <c r="P2502">
        <v>0.98576509999999995</v>
      </c>
      <c r="Q2502">
        <v>0.1517482</v>
      </c>
      <c r="R2502">
        <v>7.2386469999999994E-2</v>
      </c>
      <c r="S2502">
        <v>3.017639</v>
      </c>
      <c r="T2502">
        <v>0.1395081</v>
      </c>
      <c r="U2502">
        <v>5.7006840000000003E-2</v>
      </c>
      <c r="V2502">
        <v>-6.8692690000000001E-2</v>
      </c>
      <c r="W2502">
        <v>0.16179869999999999</v>
      </c>
      <c r="X2502">
        <v>0.98443000000000003</v>
      </c>
      <c r="Y2502">
        <v>-1.5131189999999999E-2</v>
      </c>
      <c r="Z2502" s="1">
        <v>-6.0808499999999999E-5</v>
      </c>
      <c r="AA2502">
        <v>0.99988549999999998</v>
      </c>
      <c r="AB2502">
        <v>36</v>
      </c>
      <c r="AC2502">
        <v>228.33439999999999</v>
      </c>
      <c r="AD2502">
        <v>10.571936000000001</v>
      </c>
      <c r="AE2502">
        <v>4.3186999999999998</v>
      </c>
      <c r="AF2502">
        <v>-3.4548834689966399</v>
      </c>
      <c r="AG2502">
        <v>10.571936000000001</v>
      </c>
      <c r="AH2502">
        <v>227.86069864776701</v>
      </c>
      <c r="AI2502">
        <v>87.343886959444504</v>
      </c>
      <c r="AJ2502">
        <v>90.868667021331703</v>
      </c>
      <c r="AK2502">
        <v>228.131979430374</v>
      </c>
      <c r="AL2502">
        <v>80.688685028876606</v>
      </c>
      <c r="AM2502">
        <v>93.991580754527007</v>
      </c>
      <c r="AN2502">
        <v>0.99999996494056198</v>
      </c>
    </row>
    <row r="2503" spans="1:40" x14ac:dyDescent="0.25">
      <c r="A2503" t="str">
        <f>"20190304155416117"</f>
        <v>20190304155416117</v>
      </c>
      <c r="B2503" t="str">
        <f>"1551686056109363"</f>
        <v>1551686056109363</v>
      </c>
      <c r="C2503" t="s">
        <v>40</v>
      </c>
      <c r="D2503">
        <v>4.395486</v>
      </c>
      <c r="E2503">
        <v>0.51987529999999904</v>
      </c>
      <c r="F2503" t="s">
        <v>61</v>
      </c>
      <c r="G2503">
        <v>-155.41059999999999</v>
      </c>
      <c r="H2503">
        <v>11.84027</v>
      </c>
      <c r="I2503">
        <v>218.89709999999999</v>
      </c>
      <c r="J2503">
        <v>-385.80020000000002</v>
      </c>
      <c r="K2503">
        <v>1.1096919999999999</v>
      </c>
      <c r="L2503">
        <v>214.6979</v>
      </c>
      <c r="M2503">
        <v>0.99994099999999997</v>
      </c>
      <c r="N2503">
        <v>-1.02075E-2</v>
      </c>
      <c r="O2503">
        <v>3.7544610000000002E-3</v>
      </c>
      <c r="P2503">
        <v>0.98569039999999997</v>
      </c>
      <c r="Q2503">
        <v>0.15207879999999999</v>
      </c>
      <c r="R2503">
        <v>7.2710490000000003E-2</v>
      </c>
      <c r="S2503">
        <v>3.0177309999999999</v>
      </c>
      <c r="T2503">
        <v>0.14032700000000001</v>
      </c>
      <c r="U2503">
        <v>5.4931639999999997E-2</v>
      </c>
      <c r="V2503">
        <v>-6.9011320000000001E-2</v>
      </c>
      <c r="W2503">
        <v>0.16213420000000001</v>
      </c>
      <c r="X2503">
        <v>0.98435249999999996</v>
      </c>
      <c r="Y2503">
        <v>-1.443965E-2</v>
      </c>
      <c r="Z2503" s="1">
        <v>-4.9011719999999998E-5</v>
      </c>
      <c r="AA2503">
        <v>0.9998958</v>
      </c>
      <c r="AB2503">
        <v>36</v>
      </c>
      <c r="AC2503">
        <v>230.3896</v>
      </c>
      <c r="AD2503">
        <v>10.730578</v>
      </c>
      <c r="AE2503">
        <v>4.1991999999999896</v>
      </c>
      <c r="AF2503">
        <v>-3.3269219833878299</v>
      </c>
      <c r="AG2503">
        <v>10.730578</v>
      </c>
      <c r="AH2503">
        <v>229.90517392420401</v>
      </c>
      <c r="AI2503">
        <v>87.327999496895103</v>
      </c>
      <c r="AJ2503">
        <v>90.829060439654299</v>
      </c>
      <c r="AK2503">
        <v>230.17950106648499</v>
      </c>
      <c r="AL2503">
        <v>80.669204970608405</v>
      </c>
      <c r="AM2503">
        <v>94.010350065241695</v>
      </c>
      <c r="AN2503">
        <v>0.99999995267701502</v>
      </c>
    </row>
    <row r="2504" spans="1:40" x14ac:dyDescent="0.25">
      <c r="A2504" t="str">
        <f>"20190304155416140"</f>
        <v>20190304155416140</v>
      </c>
      <c r="B2504" t="str">
        <f>"1551686056128883"</f>
        <v>1551686056128883</v>
      </c>
      <c r="C2504" t="s">
        <v>40</v>
      </c>
      <c r="D2504">
        <v>4.3818549999999998</v>
      </c>
      <c r="E2504">
        <v>0.52054269999999903</v>
      </c>
      <c r="F2504" t="s">
        <v>61</v>
      </c>
      <c r="G2504">
        <v>-157.8382</v>
      </c>
      <c r="H2504">
        <v>11.66948</v>
      </c>
      <c r="I2504">
        <v>218.93729999999999</v>
      </c>
      <c r="J2504">
        <v>-385.41919999999999</v>
      </c>
      <c r="K2504">
        <v>1.1096870000000001</v>
      </c>
      <c r="L2504">
        <v>214.6994</v>
      </c>
      <c r="M2504">
        <v>0.99994090000000002</v>
      </c>
      <c r="N2504">
        <v>-1.021264E-2</v>
      </c>
      <c r="O2504">
        <v>3.7590990000000001E-3</v>
      </c>
      <c r="P2504">
        <v>0.98568180000000005</v>
      </c>
      <c r="Q2504">
        <v>0.1521448</v>
      </c>
      <c r="R2504">
        <v>7.2687959999999996E-2</v>
      </c>
      <c r="S2504">
        <v>3.0178219999999998</v>
      </c>
      <c r="T2504">
        <v>0.139794</v>
      </c>
      <c r="U2504">
        <v>5.6121829999999998E-2</v>
      </c>
      <c r="V2504">
        <v>-6.8982790000000002E-2</v>
      </c>
      <c r="W2504">
        <v>0.16220619999999999</v>
      </c>
      <c r="X2504">
        <v>0.98434270000000001</v>
      </c>
      <c r="Y2504">
        <v>-1.482842E-2</v>
      </c>
      <c r="Z2504" s="1">
        <v>-5.5089419999999901E-5</v>
      </c>
      <c r="AA2504">
        <v>0.99988999999999995</v>
      </c>
      <c r="AB2504">
        <v>36</v>
      </c>
      <c r="AC2504">
        <v>227.58099999999999</v>
      </c>
      <c r="AD2504">
        <v>10.559793000000001</v>
      </c>
      <c r="AE2504">
        <v>4.23789999999999</v>
      </c>
      <c r="AF2504">
        <v>-3.3750621246654999</v>
      </c>
      <c r="AG2504">
        <v>10.559793000000001</v>
      </c>
      <c r="AH2504">
        <v>227.10653838211101</v>
      </c>
      <c r="AI2504">
        <v>87.338123939336597</v>
      </c>
      <c r="AJ2504">
        <v>90.851417940759802</v>
      </c>
      <c r="AK2504">
        <v>227.376955843053</v>
      </c>
      <c r="AL2504">
        <v>80.665024910421195</v>
      </c>
      <c r="AM2504">
        <v>94.008737330942296</v>
      </c>
      <c r="AN2504">
        <v>1.00000001383895</v>
      </c>
    </row>
    <row r="2505" spans="1:40" x14ac:dyDescent="0.25">
      <c r="A2505" t="str">
        <f>"20190304155416183"</f>
        <v>20190304155416183</v>
      </c>
      <c r="B2505" t="str">
        <f>"1551686056179636"</f>
        <v>1551686056179636</v>
      </c>
      <c r="C2505" t="s">
        <v>40</v>
      </c>
      <c r="D2505">
        <v>4.3222969999999998</v>
      </c>
      <c r="E2505">
        <v>0.51562799999999998</v>
      </c>
      <c r="F2505" t="s">
        <v>63</v>
      </c>
      <c r="G2505">
        <v>-336.72980000000001</v>
      </c>
      <c r="H2505" s="1">
        <v>2.0069740000000001E-6</v>
      </c>
      <c r="I2505">
        <v>215.47380000000001</v>
      </c>
      <c r="J2505">
        <v>-384.74029999999999</v>
      </c>
      <c r="K2505">
        <v>1.109688</v>
      </c>
      <c r="L2505">
        <v>214.70189999999999</v>
      </c>
      <c r="M2505">
        <v>0.99994079999999996</v>
      </c>
      <c r="N2505">
        <v>-1.022182E-2</v>
      </c>
      <c r="O2505">
        <v>3.7694220000000001E-3</v>
      </c>
      <c r="P2505">
        <v>0.98554019999999998</v>
      </c>
      <c r="Q2505">
        <v>0.15347339999999901</v>
      </c>
      <c r="R2505">
        <v>7.1811280000000005E-2</v>
      </c>
      <c r="S2505">
        <v>3.0507200000000001</v>
      </c>
      <c r="T2505">
        <v>-6.9529179999999996E-2</v>
      </c>
      <c r="U2505">
        <v>4.8522950000000002E-2</v>
      </c>
      <c r="V2505">
        <v>-6.8094509999999997E-2</v>
      </c>
      <c r="W2505">
        <v>0.163542299999999</v>
      </c>
      <c r="X2505">
        <v>0.98418340000000004</v>
      </c>
      <c r="Y2505">
        <v>-1.2129879999999999E-2</v>
      </c>
      <c r="Z2505">
        <v>1.5284639999999999E-4</v>
      </c>
      <c r="AA2505">
        <v>0.99992639999999999</v>
      </c>
      <c r="AB2505">
        <v>36</v>
      </c>
      <c r="AC2505">
        <v>48.010499999999901</v>
      </c>
      <c r="AD2505">
        <v>-1.1096859930259999</v>
      </c>
      <c r="AE2505">
        <v>0.77190000000001602</v>
      </c>
      <c r="AF2505">
        <v>-0.590597819255544</v>
      </c>
      <c r="AG2505">
        <v>-1.1096859930259999</v>
      </c>
      <c r="AH2505">
        <v>47.987438978449603</v>
      </c>
      <c r="AI2505">
        <v>91.324600432382596</v>
      </c>
      <c r="AJ2505">
        <v>90.705123148514105</v>
      </c>
      <c r="AK2505">
        <v>48.003900971667399</v>
      </c>
      <c r="AL2505">
        <v>80.587435402099203</v>
      </c>
      <c r="AM2505">
        <v>93.957921042832496</v>
      </c>
      <c r="AN2505">
        <v>0.99999995550849397</v>
      </c>
    </row>
    <row r="2506" spans="1:40" x14ac:dyDescent="0.25">
      <c r="A2506" t="str">
        <f>"20190304155416205"</f>
        <v>20190304155416205</v>
      </c>
      <c r="B2506" t="str">
        <f>"1551686056199156"</f>
        <v>1551686056199156</v>
      </c>
      <c r="C2506" t="s">
        <v>40</v>
      </c>
      <c r="D2506">
        <v>4.2808640000000002</v>
      </c>
      <c r="E2506">
        <v>0.51538679999999903</v>
      </c>
      <c r="F2506" t="s">
        <v>63</v>
      </c>
      <c r="G2506">
        <v>-350.69159999999999</v>
      </c>
      <c r="H2506" s="1">
        <v>-1.214039E-6</v>
      </c>
      <c r="I2506">
        <v>215.6524</v>
      </c>
      <c r="J2506">
        <v>-384.37979999999999</v>
      </c>
      <c r="K2506">
        <v>1.109691</v>
      </c>
      <c r="L2506">
        <v>214.70330000000001</v>
      </c>
      <c r="M2506">
        <v>0.99994059999999996</v>
      </c>
      <c r="N2506">
        <v>-1.022663E-2</v>
      </c>
      <c r="O2506">
        <v>3.7761090000000001E-3</v>
      </c>
      <c r="P2506">
        <v>0.98539790000000005</v>
      </c>
      <c r="Q2506">
        <v>0.15471670000000001</v>
      </c>
      <c r="R2506">
        <v>7.1091760000000004E-2</v>
      </c>
      <c r="S2506">
        <v>3.0532840000000001</v>
      </c>
      <c r="T2506">
        <v>-9.9510310000000005E-2</v>
      </c>
      <c r="U2506">
        <v>8.5235599999999995E-2</v>
      </c>
      <c r="V2506">
        <v>-6.7367930000000006E-2</v>
      </c>
      <c r="W2506">
        <v>0.1647892</v>
      </c>
      <c r="X2506">
        <v>0.98402540000000005</v>
      </c>
      <c r="Y2506">
        <v>-2.411427E-2</v>
      </c>
      <c r="Z2506">
        <v>4.3174460000000001E-4</v>
      </c>
      <c r="AA2506">
        <v>0.99970910000000002</v>
      </c>
      <c r="AB2506">
        <v>36</v>
      </c>
      <c r="AC2506">
        <v>33.688199999999902</v>
      </c>
      <c r="AD2506">
        <v>-1.109692214039</v>
      </c>
      <c r="AE2506">
        <v>0.94909999999998695</v>
      </c>
      <c r="AF2506">
        <v>-0.82098616384930601</v>
      </c>
      <c r="AG2506">
        <v>-1.109692214039</v>
      </c>
      <c r="AH2506">
        <v>33.655055454293397</v>
      </c>
      <c r="AI2506">
        <v>91.887941189507899</v>
      </c>
      <c r="AJ2506">
        <v>91.397404174509205</v>
      </c>
      <c r="AK2506">
        <v>33.683351862941102</v>
      </c>
      <c r="AL2506">
        <v>80.515010660570596</v>
      </c>
      <c r="AM2506">
        <v>93.916448228331504</v>
      </c>
      <c r="AN2506">
        <v>0.99999995313714096</v>
      </c>
    </row>
    <row r="2507" spans="1:40" x14ac:dyDescent="0.25">
      <c r="A2507" t="str">
        <f>"20190304155416226"</f>
        <v>20190304155416226</v>
      </c>
      <c r="B2507" t="str">
        <f>"1551686056219651"</f>
        <v>1551686056219651</v>
      </c>
      <c r="C2507" t="s">
        <v>40</v>
      </c>
      <c r="D2507">
        <v>4.2553549999999998</v>
      </c>
      <c r="E2507">
        <v>0.51547719999999997</v>
      </c>
      <c r="F2507" t="s">
        <v>63</v>
      </c>
      <c r="G2507">
        <v>-350.7654</v>
      </c>
      <c r="H2507" s="1">
        <v>-1.1743060000000001E-6</v>
      </c>
      <c r="I2507">
        <v>215.64160000000001</v>
      </c>
      <c r="J2507">
        <v>-384.04140000000001</v>
      </c>
      <c r="K2507">
        <v>1.1096919999999999</v>
      </c>
      <c r="L2507">
        <v>214.7046</v>
      </c>
      <c r="M2507">
        <v>0.99994059999999996</v>
      </c>
      <c r="N2507">
        <v>-1.023103E-2</v>
      </c>
      <c r="O2507">
        <v>3.7823280000000002E-3</v>
      </c>
      <c r="P2507">
        <v>0.98526599999999998</v>
      </c>
      <c r="Q2507">
        <v>0.1558525</v>
      </c>
      <c r="R2507">
        <v>7.0435330000000004E-2</v>
      </c>
      <c r="S2507">
        <v>3.054138</v>
      </c>
      <c r="T2507">
        <v>-0.1008245</v>
      </c>
      <c r="U2507">
        <v>8.5250850000000003E-2</v>
      </c>
      <c r="V2507">
        <v>-6.6705589999999995E-2</v>
      </c>
      <c r="W2507">
        <v>0.16592870000000001</v>
      </c>
      <c r="X2507">
        <v>0.98387910000000001</v>
      </c>
      <c r="Y2507">
        <v>-2.4104899999999999E-2</v>
      </c>
      <c r="Z2507">
        <v>4.3495509999999998E-4</v>
      </c>
      <c r="AA2507">
        <v>0.99970939999999997</v>
      </c>
      <c r="AB2507">
        <v>36</v>
      </c>
      <c r="AC2507">
        <v>33.276000000000003</v>
      </c>
      <c r="AD2507">
        <v>-1.1096931743059999</v>
      </c>
      <c r="AE2507">
        <v>0.93700000000001105</v>
      </c>
      <c r="AF2507">
        <v>-0.81022563669277903</v>
      </c>
      <c r="AG2507">
        <v>-1.1096931743059999</v>
      </c>
      <c r="AH2507">
        <v>33.242366651419403</v>
      </c>
      <c r="AI2507">
        <v>91.911364462414696</v>
      </c>
      <c r="AJ2507">
        <v>91.396209862531805</v>
      </c>
      <c r="AK2507">
        <v>33.270750293776899</v>
      </c>
      <c r="AL2507">
        <v>80.448811474120802</v>
      </c>
      <c r="AM2507">
        <v>93.878635929368301</v>
      </c>
      <c r="AN2507">
        <v>1.00000002631887</v>
      </c>
    </row>
    <row r="2508" spans="1:40" x14ac:dyDescent="0.25">
      <c r="A2508" t="str">
        <f>"20190304155416248"</f>
        <v>20190304155416248</v>
      </c>
      <c r="B2508" t="str">
        <f>"1551686056239175"</f>
        <v>1551686056239175</v>
      </c>
      <c r="C2508" t="s">
        <v>40</v>
      </c>
      <c r="D2508">
        <v>4.252434</v>
      </c>
      <c r="E2508">
        <v>0.5156695</v>
      </c>
      <c r="F2508" t="s">
        <v>63</v>
      </c>
      <c r="G2508">
        <v>-349.44139999999999</v>
      </c>
      <c r="H2508" s="1">
        <v>3.487452E-6</v>
      </c>
      <c r="I2508">
        <v>215.6414</v>
      </c>
      <c r="J2508">
        <v>-383.68180000000001</v>
      </c>
      <c r="K2508">
        <v>1.1096889999999999</v>
      </c>
      <c r="L2508">
        <v>214.70590000000001</v>
      </c>
      <c r="M2508">
        <v>0.99994050000000001</v>
      </c>
      <c r="N2508">
        <v>-1.0235620000000001E-2</v>
      </c>
      <c r="O2508">
        <v>3.7893240000000002E-3</v>
      </c>
      <c r="P2508">
        <v>0.98519869999999998</v>
      </c>
      <c r="Q2508">
        <v>0.15660969999999999</v>
      </c>
      <c r="R2508">
        <v>6.9690710000000003E-2</v>
      </c>
      <c r="S2508">
        <v>3.0544129999999998</v>
      </c>
      <c r="T2508">
        <v>-9.7960829999999999E-2</v>
      </c>
      <c r="U2508">
        <v>8.2702639999999994E-2</v>
      </c>
      <c r="V2508">
        <v>-6.5953849999999994E-2</v>
      </c>
      <c r="W2508">
        <v>0.16668949999999999</v>
      </c>
      <c r="X2508">
        <v>0.98380109999999998</v>
      </c>
      <c r="Y2508">
        <v>-2.3263329999999999E-2</v>
      </c>
      <c r="Z2508">
        <v>4.0930630000000001E-4</v>
      </c>
      <c r="AA2508">
        <v>0.99972930000000004</v>
      </c>
      <c r="AB2508">
        <v>36</v>
      </c>
      <c r="AC2508">
        <v>34.240400000000001</v>
      </c>
      <c r="AD2508">
        <v>-1.1096855125480001</v>
      </c>
      <c r="AE2508">
        <v>0.93549999999999001</v>
      </c>
      <c r="AF2508">
        <v>-0.80489375811897101</v>
      </c>
      <c r="AG2508">
        <v>-1.1096855125480001</v>
      </c>
      <c r="AH2508">
        <v>34.2077968651136</v>
      </c>
      <c r="AI2508">
        <v>91.857483951125005</v>
      </c>
      <c r="AJ2508">
        <v>91.347894679502204</v>
      </c>
      <c r="AK2508">
        <v>34.235254084985201</v>
      </c>
      <c r="AL2508">
        <v>80.404604494751098</v>
      </c>
      <c r="AM2508">
        <v>93.835359892702499</v>
      </c>
      <c r="AN2508">
        <v>0.99999995205063996</v>
      </c>
    </row>
    <row r="2509" spans="1:40" x14ac:dyDescent="0.25">
      <c r="A2509" t="str">
        <f>"20190304155416271"</f>
        <v>20190304155416271</v>
      </c>
      <c r="B2509" t="str">
        <f>"1551686056259667"</f>
        <v>1551686056259667</v>
      </c>
      <c r="C2509" t="s">
        <v>40</v>
      </c>
      <c r="D2509">
        <v>4.2283429999999997</v>
      </c>
      <c r="E2509">
        <v>0.51574819999999999</v>
      </c>
      <c r="F2509" t="s">
        <v>63</v>
      </c>
      <c r="G2509">
        <v>-348.07600000000002</v>
      </c>
      <c r="H2509" s="1">
        <v>2.7608279999999998E-6</v>
      </c>
      <c r="I2509">
        <v>215.62909999999999</v>
      </c>
      <c r="J2509">
        <v>-383.3236</v>
      </c>
      <c r="K2509">
        <v>1.109691</v>
      </c>
      <c r="L2509">
        <v>214.7073</v>
      </c>
      <c r="M2509">
        <v>0.99994050000000001</v>
      </c>
      <c r="N2509">
        <v>-1.024017E-2</v>
      </c>
      <c r="O2509">
        <v>3.7957300000000002E-3</v>
      </c>
      <c r="P2509">
        <v>0.98500929999999998</v>
      </c>
      <c r="Q2509">
        <v>0.15795719999999999</v>
      </c>
      <c r="R2509">
        <v>6.933011E-2</v>
      </c>
      <c r="S2509">
        <v>3.0545650000000002</v>
      </c>
      <c r="T2509">
        <v>-9.5198149999999995E-2</v>
      </c>
      <c r="U2509">
        <v>7.9193120000000006E-2</v>
      </c>
      <c r="V2509">
        <v>-6.5587709999999994E-2</v>
      </c>
      <c r="W2509">
        <v>0.16803969999999999</v>
      </c>
      <c r="X2509">
        <v>0.98359589999999997</v>
      </c>
      <c r="Y2509">
        <v>-2.2109170000000001E-2</v>
      </c>
      <c r="Z2509">
        <v>3.7825430000000001E-4</v>
      </c>
      <c r="AA2509">
        <v>0.99975550000000002</v>
      </c>
      <c r="AB2509">
        <v>36</v>
      </c>
      <c r="AC2509">
        <v>35.247599999999998</v>
      </c>
      <c r="AD2509">
        <v>-1.109688239172</v>
      </c>
      <c r="AE2509">
        <v>0.92179999999998996</v>
      </c>
      <c r="AF2509">
        <v>-0.78721626667029998</v>
      </c>
      <c r="AG2509">
        <v>-1.109688239172</v>
      </c>
      <c r="AH2509">
        <v>35.215964416777098</v>
      </c>
      <c r="AI2509">
        <v>91.804396345525802</v>
      </c>
      <c r="AJ2509">
        <v>91.280574301984601</v>
      </c>
      <c r="AK2509">
        <v>35.242236978409501</v>
      </c>
      <c r="AL2509">
        <v>80.326137328794701</v>
      </c>
      <c r="AM2509">
        <v>93.814924439558993</v>
      </c>
      <c r="AN2509">
        <v>0.99999999148797203</v>
      </c>
    </row>
    <row r="2510" spans="1:40" x14ac:dyDescent="0.25">
      <c r="A2510" t="str">
        <f>"20190304155416294"</f>
        <v>20190304155416294</v>
      </c>
      <c r="B2510" t="str">
        <f>"1551686056288947"</f>
        <v>1551686056288947</v>
      </c>
      <c r="C2510" t="s">
        <v>40</v>
      </c>
      <c r="D2510">
        <v>4.1984360000000001</v>
      </c>
      <c r="E2510">
        <v>0.51578930000000001</v>
      </c>
      <c r="F2510" t="s">
        <v>63</v>
      </c>
      <c r="G2510">
        <v>-346.26569999999998</v>
      </c>
      <c r="H2510" s="1">
        <v>1.797516E-6</v>
      </c>
      <c r="I2510">
        <v>215.65369999999999</v>
      </c>
      <c r="J2510">
        <v>-382.94670000000002</v>
      </c>
      <c r="K2510">
        <v>1.1096889999999999</v>
      </c>
      <c r="L2510">
        <v>214.70869999999999</v>
      </c>
      <c r="M2510">
        <v>0.99994039999999995</v>
      </c>
      <c r="N2510">
        <v>-1.0244959999999999E-2</v>
      </c>
      <c r="O2510">
        <v>3.8024349999999998E-3</v>
      </c>
      <c r="P2510">
        <v>0.98482950000000002</v>
      </c>
      <c r="Q2510">
        <v>0.15928139999999999</v>
      </c>
      <c r="R2510">
        <v>6.8850640000000005E-2</v>
      </c>
      <c r="S2510">
        <v>3.05484</v>
      </c>
      <c r="T2510">
        <v>-9.1476440000000006E-2</v>
      </c>
      <c r="U2510">
        <v>7.8018190000000001E-2</v>
      </c>
      <c r="V2510">
        <v>-6.5101329999999999E-2</v>
      </c>
      <c r="W2510">
        <v>0.16936689999999999</v>
      </c>
      <c r="X2510">
        <v>0.98340059999999996</v>
      </c>
      <c r="Y2510">
        <v>-2.171698E-2</v>
      </c>
      <c r="Z2510">
        <v>3.614561E-4</v>
      </c>
      <c r="AA2510">
        <v>0.99976410000000004</v>
      </c>
      <c r="AB2510">
        <v>36</v>
      </c>
      <c r="AC2510">
        <v>36.680999999999997</v>
      </c>
      <c r="AD2510">
        <v>-1.1096872024840001</v>
      </c>
      <c r="AE2510">
        <v>0.94499999999999296</v>
      </c>
      <c r="AF2510">
        <v>-0.80477270031392101</v>
      </c>
      <c r="AG2510">
        <v>-1.1096872024840001</v>
      </c>
      <c r="AH2510">
        <v>36.650807496389497</v>
      </c>
      <c r="AI2510">
        <v>91.733813576643897</v>
      </c>
      <c r="AJ2510">
        <v>91.257889631282893</v>
      </c>
      <c r="AK2510">
        <v>36.6764332361249</v>
      </c>
      <c r="AL2510">
        <v>80.248989009724397</v>
      </c>
      <c r="AM2510">
        <v>93.787466489172402</v>
      </c>
      <c r="AN2510">
        <v>1.0000000350318601</v>
      </c>
    </row>
    <row r="2511" spans="1:40" x14ac:dyDescent="0.25">
      <c r="A2511" t="str">
        <f>"20190304155416316"</f>
        <v>20190304155416316</v>
      </c>
      <c r="B2511" t="str">
        <f>"1551686056309443"</f>
        <v>1551686056309443</v>
      </c>
      <c r="C2511" t="s">
        <v>40</v>
      </c>
      <c r="D2511">
        <v>4.2035939999999998</v>
      </c>
      <c r="E2511">
        <v>0.51574609999999999</v>
      </c>
      <c r="F2511" t="s">
        <v>63</v>
      </c>
      <c r="G2511">
        <v>-344.39780000000002</v>
      </c>
      <c r="H2511" s="1">
        <v>8.0348459999999995E-7</v>
      </c>
      <c r="I2511">
        <v>215.67699999999999</v>
      </c>
      <c r="J2511">
        <v>-382.60079999999999</v>
      </c>
      <c r="K2511">
        <v>1.109696</v>
      </c>
      <c r="L2511">
        <v>214.71010000000001</v>
      </c>
      <c r="M2511">
        <v>0.9999403</v>
      </c>
      <c r="N2511">
        <v>-1.0249360000000001E-2</v>
      </c>
      <c r="O2511">
        <v>3.8086079999999998E-3</v>
      </c>
      <c r="P2511">
        <v>0.98478509999999997</v>
      </c>
      <c r="Q2511">
        <v>0.1599507</v>
      </c>
      <c r="R2511">
        <v>6.793051E-2</v>
      </c>
      <c r="S2511">
        <v>3.0550839999999999</v>
      </c>
      <c r="T2511">
        <v>-8.7945220000000005E-2</v>
      </c>
      <c r="U2511">
        <v>7.6736449999999998E-2</v>
      </c>
      <c r="V2511">
        <v>-6.4175609999999994E-2</v>
      </c>
      <c r="W2511">
        <v>0.17003989999999999</v>
      </c>
      <c r="X2511">
        <v>0.98334529999999998</v>
      </c>
      <c r="Y2511">
        <v>-2.129062E-2</v>
      </c>
      <c r="Z2511">
        <v>3.4491889999999997E-4</v>
      </c>
      <c r="AA2511">
        <v>0.99977329999999998</v>
      </c>
      <c r="AB2511">
        <v>36</v>
      </c>
      <c r="AC2511">
        <v>38.202999999999903</v>
      </c>
      <c r="AD2511">
        <v>-1.1096951965154001</v>
      </c>
      <c r="AE2511">
        <v>0.96690000000000897</v>
      </c>
      <c r="AF2511">
        <v>-0.82069308928468299</v>
      </c>
      <c r="AG2511">
        <v>-1.1096951965154001</v>
      </c>
      <c r="AH2511">
        <v>38.174216850409998</v>
      </c>
      <c r="AI2511">
        <v>91.664691009678094</v>
      </c>
      <c r="AJ2511">
        <v>91.231590632683407</v>
      </c>
      <c r="AK2511">
        <v>38.199159581306198</v>
      </c>
      <c r="AL2511">
        <v>80.209861340269299</v>
      </c>
      <c r="AM2511">
        <v>93.7339727507417</v>
      </c>
      <c r="AN2511">
        <v>1.00000002777148</v>
      </c>
    </row>
    <row r="2512" spans="1:40" x14ac:dyDescent="0.25">
      <c r="A2512" t="str">
        <f>"20190304155416339"</f>
        <v>20190304155416339</v>
      </c>
      <c r="B2512" t="str">
        <f>"1551686056328963"</f>
        <v>1551686056328963</v>
      </c>
      <c r="C2512" t="s">
        <v>40</v>
      </c>
      <c r="D2512">
        <v>4.2016929999999997</v>
      </c>
      <c r="E2512">
        <v>0.51570459999999996</v>
      </c>
      <c r="F2512" t="s">
        <v>63</v>
      </c>
      <c r="G2512">
        <v>-343.44119999999998</v>
      </c>
      <c r="H2512" s="1">
        <v>2.9446260000000001E-7</v>
      </c>
      <c r="I2512">
        <v>215.66839999999999</v>
      </c>
      <c r="J2512">
        <v>-382.22739999999999</v>
      </c>
      <c r="K2512">
        <v>1.1096999999999999</v>
      </c>
      <c r="L2512">
        <v>214.7115</v>
      </c>
      <c r="M2512">
        <v>0.9999403</v>
      </c>
      <c r="N2512">
        <v>-1.02541E-2</v>
      </c>
      <c r="O2512">
        <v>3.8154930000000001E-3</v>
      </c>
      <c r="P2512">
        <v>0.98479640000000002</v>
      </c>
      <c r="Q2512">
        <v>0.1600888</v>
      </c>
      <c r="R2512">
        <v>6.7438990000000004E-2</v>
      </c>
      <c r="S2512">
        <v>3.055237</v>
      </c>
      <c r="T2512">
        <v>-8.6578730000000007E-2</v>
      </c>
      <c r="U2512">
        <v>7.4768070000000006E-2</v>
      </c>
      <c r="V2512">
        <v>-6.3676969999999999E-2</v>
      </c>
      <c r="W2512">
        <v>0.17018269999999999</v>
      </c>
      <c r="X2512">
        <v>0.98335300000000003</v>
      </c>
      <c r="Y2512">
        <v>-2.0639390000000001E-2</v>
      </c>
      <c r="Z2512">
        <v>3.292336E-4</v>
      </c>
      <c r="AA2512">
        <v>0.99978690000000003</v>
      </c>
      <c r="AB2512">
        <v>36</v>
      </c>
      <c r="AC2512">
        <v>38.786200000000001</v>
      </c>
      <c r="AD2512">
        <v>-1.1096997055373901</v>
      </c>
      <c r="AE2512">
        <v>0.95689999999998998</v>
      </c>
      <c r="AF2512">
        <v>-0.80823560536155103</v>
      </c>
      <c r="AG2512">
        <v>-1.1096997055373901</v>
      </c>
      <c r="AH2512">
        <v>38.757862109494198</v>
      </c>
      <c r="AI2512">
        <v>91.639665656658906</v>
      </c>
      <c r="AJ2512">
        <v>91.194642211779396</v>
      </c>
      <c r="AK2512">
        <v>38.782167983866103</v>
      </c>
      <c r="AL2512">
        <v>80.201558363989307</v>
      </c>
      <c r="AM2512">
        <v>93.705012239481704</v>
      </c>
      <c r="AN2512">
        <v>1.0000000152483299</v>
      </c>
    </row>
    <row r="2513" spans="1:40" x14ac:dyDescent="0.25">
      <c r="A2513" t="str">
        <f>"20190304155416364"</f>
        <v>20190304155416364</v>
      </c>
      <c r="B2513" t="str">
        <f>"1551686056359219"</f>
        <v>1551686056359219</v>
      </c>
      <c r="C2513" t="s">
        <v>40</v>
      </c>
      <c r="D2513">
        <v>4.2400229999999999</v>
      </c>
      <c r="E2513">
        <v>0.51565340000000004</v>
      </c>
      <c r="F2513" t="s">
        <v>63</v>
      </c>
      <c r="G2513">
        <v>-343.05709999999999</v>
      </c>
      <c r="H2513" s="1">
        <v>9.0051799999999994E-8</v>
      </c>
      <c r="I2513">
        <v>215.65219999999999</v>
      </c>
      <c r="J2513">
        <v>-381.85309999999998</v>
      </c>
      <c r="K2513">
        <v>1.1096980000000001</v>
      </c>
      <c r="L2513">
        <v>214.71289999999999</v>
      </c>
      <c r="M2513">
        <v>0.99994019999999995</v>
      </c>
      <c r="N2513">
        <v>-1.025887E-2</v>
      </c>
      <c r="O2513">
        <v>3.8222019999999998E-3</v>
      </c>
      <c r="P2513">
        <v>0.98474019999999995</v>
      </c>
      <c r="Q2513">
        <v>0.16063469999999999</v>
      </c>
      <c r="R2513">
        <v>6.6958980000000001E-2</v>
      </c>
      <c r="S2513">
        <v>3.0553279999999998</v>
      </c>
      <c r="T2513">
        <v>-8.6557750000000003E-2</v>
      </c>
      <c r="U2513">
        <v>7.3379520000000004E-2</v>
      </c>
      <c r="V2513">
        <v>-6.3190709999999997E-2</v>
      </c>
      <c r="W2513">
        <v>0.17073250000000001</v>
      </c>
      <c r="X2513">
        <v>0.98328910000000003</v>
      </c>
      <c r="Y2513">
        <v>-2.0178100000000001E-2</v>
      </c>
      <c r="Z2513">
        <v>3.2023119999999999E-4</v>
      </c>
      <c r="AA2513">
        <v>0.99979629999999997</v>
      </c>
      <c r="AB2513">
        <v>36</v>
      </c>
      <c r="AC2513">
        <v>38.7959999999999</v>
      </c>
      <c r="AD2513">
        <v>-1.1096979099481901</v>
      </c>
      <c r="AE2513">
        <v>0.93930000000000202</v>
      </c>
      <c r="AF2513">
        <v>-0.79035295208765199</v>
      </c>
      <c r="AG2513">
        <v>-1.1096979099481901</v>
      </c>
      <c r="AH2513">
        <v>38.767607628516302</v>
      </c>
      <c r="AI2513">
        <v>91.639266800388995</v>
      </c>
      <c r="AJ2513">
        <v>91.167923920836998</v>
      </c>
      <c r="AK2513">
        <v>38.791538877425502</v>
      </c>
      <c r="AL2513">
        <v>80.169589654863103</v>
      </c>
      <c r="AM2513">
        <v>93.677035640360998</v>
      </c>
      <c r="AN2513">
        <v>1.00000005328268</v>
      </c>
    </row>
    <row r="2514" spans="1:40" x14ac:dyDescent="0.25">
      <c r="A2514" t="str">
        <f>"20190304155416385"</f>
        <v>20190304155416385</v>
      </c>
      <c r="B2514" t="str">
        <f>"1551686056379716"</f>
        <v>1551686056379716</v>
      </c>
      <c r="C2514" t="s">
        <v>40</v>
      </c>
      <c r="D2514">
        <v>4.2677290000000001</v>
      </c>
      <c r="E2514">
        <v>0.51565399999999995</v>
      </c>
      <c r="F2514" t="s">
        <v>63</v>
      </c>
      <c r="G2514">
        <v>-342.4837</v>
      </c>
      <c r="H2514" s="1">
        <v>-2.1508150000000001E-7</v>
      </c>
      <c r="I2514">
        <v>215.64769999999999</v>
      </c>
      <c r="J2514">
        <v>-381.49360000000001</v>
      </c>
      <c r="K2514">
        <v>1.1096980000000001</v>
      </c>
      <c r="L2514">
        <v>214.71430000000001</v>
      </c>
      <c r="M2514">
        <v>0.99993989999999999</v>
      </c>
      <c r="N2514">
        <v>-1.026346E-2</v>
      </c>
      <c r="O2514">
        <v>3.828733E-3</v>
      </c>
      <c r="P2514">
        <v>0.98466399999999998</v>
      </c>
      <c r="Q2514">
        <v>0.16140760000000001</v>
      </c>
      <c r="R2514">
        <v>6.6213850000000005E-2</v>
      </c>
      <c r="S2514">
        <v>3.0556030000000001</v>
      </c>
      <c r="T2514">
        <v>-8.6127759999999998E-2</v>
      </c>
      <c r="U2514">
        <v>7.2555540000000002E-2</v>
      </c>
      <c r="V2514">
        <v>-6.2438979999999998E-2</v>
      </c>
      <c r="W2514">
        <v>0.17150899999999999</v>
      </c>
      <c r="X2514">
        <v>0.98320189999999996</v>
      </c>
      <c r="Y2514">
        <v>-1.99002E-2</v>
      </c>
      <c r="Z2514">
        <v>3.1393909999999998E-4</v>
      </c>
      <c r="AA2514">
        <v>0.99980190000000002</v>
      </c>
      <c r="AB2514">
        <v>36</v>
      </c>
      <c r="AC2514">
        <v>39.009900000000002</v>
      </c>
      <c r="AD2514">
        <v>-1.10969821508149</v>
      </c>
      <c r="AE2514">
        <v>0.93339999999997703</v>
      </c>
      <c r="AF2514">
        <v>-0.78339321904957504</v>
      </c>
      <c r="AG2514">
        <v>-1.10969821508149</v>
      </c>
      <c r="AH2514">
        <v>38.981661751355396</v>
      </c>
      <c r="AI2514">
        <v>91.630280237613206</v>
      </c>
      <c r="AJ2514">
        <v>91.151287093732506</v>
      </c>
      <c r="AK2514">
        <v>39.005321277503803</v>
      </c>
      <c r="AL2514">
        <v>80.124432598506104</v>
      </c>
      <c r="AM2514">
        <v>93.633732114137203</v>
      </c>
      <c r="AN2514">
        <v>0.99999996973402405</v>
      </c>
    </row>
    <row r="2515" spans="1:40" x14ac:dyDescent="0.25">
      <c r="A2515" t="str">
        <f>"20190304155416406"</f>
        <v>20190304155416406</v>
      </c>
      <c r="B2515" t="str">
        <f>"1551686056399236"</f>
        <v>1551686056399236</v>
      </c>
      <c r="C2515" t="s">
        <v>40</v>
      </c>
      <c r="D2515">
        <v>4.496416</v>
      </c>
      <c r="E2515">
        <v>0.51543030000000001</v>
      </c>
      <c r="F2515" t="s">
        <v>63</v>
      </c>
      <c r="G2515">
        <v>-341.83330000000001</v>
      </c>
      <c r="H2515" s="1">
        <v>-5.6117750000000004E-7</v>
      </c>
      <c r="I2515">
        <v>215.63130000000001</v>
      </c>
      <c r="J2515">
        <v>-381.15730000000002</v>
      </c>
      <c r="K2515">
        <v>1.109696</v>
      </c>
      <c r="L2515">
        <v>214.71559999999999</v>
      </c>
      <c r="M2515">
        <v>0.99993989999999999</v>
      </c>
      <c r="N2515">
        <v>-1.026782E-2</v>
      </c>
      <c r="O2515">
        <v>3.8346109999999999E-3</v>
      </c>
      <c r="P2515">
        <v>0.98460049999999999</v>
      </c>
      <c r="Q2515">
        <v>0.16196379999999999</v>
      </c>
      <c r="R2515">
        <v>6.5800189999999995E-2</v>
      </c>
      <c r="S2515">
        <v>3.0559690000000002</v>
      </c>
      <c r="T2515">
        <v>-8.5506440000000003E-2</v>
      </c>
      <c r="U2515">
        <v>7.0663450000000003E-2</v>
      </c>
      <c r="V2515">
        <v>-6.2020260000000001E-2</v>
      </c>
      <c r="W2515">
        <v>0.172069</v>
      </c>
      <c r="X2515">
        <v>0.98313059999999997</v>
      </c>
      <c r="Y2515">
        <v>-1.9273249999999999E-2</v>
      </c>
      <c r="Z2515">
        <v>3.0064300000000001E-4</v>
      </c>
      <c r="AA2515">
        <v>0.99981419999999999</v>
      </c>
      <c r="AB2515">
        <v>36</v>
      </c>
      <c r="AC2515">
        <v>39.323999999999998</v>
      </c>
      <c r="AD2515">
        <v>-1.1096965611775</v>
      </c>
      <c r="AE2515">
        <v>0.91570000000001495</v>
      </c>
      <c r="AF2515">
        <v>-0.76428477654049698</v>
      </c>
      <c r="AG2515">
        <v>-1.1096965611775</v>
      </c>
      <c r="AH2515">
        <v>39.295946807639297</v>
      </c>
      <c r="AI2515">
        <v>91.617266633070599</v>
      </c>
      <c r="AJ2515">
        <v>91.1142312418595</v>
      </c>
      <c r="AK2515">
        <v>39.319041102071097</v>
      </c>
      <c r="AL2515">
        <v>80.091863223220898</v>
      </c>
      <c r="AM2515">
        <v>93.609689774108801</v>
      </c>
      <c r="AN2515">
        <v>1.0000000150339099</v>
      </c>
    </row>
    <row r="2516" spans="1:40" x14ac:dyDescent="0.25">
      <c r="A2516" t="str">
        <f>"20190304155416427"</f>
        <v>20190304155416427</v>
      </c>
      <c r="B2516" t="str">
        <f>"1551686056418756"</f>
        <v>1551686056418756</v>
      </c>
      <c r="C2516" t="s">
        <v>40</v>
      </c>
      <c r="D2516">
        <v>4.349399</v>
      </c>
      <c r="E2516">
        <v>0.51526729999999998</v>
      </c>
      <c r="F2516" t="s">
        <v>63</v>
      </c>
      <c r="G2516">
        <v>-341.339</v>
      </c>
      <c r="H2516" s="1">
        <v>-8.2425629999999997E-7</v>
      </c>
      <c r="I2516">
        <v>215.64420000000001</v>
      </c>
      <c r="J2516">
        <v>-380.80709999999999</v>
      </c>
      <c r="K2516">
        <v>1.1096980000000001</v>
      </c>
      <c r="L2516">
        <v>214.71690000000001</v>
      </c>
      <c r="M2516">
        <v>0.99993989999999999</v>
      </c>
      <c r="N2516">
        <v>-1.027249E-2</v>
      </c>
      <c r="O2516">
        <v>3.8407850000000002E-3</v>
      </c>
      <c r="P2516">
        <v>0.9845083</v>
      </c>
      <c r="Q2516">
        <v>0.16252059999999999</v>
      </c>
      <c r="R2516">
        <v>6.5807630000000006E-2</v>
      </c>
      <c r="S2516">
        <v>3.0562130000000001</v>
      </c>
      <c r="T2516">
        <v>-8.5173490000000004E-2</v>
      </c>
      <c r="U2516">
        <v>7.1273799999999998E-2</v>
      </c>
      <c r="V2516">
        <v>-6.2021609999999998E-2</v>
      </c>
      <c r="W2516">
        <v>0.17262930000000001</v>
      </c>
      <c r="X2516">
        <v>0.98303229999999997</v>
      </c>
      <c r="Y2516">
        <v>-1.9464749999999999E-2</v>
      </c>
      <c r="Z2516">
        <v>3.036041E-4</v>
      </c>
      <c r="AA2516">
        <v>0.99981050000000005</v>
      </c>
      <c r="AB2516">
        <v>36</v>
      </c>
      <c r="AC2516">
        <v>39.4680999999999</v>
      </c>
      <c r="AD2516">
        <v>-1.1096988242563</v>
      </c>
      <c r="AE2516">
        <v>0.92730000000000201</v>
      </c>
      <c r="AF2516">
        <v>-0.775084291891599</v>
      </c>
      <c r="AG2516">
        <v>-1.1096988242563</v>
      </c>
      <c r="AH2516">
        <v>39.440209178492097</v>
      </c>
      <c r="AI2516">
        <v>91.611351107854702</v>
      </c>
      <c r="AJ2516">
        <v>91.125839439517804</v>
      </c>
      <c r="AK2516">
        <v>39.463429744300001</v>
      </c>
      <c r="AL2516">
        <v>80.059272852156496</v>
      </c>
      <c r="AM2516">
        <v>93.610128149150498</v>
      </c>
      <c r="AN2516">
        <v>1.00000002908438</v>
      </c>
    </row>
    <row r="2517" spans="1:40" x14ac:dyDescent="0.25">
      <c r="A2517" t="str">
        <f>"20190304155416451"</f>
        <v>20190304155416451</v>
      </c>
      <c r="B2517" t="str">
        <f>"1551686056439255"</f>
        <v>1551686056439255</v>
      </c>
      <c r="C2517" t="s">
        <v>40</v>
      </c>
      <c r="D2517">
        <v>4.5202849999999897</v>
      </c>
      <c r="E2517">
        <v>0.51513569999999997</v>
      </c>
      <c r="F2517" t="s">
        <v>63</v>
      </c>
      <c r="G2517">
        <v>-340.90969999999999</v>
      </c>
      <c r="H2517" s="1">
        <v>-1.05267999999999E-6</v>
      </c>
      <c r="I2517">
        <v>215.66499999999999</v>
      </c>
      <c r="J2517">
        <v>-380.4289</v>
      </c>
      <c r="K2517">
        <v>1.1097049999999999</v>
      </c>
      <c r="L2517">
        <v>214.7184</v>
      </c>
      <c r="M2517">
        <v>0.99993989999999999</v>
      </c>
      <c r="N2517">
        <v>-1.027722E-2</v>
      </c>
      <c r="O2517">
        <v>3.8471379999999999E-3</v>
      </c>
      <c r="P2517">
        <v>0.98440130000000003</v>
      </c>
      <c r="Q2517">
        <v>0.1632401</v>
      </c>
      <c r="R2517">
        <v>6.5626489999999996E-2</v>
      </c>
      <c r="S2517">
        <v>3.0563959999999999</v>
      </c>
      <c r="T2517">
        <v>-8.5010050000000004E-2</v>
      </c>
      <c r="U2517">
        <v>7.2631840000000003E-2</v>
      </c>
      <c r="V2517">
        <v>-6.1834569999999998E-2</v>
      </c>
      <c r="W2517">
        <v>0.1733526</v>
      </c>
      <c r="X2517">
        <v>0.98291680000000003</v>
      </c>
      <c r="Y2517">
        <v>-1.99008E-2</v>
      </c>
      <c r="Z2517">
        <v>3.1153529999999999E-4</v>
      </c>
      <c r="AA2517">
        <v>0.99980190000000002</v>
      </c>
      <c r="AB2517">
        <v>36</v>
      </c>
      <c r="AC2517">
        <v>39.519199999999998</v>
      </c>
      <c r="AD2517">
        <v>-1.10970605268</v>
      </c>
      <c r="AE2517">
        <v>0.94659999999998901</v>
      </c>
      <c r="AF2517">
        <v>-0.79392351877178502</v>
      </c>
      <c r="AG2517">
        <v>-1.10970605268</v>
      </c>
      <c r="AH2517">
        <v>39.491428422488198</v>
      </c>
      <c r="AI2517">
        <v>91.609258377057998</v>
      </c>
      <c r="AJ2517">
        <v>91.151701571750706</v>
      </c>
      <c r="AK2517">
        <v>39.514993115594997</v>
      </c>
      <c r="AL2517">
        <v>80.017196524803495</v>
      </c>
      <c r="AM2517">
        <v>93.599691493941705</v>
      </c>
      <c r="AN2517">
        <v>1.00000003684804</v>
      </c>
    </row>
    <row r="2518" spans="1:40" x14ac:dyDescent="0.25">
      <c r="A2518" t="str">
        <f>"20190304155416473"</f>
        <v>20190304155416473</v>
      </c>
      <c r="B2518" t="str">
        <f>"1551686056469507"</f>
        <v>1551686056469507</v>
      </c>
      <c r="C2518" t="s">
        <v>40</v>
      </c>
      <c r="D2518">
        <v>4.3188719999999998</v>
      </c>
      <c r="E2518">
        <v>0.53638319999999995</v>
      </c>
      <c r="F2518" t="s">
        <v>63</v>
      </c>
      <c r="G2518">
        <v>-339.85950000000003</v>
      </c>
      <c r="H2518" s="1">
        <v>3.6629670000000001E-6</v>
      </c>
      <c r="I2518">
        <v>215.69149999999999</v>
      </c>
      <c r="J2518">
        <v>-380.08569999999997</v>
      </c>
      <c r="K2518">
        <v>1.1097129999999999</v>
      </c>
      <c r="L2518">
        <v>214.71969999999999</v>
      </c>
      <c r="M2518">
        <v>0.99993969999999999</v>
      </c>
      <c r="N2518">
        <v>-1.0281439999999999E-2</v>
      </c>
      <c r="O2518">
        <v>3.8531960000000001E-3</v>
      </c>
      <c r="P2518">
        <v>0.98442470000000004</v>
      </c>
      <c r="Q2518">
        <v>0.16329560000000001</v>
      </c>
      <c r="R2518">
        <v>6.5135689999999996E-2</v>
      </c>
      <c r="S2518">
        <v>3.0565190000000002</v>
      </c>
      <c r="T2518">
        <v>-8.3605529999999997E-2</v>
      </c>
      <c r="U2518">
        <v>7.3318480000000005E-2</v>
      </c>
      <c r="V2518">
        <v>-6.1338030000000002E-2</v>
      </c>
      <c r="W2518">
        <v>0.17341219999999999</v>
      </c>
      <c r="X2518">
        <v>0.98293730000000001</v>
      </c>
      <c r="Y2518">
        <v>-2.011843E-2</v>
      </c>
      <c r="Z2518">
        <v>3.1277470000000001E-4</v>
      </c>
      <c r="AA2518">
        <v>0.99979759999999995</v>
      </c>
      <c r="AB2518">
        <v>36</v>
      </c>
      <c r="AC2518">
        <v>40.226199999999899</v>
      </c>
      <c r="AD2518">
        <v>-1.109709337033</v>
      </c>
      <c r="AE2518">
        <v>0.971800000000001</v>
      </c>
      <c r="AF2518">
        <v>-0.81616439445654498</v>
      </c>
      <c r="AG2518">
        <v>-1.109709337033</v>
      </c>
      <c r="AH2518">
        <v>40.1990713171678</v>
      </c>
      <c r="AI2518">
        <v>91.5809426752202</v>
      </c>
      <c r="AJ2518">
        <v>91.163120187029406</v>
      </c>
      <c r="AK2518">
        <v>40.222666668114101</v>
      </c>
      <c r="AL2518">
        <v>80.013728208902805</v>
      </c>
      <c r="AM2518">
        <v>93.570786295715706</v>
      </c>
      <c r="AN2518">
        <v>0.99999994038220297</v>
      </c>
    </row>
    <row r="2519" spans="1:40" x14ac:dyDescent="0.25">
      <c r="A2519" t="str">
        <f>"20190304155416494"</f>
        <v>20190304155416494</v>
      </c>
      <c r="B2519" t="str">
        <f>"1551686056488920"</f>
        <v>1551686056488920</v>
      </c>
      <c r="C2519" t="s">
        <v>40</v>
      </c>
      <c r="D2519">
        <v>4.1770350000000001</v>
      </c>
      <c r="E2519">
        <v>0.53862980000000005</v>
      </c>
      <c r="F2519" t="s">
        <v>65</v>
      </c>
      <c r="G2519">
        <v>-315.77629999999999</v>
      </c>
      <c r="H2519" s="1">
        <v>3.4671939999999999E-6</v>
      </c>
      <c r="I2519">
        <v>212.6857</v>
      </c>
      <c r="J2519">
        <v>-379.72089999999997</v>
      </c>
      <c r="K2519">
        <v>1.1097140000000001</v>
      </c>
      <c r="L2519">
        <v>214.72110000000001</v>
      </c>
      <c r="M2519">
        <v>0.99993969999999999</v>
      </c>
      <c r="N2519">
        <v>-1.0285870000000001E-2</v>
      </c>
      <c r="O2519">
        <v>3.8593719999999998E-3</v>
      </c>
      <c r="P2519">
        <v>0.98442980000000002</v>
      </c>
      <c r="Q2519">
        <v>0.16336059999999999</v>
      </c>
      <c r="R2519">
        <v>6.4895739999999993E-2</v>
      </c>
      <c r="S2519">
        <v>3.0626220000000002</v>
      </c>
      <c r="T2519">
        <v>-5.2847980000000003E-2</v>
      </c>
      <c r="U2519">
        <v>-9.6862790000000004E-2</v>
      </c>
      <c r="V2519">
        <v>-6.1092130000000001E-2</v>
      </c>
      <c r="W2519">
        <v>0.17348129999999901</v>
      </c>
      <c r="X2519">
        <v>0.98294049999999999</v>
      </c>
      <c r="Y2519">
        <v>3.5460489999999997E-2</v>
      </c>
      <c r="Z2519">
        <v>-5.1518289999999997E-4</v>
      </c>
      <c r="AA2519">
        <v>0.99937089999999995</v>
      </c>
      <c r="AB2519">
        <v>36</v>
      </c>
      <c r="AC2519">
        <v>63.944599999999902</v>
      </c>
      <c r="AD2519">
        <v>-1.109710532806</v>
      </c>
      <c r="AE2519">
        <v>-2.0354000000000099</v>
      </c>
      <c r="AF2519">
        <v>2.2814974595719701</v>
      </c>
      <c r="AG2519">
        <v>-1.109710532806</v>
      </c>
      <c r="AH2519">
        <v>63.9170375392262</v>
      </c>
      <c r="AI2519">
        <v>90.994021171030298</v>
      </c>
      <c r="AJ2519">
        <v>87.955714069827096</v>
      </c>
      <c r="AK2519">
        <v>63.967369618544602</v>
      </c>
      <c r="AL2519">
        <v>80.009708924181297</v>
      </c>
      <c r="AM2519">
        <v>93.556496523296502</v>
      </c>
      <c r="AN2519">
        <v>1.0000000181689299</v>
      </c>
    </row>
    <row r="2520" spans="1:40" x14ac:dyDescent="0.25">
      <c r="A2520" t="str">
        <f>"20190304155416518"</f>
        <v>20190304155416518</v>
      </c>
      <c r="B2520" t="str">
        <f>"1551686056509417"</f>
        <v>1551686056509417</v>
      </c>
      <c r="C2520" t="s">
        <v>40</v>
      </c>
      <c r="D2520">
        <v>4.3628119999999999</v>
      </c>
      <c r="E2520">
        <v>0.57396359999999902</v>
      </c>
      <c r="F2520" t="s">
        <v>63</v>
      </c>
      <c r="G2520">
        <v>-331.67469999999997</v>
      </c>
      <c r="H2520" s="1">
        <v>-5.7066069999999995E-7</v>
      </c>
      <c r="I2520">
        <v>212.90119999999999</v>
      </c>
      <c r="J2520">
        <v>-379.35250000000002</v>
      </c>
      <c r="K2520">
        <v>1.1097170000000001</v>
      </c>
      <c r="L2520">
        <v>214.7225</v>
      </c>
      <c r="M2520">
        <v>0.99993969999999999</v>
      </c>
      <c r="N2520">
        <v>-1.029035E-2</v>
      </c>
      <c r="O2520">
        <v>3.8657850000000001E-3</v>
      </c>
      <c r="P2520">
        <v>0.98443670000000005</v>
      </c>
      <c r="Q2520">
        <v>0.16329360000000001</v>
      </c>
      <c r="R2520">
        <v>6.4960169999999998E-2</v>
      </c>
      <c r="S2520">
        <v>3.0668950000000001</v>
      </c>
      <c r="T2520">
        <v>-7.0835350000000005E-2</v>
      </c>
      <c r="U2520">
        <v>-0.1161652</v>
      </c>
      <c r="V2520">
        <v>-6.1150009999999998E-2</v>
      </c>
      <c r="W2520">
        <v>0.17341879999999901</v>
      </c>
      <c r="X2520">
        <v>0.98294789999999999</v>
      </c>
      <c r="Y2520">
        <v>4.1696539999999997E-2</v>
      </c>
      <c r="Z2520">
        <v>-7.4543220000000004E-4</v>
      </c>
      <c r="AA2520">
        <v>0.99913010000000002</v>
      </c>
      <c r="AB2520">
        <v>36</v>
      </c>
      <c r="AC2520">
        <v>47.677799999999998</v>
      </c>
      <c r="AD2520">
        <v>-1.1097175706606901</v>
      </c>
      <c r="AE2520">
        <v>-1.8212999999999999</v>
      </c>
      <c r="AF2520">
        <v>2.00452389836421</v>
      </c>
      <c r="AG2520">
        <v>-1.1097175706606901</v>
      </c>
      <c r="AH2520">
        <v>47.644629092510499</v>
      </c>
      <c r="AI2520">
        <v>91.333087749762399</v>
      </c>
      <c r="AJ2520">
        <v>87.590849837598199</v>
      </c>
      <c r="AK2520">
        <v>47.6996883690936</v>
      </c>
      <c r="AL2520">
        <v>80.013344729775497</v>
      </c>
      <c r="AM2520">
        <v>93.559830632967405</v>
      </c>
      <c r="AN2520">
        <v>0.99999998901542497</v>
      </c>
    </row>
    <row r="2521" spans="1:40" x14ac:dyDescent="0.25">
      <c r="A2521" t="str">
        <f>"20190304155416542"</f>
        <v>20190304155416542</v>
      </c>
      <c r="B2521" t="str">
        <f>"1551686056539672"</f>
        <v>1551686056539672</v>
      </c>
      <c r="C2521" t="s">
        <v>40</v>
      </c>
      <c r="D2521">
        <v>4.1651480000000003</v>
      </c>
      <c r="E2521">
        <v>0.57402949999999997</v>
      </c>
      <c r="F2521" t="s">
        <v>72</v>
      </c>
      <c r="G2521">
        <v>-251.19130000000001</v>
      </c>
      <c r="H2521">
        <v>3.330006</v>
      </c>
      <c r="I2521">
        <v>198.13740000000001</v>
      </c>
      <c r="J2521">
        <v>-378.9631</v>
      </c>
      <c r="K2521">
        <v>1.10971</v>
      </c>
      <c r="L2521">
        <v>214.72399999999999</v>
      </c>
      <c r="M2521">
        <v>0.99993940000000003</v>
      </c>
      <c r="N2521">
        <v>-1.029511E-2</v>
      </c>
      <c r="O2521">
        <v>3.8726139999999999E-3</v>
      </c>
      <c r="P2521">
        <v>0.98446109999999998</v>
      </c>
      <c r="Q2521">
        <v>0.1631995</v>
      </c>
      <c r="R2521">
        <v>6.4824190000000004E-2</v>
      </c>
      <c r="S2521">
        <v>3.0647890000000002</v>
      </c>
      <c r="T2521">
        <v>5.3097489999999997E-2</v>
      </c>
      <c r="U2521">
        <v>-0.39660640000000003</v>
      </c>
      <c r="V2521">
        <v>-6.1006610000000003E-2</v>
      </c>
      <c r="W2521">
        <v>0.17333009999999999</v>
      </c>
      <c r="X2521">
        <v>0.98297250000000003</v>
      </c>
      <c r="Y2521">
        <v>0.13216789999999901</v>
      </c>
      <c r="Z2521">
        <v>5.6337339999999996E-4</v>
      </c>
      <c r="AA2521">
        <v>0.99122719999999997</v>
      </c>
      <c r="AB2521">
        <v>36</v>
      </c>
      <c r="AC2521">
        <v>127.771799999999</v>
      </c>
      <c r="AD2521">
        <v>2.2202959999999901</v>
      </c>
      <c r="AE2521">
        <v>-16.586600000000001</v>
      </c>
      <c r="AF2521">
        <v>17.076241832714899</v>
      </c>
      <c r="AG2521">
        <v>2.2202959999999901</v>
      </c>
      <c r="AH2521">
        <v>127.668692720737</v>
      </c>
      <c r="AI2521">
        <v>89.012457904971001</v>
      </c>
      <c r="AJ2521">
        <v>82.381657334303895</v>
      </c>
      <c r="AK2521">
        <v>128.824775763356</v>
      </c>
      <c r="AL2521">
        <v>80.018505455360597</v>
      </c>
      <c r="AM2521">
        <v>93.551415381023702</v>
      </c>
      <c r="AN2521">
        <v>1.0000000328929699</v>
      </c>
    </row>
    <row r="2522" spans="1:40" x14ac:dyDescent="0.25">
      <c r="A2522" t="str">
        <f>"20190304155416585"</f>
        <v>20190304155416585</v>
      </c>
      <c r="B2522" t="str">
        <f>"1551686056579688"</f>
        <v>1551686056579688</v>
      </c>
      <c r="C2522" t="s">
        <v>40</v>
      </c>
      <c r="D2522">
        <v>4.2091750000000001</v>
      </c>
      <c r="E2522">
        <v>0.57777400000000001</v>
      </c>
      <c r="F2522" t="s">
        <v>72</v>
      </c>
      <c r="G2522">
        <v>-251.17910000000001</v>
      </c>
      <c r="H2522">
        <v>3.4164840000000001</v>
      </c>
      <c r="I2522">
        <v>198.1592</v>
      </c>
      <c r="J2522">
        <v>-378.25970000000001</v>
      </c>
      <c r="K2522">
        <v>1.109694</v>
      </c>
      <c r="L2522">
        <v>214.7268</v>
      </c>
      <c r="M2522">
        <v>0.99993929999999998</v>
      </c>
      <c r="N2522">
        <v>-1.0303990000000001E-2</v>
      </c>
      <c r="O2522">
        <v>3.8853820000000002E-3</v>
      </c>
      <c r="P2522">
        <v>0.98467720000000003</v>
      </c>
      <c r="Q2522">
        <v>0.1614767</v>
      </c>
      <c r="R2522">
        <v>6.5849110000000002E-2</v>
      </c>
      <c r="S2522">
        <v>3.0643310000000001</v>
      </c>
      <c r="T2522">
        <v>5.5320260000000003E-2</v>
      </c>
      <c r="U2522">
        <v>-0.39723209999999998</v>
      </c>
      <c r="V2522">
        <v>-6.2018190000000001E-2</v>
      </c>
      <c r="W2522">
        <v>0.17161850000000001</v>
      </c>
      <c r="X2522">
        <v>0.98320940000000001</v>
      </c>
      <c r="Y2522">
        <v>0.13239709999999999</v>
      </c>
      <c r="Z2522">
        <v>6.1472410000000001E-4</v>
      </c>
      <c r="AA2522">
        <v>0.99119659999999998</v>
      </c>
      <c r="AB2522">
        <v>36</v>
      </c>
      <c r="AC2522">
        <v>127.0806</v>
      </c>
      <c r="AD2522">
        <v>2.3067899999999901</v>
      </c>
      <c r="AE2522">
        <v>-16.567599999999999</v>
      </c>
      <c r="AF2522">
        <v>17.055731883897501</v>
      </c>
      <c r="AG2522">
        <v>2.3067899999999901</v>
      </c>
      <c r="AH2522">
        <v>126.974126836081</v>
      </c>
      <c r="AI2522">
        <v>88.968461465485305</v>
      </c>
      <c r="AJ2522">
        <v>82.349568054566305</v>
      </c>
      <c r="AK2522">
        <v>128.13527287981501</v>
      </c>
      <c r="AL2522">
        <v>80.118064039171102</v>
      </c>
      <c r="AM2522">
        <v>93.609281088216903</v>
      </c>
      <c r="AN2522">
        <v>0.99999994484074095</v>
      </c>
    </row>
    <row r="2523" spans="1:40" x14ac:dyDescent="0.25">
      <c r="A2523" t="str">
        <f>"20190304155416607"</f>
        <v>20190304155416607</v>
      </c>
      <c r="B2523" t="str">
        <f>"1551686056599209"</f>
        <v>1551686056599209</v>
      </c>
      <c r="C2523" t="s">
        <v>40</v>
      </c>
      <c r="D2523">
        <v>4.2847670000000004</v>
      </c>
      <c r="E2523">
        <v>0.57875989999999999</v>
      </c>
      <c r="F2523" t="s">
        <v>72</v>
      </c>
      <c r="G2523">
        <v>-252.57650000000001</v>
      </c>
      <c r="H2523">
        <v>4.2394129999999999</v>
      </c>
      <c r="I2523">
        <v>197.33009999999999</v>
      </c>
      <c r="J2523">
        <v>-377.90620000000001</v>
      </c>
      <c r="K2523">
        <v>1.109688</v>
      </c>
      <c r="L2523">
        <v>214.72810000000001</v>
      </c>
      <c r="M2523">
        <v>0.99993929999999998</v>
      </c>
      <c r="N2523">
        <v>-1.030851E-2</v>
      </c>
      <c r="O2523">
        <v>3.8915579999999998E-3</v>
      </c>
      <c r="P2523">
        <v>0.98486209999999996</v>
      </c>
      <c r="Q2523">
        <v>0.15992490000000001</v>
      </c>
      <c r="R2523">
        <v>6.6867399999999994E-2</v>
      </c>
      <c r="S2523">
        <v>3.0625309999999999</v>
      </c>
      <c r="T2523">
        <v>7.6264620000000005E-2</v>
      </c>
      <c r="U2523">
        <v>-0.42390440000000001</v>
      </c>
      <c r="V2523">
        <v>-6.3030630000000004E-2</v>
      </c>
      <c r="W2523">
        <v>0.1700728</v>
      </c>
      <c r="X2523">
        <v>0.9834136</v>
      </c>
      <c r="Y2523">
        <v>0.1409359</v>
      </c>
      <c r="Z2523">
        <v>1.1526419999999999E-3</v>
      </c>
      <c r="AA2523">
        <v>0.99001810000000001</v>
      </c>
      <c r="AB2523">
        <v>36</v>
      </c>
      <c r="AC2523">
        <v>125.3297</v>
      </c>
      <c r="AD2523">
        <v>3.1297250000000001</v>
      </c>
      <c r="AE2523">
        <v>-17.398</v>
      </c>
      <c r="AF2523">
        <v>17.874686084894599</v>
      </c>
      <c r="AG2523">
        <v>3.1297250000000001</v>
      </c>
      <c r="AH2523">
        <v>125.18445314793701</v>
      </c>
      <c r="AI2523">
        <v>88.582225776397294</v>
      </c>
      <c r="AJ2523">
        <v>81.873848050002806</v>
      </c>
      <c r="AK2523">
        <v>126.49287288680399</v>
      </c>
      <c r="AL2523">
        <v>80.207947807523396</v>
      </c>
      <c r="AM2523">
        <v>93.667283055546505</v>
      </c>
      <c r="AN2523">
        <v>0.99999996314149697</v>
      </c>
    </row>
    <row r="2524" spans="1:40" x14ac:dyDescent="0.25">
      <c r="A2524" t="str">
        <f>"20190304155416629"</f>
        <v>20190304155416629</v>
      </c>
      <c r="B2524" t="str">
        <f>"1551686056619704"</f>
        <v>1551686056619704</v>
      </c>
      <c r="C2524" t="s">
        <v>40</v>
      </c>
      <c r="D2524">
        <v>4.3005050000000002</v>
      </c>
      <c r="E2524">
        <v>0.57957879999999995</v>
      </c>
      <c r="F2524" t="s">
        <v>72</v>
      </c>
      <c r="G2524">
        <v>-252.77180000000001</v>
      </c>
      <c r="H2524">
        <v>4.3398760000000003</v>
      </c>
      <c r="I2524">
        <v>197.1831</v>
      </c>
      <c r="J2524">
        <v>-377.53190000000001</v>
      </c>
      <c r="K2524">
        <v>1.1096839999999999</v>
      </c>
      <c r="L2524">
        <v>214.7296</v>
      </c>
      <c r="M2524">
        <v>0.99993929999999998</v>
      </c>
      <c r="N2524">
        <v>-1.031322E-2</v>
      </c>
      <c r="O2524">
        <v>3.8980899999999999E-3</v>
      </c>
      <c r="P2524">
        <v>0.9849907</v>
      </c>
      <c r="Q2524">
        <v>0.1587421</v>
      </c>
      <c r="R2524">
        <v>6.7781250000000001E-2</v>
      </c>
      <c r="S2524">
        <v>3.0624389999999999</v>
      </c>
      <c r="T2524">
        <v>7.9055669999999995E-2</v>
      </c>
      <c r="U2524">
        <v>-0.42938229999999999</v>
      </c>
      <c r="V2524">
        <v>-6.3937030000000006E-2</v>
      </c>
      <c r="W2524">
        <v>0.16889599999999999</v>
      </c>
      <c r="X2524">
        <v>0.98355789999999998</v>
      </c>
      <c r="Y2524">
        <v>0.14268029999999901</v>
      </c>
      <c r="Z2524">
        <v>1.23306E-3</v>
      </c>
      <c r="AA2524">
        <v>0.98976799999999998</v>
      </c>
      <c r="AB2524">
        <v>36</v>
      </c>
      <c r="AC2524">
        <v>124.76009999999999</v>
      </c>
      <c r="AD2524">
        <v>3.23019199999999</v>
      </c>
      <c r="AE2524">
        <v>-17.546500000000002</v>
      </c>
      <c r="AF2524">
        <v>18.0208725235684</v>
      </c>
      <c r="AG2524">
        <v>3.23019199999999</v>
      </c>
      <c r="AH2524">
        <v>124.60883855392299</v>
      </c>
      <c r="AI2524">
        <v>88.530356122112593</v>
      </c>
      <c r="AJ2524">
        <v>81.770963969712994</v>
      </c>
      <c r="AK2524">
        <v>125.946610246665</v>
      </c>
      <c r="AL2524">
        <v>80.276363356278395</v>
      </c>
      <c r="AM2524">
        <v>93.719328479074804</v>
      </c>
      <c r="AN2524">
        <v>0.99999997263681495</v>
      </c>
    </row>
    <row r="2525" spans="1:40" x14ac:dyDescent="0.25">
      <c r="A2525" t="str">
        <f>"20190304155416650"</f>
        <v>20190304155416650</v>
      </c>
      <c r="B2525" t="str">
        <f>"1551686056648984"</f>
        <v>1551686056648984</v>
      </c>
      <c r="C2525" t="s">
        <v>40</v>
      </c>
      <c r="D2525">
        <v>4.2643990000000001</v>
      </c>
      <c r="E2525">
        <v>0.58045619999999998</v>
      </c>
      <c r="F2525" t="s">
        <v>72</v>
      </c>
      <c r="G2525">
        <v>-252.8947</v>
      </c>
      <c r="H2525">
        <v>4.3801249999999996</v>
      </c>
      <c r="I2525">
        <v>197.08240000000001</v>
      </c>
      <c r="J2525">
        <v>-377.18180000000001</v>
      </c>
      <c r="K2525">
        <v>1.1096809999999999</v>
      </c>
      <c r="L2525">
        <v>214.73099999999999</v>
      </c>
      <c r="M2525">
        <v>0.99993920000000003</v>
      </c>
      <c r="N2525">
        <v>-1.031762E-2</v>
      </c>
      <c r="O2525">
        <v>3.9043250000000002E-3</v>
      </c>
      <c r="P2525">
        <v>0.98505969999999998</v>
      </c>
      <c r="Q2525">
        <v>0.1580539</v>
      </c>
      <c r="R2525">
        <v>6.8386349999999999E-2</v>
      </c>
      <c r="S2525">
        <v>3.0625610000000001</v>
      </c>
      <c r="T2525">
        <v>8.0363390000000007E-2</v>
      </c>
      <c r="U2525">
        <v>-0.43362430000000002</v>
      </c>
      <c r="V2525">
        <v>-6.4535599999999999E-2</v>
      </c>
      <c r="W2525">
        <v>0.1682131</v>
      </c>
      <c r="X2525">
        <v>0.98363579999999995</v>
      </c>
      <c r="Y2525">
        <v>0.1440237</v>
      </c>
      <c r="Z2525">
        <v>1.2751699999999999E-3</v>
      </c>
      <c r="AA2525">
        <v>0.98957340000000005</v>
      </c>
      <c r="AB2525">
        <v>36</v>
      </c>
      <c r="AC2525">
        <v>124.2871</v>
      </c>
      <c r="AD2525">
        <v>3.2704439999999901</v>
      </c>
      <c r="AE2525">
        <v>-17.648599999999899</v>
      </c>
      <c r="AF2525">
        <v>18.121449093727399</v>
      </c>
      <c r="AG2525">
        <v>3.2704439999999901</v>
      </c>
      <c r="AH2525">
        <v>124.132991351686</v>
      </c>
      <c r="AI2525">
        <v>88.506639413084898</v>
      </c>
      <c r="AJ2525">
        <v>81.694394062918903</v>
      </c>
      <c r="AK2525">
        <v>125.491363300952</v>
      </c>
      <c r="AL2525">
        <v>80.316058262276997</v>
      </c>
      <c r="AM2525">
        <v>93.753752775909504</v>
      </c>
      <c r="AN2525">
        <v>0.99999993886030303</v>
      </c>
    </row>
    <row r="2526" spans="1:40" x14ac:dyDescent="0.25">
      <c r="A2526" t="str">
        <f>"20190304155416673"</f>
        <v>20190304155416673</v>
      </c>
      <c r="B2526" t="str">
        <f>"1551686056669480"</f>
        <v>1551686056669480</v>
      </c>
      <c r="C2526" t="s">
        <v>40</v>
      </c>
      <c r="D2526">
        <v>4.2675589999999897</v>
      </c>
      <c r="E2526">
        <v>0.58085100000000001</v>
      </c>
      <c r="F2526" t="s">
        <v>72</v>
      </c>
      <c r="G2526">
        <v>-253.0675</v>
      </c>
      <c r="H2526">
        <v>4.4603929999999998</v>
      </c>
      <c r="I2526">
        <v>196.94919999999999</v>
      </c>
      <c r="J2526">
        <v>-376.82740000000001</v>
      </c>
      <c r="K2526">
        <v>1.1096779999999999</v>
      </c>
      <c r="L2526">
        <v>214.73240000000001</v>
      </c>
      <c r="M2526">
        <v>0.99993909999999997</v>
      </c>
      <c r="N2526">
        <v>-1.0322130000000001E-2</v>
      </c>
      <c r="O2526">
        <v>3.9105009999999898E-3</v>
      </c>
      <c r="P2526">
        <v>0.98512230000000001</v>
      </c>
      <c r="Q2526">
        <v>0.15788920000000001</v>
      </c>
      <c r="R2526">
        <v>6.7861329999999997E-2</v>
      </c>
      <c r="S2526">
        <v>3.0627439999999999</v>
      </c>
      <c r="T2526">
        <v>8.2687499999999997E-2</v>
      </c>
      <c r="U2526">
        <v>-0.43879699999999999</v>
      </c>
      <c r="V2526">
        <v>-6.4004549999999993E-2</v>
      </c>
      <c r="W2526">
        <v>0.16805329999999999</v>
      </c>
      <c r="X2526">
        <v>0.98369790000000001</v>
      </c>
      <c r="Y2526">
        <v>0.1456567</v>
      </c>
      <c r="Z2526">
        <v>1.3453810000000001E-3</v>
      </c>
      <c r="AA2526">
        <v>0.9893343</v>
      </c>
      <c r="AB2526">
        <v>36</v>
      </c>
      <c r="AC2526">
        <v>123.7599</v>
      </c>
      <c r="AD2526">
        <v>3.3507150000000001</v>
      </c>
      <c r="AE2526">
        <v>-17.783200000000001</v>
      </c>
      <c r="AF2526">
        <v>18.253943198759099</v>
      </c>
      <c r="AG2526">
        <v>3.3507150000000001</v>
      </c>
      <c r="AH2526">
        <v>123.600639936737</v>
      </c>
      <c r="AI2526">
        <v>88.463791834491602</v>
      </c>
      <c r="AJ2526">
        <v>81.599007097463797</v>
      </c>
      <c r="AK2526">
        <v>124.986206943349</v>
      </c>
      <c r="AL2526">
        <v>80.325347204727294</v>
      </c>
      <c r="AM2526">
        <v>93.722716790422993</v>
      </c>
      <c r="AN2526">
        <v>1.000000026263</v>
      </c>
    </row>
    <row r="2527" spans="1:40" x14ac:dyDescent="0.25">
      <c r="A2527" t="str">
        <f>"20190304155416696"</f>
        <v>20190304155416696</v>
      </c>
      <c r="B2527" t="str">
        <f>"1551686056689439"</f>
        <v>1551686056689439</v>
      </c>
      <c r="C2527" t="s">
        <v>40</v>
      </c>
      <c r="D2527">
        <v>4.3123589999999998</v>
      </c>
      <c r="E2527">
        <v>0.58125419999999905</v>
      </c>
      <c r="F2527" t="s">
        <v>72</v>
      </c>
      <c r="G2527">
        <v>-253.2088</v>
      </c>
      <c r="H2527">
        <v>4.4907309999999896</v>
      </c>
      <c r="I2527">
        <v>196.82769999999999</v>
      </c>
      <c r="J2527">
        <v>-376.45179999999999</v>
      </c>
      <c r="K2527">
        <v>1.1096820000000001</v>
      </c>
      <c r="L2527">
        <v>214.73390000000001</v>
      </c>
      <c r="M2527">
        <v>0.99993909999999997</v>
      </c>
      <c r="N2527">
        <v>-1.032696E-2</v>
      </c>
      <c r="O2527">
        <v>3.917032E-3</v>
      </c>
      <c r="P2527">
        <v>0.98491839999999997</v>
      </c>
      <c r="Q2527">
        <v>0.1592982</v>
      </c>
      <c r="R2527">
        <v>6.7527149999999994E-2</v>
      </c>
      <c r="S2527">
        <v>3.0624389999999999</v>
      </c>
      <c r="T2527">
        <v>8.3762409999999995E-2</v>
      </c>
      <c r="U2527">
        <v>-0.4435577</v>
      </c>
      <c r="V2527">
        <v>-6.3664810000000002E-2</v>
      </c>
      <c r="W2527">
        <v>0.16946520000000001</v>
      </c>
      <c r="X2527">
        <v>0.98347770000000001</v>
      </c>
      <c r="Y2527">
        <v>0.14718210000000001</v>
      </c>
      <c r="Z2527">
        <v>1.384789E-3</v>
      </c>
      <c r="AA2527">
        <v>0.9891084</v>
      </c>
      <c r="AB2527">
        <v>36</v>
      </c>
      <c r="AC2527">
        <v>123.24299999999999</v>
      </c>
      <c r="AD2527">
        <v>3.3810489999999902</v>
      </c>
      <c r="AE2527">
        <v>-17.906199999999998</v>
      </c>
      <c r="AF2527">
        <v>18.375291297329401</v>
      </c>
      <c r="AG2527">
        <v>3.3810489999999902</v>
      </c>
      <c r="AH2527">
        <v>123.081192653264</v>
      </c>
      <c r="AI2527">
        <v>88.4437162124906</v>
      </c>
      <c r="AJ2527">
        <v>81.508795669946906</v>
      </c>
      <c r="AK2527">
        <v>124.491215784697</v>
      </c>
      <c r="AL2527">
        <v>80.243274118915096</v>
      </c>
      <c r="AM2527">
        <v>93.703838306317195</v>
      </c>
      <c r="AN2527">
        <v>1.00000002422033</v>
      </c>
    </row>
    <row r="2528" spans="1:40" x14ac:dyDescent="0.25">
      <c r="A2528" t="str">
        <f>"20190304155416717"</f>
        <v>20190304155416717</v>
      </c>
      <c r="B2528" t="str">
        <f>"1551686056708960"</f>
        <v>1551686056708960</v>
      </c>
      <c r="C2528" t="s">
        <v>40</v>
      </c>
      <c r="D2528">
        <v>4.356109</v>
      </c>
      <c r="E2528">
        <v>0.58182109999999998</v>
      </c>
      <c r="F2528" t="s">
        <v>72</v>
      </c>
      <c r="G2528">
        <v>-253.3749</v>
      </c>
      <c r="H2528">
        <v>4.7072649999999996</v>
      </c>
      <c r="I2528">
        <v>196.74959999999999</v>
      </c>
      <c r="J2528">
        <v>-376.09930000000003</v>
      </c>
      <c r="K2528">
        <v>1.109696</v>
      </c>
      <c r="L2528">
        <v>214.73519999999999</v>
      </c>
      <c r="M2528">
        <v>0.99993900000000002</v>
      </c>
      <c r="N2528">
        <v>-1.033151E-2</v>
      </c>
      <c r="O2528">
        <v>3.9234459999999997E-3</v>
      </c>
      <c r="P2528">
        <v>0.98483319999999996</v>
      </c>
      <c r="Q2528">
        <v>0.16002810000000001</v>
      </c>
      <c r="R2528">
        <v>6.7044569999999998E-2</v>
      </c>
      <c r="S2528">
        <v>3.0621640000000001</v>
      </c>
      <c r="T2528">
        <v>8.9510919999999994E-2</v>
      </c>
      <c r="U2528">
        <v>-0.44744869999999998</v>
      </c>
      <c r="V2528">
        <v>-6.3176010000000005E-2</v>
      </c>
      <c r="W2528">
        <v>0.17019819999999999</v>
      </c>
      <c r="X2528">
        <v>0.9833826</v>
      </c>
      <c r="Y2528">
        <v>0.1484248</v>
      </c>
      <c r="Z2528">
        <v>1.5408850000000001E-3</v>
      </c>
      <c r="AA2528">
        <v>0.98892250000000004</v>
      </c>
      <c r="AB2528">
        <v>37</v>
      </c>
      <c r="AC2528">
        <v>122.7244</v>
      </c>
      <c r="AD2528">
        <v>3.597569</v>
      </c>
      <c r="AE2528">
        <v>-17.985600000000002</v>
      </c>
      <c r="AF2528">
        <v>18.451467393028501</v>
      </c>
      <c r="AG2528">
        <v>3.597569</v>
      </c>
      <c r="AH2528">
        <v>122.549790434626</v>
      </c>
      <c r="AI2528">
        <v>88.3372396734581</v>
      </c>
      <c r="AJ2528">
        <v>81.437687791259407</v>
      </c>
      <c r="AK2528">
        <v>123.98326615812501</v>
      </c>
      <c r="AL2528">
        <v>80.200656849517301</v>
      </c>
      <c r="AM2528">
        <v>93.675834027642694</v>
      </c>
      <c r="AN2528">
        <v>0.99999998675276003</v>
      </c>
    </row>
    <row r="2529" spans="1:40" x14ac:dyDescent="0.25">
      <c r="A2529" t="str">
        <f>"20190304155416742"</f>
        <v>20190304155416742</v>
      </c>
      <c r="B2529" t="str">
        <f>"1551686056739215"</f>
        <v>1551686056739215</v>
      </c>
      <c r="C2529" t="s">
        <v>40</v>
      </c>
      <c r="D2529">
        <v>4.3238589999999997</v>
      </c>
      <c r="E2529">
        <v>0.58212469999999905</v>
      </c>
      <c r="F2529" t="s">
        <v>72</v>
      </c>
      <c r="G2529">
        <v>-253.57730000000001</v>
      </c>
      <c r="H2529">
        <v>4.8336769999999998</v>
      </c>
      <c r="I2529">
        <v>196.6053</v>
      </c>
      <c r="J2529">
        <v>-375.70760000000001</v>
      </c>
      <c r="K2529">
        <v>1.1096919999999999</v>
      </c>
      <c r="L2529">
        <v>214.73679999999999</v>
      </c>
      <c r="M2529">
        <v>0.99993900000000002</v>
      </c>
      <c r="N2529">
        <v>-1.033655E-2</v>
      </c>
      <c r="O2529">
        <v>3.9302749999999996E-3</v>
      </c>
      <c r="P2529">
        <v>0.98478270000000001</v>
      </c>
      <c r="Q2529">
        <v>0.16052159999999999</v>
      </c>
      <c r="R2529">
        <v>6.6601939999999998E-2</v>
      </c>
      <c r="S2529">
        <v>3.0619200000000002</v>
      </c>
      <c r="T2529">
        <v>9.3067769999999994E-2</v>
      </c>
      <c r="U2529">
        <v>-0.45307920000000002</v>
      </c>
      <c r="V2529">
        <v>-6.2726450000000003E-2</v>
      </c>
      <c r="W2529">
        <v>0.1706963</v>
      </c>
      <c r="X2529">
        <v>0.98332509999999995</v>
      </c>
      <c r="Y2529">
        <v>0.15021779999999901</v>
      </c>
      <c r="Z2529">
        <v>1.648556E-3</v>
      </c>
      <c r="AA2529">
        <v>0.98865159999999996</v>
      </c>
      <c r="AB2529">
        <v>37</v>
      </c>
      <c r="AC2529">
        <v>122.13030000000001</v>
      </c>
      <c r="AD2529">
        <v>3.7239849999999999</v>
      </c>
      <c r="AE2529">
        <v>-18.1314999999999</v>
      </c>
      <c r="AF2529">
        <v>18.594475684033402</v>
      </c>
      <c r="AG2529">
        <v>3.7239849999999999</v>
      </c>
      <c r="AH2529">
        <v>121.947155020244</v>
      </c>
      <c r="AI2529">
        <v>88.270836311410207</v>
      </c>
      <c r="AJ2529">
        <v>81.330330595384197</v>
      </c>
      <c r="AK2529">
        <v>123.412848633259</v>
      </c>
      <c r="AL2529">
        <v>80.171694563489396</v>
      </c>
      <c r="AM2529">
        <v>93.649960617045906</v>
      </c>
      <c r="AN2529">
        <v>1.00000004332665</v>
      </c>
    </row>
    <row r="2530" spans="1:40" x14ac:dyDescent="0.25">
      <c r="A2530" t="str">
        <f>"20190304155416765"</f>
        <v>20190304155416765</v>
      </c>
      <c r="B2530" t="str">
        <f>"1551686056759711"</f>
        <v>1551686056759711</v>
      </c>
      <c r="C2530" t="s">
        <v>40</v>
      </c>
      <c r="D2530">
        <v>4.2896130000000001</v>
      </c>
      <c r="E2530">
        <v>0.58227949999999995</v>
      </c>
      <c r="F2530" t="s">
        <v>72</v>
      </c>
      <c r="G2530">
        <v>-253.696</v>
      </c>
      <c r="H2530">
        <v>4.9438149999999998</v>
      </c>
      <c r="I2530">
        <v>196.5335</v>
      </c>
      <c r="J2530">
        <v>-375.32810000000001</v>
      </c>
      <c r="K2530">
        <v>1.109686</v>
      </c>
      <c r="L2530">
        <v>214.73830000000001</v>
      </c>
      <c r="M2530">
        <v>0.99993869999999896</v>
      </c>
      <c r="N2530">
        <v>-1.0341589999999999E-2</v>
      </c>
      <c r="O2530">
        <v>3.9373400000000001E-3</v>
      </c>
      <c r="P2530">
        <v>0.98476960000000002</v>
      </c>
      <c r="Q2530">
        <v>0.16069600000000001</v>
      </c>
      <c r="R2530">
        <v>6.6373979999999999E-2</v>
      </c>
      <c r="S2530">
        <v>3.0615230000000002</v>
      </c>
      <c r="T2530">
        <v>9.6208689999999999E-2</v>
      </c>
      <c r="U2530">
        <v>-0.45675660000000001</v>
      </c>
      <c r="V2530">
        <v>-6.2491930000000001E-2</v>
      </c>
      <c r="W2530">
        <v>0.17087529999999901</v>
      </c>
      <c r="X2530">
        <v>0.98330890000000004</v>
      </c>
      <c r="Y2530">
        <v>0.1514007</v>
      </c>
      <c r="Z2530">
        <v>1.741416E-3</v>
      </c>
      <c r="AA2530">
        <v>0.98847099999999999</v>
      </c>
      <c r="AB2530">
        <v>37</v>
      </c>
      <c r="AC2530">
        <v>121.63209999999999</v>
      </c>
      <c r="AD2530">
        <v>3.8341289999999999</v>
      </c>
      <c r="AE2530">
        <v>-18.204799999999999</v>
      </c>
      <c r="AF2530">
        <v>18.665450750353202</v>
      </c>
      <c r="AG2530">
        <v>3.8341289999999999</v>
      </c>
      <c r="AH2530">
        <v>121.441447445557</v>
      </c>
      <c r="AI2530">
        <v>88.212642617520004</v>
      </c>
      <c r="AJ2530">
        <v>81.262064259963907</v>
      </c>
      <c r="AK2530">
        <v>122.927314924611</v>
      </c>
      <c r="AL2530">
        <v>80.161285275000594</v>
      </c>
      <c r="AM2530">
        <v>93.636410672160096</v>
      </c>
      <c r="AN2530">
        <v>1.0000000011422101</v>
      </c>
    </row>
    <row r="2531" spans="1:40" x14ac:dyDescent="0.25">
      <c r="A2531" t="str">
        <f>"20190304155416788"</f>
        <v>20190304155416788</v>
      </c>
      <c r="B2531" t="str">
        <f>"1551686056779232"</f>
        <v>1551686056779232</v>
      </c>
      <c r="C2531" t="s">
        <v>40</v>
      </c>
      <c r="D2531">
        <v>4.3543019999999997</v>
      </c>
      <c r="E2531">
        <v>0.58258719999999997</v>
      </c>
      <c r="F2531" t="s">
        <v>72</v>
      </c>
      <c r="G2531">
        <v>-253.74080000000001</v>
      </c>
      <c r="H2531">
        <v>4.9921810000000004</v>
      </c>
      <c r="I2531">
        <v>196.50890000000001</v>
      </c>
      <c r="J2531">
        <v>-374.96350000000001</v>
      </c>
      <c r="K2531">
        <v>1.109685</v>
      </c>
      <c r="L2531">
        <v>214.7397</v>
      </c>
      <c r="M2531">
        <v>0.99993880000000002</v>
      </c>
      <c r="N2531">
        <v>-1.0346259999999999E-2</v>
      </c>
      <c r="O2531">
        <v>3.9435159999999898E-3</v>
      </c>
      <c r="P2531">
        <v>0.98491459999999997</v>
      </c>
      <c r="Q2531">
        <v>0.1600171</v>
      </c>
      <c r="R2531">
        <v>6.5864300000000001E-2</v>
      </c>
      <c r="S2531">
        <v>3.0613709999999998</v>
      </c>
      <c r="T2531">
        <v>9.7757579999999997E-2</v>
      </c>
      <c r="U2531">
        <v>-0.45898440000000001</v>
      </c>
      <c r="V2531">
        <v>-6.1975490000000001E-2</v>
      </c>
      <c r="W2531">
        <v>0.17020289999999999</v>
      </c>
      <c r="X2531">
        <v>0.98345819999999995</v>
      </c>
      <c r="Y2531">
        <v>0.15211520000000001</v>
      </c>
      <c r="Z2531">
        <v>1.788942E-3</v>
      </c>
      <c r="AA2531">
        <v>0.98836120000000005</v>
      </c>
      <c r="AB2531">
        <v>37</v>
      </c>
      <c r="AC2531">
        <v>121.2227</v>
      </c>
      <c r="AD2531">
        <v>3.8824960000000002</v>
      </c>
      <c r="AE2531">
        <v>-18.230799999999899</v>
      </c>
      <c r="AF2531">
        <v>18.689979648990899</v>
      </c>
      <c r="AG2531">
        <v>3.8824960000000002</v>
      </c>
      <c r="AH2531">
        <v>121.0284572935</v>
      </c>
      <c r="AI2531">
        <v>88.184137013131703</v>
      </c>
      <c r="AJ2531">
        <v>81.221367906829002</v>
      </c>
      <c r="AK2531">
        <v>122.52459585452399</v>
      </c>
      <c r="AL2531">
        <v>80.200383800540806</v>
      </c>
      <c r="AM2531">
        <v>93.605892574017602</v>
      </c>
      <c r="AN2531">
        <v>1.00000000983819</v>
      </c>
    </row>
    <row r="2532" spans="1:40" x14ac:dyDescent="0.25">
      <c r="A2532" t="str">
        <f>"20190304155416808"</f>
        <v>20190304155416808</v>
      </c>
      <c r="B2532" t="str">
        <f>"1551686056798752"</f>
        <v>1551686056798752</v>
      </c>
      <c r="C2532" t="s">
        <v>40</v>
      </c>
      <c r="D2532">
        <v>4.346184</v>
      </c>
      <c r="E2532">
        <v>0.58276249999999996</v>
      </c>
      <c r="F2532" t="s">
        <v>72</v>
      </c>
      <c r="G2532">
        <v>-253.81379999999999</v>
      </c>
      <c r="H2532">
        <v>4.9014369999999996</v>
      </c>
      <c r="I2532">
        <v>196.40790000000001</v>
      </c>
      <c r="J2532">
        <v>-374.60919999999999</v>
      </c>
      <c r="K2532">
        <v>1.10968</v>
      </c>
      <c r="L2532">
        <v>214.74109999999999</v>
      </c>
      <c r="M2532">
        <v>0.99993880000000002</v>
      </c>
      <c r="N2532">
        <v>-1.035081E-2</v>
      </c>
      <c r="O2532">
        <v>3.9497509999999996E-3</v>
      </c>
      <c r="P2532">
        <v>0.98488379999999998</v>
      </c>
      <c r="Q2532">
        <v>0.16019949999999999</v>
      </c>
      <c r="R2532">
        <v>6.5881770000000006E-2</v>
      </c>
      <c r="S2532">
        <v>3.06134</v>
      </c>
      <c r="T2532">
        <v>9.5816730000000003E-2</v>
      </c>
      <c r="U2532">
        <v>-0.46322629999999998</v>
      </c>
      <c r="V2532">
        <v>-6.1987069999999998E-2</v>
      </c>
      <c r="W2532">
        <v>0.1703895</v>
      </c>
      <c r="X2532">
        <v>0.98342510000000005</v>
      </c>
      <c r="Y2532">
        <v>0.15346399999999999</v>
      </c>
      <c r="Z2532">
        <v>1.752123E-3</v>
      </c>
      <c r="AA2532">
        <v>0.98815269999999999</v>
      </c>
      <c r="AB2532">
        <v>37</v>
      </c>
      <c r="AC2532">
        <v>120.7954</v>
      </c>
      <c r="AD2532">
        <v>3.791757</v>
      </c>
      <c r="AE2532">
        <v>-18.333199999999898</v>
      </c>
      <c r="AF2532">
        <v>18.792094769125502</v>
      </c>
      <c r="AG2532">
        <v>3.791757</v>
      </c>
      <c r="AH2532">
        <v>120.60588171591201</v>
      </c>
      <c r="AI2532">
        <v>88.220712720544796</v>
      </c>
      <c r="AJ2532">
        <v>81.143723479059005</v>
      </c>
      <c r="AK2532">
        <v>122.12001863507599</v>
      </c>
      <c r="AL2532">
        <v>80.189533359353504</v>
      </c>
      <c r="AM2532">
        <v>93.606685618788106</v>
      </c>
      <c r="AN2532">
        <v>0.99999995293372101</v>
      </c>
    </row>
    <row r="2533" spans="1:40" x14ac:dyDescent="0.25">
      <c r="A2533" t="str">
        <f>"20190304155416831"</f>
        <v>20190304155416831</v>
      </c>
      <c r="B2533" t="str">
        <f>"1551686056829007"</f>
        <v>1551686056829007</v>
      </c>
      <c r="C2533" t="s">
        <v>40</v>
      </c>
      <c r="D2533">
        <v>4.3525970000000003</v>
      </c>
      <c r="E2533">
        <v>0.583142099999999</v>
      </c>
      <c r="F2533" t="s">
        <v>72</v>
      </c>
      <c r="G2533">
        <v>-253.8031</v>
      </c>
      <c r="H2533">
        <v>4.9066869999999998</v>
      </c>
      <c r="I2533">
        <v>196.41990000000001</v>
      </c>
      <c r="J2533">
        <v>-374.22480000000002</v>
      </c>
      <c r="K2533">
        <v>1.109677</v>
      </c>
      <c r="L2533">
        <v>214.74260000000001</v>
      </c>
      <c r="M2533">
        <v>0.99993849999999995</v>
      </c>
      <c r="N2533">
        <v>-1.0355720000000001E-2</v>
      </c>
      <c r="O2533">
        <v>3.95664E-3</v>
      </c>
      <c r="P2533">
        <v>0.98495129999999997</v>
      </c>
      <c r="Q2533">
        <v>0.15979549999999901</v>
      </c>
      <c r="R2533">
        <v>6.5850679999999995E-2</v>
      </c>
      <c r="S2533">
        <v>3.0614620000000001</v>
      </c>
      <c r="T2533">
        <v>9.6226220000000001E-2</v>
      </c>
      <c r="U2533">
        <v>-0.4642944</v>
      </c>
      <c r="V2533">
        <v>-6.1949190000000001E-2</v>
      </c>
      <c r="W2533">
        <v>0.169991</v>
      </c>
      <c r="X2533">
        <v>0.9834965</v>
      </c>
      <c r="Y2533">
        <v>0.15380139999999901</v>
      </c>
      <c r="Z2533">
        <v>1.7660989999999999E-3</v>
      </c>
      <c r="AA2533">
        <v>0.98810019999999998</v>
      </c>
      <c r="AB2533">
        <v>37</v>
      </c>
      <c r="AC2533">
        <v>120.4217</v>
      </c>
      <c r="AD2533">
        <v>3.7970100000000002</v>
      </c>
      <c r="AE2533">
        <v>-18.322700000000001</v>
      </c>
      <c r="AF2533">
        <v>18.7807980650012</v>
      </c>
      <c r="AG2533">
        <v>3.7970100000000002</v>
      </c>
      <c r="AH2533">
        <v>120.231427646772</v>
      </c>
      <c r="AI2533">
        <v>88.212810209337306</v>
      </c>
      <c r="AJ2533">
        <v>81.121835442744995</v>
      </c>
      <c r="AK2533">
        <v>121.74864210692201</v>
      </c>
      <c r="AL2533">
        <v>80.212704259927804</v>
      </c>
      <c r="AM2533">
        <v>93.604226413769197</v>
      </c>
      <c r="AN2533">
        <v>1.0000000038674499</v>
      </c>
    </row>
    <row r="2534" spans="1:40" x14ac:dyDescent="0.25">
      <c r="A2534" t="str">
        <f>"20190304155416852"</f>
        <v>20190304155416852</v>
      </c>
      <c r="B2534" t="str">
        <f>"1551686056849503"</f>
        <v>1551686056849503</v>
      </c>
      <c r="C2534" t="s">
        <v>40</v>
      </c>
      <c r="D2534">
        <v>4.3983730000000003</v>
      </c>
      <c r="E2534">
        <v>0.58338429999999997</v>
      </c>
      <c r="F2534" t="s">
        <v>72</v>
      </c>
      <c r="G2534">
        <v>-253.84899999999999</v>
      </c>
      <c r="H2534">
        <v>4.8764760000000003</v>
      </c>
      <c r="I2534">
        <v>196.36600000000001</v>
      </c>
      <c r="J2534">
        <v>-373.8879</v>
      </c>
      <c r="K2534">
        <v>1.109672</v>
      </c>
      <c r="L2534">
        <v>214.744</v>
      </c>
      <c r="M2534">
        <v>0.99993860000000001</v>
      </c>
      <c r="N2534">
        <v>-1.0360029999999999E-2</v>
      </c>
      <c r="O2534">
        <v>3.9624580000000003E-3</v>
      </c>
      <c r="P2534">
        <v>0.98504650000000005</v>
      </c>
      <c r="Q2534">
        <v>0.159218</v>
      </c>
      <c r="R2534">
        <v>6.5828199999999906E-2</v>
      </c>
      <c r="S2534">
        <v>3.0615540000000001</v>
      </c>
      <c r="T2534">
        <v>9.5804810000000004E-2</v>
      </c>
      <c r="U2534">
        <v>-0.46737669999999998</v>
      </c>
      <c r="V2534">
        <v>-6.1920210000000003E-2</v>
      </c>
      <c r="W2534">
        <v>0.1694186</v>
      </c>
      <c r="X2534">
        <v>0.9835971</v>
      </c>
      <c r="Y2534">
        <v>0.1547752</v>
      </c>
      <c r="Z2534">
        <v>1.76471299999999E-3</v>
      </c>
      <c r="AA2534">
        <v>0.9879481</v>
      </c>
      <c r="AB2534">
        <v>37</v>
      </c>
      <c r="AC2534">
        <v>120.038899999999</v>
      </c>
      <c r="AD2534">
        <v>3.766804</v>
      </c>
      <c r="AE2534">
        <v>-18.378</v>
      </c>
      <c r="AF2534">
        <v>18.835407916706501</v>
      </c>
      <c r="AG2534">
        <v>3.766804</v>
      </c>
      <c r="AH2534">
        <v>119.849818871822</v>
      </c>
      <c r="AI2534">
        <v>88.221635944286504</v>
      </c>
      <c r="AJ2534">
        <v>81.068539822899396</v>
      </c>
      <c r="AK2534">
        <v>121.379324793688</v>
      </c>
      <c r="AL2534">
        <v>80.245983183127606</v>
      </c>
      <c r="AM2534">
        <v>93.602177298561401</v>
      </c>
      <c r="AN2534">
        <v>1.0000000147804</v>
      </c>
    </row>
    <row r="2535" spans="1:40" x14ac:dyDescent="0.25">
      <c r="A2535" t="str">
        <f>"20190304155416874"</f>
        <v>20190304155416874</v>
      </c>
      <c r="B2535" t="str">
        <f>"1551686056869023"</f>
        <v>1551686056869023</v>
      </c>
      <c r="C2535" t="s">
        <v>40</v>
      </c>
      <c r="D2535">
        <v>4.3840620000000001</v>
      </c>
      <c r="E2535">
        <v>0.5835806</v>
      </c>
      <c r="F2535" t="s">
        <v>72</v>
      </c>
      <c r="G2535">
        <v>-253.85130000000001</v>
      </c>
      <c r="H2535">
        <v>4.8051680000000001</v>
      </c>
      <c r="I2535">
        <v>196.3383</v>
      </c>
      <c r="J2535">
        <v>-373.51639999999998</v>
      </c>
      <c r="K2535">
        <v>1.109667</v>
      </c>
      <c r="L2535">
        <v>214.74549999999999</v>
      </c>
      <c r="M2535">
        <v>0.99993849999999995</v>
      </c>
      <c r="N2535">
        <v>-1.0364780000000001E-2</v>
      </c>
      <c r="O2535">
        <v>3.9690489999999997E-3</v>
      </c>
      <c r="P2535">
        <v>0.98516879999999996</v>
      </c>
      <c r="Q2535">
        <v>0.15811800000000001</v>
      </c>
      <c r="R2535">
        <v>6.6644270000000005E-2</v>
      </c>
      <c r="S2535">
        <v>3.0617369999999999</v>
      </c>
      <c r="T2535">
        <v>9.4262600000000002E-2</v>
      </c>
      <c r="U2535">
        <v>-0.46946719999999997</v>
      </c>
      <c r="V2535">
        <v>-6.2729430000000003E-2</v>
      </c>
      <c r="W2535">
        <v>0.168325</v>
      </c>
      <c r="X2535">
        <v>0.98373350000000004</v>
      </c>
      <c r="Y2535">
        <v>0.15543379999999901</v>
      </c>
      <c r="Z2535">
        <v>1.7302489999999999E-3</v>
      </c>
      <c r="AA2535">
        <v>0.98784479999999997</v>
      </c>
      <c r="AB2535">
        <v>37</v>
      </c>
      <c r="AC2535">
        <v>119.665099999999</v>
      </c>
      <c r="AD2535">
        <v>3.6955010000000001</v>
      </c>
      <c r="AE2535">
        <v>-18.4071999999999</v>
      </c>
      <c r="AF2535">
        <v>18.86446193395</v>
      </c>
      <c r="AG2535">
        <v>3.6955010000000001</v>
      </c>
      <c r="AH2535">
        <v>119.479780353173</v>
      </c>
      <c r="AI2535">
        <v>88.250074170964297</v>
      </c>
      <c r="AJ2535">
        <v>81.027732034885005</v>
      </c>
      <c r="AK2535">
        <v>121.016290494053</v>
      </c>
      <c r="AL2535">
        <v>80.309554162971196</v>
      </c>
      <c r="AM2535">
        <v>93.648622280165895</v>
      </c>
      <c r="AN2535">
        <v>0.99999994301768502</v>
      </c>
    </row>
    <row r="2536" spans="1:40" x14ac:dyDescent="0.25">
      <c r="A2536" t="str">
        <f>"20190304155416896"</f>
        <v>20190304155416896</v>
      </c>
      <c r="B2536" t="str">
        <f>"1551686056889519"</f>
        <v>1551686056889519</v>
      </c>
      <c r="C2536" t="s">
        <v>40</v>
      </c>
      <c r="D2536">
        <v>4.373507</v>
      </c>
      <c r="E2536">
        <v>0.58371790000000001</v>
      </c>
      <c r="F2536" t="s">
        <v>72</v>
      </c>
      <c r="G2536">
        <v>-253.72829999999999</v>
      </c>
      <c r="H2536">
        <v>4.7007279999999998</v>
      </c>
      <c r="I2536">
        <v>196.4161</v>
      </c>
      <c r="J2536">
        <v>-373.1601</v>
      </c>
      <c r="K2536">
        <v>1.109664</v>
      </c>
      <c r="L2536">
        <v>214.74690000000001</v>
      </c>
      <c r="M2536">
        <v>0.99993840000000001</v>
      </c>
      <c r="N2536">
        <v>-1.036931E-2</v>
      </c>
      <c r="O2536">
        <v>3.9754029999999997E-3</v>
      </c>
      <c r="P2536">
        <v>0.98539560000000004</v>
      </c>
      <c r="Q2536">
        <v>0.15646860000000001</v>
      </c>
      <c r="R2536">
        <v>6.7180219999999999E-2</v>
      </c>
      <c r="S2536">
        <v>3.0621339999999999</v>
      </c>
      <c r="T2536">
        <v>9.1800690000000004E-2</v>
      </c>
      <c r="U2536">
        <v>-0.46855160000000001</v>
      </c>
      <c r="V2536">
        <v>-6.3258159999999994E-2</v>
      </c>
      <c r="W2536">
        <v>0.16668250000000001</v>
      </c>
      <c r="X2536">
        <v>0.9839793</v>
      </c>
      <c r="Y2536">
        <v>0.15513569999999999</v>
      </c>
      <c r="Z2536">
        <v>1.661795E-3</v>
      </c>
      <c r="AA2536">
        <v>0.98789179999999999</v>
      </c>
      <c r="AB2536">
        <v>37</v>
      </c>
      <c r="AC2536">
        <v>119.4318</v>
      </c>
      <c r="AD2536">
        <v>3.5910639999999998</v>
      </c>
      <c r="AE2536">
        <v>-18.3308</v>
      </c>
      <c r="AF2536">
        <v>18.788874489877202</v>
      </c>
      <c r="AG2536">
        <v>3.5910639999999998</v>
      </c>
      <c r="AH2536">
        <v>119.252647455318</v>
      </c>
      <c r="AI2536">
        <v>88.296174407999303</v>
      </c>
      <c r="AJ2536">
        <v>81.046355307296807</v>
      </c>
      <c r="AK2536">
        <v>120.77711484528299</v>
      </c>
      <c r="AL2536">
        <v>80.405011301035202</v>
      </c>
      <c r="AM2536">
        <v>93.678374871848007</v>
      </c>
      <c r="AN2536">
        <v>0.999999956720661</v>
      </c>
    </row>
    <row r="2537" spans="1:40" x14ac:dyDescent="0.25">
      <c r="A2537" t="str">
        <f>"20190304155416919"</f>
        <v>20190304155416919</v>
      </c>
      <c r="B2537" t="str">
        <f>"1551686056909043"</f>
        <v>1551686056909043</v>
      </c>
      <c r="C2537" t="s">
        <v>40</v>
      </c>
      <c r="D2537">
        <v>4.6341210000000004</v>
      </c>
      <c r="E2537">
        <v>0.58354309999999998</v>
      </c>
      <c r="F2537" t="s">
        <v>72</v>
      </c>
      <c r="G2537">
        <v>-253.6163</v>
      </c>
      <c r="H2537">
        <v>4.5227349999999999</v>
      </c>
      <c r="I2537">
        <v>196.4573</v>
      </c>
      <c r="J2537">
        <v>-372.78129999999999</v>
      </c>
      <c r="K2537">
        <v>1.109664</v>
      </c>
      <c r="L2537">
        <v>214.7484</v>
      </c>
      <c r="M2537">
        <v>0.9999382</v>
      </c>
      <c r="N2537">
        <v>-1.0374090000000001E-2</v>
      </c>
      <c r="O2537">
        <v>3.9821140000000001E-3</v>
      </c>
      <c r="P2537">
        <v>0.98545090000000002</v>
      </c>
      <c r="Q2537">
        <v>0.15588949999999999</v>
      </c>
      <c r="R2537">
        <v>6.7713099999999998E-2</v>
      </c>
      <c r="S2537">
        <v>3.0625309999999999</v>
      </c>
      <c r="T2537">
        <v>8.7440370000000003E-2</v>
      </c>
      <c r="U2537">
        <v>-0.46855160000000001</v>
      </c>
      <c r="V2537">
        <v>-6.3784279999999999E-2</v>
      </c>
      <c r="W2537">
        <v>0.1661088</v>
      </c>
      <c r="X2537">
        <v>0.98404239999999998</v>
      </c>
      <c r="Y2537">
        <v>0.15512860000000001</v>
      </c>
      <c r="Z2537">
        <v>1.545987E-3</v>
      </c>
      <c r="AA2537">
        <v>0.98789309999999997</v>
      </c>
      <c r="AB2537">
        <v>37</v>
      </c>
      <c r="AC2537">
        <v>119.16500000000001</v>
      </c>
      <c r="AD2537">
        <v>3.413071</v>
      </c>
      <c r="AE2537">
        <v>-18.2911</v>
      </c>
      <c r="AF2537">
        <v>18.750481452194101</v>
      </c>
      <c r="AG2537">
        <v>3.413071</v>
      </c>
      <c r="AH2537">
        <v>118.995843964965</v>
      </c>
      <c r="AI2537">
        <v>88.377090638075302</v>
      </c>
      <c r="AJ2537">
        <v>81.045383846313698</v>
      </c>
      <c r="AK2537">
        <v>120.512408030353</v>
      </c>
      <c r="AL2537">
        <v>80.438347096572699</v>
      </c>
      <c r="AM2537">
        <v>93.708645823292301</v>
      </c>
      <c r="AN2537">
        <v>1.00000000640515</v>
      </c>
    </row>
    <row r="2538" spans="1:40" x14ac:dyDescent="0.25">
      <c r="A2538" t="str">
        <f>"20190304155416943"</f>
        <v>20190304155416943</v>
      </c>
      <c r="B2538" t="str">
        <f>"1551686056939296"</f>
        <v>1551686056939296</v>
      </c>
      <c r="C2538" t="s">
        <v>40</v>
      </c>
      <c r="D2538">
        <v>4.4874090000000004</v>
      </c>
      <c r="E2538">
        <v>0.53087039999999996</v>
      </c>
      <c r="F2538" t="s">
        <v>72</v>
      </c>
      <c r="G2538">
        <v>-253.41839999999999</v>
      </c>
      <c r="H2538">
        <v>4.4220040000000003</v>
      </c>
      <c r="I2538">
        <v>196.60659999999999</v>
      </c>
      <c r="J2538">
        <v>-372.40910000000002</v>
      </c>
      <c r="K2538">
        <v>1.1096649999999999</v>
      </c>
      <c r="L2538">
        <v>214.7499</v>
      </c>
      <c r="M2538">
        <v>0.9999382</v>
      </c>
      <c r="N2538">
        <v>-1.037893E-2</v>
      </c>
      <c r="O2538">
        <v>3.9884660000000004E-3</v>
      </c>
      <c r="P2538">
        <v>0.98540499999999998</v>
      </c>
      <c r="Q2538">
        <v>0.1558406</v>
      </c>
      <c r="R2538">
        <v>6.8489190000000005E-2</v>
      </c>
      <c r="S2538">
        <v>3.0628359999999999</v>
      </c>
      <c r="T2538">
        <v>8.4997059999999999E-2</v>
      </c>
      <c r="U2538">
        <v>-0.46551510000000001</v>
      </c>
      <c r="V2538">
        <v>-6.4554299999999995E-2</v>
      </c>
      <c r="W2538">
        <v>0.1660642</v>
      </c>
      <c r="X2538">
        <v>0.98399970000000003</v>
      </c>
      <c r="Y2538">
        <v>0.154166</v>
      </c>
      <c r="Z2538">
        <v>1.4729879999999999E-3</v>
      </c>
      <c r="AA2538">
        <v>0.98804380000000003</v>
      </c>
      <c r="AB2538">
        <v>37</v>
      </c>
      <c r="AC2538">
        <v>118.9907</v>
      </c>
      <c r="AD2538">
        <v>3.3123390000000001</v>
      </c>
      <c r="AE2538">
        <v>-18.1433</v>
      </c>
      <c r="AF2538">
        <v>18.603683210072202</v>
      </c>
      <c r="AG2538">
        <v>3.3123390000000001</v>
      </c>
      <c r="AH2538">
        <v>118.827398835342</v>
      </c>
      <c r="AI2538">
        <v>88.422487880472104</v>
      </c>
      <c r="AJ2538">
        <v>81.101972381892196</v>
      </c>
      <c r="AK2538">
        <v>120.320485922411</v>
      </c>
      <c r="AL2538">
        <v>80.440938349102595</v>
      </c>
      <c r="AM2538">
        <v>93.753452728554507</v>
      </c>
      <c r="AN2538">
        <v>0.99999999288510999</v>
      </c>
    </row>
    <row r="2539" spans="1:40" x14ac:dyDescent="0.25">
      <c r="A2539" t="str">
        <f>"20190304155416965"</f>
        <v>20190304155416965</v>
      </c>
      <c r="B2539" t="str">
        <f>"1551686056958815"</f>
        <v>1551686056958815</v>
      </c>
      <c r="C2539" t="s">
        <v>40</v>
      </c>
      <c r="D2539">
        <v>4.4816580000000004</v>
      </c>
      <c r="E2539">
        <v>0.5235976</v>
      </c>
      <c r="F2539" t="s">
        <v>63</v>
      </c>
      <c r="G2539">
        <v>-236.75450000000001</v>
      </c>
      <c r="H2539" s="1">
        <v>2.140489E-6</v>
      </c>
      <c r="I2539">
        <v>212.72110000000001</v>
      </c>
      <c r="J2539">
        <v>-372.02249999999998</v>
      </c>
      <c r="K2539">
        <v>1.109667</v>
      </c>
      <c r="L2539">
        <v>214.75149999999999</v>
      </c>
      <c r="M2539">
        <v>0.99993799999999999</v>
      </c>
      <c r="N2539">
        <v>-1.038879E-2</v>
      </c>
      <c r="O2539">
        <v>3.9955059999999898E-3</v>
      </c>
      <c r="P2539">
        <v>0.9853092</v>
      </c>
      <c r="Q2539">
        <v>0.1560368</v>
      </c>
      <c r="R2539">
        <v>6.9416930000000002E-2</v>
      </c>
      <c r="S2539">
        <v>3.0515439999999998</v>
      </c>
      <c r="T2539">
        <v>-2.4961830000000001E-2</v>
      </c>
      <c r="U2539">
        <v>-4.5639039999999999E-2</v>
      </c>
      <c r="V2539">
        <v>-6.547538E-2</v>
      </c>
      <c r="W2539">
        <v>0.16626869999999999</v>
      </c>
      <c r="X2539">
        <v>0.98390429999999995</v>
      </c>
      <c r="Y2539">
        <v>1.8948079999999999E-2</v>
      </c>
      <c r="Z2539">
        <v>-1.6710250000000001E-4</v>
      </c>
      <c r="AA2539">
        <v>0.9998205</v>
      </c>
      <c r="AB2539">
        <v>37</v>
      </c>
      <c r="AC2539">
        <v>135.26799999999901</v>
      </c>
      <c r="AD2539">
        <v>-1.1096648595109999</v>
      </c>
      <c r="AE2539">
        <v>-2.0303999999999802</v>
      </c>
      <c r="AF2539">
        <v>2.57070413232855</v>
      </c>
      <c r="AG2539">
        <v>-1.1096648595109999</v>
      </c>
      <c r="AH2539">
        <v>135.24970744790201</v>
      </c>
      <c r="AI2539">
        <v>90.469991448076897</v>
      </c>
      <c r="AJ2539">
        <v>88.911104751465004</v>
      </c>
      <c r="AK2539">
        <v>135.278687310972</v>
      </c>
      <c r="AL2539">
        <v>80.429056132990496</v>
      </c>
      <c r="AM2539">
        <v>93.807219766786304</v>
      </c>
      <c r="AN2539">
        <v>0.99999998877216201</v>
      </c>
    </row>
    <row r="2540" spans="1:40" x14ac:dyDescent="0.25">
      <c r="A2540" t="str">
        <f>"20190304155416988"</f>
        <v>20190304155416988</v>
      </c>
      <c r="B2540" t="str">
        <f>"1551686056979311"</f>
        <v>1551686056979311</v>
      </c>
      <c r="C2540" t="s">
        <v>40</v>
      </c>
      <c r="D2540">
        <v>4.56562</v>
      </c>
      <c r="E2540">
        <v>0.52056329999999995</v>
      </c>
      <c r="F2540" t="s">
        <v>63</v>
      </c>
      <c r="G2540">
        <v>-270.89460000000003</v>
      </c>
      <c r="H2540" s="1">
        <v>-1.0875059999999999E-6</v>
      </c>
      <c r="I2540">
        <v>215.22919999999999</v>
      </c>
      <c r="J2540">
        <v>-371.65089999999998</v>
      </c>
      <c r="K2540">
        <v>1.1096629999999901</v>
      </c>
      <c r="L2540">
        <v>214.75299999999999</v>
      </c>
      <c r="M2540">
        <v>0.99993790000000005</v>
      </c>
      <c r="N2540">
        <v>-1.040166E-2</v>
      </c>
      <c r="O2540">
        <v>4.0018179999999999E-3</v>
      </c>
      <c r="P2540">
        <v>0.98516729999999997</v>
      </c>
      <c r="Q2540">
        <v>0.1566854</v>
      </c>
      <c r="R2540">
        <v>6.9966449999999999E-2</v>
      </c>
      <c r="S2540">
        <v>3.0489809999999999</v>
      </c>
      <c r="T2540">
        <v>-3.345621E-2</v>
      </c>
      <c r="U2540">
        <v>1.44043E-2</v>
      </c>
      <c r="V2540">
        <v>-6.6019649999999999E-2</v>
      </c>
      <c r="W2540">
        <v>0.16692839999999901</v>
      </c>
      <c r="X2540">
        <v>0.98375619999999997</v>
      </c>
      <c r="Y2540">
        <v>0</v>
      </c>
      <c r="Z2540">
        <v>0</v>
      </c>
      <c r="AA2540">
        <v>1</v>
      </c>
      <c r="AB2540">
        <v>37</v>
      </c>
      <c r="AC2540">
        <v>100.756299999999</v>
      </c>
      <c r="AD2540">
        <v>-1.10966408750599</v>
      </c>
      <c r="AE2540">
        <v>0.47620000000000501</v>
      </c>
      <c r="AF2540">
        <v>-7.2957150869349702E-2</v>
      </c>
      <c r="AG2540">
        <v>-1.10966408750599</v>
      </c>
      <c r="AH2540">
        <v>100.745179401271</v>
      </c>
      <c r="AI2540">
        <v>90.631062266571107</v>
      </c>
      <c r="AJ2540">
        <v>90.041492169890603</v>
      </c>
      <c r="AK2540">
        <v>100.75131686349</v>
      </c>
      <c r="AL2540">
        <v>80.3907222313386</v>
      </c>
      <c r="AM2540">
        <v>93.839349569747895</v>
      </c>
      <c r="AN2540">
        <v>0.99999997297555998</v>
      </c>
    </row>
    <row r="2541" spans="1:40" x14ac:dyDescent="0.25">
      <c r="A2541" t="str">
        <f>"20190304155417008"</f>
        <v>20190304155417008</v>
      </c>
      <c r="B2541" t="str">
        <f>"1551686056999808"</f>
        <v>1551686056999808</v>
      </c>
      <c r="C2541" t="s">
        <v>40</v>
      </c>
      <c r="D2541">
        <v>4.4890549999999996</v>
      </c>
      <c r="E2541">
        <v>0.51849400000000001</v>
      </c>
      <c r="F2541" t="s">
        <v>63</v>
      </c>
      <c r="G2541">
        <v>-273.24599999999998</v>
      </c>
      <c r="H2541" s="1">
        <v>1.2786840000000001E-7</v>
      </c>
      <c r="I2541">
        <v>216.0506</v>
      </c>
      <c r="J2541">
        <v>-371.31180000000001</v>
      </c>
      <c r="K2541">
        <v>1.109672</v>
      </c>
      <c r="L2541">
        <v>214.7543</v>
      </c>
      <c r="M2541">
        <v>0.99993790000000005</v>
      </c>
      <c r="N2541">
        <v>-1.04142E-2</v>
      </c>
      <c r="O2541">
        <v>4.0077730000000001E-3</v>
      </c>
      <c r="P2541">
        <v>0.98505259999999994</v>
      </c>
      <c r="Q2541">
        <v>0.15694620000000001</v>
      </c>
      <c r="R2541">
        <v>7.0991139999999994E-2</v>
      </c>
      <c r="S2541">
        <v>3.0478209999999999</v>
      </c>
      <c r="T2541">
        <v>-3.4368750000000003E-2</v>
      </c>
      <c r="U2541">
        <v>4.0191650000000002E-2</v>
      </c>
      <c r="V2541">
        <v>-6.7039089999999996E-2</v>
      </c>
      <c r="W2541">
        <v>0.1672006</v>
      </c>
      <c r="X2541">
        <v>0.98364110000000005</v>
      </c>
      <c r="Y2541">
        <v>-9.1769980000000004E-3</v>
      </c>
      <c r="Z2541" s="1">
        <v>9.6077619999999903E-5</v>
      </c>
      <c r="AA2541">
        <v>0.99995789999999996</v>
      </c>
      <c r="AB2541">
        <v>37</v>
      </c>
      <c r="AC2541">
        <v>98.065799999999996</v>
      </c>
      <c r="AD2541">
        <v>-1.1096718721315999</v>
      </c>
      <c r="AE2541">
        <v>1.2963</v>
      </c>
      <c r="AF2541">
        <v>-0.90312725278226402</v>
      </c>
      <c r="AG2541">
        <v>-1.1096718721315999</v>
      </c>
      <c r="AH2541">
        <v>98.057654540621698</v>
      </c>
      <c r="AI2541">
        <v>90.648333934045198</v>
      </c>
      <c r="AJ2541">
        <v>90.527688706473498</v>
      </c>
      <c r="AK2541">
        <v>98.068091775594496</v>
      </c>
      <c r="AL2541">
        <v>80.374904728367596</v>
      </c>
      <c r="AM2541">
        <v>93.898908089179301</v>
      </c>
      <c r="AN2541">
        <v>1.00000004691879</v>
      </c>
    </row>
    <row r="2542" spans="1:40" x14ac:dyDescent="0.25">
      <c r="A2542" t="str">
        <f>"20190304155417032"</f>
        <v>20190304155417032</v>
      </c>
      <c r="B2542" t="str">
        <f>"1551686057029089"</f>
        <v>1551686057029089</v>
      </c>
      <c r="C2542" t="s">
        <v>40</v>
      </c>
      <c r="D2542">
        <v>4.5687170000000004</v>
      </c>
      <c r="E2542">
        <v>0.51775409999999999</v>
      </c>
      <c r="F2542" t="s">
        <v>65</v>
      </c>
      <c r="G2542">
        <v>-291.05549999999999</v>
      </c>
      <c r="H2542" s="1">
        <v>1.081626E-6</v>
      </c>
      <c r="I2542">
        <v>216.3338</v>
      </c>
      <c r="J2542">
        <v>-370.93299999999999</v>
      </c>
      <c r="K2542">
        <v>1.109675</v>
      </c>
      <c r="L2542">
        <v>214.7559</v>
      </c>
      <c r="M2542">
        <v>0.99993770000000004</v>
      </c>
      <c r="N2542">
        <v>-1.042804E-2</v>
      </c>
      <c r="O2542">
        <v>4.0144350000000002E-3</v>
      </c>
      <c r="P2542">
        <v>0.98507400000000001</v>
      </c>
      <c r="Q2542">
        <v>0.15682589999999999</v>
      </c>
      <c r="R2542">
        <v>7.0957259999999994E-2</v>
      </c>
      <c r="S2542">
        <v>3.047882</v>
      </c>
      <c r="T2542">
        <v>-4.21418E-2</v>
      </c>
      <c r="U2542">
        <v>5.9982300000000002E-2</v>
      </c>
      <c r="V2542">
        <v>-6.6998089999999996E-2</v>
      </c>
      <c r="W2542">
        <v>0.1670943</v>
      </c>
      <c r="X2542">
        <v>0.98366189999999998</v>
      </c>
      <c r="Y2542">
        <v>-1.5659550000000001E-2</v>
      </c>
      <c r="Z2542">
        <v>1.76272E-4</v>
      </c>
      <c r="AA2542">
        <v>0.99987740000000003</v>
      </c>
      <c r="AB2542">
        <v>37</v>
      </c>
      <c r="AC2542">
        <v>79.877499999999998</v>
      </c>
      <c r="AD2542">
        <v>-1.1096739183740001</v>
      </c>
      <c r="AE2542">
        <v>1.5778999999999901</v>
      </c>
      <c r="AF2542">
        <v>-1.2569643672861499</v>
      </c>
      <c r="AG2542">
        <v>-1.1096739183740001</v>
      </c>
      <c r="AH2542">
        <v>79.867783087482707</v>
      </c>
      <c r="AI2542">
        <v>90.795911293678699</v>
      </c>
      <c r="AJ2542">
        <v>90.901650268913997</v>
      </c>
      <c r="AK2542">
        <v>79.885381083993906</v>
      </c>
      <c r="AL2542">
        <v>80.381081634561099</v>
      </c>
      <c r="AM2542">
        <v>93.896448788857796</v>
      </c>
      <c r="AN2542">
        <v>0.99999999133387396</v>
      </c>
    </row>
    <row r="2543" spans="1:40" x14ac:dyDescent="0.25">
      <c r="A2543" t="str">
        <f>"20190304155417053"</f>
        <v>20190304155417053</v>
      </c>
      <c r="B2543" t="str">
        <f>"1551686057049584"</f>
        <v>1551686057049584</v>
      </c>
      <c r="C2543" t="s">
        <v>40</v>
      </c>
      <c r="D2543">
        <v>4.4968579999999996</v>
      </c>
      <c r="E2543">
        <v>0.51698929999999998</v>
      </c>
      <c r="F2543" t="s">
        <v>65</v>
      </c>
      <c r="G2543">
        <v>-282.21030000000002</v>
      </c>
      <c r="H2543" s="1">
        <v>5.8655050000000003E-6</v>
      </c>
      <c r="I2543">
        <v>216.67359999999999</v>
      </c>
      <c r="J2543">
        <v>-370.57380000000001</v>
      </c>
      <c r="K2543">
        <v>1.1096779999999999</v>
      </c>
      <c r="L2543">
        <v>214.75729999999999</v>
      </c>
      <c r="M2543">
        <v>0.99993750000000003</v>
      </c>
      <c r="N2543">
        <v>-1.0440690000000001E-2</v>
      </c>
      <c r="O2543">
        <v>4.0209240000000004E-3</v>
      </c>
      <c r="P2543">
        <v>0.98512140000000004</v>
      </c>
      <c r="Q2543">
        <v>0.15668489999999999</v>
      </c>
      <c r="R2543">
        <v>7.0608969999999993E-2</v>
      </c>
      <c r="S2543">
        <v>3.046783</v>
      </c>
      <c r="T2543">
        <v>-3.8106559999999998E-2</v>
      </c>
      <c r="U2543">
        <v>6.5856929999999994E-2</v>
      </c>
      <c r="V2543">
        <v>-6.6643549999999996E-2</v>
      </c>
      <c r="W2543">
        <v>0.16696639999999999</v>
      </c>
      <c r="X2543">
        <v>0.98370769999999996</v>
      </c>
      <c r="Y2543">
        <v>-1.7587289999999998E-2</v>
      </c>
      <c r="Z2543">
        <v>1.9349379999999999E-4</v>
      </c>
      <c r="AA2543">
        <v>0.99984530000000005</v>
      </c>
      <c r="AB2543">
        <v>37</v>
      </c>
      <c r="AC2543">
        <v>88.363499999999902</v>
      </c>
      <c r="AD2543">
        <v>-1.109672134495</v>
      </c>
      <c r="AE2543">
        <v>1.9162999999999999</v>
      </c>
      <c r="AF2543">
        <v>-1.56071623813052</v>
      </c>
      <c r="AG2543">
        <v>-1.109672134495</v>
      </c>
      <c r="AH2543">
        <v>88.356563652361203</v>
      </c>
      <c r="AI2543">
        <v>90.719428981596494</v>
      </c>
      <c r="AJ2543">
        <v>91.011958265875705</v>
      </c>
      <c r="AK2543">
        <v>88.377313536200006</v>
      </c>
      <c r="AL2543">
        <v>80.3885141686455</v>
      </c>
      <c r="AM2543">
        <v>93.875712696743605</v>
      </c>
      <c r="AN2543">
        <v>0.99999999026242603</v>
      </c>
    </row>
    <row r="2544" spans="1:40" x14ac:dyDescent="0.25">
      <c r="A2544" t="str">
        <f>"20190304155417076"</f>
        <v>20190304155417076</v>
      </c>
      <c r="B2544" t="str">
        <f>"1551686057069104"</f>
        <v>1551686057069104</v>
      </c>
      <c r="C2544" t="s">
        <v>40</v>
      </c>
      <c r="D2544">
        <v>4.4817030000000004</v>
      </c>
      <c r="E2544">
        <v>0.51639009999999996</v>
      </c>
      <c r="F2544" t="s">
        <v>65</v>
      </c>
      <c r="G2544">
        <v>-283.02170000000001</v>
      </c>
      <c r="H2544" s="1">
        <v>5.491975E-6</v>
      </c>
      <c r="I2544">
        <v>216.7886</v>
      </c>
      <c r="J2544">
        <v>-370.18520000000001</v>
      </c>
      <c r="K2544">
        <v>1.109674</v>
      </c>
      <c r="L2544">
        <v>214.75890000000001</v>
      </c>
      <c r="M2544">
        <v>0.99993739999999998</v>
      </c>
      <c r="N2544">
        <v>-1.0453489999999999E-2</v>
      </c>
      <c r="O2544">
        <v>4.0279469999999996E-3</v>
      </c>
      <c r="P2544">
        <v>0.98521270000000005</v>
      </c>
      <c r="Q2544">
        <v>0.1564971</v>
      </c>
      <c r="R2544">
        <v>6.9748229999999994E-2</v>
      </c>
      <c r="S2544">
        <v>3.0463870000000002</v>
      </c>
      <c r="T2544">
        <v>-3.861117E-2</v>
      </c>
      <c r="U2544">
        <v>7.0678710000000006E-2</v>
      </c>
      <c r="V2544">
        <v>-6.5774899999999997E-2</v>
      </c>
      <c r="W2544">
        <v>0.166792</v>
      </c>
      <c r="X2544">
        <v>0.9837958</v>
      </c>
      <c r="Y2544">
        <v>-1.9164529999999999E-2</v>
      </c>
      <c r="Z2544">
        <v>2.1267970000000001E-4</v>
      </c>
      <c r="AA2544">
        <v>0.99981629999999999</v>
      </c>
      <c r="AB2544">
        <v>37</v>
      </c>
      <c r="AC2544">
        <v>87.163499999999999</v>
      </c>
      <c r="AD2544">
        <v>-1.1096685080249999</v>
      </c>
      <c r="AE2544">
        <v>2.0296999999999898</v>
      </c>
      <c r="AF2544">
        <v>-1.6783025793059001</v>
      </c>
      <c r="AG2544">
        <v>-1.1096685080249999</v>
      </c>
      <c r="AH2544">
        <v>87.156850474674997</v>
      </c>
      <c r="AI2544">
        <v>90.729307041175005</v>
      </c>
      <c r="AJ2544">
        <v>91.103157943277097</v>
      </c>
      <c r="AK2544">
        <v>87.180070247793793</v>
      </c>
      <c r="AL2544">
        <v>80.3986491706995</v>
      </c>
      <c r="AM2544">
        <v>93.825005038888307</v>
      </c>
      <c r="AN2544">
        <v>1.00000004241582</v>
      </c>
    </row>
    <row r="2545" spans="1:40" x14ac:dyDescent="0.25">
      <c r="A2545" t="str">
        <f>"20190304155417098"</f>
        <v>20190304155417098</v>
      </c>
      <c r="B2545" t="str">
        <f>"1551686057089600"</f>
        <v>1551686057089600</v>
      </c>
      <c r="C2545" t="s">
        <v>40</v>
      </c>
      <c r="D2545">
        <v>4.4647230000000002</v>
      </c>
      <c r="E2545">
        <v>0.51612849999999999</v>
      </c>
      <c r="F2545" t="s">
        <v>65</v>
      </c>
      <c r="G2545">
        <v>-284.6936</v>
      </c>
      <c r="H2545" s="1">
        <v>4.74841E-6</v>
      </c>
      <c r="I2545">
        <v>216.8064</v>
      </c>
      <c r="J2545">
        <v>-369.83150000000001</v>
      </c>
      <c r="K2545">
        <v>1.109677</v>
      </c>
      <c r="L2545">
        <v>214.7603</v>
      </c>
      <c r="M2545">
        <v>0.99993719999999997</v>
      </c>
      <c r="N2545">
        <v>-1.0464340000000001E-2</v>
      </c>
      <c r="O2545">
        <v>4.0340899999999997E-3</v>
      </c>
      <c r="P2545">
        <v>0.98519639999999997</v>
      </c>
      <c r="Q2545">
        <v>0.1569112</v>
      </c>
      <c r="R2545">
        <v>6.9044060000000004E-2</v>
      </c>
      <c r="S2545">
        <v>3.0461119999999999</v>
      </c>
      <c r="T2545">
        <v>-3.9538150000000001E-2</v>
      </c>
      <c r="U2545">
        <v>7.295227E-2</v>
      </c>
      <c r="V2545">
        <v>-6.5065090000000006E-2</v>
      </c>
      <c r="W2545">
        <v>0.16721659999999999</v>
      </c>
      <c r="X2545">
        <v>0.9837709</v>
      </c>
      <c r="Y2545">
        <v>-1.990608E-2</v>
      </c>
      <c r="Z2545">
        <v>2.2320080000000001E-4</v>
      </c>
      <c r="AA2545">
        <v>0.99980179999999996</v>
      </c>
      <c r="AB2545">
        <v>37</v>
      </c>
      <c r="AC2545">
        <v>85.137900000000002</v>
      </c>
      <c r="AD2545">
        <v>-1.1096722515899999</v>
      </c>
      <c r="AE2545">
        <v>2.0460999999999898</v>
      </c>
      <c r="AF2545">
        <v>-1.70232159865254</v>
      </c>
      <c r="AG2545">
        <v>-1.1096722515899999</v>
      </c>
      <c r="AH2545">
        <v>85.131008010226594</v>
      </c>
      <c r="AI2545">
        <v>90.746651920861297</v>
      </c>
      <c r="AJ2545">
        <v>91.145561977423398</v>
      </c>
      <c r="AK2545">
        <v>85.155257008410501</v>
      </c>
      <c r="AL2545">
        <v>80.373974648441603</v>
      </c>
      <c r="AM2545">
        <v>93.783943545119101</v>
      </c>
      <c r="AN2545">
        <v>1.0000000204695301</v>
      </c>
    </row>
    <row r="2546" spans="1:40" x14ac:dyDescent="0.25">
      <c r="A2546" t="str">
        <f>"20190304155417120"</f>
        <v>20190304155417120</v>
      </c>
      <c r="B2546" t="str">
        <f>"1551686057109123"</f>
        <v>1551686057109123</v>
      </c>
      <c r="C2546" t="s">
        <v>40</v>
      </c>
      <c r="D2546">
        <v>4.5007659999999996</v>
      </c>
      <c r="E2546">
        <v>0.51556590000000002</v>
      </c>
      <c r="F2546" t="s">
        <v>65</v>
      </c>
      <c r="G2546">
        <v>-288.06389999999999</v>
      </c>
      <c r="H2546" s="1">
        <v>3.2642879999999999E-6</v>
      </c>
      <c r="I2546">
        <v>216.71870000000001</v>
      </c>
      <c r="J2546">
        <v>-369.45</v>
      </c>
      <c r="K2546">
        <v>1.1096839999999999</v>
      </c>
      <c r="L2546">
        <v>214.7619</v>
      </c>
      <c r="M2546">
        <v>0.99993710000000002</v>
      </c>
      <c r="N2546">
        <v>-1.047533E-2</v>
      </c>
      <c r="O2546">
        <v>4.0405900000000002E-3</v>
      </c>
      <c r="P2546">
        <v>0.9851763</v>
      </c>
      <c r="Q2546">
        <v>0.157528799999999</v>
      </c>
      <c r="R2546">
        <v>6.7915199999999995E-2</v>
      </c>
      <c r="S2546">
        <v>3.0465390000000001</v>
      </c>
      <c r="T2546">
        <v>-4.1344760000000001E-2</v>
      </c>
      <c r="U2546">
        <v>7.2967530000000003E-2</v>
      </c>
      <c r="V2546">
        <v>-6.3929929999999996E-2</v>
      </c>
      <c r="W2546">
        <v>0.16784460000000001</v>
      </c>
      <c r="X2546">
        <v>0.98373840000000001</v>
      </c>
      <c r="Y2546">
        <v>-1.9901019999999998E-2</v>
      </c>
      <c r="Z2546">
        <v>2.267723E-4</v>
      </c>
      <c r="AA2546">
        <v>0.99980190000000002</v>
      </c>
      <c r="AB2546">
        <v>37</v>
      </c>
      <c r="AC2546">
        <v>81.386099999999999</v>
      </c>
      <c r="AD2546">
        <v>-1.109680735712</v>
      </c>
      <c r="AE2546">
        <v>1.9568000000000101</v>
      </c>
      <c r="AF2546">
        <v>-1.62761575150111</v>
      </c>
      <c r="AG2546">
        <v>-1.109680735712</v>
      </c>
      <c r="AH2546">
        <v>81.378222577977596</v>
      </c>
      <c r="AI2546">
        <v>90.781085772187495</v>
      </c>
      <c r="AJ2546">
        <v>91.145798942365801</v>
      </c>
      <c r="AK2546">
        <v>81.402061609768893</v>
      </c>
      <c r="AL2546">
        <v>80.337477290816693</v>
      </c>
      <c r="AM2546">
        <v>93.718236172450403</v>
      </c>
      <c r="AN2546">
        <v>1.0000000426667599</v>
      </c>
    </row>
    <row r="2547" spans="1:40" x14ac:dyDescent="0.25">
      <c r="A2547" t="str">
        <f>"20190304155417143"</f>
        <v>20190304155417143</v>
      </c>
      <c r="B2547" t="str">
        <f>"1551686057139376"</f>
        <v>1551686057139376</v>
      </c>
      <c r="C2547" t="s">
        <v>40</v>
      </c>
      <c r="D2547">
        <v>4.5238009999999997</v>
      </c>
      <c r="E2547">
        <v>0.51504949999999905</v>
      </c>
      <c r="F2547" t="s">
        <v>65</v>
      </c>
      <c r="G2547">
        <v>-285.33909999999997</v>
      </c>
      <c r="H2547" s="1">
        <v>4.4628930000000001E-6</v>
      </c>
      <c r="I2547">
        <v>216.8004</v>
      </c>
      <c r="J2547">
        <v>-369.08969999999999</v>
      </c>
      <c r="K2547">
        <v>1.1096820000000001</v>
      </c>
      <c r="L2547">
        <v>214.76329999999999</v>
      </c>
      <c r="M2547">
        <v>0.99993690000000002</v>
      </c>
      <c r="N2547">
        <v>-1.0485019999999999E-2</v>
      </c>
      <c r="O2547">
        <v>4.0467979999999999E-3</v>
      </c>
      <c r="P2547">
        <v>0.98504780000000003</v>
      </c>
      <c r="Q2547">
        <v>0.1585915</v>
      </c>
      <c r="R2547">
        <v>6.7304680000000006E-2</v>
      </c>
      <c r="S2547">
        <v>3.046478</v>
      </c>
      <c r="T2547">
        <v>-4.0192369999999998E-2</v>
      </c>
      <c r="U2547">
        <v>7.3837280000000005E-2</v>
      </c>
      <c r="V2547">
        <v>-6.3313980000000006E-2</v>
      </c>
      <c r="W2547">
        <v>0.16891529999999999</v>
      </c>
      <c r="X2547">
        <v>0.98359490000000005</v>
      </c>
      <c r="Y2547">
        <v>-2.0180650000000001E-2</v>
      </c>
      <c r="Z2547">
        <v>2.27968E-4</v>
      </c>
      <c r="AA2547">
        <v>0.99979629999999997</v>
      </c>
      <c r="AB2547">
        <v>37</v>
      </c>
      <c r="AC2547">
        <v>83.750600000000006</v>
      </c>
      <c r="AD2547">
        <v>-1.109677537107</v>
      </c>
      <c r="AE2547">
        <v>2.0371000000000001</v>
      </c>
      <c r="AF2547">
        <v>-1.6978450534710099</v>
      </c>
      <c r="AG2547">
        <v>-1.109677537107</v>
      </c>
      <c r="AH2547">
        <v>83.743465288166604</v>
      </c>
      <c r="AI2547">
        <v>90.759021106857503</v>
      </c>
      <c r="AJ2547">
        <v>91.161476061468505</v>
      </c>
      <c r="AK2547">
        <v>83.768025167914303</v>
      </c>
      <c r="AL2547">
        <v>80.275241529571304</v>
      </c>
      <c r="AM2547">
        <v>93.683046660781699</v>
      </c>
      <c r="AN2547">
        <v>0.99999998297176995</v>
      </c>
    </row>
    <row r="2548" spans="1:40" x14ac:dyDescent="0.25">
      <c r="A2548" t="str">
        <f>"20190304155417166"</f>
        <v>20190304155417166</v>
      </c>
      <c r="B2548" t="str">
        <f>"1551686057159872"</f>
        <v>1551686057159872</v>
      </c>
      <c r="C2548" t="s">
        <v>40</v>
      </c>
      <c r="D2548">
        <v>4.5076599999999996</v>
      </c>
      <c r="E2548">
        <v>0.51477859999999998</v>
      </c>
      <c r="F2548" t="s">
        <v>63</v>
      </c>
      <c r="G2548">
        <v>-279.49619999999999</v>
      </c>
      <c r="H2548" s="1">
        <v>3.4121010000000001E-6</v>
      </c>
      <c r="I2548">
        <v>217.00710000000001</v>
      </c>
      <c r="J2548">
        <v>-368.69069999999999</v>
      </c>
      <c r="K2548">
        <v>1.1096809999999999</v>
      </c>
      <c r="L2548">
        <v>214.76490000000001</v>
      </c>
      <c r="M2548">
        <v>0.99993670000000001</v>
      </c>
      <c r="N2548">
        <v>-1.049491E-2</v>
      </c>
      <c r="O2548">
        <v>4.0537790000000004E-3</v>
      </c>
      <c r="P2548">
        <v>0.98496479999999997</v>
      </c>
      <c r="Q2548">
        <v>0.1591948</v>
      </c>
      <c r="R2548">
        <v>6.7090520000000001E-2</v>
      </c>
      <c r="S2548">
        <v>3.0463870000000002</v>
      </c>
      <c r="T2548">
        <v>-3.7731649999999999E-2</v>
      </c>
      <c r="U2548">
        <v>7.6293949999999999E-2</v>
      </c>
      <c r="V2548">
        <v>-6.3092910000000002E-2</v>
      </c>
      <c r="W2548">
        <v>0.1695277</v>
      </c>
      <c r="X2548">
        <v>0.98350380000000004</v>
      </c>
      <c r="Y2548">
        <v>-2.0980329999999998E-2</v>
      </c>
      <c r="Z2548">
        <v>2.3236470000000001E-4</v>
      </c>
      <c r="AA2548">
        <v>0.99977990000000005</v>
      </c>
      <c r="AB2548">
        <v>37</v>
      </c>
      <c r="AC2548">
        <v>89.194500000000005</v>
      </c>
      <c r="AD2548">
        <v>-1.109677587899</v>
      </c>
      <c r="AE2548">
        <v>2.2421999999999902</v>
      </c>
      <c r="AF2548">
        <v>-1.88029601581405</v>
      </c>
      <c r="AG2548">
        <v>-1.109677587899</v>
      </c>
      <c r="AH2548">
        <v>89.189060879629693</v>
      </c>
      <c r="AI2548">
        <v>90.712670803179805</v>
      </c>
      <c r="AJ2548">
        <v>91.207738575252904</v>
      </c>
      <c r="AK2548">
        <v>89.215780431751298</v>
      </c>
      <c r="AL2548">
        <v>80.239640718379803</v>
      </c>
      <c r="AM2548">
        <v>93.670561013544798</v>
      </c>
      <c r="AN2548">
        <v>1.00000004048699</v>
      </c>
    </row>
    <row r="2549" spans="1:40" x14ac:dyDescent="0.25">
      <c r="A2549" t="str">
        <f>"20190304155417190"</f>
        <v>20190304155417190</v>
      </c>
      <c r="B2549" t="str">
        <f>"1551686057179392"</f>
        <v>1551686057179392</v>
      </c>
      <c r="C2549" t="s">
        <v>40</v>
      </c>
      <c r="D2549">
        <v>4.5066610000000003</v>
      </c>
      <c r="E2549">
        <v>0.51455050000000002</v>
      </c>
      <c r="F2549" t="s">
        <v>63</v>
      </c>
      <c r="G2549">
        <v>-275.66669999999999</v>
      </c>
      <c r="H2549" s="1">
        <v>1.3681169999999999E-6</v>
      </c>
      <c r="I2549">
        <v>217.1473</v>
      </c>
      <c r="J2549">
        <v>-368.30009999999999</v>
      </c>
      <c r="K2549">
        <v>1.109686</v>
      </c>
      <c r="L2549">
        <v>214.76650000000001</v>
      </c>
      <c r="M2549">
        <v>0.99993659999999995</v>
      </c>
      <c r="N2549">
        <v>-1.050426E-2</v>
      </c>
      <c r="O2549">
        <v>4.0604650000000001E-3</v>
      </c>
      <c r="P2549">
        <v>0.98485639999999997</v>
      </c>
      <c r="Q2549">
        <v>0.15986620000000001</v>
      </c>
      <c r="R2549">
        <v>6.7086919999999994E-2</v>
      </c>
      <c r="S2549">
        <v>3.0463870000000002</v>
      </c>
      <c r="T2549">
        <v>-3.6340240000000003E-2</v>
      </c>
      <c r="U2549">
        <v>7.8018190000000001E-2</v>
      </c>
      <c r="V2549">
        <v>-6.3083539999999994E-2</v>
      </c>
      <c r="W2549">
        <v>0.17020669999999999</v>
      </c>
      <c r="X2549">
        <v>0.98338709999999996</v>
      </c>
      <c r="Y2549">
        <v>-2.1539240000000001E-2</v>
      </c>
      <c r="Z2549">
        <v>2.3582099999999999E-4</v>
      </c>
      <c r="AA2549">
        <v>0.99976799999999999</v>
      </c>
      <c r="AB2549">
        <v>37</v>
      </c>
      <c r="AC2549">
        <v>92.633399999999995</v>
      </c>
      <c r="AD2549">
        <v>-1.109684631883</v>
      </c>
      <c r="AE2549">
        <v>2.38079999999999</v>
      </c>
      <c r="AF2549">
        <v>-2.0043375049582202</v>
      </c>
      <c r="AG2549">
        <v>-1.109684631883</v>
      </c>
      <c r="AH2549">
        <v>92.629020102141197</v>
      </c>
      <c r="AI2549">
        <v>90.686203170804106</v>
      </c>
      <c r="AJ2549">
        <v>91.239591666688995</v>
      </c>
      <c r="AK2549">
        <v>92.657347975748195</v>
      </c>
      <c r="AL2549">
        <v>80.200162964070799</v>
      </c>
      <c r="AM2549">
        <v>93.670451720147398</v>
      </c>
      <c r="AN2549">
        <v>1.0000000210951101</v>
      </c>
    </row>
    <row r="2550" spans="1:40" x14ac:dyDescent="0.25">
      <c r="A2550" t="str">
        <f>"20190304155417210"</f>
        <v>20190304155417210</v>
      </c>
      <c r="B2550" t="str">
        <f>"1551686057198911"</f>
        <v>1551686057198911</v>
      </c>
      <c r="C2550" t="s">
        <v>40</v>
      </c>
      <c r="D2550">
        <v>4.4816880000000001</v>
      </c>
      <c r="E2550">
        <v>0.51432820000000001</v>
      </c>
      <c r="F2550" t="s">
        <v>63</v>
      </c>
      <c r="G2550">
        <v>-269.88740000000001</v>
      </c>
      <c r="H2550" s="1">
        <v>3.604647E-6</v>
      </c>
      <c r="I2550">
        <v>217.36490000000001</v>
      </c>
      <c r="J2550">
        <v>-367.95339999999999</v>
      </c>
      <c r="K2550">
        <v>1.1096809999999999</v>
      </c>
      <c r="L2550">
        <v>214.7679</v>
      </c>
      <c r="M2550">
        <v>0.99993659999999995</v>
      </c>
      <c r="N2550">
        <v>-1.051202E-2</v>
      </c>
      <c r="O2550">
        <v>4.0663260000000003E-3</v>
      </c>
      <c r="P2550">
        <v>0.98485420000000001</v>
      </c>
      <c r="Q2550">
        <v>0.15999269999999999</v>
      </c>
      <c r="R2550">
        <v>6.6820110000000002E-2</v>
      </c>
      <c r="S2550">
        <v>3.0462340000000001</v>
      </c>
      <c r="T2550">
        <v>-3.4348730000000001E-2</v>
      </c>
      <c r="U2550">
        <v>8.042908E-2</v>
      </c>
      <c r="V2550">
        <v>-6.2811019999999995E-2</v>
      </c>
      <c r="W2550">
        <v>0.1703411</v>
      </c>
      <c r="X2550">
        <v>0.98338130000000001</v>
      </c>
      <c r="Y2550">
        <v>-2.232551E-2</v>
      </c>
      <c r="Z2550">
        <v>2.401157E-4</v>
      </c>
      <c r="AA2550">
        <v>0.99975069999999999</v>
      </c>
      <c r="AB2550">
        <v>37</v>
      </c>
      <c r="AC2550">
        <v>98.065999999999903</v>
      </c>
      <c r="AD2550">
        <v>-1.1096773953529999</v>
      </c>
      <c r="AE2550">
        <v>2.597</v>
      </c>
      <c r="AF2550">
        <v>-2.1979069853711501</v>
      </c>
      <c r="AG2550">
        <v>-1.1096773953529999</v>
      </c>
      <c r="AH2550">
        <v>98.063202449435906</v>
      </c>
      <c r="AI2550">
        <v>90.648165209543805</v>
      </c>
      <c r="AJ2550">
        <v>91.283964934021299</v>
      </c>
      <c r="AK2550">
        <v>98.094107130230597</v>
      </c>
      <c r="AL2550">
        <v>80.192348557384406</v>
      </c>
      <c r="AM2550">
        <v>93.654659983688603</v>
      </c>
      <c r="AN2550">
        <v>1.0000000478861599</v>
      </c>
    </row>
    <row r="2551" spans="1:40" x14ac:dyDescent="0.25">
      <c r="A2551" t="str">
        <f>"20190304155417233"</f>
        <v>20190304155417233</v>
      </c>
      <c r="B2551" t="str">
        <f>"1551686057229168"</f>
        <v>1551686057229168</v>
      </c>
      <c r="C2551" t="s">
        <v>40</v>
      </c>
      <c r="D2551">
        <v>4.5033479999999999</v>
      </c>
      <c r="E2551">
        <v>0.51396660000000005</v>
      </c>
      <c r="F2551" t="s">
        <v>63</v>
      </c>
      <c r="G2551">
        <v>-270.68880000000001</v>
      </c>
      <c r="H2551" s="1">
        <v>-1.291191E-6</v>
      </c>
      <c r="I2551">
        <v>217.38319999999999</v>
      </c>
      <c r="J2551">
        <v>-367.59410000000003</v>
      </c>
      <c r="K2551">
        <v>1.1096839999999999</v>
      </c>
      <c r="L2551">
        <v>214.76939999999999</v>
      </c>
      <c r="M2551">
        <v>0.99993659999999995</v>
      </c>
      <c r="N2551">
        <v>-1.0519550000000001E-2</v>
      </c>
      <c r="O2551">
        <v>4.072544E-3</v>
      </c>
      <c r="P2551">
        <v>0.98490310000000003</v>
      </c>
      <c r="Q2551">
        <v>0.1596629</v>
      </c>
      <c r="R2551">
        <v>6.6889840000000006E-2</v>
      </c>
      <c r="S2551">
        <v>3.046265</v>
      </c>
      <c r="T2551">
        <v>-3.4754510000000002E-2</v>
      </c>
      <c r="U2551">
        <v>8.1909179999999998E-2</v>
      </c>
      <c r="V2551">
        <v>-6.2874600000000003E-2</v>
      </c>
      <c r="W2551">
        <v>0.17001869999999999</v>
      </c>
      <c r="X2551">
        <v>0.98343290000000005</v>
      </c>
      <c r="Y2551">
        <v>-2.2804319999999999E-2</v>
      </c>
      <c r="Z2551">
        <v>2.4641920000000001E-4</v>
      </c>
      <c r="AA2551">
        <v>0.99973990000000001</v>
      </c>
      <c r="AB2551">
        <v>37</v>
      </c>
      <c r="AC2551">
        <v>96.905299999999997</v>
      </c>
      <c r="AD2551">
        <v>-1.109685291191</v>
      </c>
      <c r="AE2551">
        <v>2.6137999999999901</v>
      </c>
      <c r="AF2551">
        <v>-2.21881473122777</v>
      </c>
      <c r="AG2551">
        <v>-1.109685291191</v>
      </c>
      <c r="AH2551">
        <v>96.902444039428801</v>
      </c>
      <c r="AI2551">
        <v>90.655926140861396</v>
      </c>
      <c r="AJ2551">
        <v>91.311695596276707</v>
      </c>
      <c r="AK2551">
        <v>96.934195210315906</v>
      </c>
      <c r="AL2551">
        <v>80.211092905804605</v>
      </c>
      <c r="AM2551">
        <v>93.658157915761706</v>
      </c>
      <c r="AN2551">
        <v>0.99999992123862702</v>
      </c>
    </row>
    <row r="2552" spans="1:40" x14ac:dyDescent="0.25">
      <c r="A2552" t="str">
        <f>"20190304155417254"</f>
        <v>20190304155417254</v>
      </c>
      <c r="B2552" t="str">
        <f>"1551686057249663"</f>
        <v>1551686057249663</v>
      </c>
      <c r="C2552" t="s">
        <v>40</v>
      </c>
      <c r="D2552">
        <v>4.4957019999999996</v>
      </c>
      <c r="E2552">
        <v>0.5137311</v>
      </c>
      <c r="F2552" t="s">
        <v>63</v>
      </c>
      <c r="G2552">
        <v>-274.83870000000002</v>
      </c>
      <c r="H2552" s="1">
        <v>9.1931600000000005E-7</v>
      </c>
      <c r="I2552">
        <v>217.33410000000001</v>
      </c>
      <c r="J2552">
        <v>-367.22359999999998</v>
      </c>
      <c r="K2552">
        <v>1.1096870000000001</v>
      </c>
      <c r="L2552">
        <v>214.77090000000001</v>
      </c>
      <c r="M2552">
        <v>0.9999363</v>
      </c>
      <c r="N2552">
        <v>-1.052926E-2</v>
      </c>
      <c r="O2552">
        <v>4.0790490000000004E-3</v>
      </c>
      <c r="P2552">
        <v>0.98482190000000003</v>
      </c>
      <c r="Q2552">
        <v>0.1600097</v>
      </c>
      <c r="R2552">
        <v>6.7254040000000001E-2</v>
      </c>
      <c r="S2552">
        <v>3.046173</v>
      </c>
      <c r="T2552">
        <v>-3.6443000000000003E-2</v>
      </c>
      <c r="U2552">
        <v>8.4228520000000001E-2</v>
      </c>
      <c r="V2552">
        <v>-6.3232200000000002E-2</v>
      </c>
      <c r="W2552">
        <v>0.1703749</v>
      </c>
      <c r="X2552">
        <v>0.98334840000000001</v>
      </c>
      <c r="Y2552">
        <v>-2.3558929999999999E-2</v>
      </c>
      <c r="Z2552">
        <v>2.5911149999999997E-4</v>
      </c>
      <c r="AA2552">
        <v>0.99972240000000001</v>
      </c>
      <c r="AB2552">
        <v>37</v>
      </c>
      <c r="AC2552">
        <v>92.384899999999902</v>
      </c>
      <c r="AD2552">
        <v>-1.1096860806839901</v>
      </c>
      <c r="AE2552">
        <v>2.5631999999999899</v>
      </c>
      <c r="AF2552">
        <v>-2.1860001209329001</v>
      </c>
      <c r="AG2552">
        <v>-1.1096860806839901</v>
      </c>
      <c r="AH2552">
        <v>92.381269052793101</v>
      </c>
      <c r="AI2552">
        <v>90.688012643363805</v>
      </c>
      <c r="AJ2552">
        <v>91.355525999285803</v>
      </c>
      <c r="AK2552">
        <v>92.4137915656042</v>
      </c>
      <c r="AL2552">
        <v>80.190382724626204</v>
      </c>
      <c r="AM2552">
        <v>93.679222016306497</v>
      </c>
      <c r="AN2552">
        <v>0.99999999672470496</v>
      </c>
    </row>
    <row r="2553" spans="1:40" x14ac:dyDescent="0.25">
      <c r="A2553" t="str">
        <f>"20190304155417276"</f>
        <v>20190304155417276</v>
      </c>
      <c r="B2553" t="str">
        <f>"1551686057269183"</f>
        <v>1551686057269183</v>
      </c>
      <c r="C2553" t="s">
        <v>40</v>
      </c>
      <c r="D2553">
        <v>4.5689380000000002</v>
      </c>
      <c r="E2553">
        <v>0.51359650000000001</v>
      </c>
      <c r="F2553" t="s">
        <v>63</v>
      </c>
      <c r="G2553">
        <v>-273.55349999999999</v>
      </c>
      <c r="H2553" s="1">
        <v>2.306212E-7</v>
      </c>
      <c r="I2553">
        <v>217.4435</v>
      </c>
      <c r="J2553">
        <v>-366.86160000000001</v>
      </c>
      <c r="K2553">
        <v>1.1096809999999999</v>
      </c>
      <c r="L2553">
        <v>214.7724</v>
      </c>
      <c r="M2553">
        <v>0.99993620000000005</v>
      </c>
      <c r="N2553">
        <v>-1.0542320000000001E-2</v>
      </c>
      <c r="O2553">
        <v>4.0855350000000004E-3</v>
      </c>
      <c r="P2553">
        <v>0.98488509999999996</v>
      </c>
      <c r="Q2553">
        <v>0.1595162</v>
      </c>
      <c r="R2553">
        <v>6.7498779999999994E-2</v>
      </c>
      <c r="S2553">
        <v>3.0462039999999999</v>
      </c>
      <c r="T2553">
        <v>-3.6087630000000002E-2</v>
      </c>
      <c r="U2553">
        <v>8.6914060000000001E-2</v>
      </c>
      <c r="V2553">
        <v>-6.3470109999999996E-2</v>
      </c>
      <c r="W2553">
        <v>0.1698942</v>
      </c>
      <c r="X2553">
        <v>0.98341630000000002</v>
      </c>
      <c r="Y2553">
        <v>-2.443275E-2</v>
      </c>
      <c r="Z2553">
        <v>2.6819309999999999E-4</v>
      </c>
      <c r="AA2553">
        <v>0.99970139999999996</v>
      </c>
      <c r="AB2553">
        <v>37</v>
      </c>
      <c r="AC2553">
        <v>93.308099999999996</v>
      </c>
      <c r="AD2553">
        <v>-1.1096807693788</v>
      </c>
      <c r="AE2553">
        <v>2.6710999999999898</v>
      </c>
      <c r="AF2553">
        <v>-2.2895195023256298</v>
      </c>
      <c r="AG2553">
        <v>-1.1096807693788</v>
      </c>
      <c r="AH2553">
        <v>93.305048847362002</v>
      </c>
      <c r="AI2553">
        <v>90.681183903753706</v>
      </c>
      <c r="AJ2553">
        <v>91.405641895527694</v>
      </c>
      <c r="AK2553">
        <v>93.339731258291494</v>
      </c>
      <c r="AL2553">
        <v>80.218332878586196</v>
      </c>
      <c r="AM2553">
        <v>93.692772505270099</v>
      </c>
      <c r="AN2553">
        <v>1.00000005658136</v>
      </c>
    </row>
    <row r="2554" spans="1:40" x14ac:dyDescent="0.25">
      <c r="A2554" t="str">
        <f>"20190304155417298"</f>
        <v>20190304155417298</v>
      </c>
      <c r="B2554" t="str">
        <f>"1551686057289681"</f>
        <v>1551686057289681</v>
      </c>
      <c r="C2554" t="s">
        <v>40</v>
      </c>
      <c r="D2554">
        <v>4.5129590000000004</v>
      </c>
      <c r="E2554">
        <v>0.51338890000000004</v>
      </c>
      <c r="F2554" t="s">
        <v>65</v>
      </c>
      <c r="G2554">
        <v>-280.14749999999998</v>
      </c>
      <c r="H2554" s="1">
        <v>6.7057409999999997E-6</v>
      </c>
      <c r="I2554">
        <v>217.29859999999999</v>
      </c>
      <c r="J2554">
        <v>-366.48500000000001</v>
      </c>
      <c r="K2554">
        <v>1.1096779999999999</v>
      </c>
      <c r="L2554">
        <v>214.7739</v>
      </c>
      <c r="M2554">
        <v>0.99993589999999999</v>
      </c>
      <c r="N2554">
        <v>-1.05577E-2</v>
      </c>
      <c r="O2554">
        <v>4.0921890000000004E-3</v>
      </c>
      <c r="P2554">
        <v>0.98488290000000001</v>
      </c>
      <c r="Q2554">
        <v>0.15937270000000001</v>
      </c>
      <c r="R2554">
        <v>6.7867380000000005E-2</v>
      </c>
      <c r="S2554">
        <v>3.046265</v>
      </c>
      <c r="T2554">
        <v>-3.8982870000000003E-2</v>
      </c>
      <c r="U2554">
        <v>8.8745119999999997E-2</v>
      </c>
      <c r="V2554">
        <v>-6.3832620000000007E-2</v>
      </c>
      <c r="W2554">
        <v>0.16976640000000001</v>
      </c>
      <c r="X2554">
        <v>0.98341480000000003</v>
      </c>
      <c r="Y2554">
        <v>-2.5025430000000001E-2</v>
      </c>
      <c r="Z2554">
        <v>2.8307419999999998E-4</v>
      </c>
      <c r="AA2554">
        <v>0.99968679999999999</v>
      </c>
      <c r="AB2554">
        <v>37</v>
      </c>
      <c r="AC2554">
        <v>86.337500000000006</v>
      </c>
      <c r="AD2554">
        <v>-1.1096712942589999</v>
      </c>
      <c r="AE2554">
        <v>2.52469999999999</v>
      </c>
      <c r="AF2554">
        <v>-2.1709914760114</v>
      </c>
      <c r="AG2554">
        <v>-1.1096712942589999</v>
      </c>
      <c r="AH2554">
        <v>86.332859799566606</v>
      </c>
      <c r="AI2554">
        <v>90.736172661079095</v>
      </c>
      <c r="AJ2554">
        <v>91.440499477517903</v>
      </c>
      <c r="AK2554">
        <v>86.367281163307695</v>
      </c>
      <c r="AL2554">
        <v>80.225762178778197</v>
      </c>
      <c r="AM2554">
        <v>93.713810592706295</v>
      </c>
      <c r="AN2554">
        <v>0.99999995140203102</v>
      </c>
    </row>
    <row r="2555" spans="1:40" x14ac:dyDescent="0.25">
      <c r="A2555" t="str">
        <f>"20190304155417322"</f>
        <v>20190304155417322</v>
      </c>
      <c r="B2555" t="str">
        <f>"1551686057318959"</f>
        <v>1551686057318959</v>
      </c>
      <c r="C2555" t="s">
        <v>40</v>
      </c>
      <c r="D2555">
        <v>4.6124269999999896</v>
      </c>
      <c r="E2555">
        <v>0.51299910000000004</v>
      </c>
      <c r="F2555" t="s">
        <v>65</v>
      </c>
      <c r="G2555">
        <v>-281.92899999999997</v>
      </c>
      <c r="H2555" s="1">
        <v>5.9142869999999997E-6</v>
      </c>
      <c r="I2555">
        <v>217.31049999999999</v>
      </c>
      <c r="J2555">
        <v>-366.09100000000001</v>
      </c>
      <c r="K2555">
        <v>1.10968</v>
      </c>
      <c r="L2555">
        <v>214.77549999999999</v>
      </c>
      <c r="M2555">
        <v>0.99993580000000004</v>
      </c>
      <c r="N2555">
        <v>-1.0577659999999999E-2</v>
      </c>
      <c r="O2555">
        <v>4.0989379999999999E-3</v>
      </c>
      <c r="P2555">
        <v>0.98489210000000005</v>
      </c>
      <c r="Q2555">
        <v>0.15910279999999999</v>
      </c>
      <c r="R2555">
        <v>6.8368449999999997E-2</v>
      </c>
      <c r="S2555">
        <v>3.0462340000000001</v>
      </c>
      <c r="T2555">
        <v>-3.9977310000000002E-2</v>
      </c>
      <c r="U2555">
        <v>9.1384889999999996E-2</v>
      </c>
      <c r="V2555">
        <v>-6.4326869999999994E-2</v>
      </c>
      <c r="W2555">
        <v>0.1695159</v>
      </c>
      <c r="X2555">
        <v>0.98342589999999996</v>
      </c>
      <c r="Y2555">
        <v>-2.5884219999999999E-2</v>
      </c>
      <c r="Z2555">
        <v>2.9631489999999998E-4</v>
      </c>
      <c r="AA2555">
        <v>0.99966489999999997</v>
      </c>
      <c r="AB2555">
        <v>37</v>
      </c>
      <c r="AC2555">
        <v>84.161999999999907</v>
      </c>
      <c r="AD2555">
        <v>-1.1096740857130001</v>
      </c>
      <c r="AE2555">
        <v>2.5349999999999899</v>
      </c>
      <c r="AF2555">
        <v>-2.1896043279203798</v>
      </c>
      <c r="AG2555">
        <v>-1.1096740857130001</v>
      </c>
      <c r="AH2555">
        <v>84.157067381203404</v>
      </c>
      <c r="AI2555">
        <v>90.755188532953298</v>
      </c>
      <c r="AJ2555">
        <v>91.490389264641806</v>
      </c>
      <c r="AK2555">
        <v>84.192860349876298</v>
      </c>
      <c r="AL2555">
        <v>80.240326769099795</v>
      </c>
      <c r="AM2555">
        <v>93.742442749702505</v>
      </c>
      <c r="AN2555">
        <v>1.0000000436737999</v>
      </c>
    </row>
    <row r="2556" spans="1:40" x14ac:dyDescent="0.25">
      <c r="A2556" t="str">
        <f>"20190304155417344"</f>
        <v>20190304155417344</v>
      </c>
      <c r="B2556" t="str">
        <f>"1551686057339455"</f>
        <v>1551686057339455</v>
      </c>
      <c r="C2556" t="s">
        <v>40</v>
      </c>
      <c r="D2556">
        <v>4.5521820000000002</v>
      </c>
      <c r="E2556">
        <v>0.51280930000000002</v>
      </c>
      <c r="F2556" t="s">
        <v>65</v>
      </c>
      <c r="G2556">
        <v>-285.11579999999998</v>
      </c>
      <c r="H2556" s="1">
        <v>4.4987639999999999E-6</v>
      </c>
      <c r="I2556">
        <v>217.33019999999999</v>
      </c>
      <c r="J2556">
        <v>-365.7251</v>
      </c>
      <c r="K2556">
        <v>1.1096809999999999</v>
      </c>
      <c r="L2556">
        <v>214.77699999999999</v>
      </c>
      <c r="M2556">
        <v>0.99993529999999997</v>
      </c>
      <c r="N2556">
        <v>-1.060374E-2</v>
      </c>
      <c r="O2556">
        <v>4.1055340000000001E-3</v>
      </c>
      <c r="P2556">
        <v>0.98486759999999995</v>
      </c>
      <c r="Q2556">
        <v>0.15911330000000001</v>
      </c>
      <c r="R2556">
        <v>6.8692699999999995E-2</v>
      </c>
      <c r="S2556">
        <v>3.0460820000000002</v>
      </c>
      <c r="T2556">
        <v>-4.1743160000000001E-2</v>
      </c>
      <c r="U2556">
        <v>9.6099850000000001E-2</v>
      </c>
      <c r="V2556">
        <v>-6.4644850000000004E-2</v>
      </c>
      <c r="W2556">
        <v>0.16955209999999901</v>
      </c>
      <c r="X2556">
        <v>0.98339869999999996</v>
      </c>
      <c r="Y2556">
        <v>-2.7424460000000001E-2</v>
      </c>
      <c r="Z2556">
        <v>3.2058930000000002E-4</v>
      </c>
      <c r="AA2556">
        <v>0.99962379999999995</v>
      </c>
      <c r="AB2556">
        <v>37</v>
      </c>
      <c r="AC2556">
        <v>80.609300000000005</v>
      </c>
      <c r="AD2556">
        <v>-1.1096765012359999</v>
      </c>
      <c r="AE2556">
        <v>2.5531999999999702</v>
      </c>
      <c r="AF2556">
        <v>-2.2217950130988702</v>
      </c>
      <c r="AG2556">
        <v>-1.1096765012359999</v>
      </c>
      <c r="AH2556">
        <v>80.603843822480798</v>
      </c>
      <c r="AI2556">
        <v>90.788444140200497</v>
      </c>
      <c r="AJ2556">
        <v>91.578922857064498</v>
      </c>
      <c r="AK2556">
        <v>80.642094429500702</v>
      </c>
      <c r="AL2556">
        <v>80.238221147389694</v>
      </c>
      <c r="AM2556">
        <v>93.760993120813794</v>
      </c>
      <c r="AN2556">
        <v>0.99999993720380898</v>
      </c>
    </row>
    <row r="2557" spans="1:40" x14ac:dyDescent="0.25">
      <c r="A2557" t="str">
        <f>"20190304155417368"</f>
        <v>20190304155417368</v>
      </c>
      <c r="B2557" t="str">
        <f>"1551686057358976"</f>
        <v>1551686057358976</v>
      </c>
      <c r="C2557" t="s">
        <v>40</v>
      </c>
      <c r="D2557">
        <v>4.5334409999999998</v>
      </c>
      <c r="E2557">
        <v>0.51262240000000003</v>
      </c>
      <c r="F2557" t="s">
        <v>65</v>
      </c>
      <c r="G2557">
        <v>-289.22410000000002</v>
      </c>
      <c r="H2557" s="1">
        <v>2.6857049999999999E-6</v>
      </c>
      <c r="I2557">
        <v>217.25620000000001</v>
      </c>
      <c r="J2557">
        <v>-365.31939999999997</v>
      </c>
      <c r="K2557">
        <v>1.109686</v>
      </c>
      <c r="L2557">
        <v>214.77869999999999</v>
      </c>
      <c r="M2557">
        <v>0.99993500000000002</v>
      </c>
      <c r="N2557">
        <v>-1.0638069999999999E-2</v>
      </c>
      <c r="O2557">
        <v>4.1124430000000003E-3</v>
      </c>
      <c r="P2557">
        <v>0.98481050000000003</v>
      </c>
      <c r="Q2557">
        <v>0.15952040000000001</v>
      </c>
      <c r="R2557">
        <v>6.8570930000000002E-2</v>
      </c>
      <c r="S2557">
        <v>3.0463559999999998</v>
      </c>
      <c r="T2557">
        <v>-4.4188619999999998E-2</v>
      </c>
      <c r="U2557">
        <v>9.8724370000000006E-2</v>
      </c>
      <c r="V2557">
        <v>-6.4516550000000006E-2</v>
      </c>
      <c r="W2557">
        <v>0.169991899999999</v>
      </c>
      <c r="X2557">
        <v>0.98333130000000002</v>
      </c>
      <c r="Y2557">
        <v>-2.8274440000000001E-2</v>
      </c>
      <c r="Z2557">
        <v>3.395575E-4</v>
      </c>
      <c r="AA2557">
        <v>0.99960009999999999</v>
      </c>
      <c r="AB2557">
        <v>37</v>
      </c>
      <c r="AC2557">
        <v>76.095299999999895</v>
      </c>
      <c r="AD2557">
        <v>-1.109683314295</v>
      </c>
      <c r="AE2557">
        <v>2.47750000000002</v>
      </c>
      <c r="AF2557">
        <v>-2.1640640492125001</v>
      </c>
      <c r="AG2557">
        <v>-1.109683314295</v>
      </c>
      <c r="AH2557">
        <v>76.088681849282693</v>
      </c>
      <c r="AI2557">
        <v>90.835209226155996</v>
      </c>
      <c r="AJ2557">
        <v>91.629129551330195</v>
      </c>
      <c r="AK2557">
        <v>76.127538222567594</v>
      </c>
      <c r="AL2557">
        <v>80.212652273674806</v>
      </c>
      <c r="AM2557">
        <v>93.753806616774497</v>
      </c>
      <c r="AN2557">
        <v>1.0000000384245999</v>
      </c>
    </row>
    <row r="2558" spans="1:40" x14ac:dyDescent="0.25">
      <c r="A2558" t="str">
        <f>"20190304155417390"</f>
        <v>20190304155417390</v>
      </c>
      <c r="B2558" t="str">
        <f>"1551686057379471"</f>
        <v>1551686057379471</v>
      </c>
      <c r="C2558" t="s">
        <v>40</v>
      </c>
      <c r="D2558">
        <v>4.6706279999999998</v>
      </c>
      <c r="E2558">
        <v>0.51253340000000003</v>
      </c>
      <c r="F2558" t="s">
        <v>65</v>
      </c>
      <c r="G2558">
        <v>-287.27809999999999</v>
      </c>
      <c r="H2558" s="1">
        <v>3.5400060000000002E-6</v>
      </c>
      <c r="I2558">
        <v>217.3289</v>
      </c>
      <c r="J2558">
        <v>-364.9468</v>
      </c>
      <c r="K2558">
        <v>1.1097030000000001</v>
      </c>
      <c r="L2558">
        <v>214.78030000000001</v>
      </c>
      <c r="M2558">
        <v>0.99993469999999995</v>
      </c>
      <c r="N2558">
        <v>-1.067545E-2</v>
      </c>
      <c r="O2558">
        <v>4.1189779999999997E-3</v>
      </c>
      <c r="P2558">
        <v>0.98483189999999998</v>
      </c>
      <c r="Q2558">
        <v>0.15944439999999999</v>
      </c>
      <c r="R2558">
        <v>6.8438789999999999E-2</v>
      </c>
      <c r="S2558">
        <v>3.0463870000000002</v>
      </c>
      <c r="T2558">
        <v>-4.3317080000000001E-2</v>
      </c>
      <c r="U2558">
        <v>9.9548339999999999E-2</v>
      </c>
      <c r="V2558">
        <v>-6.4377740000000003E-2</v>
      </c>
      <c r="W2558">
        <v>0.16995339999999901</v>
      </c>
      <c r="X2558">
        <v>0.98334699999999997</v>
      </c>
      <c r="Y2558">
        <v>-2.853777E-2</v>
      </c>
      <c r="Z2558">
        <v>3.4062559999999999E-4</v>
      </c>
      <c r="AA2558">
        <v>0.9995927</v>
      </c>
      <c r="AB2558">
        <v>37</v>
      </c>
      <c r="AC2558">
        <v>77.668700000000001</v>
      </c>
      <c r="AD2558">
        <v>-1.109699459994</v>
      </c>
      <c r="AE2558">
        <v>2.5485999999999902</v>
      </c>
      <c r="AF2558">
        <v>-2.2281901699665698</v>
      </c>
      <c r="AG2558">
        <v>-1.109699459994</v>
      </c>
      <c r="AH2558">
        <v>77.662702615575199</v>
      </c>
      <c r="AI2558">
        <v>90.818290118407006</v>
      </c>
      <c r="AJ2558">
        <v>91.643399936495996</v>
      </c>
      <c r="AK2558">
        <v>77.702584525100093</v>
      </c>
      <c r="AL2558">
        <v>80.214890225214702</v>
      </c>
      <c r="AM2558">
        <v>93.745693531571007</v>
      </c>
      <c r="AN2558">
        <v>0.99999998699403303</v>
      </c>
    </row>
    <row r="2559" spans="1:40" x14ac:dyDescent="0.25">
      <c r="A2559" t="str">
        <f>"20190304155417411"</f>
        <v>20190304155417411</v>
      </c>
      <c r="B2559" t="str">
        <f>"1551686057398992"</f>
        <v>1551686057398992</v>
      </c>
      <c r="C2559" t="s">
        <v>40</v>
      </c>
      <c r="D2559">
        <v>4.5413480000000002</v>
      </c>
      <c r="E2559">
        <v>0.51249789999999995</v>
      </c>
      <c r="F2559" t="s">
        <v>65</v>
      </c>
      <c r="G2559">
        <v>-288.38740000000001</v>
      </c>
      <c r="H2559" s="1">
        <v>3.0520440000000001E-6</v>
      </c>
      <c r="I2559">
        <v>217.29589999999999</v>
      </c>
      <c r="J2559">
        <v>-364.59660000000002</v>
      </c>
      <c r="K2559">
        <v>1.109712</v>
      </c>
      <c r="L2559">
        <v>214.7817</v>
      </c>
      <c r="M2559">
        <v>0.9999342</v>
      </c>
      <c r="N2559">
        <v>-1.0715560000000001E-2</v>
      </c>
      <c r="O2559">
        <v>4.1249620000000002E-3</v>
      </c>
      <c r="P2559">
        <v>0.98480089999999998</v>
      </c>
      <c r="Q2559">
        <v>0.1599602</v>
      </c>
      <c r="R2559">
        <v>6.7678360000000007E-2</v>
      </c>
      <c r="S2559">
        <v>3.0463870000000002</v>
      </c>
      <c r="T2559">
        <v>-4.4156189999999998E-2</v>
      </c>
      <c r="U2559">
        <v>0.1000977</v>
      </c>
      <c r="V2559">
        <v>-6.361145E-2</v>
      </c>
      <c r="W2559">
        <v>0.17050789999999999</v>
      </c>
      <c r="X2559">
        <v>0.98330090000000003</v>
      </c>
      <c r="Y2559">
        <v>-2.8711649999999998E-2</v>
      </c>
      <c r="Z2559">
        <v>3.4632709999999999E-4</v>
      </c>
      <c r="AA2559">
        <v>0.99958769999999997</v>
      </c>
      <c r="AB2559">
        <v>38</v>
      </c>
      <c r="AC2559">
        <v>76.209199999999996</v>
      </c>
      <c r="AD2559">
        <v>-1.1097089479560001</v>
      </c>
      <c r="AE2559">
        <v>2.5141999999999798</v>
      </c>
      <c r="AF2559">
        <v>-2.19933471772254</v>
      </c>
      <c r="AG2559">
        <v>-1.1097089479560001</v>
      </c>
      <c r="AH2559">
        <v>76.202783200057596</v>
      </c>
      <c r="AI2559">
        <v>90.833968041379507</v>
      </c>
      <c r="AJ2559">
        <v>91.653189294065399</v>
      </c>
      <c r="AK2559">
        <v>76.242591079951794</v>
      </c>
      <c r="AL2559">
        <v>80.182649361928696</v>
      </c>
      <c r="AM2559">
        <v>93.701406156331501</v>
      </c>
      <c r="AN2559">
        <v>1.00000001023716</v>
      </c>
    </row>
    <row r="2560" spans="1:40" x14ac:dyDescent="0.25">
      <c r="A2560" t="str">
        <f>"20190304155417433"</f>
        <v>20190304155417433</v>
      </c>
      <c r="B2560" t="str">
        <f>"1551686057429248"</f>
        <v>1551686057429248</v>
      </c>
      <c r="C2560" t="s">
        <v>40</v>
      </c>
      <c r="D2560">
        <v>4.6294579999999996</v>
      </c>
      <c r="E2560">
        <v>0.53529469999999901</v>
      </c>
      <c r="F2560" t="s">
        <v>65</v>
      </c>
      <c r="G2560">
        <v>-285.66359999999997</v>
      </c>
      <c r="H2560" s="1">
        <v>4.2568819999999998E-6</v>
      </c>
      <c r="I2560">
        <v>217.32140000000001</v>
      </c>
      <c r="J2560">
        <v>-364.23239999999998</v>
      </c>
      <c r="K2560">
        <v>1.1097220000000001</v>
      </c>
      <c r="L2560">
        <v>214.78319999999999</v>
      </c>
      <c r="M2560">
        <v>0.99993370000000004</v>
      </c>
      <c r="N2560">
        <v>-1.075862E-2</v>
      </c>
      <c r="O2560">
        <v>4.1312850000000002E-3</v>
      </c>
      <c r="P2560">
        <v>0.98471339999999996</v>
      </c>
      <c r="Q2560">
        <v>0.16050059999999999</v>
      </c>
      <c r="R2560">
        <v>6.7669759999999995E-2</v>
      </c>
      <c r="S2560">
        <v>3.0465390000000001</v>
      </c>
      <c r="T2560">
        <v>-4.2830819999999999E-2</v>
      </c>
      <c r="U2560">
        <v>9.8022460000000006E-2</v>
      </c>
      <c r="V2560">
        <v>-6.3597440000000005E-2</v>
      </c>
      <c r="W2560">
        <v>0.17108999999999999</v>
      </c>
      <c r="X2560">
        <v>0.98320070000000004</v>
      </c>
      <c r="Y2560">
        <v>-2.8023849999999999E-2</v>
      </c>
      <c r="Z2560">
        <v>3.3411129999999999E-4</v>
      </c>
      <c r="AA2560">
        <v>0.99960720000000003</v>
      </c>
      <c r="AB2560">
        <v>38</v>
      </c>
      <c r="AC2560">
        <v>78.568799999999996</v>
      </c>
      <c r="AD2560">
        <v>-1.1097177431180001</v>
      </c>
      <c r="AE2560">
        <v>2.53820000000001</v>
      </c>
      <c r="AF2560">
        <v>-2.2131284403958</v>
      </c>
      <c r="AG2560">
        <v>-1.1097177431180001</v>
      </c>
      <c r="AH2560">
        <v>78.562959747515706</v>
      </c>
      <c r="AI2560">
        <v>90.808939826279797</v>
      </c>
      <c r="AJ2560">
        <v>91.613602565200594</v>
      </c>
      <c r="AK2560">
        <v>78.601959614584999</v>
      </c>
      <c r="AL2560">
        <v>80.148800196090903</v>
      </c>
      <c r="AM2560">
        <v>93.700969298591403</v>
      </c>
      <c r="AN2560">
        <v>1.00000001947752</v>
      </c>
    </row>
    <row r="2561" spans="1:40" x14ac:dyDescent="0.25">
      <c r="A2561" t="str">
        <f>"20190304155417455"</f>
        <v>20190304155417455</v>
      </c>
      <c r="B2561" t="str">
        <f>"1551686057449744"</f>
        <v>1551686057449744</v>
      </c>
      <c r="C2561" t="s">
        <v>40</v>
      </c>
      <c r="D2561">
        <v>4.6045049999999996</v>
      </c>
      <c r="E2561">
        <v>0.53819289999999997</v>
      </c>
      <c r="F2561" t="s">
        <v>65</v>
      </c>
      <c r="G2561">
        <v>-313.66719999999998</v>
      </c>
      <c r="H2561" s="1">
        <v>2.531913E-6</v>
      </c>
      <c r="I2561">
        <v>213.4014</v>
      </c>
      <c r="J2561">
        <v>-363.858</v>
      </c>
      <c r="K2561">
        <v>1.1097269999999999</v>
      </c>
      <c r="L2561">
        <v>214.78469999999999</v>
      </c>
      <c r="M2561">
        <v>0.99993319999999997</v>
      </c>
      <c r="N2561">
        <v>-1.0803739999999999E-2</v>
      </c>
      <c r="O2561">
        <v>4.1379549999999996E-3</v>
      </c>
      <c r="P2561">
        <v>0.98461310000000002</v>
      </c>
      <c r="Q2561">
        <v>0.1613086</v>
      </c>
      <c r="R2561">
        <v>6.7206589999999997E-2</v>
      </c>
      <c r="S2561">
        <v>3.0632929999999998</v>
      </c>
      <c r="T2561">
        <v>-6.7228079999999996E-2</v>
      </c>
      <c r="U2561">
        <v>-8.3709720000000001E-2</v>
      </c>
      <c r="V2561">
        <v>-6.3127539999999996E-2</v>
      </c>
      <c r="W2561">
        <v>0.17194119999999999</v>
      </c>
      <c r="X2561">
        <v>0.98308249999999997</v>
      </c>
      <c r="Y2561">
        <v>3.1441379999999998E-2</v>
      </c>
      <c r="Z2561">
        <v>-5.6090630000000001E-4</v>
      </c>
      <c r="AA2561">
        <v>0.99950550000000005</v>
      </c>
      <c r="AB2561">
        <v>38</v>
      </c>
      <c r="AC2561">
        <v>50.190800000000003</v>
      </c>
      <c r="AD2561">
        <v>-1.109724468087</v>
      </c>
      <c r="AE2561">
        <v>-1.38329999999999</v>
      </c>
      <c r="AF2561">
        <v>1.59021072747238</v>
      </c>
      <c r="AG2561">
        <v>-1.109724468087</v>
      </c>
      <c r="AH2561">
        <v>50.1601433421271</v>
      </c>
      <c r="AI2561">
        <v>91.266747684937002</v>
      </c>
      <c r="AJ2561">
        <v>88.184178690609997</v>
      </c>
      <c r="AK2561">
        <v>50.1976118819967</v>
      </c>
      <c r="AL2561">
        <v>80.099296578993005</v>
      </c>
      <c r="AM2561">
        <v>93.674139743122396</v>
      </c>
      <c r="AN2561">
        <v>1.0000000321850699</v>
      </c>
    </row>
    <row r="2562" spans="1:40" x14ac:dyDescent="0.25">
      <c r="A2562" t="str">
        <f>"20190304155417478"</f>
        <v>20190304155417478</v>
      </c>
      <c r="B2562" t="str">
        <f>"1551686057469264"</f>
        <v>1551686057469264</v>
      </c>
      <c r="C2562" t="s">
        <v>40</v>
      </c>
      <c r="D2562">
        <v>4.6341710000000003</v>
      </c>
      <c r="E2562">
        <v>0.53897090000000003</v>
      </c>
      <c r="F2562" t="s">
        <v>65</v>
      </c>
      <c r="G2562">
        <v>-311.55869999999999</v>
      </c>
      <c r="H2562" s="1">
        <v>1.596849E-6</v>
      </c>
      <c r="I2562">
        <v>212.94329999999999</v>
      </c>
      <c r="J2562">
        <v>-363.48450000000003</v>
      </c>
      <c r="K2562">
        <v>1.1097349999999999</v>
      </c>
      <c r="L2562">
        <v>214.78630000000001</v>
      </c>
      <c r="M2562">
        <v>0.99993270000000001</v>
      </c>
      <c r="N2562">
        <v>-1.0849869999999999E-2</v>
      </c>
      <c r="O2562">
        <v>4.1442600000000003E-3</v>
      </c>
      <c r="P2562">
        <v>0.98465910000000001</v>
      </c>
      <c r="Q2562">
        <v>0.16125490000000001</v>
      </c>
      <c r="R2562">
        <v>6.666031E-2</v>
      </c>
      <c r="S2562">
        <v>3.06488</v>
      </c>
      <c r="T2562">
        <v>-6.5032839999999995E-2</v>
      </c>
      <c r="U2562">
        <v>-0.107910199999999</v>
      </c>
      <c r="V2562">
        <v>-6.2574950000000004E-2</v>
      </c>
      <c r="W2562">
        <v>0.17193320000000001</v>
      </c>
      <c r="X2562">
        <v>0.98311919999999997</v>
      </c>
      <c r="Y2562">
        <v>3.9314849999999998E-2</v>
      </c>
      <c r="Z2562">
        <v>-6.7326970000000002E-4</v>
      </c>
      <c r="AA2562">
        <v>0.99922659999999996</v>
      </c>
      <c r="AB2562">
        <v>38</v>
      </c>
      <c r="AC2562">
        <v>51.925800000000002</v>
      </c>
      <c r="AD2562">
        <v>-1.109733403151</v>
      </c>
      <c r="AE2562">
        <v>-1.84300000000001</v>
      </c>
      <c r="AF2562">
        <v>2.0572523712398101</v>
      </c>
      <c r="AG2562">
        <v>-1.109733403151</v>
      </c>
      <c r="AH2562">
        <v>51.894043349558302</v>
      </c>
      <c r="AI2562">
        <v>91.224099434483094</v>
      </c>
      <c r="AJ2562">
        <v>87.729793634410498</v>
      </c>
      <c r="AK2562">
        <v>51.946660438481302</v>
      </c>
      <c r="AL2562">
        <v>80.0997616077766</v>
      </c>
      <c r="AM2562">
        <v>93.641929335382699</v>
      </c>
      <c r="AN2562">
        <v>1.00000000551919</v>
      </c>
    </row>
    <row r="2563" spans="1:40" x14ac:dyDescent="0.25">
      <c r="A2563" t="str">
        <f>"20190304155417500"</f>
        <v>20190304155417500</v>
      </c>
      <c r="B2563" t="str">
        <f>"1551686057489760"</f>
        <v>1551686057489760</v>
      </c>
      <c r="C2563" t="s">
        <v>40</v>
      </c>
      <c r="D2563">
        <v>4.6283159999999999</v>
      </c>
      <c r="E2563">
        <v>0.5393384</v>
      </c>
      <c r="F2563" t="s">
        <v>65</v>
      </c>
      <c r="G2563">
        <v>-309.49790000000002</v>
      </c>
      <c r="H2563" s="1">
        <v>9.6848879999999995E-7</v>
      </c>
      <c r="I2563">
        <v>212.74629999999999</v>
      </c>
      <c r="J2563">
        <v>-363.1019</v>
      </c>
      <c r="K2563">
        <v>1.109737</v>
      </c>
      <c r="L2563">
        <v>214.78790000000001</v>
      </c>
      <c r="M2563">
        <v>0.99993209999999999</v>
      </c>
      <c r="N2563">
        <v>-1.089588E-2</v>
      </c>
      <c r="O2563">
        <v>4.1510999999999996E-3</v>
      </c>
      <c r="P2563">
        <v>0.98472689999999996</v>
      </c>
      <c r="Q2563">
        <v>0.1609322</v>
      </c>
      <c r="R2563">
        <v>6.6438709999999998E-2</v>
      </c>
      <c r="S2563">
        <v>3.0649109999999999</v>
      </c>
      <c r="T2563">
        <v>-6.3001509999999997E-2</v>
      </c>
      <c r="U2563">
        <v>-0.11581420000000001</v>
      </c>
      <c r="V2563">
        <v>-6.2346890000000002E-2</v>
      </c>
      <c r="W2563">
        <v>0.17165610000000001</v>
      </c>
      <c r="X2563">
        <v>0.98318209999999995</v>
      </c>
      <c r="Y2563">
        <v>4.1894529999999999E-2</v>
      </c>
      <c r="Z2563">
        <v>-6.988303E-4</v>
      </c>
      <c r="AA2563">
        <v>0.99912179999999995</v>
      </c>
      <c r="AB2563">
        <v>38</v>
      </c>
      <c r="AC2563">
        <v>53.6039999999999</v>
      </c>
      <c r="AD2563">
        <v>-1.1097360315111999</v>
      </c>
      <c r="AE2563">
        <v>-2.0416000000000101</v>
      </c>
      <c r="AF2563">
        <v>2.26314260263428</v>
      </c>
      <c r="AG2563">
        <v>-1.1097360315111999</v>
      </c>
      <c r="AH2563">
        <v>53.572135334145798</v>
      </c>
      <c r="AI2563">
        <v>91.185643665579605</v>
      </c>
      <c r="AJ2563">
        <v>87.580991221002805</v>
      </c>
      <c r="AK2563">
        <v>53.631399504017402</v>
      </c>
      <c r="AL2563">
        <v>80.115877782822196</v>
      </c>
      <c r="AM2563">
        <v>93.628459998762693</v>
      </c>
      <c r="AN2563">
        <v>0.99999999656014504</v>
      </c>
    </row>
    <row r="2564" spans="1:40" x14ac:dyDescent="0.25">
      <c r="A2564" t="str">
        <f>"20190304155417523"</f>
        <v>20190304155417523</v>
      </c>
      <c r="B2564" t="str">
        <f>"1551686057519041"</f>
        <v>1551686057519041</v>
      </c>
      <c r="C2564" t="s">
        <v>40</v>
      </c>
      <c r="D2564">
        <v>4.6317159999999999</v>
      </c>
      <c r="E2564">
        <v>0.53968269999999996</v>
      </c>
      <c r="F2564" t="s">
        <v>65</v>
      </c>
      <c r="G2564">
        <v>-307.40469999999999</v>
      </c>
      <c r="H2564" s="1">
        <v>1.3397920000000001E-6</v>
      </c>
      <c r="I2564">
        <v>212.6156</v>
      </c>
      <c r="J2564">
        <v>-362.72649999999999</v>
      </c>
      <c r="K2564">
        <v>1.1097399999999999</v>
      </c>
      <c r="L2564">
        <v>214.7895</v>
      </c>
      <c r="M2564">
        <v>0.99993149999999997</v>
      </c>
      <c r="N2564">
        <v>-1.093766E-2</v>
      </c>
      <c r="O2564">
        <v>4.1577250000000001E-3</v>
      </c>
      <c r="P2564">
        <v>0.9847496</v>
      </c>
      <c r="Q2564">
        <v>0.1607085</v>
      </c>
      <c r="R2564">
        <v>6.6640820000000003E-2</v>
      </c>
      <c r="S2564">
        <v>3.064575</v>
      </c>
      <c r="T2564">
        <v>-6.1059950000000002E-2</v>
      </c>
      <c r="U2564">
        <v>-0.11952210000000001</v>
      </c>
      <c r="V2564">
        <v>-6.2542039999999993E-2</v>
      </c>
      <c r="W2564">
        <v>0.1714743</v>
      </c>
      <c r="X2564">
        <v>0.9832014</v>
      </c>
      <c r="Y2564">
        <v>4.3112640000000001E-2</v>
      </c>
      <c r="Z2564">
        <v>-7.0254550000000001E-4</v>
      </c>
      <c r="AA2564">
        <v>0.99907000000000001</v>
      </c>
      <c r="AB2564">
        <v>38</v>
      </c>
      <c r="AC2564">
        <v>55.321800000000003</v>
      </c>
      <c r="AD2564">
        <v>-1.1097386602079999</v>
      </c>
      <c r="AE2564">
        <v>-2.1739000000000002</v>
      </c>
      <c r="AF2564">
        <v>2.4029423744289899</v>
      </c>
      <c r="AG2564">
        <v>-1.1097386602079999</v>
      </c>
      <c r="AH2564">
        <v>55.290068802452403</v>
      </c>
      <c r="AI2564">
        <v>91.148757214946102</v>
      </c>
      <c r="AJ2564">
        <v>87.511454156143401</v>
      </c>
      <c r="AK2564">
        <v>55.353386166780297</v>
      </c>
      <c r="AL2564">
        <v>80.126450637685707</v>
      </c>
      <c r="AM2564">
        <v>93.639715585369501</v>
      </c>
      <c r="AN2564">
        <v>0.99999996764490495</v>
      </c>
    </row>
    <row r="2565" spans="1:40" x14ac:dyDescent="0.25">
      <c r="A2565" t="str">
        <f>"20190304155417546"</f>
        <v>20190304155417546</v>
      </c>
      <c r="B2565" t="str">
        <f>"1551686057539535"</f>
        <v>1551686057539535</v>
      </c>
      <c r="C2565" t="s">
        <v>40</v>
      </c>
      <c r="D2565">
        <v>4.6439700000000004</v>
      </c>
      <c r="E2565">
        <v>0.53949309999999995</v>
      </c>
      <c r="F2565" t="s">
        <v>65</v>
      </c>
      <c r="G2565">
        <v>-305.61180000000002</v>
      </c>
      <c r="H2565" s="1">
        <v>1.6578219999999901E-6</v>
      </c>
      <c r="I2565">
        <v>212.52199999999999</v>
      </c>
      <c r="J2565">
        <v>-362.32830000000001</v>
      </c>
      <c r="K2565">
        <v>1.109734</v>
      </c>
      <c r="L2565">
        <v>214.7911</v>
      </c>
      <c r="M2565">
        <v>0.99993120000000002</v>
      </c>
      <c r="N2565">
        <v>-1.0977550000000001E-2</v>
      </c>
      <c r="O2565">
        <v>4.1645980000000003E-3</v>
      </c>
      <c r="P2565">
        <v>0.98486810000000002</v>
      </c>
      <c r="Q2565">
        <v>0.1599554</v>
      </c>
      <c r="R2565">
        <v>6.6702280000000003E-2</v>
      </c>
      <c r="S2565">
        <v>3.0644230000000001</v>
      </c>
      <c r="T2565">
        <v>-5.9541699999999899E-2</v>
      </c>
      <c r="U2565">
        <v>-0.1216583</v>
      </c>
      <c r="V2565">
        <v>-6.2595860000000003E-2</v>
      </c>
      <c r="W2565">
        <v>0.17076160000000001</v>
      </c>
      <c r="X2565">
        <v>0.98332200000000003</v>
      </c>
      <c r="Y2565">
        <v>4.3817139999999997E-2</v>
      </c>
      <c r="Z2565">
        <v>-7.0129779999999998E-4</v>
      </c>
      <c r="AA2565">
        <v>0.99903929999999996</v>
      </c>
      <c r="AB2565">
        <v>38</v>
      </c>
      <c r="AC2565">
        <v>56.716500000000003</v>
      </c>
      <c r="AD2565">
        <v>-1.1097323421780001</v>
      </c>
      <c r="AE2565">
        <v>-2.2690999999999799</v>
      </c>
      <c r="AF2565">
        <v>2.5043387159655</v>
      </c>
      <c r="AG2565">
        <v>-1.1097323421780001</v>
      </c>
      <c r="AH2565">
        <v>56.684891058761998</v>
      </c>
      <c r="AI2565">
        <v>91.120455886010404</v>
      </c>
      <c r="AJ2565">
        <v>87.470317246803504</v>
      </c>
      <c r="AK2565">
        <v>56.751036048862403</v>
      </c>
      <c r="AL2565">
        <v>80.167896578989897</v>
      </c>
      <c r="AM2565">
        <v>93.642393705166299</v>
      </c>
      <c r="AN2565">
        <v>0.999999960703849</v>
      </c>
    </row>
    <row r="2566" spans="1:40" x14ac:dyDescent="0.25">
      <c r="A2566" t="str">
        <f>"20190304155417569"</f>
        <v>20190304155417569</v>
      </c>
      <c r="B2566" t="str">
        <f>"1551686057559055"</f>
        <v>1551686057559055</v>
      </c>
      <c r="C2566" t="s">
        <v>40</v>
      </c>
      <c r="D2566">
        <v>4.6410689999999999</v>
      </c>
      <c r="E2566">
        <v>0.53931269999999998</v>
      </c>
      <c r="F2566" t="s">
        <v>65</v>
      </c>
      <c r="G2566">
        <v>-308.64420000000001</v>
      </c>
      <c r="H2566" s="1">
        <v>1.1199179999999999E-6</v>
      </c>
      <c r="I2566">
        <v>212.68639999999999</v>
      </c>
      <c r="J2566">
        <v>-361.93779999999998</v>
      </c>
      <c r="K2566">
        <v>1.1097379999999999</v>
      </c>
      <c r="L2566">
        <v>214.7927</v>
      </c>
      <c r="M2566">
        <v>0.9999306</v>
      </c>
      <c r="N2566">
        <v>-1.101443E-2</v>
      </c>
      <c r="O2566">
        <v>4.1714270000000001E-3</v>
      </c>
      <c r="P2566">
        <v>0.98493180000000002</v>
      </c>
      <c r="Q2566">
        <v>0.15940570000000001</v>
      </c>
      <c r="R2566">
        <v>6.7075179999999998E-2</v>
      </c>
      <c r="S2566">
        <v>3.0644840000000002</v>
      </c>
      <c r="T2566">
        <v>-6.3347580000000001E-2</v>
      </c>
      <c r="U2566">
        <v>-0.120147699999999</v>
      </c>
      <c r="V2566">
        <v>-6.2962089999999998E-2</v>
      </c>
      <c r="W2566">
        <v>0.1702494</v>
      </c>
      <c r="X2566">
        <v>0.98338749999999997</v>
      </c>
      <c r="Y2566">
        <v>4.3330189999999998E-2</v>
      </c>
      <c r="Z2566">
        <v>-7.2665999999999996E-4</v>
      </c>
      <c r="AA2566">
        <v>0.99906059999999997</v>
      </c>
      <c r="AB2566">
        <v>38</v>
      </c>
      <c r="AC2566">
        <v>53.293599999999898</v>
      </c>
      <c r="AD2566">
        <v>-1.109736880082</v>
      </c>
      <c r="AE2566">
        <v>-2.1063000000000001</v>
      </c>
      <c r="AF2566">
        <v>2.3275978549318102</v>
      </c>
      <c r="AG2566">
        <v>-1.109736880082</v>
      </c>
      <c r="AH2566">
        <v>53.261291343027402</v>
      </c>
      <c r="AI2566">
        <v>91.192487755389706</v>
      </c>
      <c r="AJ2566">
        <v>87.497681178451899</v>
      </c>
      <c r="AK2566">
        <v>53.323675635163603</v>
      </c>
      <c r="AL2566">
        <v>80.197680276515499</v>
      </c>
      <c r="AM2566">
        <v>93.663403050918006</v>
      </c>
      <c r="AN2566">
        <v>1.00000002906688</v>
      </c>
    </row>
    <row r="2567" spans="1:40" x14ac:dyDescent="0.25">
      <c r="A2567" t="str">
        <f>"20190304155417591"</f>
        <v>20190304155417591</v>
      </c>
      <c r="B2567" t="str">
        <f>"1551686057579552"</f>
        <v>1551686057579552</v>
      </c>
      <c r="C2567" t="s">
        <v>40</v>
      </c>
      <c r="D2567">
        <v>4.662115</v>
      </c>
      <c r="E2567">
        <v>0.53936359999999905</v>
      </c>
      <c r="F2567" t="s">
        <v>65</v>
      </c>
      <c r="G2567">
        <v>-309.68709999999999</v>
      </c>
      <c r="H2567" s="1">
        <v>9.3493109999999999E-7</v>
      </c>
      <c r="I2567">
        <v>212.78550000000001</v>
      </c>
      <c r="J2567">
        <v>-361.56959999999998</v>
      </c>
      <c r="K2567">
        <v>1.1097399999999999</v>
      </c>
      <c r="L2567">
        <v>214.79429999999999</v>
      </c>
      <c r="M2567">
        <v>0.9999304</v>
      </c>
      <c r="N2567">
        <v>-1.105018E-2</v>
      </c>
      <c r="O2567">
        <v>4.1779640000000002E-3</v>
      </c>
      <c r="P2567">
        <v>0.9849367</v>
      </c>
      <c r="Q2567">
        <v>0.15913389999999999</v>
      </c>
      <c r="R2567">
        <v>6.7649520000000005E-2</v>
      </c>
      <c r="S2567">
        <v>3.0644840000000002</v>
      </c>
      <c r="T2567">
        <v>-6.5085649999999995E-2</v>
      </c>
      <c r="U2567">
        <v>-0.1177216</v>
      </c>
      <c r="V2567">
        <v>-6.3529760000000005E-2</v>
      </c>
      <c r="W2567">
        <v>0.17001260000000001</v>
      </c>
      <c r="X2567">
        <v>0.98339189999999999</v>
      </c>
      <c r="Y2567">
        <v>4.2546510000000003E-2</v>
      </c>
      <c r="Z2567">
        <v>-7.293512E-4</v>
      </c>
      <c r="AA2567">
        <v>0.99909420000000004</v>
      </c>
      <c r="AB2567">
        <v>38</v>
      </c>
      <c r="AC2567">
        <v>51.882499999999901</v>
      </c>
      <c r="AD2567">
        <v>-1.1097390650689001</v>
      </c>
      <c r="AE2567">
        <v>-2.0087999999999702</v>
      </c>
      <c r="AF2567">
        <v>2.22454265278816</v>
      </c>
      <c r="AG2567">
        <v>-1.1097390650689001</v>
      </c>
      <c r="AH2567">
        <v>51.849967587550601</v>
      </c>
      <c r="AI2567">
        <v>91.224981419008202</v>
      </c>
      <c r="AJ2567">
        <v>87.543319813704997</v>
      </c>
      <c r="AK2567">
        <v>51.909529468457499</v>
      </c>
      <c r="AL2567">
        <v>80.211448073114994</v>
      </c>
      <c r="AM2567">
        <v>93.696324859488399</v>
      </c>
      <c r="AN2567">
        <v>0.99999997177501299</v>
      </c>
    </row>
    <row r="2568" spans="1:40" x14ac:dyDescent="0.25">
      <c r="A2568" t="str">
        <f>"20190304155417613"</f>
        <v>20190304155417613</v>
      </c>
      <c r="B2568" t="str">
        <f>"1551686057609807"</f>
        <v>1551686057609807</v>
      </c>
      <c r="C2568" t="s">
        <v>40</v>
      </c>
      <c r="D2568">
        <v>4.6554359999999999</v>
      </c>
      <c r="E2568">
        <v>0.53956190000000004</v>
      </c>
      <c r="F2568" t="s">
        <v>65</v>
      </c>
      <c r="G2568">
        <v>-310.03489999999999</v>
      </c>
      <c r="H2568" s="1">
        <v>9.2111529999999998E-7</v>
      </c>
      <c r="I2568">
        <v>212.8338</v>
      </c>
      <c r="J2568">
        <v>-361.2022</v>
      </c>
      <c r="K2568">
        <v>1.1097440000000001</v>
      </c>
      <c r="L2568">
        <v>214.79580000000001</v>
      </c>
      <c r="M2568">
        <v>0.99992990000000004</v>
      </c>
      <c r="N2568">
        <v>-1.108543E-2</v>
      </c>
      <c r="O2568">
        <v>4.184503E-3</v>
      </c>
      <c r="P2568">
        <v>0.98499570000000003</v>
      </c>
      <c r="Q2568">
        <v>0.15874849999999999</v>
      </c>
      <c r="R2568">
        <v>6.7694530000000003E-2</v>
      </c>
      <c r="S2568">
        <v>3.0645449999999999</v>
      </c>
      <c r="T2568">
        <v>-6.5991279999999999E-2</v>
      </c>
      <c r="U2568">
        <v>-0.1165771</v>
      </c>
      <c r="V2568">
        <v>-6.3568349999999996E-2</v>
      </c>
      <c r="W2568">
        <v>0.16966249999999999</v>
      </c>
      <c r="X2568">
        <v>0.98344989999999999</v>
      </c>
      <c r="Y2568">
        <v>4.217949E-2</v>
      </c>
      <c r="Z2568">
        <v>-7.3154579999999995E-4</v>
      </c>
      <c r="AA2568">
        <v>0.99910980000000005</v>
      </c>
      <c r="AB2568">
        <v>38</v>
      </c>
      <c r="AC2568">
        <v>51.167299999999997</v>
      </c>
      <c r="AD2568">
        <v>-1.1097430788847</v>
      </c>
      <c r="AE2568">
        <v>-1.96200000000001</v>
      </c>
      <c r="AF2568">
        <v>2.1750840361327102</v>
      </c>
      <c r="AG2568">
        <v>-1.1097430788847</v>
      </c>
      <c r="AH2568">
        <v>51.134623471683099</v>
      </c>
      <c r="AI2568">
        <v>91.242136801697995</v>
      </c>
      <c r="AJ2568">
        <v>87.564310711397198</v>
      </c>
      <c r="AK2568">
        <v>51.192892454482198</v>
      </c>
      <c r="AL2568">
        <v>80.231803343989696</v>
      </c>
      <c r="AM2568">
        <v>93.698346373393903</v>
      </c>
      <c r="AN2568">
        <v>1.0000000024189899</v>
      </c>
    </row>
    <row r="2569" spans="1:40" x14ac:dyDescent="0.25">
      <c r="A2569" t="str">
        <f>"20190304155417634"</f>
        <v>20190304155417634</v>
      </c>
      <c r="B2569" t="str">
        <f>"1551686057629328"</f>
        <v>1551686057629328</v>
      </c>
      <c r="C2569" t="s">
        <v>40</v>
      </c>
      <c r="D2569">
        <v>4.6608000000000001</v>
      </c>
      <c r="E2569">
        <v>0.53960140000000001</v>
      </c>
      <c r="F2569" t="s">
        <v>65</v>
      </c>
      <c r="G2569">
        <v>-310.18729999999999</v>
      </c>
      <c r="H2569" s="1">
        <v>9.8871100000000004E-7</v>
      </c>
      <c r="I2569">
        <v>212.82650000000001</v>
      </c>
      <c r="J2569">
        <v>-360.84589999999997</v>
      </c>
      <c r="K2569">
        <v>1.1097440000000001</v>
      </c>
      <c r="L2569">
        <v>214.79730000000001</v>
      </c>
      <c r="M2569">
        <v>0.99992950000000003</v>
      </c>
      <c r="N2569">
        <v>-1.111754E-2</v>
      </c>
      <c r="O2569">
        <v>4.1907009999999998E-3</v>
      </c>
      <c r="P2569">
        <v>0.98498149999999995</v>
      </c>
      <c r="Q2569">
        <v>0.15880520000000001</v>
      </c>
      <c r="R2569">
        <v>6.7767949999999993E-2</v>
      </c>
      <c r="S2569">
        <v>3.0646059999999999</v>
      </c>
      <c r="T2569">
        <v>-6.6665290000000002E-2</v>
      </c>
      <c r="U2569">
        <v>-0.1183014</v>
      </c>
      <c r="V2569">
        <v>-6.3635830000000004E-2</v>
      </c>
      <c r="W2569">
        <v>0.1697504</v>
      </c>
      <c r="X2569">
        <v>0.98343040000000004</v>
      </c>
      <c r="Y2569">
        <v>4.2745749999999999E-2</v>
      </c>
      <c r="Z2569">
        <v>-7.4700229999999997E-4</v>
      </c>
      <c r="AA2569">
        <v>0.99908569999999997</v>
      </c>
      <c r="AB2569">
        <v>38</v>
      </c>
      <c r="AC2569">
        <v>50.6585999999999</v>
      </c>
      <c r="AD2569">
        <v>-1.1097430112890001</v>
      </c>
      <c r="AE2569">
        <v>-1.9707999999999899</v>
      </c>
      <c r="AF2569">
        <v>2.18204528972415</v>
      </c>
      <c r="AG2569">
        <v>-1.1097430112890001</v>
      </c>
      <c r="AH2569">
        <v>50.625637724622003</v>
      </c>
      <c r="AI2569">
        <v>91.254590792800897</v>
      </c>
      <c r="AJ2569">
        <v>87.531988575828393</v>
      </c>
      <c r="AK2569">
        <v>50.684791074070603</v>
      </c>
      <c r="AL2569">
        <v>80.226693232129705</v>
      </c>
      <c r="AM2569">
        <v>93.702334589079797</v>
      </c>
      <c r="AN2569">
        <v>1.0000000344020501</v>
      </c>
    </row>
    <row r="2570" spans="1:40" x14ac:dyDescent="0.25">
      <c r="A2570" t="str">
        <f>"20190304155417667"</f>
        <v>20190304155417667</v>
      </c>
      <c r="B2570" t="str">
        <f>"1551686057659584"</f>
        <v>1551686057659584</v>
      </c>
      <c r="C2570" t="s">
        <v>40</v>
      </c>
      <c r="D2570">
        <v>4.8532840000000004</v>
      </c>
      <c r="E2570">
        <v>0.53979900000000003</v>
      </c>
      <c r="F2570" t="s">
        <v>65</v>
      </c>
      <c r="G2570">
        <v>-309.63600000000002</v>
      </c>
      <c r="H2570" s="1">
        <v>9.4399590000000004E-7</v>
      </c>
      <c r="I2570">
        <v>212.8169</v>
      </c>
      <c r="J2570">
        <v>-360.29719999999998</v>
      </c>
      <c r="K2570">
        <v>1.1097440000000001</v>
      </c>
      <c r="L2570">
        <v>214.7997</v>
      </c>
      <c r="M2570">
        <v>0.99992899999999996</v>
      </c>
      <c r="N2570">
        <v>-1.1161239999999999E-2</v>
      </c>
      <c r="O2570">
        <v>4.2005890000000002E-3</v>
      </c>
      <c r="P2570">
        <v>0.98494499999999996</v>
      </c>
      <c r="Q2570">
        <v>0.15912009999999999</v>
      </c>
      <c r="R2570">
        <v>6.7558709999999994E-2</v>
      </c>
      <c r="S2570">
        <v>3.0646059999999999</v>
      </c>
      <c r="T2570">
        <v>-6.6411499999999998E-2</v>
      </c>
      <c r="U2570">
        <v>-0.118515</v>
      </c>
      <c r="V2570">
        <v>-6.3416620000000007E-2</v>
      </c>
      <c r="W2570">
        <v>0.17010799999999901</v>
      </c>
      <c r="X2570">
        <v>0.9833828</v>
      </c>
      <c r="Y2570">
        <v>4.2825229999999999E-2</v>
      </c>
      <c r="Z2570">
        <v>-7.4704610000000005E-4</v>
      </c>
      <c r="AA2570">
        <v>0.99908229999999998</v>
      </c>
      <c r="AB2570">
        <v>38</v>
      </c>
      <c r="AC2570">
        <v>50.661200000000001</v>
      </c>
      <c r="AD2570">
        <v>-1.1097430560040999</v>
      </c>
      <c r="AE2570">
        <v>-1.9827999999999899</v>
      </c>
      <c r="AF2570">
        <v>2.1945511997392599</v>
      </c>
      <c r="AG2570">
        <v>-1.1097430560040999</v>
      </c>
      <c r="AH2570">
        <v>50.628167416674003</v>
      </c>
      <c r="AI2570">
        <v>91.254514927641694</v>
      </c>
      <c r="AJ2570">
        <v>87.517985222485393</v>
      </c>
      <c r="AK2570">
        <v>50.687857723417402</v>
      </c>
      <c r="AL2570">
        <v>80.205902184269505</v>
      </c>
      <c r="AM2570">
        <v>93.689794334079593</v>
      </c>
      <c r="AN2570">
        <v>1.0000000653460299</v>
      </c>
    </row>
    <row r="2571" spans="1:40" x14ac:dyDescent="0.25">
      <c r="A2571" t="str">
        <f>"20190304155417689"</f>
        <v>20190304155417689</v>
      </c>
      <c r="B2571" t="str">
        <f>"1551686057679107"</f>
        <v>1551686057679107</v>
      </c>
      <c r="C2571" t="s">
        <v>40</v>
      </c>
      <c r="D2571">
        <v>4.707141</v>
      </c>
      <c r="E2571">
        <v>0.53995000000000004</v>
      </c>
      <c r="F2571" t="s">
        <v>65</v>
      </c>
      <c r="G2571">
        <v>-307.2552</v>
      </c>
      <c r="H2571" s="1">
        <v>1.366303E-6</v>
      </c>
      <c r="I2571">
        <v>212.70480000000001</v>
      </c>
      <c r="J2571">
        <v>-359.90449999999998</v>
      </c>
      <c r="K2571">
        <v>1.1097459999999999</v>
      </c>
      <c r="L2571">
        <v>214.8013</v>
      </c>
      <c r="M2571">
        <v>0.99992859999999995</v>
      </c>
      <c r="N2571">
        <v>-1.118824E-2</v>
      </c>
      <c r="O2571">
        <v>4.2076489999999999E-3</v>
      </c>
      <c r="P2571">
        <v>0.98492619999999997</v>
      </c>
      <c r="Q2571">
        <v>0.15916540000000001</v>
      </c>
      <c r="R2571">
        <v>6.7728800000000006E-2</v>
      </c>
      <c r="S2571">
        <v>3.064514</v>
      </c>
      <c r="T2571">
        <v>-6.4115640000000002E-2</v>
      </c>
      <c r="U2571">
        <v>-0.12103269999999999</v>
      </c>
      <c r="V2571">
        <v>-6.3580419999999999E-2</v>
      </c>
      <c r="W2571">
        <v>0.17017939999999901</v>
      </c>
      <c r="X2571">
        <v>0.98335980000000001</v>
      </c>
      <c r="Y2571">
        <v>4.3653589999999999E-2</v>
      </c>
      <c r="Z2571">
        <v>-7.4171269999999997E-4</v>
      </c>
      <c r="AA2571">
        <v>0.9990464</v>
      </c>
      <c r="AB2571">
        <v>38</v>
      </c>
      <c r="AC2571">
        <v>52.649299999999897</v>
      </c>
      <c r="AD2571">
        <v>-1.1097446336969901</v>
      </c>
      <c r="AE2571">
        <v>-2.09649999999999</v>
      </c>
      <c r="AF2571">
        <v>2.31699729480192</v>
      </c>
      <c r="AG2571">
        <v>-1.1097446336969901</v>
      </c>
      <c r="AH2571">
        <v>52.616672242329699</v>
      </c>
      <c r="AI2571">
        <v>91.207083691946707</v>
      </c>
      <c r="AJ2571">
        <v>87.478585180266904</v>
      </c>
      <c r="AK2571">
        <v>52.679352762471297</v>
      </c>
      <c r="AL2571">
        <v>80.2017500596357</v>
      </c>
      <c r="AM2571">
        <v>93.699384627848204</v>
      </c>
      <c r="AN2571">
        <v>0.99999999712388798</v>
      </c>
    </row>
    <row r="2572" spans="1:40" x14ac:dyDescent="0.25">
      <c r="A2572" t="str">
        <f>"20190304155417712"</f>
        <v>20190304155417712</v>
      </c>
      <c r="B2572" t="str">
        <f>"1551686057709360"</f>
        <v>1551686057709360</v>
      </c>
      <c r="C2572" t="s">
        <v>40</v>
      </c>
      <c r="D2572">
        <v>4.7065619999999999</v>
      </c>
      <c r="E2572">
        <v>0.53982640000000004</v>
      </c>
      <c r="F2572" t="s">
        <v>65</v>
      </c>
      <c r="G2572">
        <v>-306.99939999999998</v>
      </c>
      <c r="H2572" s="1">
        <v>1.4116880000000001E-6</v>
      </c>
      <c r="I2572">
        <v>212.70769999999999</v>
      </c>
      <c r="J2572">
        <v>-359.53739999999999</v>
      </c>
      <c r="K2572">
        <v>1.1097379999999999</v>
      </c>
      <c r="L2572">
        <v>214.80289999999999</v>
      </c>
      <c r="M2572">
        <v>0.99992840000000005</v>
      </c>
      <c r="N2572">
        <v>-1.121078E-2</v>
      </c>
      <c r="O2572">
        <v>4.2140789999999999E-3</v>
      </c>
      <c r="P2572">
        <v>0.98499630000000005</v>
      </c>
      <c r="Q2572">
        <v>0.15860270000000001</v>
      </c>
      <c r="R2572">
        <v>6.8027500000000005E-2</v>
      </c>
      <c r="S2572">
        <v>3.0646360000000001</v>
      </c>
      <c r="T2572">
        <v>-6.4284209999999994E-2</v>
      </c>
      <c r="U2572">
        <v>-0.12127690000000001</v>
      </c>
      <c r="V2572">
        <v>-6.3872470000000001E-2</v>
      </c>
      <c r="W2572">
        <v>0.16964000000000001</v>
      </c>
      <c r="X2572">
        <v>0.98343409999999998</v>
      </c>
      <c r="Y2572">
        <v>4.37378E-2</v>
      </c>
      <c r="Z2572">
        <v>-7.4493699999999999E-4</v>
      </c>
      <c r="AA2572">
        <v>0.99904269999999995</v>
      </c>
      <c r="AB2572">
        <v>38</v>
      </c>
      <c r="AC2572">
        <v>52.537999999999997</v>
      </c>
      <c r="AD2572">
        <v>-1.1097365883119901</v>
      </c>
      <c r="AE2572">
        <v>-2.0952000000000002</v>
      </c>
      <c r="AF2572">
        <v>2.3155630872059998</v>
      </c>
      <c r="AG2572">
        <v>-1.1097365883119901</v>
      </c>
      <c r="AH2572">
        <v>52.5053148625028</v>
      </c>
      <c r="AI2572">
        <v>91.209630728066799</v>
      </c>
      <c r="AJ2572">
        <v>87.474806511371</v>
      </c>
      <c r="AK2572">
        <v>52.568064797144999</v>
      </c>
      <c r="AL2572">
        <v>80.233111689249597</v>
      </c>
      <c r="AM2572">
        <v>93.716049864158606</v>
      </c>
      <c r="AN2572">
        <v>1.0000000255333501</v>
      </c>
    </row>
    <row r="2573" spans="1:40" x14ac:dyDescent="0.25">
      <c r="A2573" t="str">
        <f>"20190304155417733"</f>
        <v>20190304155417733</v>
      </c>
      <c r="B2573" t="str">
        <f>"1551686057728880"</f>
        <v>1551686057728880</v>
      </c>
      <c r="C2573" t="s">
        <v>40</v>
      </c>
      <c r="D2573">
        <v>4.6573589999999996</v>
      </c>
      <c r="E2573">
        <v>0.53972200000000004</v>
      </c>
      <c r="F2573" t="s">
        <v>65</v>
      </c>
      <c r="G2573">
        <v>-308.75420000000003</v>
      </c>
      <c r="H2573" s="1">
        <v>1.1004169999999999E-6</v>
      </c>
      <c r="I2573">
        <v>212.82669999999999</v>
      </c>
      <c r="J2573">
        <v>-359.1669</v>
      </c>
      <c r="K2573">
        <v>1.1097349999999999</v>
      </c>
      <c r="L2573">
        <v>214.80449999999999</v>
      </c>
      <c r="M2573">
        <v>0.99992809999999999</v>
      </c>
      <c r="N2573">
        <v>-1.1231130000000001E-2</v>
      </c>
      <c r="O2573">
        <v>4.2208769999999996E-3</v>
      </c>
      <c r="P2573">
        <v>0.98501030000000001</v>
      </c>
      <c r="Q2573">
        <v>0.15836049999999999</v>
      </c>
      <c r="R2573">
        <v>6.8386069999999993E-2</v>
      </c>
      <c r="S2573">
        <v>3.0647280000000001</v>
      </c>
      <c r="T2573">
        <v>-6.6971779999999995E-2</v>
      </c>
      <c r="U2573">
        <v>-0.1192627</v>
      </c>
      <c r="V2573">
        <v>-6.4223390000000005E-2</v>
      </c>
      <c r="W2573">
        <v>0.1694177</v>
      </c>
      <c r="X2573">
        <v>0.98344949999999998</v>
      </c>
      <c r="Y2573">
        <v>4.3086989999999999E-2</v>
      </c>
      <c r="Z2573">
        <v>-7.5745139999999897E-4</v>
      </c>
      <c r="AA2573">
        <v>0.99907109999999999</v>
      </c>
      <c r="AB2573">
        <v>38</v>
      </c>
      <c r="AC2573">
        <v>50.412699999999901</v>
      </c>
      <c r="AD2573">
        <v>-1.1097338995829999</v>
      </c>
      <c r="AE2573">
        <v>-1.9778</v>
      </c>
      <c r="AF2573">
        <v>2.1895222407592598</v>
      </c>
      <c r="AG2573">
        <v>-1.1097338995829999</v>
      </c>
      <c r="AH2573">
        <v>50.379527331946903</v>
      </c>
      <c r="AI2573">
        <v>91.260687763058797</v>
      </c>
      <c r="AJ2573">
        <v>87.511459610994606</v>
      </c>
      <c r="AK2573">
        <v>50.439293127095397</v>
      </c>
      <c r="AL2573">
        <v>80.246034965878394</v>
      </c>
      <c r="AM2573">
        <v>93.736350093218704</v>
      </c>
      <c r="AN2573">
        <v>0.99999995997331503</v>
      </c>
    </row>
    <row r="2574" spans="1:40" x14ac:dyDescent="0.25">
      <c r="A2574" t="str">
        <f>"20190304155417757"</f>
        <v>20190304155417757</v>
      </c>
      <c r="B2574" t="str">
        <f>"1551686057749377"</f>
        <v>1551686057749377</v>
      </c>
      <c r="C2574" t="s">
        <v>40</v>
      </c>
      <c r="D2574">
        <v>4.6600449999999896</v>
      </c>
      <c r="E2574">
        <v>0.5397516</v>
      </c>
      <c r="F2574" t="s">
        <v>65</v>
      </c>
      <c r="G2574">
        <v>-309.31700000000001</v>
      </c>
      <c r="H2574" s="1">
        <v>1.0005790000000001E-6</v>
      </c>
      <c r="I2574">
        <v>212.9008</v>
      </c>
      <c r="J2574">
        <v>-358.78370000000001</v>
      </c>
      <c r="K2574">
        <v>1.1097360000000001</v>
      </c>
      <c r="L2574">
        <v>214.80609999999999</v>
      </c>
      <c r="M2574">
        <v>0.99992780000000003</v>
      </c>
      <c r="N2574">
        <v>-1.124989E-2</v>
      </c>
      <c r="O2574">
        <v>4.2278630000000001E-3</v>
      </c>
      <c r="P2574">
        <v>0.98513329999999999</v>
      </c>
      <c r="Q2574">
        <v>0.1571939</v>
      </c>
      <c r="R2574">
        <v>6.9301840000000003E-2</v>
      </c>
      <c r="S2574">
        <v>3.0647280000000001</v>
      </c>
      <c r="T2574">
        <v>-6.8225499999999994E-2</v>
      </c>
      <c r="U2574">
        <v>-0.1170349</v>
      </c>
      <c r="V2574">
        <v>-6.5132490000000001E-2</v>
      </c>
      <c r="W2574">
        <v>0.16827139999999999</v>
      </c>
      <c r="X2574">
        <v>0.98358650000000003</v>
      </c>
      <c r="Y2574">
        <v>4.2368549999999998E-2</v>
      </c>
      <c r="Z2574">
        <v>-7.5635470000000001E-4</v>
      </c>
      <c r="AA2574">
        <v>0.99910180000000004</v>
      </c>
      <c r="AB2574">
        <v>38</v>
      </c>
      <c r="AC2574">
        <v>49.466700000000003</v>
      </c>
      <c r="AD2574">
        <v>-1.109734999421</v>
      </c>
      <c r="AE2574">
        <v>-1.90529999999998</v>
      </c>
      <c r="AF2574">
        <v>2.1133725813860398</v>
      </c>
      <c r="AG2574">
        <v>-1.109734999421</v>
      </c>
      <c r="AH2574">
        <v>49.433359841056003</v>
      </c>
      <c r="AI2574">
        <v>91.284850078161796</v>
      </c>
      <c r="AJ2574">
        <v>87.551984347904906</v>
      </c>
      <c r="AK2574">
        <v>49.490957968219</v>
      </c>
      <c r="AL2574">
        <v>80.312669764774995</v>
      </c>
      <c r="AM2574">
        <v>93.788559940931904</v>
      </c>
      <c r="AN2574">
        <v>0.99999995414690401</v>
      </c>
    </row>
    <row r="2575" spans="1:40" x14ac:dyDescent="0.25">
      <c r="A2575" t="str">
        <f>"20190304155417779"</f>
        <v>20190304155417779</v>
      </c>
      <c r="B2575" t="str">
        <f>"1551686057768896"</f>
        <v>1551686057768896</v>
      </c>
      <c r="C2575" t="s">
        <v>40</v>
      </c>
      <c r="D2575">
        <v>4.6464489999999996</v>
      </c>
      <c r="E2575">
        <v>0.52925149999999999</v>
      </c>
      <c r="F2575" t="s">
        <v>65</v>
      </c>
      <c r="G2575">
        <v>-311.37419999999997</v>
      </c>
      <c r="H2575" s="1">
        <v>1.515035E-6</v>
      </c>
      <c r="I2575">
        <v>213.0318</v>
      </c>
      <c r="J2575">
        <v>-358.39710000000002</v>
      </c>
      <c r="K2575">
        <v>1.1097399999999999</v>
      </c>
      <c r="L2575">
        <v>214.80770000000001</v>
      </c>
      <c r="M2575">
        <v>0.99992769999999997</v>
      </c>
      <c r="N2575">
        <v>-1.126686E-2</v>
      </c>
      <c r="O2575">
        <v>4.2346220000000004E-3</v>
      </c>
      <c r="P2575">
        <v>0.98509720000000001</v>
      </c>
      <c r="Q2575">
        <v>0.15705720000000001</v>
      </c>
      <c r="R2575">
        <v>7.0120859999999993E-2</v>
      </c>
      <c r="S2575">
        <v>3.064819</v>
      </c>
      <c r="T2575">
        <v>-7.1739549999999999E-2</v>
      </c>
      <c r="U2575">
        <v>-0.11470030000000001</v>
      </c>
      <c r="V2575">
        <v>-6.5944760000000005E-2</v>
      </c>
      <c r="W2575">
        <v>0.1681511</v>
      </c>
      <c r="X2575">
        <v>0.98355300000000001</v>
      </c>
      <c r="Y2575">
        <v>4.1613049999999999E-2</v>
      </c>
      <c r="Z2575">
        <v>-7.7273520000000005E-4</v>
      </c>
      <c r="AA2575">
        <v>0.99913350000000001</v>
      </c>
      <c r="AB2575">
        <v>38</v>
      </c>
      <c r="AC2575">
        <v>47.0229</v>
      </c>
      <c r="AD2575">
        <v>-1.109738484965</v>
      </c>
      <c r="AE2575">
        <v>-1.7759</v>
      </c>
      <c r="AF2575">
        <v>1.9739230675610899</v>
      </c>
      <c r="AG2575">
        <v>-1.109738484965</v>
      </c>
      <c r="AH2575">
        <v>46.9888240669409</v>
      </c>
      <c r="AI2575">
        <v>91.3517153870106</v>
      </c>
      <c r="AJ2575">
        <v>87.594513042345596</v>
      </c>
      <c r="AK2575">
        <v>47.043357437321497</v>
      </c>
      <c r="AL2575">
        <v>80.3196625664458</v>
      </c>
      <c r="AM2575">
        <v>93.835797311111406</v>
      </c>
      <c r="AN2575">
        <v>1.0000000038058301</v>
      </c>
    </row>
    <row r="2576" spans="1:40" x14ac:dyDescent="0.25">
      <c r="A2576" t="str">
        <f>"20190304155417804"</f>
        <v>20190304155417804</v>
      </c>
      <c r="B2576" t="str">
        <f>"1551686057799205"</f>
        <v>1551686057799205</v>
      </c>
      <c r="C2576" t="s">
        <v>40</v>
      </c>
      <c r="D2576">
        <v>4.6166549999999997</v>
      </c>
      <c r="E2576">
        <v>0.52931930000000005</v>
      </c>
      <c r="F2576" t="s">
        <v>65</v>
      </c>
      <c r="G2576">
        <v>-317.31810000000002</v>
      </c>
      <c r="H2576" s="1">
        <v>4.1509219999999997E-6</v>
      </c>
      <c r="I2576">
        <v>214.41759999999999</v>
      </c>
      <c r="J2576">
        <v>-358.00290000000001</v>
      </c>
      <c r="K2576">
        <v>1.109737</v>
      </c>
      <c r="L2576">
        <v>214.80940000000001</v>
      </c>
      <c r="M2576">
        <v>0.99992740000000002</v>
      </c>
      <c r="N2576">
        <v>-1.1282159999999999E-2</v>
      </c>
      <c r="O2576">
        <v>4.2418070000000002E-3</v>
      </c>
      <c r="P2576">
        <v>0.98514699999999999</v>
      </c>
      <c r="Q2576">
        <v>0.15666529999999901</v>
      </c>
      <c r="R2576">
        <v>7.0296090000000006E-2</v>
      </c>
      <c r="S2576">
        <v>3.060638</v>
      </c>
      <c r="T2576">
        <v>-8.2682130000000006E-2</v>
      </c>
      <c r="U2576">
        <v>-2.9067989999999998E-2</v>
      </c>
      <c r="V2576">
        <v>-6.6112729999999995E-2</v>
      </c>
      <c r="W2576">
        <v>0.1677746</v>
      </c>
      <c r="X2576">
        <v>0.98360599999999998</v>
      </c>
      <c r="Y2576">
        <v>1.3731109999999999E-2</v>
      </c>
      <c r="Z2576">
        <v>-3.2963110000000002E-4</v>
      </c>
      <c r="AA2576">
        <v>0.99990559999999995</v>
      </c>
      <c r="AB2576">
        <v>38</v>
      </c>
      <c r="AC2576">
        <v>40.684800000000003</v>
      </c>
      <c r="AD2576">
        <v>-1.1097328490780001</v>
      </c>
      <c r="AE2576">
        <v>-0.39180000000001702</v>
      </c>
      <c r="AF2576">
        <v>0.56396497063875095</v>
      </c>
      <c r="AG2576">
        <v>-1.1097328490780001</v>
      </c>
      <c r="AH2576">
        <v>40.652529239170399</v>
      </c>
      <c r="AI2576">
        <v>91.563521637546003</v>
      </c>
      <c r="AJ2576">
        <v>89.205197301755504</v>
      </c>
      <c r="AK2576">
        <v>40.671583409378499</v>
      </c>
      <c r="AL2576">
        <v>80.341545138312298</v>
      </c>
      <c r="AM2576">
        <v>93.845331725647299</v>
      </c>
      <c r="AN2576">
        <v>0.99999998635460596</v>
      </c>
    </row>
    <row r="2577" spans="1:40" x14ac:dyDescent="0.25">
      <c r="A2577" t="str">
        <f>"20190304155417825"</f>
        <v>20190304155417825</v>
      </c>
      <c r="B2577" t="str">
        <f>"1551686057819701"</f>
        <v>1551686057819701</v>
      </c>
      <c r="C2577" t="s">
        <v>40</v>
      </c>
      <c r="D2577">
        <v>4.6987779999999999</v>
      </c>
      <c r="E2577">
        <v>0.53695340000000003</v>
      </c>
      <c r="F2577" t="s">
        <v>65</v>
      </c>
      <c r="G2577">
        <v>-315.38780000000003</v>
      </c>
      <c r="H2577" s="1">
        <v>3.2949150000000002E-6</v>
      </c>
      <c r="I2577">
        <v>214.4014</v>
      </c>
      <c r="J2577">
        <v>-357.62670000000003</v>
      </c>
      <c r="K2577">
        <v>1.1097399999999999</v>
      </c>
      <c r="L2577">
        <v>214.81100000000001</v>
      </c>
      <c r="M2577">
        <v>0.99992720000000002</v>
      </c>
      <c r="N2577">
        <v>-1.129495E-2</v>
      </c>
      <c r="O2577">
        <v>4.2482930000000002E-3</v>
      </c>
      <c r="P2577">
        <v>0.9852611</v>
      </c>
      <c r="Q2577">
        <v>0.1559584</v>
      </c>
      <c r="R2577">
        <v>7.0268860000000002E-2</v>
      </c>
      <c r="S2577">
        <v>3.0599669999999999</v>
      </c>
      <c r="T2577">
        <v>-7.9684260000000007E-2</v>
      </c>
      <c r="U2577">
        <v>-2.9296880000000001E-2</v>
      </c>
      <c r="V2577">
        <v>-6.6078890000000001E-2</v>
      </c>
      <c r="W2577">
        <v>0.16708210000000001</v>
      </c>
      <c r="X2577">
        <v>0.98372610000000005</v>
      </c>
      <c r="Y2577">
        <v>1.381491E-2</v>
      </c>
      <c r="Z2577">
        <v>-3.2051269999999998E-4</v>
      </c>
      <c r="AA2577">
        <v>0.99990449999999997</v>
      </c>
      <c r="AB2577">
        <v>38</v>
      </c>
      <c r="AC2577">
        <v>42.238900000000001</v>
      </c>
      <c r="AD2577">
        <v>-1.109736705085</v>
      </c>
      <c r="AE2577">
        <v>-0.40959999999998298</v>
      </c>
      <c r="AF2577">
        <v>0.58864468972629502</v>
      </c>
      <c r="AG2577">
        <v>-1.109736705085</v>
      </c>
      <c r="AH2577">
        <v>42.207646929378903</v>
      </c>
      <c r="AI2577">
        <v>91.505945261452894</v>
      </c>
      <c r="AJ2577">
        <v>89.200981992240997</v>
      </c>
      <c r="AK2577">
        <v>42.2263363014182</v>
      </c>
      <c r="AL2577">
        <v>80.381790148668799</v>
      </c>
      <c r="AM2577">
        <v>93.842901562753497</v>
      </c>
      <c r="AN2577">
        <v>0.99999994383262403</v>
      </c>
    </row>
    <row r="2578" spans="1:40" x14ac:dyDescent="0.25">
      <c r="A2578" t="str">
        <f>"20190304155417845"</f>
        <v>20190304155417845</v>
      </c>
      <c r="B2578" t="str">
        <f>"1551686057839221"</f>
        <v>1551686057839221</v>
      </c>
      <c r="C2578" t="s">
        <v>40</v>
      </c>
      <c r="D2578">
        <v>4.6576409999999999</v>
      </c>
      <c r="E2578">
        <v>0.53681279999999998</v>
      </c>
      <c r="F2578" t="s">
        <v>63</v>
      </c>
      <c r="G2578">
        <v>-327.17320000000001</v>
      </c>
      <c r="H2578" s="1">
        <v>2.2804499999999999E-6</v>
      </c>
      <c r="I2578">
        <v>213.9085</v>
      </c>
      <c r="J2578">
        <v>-357.28149999999999</v>
      </c>
      <c r="K2578">
        <v>1.1097330000000001</v>
      </c>
      <c r="L2578">
        <v>214.8125</v>
      </c>
      <c r="M2578">
        <v>0.99992709999999996</v>
      </c>
      <c r="N2578">
        <v>-1.130547E-2</v>
      </c>
      <c r="O2578">
        <v>4.2546090000000003E-3</v>
      </c>
      <c r="P2578">
        <v>0.98538769999999998</v>
      </c>
      <c r="Q2578">
        <v>0.1554507</v>
      </c>
      <c r="R2578">
        <v>6.9615419999999997E-2</v>
      </c>
      <c r="S2578">
        <v>3.069061</v>
      </c>
      <c r="T2578">
        <v>-0.11183800000000001</v>
      </c>
      <c r="U2578">
        <v>-9.0957640000000006E-2</v>
      </c>
      <c r="V2578">
        <v>-6.5418359999999995E-2</v>
      </c>
      <c r="W2578">
        <v>0.1665856</v>
      </c>
      <c r="X2578">
        <v>0.98385449999999997</v>
      </c>
      <c r="Y2578">
        <v>3.3845939999999998E-2</v>
      </c>
      <c r="Z2578">
        <v>-9.146712E-4</v>
      </c>
      <c r="AA2578">
        <v>0.9994267</v>
      </c>
      <c r="AB2578">
        <v>38</v>
      </c>
      <c r="AC2578">
        <v>30.1082999999999</v>
      </c>
      <c r="AD2578">
        <v>-1.1097307195499999</v>
      </c>
      <c r="AE2578">
        <v>-0.90399999999999603</v>
      </c>
      <c r="AF2578">
        <v>1.0307000856419399</v>
      </c>
      <c r="AG2578">
        <v>-1.1097307195499999</v>
      </c>
      <c r="AH2578">
        <v>30.063376442558798</v>
      </c>
      <c r="AI2578">
        <v>92.1127615951347</v>
      </c>
      <c r="AJ2578">
        <v>88.036426699159406</v>
      </c>
      <c r="AK2578">
        <v>30.101502422029601</v>
      </c>
      <c r="AL2578">
        <v>80.410642410370599</v>
      </c>
      <c r="AM2578">
        <v>93.804105921642204</v>
      </c>
      <c r="AN2578">
        <v>1.0000000005613401</v>
      </c>
    </row>
    <row r="2579" spans="1:40" x14ac:dyDescent="0.25">
      <c r="A2579" t="str">
        <f>"20190304155417869"</f>
        <v>20190304155417869</v>
      </c>
      <c r="B2579" t="str">
        <f>"1551686057859717"</f>
        <v>1551686057859717</v>
      </c>
      <c r="C2579" t="s">
        <v>40</v>
      </c>
      <c r="D2579">
        <v>4.6085739999999999</v>
      </c>
      <c r="E2579">
        <v>0.53125690000000003</v>
      </c>
      <c r="F2579" t="s">
        <v>63</v>
      </c>
      <c r="G2579">
        <v>-327.41730000000001</v>
      </c>
      <c r="H2579" s="1">
        <v>2.410339E-6</v>
      </c>
      <c r="I2579">
        <v>213.91679999999999</v>
      </c>
      <c r="J2579">
        <v>-356.87709999999998</v>
      </c>
      <c r="K2579">
        <v>1.1097379999999999</v>
      </c>
      <c r="L2579">
        <v>214.8142</v>
      </c>
      <c r="M2579">
        <v>0.99992700000000001</v>
      </c>
      <c r="N2579">
        <v>-1.131647E-2</v>
      </c>
      <c r="O2579">
        <v>4.2617569999999997E-3</v>
      </c>
      <c r="P2579">
        <v>0.98547609999999997</v>
      </c>
      <c r="Q2579">
        <v>0.1550193</v>
      </c>
      <c r="R2579">
        <v>6.9326330000000005E-2</v>
      </c>
      <c r="S2579">
        <v>3.0689389999999999</v>
      </c>
      <c r="T2579">
        <v>-0.1140394</v>
      </c>
      <c r="U2579">
        <v>-9.2041020000000001E-2</v>
      </c>
      <c r="V2579">
        <v>-6.5121819999999997E-2</v>
      </c>
      <c r="W2579">
        <v>0.16616619999999999</v>
      </c>
      <c r="X2579">
        <v>0.98394510000000002</v>
      </c>
      <c r="Y2579">
        <v>3.4205310000000003E-2</v>
      </c>
      <c r="Z2579">
        <v>-9.38907E-4</v>
      </c>
      <c r="AA2579">
        <v>0.99941440000000004</v>
      </c>
      <c r="AB2579">
        <v>38</v>
      </c>
      <c r="AC2579">
        <v>29.459799999999898</v>
      </c>
      <c r="AD2579">
        <v>-1.1097355896609999</v>
      </c>
      <c r="AE2579">
        <v>-0.89740000000000397</v>
      </c>
      <c r="AF2579">
        <v>1.0215022256913</v>
      </c>
      <c r="AG2579">
        <v>-1.1097355896609999</v>
      </c>
      <c r="AH2579">
        <v>29.414008186873499</v>
      </c>
      <c r="AI2579">
        <v>92.159337450604795</v>
      </c>
      <c r="AJ2579">
        <v>88.011007084359804</v>
      </c>
      <c r="AK2579">
        <v>29.4526545067421</v>
      </c>
      <c r="AL2579">
        <v>80.435011990800405</v>
      </c>
      <c r="AM2579">
        <v>93.786564603500594</v>
      </c>
      <c r="AN2579">
        <v>1.0000000086382801</v>
      </c>
    </row>
    <row r="2580" spans="1:40" x14ac:dyDescent="0.25">
      <c r="A2580" t="str">
        <f>"20190304155417890"</f>
        <v>20190304155417890</v>
      </c>
      <c r="B2580" t="str">
        <f>"1551686057879242"</f>
        <v>1551686057879242</v>
      </c>
      <c r="C2580" t="s">
        <v>40</v>
      </c>
      <c r="D2580">
        <v>4.6297199999999998</v>
      </c>
      <c r="E2580">
        <v>0.53051740000000003</v>
      </c>
      <c r="F2580" t="s">
        <v>65</v>
      </c>
      <c r="G2580">
        <v>-313.9871</v>
      </c>
      <c r="H2580" s="1">
        <v>2.6737509999999998E-6</v>
      </c>
      <c r="I2580">
        <v>214.12860000000001</v>
      </c>
      <c r="J2580">
        <v>-356.51199999999898</v>
      </c>
      <c r="K2580">
        <v>1.1097410000000001</v>
      </c>
      <c r="L2580">
        <v>214.8158</v>
      </c>
      <c r="M2580">
        <v>0.99992689999999995</v>
      </c>
      <c r="N2580">
        <v>-1.132551E-2</v>
      </c>
      <c r="O2580">
        <v>4.2684400000000001E-3</v>
      </c>
      <c r="P2580">
        <v>0.98547790000000002</v>
      </c>
      <c r="Q2580">
        <v>0.15503919999999999</v>
      </c>
      <c r="R2580">
        <v>6.9255709999999998E-2</v>
      </c>
      <c r="S2580">
        <v>3.0600890000000001</v>
      </c>
      <c r="T2580">
        <v>-7.9176659999999996E-2</v>
      </c>
      <c r="U2580">
        <v>-4.891968E-2</v>
      </c>
      <c r="V2580">
        <v>-6.5044560000000001E-2</v>
      </c>
      <c r="W2580">
        <v>0.16619489999999901</v>
      </c>
      <c r="X2580">
        <v>0.98394539999999997</v>
      </c>
      <c r="Y2580">
        <v>2.024215E-2</v>
      </c>
      <c r="Z2580">
        <v>-4.385576E-4</v>
      </c>
      <c r="AA2580">
        <v>0.99979499999999999</v>
      </c>
      <c r="AB2580">
        <v>38</v>
      </c>
      <c r="AC2580">
        <v>42.524899999999903</v>
      </c>
      <c r="AD2580">
        <v>-1.1097383262489999</v>
      </c>
      <c r="AE2580">
        <v>-0.68719999999999004</v>
      </c>
      <c r="AF2580">
        <v>0.86812928704498904</v>
      </c>
      <c r="AG2580">
        <v>-1.1097383262489999</v>
      </c>
      <c r="AH2580">
        <v>42.492648660491398</v>
      </c>
      <c r="AI2580">
        <v>91.495684982927997</v>
      </c>
      <c r="AJ2580">
        <v>88.829604009478004</v>
      </c>
      <c r="AK2580">
        <v>42.516001197146103</v>
      </c>
      <c r="AL2580">
        <v>80.433344764806407</v>
      </c>
      <c r="AM2580">
        <v>93.782084150134196</v>
      </c>
      <c r="AN2580">
        <v>1.0000000448763799</v>
      </c>
    </row>
    <row r="2581" spans="1:40" x14ac:dyDescent="0.25">
      <c r="A2581" t="str">
        <f>"20190304155417912"</f>
        <v>20190304155417912</v>
      </c>
      <c r="B2581" t="str">
        <f>"1551686057909493"</f>
        <v>1551686057909493</v>
      </c>
      <c r="C2581" t="s">
        <v>40</v>
      </c>
      <c r="D2581">
        <v>4.8020420000000001</v>
      </c>
      <c r="E2581">
        <v>0.52884189999999998</v>
      </c>
      <c r="F2581" t="s">
        <v>65</v>
      </c>
      <c r="G2581">
        <v>-313.61110000000002</v>
      </c>
      <c r="H2581" s="1">
        <v>2.5070139999999998E-6</v>
      </c>
      <c r="I2581">
        <v>214.20930000000001</v>
      </c>
      <c r="J2581">
        <v>-356.13940000000002</v>
      </c>
      <c r="K2581">
        <v>1.1097410000000001</v>
      </c>
      <c r="L2581">
        <v>214.81739999999999</v>
      </c>
      <c r="M2581">
        <v>0.99992669999999995</v>
      </c>
      <c r="N2581">
        <v>-1.1333879999999999E-2</v>
      </c>
      <c r="O2581">
        <v>4.2749499999999996E-3</v>
      </c>
      <c r="P2581">
        <v>0.98548360000000002</v>
      </c>
      <c r="Q2581">
        <v>0.15490799999999999</v>
      </c>
      <c r="R2581">
        <v>6.9466169999999994E-2</v>
      </c>
      <c r="S2581">
        <v>3.0596619999999999</v>
      </c>
      <c r="T2581">
        <v>-7.9145670000000001E-2</v>
      </c>
      <c r="U2581">
        <v>-4.3258669999999999E-2</v>
      </c>
      <c r="V2581">
        <v>-6.5248609999999999E-2</v>
      </c>
      <c r="W2581">
        <v>0.1660721</v>
      </c>
      <c r="X2581">
        <v>0.98395259999999996</v>
      </c>
      <c r="Y2581">
        <v>1.840234E-2</v>
      </c>
      <c r="Z2581">
        <v>-4.0439030000000002E-4</v>
      </c>
      <c r="AA2581">
        <v>0.99983060000000001</v>
      </c>
      <c r="AB2581">
        <v>38</v>
      </c>
      <c r="AC2581">
        <v>42.528300000000002</v>
      </c>
      <c r="AD2581">
        <v>-1.1097384929859999</v>
      </c>
      <c r="AE2581">
        <v>-0.60809999999997899</v>
      </c>
      <c r="AF2581">
        <v>0.78937508653405697</v>
      </c>
      <c r="AG2581">
        <v>-1.1097384929859999</v>
      </c>
      <c r="AH2581">
        <v>42.496381578529203</v>
      </c>
      <c r="AI2581">
        <v>91.495607945705601</v>
      </c>
      <c r="AJ2581">
        <v>88.935846804385903</v>
      </c>
      <c r="AK2581">
        <v>42.518197043360303</v>
      </c>
      <c r="AL2581">
        <v>80.440479612701594</v>
      </c>
      <c r="AM2581">
        <v>93.793886573787006</v>
      </c>
      <c r="AN2581">
        <v>1.00000002127605</v>
      </c>
    </row>
    <row r="2582" spans="1:40" x14ac:dyDescent="0.25">
      <c r="A2582" t="str">
        <f>"20190304155417934"</f>
        <v>20190304155417934</v>
      </c>
      <c r="B2582" t="str">
        <f>"1551686057929015"</f>
        <v>1551686057929015</v>
      </c>
      <c r="C2582" t="s">
        <v>40</v>
      </c>
      <c r="D2582">
        <v>4.2753110000000003</v>
      </c>
      <c r="E2582">
        <v>0.53077050000000003</v>
      </c>
      <c r="F2582" t="s">
        <v>65</v>
      </c>
      <c r="G2582">
        <v>-315.95440000000002</v>
      </c>
      <c r="H2582" s="1">
        <v>3.5461709999999999E-6</v>
      </c>
      <c r="I2582">
        <v>214.42400000000001</v>
      </c>
      <c r="J2582">
        <v>-355.75920000000002</v>
      </c>
      <c r="K2582">
        <v>1.1097410000000001</v>
      </c>
      <c r="L2582">
        <v>214.81899999999999</v>
      </c>
      <c r="M2582">
        <v>0.99992650000000005</v>
      </c>
      <c r="N2582">
        <v>-1.13414E-2</v>
      </c>
      <c r="O2582">
        <v>4.2814649999999999E-3</v>
      </c>
      <c r="P2582">
        <v>0.98541000000000001</v>
      </c>
      <c r="Q2582">
        <v>0.1551874</v>
      </c>
      <c r="R2582">
        <v>6.9886779999999996E-2</v>
      </c>
      <c r="S2582">
        <v>3.0595400000000001</v>
      </c>
      <c r="T2582">
        <v>-8.4491369999999996E-2</v>
      </c>
      <c r="U2582">
        <v>-2.9953E-2</v>
      </c>
      <c r="V2582">
        <v>-6.5662979999999996E-2</v>
      </c>
      <c r="W2582">
        <v>0.16635800000000001</v>
      </c>
      <c r="X2582">
        <v>0.98387670000000005</v>
      </c>
      <c r="Y2582">
        <v>1.406288E-2</v>
      </c>
      <c r="Z2582">
        <v>-3.4356700000000003E-4</v>
      </c>
      <c r="AA2582">
        <v>0.99990109999999999</v>
      </c>
      <c r="AB2582">
        <v>38</v>
      </c>
      <c r="AC2582">
        <v>39.8048</v>
      </c>
      <c r="AD2582">
        <v>-1.1097374538289999</v>
      </c>
      <c r="AE2582">
        <v>-0.39500000000001001</v>
      </c>
      <c r="AF2582">
        <v>0.56499109680742199</v>
      </c>
      <c r="AG2582">
        <v>-1.1097374538289999</v>
      </c>
      <c r="AH2582">
        <v>39.771833589378502</v>
      </c>
      <c r="AI2582">
        <v>91.598125197277497</v>
      </c>
      <c r="AJ2582">
        <v>89.1861218086365</v>
      </c>
      <c r="AK2582">
        <v>39.791324170189696</v>
      </c>
      <c r="AL2582">
        <v>80.4238673282386</v>
      </c>
      <c r="AM2582">
        <v>93.818202779673399</v>
      </c>
      <c r="AN2582">
        <v>0.99999998595468498</v>
      </c>
    </row>
    <row r="2583" spans="1:40" x14ac:dyDescent="0.25">
      <c r="A2583" t="str">
        <f>"20190304155418004"</f>
        <v>20190304155418004</v>
      </c>
      <c r="B2583" t="str">
        <f>"1551686057999285"</f>
        <v>1551686057999285</v>
      </c>
      <c r="C2583" t="s">
        <v>40</v>
      </c>
      <c r="D2583">
        <v>4.6365030000000003</v>
      </c>
      <c r="E2583">
        <v>0.53272719999999996</v>
      </c>
      <c r="F2583" t="s">
        <v>65</v>
      </c>
      <c r="G2583">
        <v>-315.18450000000001</v>
      </c>
      <c r="H2583" s="1">
        <v>3.2047610000000002E-6</v>
      </c>
      <c r="I2583">
        <v>214.23099999999999</v>
      </c>
      <c r="J2583">
        <v>-354.59500000000003</v>
      </c>
      <c r="K2583">
        <v>1.1097239999999999</v>
      </c>
      <c r="L2583">
        <v>214.82409999999999</v>
      </c>
      <c r="M2583">
        <v>0.99992630000000005</v>
      </c>
      <c r="N2583">
        <v>-1.136066E-2</v>
      </c>
      <c r="O2583">
        <v>4.3027489999999998E-3</v>
      </c>
      <c r="P2583">
        <v>0.98559370000000002</v>
      </c>
      <c r="Q2583">
        <v>0.15390879999999901</v>
      </c>
      <c r="R2583">
        <v>7.0127110000000006E-2</v>
      </c>
      <c r="S2583">
        <v>3.0607600000000001</v>
      </c>
      <c r="T2583">
        <v>-8.3713289999999996E-2</v>
      </c>
      <c r="U2583">
        <v>-4.4357300000000002E-2</v>
      </c>
      <c r="V2583">
        <v>-6.5882120000000002E-2</v>
      </c>
      <c r="W2583">
        <v>0.16510059999999999</v>
      </c>
      <c r="X2583">
        <v>0.98407389999999995</v>
      </c>
      <c r="Y2583">
        <v>1.878268E-2</v>
      </c>
      <c r="Z2583">
        <v>-4.3230459999999999E-4</v>
      </c>
      <c r="AA2583">
        <v>0.99982349999999998</v>
      </c>
      <c r="AB2583">
        <v>38</v>
      </c>
      <c r="AC2583">
        <v>39.410499999999999</v>
      </c>
      <c r="AD2583">
        <v>-1.109720795239</v>
      </c>
      <c r="AE2583">
        <v>-0.59309999999999197</v>
      </c>
      <c r="AF2583">
        <v>0.76207483531008402</v>
      </c>
      <c r="AG2583">
        <v>-1.109720795239</v>
      </c>
      <c r="AH2583">
        <v>39.376369624242699</v>
      </c>
      <c r="AI2583">
        <v>91.614003481746707</v>
      </c>
      <c r="AJ2583">
        <v>88.891258341194799</v>
      </c>
      <c r="AK2583">
        <v>39.399374653450799</v>
      </c>
      <c r="AL2583">
        <v>80.496921916652994</v>
      </c>
      <c r="AM2583">
        <v>93.830142161875401</v>
      </c>
      <c r="AN2583">
        <v>1.00000005125863</v>
      </c>
    </row>
    <row r="2584" spans="1:40" x14ac:dyDescent="0.25">
      <c r="A2584" t="str">
        <f>"20190304155418047"</f>
        <v>20190304155418047</v>
      </c>
      <c r="B2584" t="str">
        <f>"1551686058039302"</f>
        <v>1551686058039302</v>
      </c>
      <c r="C2584" t="s">
        <v>40</v>
      </c>
      <c r="D2584">
        <v>4.5333769999999998</v>
      </c>
      <c r="E2584">
        <v>0.53632809999999997</v>
      </c>
      <c r="F2584" t="s">
        <v>63</v>
      </c>
      <c r="G2584">
        <v>-325.42880000000002</v>
      </c>
      <c r="H2584" s="1">
        <v>1.352139E-6</v>
      </c>
      <c r="I2584">
        <v>214.2508</v>
      </c>
      <c r="J2584">
        <v>-353.85649999999998</v>
      </c>
      <c r="K2584">
        <v>1.10972</v>
      </c>
      <c r="L2584">
        <v>214.8272</v>
      </c>
      <c r="M2584">
        <v>0.99992610000000004</v>
      </c>
      <c r="N2584">
        <v>-1.13705E-2</v>
      </c>
      <c r="O2584">
        <v>4.3158090000000003E-3</v>
      </c>
      <c r="P2584">
        <v>0.98571920000000002</v>
      </c>
      <c r="Q2584">
        <v>0.15271419999999999</v>
      </c>
      <c r="R2584">
        <v>7.0968059999999999E-2</v>
      </c>
      <c r="S2584">
        <v>3.0663450000000001</v>
      </c>
      <c r="T2584">
        <v>-0.1166691</v>
      </c>
      <c r="U2584">
        <v>-6.0272220000000001E-2</v>
      </c>
      <c r="V2584">
        <v>-6.6709560000000001E-2</v>
      </c>
      <c r="W2584">
        <v>0.1639177</v>
      </c>
      <c r="X2584">
        <v>0.98421590000000003</v>
      </c>
      <c r="Y2584">
        <v>2.3943289999999999E-2</v>
      </c>
      <c r="Z2584">
        <v>-7.0657450000000002E-4</v>
      </c>
      <c r="AA2584">
        <v>0.99971310000000002</v>
      </c>
      <c r="AB2584">
        <v>38</v>
      </c>
      <c r="AC2584">
        <v>28.427699999999898</v>
      </c>
      <c r="AD2584">
        <v>-1.1097186478609999</v>
      </c>
      <c r="AE2584">
        <v>-0.57640000000000602</v>
      </c>
      <c r="AF2584">
        <v>0.69802782639027905</v>
      </c>
      <c r="AG2584">
        <v>-1.1097186478609999</v>
      </c>
      <c r="AH2584">
        <v>28.381715707138799</v>
      </c>
      <c r="AI2584">
        <v>92.238435205561004</v>
      </c>
      <c r="AJ2584">
        <v>88.5911356478409</v>
      </c>
      <c r="AK2584">
        <v>28.411978192387</v>
      </c>
      <c r="AL2584">
        <v>80.5656333108806</v>
      </c>
      <c r="AM2584">
        <v>93.877542759408101</v>
      </c>
      <c r="AN2584">
        <v>1.00000005779074</v>
      </c>
    </row>
    <row r="2585" spans="1:40" x14ac:dyDescent="0.25">
      <c r="A2585" t="str">
        <f>"20190304155418081"</f>
        <v>20190304155418081</v>
      </c>
      <c r="B2585" t="str">
        <f>"1551686058069557"</f>
        <v>1551686058069557</v>
      </c>
      <c r="C2585" t="s">
        <v>40</v>
      </c>
      <c r="D2585">
        <v>4.7791050000000004</v>
      </c>
      <c r="E2585">
        <v>0.53274670000000002</v>
      </c>
      <c r="F2585" t="s">
        <v>63</v>
      </c>
      <c r="G2585">
        <v>-323.72239999999999</v>
      </c>
      <c r="H2585" s="1">
        <v>4.440752E-7</v>
      </c>
      <c r="I2585">
        <v>213.98079999999999</v>
      </c>
      <c r="J2585">
        <v>-353.27879999999999</v>
      </c>
      <c r="K2585">
        <v>1.1097129999999999</v>
      </c>
      <c r="L2585">
        <v>214.82980000000001</v>
      </c>
      <c r="M2585">
        <v>0.99992599999999998</v>
      </c>
      <c r="N2585">
        <v>-1.137723E-2</v>
      </c>
      <c r="O2585">
        <v>4.3258419999999999E-3</v>
      </c>
      <c r="P2585">
        <v>0.98587939999999996</v>
      </c>
      <c r="Q2585">
        <v>0.1515852</v>
      </c>
      <c r="R2585">
        <v>7.1161039999999995E-2</v>
      </c>
      <c r="S2585">
        <v>3.0671390000000001</v>
      </c>
      <c r="T2585">
        <v>-0.1129503</v>
      </c>
      <c r="U2585">
        <v>-8.6151119999999998E-2</v>
      </c>
      <c r="V2585">
        <v>-6.689204E-2</v>
      </c>
      <c r="W2585">
        <v>0.16279669999999999</v>
      </c>
      <c r="X2585">
        <v>0.98438950000000003</v>
      </c>
      <c r="Y2585">
        <v>3.2371400000000002E-2</v>
      </c>
      <c r="Z2585">
        <v>-8.90031E-4</v>
      </c>
      <c r="AA2585">
        <v>0.99947549999999996</v>
      </c>
      <c r="AB2585">
        <v>38</v>
      </c>
      <c r="AC2585">
        <v>29.5564</v>
      </c>
      <c r="AD2585">
        <v>-1.1097125559248</v>
      </c>
      <c r="AE2585">
        <v>-0.84900000000001696</v>
      </c>
      <c r="AF2585">
        <v>0.97548266087873403</v>
      </c>
      <c r="AG2585">
        <v>-1.1097125559248</v>
      </c>
      <c r="AH2585">
        <v>29.510884186120499</v>
      </c>
      <c r="AI2585">
        <v>92.152332806123994</v>
      </c>
      <c r="AJ2585">
        <v>88.106776595001605</v>
      </c>
      <c r="AK2585">
        <v>29.547847871293001</v>
      </c>
      <c r="AL2585">
        <v>80.630735855667197</v>
      </c>
      <c r="AM2585">
        <v>93.887433477688006</v>
      </c>
      <c r="AN2585">
        <v>0.99999999912824999</v>
      </c>
    </row>
    <row r="2586" spans="1:40" x14ac:dyDescent="0.25">
      <c r="A2586" t="str">
        <f>"20190304155418102"</f>
        <v>20190304155418102</v>
      </c>
      <c r="B2586" t="str">
        <f>"1551686058099813"</f>
        <v>1551686058099813</v>
      </c>
      <c r="C2586" t="s">
        <v>40</v>
      </c>
      <c r="D2586">
        <v>4.7887120000000003</v>
      </c>
      <c r="E2586">
        <v>0.53047789999999995</v>
      </c>
      <c r="F2586" t="s">
        <v>63</v>
      </c>
      <c r="G2586">
        <v>-323.34800000000001</v>
      </c>
      <c r="H2586" s="1">
        <v>2.4482970000000003E-7</v>
      </c>
      <c r="I2586">
        <v>214.27</v>
      </c>
      <c r="J2586">
        <v>-352.92090000000002</v>
      </c>
      <c r="K2586">
        <v>1.1097189999999999</v>
      </c>
      <c r="L2586">
        <v>214.8313</v>
      </c>
      <c r="M2586">
        <v>0.99992590000000003</v>
      </c>
      <c r="N2586">
        <v>-1.1381E-2</v>
      </c>
      <c r="O2586">
        <v>4.3323770000000001E-3</v>
      </c>
      <c r="P2586">
        <v>0.98591589999999996</v>
      </c>
      <c r="Q2586">
        <v>0.15116450000000001</v>
      </c>
      <c r="R2586">
        <v>7.1550039999999995E-2</v>
      </c>
      <c r="S2586">
        <v>3.064575</v>
      </c>
      <c r="T2586">
        <v>-0.11362170000000001</v>
      </c>
      <c r="U2586">
        <v>-5.7312009999999997E-2</v>
      </c>
      <c r="V2586">
        <v>-6.7274109999999998E-2</v>
      </c>
      <c r="W2586">
        <v>0.16238029999999901</v>
      </c>
      <c r="X2586">
        <v>0.98443219999999998</v>
      </c>
      <c r="Y2586">
        <v>2.300783E-2</v>
      </c>
      <c r="Z2586">
        <v>-6.6860070000000001E-4</v>
      </c>
      <c r="AA2586">
        <v>0.99973509999999999</v>
      </c>
      <c r="AB2586">
        <v>38</v>
      </c>
      <c r="AC2586">
        <v>29.572900000000001</v>
      </c>
      <c r="AD2586">
        <v>-1.1097187551703001</v>
      </c>
      <c r="AE2586">
        <v>-0.56129999999998803</v>
      </c>
      <c r="AF2586">
        <v>0.68845490091543005</v>
      </c>
      <c r="AG2586">
        <v>-1.1097187551703001</v>
      </c>
      <c r="AH2586">
        <v>29.528625790562401</v>
      </c>
      <c r="AI2586">
        <v>92.151642410352196</v>
      </c>
      <c r="AJ2586">
        <v>88.664400587835303</v>
      </c>
      <c r="AK2586">
        <v>29.557489523727099</v>
      </c>
      <c r="AL2586">
        <v>80.654915204798598</v>
      </c>
      <c r="AM2586">
        <v>93.909399775270302</v>
      </c>
      <c r="AN2586">
        <v>0.99999996205061004</v>
      </c>
    </row>
    <row r="2587" spans="1:40" x14ac:dyDescent="0.25">
      <c r="A2587" t="str">
        <f>"20190304155418124"</f>
        <v>20190304155418124</v>
      </c>
      <c r="B2587" t="str">
        <f>"1551686058119334"</f>
        <v>1551686058119334</v>
      </c>
      <c r="C2587" t="s">
        <v>40</v>
      </c>
      <c r="D2587">
        <v>4.7737999999999996</v>
      </c>
      <c r="E2587">
        <v>0.52930869999999997</v>
      </c>
      <c r="F2587" t="s">
        <v>63</v>
      </c>
      <c r="G2587">
        <v>-323.43099999999998</v>
      </c>
      <c r="H2587" s="1">
        <v>2.8902620000000002E-7</v>
      </c>
      <c r="I2587">
        <v>214.46440000000001</v>
      </c>
      <c r="J2587">
        <v>-352.54390000000001</v>
      </c>
      <c r="K2587">
        <v>1.1097220000000001</v>
      </c>
      <c r="L2587">
        <v>214.833</v>
      </c>
      <c r="M2587">
        <v>0.99992590000000003</v>
      </c>
      <c r="N2587">
        <v>-1.1384740000000001E-2</v>
      </c>
      <c r="O2587">
        <v>4.338616E-3</v>
      </c>
      <c r="P2587">
        <v>0.98590679999999997</v>
      </c>
      <c r="Q2587">
        <v>0.15154529999999999</v>
      </c>
      <c r="R2587">
        <v>7.0867780000000005E-2</v>
      </c>
      <c r="S2587">
        <v>3.0632929999999998</v>
      </c>
      <c r="T2587">
        <v>-0.1152734</v>
      </c>
      <c r="U2587">
        <v>-3.8116459999999998E-2</v>
      </c>
      <c r="V2587">
        <v>-6.658588E-2</v>
      </c>
      <c r="W2587">
        <v>0.16276470000000001</v>
      </c>
      <c r="X2587">
        <v>0.9844155</v>
      </c>
      <c r="Y2587">
        <v>1.6763500000000001E-2</v>
      </c>
      <c r="Z2587">
        <v>-5.245804E-4</v>
      </c>
      <c r="AA2587">
        <v>0.99985930000000001</v>
      </c>
      <c r="AB2587">
        <v>38</v>
      </c>
      <c r="AC2587">
        <v>29.1129</v>
      </c>
      <c r="AD2587">
        <v>-1.10972171097379</v>
      </c>
      <c r="AE2587">
        <v>-0.36859999999998599</v>
      </c>
      <c r="AF2587">
        <v>0.49419645678802299</v>
      </c>
      <c r="AG2587">
        <v>-1.10972171097379</v>
      </c>
      <c r="AH2587">
        <v>29.068797263915702</v>
      </c>
      <c r="AI2587">
        <v>92.185929318068403</v>
      </c>
      <c r="AJ2587">
        <v>89.026012551220802</v>
      </c>
      <c r="AK2587">
        <v>29.094169291876</v>
      </c>
      <c r="AL2587">
        <v>80.632593658205707</v>
      </c>
      <c r="AM2587">
        <v>93.869593264529101</v>
      </c>
      <c r="AN2587">
        <v>0.99999995181085599</v>
      </c>
    </row>
    <row r="2588" spans="1:40" x14ac:dyDescent="0.25">
      <c r="A2588" t="str">
        <f>"20190304155418147"</f>
        <v>20190304155418147</v>
      </c>
      <c r="B2588" t="str">
        <f>"1551686058139830"</f>
        <v>1551686058139830</v>
      </c>
      <c r="C2588" t="s">
        <v>40</v>
      </c>
      <c r="D2588">
        <v>4.7850099999999998</v>
      </c>
      <c r="E2588">
        <v>0.52851159999999997</v>
      </c>
      <c r="F2588" t="s">
        <v>63</v>
      </c>
      <c r="G2588">
        <v>-321.75479999999999</v>
      </c>
      <c r="H2588" s="1">
        <v>-6.0297109999999997E-7</v>
      </c>
      <c r="I2588">
        <v>214.5181</v>
      </c>
      <c r="J2588">
        <v>-352.15280000000001</v>
      </c>
      <c r="K2588">
        <v>1.109729</v>
      </c>
      <c r="L2588">
        <v>214.83459999999999</v>
      </c>
      <c r="M2588">
        <v>0.99992570000000003</v>
      </c>
      <c r="N2588">
        <v>-1.138842E-2</v>
      </c>
      <c r="O2588">
        <v>4.3456279999999998E-3</v>
      </c>
      <c r="P2588">
        <v>0.98589420000000005</v>
      </c>
      <c r="Q2588">
        <v>0.15198689999999901</v>
      </c>
      <c r="R2588">
        <v>7.0091109999999998E-2</v>
      </c>
      <c r="S2588">
        <v>3.062103</v>
      </c>
      <c r="T2588">
        <v>-0.1103663</v>
      </c>
      <c r="U2588">
        <v>-3.1311039999999998E-2</v>
      </c>
      <c r="V2588">
        <v>-6.5802689999999997E-2</v>
      </c>
      <c r="W2588">
        <v>0.16320979999999999</v>
      </c>
      <c r="X2588">
        <v>0.98439460000000001</v>
      </c>
      <c r="Y2588">
        <v>1.4556629999999999E-2</v>
      </c>
      <c r="Z2588">
        <v>-4.5226119999999999E-4</v>
      </c>
      <c r="AA2588">
        <v>0.99989399999999995</v>
      </c>
      <c r="AB2588">
        <v>38</v>
      </c>
      <c r="AC2588">
        <v>30.398</v>
      </c>
      <c r="AD2588">
        <v>-1.1097296029710999</v>
      </c>
      <c r="AE2588">
        <v>-0.31649999999999001</v>
      </c>
      <c r="AF2588">
        <v>0.44800696858831102</v>
      </c>
      <c r="AG2588">
        <v>-1.1097296029710999</v>
      </c>
      <c r="AH2588">
        <v>30.355885441713099</v>
      </c>
      <c r="AI2588">
        <v>92.093419624928501</v>
      </c>
      <c r="AJ2588">
        <v>89.154462316321798</v>
      </c>
      <c r="AK2588">
        <v>30.379466601407302</v>
      </c>
      <c r="AL2588">
        <v>80.606746891839705</v>
      </c>
      <c r="AM2588">
        <v>93.824295516029594</v>
      </c>
      <c r="AN2588">
        <v>1.0000000806682099</v>
      </c>
    </row>
    <row r="2589" spans="1:40" x14ac:dyDescent="0.25">
      <c r="A2589" t="str">
        <f>"20190304155418172"</f>
        <v>20190304155418172</v>
      </c>
      <c r="B2589" t="str">
        <f>"1551686058159349"</f>
        <v>1551686058159349</v>
      </c>
      <c r="C2589" t="s">
        <v>40</v>
      </c>
      <c r="D2589">
        <v>4.8014669999999997</v>
      </c>
      <c r="E2589">
        <v>0.52797169999999904</v>
      </c>
      <c r="F2589" t="s">
        <v>65</v>
      </c>
      <c r="G2589">
        <v>-319.83100000000002</v>
      </c>
      <c r="H2589" s="1">
        <v>5.2652729999999997E-6</v>
      </c>
      <c r="I2589">
        <v>214.5488</v>
      </c>
      <c r="J2589">
        <v>-351.74299999999999</v>
      </c>
      <c r="K2589">
        <v>1.1097239999999999</v>
      </c>
      <c r="L2589">
        <v>214.8364</v>
      </c>
      <c r="M2589">
        <v>0.99992579999999998</v>
      </c>
      <c r="N2589">
        <v>-1.1392060000000001E-2</v>
      </c>
      <c r="O2589">
        <v>4.3527000000000001E-3</v>
      </c>
      <c r="P2589">
        <v>0.98586309999999999</v>
      </c>
      <c r="Q2589">
        <v>0.1523457</v>
      </c>
      <c r="R2589">
        <v>6.9750549999999994E-2</v>
      </c>
      <c r="S2589">
        <v>3.0610050000000002</v>
      </c>
      <c r="T2589">
        <v>-0.1050953</v>
      </c>
      <c r="U2589">
        <v>-2.7069090000000001E-2</v>
      </c>
      <c r="V2589">
        <v>-6.5455089999999994E-2</v>
      </c>
      <c r="W2589">
        <v>0.16357189999999999</v>
      </c>
      <c r="X2589">
        <v>0.98435760000000005</v>
      </c>
      <c r="Y2589">
        <v>1.3184100000000001E-2</v>
      </c>
      <c r="Z2589">
        <v>-4.0120820000000003E-4</v>
      </c>
      <c r="AA2589">
        <v>0.99991300000000005</v>
      </c>
      <c r="AB2589">
        <v>38</v>
      </c>
      <c r="AC2589">
        <v>31.911999999999999</v>
      </c>
      <c r="AD2589">
        <v>-1.1097187347269999</v>
      </c>
      <c r="AE2589">
        <v>-0.28759999999999702</v>
      </c>
      <c r="AF2589">
        <v>0.42599453482538302</v>
      </c>
      <c r="AG2589">
        <v>-1.1097187347269999</v>
      </c>
      <c r="AH2589">
        <v>31.8719076150966</v>
      </c>
      <c r="AI2589">
        <v>91.993945707404706</v>
      </c>
      <c r="AJ2589">
        <v>89.2342398845134</v>
      </c>
      <c r="AK2589">
        <v>31.8940659377126</v>
      </c>
      <c r="AL2589">
        <v>80.585716814705606</v>
      </c>
      <c r="AM2589">
        <v>93.804295877403007</v>
      </c>
      <c r="AN2589">
        <v>1.00000000997713</v>
      </c>
    </row>
    <row r="2590" spans="1:40" x14ac:dyDescent="0.25">
      <c r="A2590" t="str">
        <f>"20190304155418195"</f>
        <v>20190304155418195</v>
      </c>
      <c r="B2590" t="str">
        <f>"1551686058189605"</f>
        <v>1551686058189605</v>
      </c>
      <c r="C2590" t="s">
        <v>40</v>
      </c>
      <c r="D2590">
        <v>5.0209330000000003</v>
      </c>
      <c r="E2590">
        <v>0.52713669999999901</v>
      </c>
      <c r="F2590" t="s">
        <v>65</v>
      </c>
      <c r="G2590">
        <v>-318.06139999999999</v>
      </c>
      <c r="H2590" s="1">
        <v>4.4805349999999996E-6</v>
      </c>
      <c r="I2590">
        <v>214.57980000000001</v>
      </c>
      <c r="J2590">
        <v>-351.3383</v>
      </c>
      <c r="K2590">
        <v>1.109726</v>
      </c>
      <c r="L2590">
        <v>214.8382</v>
      </c>
      <c r="M2590">
        <v>0.99992559999999997</v>
      </c>
      <c r="N2590">
        <v>-1.139547E-2</v>
      </c>
      <c r="O2590">
        <v>4.3600699999999997E-3</v>
      </c>
      <c r="P2590">
        <v>0.98576830000000004</v>
      </c>
      <c r="Q2590">
        <v>0.15312719999999999</v>
      </c>
      <c r="R2590">
        <v>6.9376450000000006E-2</v>
      </c>
      <c r="S2590">
        <v>3.0602420000000001</v>
      </c>
      <c r="T2590">
        <v>-0.100826899999999</v>
      </c>
      <c r="U2590">
        <v>-2.3315430000000002E-2</v>
      </c>
      <c r="V2590">
        <v>-6.5074290000000007E-2</v>
      </c>
      <c r="W2590">
        <v>0.1643551</v>
      </c>
      <c r="X2590">
        <v>0.98425240000000003</v>
      </c>
      <c r="Y2590">
        <v>1.1969E-2</v>
      </c>
      <c r="Z2590">
        <v>-3.5927629999999903E-4</v>
      </c>
      <c r="AA2590">
        <v>0.99992829999999999</v>
      </c>
      <c r="AB2590">
        <v>38</v>
      </c>
      <c r="AC2590">
        <v>33.276899999999998</v>
      </c>
      <c r="AD2590">
        <v>-1.1097215194650001</v>
      </c>
      <c r="AE2590">
        <v>-0.25839999999999402</v>
      </c>
      <c r="AF2590">
        <v>0.40304837155289902</v>
      </c>
      <c r="AG2590">
        <v>-1.1097215194650001</v>
      </c>
      <c r="AH2590">
        <v>33.238494772269704</v>
      </c>
      <c r="AI2590">
        <v>91.912062580244395</v>
      </c>
      <c r="AJ2590">
        <v>89.305268212829006</v>
      </c>
      <c r="AK2590">
        <v>33.259456768966899</v>
      </c>
      <c r="AL2590">
        <v>80.540227259075706</v>
      </c>
      <c r="AM2590">
        <v>93.782631023873506</v>
      </c>
      <c r="AN2590">
        <v>1.0000000245103799</v>
      </c>
    </row>
    <row r="2591" spans="1:40" x14ac:dyDescent="0.25">
      <c r="A2591" t="str">
        <f>"20190304155418214"</f>
        <v>20190304155418214</v>
      </c>
      <c r="B2591" t="str">
        <f>"1551686058209126"</f>
        <v>1551686058209126</v>
      </c>
      <c r="C2591" t="s">
        <v>40</v>
      </c>
      <c r="D2591">
        <v>5.0379779999999998</v>
      </c>
      <c r="E2591">
        <v>0.52687109999999904</v>
      </c>
      <c r="F2591" t="s">
        <v>65</v>
      </c>
      <c r="G2591">
        <v>-316.09800000000001</v>
      </c>
      <c r="H2591" s="1">
        <v>3.6098670000000001E-6</v>
      </c>
      <c r="I2591">
        <v>214.63310000000001</v>
      </c>
      <c r="J2591">
        <v>-351.00029999999998</v>
      </c>
      <c r="K2591">
        <v>1.1097330000000001</v>
      </c>
      <c r="L2591">
        <v>214.83969999999999</v>
      </c>
      <c r="M2591">
        <v>0.99992559999999997</v>
      </c>
      <c r="N2591">
        <v>-1.139838E-2</v>
      </c>
      <c r="O2591">
        <v>4.365954E-3</v>
      </c>
      <c r="P2591">
        <v>0.98580650000000003</v>
      </c>
      <c r="Q2591">
        <v>0.15309529999999999</v>
      </c>
      <c r="R2591">
        <v>6.8902779999999997E-2</v>
      </c>
      <c r="S2591">
        <v>3.0595089999999998</v>
      </c>
      <c r="T2591">
        <v>-9.6344470000000001E-2</v>
      </c>
      <c r="U2591">
        <v>-1.7807010000000002E-2</v>
      </c>
      <c r="V2591">
        <v>-6.4594460000000006E-2</v>
      </c>
      <c r="W2591">
        <v>0.1643269</v>
      </c>
      <c r="X2591">
        <v>0.98428870000000002</v>
      </c>
      <c r="Y2591">
        <v>1.017847E-2</v>
      </c>
      <c r="Z2591">
        <v>-3.0594230000000001E-4</v>
      </c>
      <c r="AA2591">
        <v>0.99994810000000001</v>
      </c>
      <c r="AB2591">
        <v>38</v>
      </c>
      <c r="AC2591">
        <v>34.902299999999897</v>
      </c>
      <c r="AD2591">
        <v>-1.1097293901330001</v>
      </c>
      <c r="AE2591">
        <v>-0.20659999999997999</v>
      </c>
      <c r="AF2591">
        <v>0.35862721392418001</v>
      </c>
      <c r="AG2591">
        <v>-1.1097293901330001</v>
      </c>
      <c r="AH2591">
        <v>34.865819171446901</v>
      </c>
      <c r="AI2591">
        <v>91.822931286535507</v>
      </c>
      <c r="AJ2591">
        <v>89.410680670766794</v>
      </c>
      <c r="AK2591">
        <v>34.885318678405703</v>
      </c>
      <c r="AL2591">
        <v>80.541865129139595</v>
      </c>
      <c r="AM2591">
        <v>93.754681523552904</v>
      </c>
      <c r="AN2591">
        <v>1.0000000096369901</v>
      </c>
    </row>
    <row r="2592" spans="1:40" x14ac:dyDescent="0.25">
      <c r="A2592" t="str">
        <f>"20190304155418236"</f>
        <v>20190304155418236</v>
      </c>
      <c r="B2592" t="str">
        <f>"1551686058229622"</f>
        <v>1551686058229622</v>
      </c>
      <c r="C2592" t="s">
        <v>40</v>
      </c>
      <c r="D2592">
        <v>4.9298159999999998</v>
      </c>
      <c r="E2592">
        <v>0.52658879999999997</v>
      </c>
      <c r="F2592" t="s">
        <v>65</v>
      </c>
      <c r="G2592">
        <v>-316.00880000000001</v>
      </c>
      <c r="H2592" s="1">
        <v>3.570311E-6</v>
      </c>
      <c r="I2592">
        <v>214.6498</v>
      </c>
      <c r="J2592">
        <v>-350.63850000000002</v>
      </c>
      <c r="K2592">
        <v>1.109729</v>
      </c>
      <c r="L2592">
        <v>214.84119999999999</v>
      </c>
      <c r="M2592">
        <v>0.99992539999999996</v>
      </c>
      <c r="N2592">
        <v>-1.1401359999999999E-2</v>
      </c>
      <c r="O2592">
        <v>4.3724940000000002E-3</v>
      </c>
      <c r="P2592">
        <v>0.98583549999999998</v>
      </c>
      <c r="Q2592">
        <v>0.15304029999999999</v>
      </c>
      <c r="R2592">
        <v>6.8610299999999999E-2</v>
      </c>
      <c r="S2592">
        <v>3.0594480000000002</v>
      </c>
      <c r="T2592">
        <v>-9.7028139999999999E-2</v>
      </c>
      <c r="U2592">
        <v>-1.6601560000000001E-2</v>
      </c>
      <c r="V2592">
        <v>-6.4295599999999994E-2</v>
      </c>
      <c r="W2592">
        <v>0.1642747</v>
      </c>
      <c r="X2592">
        <v>0.98431690000000005</v>
      </c>
      <c r="Y2592">
        <v>9.7913129999999994E-3</v>
      </c>
      <c r="Z2592">
        <v>-2.9984940000000001E-4</v>
      </c>
      <c r="AA2592">
        <v>0.99995199999999995</v>
      </c>
      <c r="AB2592">
        <v>38</v>
      </c>
      <c r="AC2592">
        <v>34.6297</v>
      </c>
      <c r="AD2592">
        <v>-1.109725429689</v>
      </c>
      <c r="AE2592">
        <v>-0.191399999999987</v>
      </c>
      <c r="AF2592">
        <v>0.34247449370051197</v>
      </c>
      <c r="AG2592">
        <v>-1.109725429689</v>
      </c>
      <c r="AH2592">
        <v>34.593009045319803</v>
      </c>
      <c r="AI2592">
        <v>91.837298213284498</v>
      </c>
      <c r="AJ2592">
        <v>89.432784178557696</v>
      </c>
      <c r="AK2592">
        <v>34.612498524632898</v>
      </c>
      <c r="AL2592">
        <v>80.544896417664205</v>
      </c>
      <c r="AM2592">
        <v>93.737252270407495</v>
      </c>
      <c r="AN2592">
        <v>0.999999930432527</v>
      </c>
    </row>
    <row r="2593" spans="1:40" x14ac:dyDescent="0.25">
      <c r="A2593" t="str">
        <f>"20190304155418270"</f>
        <v>20190304155418270</v>
      </c>
      <c r="B2593" t="str">
        <f>"1551686058258901"</f>
        <v>1551686058258901</v>
      </c>
      <c r="C2593" t="s">
        <v>40</v>
      </c>
      <c r="D2593">
        <v>5.0080150000000003</v>
      </c>
      <c r="E2593">
        <v>0.52609989999999995</v>
      </c>
      <c r="F2593" t="s">
        <v>65</v>
      </c>
      <c r="G2593">
        <v>-315.42959999999999</v>
      </c>
      <c r="H2593" s="1">
        <v>3.3134490000000002E-6</v>
      </c>
      <c r="I2593">
        <v>214.67070000000001</v>
      </c>
      <c r="J2593">
        <v>-350.05500000000001</v>
      </c>
      <c r="K2593">
        <v>1.1097300000000001</v>
      </c>
      <c r="L2593">
        <v>214.84379999999999</v>
      </c>
      <c r="M2593">
        <v>0.99992539999999996</v>
      </c>
      <c r="N2593">
        <v>-1.1405439999999999E-2</v>
      </c>
      <c r="O2593">
        <v>4.3825440000000004E-3</v>
      </c>
      <c r="P2593">
        <v>0.98598600000000003</v>
      </c>
      <c r="Q2593">
        <v>0.15231059999999999</v>
      </c>
      <c r="R2593">
        <v>6.8069439999999995E-2</v>
      </c>
      <c r="S2593">
        <v>3.0590820000000001</v>
      </c>
      <c r="T2593">
        <v>-9.641719E-2</v>
      </c>
      <c r="U2593">
        <v>-1.4816279999999999E-2</v>
      </c>
      <c r="V2593">
        <v>-6.3743869999999994E-2</v>
      </c>
      <c r="W2593">
        <v>0.163550799999999</v>
      </c>
      <c r="X2593">
        <v>0.98447340000000005</v>
      </c>
      <c r="Y2593">
        <v>9.2189290000000007E-3</v>
      </c>
      <c r="Z2593">
        <v>-2.8595580000000001E-4</v>
      </c>
      <c r="AA2593">
        <v>0.9999574</v>
      </c>
      <c r="AB2593">
        <v>38</v>
      </c>
      <c r="AC2593">
        <v>34.625399999999999</v>
      </c>
      <c r="AD2593">
        <v>-1.10972668655099</v>
      </c>
      <c r="AE2593">
        <v>-0.173099999999976</v>
      </c>
      <c r="AF2593">
        <v>0.32452220881280702</v>
      </c>
      <c r="AG2593">
        <v>-1.10972668655099</v>
      </c>
      <c r="AH2593">
        <v>34.588781086405</v>
      </c>
      <c r="AI2593">
        <v>91.837533887550407</v>
      </c>
      <c r="AJ2593">
        <v>89.462449766053993</v>
      </c>
      <c r="AK2593">
        <v>34.608099991564202</v>
      </c>
      <c r="AL2593">
        <v>80.586942260848801</v>
      </c>
      <c r="AM2593">
        <v>93.704684702208198</v>
      </c>
      <c r="AN2593">
        <v>1.0000000102253801</v>
      </c>
    </row>
    <row r="2594" spans="1:40" x14ac:dyDescent="0.25">
      <c r="A2594" t="str">
        <f>"20190304155418292"</f>
        <v>20190304155418292</v>
      </c>
      <c r="B2594" t="str">
        <f>"1551686058289158"</f>
        <v>1551686058289158</v>
      </c>
      <c r="C2594" t="s">
        <v>40</v>
      </c>
      <c r="D2594">
        <v>4.7517680000000002</v>
      </c>
      <c r="E2594">
        <v>0.52557310000000002</v>
      </c>
      <c r="F2594" t="s">
        <v>65</v>
      </c>
      <c r="G2594">
        <v>-316.0514</v>
      </c>
      <c r="H2594" s="1">
        <v>3.5891960000000002E-6</v>
      </c>
      <c r="I2594">
        <v>214.69839999999999</v>
      </c>
      <c r="J2594">
        <v>-349.67320000000001</v>
      </c>
      <c r="K2594">
        <v>1.109729</v>
      </c>
      <c r="L2594">
        <v>214.84549999999999</v>
      </c>
      <c r="M2594">
        <v>0.99992539999999996</v>
      </c>
      <c r="N2594">
        <v>-1.1407860000000001E-2</v>
      </c>
      <c r="O2594">
        <v>4.3894440000000002E-3</v>
      </c>
      <c r="P2594">
        <v>0.9860082</v>
      </c>
      <c r="Q2594">
        <v>0.15222759999999999</v>
      </c>
      <c r="R2594">
        <v>6.7933090000000002E-2</v>
      </c>
      <c r="S2594">
        <v>3.0589599999999999</v>
      </c>
      <c r="T2594">
        <v>-9.9830870000000002E-2</v>
      </c>
      <c r="U2594">
        <v>-1.307678E-2</v>
      </c>
      <c r="V2594">
        <v>-6.3600610000000002E-2</v>
      </c>
      <c r="W2594">
        <v>0.1634708</v>
      </c>
      <c r="X2594">
        <v>0.98449589999999998</v>
      </c>
      <c r="Y2594">
        <v>8.6573129999999998E-3</v>
      </c>
      <c r="Z2594">
        <v>-2.8377639999999999E-4</v>
      </c>
      <c r="AA2594">
        <v>0.99996249999999998</v>
      </c>
      <c r="AB2594">
        <v>38</v>
      </c>
      <c r="AC2594">
        <v>33.6218</v>
      </c>
      <c r="AD2594">
        <v>-1.109725410804</v>
      </c>
      <c r="AE2594">
        <v>-0.14709999999999401</v>
      </c>
      <c r="AF2594">
        <v>0.29436849910213703</v>
      </c>
      <c r="AG2594">
        <v>-1.109725410804</v>
      </c>
      <c r="AH2594">
        <v>33.584244203503701</v>
      </c>
      <c r="AI2594">
        <v>91.892465314723296</v>
      </c>
      <c r="AJ2594">
        <v>89.497810919401203</v>
      </c>
      <c r="AK2594">
        <v>33.603862903261799</v>
      </c>
      <c r="AL2594">
        <v>80.591587963437803</v>
      </c>
      <c r="AM2594">
        <v>93.696297540818094</v>
      </c>
      <c r="AN2594">
        <v>0.99999995858090995</v>
      </c>
    </row>
    <row r="2595" spans="1:40" x14ac:dyDescent="0.25">
      <c r="A2595" t="str">
        <f>"20190304155418314"</f>
        <v>20190304155418314</v>
      </c>
      <c r="B2595" t="str">
        <f>"1551686058309654"</f>
        <v>1551686058309654</v>
      </c>
      <c r="C2595" t="s">
        <v>40</v>
      </c>
      <c r="D2595">
        <v>4.8173190000000004</v>
      </c>
      <c r="E2595">
        <v>0.52516589999999996</v>
      </c>
      <c r="F2595" t="s">
        <v>65</v>
      </c>
      <c r="G2595">
        <v>-315.84519999999998</v>
      </c>
      <c r="H2595" s="1">
        <v>3.4977469999999998E-6</v>
      </c>
      <c r="I2595">
        <v>214.74690000000001</v>
      </c>
      <c r="J2595">
        <v>-349.29199999999997</v>
      </c>
      <c r="K2595">
        <v>1.1097269999999999</v>
      </c>
      <c r="L2595">
        <v>214.84710000000001</v>
      </c>
      <c r="M2595">
        <v>0.99992530000000002</v>
      </c>
      <c r="N2595">
        <v>-1.141024E-2</v>
      </c>
      <c r="O2595">
        <v>4.3963450000000003E-3</v>
      </c>
      <c r="P2595">
        <v>0.98603459999999998</v>
      </c>
      <c r="Q2595">
        <v>0.1519363</v>
      </c>
      <c r="R2595">
        <v>6.820147E-2</v>
      </c>
      <c r="S2595">
        <v>3.0586549999999999</v>
      </c>
      <c r="T2595">
        <v>-0.1003391</v>
      </c>
      <c r="U2595">
        <v>-8.9111329999999999E-3</v>
      </c>
      <c r="V2595">
        <v>-6.3861899999999999E-2</v>
      </c>
      <c r="W2595">
        <v>0.16318199999999999</v>
      </c>
      <c r="X2595">
        <v>0.98452689999999998</v>
      </c>
      <c r="Y2595">
        <v>7.3036859999999898E-3</v>
      </c>
      <c r="Z2595">
        <v>-2.5547770000000002E-4</v>
      </c>
      <c r="AA2595">
        <v>0.99997329999999995</v>
      </c>
      <c r="AB2595">
        <v>38</v>
      </c>
      <c r="AC2595">
        <v>33.446800000000003</v>
      </c>
      <c r="AD2595">
        <v>-1.1097235022530001</v>
      </c>
      <c r="AE2595">
        <v>-0.1002</v>
      </c>
      <c r="AF2595">
        <v>0.24698038607474199</v>
      </c>
      <c r="AG2595">
        <v>-1.1097235022530001</v>
      </c>
      <c r="AH2595">
        <v>33.409258588615401</v>
      </c>
      <c r="AI2595">
        <v>91.902387907178195</v>
      </c>
      <c r="AJ2595">
        <v>89.576444477747799</v>
      </c>
      <c r="AK2595">
        <v>33.428596216466097</v>
      </c>
      <c r="AL2595">
        <v>80.608360234886504</v>
      </c>
      <c r="AM2595">
        <v>93.711324124110803</v>
      </c>
      <c r="AN2595">
        <v>0.99999996210960895</v>
      </c>
    </row>
    <row r="2596" spans="1:40" x14ac:dyDescent="0.25">
      <c r="A2596" t="str">
        <f>"20190304155418336"</f>
        <v>20190304155418336</v>
      </c>
      <c r="B2596" t="str">
        <f>"1551686058329174"</f>
        <v>1551686058329174</v>
      </c>
      <c r="C2596" t="s">
        <v>40</v>
      </c>
      <c r="D2596">
        <v>4.7875360000000002</v>
      </c>
      <c r="E2596">
        <v>0.524949</v>
      </c>
      <c r="F2596" t="s">
        <v>65</v>
      </c>
      <c r="G2596">
        <v>-315.86590000000001</v>
      </c>
      <c r="H2596" s="1">
        <v>3.5069319999999999E-6</v>
      </c>
      <c r="I2596">
        <v>214.79660000000001</v>
      </c>
      <c r="J2596">
        <v>-348.92570000000001</v>
      </c>
      <c r="K2596">
        <v>1.1097239999999999</v>
      </c>
      <c r="L2596">
        <v>214.84870000000001</v>
      </c>
      <c r="M2596">
        <v>0.99992530000000002</v>
      </c>
      <c r="N2596">
        <v>-1.1412530000000001E-2</v>
      </c>
      <c r="O2596">
        <v>4.40253E-3</v>
      </c>
      <c r="P2596">
        <v>0.98606009999999999</v>
      </c>
      <c r="Q2596">
        <v>0.1517136</v>
      </c>
      <c r="R2596">
        <v>6.8327899999999997E-2</v>
      </c>
      <c r="S2596">
        <v>3.0584410000000002</v>
      </c>
      <c r="T2596">
        <v>-0.10153810000000001</v>
      </c>
      <c r="U2596">
        <v>-4.6234129999999998E-3</v>
      </c>
      <c r="V2596">
        <v>-6.3982549999999999E-2</v>
      </c>
      <c r="W2596">
        <v>0.16296179999999999</v>
      </c>
      <c r="X2596">
        <v>0.98455559999999998</v>
      </c>
      <c r="Y2596">
        <v>5.9090649999999998E-3</v>
      </c>
      <c r="Z2596">
        <v>-2.2767729999999999E-4</v>
      </c>
      <c r="AA2596">
        <v>0.9999825</v>
      </c>
      <c r="AB2596">
        <v>38</v>
      </c>
      <c r="AC2596">
        <v>33.059800000000003</v>
      </c>
      <c r="AD2596">
        <v>-1.109720493068</v>
      </c>
      <c r="AE2596">
        <v>-5.2099999999995802E-2</v>
      </c>
      <c r="AF2596">
        <v>0.197433261697818</v>
      </c>
      <c r="AG2596">
        <v>-1.109720493068</v>
      </c>
      <c r="AH2596">
        <v>33.022042757188899</v>
      </c>
      <c r="AI2596">
        <v>91.924691552465305</v>
      </c>
      <c r="AJ2596">
        <v>89.657442214346005</v>
      </c>
      <c r="AK2596">
        <v>33.041273694020497</v>
      </c>
      <c r="AL2596">
        <v>80.6211485088009</v>
      </c>
      <c r="AM2596">
        <v>93.718207942427995</v>
      </c>
      <c r="AN2596">
        <v>1.00000002222755</v>
      </c>
    </row>
    <row r="2597" spans="1:40" x14ac:dyDescent="0.25">
      <c r="A2597" t="str">
        <f>"20190304155418359"</f>
        <v>20190304155418359</v>
      </c>
      <c r="B2597" t="str">
        <f>"1551686058349669"</f>
        <v>1551686058349669</v>
      </c>
      <c r="C2597" t="s">
        <v>40</v>
      </c>
      <c r="D2597">
        <v>4.7506180000000002</v>
      </c>
      <c r="E2597">
        <v>0.52477030000000002</v>
      </c>
      <c r="F2597" t="s">
        <v>65</v>
      </c>
      <c r="G2597">
        <v>-316.0727</v>
      </c>
      <c r="H2597" s="1">
        <v>3.59864E-6</v>
      </c>
      <c r="I2597">
        <v>214.82550000000001</v>
      </c>
      <c r="J2597">
        <v>-348.52460000000002</v>
      </c>
      <c r="K2597">
        <v>1.1097250000000001</v>
      </c>
      <c r="L2597">
        <v>214.85050000000001</v>
      </c>
      <c r="M2597">
        <v>0.99992510000000001</v>
      </c>
      <c r="N2597">
        <v>-1.141498E-2</v>
      </c>
      <c r="O2597">
        <v>4.4094299999999998E-3</v>
      </c>
      <c r="P2597">
        <v>0.98610909999999996</v>
      </c>
      <c r="Q2597">
        <v>0.151370799999999</v>
      </c>
      <c r="R2597">
        <v>6.8379720000000005E-2</v>
      </c>
      <c r="S2597">
        <v>3.0583800000000001</v>
      </c>
      <c r="T2597">
        <v>-0.1033071</v>
      </c>
      <c r="U2597">
        <v>-2.166748E-3</v>
      </c>
      <c r="V2597">
        <v>-6.4027039999999993E-2</v>
      </c>
      <c r="W2597">
        <v>0.16262209999999999</v>
      </c>
      <c r="X2597">
        <v>0.98460879999999995</v>
      </c>
      <c r="Y2597">
        <v>5.1131689999999999E-3</v>
      </c>
      <c r="Z2597">
        <v>-2.1410299999999999E-4</v>
      </c>
      <c r="AA2597">
        <v>0.99998690000000001</v>
      </c>
      <c r="AB2597">
        <v>38</v>
      </c>
      <c r="AC2597">
        <v>32.451900000000002</v>
      </c>
      <c r="AD2597">
        <v>-1.1097214013600001</v>
      </c>
      <c r="AE2597">
        <v>-2.5000000000005601E-2</v>
      </c>
      <c r="AF2597">
        <v>0.167907122029579</v>
      </c>
      <c r="AG2597">
        <v>-1.1097214013600001</v>
      </c>
      <c r="AH2597">
        <v>32.413571170621402</v>
      </c>
      <c r="AI2597">
        <v>91.960804492046805</v>
      </c>
      <c r="AJ2597">
        <v>89.703201990844505</v>
      </c>
      <c r="AK2597">
        <v>32.4329966303332</v>
      </c>
      <c r="AL2597">
        <v>80.640874338174697</v>
      </c>
      <c r="AM2597">
        <v>93.720585647241705</v>
      </c>
      <c r="AN2597">
        <v>0.99999994914850399</v>
      </c>
    </row>
    <row r="2598" spans="1:40" x14ac:dyDescent="0.25">
      <c r="A2598" t="str">
        <f>"20190304155418383"</f>
        <v>20190304155418383</v>
      </c>
      <c r="B2598" t="str">
        <f>"1551686058378949"</f>
        <v>1551686058378949</v>
      </c>
      <c r="C2598" t="s">
        <v>40</v>
      </c>
      <c r="D2598">
        <v>4.8084280000000001</v>
      </c>
      <c r="E2598">
        <v>0.52435509999999996</v>
      </c>
      <c r="F2598" t="s">
        <v>65</v>
      </c>
      <c r="G2598">
        <v>-316.33789999999999</v>
      </c>
      <c r="H2598" s="1">
        <v>3.716258E-6</v>
      </c>
      <c r="I2598">
        <v>214.84909999999999</v>
      </c>
      <c r="J2598">
        <v>-348.13159999999999</v>
      </c>
      <c r="K2598">
        <v>1.109726</v>
      </c>
      <c r="L2598">
        <v>214.85220000000001</v>
      </c>
      <c r="M2598">
        <v>0.99992510000000001</v>
      </c>
      <c r="N2598">
        <v>-1.141752E-2</v>
      </c>
      <c r="O2598">
        <v>4.4164479999999999E-3</v>
      </c>
      <c r="P2598">
        <v>0.986151</v>
      </c>
      <c r="Q2598">
        <v>0.15131129999999901</v>
      </c>
      <c r="R2598">
        <v>6.7905510000000002E-2</v>
      </c>
      <c r="S2598">
        <v>3.0585330000000002</v>
      </c>
      <c r="T2598">
        <v>-0.105451</v>
      </c>
      <c r="U2598">
        <v>-1.3732910000000001E-4</v>
      </c>
      <c r="V2598">
        <v>-6.3545459999999998E-2</v>
      </c>
      <c r="W2598">
        <v>0.1625656</v>
      </c>
      <c r="X2598">
        <v>0.98464940000000001</v>
      </c>
      <c r="Y2598">
        <v>4.4569359999999999E-3</v>
      </c>
      <c r="Z2598">
        <v>-2.040705E-4</v>
      </c>
      <c r="AA2598">
        <v>0.99999000000000005</v>
      </c>
      <c r="AB2598">
        <v>38</v>
      </c>
      <c r="AC2598">
        <v>31.793700000000001</v>
      </c>
      <c r="AD2598">
        <v>-1.109722283742</v>
      </c>
      <c r="AE2598">
        <v>-3.1000000000176399E-3</v>
      </c>
      <c r="AF2598">
        <v>0.14334970092791699</v>
      </c>
      <c r="AG2598">
        <v>-1.109722283742</v>
      </c>
      <c r="AH2598">
        <v>31.754690151815598</v>
      </c>
      <c r="AI2598">
        <v>92.001464698320206</v>
      </c>
      <c r="AJ2598">
        <v>89.741352315940503</v>
      </c>
      <c r="AK2598">
        <v>31.774398174026899</v>
      </c>
      <c r="AL2598">
        <v>80.644155880334793</v>
      </c>
      <c r="AM2598">
        <v>93.692527108367798</v>
      </c>
      <c r="AN2598">
        <v>1.00000002035516</v>
      </c>
    </row>
    <row r="2599" spans="1:40" x14ac:dyDescent="0.25">
      <c r="A2599" t="str">
        <f>"20190304155418407"</f>
        <v>20190304155418407</v>
      </c>
      <c r="B2599" t="str">
        <f>"1551686058398977"</f>
        <v>1551686058398977</v>
      </c>
      <c r="C2599" t="s">
        <v>40</v>
      </c>
      <c r="D2599">
        <v>4.7756249999999998</v>
      </c>
      <c r="E2599">
        <v>0.52411009999999902</v>
      </c>
      <c r="F2599" t="s">
        <v>65</v>
      </c>
      <c r="G2599">
        <v>-316.33179999999999</v>
      </c>
      <c r="H2599" s="1">
        <v>3.7135250000000002E-6</v>
      </c>
      <c r="I2599">
        <v>214.86920000000001</v>
      </c>
      <c r="J2599">
        <v>-347.71370000000002</v>
      </c>
      <c r="K2599">
        <v>1.1097239999999999</v>
      </c>
      <c r="L2599">
        <v>214.85409999999999</v>
      </c>
      <c r="M2599">
        <v>0.99992499999999995</v>
      </c>
      <c r="N2599">
        <v>-1.1420130000000001E-2</v>
      </c>
      <c r="O2599">
        <v>4.4237039999999997E-3</v>
      </c>
      <c r="P2599">
        <v>0.98613430000000002</v>
      </c>
      <c r="Q2599">
        <v>0.15168960000000001</v>
      </c>
      <c r="R2599">
        <v>6.7302150000000005E-2</v>
      </c>
      <c r="S2599">
        <v>3.058411</v>
      </c>
      <c r="T2599">
        <v>-0.1067299</v>
      </c>
      <c r="U2599">
        <v>1.63269E-3</v>
      </c>
      <c r="V2599">
        <v>-6.2935290000000005E-2</v>
      </c>
      <c r="W2599">
        <v>0.1629467</v>
      </c>
      <c r="X2599">
        <v>0.98462559999999999</v>
      </c>
      <c r="Y2599">
        <v>3.8858030000000002E-3</v>
      </c>
      <c r="Z2599">
        <v>-1.9379560000000001E-4</v>
      </c>
      <c r="AA2599">
        <v>0.9999924</v>
      </c>
      <c r="AB2599">
        <v>38</v>
      </c>
      <c r="AC2599">
        <v>31.381900000000002</v>
      </c>
      <c r="AD2599">
        <v>-1.109720286475</v>
      </c>
      <c r="AE2599">
        <v>1.5100000000018101E-2</v>
      </c>
      <c r="AF2599">
        <v>0.123578908289839</v>
      </c>
      <c r="AG2599">
        <v>-1.109720286475</v>
      </c>
      <c r="AH2599">
        <v>31.3424673197039</v>
      </c>
      <c r="AI2599">
        <v>92.027767806057696</v>
      </c>
      <c r="AJ2599">
        <v>89.774092029250895</v>
      </c>
      <c r="AK2599">
        <v>31.362350175768</v>
      </c>
      <c r="AL2599">
        <v>80.622025421819799</v>
      </c>
      <c r="AM2599">
        <v>93.6572559352757</v>
      </c>
      <c r="AN2599">
        <v>1.00000002497181</v>
      </c>
    </row>
    <row r="2600" spans="1:40" x14ac:dyDescent="0.25">
      <c r="A2600" t="str">
        <f>"20190304155418426"</f>
        <v>20190304155418426</v>
      </c>
      <c r="B2600" t="str">
        <f>"1551686058419473"</f>
        <v>1551686058419473</v>
      </c>
      <c r="C2600" t="s">
        <v>40</v>
      </c>
      <c r="D2600">
        <v>4.7972029999999997</v>
      </c>
      <c r="E2600">
        <v>0.52395619999999998</v>
      </c>
      <c r="F2600" t="s">
        <v>65</v>
      </c>
      <c r="G2600">
        <v>-315.7199</v>
      </c>
      <c r="H2600" s="1">
        <v>3.4421960000000002E-6</v>
      </c>
      <c r="I2600">
        <v>214.87180000000001</v>
      </c>
      <c r="J2600">
        <v>-347.38380000000001</v>
      </c>
      <c r="K2600">
        <v>1.1097250000000001</v>
      </c>
      <c r="L2600">
        <v>214.85560000000001</v>
      </c>
      <c r="M2600">
        <v>0.99992499999999995</v>
      </c>
      <c r="N2600">
        <v>-1.1422109999999999E-2</v>
      </c>
      <c r="O2600">
        <v>4.4294149999999999E-3</v>
      </c>
      <c r="P2600">
        <v>0.98610129999999996</v>
      </c>
      <c r="Q2600">
        <v>0.15202470000000001</v>
      </c>
      <c r="R2600">
        <v>6.7027710000000004E-2</v>
      </c>
      <c r="S2600">
        <v>3.0583800000000001</v>
      </c>
      <c r="T2600">
        <v>-0.1060815</v>
      </c>
      <c r="U2600">
        <v>1.693726E-3</v>
      </c>
      <c r="V2600">
        <v>-6.2655230000000006E-2</v>
      </c>
      <c r="W2600">
        <v>0.1632826</v>
      </c>
      <c r="X2600">
        <v>0.98458780000000001</v>
      </c>
      <c r="Y2600">
        <v>3.8716169999999999E-3</v>
      </c>
      <c r="Z2600">
        <v>-1.9225000000000001E-4</v>
      </c>
      <c r="AA2600">
        <v>0.99999249999999995</v>
      </c>
      <c r="AB2600">
        <v>38</v>
      </c>
      <c r="AC2600">
        <v>31.663900000000002</v>
      </c>
      <c r="AD2600">
        <v>-1.1097215578039901</v>
      </c>
      <c r="AE2600">
        <v>1.6199999999997699E-2</v>
      </c>
      <c r="AF2600">
        <v>0.123909659776046</v>
      </c>
      <c r="AG2600">
        <v>-1.1097215578039901</v>
      </c>
      <c r="AH2600">
        <v>31.624816815063401</v>
      </c>
      <c r="AI2600">
        <v>92.009681102097801</v>
      </c>
      <c r="AJ2600">
        <v>89.775509712568393</v>
      </c>
      <c r="AK2600">
        <v>31.6445236040291</v>
      </c>
      <c r="AL2600">
        <v>80.602518380047997</v>
      </c>
      <c r="AM2600">
        <v>93.641164551105703</v>
      </c>
      <c r="AN2600">
        <v>1.0000000106089699</v>
      </c>
    </row>
    <row r="2601" spans="1:40" x14ac:dyDescent="0.25">
      <c r="A2601" t="str">
        <f>"20190304155418448"</f>
        <v>20190304155418448</v>
      </c>
      <c r="B2601" t="str">
        <f>"1551686058438996"</f>
        <v>1551686058438996</v>
      </c>
      <c r="C2601" t="s">
        <v>40</v>
      </c>
      <c r="D2601">
        <v>4.7431159999999997</v>
      </c>
      <c r="E2601">
        <v>0.52391730000000003</v>
      </c>
      <c r="F2601" t="s">
        <v>65</v>
      </c>
      <c r="G2601">
        <v>-315.19670000000002</v>
      </c>
      <c r="H2601" s="1">
        <v>3.2101870000000001E-6</v>
      </c>
      <c r="I2601">
        <v>214.87809999999999</v>
      </c>
      <c r="J2601">
        <v>-347.00040000000001</v>
      </c>
      <c r="K2601">
        <v>1.109723</v>
      </c>
      <c r="L2601">
        <v>214.85730000000001</v>
      </c>
      <c r="M2601">
        <v>0.99992510000000001</v>
      </c>
      <c r="N2601">
        <v>-1.142439E-2</v>
      </c>
      <c r="O2601">
        <v>4.4357800000000003E-3</v>
      </c>
      <c r="P2601">
        <v>0.98601660000000002</v>
      </c>
      <c r="Q2601">
        <v>0.15259639999999999</v>
      </c>
      <c r="R2601">
        <v>6.6977229999999999E-2</v>
      </c>
      <c r="S2601">
        <v>3.0583800000000001</v>
      </c>
      <c r="T2601">
        <v>-0.1054447</v>
      </c>
      <c r="U2601">
        <v>2.1362299999999998E-3</v>
      </c>
      <c r="V2601">
        <v>-6.2598959999999995E-2</v>
      </c>
      <c r="W2601">
        <v>0.16385559999999999</v>
      </c>
      <c r="X2601">
        <v>0.98449620000000004</v>
      </c>
      <c r="Y2601">
        <v>3.7334579999999998E-3</v>
      </c>
      <c r="Z2601">
        <v>-1.87896E-4</v>
      </c>
      <c r="AA2601">
        <v>0.99999300000000002</v>
      </c>
      <c r="AB2601">
        <v>38</v>
      </c>
      <c r="AC2601">
        <v>31.8036999999999</v>
      </c>
      <c r="AD2601">
        <v>-1.109719789813</v>
      </c>
      <c r="AE2601">
        <v>2.0799999999979901E-2</v>
      </c>
      <c r="AF2601">
        <v>0.120137332159927</v>
      </c>
      <c r="AG2601">
        <v>-1.109719789813</v>
      </c>
      <c r="AH2601">
        <v>31.7648054933955</v>
      </c>
      <c r="AI2601">
        <v>92.000829439264805</v>
      </c>
      <c r="AJ2601">
        <v>89.783303276448194</v>
      </c>
      <c r="AK2601">
        <v>31.784410943475599</v>
      </c>
      <c r="AL2601">
        <v>80.569239858916802</v>
      </c>
      <c r="AM2601">
        <v>93.638240815829406</v>
      </c>
      <c r="AN2601">
        <v>1.0000000276294401</v>
      </c>
    </row>
    <row r="2602" spans="1:40" x14ac:dyDescent="0.25">
      <c r="A2602" t="str">
        <f>"20190304155418471"</f>
        <v>20190304155418471</v>
      </c>
      <c r="B2602" t="str">
        <f>"1551686058459489"</f>
        <v>1551686058459489</v>
      </c>
      <c r="C2602" t="s">
        <v>40</v>
      </c>
      <c r="D2602">
        <v>4.7572229999999998</v>
      </c>
      <c r="E2602">
        <v>0.52376089999999997</v>
      </c>
      <c r="F2602" t="s">
        <v>65</v>
      </c>
      <c r="G2602">
        <v>-314.49160000000001</v>
      </c>
      <c r="H2602" s="1">
        <v>2.8974820000000001E-6</v>
      </c>
      <c r="I2602">
        <v>214.88630000000001</v>
      </c>
      <c r="J2602">
        <v>-346.61349999999999</v>
      </c>
      <c r="K2602">
        <v>1.1097250000000001</v>
      </c>
      <c r="L2602">
        <v>214.85900000000001</v>
      </c>
      <c r="M2602">
        <v>0.99992499999999995</v>
      </c>
      <c r="N2602">
        <v>-1.142671E-2</v>
      </c>
      <c r="O2602">
        <v>4.4425009999999997E-3</v>
      </c>
      <c r="P2602">
        <v>0.98599729999999997</v>
      </c>
      <c r="Q2602">
        <v>0.15280820000000001</v>
      </c>
      <c r="R2602">
        <v>6.6778000000000004E-2</v>
      </c>
      <c r="S2602">
        <v>3.0584720000000001</v>
      </c>
      <c r="T2602">
        <v>-0.10440389999999999</v>
      </c>
      <c r="U2602">
        <v>2.7313229999999999E-3</v>
      </c>
      <c r="V2602">
        <v>-6.239343E-2</v>
      </c>
      <c r="W2602">
        <v>0.16406960000000001</v>
      </c>
      <c r="X2602">
        <v>0.98447359999999995</v>
      </c>
      <c r="Y2602">
        <v>3.5458619999999999E-3</v>
      </c>
      <c r="Z2602">
        <v>-1.8161969999999999E-4</v>
      </c>
      <c r="AA2602">
        <v>0.99999369999999999</v>
      </c>
      <c r="AB2602">
        <v>38</v>
      </c>
      <c r="AC2602">
        <v>32.121899999999897</v>
      </c>
      <c r="AD2602">
        <v>-1.109722102518</v>
      </c>
      <c r="AE2602">
        <v>2.7299999999996698E-2</v>
      </c>
      <c r="AF2602">
        <v>0.115273557230218</v>
      </c>
      <c r="AG2602">
        <v>-1.109722102518</v>
      </c>
      <c r="AH2602">
        <v>32.083412427136601</v>
      </c>
      <c r="AI2602">
        <v>91.980981455844699</v>
      </c>
      <c r="AJ2602">
        <v>89.794140978188494</v>
      </c>
      <c r="AK2602">
        <v>32.102805548854398</v>
      </c>
      <c r="AL2602">
        <v>80.556810289201493</v>
      </c>
      <c r="AM2602">
        <v>93.626410400072402</v>
      </c>
      <c r="AN2602">
        <v>1.00000002142414</v>
      </c>
    </row>
    <row r="2603" spans="1:40" x14ac:dyDescent="0.25">
      <c r="A2603" t="str">
        <f>"20190304155418492"</f>
        <v>20190304155418492</v>
      </c>
      <c r="B2603" t="str">
        <f>"1551686058489745"</f>
        <v>1551686058489745</v>
      </c>
      <c r="C2603" t="s">
        <v>40</v>
      </c>
      <c r="D2603">
        <v>4.7593389999999998</v>
      </c>
      <c r="E2603">
        <v>0.52355770000000001</v>
      </c>
      <c r="F2603" t="s">
        <v>65</v>
      </c>
      <c r="G2603">
        <v>-313.98680000000002</v>
      </c>
      <c r="H2603" s="1">
        <v>2.673605E-6</v>
      </c>
      <c r="I2603">
        <v>214.89410000000001</v>
      </c>
      <c r="J2603">
        <v>-346.24299999999999</v>
      </c>
      <c r="K2603">
        <v>1.1097220000000001</v>
      </c>
      <c r="L2603">
        <v>214.86060000000001</v>
      </c>
      <c r="M2603">
        <v>0.99992479999999995</v>
      </c>
      <c r="N2603">
        <v>-1.142893E-2</v>
      </c>
      <c r="O2603">
        <v>4.4490450000000004E-3</v>
      </c>
      <c r="P2603">
        <v>0.98604309999999995</v>
      </c>
      <c r="Q2603">
        <v>0.15270710000000001</v>
      </c>
      <c r="R2603">
        <v>6.6330529999999999E-2</v>
      </c>
      <c r="S2603">
        <v>3.0585019999999998</v>
      </c>
      <c r="T2603">
        <v>-0.1040277</v>
      </c>
      <c r="U2603">
        <v>3.2958979999999998E-3</v>
      </c>
      <c r="V2603">
        <v>-6.1939099999999997E-2</v>
      </c>
      <c r="W2603">
        <v>0.16397129999999999</v>
      </c>
      <c r="X2603">
        <v>0.98451860000000002</v>
      </c>
      <c r="Y2603">
        <v>3.3679890000000001E-3</v>
      </c>
      <c r="Z2603">
        <v>-1.7695450000000001E-4</v>
      </c>
      <c r="AA2603">
        <v>0.9999943</v>
      </c>
      <c r="AB2603">
        <v>38</v>
      </c>
      <c r="AC2603">
        <v>32.2562</v>
      </c>
      <c r="AD2603">
        <v>-1.10971932639499</v>
      </c>
      <c r="AE2603">
        <v>3.3500000000003603E-2</v>
      </c>
      <c r="AF2603">
        <v>0.109888926146267</v>
      </c>
      <c r="AG2603">
        <v>-1.10971932639499</v>
      </c>
      <c r="AH2603">
        <v>32.217897152507597</v>
      </c>
      <c r="AI2603">
        <v>91.972715268387901</v>
      </c>
      <c r="AJ2603">
        <v>89.804576095140604</v>
      </c>
      <c r="AK2603">
        <v>32.237190471395301</v>
      </c>
      <c r="AL2603">
        <v>80.562519170353497</v>
      </c>
      <c r="AM2603">
        <v>93.599909563817604</v>
      </c>
      <c r="AN2603">
        <v>0.99999995653922902</v>
      </c>
    </row>
    <row r="2604" spans="1:40" x14ac:dyDescent="0.25">
      <c r="A2604" t="str">
        <f>"20190304155418516"</f>
        <v>20190304155418516</v>
      </c>
      <c r="B2604" t="str">
        <f>"1551686058509265"</f>
        <v>1551686058509265</v>
      </c>
      <c r="C2604" t="s">
        <v>40</v>
      </c>
      <c r="D2604">
        <v>4.6724969999999999</v>
      </c>
      <c r="E2604">
        <v>0.52351029999999998</v>
      </c>
      <c r="F2604" t="s">
        <v>65</v>
      </c>
      <c r="G2604">
        <v>-313.94380000000001</v>
      </c>
      <c r="H2604" s="1">
        <v>2.6545390000000002E-6</v>
      </c>
      <c r="I2604">
        <v>214.899</v>
      </c>
      <c r="J2604">
        <v>-345.84100000000001</v>
      </c>
      <c r="K2604">
        <v>1.1097250000000001</v>
      </c>
      <c r="L2604">
        <v>214.86240000000001</v>
      </c>
      <c r="M2604">
        <v>0.99992490000000001</v>
      </c>
      <c r="N2604">
        <v>-1.143132E-2</v>
      </c>
      <c r="O2604">
        <v>4.4555879999999999E-3</v>
      </c>
      <c r="P2604">
        <v>0.98607979999999995</v>
      </c>
      <c r="Q2604">
        <v>0.15237300000000001</v>
      </c>
      <c r="R2604">
        <v>6.655266E-2</v>
      </c>
      <c r="S2604">
        <v>3.0585330000000002</v>
      </c>
      <c r="T2604">
        <v>-0.1050832</v>
      </c>
      <c r="U2604">
        <v>3.6315919999999999E-3</v>
      </c>
      <c r="V2604">
        <v>-6.2154750000000002E-2</v>
      </c>
      <c r="W2604">
        <v>0.16364020000000001</v>
      </c>
      <c r="X2604">
        <v>0.98456010000000005</v>
      </c>
      <c r="Y2604">
        <v>3.264786E-3</v>
      </c>
      <c r="Z2604">
        <v>-1.7684830000000001E-4</v>
      </c>
      <c r="AA2604">
        <v>0.99999459999999996</v>
      </c>
      <c r="AB2604">
        <v>38</v>
      </c>
      <c r="AC2604">
        <v>31.897200000000002</v>
      </c>
      <c r="AD2604">
        <v>-1.1097223454609999</v>
      </c>
      <c r="AE2604">
        <v>3.6599999999992798E-2</v>
      </c>
      <c r="AF2604">
        <v>0.105402830126567</v>
      </c>
      <c r="AG2604">
        <v>-1.1097223454609999</v>
      </c>
      <c r="AH2604">
        <v>31.8584854437864</v>
      </c>
      <c r="AI2604">
        <v>91.994958694205906</v>
      </c>
      <c r="AJ2604">
        <v>89.810439347750901</v>
      </c>
      <c r="AK2604">
        <v>31.877981244309801</v>
      </c>
      <c r="AL2604">
        <v>80.581749581986898</v>
      </c>
      <c r="AM2604">
        <v>93.612258179353404</v>
      </c>
      <c r="AN2604">
        <v>0.99999995925780505</v>
      </c>
    </row>
    <row r="2605" spans="1:40" x14ac:dyDescent="0.25">
      <c r="A2605" t="str">
        <f>"20190304155418538"</f>
        <v>20190304155418538</v>
      </c>
      <c r="B2605" t="str">
        <f>"1551686058529761"</f>
        <v>1551686058529761</v>
      </c>
      <c r="C2605" t="s">
        <v>40</v>
      </c>
      <c r="D2605">
        <v>4.965103</v>
      </c>
      <c r="E2605">
        <v>0.52349609999999902</v>
      </c>
      <c r="F2605" t="s">
        <v>65</v>
      </c>
      <c r="G2605">
        <v>-314.06529999999998</v>
      </c>
      <c r="H2605" s="1">
        <v>2.7084339999999999E-6</v>
      </c>
      <c r="I2605">
        <v>214.91059999999999</v>
      </c>
      <c r="J2605">
        <v>-345.45850000000002</v>
      </c>
      <c r="K2605">
        <v>1.109718</v>
      </c>
      <c r="L2605">
        <v>214.86410000000001</v>
      </c>
      <c r="M2605">
        <v>0.99992479999999995</v>
      </c>
      <c r="N2605">
        <v>-1.143361E-2</v>
      </c>
      <c r="O2605">
        <v>4.4624269999999997E-3</v>
      </c>
      <c r="P2605">
        <v>0.98604239999999999</v>
      </c>
      <c r="Q2605">
        <v>0.15264049999999901</v>
      </c>
      <c r="R2605">
        <v>6.6495670000000007E-2</v>
      </c>
      <c r="S2605">
        <v>3.0585629999999999</v>
      </c>
      <c r="T2605">
        <v>-0.1068162</v>
      </c>
      <c r="U2605">
        <v>4.6386719999999999E-3</v>
      </c>
      <c r="V2605">
        <v>-6.2090909999999999E-2</v>
      </c>
      <c r="W2605">
        <v>0.1639092</v>
      </c>
      <c r="X2605">
        <v>0.98451940000000004</v>
      </c>
      <c r="Y2605">
        <v>2.9424999999999998E-3</v>
      </c>
      <c r="Z2605">
        <v>-1.729779E-4</v>
      </c>
      <c r="AA2605">
        <v>0.99999559999999998</v>
      </c>
      <c r="AB2605">
        <v>38</v>
      </c>
      <c r="AC2605">
        <v>31.3932</v>
      </c>
      <c r="AD2605">
        <v>-1.109715291566</v>
      </c>
      <c r="AE2605">
        <v>4.6499999999980397E-2</v>
      </c>
      <c r="AF2605">
        <v>9.3482656228628905E-2</v>
      </c>
      <c r="AG2605">
        <v>-1.109715291566</v>
      </c>
      <c r="AH2605">
        <v>31.353916853592601</v>
      </c>
      <c r="AI2605">
        <v>92.027025567047602</v>
      </c>
      <c r="AJ2605">
        <v>89.829171397837499</v>
      </c>
      <c r="AK2605">
        <v>31.3736881653615</v>
      </c>
      <c r="AL2605">
        <v>80.566126242323506</v>
      </c>
      <c r="AM2605">
        <v>93.608706571248305</v>
      </c>
      <c r="AN2605">
        <v>0.99999997796281304</v>
      </c>
    </row>
    <row r="2606" spans="1:40" x14ac:dyDescent="0.25">
      <c r="A2606" t="str">
        <f>"20190304155418562"</f>
        <v>20190304155418562</v>
      </c>
      <c r="B2606" t="str">
        <f>"1551686058559041"</f>
        <v>1551686058559041</v>
      </c>
      <c r="C2606" t="s">
        <v>40</v>
      </c>
      <c r="D2606">
        <v>4.766089</v>
      </c>
      <c r="E2606">
        <v>0.52347200000000005</v>
      </c>
      <c r="F2606" t="s">
        <v>65</v>
      </c>
      <c r="G2606">
        <v>-313.5385</v>
      </c>
      <c r="H2606" s="1">
        <v>2.4748119999999999E-6</v>
      </c>
      <c r="I2606">
        <v>214.91399999999999</v>
      </c>
      <c r="J2606">
        <v>-345.0573</v>
      </c>
      <c r="K2606">
        <v>1.1097159999999999</v>
      </c>
      <c r="L2606">
        <v>214.86600000000001</v>
      </c>
      <c r="M2606">
        <v>0.9999247</v>
      </c>
      <c r="N2606">
        <v>-1.143601E-2</v>
      </c>
      <c r="O2606">
        <v>4.4698610000000003E-3</v>
      </c>
      <c r="P2606">
        <v>0.98603169999999996</v>
      </c>
      <c r="Q2606">
        <v>0.15271019999999999</v>
      </c>
      <c r="R2606">
        <v>6.6495460000000006E-2</v>
      </c>
      <c r="S2606">
        <v>3.0585939999999998</v>
      </c>
      <c r="T2606">
        <v>-0.1063335</v>
      </c>
      <c r="U2606">
        <v>4.7760009999999898E-3</v>
      </c>
      <c r="V2606">
        <v>-6.208313E-2</v>
      </c>
      <c r="W2606">
        <v>0.16398119999999999</v>
      </c>
      <c r="X2606">
        <v>0.98450789999999999</v>
      </c>
      <c r="Y2606">
        <v>2.9051150000000002E-3</v>
      </c>
      <c r="Z2606">
        <v>-1.71342799999999E-4</v>
      </c>
      <c r="AA2606">
        <v>0.99999579999999999</v>
      </c>
      <c r="AB2606">
        <v>38</v>
      </c>
      <c r="AC2606">
        <v>31.518799999999999</v>
      </c>
      <c r="AD2606">
        <v>-1.1097135251879999</v>
      </c>
      <c r="AE2606">
        <v>4.8000000000030199E-2</v>
      </c>
      <c r="AF2606">
        <v>9.2779326956583405E-2</v>
      </c>
      <c r="AG2606">
        <v>-1.1097135251879999</v>
      </c>
      <c r="AH2606">
        <v>31.479677463883</v>
      </c>
      <c r="AI2606">
        <v>92.018931353878202</v>
      </c>
      <c r="AJ2606">
        <v>89.831133960159605</v>
      </c>
      <c r="AK2606">
        <v>31.4993676974888</v>
      </c>
      <c r="AL2606">
        <v>80.5619443544944</v>
      </c>
      <c r="AM2606">
        <v>93.608297630998806</v>
      </c>
      <c r="AN2606">
        <v>0.99999997707322297</v>
      </c>
    </row>
    <row r="2607" spans="1:40" x14ac:dyDescent="0.25">
      <c r="A2607" t="str">
        <f>"20190304155418585"</f>
        <v>20190304155418585</v>
      </c>
      <c r="B2607" t="str">
        <f>"1551686058579537"</f>
        <v>1551686058579537</v>
      </c>
      <c r="C2607" t="s">
        <v>40</v>
      </c>
      <c r="D2607">
        <v>4.695309</v>
      </c>
      <c r="E2607">
        <v>0.52367829999999904</v>
      </c>
      <c r="F2607" t="s">
        <v>65</v>
      </c>
      <c r="G2607">
        <v>-313.22739999999999</v>
      </c>
      <c r="H2607" s="1">
        <v>2.3368919999999998E-6</v>
      </c>
      <c r="I2607">
        <v>214.9323</v>
      </c>
      <c r="J2607">
        <v>-344.66140000000001</v>
      </c>
      <c r="K2607">
        <v>1.1097140000000001</v>
      </c>
      <c r="L2607">
        <v>214.86770000000001</v>
      </c>
      <c r="M2607">
        <v>0.9999247</v>
      </c>
      <c r="N2607">
        <v>-1.143833E-2</v>
      </c>
      <c r="O2607">
        <v>4.4768809999999899E-3</v>
      </c>
      <c r="P2607">
        <v>0.98614009999999996</v>
      </c>
      <c r="Q2607">
        <v>0.1521527</v>
      </c>
      <c r="R2607">
        <v>6.6163810000000003E-2</v>
      </c>
      <c r="S2607">
        <v>3.058624</v>
      </c>
      <c r="T2607">
        <v>-0.1066357</v>
      </c>
      <c r="U2607">
        <v>6.3781740000000003E-3</v>
      </c>
      <c r="V2607">
        <v>-6.1744760000000003E-2</v>
      </c>
      <c r="W2607">
        <v>0.1634275</v>
      </c>
      <c r="X2607">
        <v>0.98462130000000003</v>
      </c>
      <c r="Y2607">
        <v>2.3887259999999999E-3</v>
      </c>
      <c r="Z2607">
        <v>-1.601292E-4</v>
      </c>
      <c r="AA2607">
        <v>0.99999709999999997</v>
      </c>
      <c r="AB2607">
        <v>38</v>
      </c>
      <c r="AC2607">
        <v>31.434000000000001</v>
      </c>
      <c r="AD2607">
        <v>-1.109711663108</v>
      </c>
      <c r="AE2607">
        <v>6.4599999999984406E-2</v>
      </c>
      <c r="AF2607">
        <v>7.6041342174806098E-2</v>
      </c>
      <c r="AG2607">
        <v>-1.109711663108</v>
      </c>
      <c r="AH2607">
        <v>31.394847086012</v>
      </c>
      <c r="AI2607">
        <v>92.024381527909497</v>
      </c>
      <c r="AJ2607">
        <v>89.8612243772575</v>
      </c>
      <c r="AK2607">
        <v>31.414545449759999</v>
      </c>
      <c r="AL2607">
        <v>80.594103403160702</v>
      </c>
      <c r="AM2607">
        <v>93.588270725694201</v>
      </c>
      <c r="AN2607">
        <v>1.0000000337786901</v>
      </c>
    </row>
    <row r="2608" spans="1:40" x14ac:dyDescent="0.25">
      <c r="A2608" t="str">
        <f>"20190304155418628"</f>
        <v>20190304155418628</v>
      </c>
      <c r="B2608" t="str">
        <f>"1551686058619553"</f>
        <v>1551686058619553</v>
      </c>
      <c r="C2608" t="s">
        <v>40</v>
      </c>
      <c r="D2608">
        <v>4.700977</v>
      </c>
      <c r="E2608">
        <v>0.52418500000000001</v>
      </c>
      <c r="F2608" t="s">
        <v>65</v>
      </c>
      <c r="G2608">
        <v>-313.4982</v>
      </c>
      <c r="H2608" s="1">
        <v>2.45694E-6</v>
      </c>
      <c r="I2608">
        <v>214.9111</v>
      </c>
      <c r="J2608">
        <v>-343.9271</v>
      </c>
      <c r="K2608">
        <v>1.1097140000000001</v>
      </c>
      <c r="L2608">
        <v>214.87100000000001</v>
      </c>
      <c r="M2608">
        <v>0.99992449999999999</v>
      </c>
      <c r="N2608">
        <v>-1.144267E-2</v>
      </c>
      <c r="O2608">
        <v>4.4894949999999996E-3</v>
      </c>
      <c r="P2608">
        <v>0.98627980000000004</v>
      </c>
      <c r="Q2608">
        <v>0.15111729999999901</v>
      </c>
      <c r="R2608">
        <v>6.6454319999999997E-2</v>
      </c>
      <c r="S2608">
        <v>3.0586549999999999</v>
      </c>
      <c r="T2608">
        <v>-0.1089175</v>
      </c>
      <c r="U2608">
        <v>4.2572019999999999E-3</v>
      </c>
      <c r="V2608">
        <v>-6.2022130000000002E-2</v>
      </c>
      <c r="W2608">
        <v>0.16239770000000001</v>
      </c>
      <c r="X2608">
        <v>0.98477420000000004</v>
      </c>
      <c r="Y2608">
        <v>3.0940439999999998E-3</v>
      </c>
      <c r="Z2608">
        <v>-1.8123670000000001E-4</v>
      </c>
      <c r="AA2608">
        <v>0.99999519999999997</v>
      </c>
      <c r="AB2608">
        <v>38</v>
      </c>
      <c r="AC2608">
        <v>30.428899999999999</v>
      </c>
      <c r="AD2608">
        <v>-1.10971154306</v>
      </c>
      <c r="AE2608">
        <v>4.01000000000237E-2</v>
      </c>
      <c r="AF2608">
        <v>9.6391537063459404E-2</v>
      </c>
      <c r="AG2608">
        <v>-1.10971154306</v>
      </c>
      <c r="AH2608">
        <v>30.3883572646901</v>
      </c>
      <c r="AI2608">
        <v>92.091367676215597</v>
      </c>
      <c r="AJ2608">
        <v>89.818259023222296</v>
      </c>
      <c r="AK2608">
        <v>30.408765319947801</v>
      </c>
      <c r="AL2608">
        <v>80.653905123172905</v>
      </c>
      <c r="AM2608">
        <v>93.603789417468107</v>
      </c>
      <c r="AN2608">
        <v>0.99999999128033301</v>
      </c>
    </row>
    <row r="2609" spans="1:40" x14ac:dyDescent="0.25">
      <c r="A2609" t="str">
        <f>"20190304155418648"</f>
        <v>20190304155418648</v>
      </c>
      <c r="B2609" t="str">
        <f>"1551686058639076"</f>
        <v>1551686058639076</v>
      </c>
      <c r="C2609" t="s">
        <v>40</v>
      </c>
      <c r="D2609">
        <v>4.710153</v>
      </c>
      <c r="E2609">
        <v>0.52438859999999998</v>
      </c>
      <c r="F2609" t="s">
        <v>65</v>
      </c>
      <c r="G2609">
        <v>-313.72410000000002</v>
      </c>
      <c r="H2609" s="1">
        <v>2.5571059999999998E-6</v>
      </c>
      <c r="I2609">
        <v>214.87870000000001</v>
      </c>
      <c r="J2609">
        <v>-343.55959999999999</v>
      </c>
      <c r="K2609">
        <v>1.1097109999999999</v>
      </c>
      <c r="L2609">
        <v>214.87270000000001</v>
      </c>
      <c r="M2609">
        <v>0.99992449999999999</v>
      </c>
      <c r="N2609">
        <v>-1.144483E-2</v>
      </c>
      <c r="O2609">
        <v>4.4958610000000003E-3</v>
      </c>
      <c r="P2609">
        <v>0.986286</v>
      </c>
      <c r="Q2609">
        <v>0.151330399999999</v>
      </c>
      <c r="R2609">
        <v>6.5872520000000004E-2</v>
      </c>
      <c r="S2609">
        <v>3.0588679999999999</v>
      </c>
      <c r="T2609">
        <v>-0.1123879</v>
      </c>
      <c r="U2609">
        <v>7.7819819999999998E-4</v>
      </c>
      <c r="V2609">
        <v>-6.1433870000000002E-2</v>
      </c>
      <c r="W2609">
        <v>0.16261320000000001</v>
      </c>
      <c r="X2609">
        <v>0.98477550000000003</v>
      </c>
      <c r="Y2609">
        <v>4.2365629999999996E-3</v>
      </c>
      <c r="Z2609">
        <v>-2.157428E-4</v>
      </c>
      <c r="AA2609">
        <v>0.99999099999999996</v>
      </c>
      <c r="AB2609">
        <v>38</v>
      </c>
      <c r="AC2609">
        <v>29.8354999999999</v>
      </c>
      <c r="AD2609">
        <v>-1.1097084428940001</v>
      </c>
      <c r="AE2609">
        <v>6.0000000000002196E-3</v>
      </c>
      <c r="AF2609">
        <v>0.12796806126357901</v>
      </c>
      <c r="AG2609">
        <v>-1.1097084428940001</v>
      </c>
      <c r="AH2609">
        <v>29.7940080582141</v>
      </c>
      <c r="AI2609">
        <v>92.133034514656998</v>
      </c>
      <c r="AJ2609">
        <v>89.753910762111403</v>
      </c>
      <c r="AK2609">
        <v>29.814941637136599</v>
      </c>
      <c r="AL2609">
        <v>80.641391434537496</v>
      </c>
      <c r="AM2609">
        <v>93.569692736030902</v>
      </c>
      <c r="AN2609">
        <v>0.999999979298833</v>
      </c>
    </row>
    <row r="2610" spans="1:40" x14ac:dyDescent="0.25">
      <c r="A2610" t="str">
        <f>"20190304155418672"</f>
        <v>20190304155418672</v>
      </c>
      <c r="B2610" t="str">
        <f>"1551686058669330"</f>
        <v>1551686058669330</v>
      </c>
      <c r="C2610" t="s">
        <v>40</v>
      </c>
      <c r="D2610">
        <v>4.6802919999999997</v>
      </c>
      <c r="E2610">
        <v>0.5246847</v>
      </c>
      <c r="F2610" t="s">
        <v>65</v>
      </c>
      <c r="G2610">
        <v>-313.08069999999998</v>
      </c>
      <c r="H2610" s="1">
        <v>2.2718029999999999E-6</v>
      </c>
      <c r="I2610">
        <v>214.84190000000001</v>
      </c>
      <c r="J2610">
        <v>-343.15660000000003</v>
      </c>
      <c r="K2610">
        <v>1.1097140000000001</v>
      </c>
      <c r="L2610">
        <v>214.87450000000001</v>
      </c>
      <c r="M2610">
        <v>0.99992440000000005</v>
      </c>
      <c r="N2610">
        <v>-1.1449040000000001E-2</v>
      </c>
      <c r="O2610">
        <v>4.5029279999999998E-3</v>
      </c>
      <c r="P2610">
        <v>0.98622460000000001</v>
      </c>
      <c r="Q2610">
        <v>0.15193980000000001</v>
      </c>
      <c r="R2610">
        <v>6.5387520000000005E-2</v>
      </c>
      <c r="S2610">
        <v>3.0589900000000001</v>
      </c>
      <c r="T2610">
        <v>-0.1113749</v>
      </c>
      <c r="U2610">
        <v>-3.0822750000000002E-3</v>
      </c>
      <c r="V2610">
        <v>-6.0942059999999999E-2</v>
      </c>
      <c r="W2610">
        <v>0.16322619999999999</v>
      </c>
      <c r="X2610">
        <v>0.98470469999999999</v>
      </c>
      <c r="Y2610">
        <v>5.5046260000000003E-3</v>
      </c>
      <c r="Z2610">
        <v>-2.4405020000000001E-4</v>
      </c>
      <c r="AA2610">
        <v>0.99998480000000001</v>
      </c>
      <c r="AB2610">
        <v>38</v>
      </c>
      <c r="AC2610">
        <v>30.075900000000001</v>
      </c>
      <c r="AD2610">
        <v>-1.1097117281969999</v>
      </c>
      <c r="AE2610">
        <v>-3.26000000000021E-2</v>
      </c>
      <c r="AF2610">
        <v>0.167809693188604</v>
      </c>
      <c r="AG2610">
        <v>-1.1097117281969999</v>
      </c>
      <c r="AH2610">
        <v>30.034559487634301</v>
      </c>
      <c r="AI2610">
        <v>92.115959064917305</v>
      </c>
      <c r="AJ2610">
        <v>89.679879202537805</v>
      </c>
      <c r="AK2610">
        <v>30.055521686190499</v>
      </c>
      <c r="AL2610">
        <v>80.605794051652893</v>
      </c>
      <c r="AM2610">
        <v>93.541442467907501</v>
      </c>
      <c r="AN2610">
        <v>1.0000000366227799</v>
      </c>
    </row>
    <row r="2611" spans="1:40" x14ac:dyDescent="0.25">
      <c r="A2611" t="str">
        <f>"20190304155418694"</f>
        <v>20190304155418694</v>
      </c>
      <c r="B2611" t="str">
        <f>"1551686058689824"</f>
        <v>1551686058689824</v>
      </c>
      <c r="C2611" t="s">
        <v>40</v>
      </c>
      <c r="D2611">
        <v>4.7046380000000001</v>
      </c>
      <c r="E2611">
        <v>0.52487830000000002</v>
      </c>
      <c r="F2611" t="s">
        <v>65</v>
      </c>
      <c r="G2611">
        <v>-312.0992</v>
      </c>
      <c r="H2611" s="1">
        <v>1.8365619999999999E-6</v>
      </c>
      <c r="I2611">
        <v>214.80340000000001</v>
      </c>
      <c r="J2611">
        <v>-342.7713</v>
      </c>
      <c r="K2611">
        <v>1.1097129999999999</v>
      </c>
      <c r="L2611">
        <v>214.87620000000001</v>
      </c>
      <c r="M2611">
        <v>0.99992429999999999</v>
      </c>
      <c r="N2611">
        <v>-1.1457200000000001E-2</v>
      </c>
      <c r="O2611">
        <v>4.5095559999999996E-3</v>
      </c>
      <c r="P2611">
        <v>0.98624469999999997</v>
      </c>
      <c r="Q2611">
        <v>0.15207319999999999</v>
      </c>
      <c r="R2611">
        <v>6.4772960000000004E-2</v>
      </c>
      <c r="S2611">
        <v>3.0591740000000001</v>
      </c>
      <c r="T2611">
        <v>-0.1093075</v>
      </c>
      <c r="U2611">
        <v>-7.0037839999999999E-3</v>
      </c>
      <c r="V2611">
        <v>-6.0321300000000001E-2</v>
      </c>
      <c r="W2611">
        <v>0.16336729999999899</v>
      </c>
      <c r="X2611">
        <v>0.98471949999999997</v>
      </c>
      <c r="Y2611">
        <v>6.7921939999999997E-3</v>
      </c>
      <c r="Z2611">
        <v>-2.6965680000000001E-4</v>
      </c>
      <c r="AA2611">
        <v>0.99997689999999995</v>
      </c>
      <c r="AB2611">
        <v>38</v>
      </c>
      <c r="AC2611">
        <v>30.6721</v>
      </c>
      <c r="AD2611">
        <v>-1.1097111634379999</v>
      </c>
      <c r="AE2611">
        <v>-7.2800000000000795E-2</v>
      </c>
      <c r="AF2611">
        <v>0.21084988032417301</v>
      </c>
      <c r="AG2611">
        <v>-1.1097111634379999</v>
      </c>
      <c r="AH2611">
        <v>30.631364159235901</v>
      </c>
      <c r="AI2611">
        <v>92.074751459263794</v>
      </c>
      <c r="AJ2611">
        <v>89.605612815953407</v>
      </c>
      <c r="AK2611">
        <v>30.652184046067799</v>
      </c>
      <c r="AL2611">
        <v>80.5975994072041</v>
      </c>
      <c r="AM2611">
        <v>93.505406951569398</v>
      </c>
      <c r="AN2611">
        <v>1.0000000138116101</v>
      </c>
    </row>
    <row r="2612" spans="1:40" x14ac:dyDescent="0.25">
      <c r="A2612" t="str">
        <f>"20190304155418717"</f>
        <v>20190304155418717</v>
      </c>
      <c r="B2612" t="str">
        <f>"1551686058709345"</f>
        <v>1551686058709345</v>
      </c>
      <c r="C2612" t="s">
        <v>40</v>
      </c>
      <c r="D2612">
        <v>4.7105980000000001</v>
      </c>
      <c r="E2612">
        <v>0.52502649999999995</v>
      </c>
      <c r="F2612" t="s">
        <v>65</v>
      </c>
      <c r="G2612">
        <v>-311.55090000000001</v>
      </c>
      <c r="H2612" s="1">
        <v>1.5934209999999901E-6</v>
      </c>
      <c r="I2612">
        <v>214.76439999999999</v>
      </c>
      <c r="J2612">
        <v>-342.39620000000002</v>
      </c>
      <c r="K2612">
        <v>1.1097140000000001</v>
      </c>
      <c r="L2612">
        <v>214.87790000000001</v>
      </c>
      <c r="M2612">
        <v>0.99992409999999998</v>
      </c>
      <c r="N2612">
        <v>-1.147013E-2</v>
      </c>
      <c r="O2612">
        <v>4.5159199999999997E-3</v>
      </c>
      <c r="P2612">
        <v>0.98625960000000001</v>
      </c>
      <c r="Q2612">
        <v>0.15194530000000001</v>
      </c>
      <c r="R2612">
        <v>6.4845130000000001E-2</v>
      </c>
      <c r="S2612">
        <v>3.0592959999999998</v>
      </c>
      <c r="T2612">
        <v>-0.1087409</v>
      </c>
      <c r="U2612">
        <v>-1.095581E-2</v>
      </c>
      <c r="V2612">
        <v>-6.0386799999999997E-2</v>
      </c>
      <c r="W2612">
        <v>0.1632526</v>
      </c>
      <c r="X2612">
        <v>0.98473449999999996</v>
      </c>
      <c r="Y2612">
        <v>8.0892159999999998E-3</v>
      </c>
      <c r="Z2612">
        <v>-2.9880660000000003E-4</v>
      </c>
      <c r="AA2612">
        <v>0.99996719999999895</v>
      </c>
      <c r="AB2612">
        <v>38</v>
      </c>
      <c r="AC2612">
        <v>30.845300000000002</v>
      </c>
      <c r="AD2612">
        <v>-1.1097124065789901</v>
      </c>
      <c r="AE2612">
        <v>-0.113500000000016</v>
      </c>
      <c r="AF2612">
        <v>0.25247612092237998</v>
      </c>
      <c r="AG2612">
        <v>-1.1097124065789901</v>
      </c>
      <c r="AH2612">
        <v>30.8046022588202</v>
      </c>
      <c r="AI2612">
        <v>92.063075549158</v>
      </c>
      <c r="AJ2612">
        <v>89.530411328373006</v>
      </c>
      <c r="AK2612">
        <v>30.825618017179501</v>
      </c>
      <c r="AL2612">
        <v>80.604260589978495</v>
      </c>
      <c r="AM2612">
        <v>93.5091504772994</v>
      </c>
      <c r="AN2612">
        <v>1.00000000625562</v>
      </c>
    </row>
    <row r="2613" spans="1:40" x14ac:dyDescent="0.25">
      <c r="A2613" t="str">
        <f>"20190304155418739"</f>
        <v>20190304155418739</v>
      </c>
      <c r="B2613" t="str">
        <f>"1551686058729841"</f>
        <v>1551686058729841</v>
      </c>
      <c r="C2613" t="s">
        <v>40</v>
      </c>
      <c r="D2613">
        <v>4.7091370000000001</v>
      </c>
      <c r="E2613">
        <v>0.5251808</v>
      </c>
      <c r="F2613" t="s">
        <v>65</v>
      </c>
      <c r="G2613">
        <v>-311.22199999999998</v>
      </c>
      <c r="H2613" s="1">
        <v>1.4475769999999999E-6</v>
      </c>
      <c r="I2613">
        <v>214.7527</v>
      </c>
      <c r="J2613">
        <v>-342.01249999999999</v>
      </c>
      <c r="K2613">
        <v>1.109721</v>
      </c>
      <c r="L2613">
        <v>214.87970000000001</v>
      </c>
      <c r="M2613">
        <v>0.99992380000000003</v>
      </c>
      <c r="N2613">
        <v>-1.148774E-2</v>
      </c>
      <c r="O2613">
        <v>4.5225550000000002E-3</v>
      </c>
      <c r="P2613">
        <v>0.98622180000000004</v>
      </c>
      <c r="Q2613">
        <v>0.15199799999999999</v>
      </c>
      <c r="R2613">
        <v>6.5294279999999996E-2</v>
      </c>
      <c r="S2613">
        <v>3.0594480000000002</v>
      </c>
      <c r="T2613">
        <v>-0.1089078</v>
      </c>
      <c r="U2613">
        <v>-1.228333E-2</v>
      </c>
      <c r="V2613">
        <v>-6.0829340000000003E-2</v>
      </c>
      <c r="W2613">
        <v>0.1633221</v>
      </c>
      <c r="X2613">
        <v>0.98469569999999995</v>
      </c>
      <c r="Y2613">
        <v>8.5291659999999995E-3</v>
      </c>
      <c r="Z2613">
        <v>-3.0976570000000001E-4</v>
      </c>
      <c r="AA2613">
        <v>0.99996359999999995</v>
      </c>
      <c r="AB2613">
        <v>39</v>
      </c>
      <c r="AC2613">
        <v>30.790500000000002</v>
      </c>
      <c r="AD2613">
        <v>-1.1097195524229999</v>
      </c>
      <c r="AE2613">
        <v>-0.12700000000000899</v>
      </c>
      <c r="AF2613">
        <v>0.26591421430870898</v>
      </c>
      <c r="AG2613">
        <v>-1.1097195524229999</v>
      </c>
      <c r="AH2613">
        <v>30.749669013186601</v>
      </c>
      <c r="AI2613">
        <v>92.066763413441294</v>
      </c>
      <c r="AJ2613">
        <v>89.504535076084295</v>
      </c>
      <c r="AK2613">
        <v>30.770835742224001</v>
      </c>
      <c r="AL2613">
        <v>80.600224010543997</v>
      </c>
      <c r="AM2613">
        <v>93.534940976343904</v>
      </c>
      <c r="AN2613">
        <v>0.99999996927586698</v>
      </c>
    </row>
    <row r="2614" spans="1:40" x14ac:dyDescent="0.25">
      <c r="A2614" t="str">
        <f>"20190304155418761"</f>
        <v>20190304155418761</v>
      </c>
      <c r="B2614" t="str">
        <f>"1551686058759121"</f>
        <v>1551686058759121</v>
      </c>
      <c r="C2614" t="s">
        <v>40</v>
      </c>
      <c r="D2614">
        <v>4.7254670000000001</v>
      </c>
      <c r="E2614">
        <v>0.52544299999999999</v>
      </c>
      <c r="F2614" t="s">
        <v>65</v>
      </c>
      <c r="G2614">
        <v>-310.82060000000001</v>
      </c>
      <c r="H2614" s="1">
        <v>1.2695760000000001E-6</v>
      </c>
      <c r="I2614">
        <v>214.7621</v>
      </c>
      <c r="J2614">
        <v>-341.62490000000003</v>
      </c>
      <c r="K2614">
        <v>1.10972</v>
      </c>
      <c r="L2614">
        <v>214.88140000000001</v>
      </c>
      <c r="M2614">
        <v>0.99992369999999997</v>
      </c>
      <c r="N2614">
        <v>-1.1510619999999999E-2</v>
      </c>
      <c r="O2614">
        <v>4.5289789999999998E-3</v>
      </c>
      <c r="P2614">
        <v>0.98623749999999999</v>
      </c>
      <c r="Q2614">
        <v>0.15147389999999999</v>
      </c>
      <c r="R2614">
        <v>6.6268549999999996E-2</v>
      </c>
      <c r="S2614">
        <v>3.0594480000000002</v>
      </c>
      <c r="T2614">
        <v>-0.1088469</v>
      </c>
      <c r="U2614">
        <v>-1.153564E-2</v>
      </c>
      <c r="V2614">
        <v>-6.1797530000000003E-2</v>
      </c>
      <c r="W2614">
        <v>0.1628211</v>
      </c>
      <c r="X2614">
        <v>0.98471839999999999</v>
      </c>
      <c r="Y2614">
        <v>8.2914249999999998E-3</v>
      </c>
      <c r="Z2614">
        <v>-3.0414299999999999E-4</v>
      </c>
      <c r="AA2614">
        <v>0.99996560000000001</v>
      </c>
      <c r="AB2614">
        <v>39</v>
      </c>
      <c r="AC2614">
        <v>30.804300000000001</v>
      </c>
      <c r="AD2614">
        <v>-1.1097187304239999</v>
      </c>
      <c r="AE2614">
        <v>-0.119300000000009</v>
      </c>
      <c r="AF2614">
        <v>0.25848456592003599</v>
      </c>
      <c r="AG2614">
        <v>-1.1097187304239999</v>
      </c>
      <c r="AH2614">
        <v>30.763519818276102</v>
      </c>
      <c r="AI2614">
        <v>92.065836480088905</v>
      </c>
      <c r="AJ2614">
        <v>89.5185945472318</v>
      </c>
      <c r="AK2614">
        <v>30.784613714336899</v>
      </c>
      <c r="AL2614">
        <v>80.629318812326005</v>
      </c>
      <c r="AM2614">
        <v>93.5909762062563</v>
      </c>
      <c r="AN2614">
        <v>0.99999998630893505</v>
      </c>
    </row>
    <row r="2615" spans="1:40" x14ac:dyDescent="0.25">
      <c r="A2615" t="str">
        <f>"20190304155418785"</f>
        <v>20190304155418785</v>
      </c>
      <c r="B2615" t="str">
        <f>"1551686058779617"</f>
        <v>1551686058779617</v>
      </c>
      <c r="C2615" t="s">
        <v>40</v>
      </c>
      <c r="D2615">
        <v>4.6639619999999997</v>
      </c>
      <c r="E2615">
        <v>0.52554880000000004</v>
      </c>
      <c r="F2615" t="s">
        <v>65</v>
      </c>
      <c r="G2615">
        <v>-311.04820000000001</v>
      </c>
      <c r="H2615" s="1">
        <v>1.3705029999999999E-6</v>
      </c>
      <c r="I2615">
        <v>214.779</v>
      </c>
      <c r="J2615">
        <v>-341.22640000000001</v>
      </c>
      <c r="K2615">
        <v>1.109726</v>
      </c>
      <c r="L2615">
        <v>214.88319999999999</v>
      </c>
      <c r="M2615">
        <v>0.99992309999999995</v>
      </c>
      <c r="N2615">
        <v>-1.153849E-2</v>
      </c>
      <c r="O2615">
        <v>4.5363850000000004E-3</v>
      </c>
      <c r="P2615">
        <v>0.98628490000000002</v>
      </c>
      <c r="Q2615">
        <v>0.1509307</v>
      </c>
      <c r="R2615">
        <v>6.6796090000000002E-2</v>
      </c>
      <c r="S2615">
        <v>3.059631</v>
      </c>
      <c r="T2615">
        <v>-0.11104319999999999</v>
      </c>
      <c r="U2615">
        <v>-1.025391E-2</v>
      </c>
      <c r="V2615">
        <v>-6.2317499999999998E-2</v>
      </c>
      <c r="W2615">
        <v>0.1623059</v>
      </c>
      <c r="X2615">
        <v>0.9847707</v>
      </c>
      <c r="Y2615">
        <v>7.8797350000000006E-3</v>
      </c>
      <c r="Z2615">
        <v>-3.0067510000000001E-4</v>
      </c>
      <c r="AA2615">
        <v>0.99996890000000005</v>
      </c>
      <c r="AB2615">
        <v>39</v>
      </c>
      <c r="AC2615">
        <v>30.1782</v>
      </c>
      <c r="AD2615">
        <v>-1.109724629497</v>
      </c>
      <c r="AE2615">
        <v>-0.104199999999963</v>
      </c>
      <c r="AF2615">
        <v>0.24078239678296801</v>
      </c>
      <c r="AG2615">
        <v>-1.109724629497</v>
      </c>
      <c r="AH2615">
        <v>30.136666136946399</v>
      </c>
      <c r="AI2615">
        <v>92.108786559288603</v>
      </c>
      <c r="AJ2615">
        <v>89.542234648212798</v>
      </c>
      <c r="AK2615">
        <v>30.158052171280701</v>
      </c>
      <c r="AL2615">
        <v>80.659235713282101</v>
      </c>
      <c r="AM2615">
        <v>93.620919143885203</v>
      </c>
      <c r="AN2615">
        <v>1.0000000037797701</v>
      </c>
    </row>
    <row r="2616" spans="1:40" x14ac:dyDescent="0.25">
      <c r="A2616" t="str">
        <f>"20190304155418806"</f>
        <v>20190304155418806</v>
      </c>
      <c r="B2616" t="str">
        <f>"1551686058799138"</f>
        <v>1551686058799138</v>
      </c>
      <c r="C2616" t="s">
        <v>40</v>
      </c>
      <c r="D2616">
        <v>4.6870450000000003</v>
      </c>
      <c r="E2616">
        <v>0.52568169999999903</v>
      </c>
      <c r="F2616" t="s">
        <v>65</v>
      </c>
      <c r="G2616">
        <v>-311.02339999999998</v>
      </c>
      <c r="H2616" s="1">
        <v>1.359499E-6</v>
      </c>
      <c r="I2616">
        <v>214.785</v>
      </c>
      <c r="J2616">
        <v>-340.83859999999999</v>
      </c>
      <c r="K2616">
        <v>1.1097319999999999</v>
      </c>
      <c r="L2616">
        <v>214.88499999999999</v>
      </c>
      <c r="M2616">
        <v>0.99992289999999995</v>
      </c>
      <c r="N2616">
        <v>-1.1570250000000001E-2</v>
      </c>
      <c r="O2616">
        <v>4.543053E-3</v>
      </c>
      <c r="P2616">
        <v>0.98634250000000001</v>
      </c>
      <c r="Q2616">
        <v>0.15038840000000001</v>
      </c>
      <c r="R2616">
        <v>6.7168909999999998E-2</v>
      </c>
      <c r="S2616">
        <v>3.059631</v>
      </c>
      <c r="T2616">
        <v>-0.11241760000000001</v>
      </c>
      <c r="U2616">
        <v>-9.9487299999999994E-3</v>
      </c>
      <c r="V2616">
        <v>-6.2682979999999999E-2</v>
      </c>
      <c r="W2616">
        <v>0.16179540000000001</v>
      </c>
      <c r="X2616">
        <v>0.98483149999999997</v>
      </c>
      <c r="Y2616">
        <v>7.7865449999999998E-3</v>
      </c>
      <c r="Z2616">
        <v>-3.0237770000000002E-4</v>
      </c>
      <c r="AA2616">
        <v>0.99996969999999996</v>
      </c>
      <c r="AB2616">
        <v>39</v>
      </c>
      <c r="AC2616">
        <v>29.815200000000001</v>
      </c>
      <c r="AD2616">
        <v>-1.1097306405009999</v>
      </c>
      <c r="AE2616">
        <v>-9.9999999999994302E-2</v>
      </c>
      <c r="AF2616">
        <v>0.235134307938486</v>
      </c>
      <c r="AG2616">
        <v>-1.1097306405009999</v>
      </c>
      <c r="AH2616">
        <v>29.7731920928852</v>
      </c>
      <c r="AI2616">
        <v>92.134520274601499</v>
      </c>
      <c r="AJ2616">
        <v>89.547514981214405</v>
      </c>
      <c r="AK2616">
        <v>29.794794136511101</v>
      </c>
      <c r="AL2616">
        <v>80.6888769157746</v>
      </c>
      <c r="AM2616">
        <v>93.641873890826204</v>
      </c>
      <c r="AN2616">
        <v>0.99999999541754503</v>
      </c>
    </row>
    <row r="2617" spans="1:40" x14ac:dyDescent="0.25">
      <c r="A2617" t="str">
        <f>"20190304155418829"</f>
        <v>20190304155418829</v>
      </c>
      <c r="B2617" t="str">
        <f>"1551686058819633"</f>
        <v>1551686058819633</v>
      </c>
      <c r="C2617" t="s">
        <v>40</v>
      </c>
      <c r="D2617">
        <v>4.7515650000000003</v>
      </c>
      <c r="E2617">
        <v>0.52571049999999997</v>
      </c>
      <c r="F2617" t="s">
        <v>65</v>
      </c>
      <c r="G2617">
        <v>-311.02170000000001</v>
      </c>
      <c r="H2617" s="1">
        <v>1.3587419999999999E-6</v>
      </c>
      <c r="I2617">
        <v>214.7885</v>
      </c>
      <c r="J2617">
        <v>-340.44940000000003</v>
      </c>
      <c r="K2617">
        <v>1.109731</v>
      </c>
      <c r="L2617">
        <v>214.88679999999999</v>
      </c>
      <c r="M2617">
        <v>0.99992230000000004</v>
      </c>
      <c r="N2617">
        <v>-1.160358E-2</v>
      </c>
      <c r="O2617">
        <v>4.5497740000000004E-3</v>
      </c>
      <c r="P2617">
        <v>0.98651359999999999</v>
      </c>
      <c r="Q2617">
        <v>0.14902460000000001</v>
      </c>
      <c r="R2617">
        <v>6.7697149999999998E-2</v>
      </c>
      <c r="S2617">
        <v>3.0596009999999998</v>
      </c>
      <c r="T2617">
        <v>-0.1138729</v>
      </c>
      <c r="U2617">
        <v>-9.9029540000000003E-3</v>
      </c>
      <c r="V2617">
        <v>-6.3204040000000003E-2</v>
      </c>
      <c r="W2617">
        <v>0.16046640000000001</v>
      </c>
      <c r="X2617">
        <v>0.98501559999999999</v>
      </c>
      <c r="Y2617">
        <v>7.7781300000000003E-3</v>
      </c>
      <c r="Z2617">
        <v>-3.063354E-4</v>
      </c>
      <c r="AA2617">
        <v>0.99996969999999996</v>
      </c>
      <c r="AB2617">
        <v>39</v>
      </c>
      <c r="AC2617">
        <v>29.427700000000002</v>
      </c>
      <c r="AD2617">
        <v>-1.109729641258</v>
      </c>
      <c r="AE2617">
        <v>-9.8299999999994697E-2</v>
      </c>
      <c r="AF2617">
        <v>0.231867655764254</v>
      </c>
      <c r="AG2617">
        <v>-1.109729641258</v>
      </c>
      <c r="AH2617">
        <v>29.385160739063</v>
      </c>
      <c r="AI2617">
        <v>92.162678218296193</v>
      </c>
      <c r="AJ2617">
        <v>89.547909147383905</v>
      </c>
      <c r="AK2617">
        <v>29.407021851031601</v>
      </c>
      <c r="AL2617">
        <v>80.766030987339505</v>
      </c>
      <c r="AM2617">
        <v>93.671380492168296</v>
      </c>
      <c r="AN2617">
        <v>0.99999997422232001</v>
      </c>
    </row>
    <row r="2618" spans="1:40" x14ac:dyDescent="0.25">
      <c r="A2618" t="str">
        <f>"20190304155418850"</f>
        <v>20190304155418850</v>
      </c>
      <c r="B2618" t="str">
        <f>"1551686058839154"</f>
        <v>1551686058839154</v>
      </c>
      <c r="C2618" t="s">
        <v>40</v>
      </c>
      <c r="D2618">
        <v>4.7069510000000001</v>
      </c>
      <c r="E2618">
        <v>0.50307539999999995</v>
      </c>
      <c r="F2618" t="s">
        <v>65</v>
      </c>
      <c r="G2618">
        <v>-311.77719999999999</v>
      </c>
      <c r="H2618" s="1">
        <v>1.693747E-6</v>
      </c>
      <c r="I2618">
        <v>214.81139999999999</v>
      </c>
      <c r="J2618">
        <v>-340.08620000000002</v>
      </c>
      <c r="K2618">
        <v>1.1097239999999999</v>
      </c>
      <c r="L2618">
        <v>214.88849999999999</v>
      </c>
      <c r="M2618">
        <v>0.99992199999999998</v>
      </c>
      <c r="N2618">
        <v>-1.163368E-2</v>
      </c>
      <c r="O2618">
        <v>4.5554949999999997E-3</v>
      </c>
      <c r="P2618">
        <v>0.9866703</v>
      </c>
      <c r="Q2618">
        <v>0.147534</v>
      </c>
      <c r="R2618">
        <v>6.8671830000000003E-2</v>
      </c>
      <c r="S2618">
        <v>3.0594480000000002</v>
      </c>
      <c r="T2618">
        <v>-0.118413</v>
      </c>
      <c r="U2618">
        <v>-8.0413819999999997E-3</v>
      </c>
      <c r="V2618">
        <v>-6.4172370000000006E-2</v>
      </c>
      <c r="W2618">
        <v>0.1590077</v>
      </c>
      <c r="X2618">
        <v>0.9851896</v>
      </c>
      <c r="Y2618">
        <v>7.1754719999999996E-3</v>
      </c>
      <c r="Z2618">
        <v>-3.0383249999999998E-4</v>
      </c>
      <c r="AA2618">
        <v>0.99997420000000004</v>
      </c>
      <c r="AB2618">
        <v>39</v>
      </c>
      <c r="AC2618">
        <v>28.309000000000001</v>
      </c>
      <c r="AD2618">
        <v>-1.1097223062529999</v>
      </c>
      <c r="AE2618">
        <v>-7.7100000000001501E-2</v>
      </c>
      <c r="AF2618">
        <v>0.20575325742612999</v>
      </c>
      <c r="AG2618">
        <v>-1.1097223062529999</v>
      </c>
      <c r="AH2618">
        <v>28.264921533585301</v>
      </c>
      <c r="AI2618">
        <v>92.248302113404705</v>
      </c>
      <c r="AJ2618">
        <v>89.582925251254593</v>
      </c>
      <c r="AK2618">
        <v>28.2874461077643</v>
      </c>
      <c r="AL2618">
        <v>80.850696128933293</v>
      </c>
      <c r="AM2618">
        <v>93.726814745681395</v>
      </c>
      <c r="AN2618">
        <v>1.0000000448394299</v>
      </c>
    </row>
    <row r="2619" spans="1:40" x14ac:dyDescent="0.25">
      <c r="A2619" t="str">
        <f>"20190304155418872"</f>
        <v>20190304155418872</v>
      </c>
      <c r="B2619" t="str">
        <f>"1551686058869410"</f>
        <v>1551686058869410</v>
      </c>
      <c r="C2619" t="s">
        <v>40</v>
      </c>
      <c r="D2619">
        <v>4.661975</v>
      </c>
      <c r="E2619">
        <v>0.4886991</v>
      </c>
      <c r="F2619" t="s">
        <v>63</v>
      </c>
      <c r="G2619">
        <v>-258.6053</v>
      </c>
      <c r="H2619">
        <v>4.7291220000000002E-2</v>
      </c>
      <c r="I2619">
        <v>219.6163</v>
      </c>
      <c r="J2619">
        <v>-339.7122</v>
      </c>
      <c r="K2619">
        <v>1.1097220000000001</v>
      </c>
      <c r="L2619">
        <v>214.89019999999999</v>
      </c>
      <c r="M2619">
        <v>0.99992170000000002</v>
      </c>
      <c r="N2619">
        <v>-1.166263E-2</v>
      </c>
      <c r="O2619">
        <v>4.5600240000000002E-3</v>
      </c>
      <c r="P2619">
        <v>0.98676569999999997</v>
      </c>
      <c r="Q2619">
        <v>0.14678440000000001</v>
      </c>
      <c r="R2619">
        <v>6.8905159999999993E-2</v>
      </c>
      <c r="S2619">
        <v>3.0341800000000001</v>
      </c>
      <c r="T2619">
        <v>-3.9562819999999999E-2</v>
      </c>
      <c r="U2619">
        <v>0.17605589999999999</v>
      </c>
      <c r="V2619">
        <v>-6.4400699999999894E-2</v>
      </c>
      <c r="W2619">
        <v>0.15828780000000001</v>
      </c>
      <c r="X2619">
        <v>0.98529060000000002</v>
      </c>
      <c r="Y2619">
        <v>-5.336494E-2</v>
      </c>
      <c r="Z2619">
        <v>6.5282860000000003E-4</v>
      </c>
      <c r="AA2619">
        <v>0.99857490000000004</v>
      </c>
      <c r="AB2619">
        <v>39</v>
      </c>
      <c r="AC2619">
        <v>81.106899999999996</v>
      </c>
      <c r="AD2619">
        <v>-1.0624307799999999</v>
      </c>
      <c r="AE2619">
        <v>4.7260999999999997</v>
      </c>
      <c r="AF2619">
        <v>-4.3554315215788098</v>
      </c>
      <c r="AG2619">
        <v>-1.0624307799999999</v>
      </c>
      <c r="AH2619">
        <v>81.113738205688605</v>
      </c>
      <c r="AI2619">
        <v>90.749340008968503</v>
      </c>
      <c r="AJ2619">
        <v>93.073565985932404</v>
      </c>
      <c r="AK2619">
        <v>81.2375348505999</v>
      </c>
      <c r="AL2619">
        <v>80.892472237714202</v>
      </c>
      <c r="AM2619">
        <v>93.739655161666803</v>
      </c>
      <c r="AN2619">
        <v>1.0000000221188401</v>
      </c>
    </row>
    <row r="2620" spans="1:40" x14ac:dyDescent="0.25">
      <c r="A2620" t="str">
        <f>"20190304155418895"</f>
        <v>20190304155418895</v>
      </c>
      <c r="B2620" t="str">
        <f>"1551686058888929"</f>
        <v>1551686058888929</v>
      </c>
      <c r="C2620" t="s">
        <v>40</v>
      </c>
      <c r="D2620">
        <v>4.6413769999999896</v>
      </c>
      <c r="E2620">
        <v>0.48581099999999999</v>
      </c>
      <c r="F2620" t="s">
        <v>65</v>
      </c>
      <c r="G2620">
        <v>-306.16079999999999</v>
      </c>
      <c r="H2620" s="1">
        <v>1.56044099999999E-6</v>
      </c>
      <c r="I2620">
        <v>218.10300000000001</v>
      </c>
      <c r="J2620">
        <v>-339.31259999999997</v>
      </c>
      <c r="K2620">
        <v>1.109728</v>
      </c>
      <c r="L2620">
        <v>214.892</v>
      </c>
      <c r="M2620">
        <v>0.99992139999999996</v>
      </c>
      <c r="N2620">
        <v>-1.1691119999999999E-2</v>
      </c>
      <c r="O2620">
        <v>4.5633569999999997E-3</v>
      </c>
      <c r="P2620">
        <v>0.98671359999999997</v>
      </c>
      <c r="Q2620">
        <v>0.14708280000000001</v>
      </c>
      <c r="R2620">
        <v>6.9016250000000001E-2</v>
      </c>
      <c r="S2620">
        <v>3.0348820000000001</v>
      </c>
      <c r="T2620">
        <v>-0.1003793</v>
      </c>
      <c r="U2620">
        <v>0.29061890000000001</v>
      </c>
      <c r="V2620">
        <v>-6.4508170000000004E-2</v>
      </c>
      <c r="W2620">
        <v>0.15861359999999999</v>
      </c>
      <c r="X2620">
        <v>0.98523119999999997</v>
      </c>
      <c r="Y2620">
        <v>-9.0713989999999994E-2</v>
      </c>
      <c r="Z2620">
        <v>1.9307440000000001E-3</v>
      </c>
      <c r="AA2620">
        <v>0.99587510000000001</v>
      </c>
      <c r="AB2620">
        <v>39</v>
      </c>
      <c r="AC2620">
        <v>33.151799999999902</v>
      </c>
      <c r="AD2620">
        <v>-1.1097264395590001</v>
      </c>
      <c r="AE2620">
        <v>3.2109999999999799</v>
      </c>
      <c r="AF2620">
        <v>-3.0562799687344802</v>
      </c>
      <c r="AG2620">
        <v>-1.1097264395590001</v>
      </c>
      <c r="AH2620">
        <v>33.129331816868202</v>
      </c>
      <c r="AI2620">
        <v>91.910401583315604</v>
      </c>
      <c r="AJ2620">
        <v>95.270788299558205</v>
      </c>
      <c r="AK2620">
        <v>33.288511030836197</v>
      </c>
      <c r="AL2620">
        <v>80.873566670158397</v>
      </c>
      <c r="AM2620">
        <v>93.746103233240305</v>
      </c>
      <c r="AN2620">
        <v>1.0000000477775699</v>
      </c>
    </row>
    <row r="2621" spans="1:40" x14ac:dyDescent="0.25">
      <c r="A2621" t="str">
        <f>"20190304155418918"</f>
        <v>20190304155418918</v>
      </c>
      <c r="B2621" t="str">
        <f>"1551686058909426"</f>
        <v>1551686058909426</v>
      </c>
      <c r="C2621" t="s">
        <v>40</v>
      </c>
      <c r="D2621">
        <v>4.627408</v>
      </c>
      <c r="E2621">
        <v>0.48423579999999999</v>
      </c>
      <c r="F2621" t="s">
        <v>65</v>
      </c>
      <c r="G2621">
        <v>-309.29590000000002</v>
      </c>
      <c r="H2621" s="1">
        <v>1.004321E-6</v>
      </c>
      <c r="I2621">
        <v>217.99119999999999</v>
      </c>
      <c r="J2621">
        <v>-338.93220000000002</v>
      </c>
      <c r="K2621">
        <v>1.1097319999999999</v>
      </c>
      <c r="L2621">
        <v>214.8938</v>
      </c>
      <c r="M2621">
        <v>0.99992099999999995</v>
      </c>
      <c r="N2621">
        <v>-1.1715649999999999E-2</v>
      </c>
      <c r="O2621">
        <v>4.5658790000000001E-3</v>
      </c>
      <c r="P2621">
        <v>0.98663089999999998</v>
      </c>
      <c r="Q2621">
        <v>0.14755779999999999</v>
      </c>
      <c r="R2621">
        <v>6.9182250000000001E-2</v>
      </c>
      <c r="S2621">
        <v>3.0352480000000002</v>
      </c>
      <c r="T2621">
        <v>-0.11221399999999999</v>
      </c>
      <c r="U2621">
        <v>0.31338500000000002</v>
      </c>
      <c r="V2621">
        <v>-6.4671549999999994E-2</v>
      </c>
      <c r="W2621">
        <v>0.15911220000000001</v>
      </c>
      <c r="X2621">
        <v>0.98514000000000002</v>
      </c>
      <c r="Y2621">
        <v>-9.8073450000000006E-2</v>
      </c>
      <c r="Z2621">
        <v>2.2688349999999999E-3</v>
      </c>
      <c r="AA2621">
        <v>0.99517659999999997</v>
      </c>
      <c r="AB2621">
        <v>39</v>
      </c>
      <c r="AC2621">
        <v>29.636299999999999</v>
      </c>
      <c r="AD2621">
        <v>-1.109730995679</v>
      </c>
      <c r="AE2621">
        <v>3.0973999999999902</v>
      </c>
      <c r="AF2621">
        <v>-2.9579400738502901</v>
      </c>
      <c r="AG2621">
        <v>-1.109730995679</v>
      </c>
      <c r="AH2621">
        <v>29.6090672589267</v>
      </c>
      <c r="AI2621">
        <v>92.135787399317294</v>
      </c>
      <c r="AJ2621">
        <v>95.704909224130404</v>
      </c>
      <c r="AK2621">
        <v>29.7771351259134</v>
      </c>
      <c r="AL2621">
        <v>80.844630733127403</v>
      </c>
      <c r="AM2621">
        <v>93.755910558784095</v>
      </c>
      <c r="AN2621">
        <v>0.99999996058412</v>
      </c>
    </row>
    <row r="2622" spans="1:40" x14ac:dyDescent="0.25">
      <c r="A2622" t="str">
        <f>"20190304155418939"</f>
        <v>20190304155418939</v>
      </c>
      <c r="B2622" t="str">
        <f>"1551686058928945"</f>
        <v>1551686058928945</v>
      </c>
      <c r="C2622" t="s">
        <v>40</v>
      </c>
      <c r="D2622">
        <v>4.7952859999999999</v>
      </c>
      <c r="E2622">
        <v>0.48247259999999997</v>
      </c>
      <c r="F2622" t="s">
        <v>65</v>
      </c>
      <c r="G2622">
        <v>-309.78829999999999</v>
      </c>
      <c r="H2622" s="1">
        <v>9.1697380000000001E-7</v>
      </c>
      <c r="I2622">
        <v>218.02080000000001</v>
      </c>
      <c r="J2622">
        <v>-338.55220000000003</v>
      </c>
      <c r="K2622">
        <v>1.1097349999999999</v>
      </c>
      <c r="L2622">
        <v>214.8955</v>
      </c>
      <c r="M2622">
        <v>0.99992080000000005</v>
      </c>
      <c r="N2622">
        <v>-1.173772E-2</v>
      </c>
      <c r="O2622">
        <v>4.5674050000000001E-3</v>
      </c>
      <c r="P2622">
        <v>0.98656679999999997</v>
      </c>
      <c r="Q2622">
        <v>0.147917299999999</v>
      </c>
      <c r="R2622">
        <v>6.9328879999999996E-2</v>
      </c>
      <c r="S2622">
        <v>3.0350649999999999</v>
      </c>
      <c r="T2622">
        <v>-0.1155682</v>
      </c>
      <c r="U2622">
        <v>0.32565309999999997</v>
      </c>
      <c r="V2622">
        <v>-6.4816910000000005E-2</v>
      </c>
      <c r="W2622">
        <v>0.159493</v>
      </c>
      <c r="X2622">
        <v>0.98506890000000003</v>
      </c>
      <c r="Y2622">
        <v>-0.1020475</v>
      </c>
      <c r="Z2622">
        <v>2.4176319999999999E-3</v>
      </c>
      <c r="AA2622">
        <v>0.99477660000000001</v>
      </c>
      <c r="AB2622">
        <v>39</v>
      </c>
      <c r="AC2622">
        <v>28.7639</v>
      </c>
      <c r="AD2622">
        <v>-1.1097340830261999</v>
      </c>
      <c r="AE2622">
        <v>3.1253000000000002</v>
      </c>
      <c r="AF2622">
        <v>-2.9894841198951498</v>
      </c>
      <c r="AG2622">
        <v>-1.1097340830261999</v>
      </c>
      <c r="AH2622">
        <v>28.735602185191102</v>
      </c>
      <c r="AI2622">
        <v>92.199734258113807</v>
      </c>
      <c r="AJ2622">
        <v>95.9393521457894</v>
      </c>
      <c r="AK2622">
        <v>28.9119933242883</v>
      </c>
      <c r="AL2622">
        <v>80.822530574919895</v>
      </c>
      <c r="AM2622">
        <v>93.764599262768499</v>
      </c>
      <c r="AN2622">
        <v>0.99999999330907896</v>
      </c>
    </row>
    <row r="2623" spans="1:40" x14ac:dyDescent="0.25">
      <c r="A2623" t="str">
        <f>"20190304155418962"</f>
        <v>20190304155418962</v>
      </c>
      <c r="B2623" t="str">
        <f>"1551686058959203"</f>
        <v>1551686058959203</v>
      </c>
      <c r="C2623" t="s">
        <v>40</v>
      </c>
      <c r="D2623">
        <v>4.6438569999999997</v>
      </c>
      <c r="E2623">
        <v>0.48190270000000002</v>
      </c>
      <c r="F2623" t="s">
        <v>65</v>
      </c>
      <c r="G2623">
        <v>-309.56119999999999</v>
      </c>
      <c r="H2623" s="1">
        <v>9.5725830000000006E-7</v>
      </c>
      <c r="I2623">
        <v>218.14179999999999</v>
      </c>
      <c r="J2623">
        <v>-338.1687</v>
      </c>
      <c r="K2623">
        <v>1.109739</v>
      </c>
      <c r="L2623">
        <v>214.8972</v>
      </c>
      <c r="M2623">
        <v>0.99992049999999999</v>
      </c>
      <c r="N2623">
        <v>-1.175787E-2</v>
      </c>
      <c r="O2623">
        <v>4.5679960000000004E-3</v>
      </c>
      <c r="P2623">
        <v>0.98651330000000004</v>
      </c>
      <c r="Q2623">
        <v>0.14827109999999999</v>
      </c>
      <c r="R2623">
        <v>6.933483E-2</v>
      </c>
      <c r="S2623">
        <v>3.0343930000000001</v>
      </c>
      <c r="T2623">
        <v>-0.11615250000000001</v>
      </c>
      <c r="U2623">
        <v>0.33978269999999999</v>
      </c>
      <c r="V2623">
        <v>-6.4822350000000001E-2</v>
      </c>
      <c r="W2623">
        <v>0.1598658</v>
      </c>
      <c r="X2623">
        <v>0.98500810000000005</v>
      </c>
      <c r="Y2623">
        <v>-0.1066411</v>
      </c>
      <c r="Z2623">
        <v>2.5424480000000001E-3</v>
      </c>
      <c r="AA2623">
        <v>0.99429429999999996</v>
      </c>
      <c r="AB2623">
        <v>39</v>
      </c>
      <c r="AC2623">
        <v>28.607500000000002</v>
      </c>
      <c r="AD2623">
        <v>-1.1097380427417001</v>
      </c>
      <c r="AE2623">
        <v>3.2445999999999899</v>
      </c>
      <c r="AF2623">
        <v>-3.1092587560151599</v>
      </c>
      <c r="AG2623">
        <v>-1.1097380427417001</v>
      </c>
      <c r="AH2623">
        <v>28.5795632662077</v>
      </c>
      <c r="AI2623">
        <v>92.210634239132602</v>
      </c>
      <c r="AJ2623">
        <v>96.208964950630701</v>
      </c>
      <c r="AK2623">
        <v>28.7696097474841</v>
      </c>
      <c r="AL2623">
        <v>80.800892989934894</v>
      </c>
      <c r="AM2623">
        <v>93.765146034408303</v>
      </c>
      <c r="AN2623">
        <v>0.99999998406738599</v>
      </c>
    </row>
    <row r="2624" spans="1:40" x14ac:dyDescent="0.25">
      <c r="A2624" t="str">
        <f>"20190304155418985"</f>
        <v>20190304155418985</v>
      </c>
      <c r="B2624" t="str">
        <f>"1551686058979697"</f>
        <v>1551686058979697</v>
      </c>
      <c r="C2624" t="s">
        <v>40</v>
      </c>
      <c r="D2624">
        <v>4.6156649999999999</v>
      </c>
      <c r="E2624">
        <v>0.48165370000000002</v>
      </c>
      <c r="F2624" t="s">
        <v>65</v>
      </c>
      <c r="G2624">
        <v>-309.59370000000001</v>
      </c>
      <c r="H2624" s="1">
        <v>9.5150570000000005E-7</v>
      </c>
      <c r="I2624">
        <v>218.13550000000001</v>
      </c>
      <c r="J2624">
        <v>-337.76029999999997</v>
      </c>
      <c r="K2624">
        <v>1.1097319999999999</v>
      </c>
      <c r="L2624">
        <v>214.8991</v>
      </c>
      <c r="M2624">
        <v>0.99992020000000004</v>
      </c>
      <c r="N2624">
        <v>-1.177653E-2</v>
      </c>
      <c r="O2624">
        <v>4.5663170000000003E-3</v>
      </c>
      <c r="P2624">
        <v>0.98629619999999996</v>
      </c>
      <c r="Q2624">
        <v>0.1494499</v>
      </c>
      <c r="R2624">
        <v>6.9887050000000006E-2</v>
      </c>
      <c r="S2624">
        <v>3.0345149999999999</v>
      </c>
      <c r="T2624">
        <v>-0.1178482</v>
      </c>
      <c r="U2624">
        <v>0.34388730000000001</v>
      </c>
      <c r="V2624">
        <v>-6.5376379999999998E-2</v>
      </c>
      <c r="W2624">
        <v>0.1610608</v>
      </c>
      <c r="X2624">
        <v>0.98477680000000001</v>
      </c>
      <c r="Y2624">
        <v>-0.1079624</v>
      </c>
      <c r="Z2624">
        <v>2.6039140000000001E-3</v>
      </c>
      <c r="AA2624">
        <v>0.99415160000000002</v>
      </c>
      <c r="AB2624">
        <v>39</v>
      </c>
      <c r="AC2624">
        <v>28.166599999999899</v>
      </c>
      <c r="AD2624">
        <v>-1.1097310484942999</v>
      </c>
      <c r="AE2624">
        <v>3.2364000000000002</v>
      </c>
      <c r="AF2624">
        <v>-3.10298580459152</v>
      </c>
      <c r="AG2624">
        <v>-1.1097310484942999</v>
      </c>
      <c r="AH2624">
        <v>28.1379772232414</v>
      </c>
      <c r="AI2624">
        <v>92.244917322201502</v>
      </c>
      <c r="AJ2624">
        <v>96.293007552319594</v>
      </c>
      <c r="AK2624">
        <v>28.330298023832</v>
      </c>
      <c r="AL2624">
        <v>80.731525792906595</v>
      </c>
      <c r="AM2624">
        <v>93.798121869682603</v>
      </c>
      <c r="AN2624">
        <v>0.99999999908839199</v>
      </c>
    </row>
    <row r="2625" spans="1:40" x14ac:dyDescent="0.25">
      <c r="A2625" t="str">
        <f>"20190304155419008"</f>
        <v>20190304155419008</v>
      </c>
      <c r="B2625" t="str">
        <f>"1551686058999218"</f>
        <v>1551686058999218</v>
      </c>
      <c r="C2625" t="s">
        <v>40</v>
      </c>
      <c r="D2625">
        <v>4.6288150000000003</v>
      </c>
      <c r="E2625">
        <v>0.48143370000000002</v>
      </c>
      <c r="F2625" t="s">
        <v>65</v>
      </c>
      <c r="G2625">
        <v>-308.82549999999998</v>
      </c>
      <c r="H2625" s="1">
        <v>1.087761E-6</v>
      </c>
      <c r="I2625">
        <v>218.21190000000001</v>
      </c>
      <c r="J2625">
        <v>-337.375</v>
      </c>
      <c r="K2625">
        <v>1.109729</v>
      </c>
      <c r="L2625">
        <v>214.9008</v>
      </c>
      <c r="M2625">
        <v>0.99992009999999998</v>
      </c>
      <c r="N2625">
        <v>-1.1791859999999999E-2</v>
      </c>
      <c r="O2625">
        <v>4.5620249999999999E-3</v>
      </c>
      <c r="P2625">
        <v>0.98625019999999997</v>
      </c>
      <c r="Q2625">
        <v>0.14957879999999901</v>
      </c>
      <c r="R2625">
        <v>7.0260820000000002E-2</v>
      </c>
      <c r="S2625">
        <v>3.0346679999999999</v>
      </c>
      <c r="T2625">
        <v>-0.1163882</v>
      </c>
      <c r="U2625">
        <v>0.34744259999999999</v>
      </c>
      <c r="V2625">
        <v>-6.575375E-2</v>
      </c>
      <c r="W2625">
        <v>0.16120479999999901</v>
      </c>
      <c r="X2625">
        <v>0.9847281</v>
      </c>
      <c r="Y2625">
        <v>-0.109112</v>
      </c>
      <c r="Z2625">
        <v>2.6098359999999999E-3</v>
      </c>
      <c r="AA2625">
        <v>0.99402610000000002</v>
      </c>
      <c r="AB2625">
        <v>39</v>
      </c>
      <c r="AC2625">
        <v>28.549499999999998</v>
      </c>
      <c r="AD2625">
        <v>-1.109727912239</v>
      </c>
      <c r="AE2625">
        <v>3.3111000000000099</v>
      </c>
      <c r="AF2625">
        <v>-3.1760779060654398</v>
      </c>
      <c r="AG2625">
        <v>-1.109727912239</v>
      </c>
      <c r="AH2625">
        <v>28.5217875931341</v>
      </c>
      <c r="AI2625">
        <v>92.214470823812604</v>
      </c>
      <c r="AJ2625">
        <v>96.354062725350204</v>
      </c>
      <c r="AK2625">
        <v>28.719528798579798</v>
      </c>
      <c r="AL2625">
        <v>80.723165847874697</v>
      </c>
      <c r="AM2625">
        <v>93.820169281501293</v>
      </c>
      <c r="AN2625">
        <v>0.99999998705585602</v>
      </c>
    </row>
    <row r="2626" spans="1:40" x14ac:dyDescent="0.25">
      <c r="A2626" t="str">
        <f>"20190304155419051"</f>
        <v>20190304155419051</v>
      </c>
      <c r="B2626" t="str">
        <f>"1551686059048994"</f>
        <v>1551686059048994</v>
      </c>
      <c r="C2626" t="s">
        <v>40</v>
      </c>
      <c r="D2626">
        <v>4.6414720000000003</v>
      </c>
      <c r="E2626">
        <v>0.48078739999999998</v>
      </c>
      <c r="F2626" t="s">
        <v>65</v>
      </c>
      <c r="G2626">
        <v>-308.78710000000001</v>
      </c>
      <c r="H2626" s="1">
        <v>1.094575E-6</v>
      </c>
      <c r="I2626">
        <v>218.2071</v>
      </c>
      <c r="J2626">
        <v>-336.6207</v>
      </c>
      <c r="K2626">
        <v>1.1097189999999999</v>
      </c>
      <c r="L2626">
        <v>214.90430000000001</v>
      </c>
      <c r="M2626">
        <v>0.99991980000000003</v>
      </c>
      <c r="N2626">
        <v>-1.1817009999999999E-2</v>
      </c>
      <c r="O2626">
        <v>4.5429440000000001E-3</v>
      </c>
      <c r="P2626">
        <v>0.98634690000000003</v>
      </c>
      <c r="Q2626">
        <v>0.14911759999999999</v>
      </c>
      <c r="R2626">
        <v>6.9882379999999994E-2</v>
      </c>
      <c r="S2626">
        <v>3.0346679999999999</v>
      </c>
      <c r="T2626">
        <v>-0.1178001</v>
      </c>
      <c r="U2626">
        <v>0.35096739999999998</v>
      </c>
      <c r="V2626">
        <v>-6.5391260000000007E-2</v>
      </c>
      <c r="W2626">
        <v>0.16077040000000001</v>
      </c>
      <c r="X2626">
        <v>0.98482329999999996</v>
      </c>
      <c r="Y2626">
        <v>-0.110267</v>
      </c>
      <c r="Z2626">
        <v>2.6641030000000001E-3</v>
      </c>
      <c r="AA2626">
        <v>0.99389850000000002</v>
      </c>
      <c r="AB2626">
        <v>39</v>
      </c>
      <c r="AC2626">
        <v>27.833599999999901</v>
      </c>
      <c r="AD2626">
        <v>-1.1097179054249999</v>
      </c>
      <c r="AE2626">
        <v>3.3027999999999902</v>
      </c>
      <c r="AF2626">
        <v>-3.1713394429869401</v>
      </c>
      <c r="AG2626">
        <v>-1.1097179054249999</v>
      </c>
      <c r="AH2626">
        <v>27.804733666920601</v>
      </c>
      <c r="AI2626">
        <v>92.270818006032698</v>
      </c>
      <c r="AJ2626">
        <v>96.506896387976298</v>
      </c>
      <c r="AK2626">
        <v>28.007000588793101</v>
      </c>
      <c r="AL2626">
        <v>80.748384521089903</v>
      </c>
      <c r="AM2626">
        <v>93.798804960742402</v>
      </c>
      <c r="AN2626">
        <v>1.00000003531171</v>
      </c>
    </row>
    <row r="2627" spans="1:40" x14ac:dyDescent="0.25">
      <c r="A2627" t="str">
        <f>"20190304155419074"</f>
        <v>20190304155419074</v>
      </c>
      <c r="B2627" t="str">
        <f>"1551686059069490"</f>
        <v>1551686059069490</v>
      </c>
      <c r="C2627" t="s">
        <v>40</v>
      </c>
      <c r="D2627">
        <v>4.6148129999999998</v>
      </c>
      <c r="E2627">
        <v>0.48063099999999997</v>
      </c>
      <c r="F2627" t="s">
        <v>65</v>
      </c>
      <c r="G2627">
        <v>-309.03840000000002</v>
      </c>
      <c r="H2627" s="1">
        <v>1.0500060000000001E-6</v>
      </c>
      <c r="I2627">
        <v>218.12649999999999</v>
      </c>
      <c r="J2627">
        <v>-336.2208</v>
      </c>
      <c r="K2627">
        <v>1.1097140000000001</v>
      </c>
      <c r="L2627">
        <v>214.90610000000001</v>
      </c>
      <c r="M2627">
        <v>0.99991989999999997</v>
      </c>
      <c r="N2627">
        <v>-1.1828089999999999E-2</v>
      </c>
      <c r="O2627">
        <v>4.5278690000000003E-3</v>
      </c>
      <c r="P2627">
        <v>0.98645269999999996</v>
      </c>
      <c r="Q2627">
        <v>0.14856340000000001</v>
      </c>
      <c r="R2627">
        <v>6.9572019999999998E-2</v>
      </c>
      <c r="S2627">
        <v>3.0348510000000002</v>
      </c>
      <c r="T2627">
        <v>-0.12210070000000001</v>
      </c>
      <c r="U2627">
        <v>0.35453800000000002</v>
      </c>
      <c r="V2627">
        <v>-6.5094150000000003E-2</v>
      </c>
      <c r="W2627">
        <v>0.16022919999999999</v>
      </c>
      <c r="X2627">
        <v>0.98493120000000001</v>
      </c>
      <c r="Y2627">
        <v>-0.111420699999999</v>
      </c>
      <c r="Z2627">
        <v>2.7663409999999999E-3</v>
      </c>
      <c r="AA2627">
        <v>0.99376949999999997</v>
      </c>
      <c r="AB2627">
        <v>39</v>
      </c>
      <c r="AC2627">
        <v>27.182399999999902</v>
      </c>
      <c r="AD2627">
        <v>-1.1097129499939999</v>
      </c>
      <c r="AE2627">
        <v>3.2203999999999802</v>
      </c>
      <c r="AF2627">
        <v>-3.0921977481213099</v>
      </c>
      <c r="AG2627">
        <v>-1.1097129499939999</v>
      </c>
      <c r="AH2627">
        <v>27.152077123273401</v>
      </c>
      <c r="AI2627">
        <v>92.325377492462394</v>
      </c>
      <c r="AJ2627">
        <v>96.497103013552703</v>
      </c>
      <c r="AK2627">
        <v>27.350108625982799</v>
      </c>
      <c r="AL2627">
        <v>80.779800474070697</v>
      </c>
      <c r="AM2627">
        <v>93.781181931603697</v>
      </c>
      <c r="AN2627">
        <v>1.0000000568151399</v>
      </c>
    </row>
    <row r="2628" spans="1:40" x14ac:dyDescent="0.25">
      <c r="A2628" t="str">
        <f>"20190304155419096"</f>
        <v>20190304155419096</v>
      </c>
      <c r="B2628" t="str">
        <f>"1551686059089010"</f>
        <v>1551686059089010</v>
      </c>
      <c r="C2628" t="s">
        <v>40</v>
      </c>
      <c r="D2628">
        <v>4.6264129999999897</v>
      </c>
      <c r="E2628">
        <v>0.48045549999999998</v>
      </c>
      <c r="F2628" t="s">
        <v>65</v>
      </c>
      <c r="G2628">
        <v>-309.38130000000001</v>
      </c>
      <c r="H2628" s="1">
        <v>9.8917329999999991E-7</v>
      </c>
      <c r="I2628">
        <v>218.04429999999999</v>
      </c>
      <c r="J2628">
        <v>-335.84949999999998</v>
      </c>
      <c r="K2628">
        <v>1.1097109999999999</v>
      </c>
      <c r="L2628">
        <v>214.90770000000001</v>
      </c>
      <c r="M2628">
        <v>0.99991969999999997</v>
      </c>
      <c r="N2628">
        <v>-1.1837189999999999E-2</v>
      </c>
      <c r="O2628">
        <v>4.5119239999999996E-3</v>
      </c>
      <c r="P2628">
        <v>0.98651730000000004</v>
      </c>
      <c r="Q2628">
        <v>0.1481259</v>
      </c>
      <c r="R2628">
        <v>6.9586980000000007E-2</v>
      </c>
      <c r="S2628">
        <v>3.035034</v>
      </c>
      <c r="T2628">
        <v>-0.1254874</v>
      </c>
      <c r="U2628">
        <v>0.35487370000000001</v>
      </c>
      <c r="V2628">
        <v>-6.5123630000000002E-2</v>
      </c>
      <c r="W2628">
        <v>0.15980129999999901</v>
      </c>
      <c r="X2628">
        <v>0.9849987</v>
      </c>
      <c r="Y2628">
        <v>-0.1115324</v>
      </c>
      <c r="Z2628">
        <v>2.8270550000000002E-3</v>
      </c>
      <c r="AA2628">
        <v>0.9937568</v>
      </c>
      <c r="AB2628">
        <v>39</v>
      </c>
      <c r="AC2628">
        <v>26.4681999999999</v>
      </c>
      <c r="AD2628">
        <v>-1.1097100108267</v>
      </c>
      <c r="AE2628">
        <v>3.1365999999999801</v>
      </c>
      <c r="AF2628">
        <v>-3.0119161528484901</v>
      </c>
      <c r="AG2628">
        <v>-1.1097100108267</v>
      </c>
      <c r="AH2628">
        <v>26.436257460941398</v>
      </c>
      <c r="AI2628">
        <v>92.388251349065897</v>
      </c>
      <c r="AJ2628">
        <v>96.499754118813399</v>
      </c>
      <c r="AK2628">
        <v>26.6304112578289</v>
      </c>
      <c r="AL2628">
        <v>80.804636759708799</v>
      </c>
      <c r="AM2628">
        <v>93.782630910355195</v>
      </c>
      <c r="AN2628">
        <v>0.99999999083387803</v>
      </c>
    </row>
    <row r="2629" spans="1:40" x14ac:dyDescent="0.25">
      <c r="A2629" t="str">
        <f>"20190304155419118"</f>
        <v>20190304155419118</v>
      </c>
      <c r="B2629" t="str">
        <f>"1551686059109505"</f>
        <v>1551686059109505</v>
      </c>
      <c r="C2629" t="s">
        <v>40</v>
      </c>
      <c r="D2629">
        <v>4.6131359999999999</v>
      </c>
      <c r="E2629">
        <v>0.4803173</v>
      </c>
      <c r="F2629" t="s">
        <v>65</v>
      </c>
      <c r="G2629">
        <v>-309.5557</v>
      </c>
      <c r="H2629" s="1">
        <v>9.5823109999999994E-7</v>
      </c>
      <c r="I2629">
        <v>217.99619999999999</v>
      </c>
      <c r="J2629">
        <v>-335.47019999999998</v>
      </c>
      <c r="K2629">
        <v>1.10972</v>
      </c>
      <c r="L2629">
        <v>214.90940000000001</v>
      </c>
      <c r="M2629">
        <v>0.99991980000000003</v>
      </c>
      <c r="N2629">
        <v>-1.184545E-2</v>
      </c>
      <c r="O2629">
        <v>4.4933730000000002E-3</v>
      </c>
      <c r="P2629">
        <v>0.98654010000000003</v>
      </c>
      <c r="Q2629">
        <v>0.1481045</v>
      </c>
      <c r="R2629">
        <v>6.9309190000000007E-2</v>
      </c>
      <c r="S2629">
        <v>3.035126</v>
      </c>
      <c r="T2629">
        <v>-0.1280956</v>
      </c>
      <c r="U2629">
        <v>0.3565063</v>
      </c>
      <c r="V2629">
        <v>-6.4863550000000006E-2</v>
      </c>
      <c r="W2629">
        <v>0.15978909999999999</v>
      </c>
      <c r="X2629">
        <v>0.98501780000000005</v>
      </c>
      <c r="Y2629">
        <v>-0.11206969999999999</v>
      </c>
      <c r="Z2629">
        <v>2.8863439999999999E-3</v>
      </c>
      <c r="AA2629">
        <v>0.99369620000000003</v>
      </c>
      <c r="AB2629">
        <v>39</v>
      </c>
      <c r="AC2629">
        <v>25.914499999999901</v>
      </c>
      <c r="AD2629">
        <v>-1.10971904176889</v>
      </c>
      <c r="AE2629">
        <v>3.0867999999999798</v>
      </c>
      <c r="AF2629">
        <v>-2.9649562259007101</v>
      </c>
      <c r="AG2629">
        <v>-1.10971904176889</v>
      </c>
      <c r="AH2629">
        <v>25.8813135328339</v>
      </c>
      <c r="AI2629">
        <v>92.439245877698994</v>
      </c>
      <c r="AJ2629">
        <v>96.535298658629699</v>
      </c>
      <c r="AK2629">
        <v>26.074217763108901</v>
      </c>
      <c r="AL2629">
        <v>80.805344502078299</v>
      </c>
      <c r="AM2629">
        <v>93.767495214110397</v>
      </c>
      <c r="AN2629">
        <v>0.99999995145712495</v>
      </c>
    </row>
    <row r="2630" spans="1:40" x14ac:dyDescent="0.25">
      <c r="A2630" t="str">
        <f>"20190304155419140"</f>
        <v>20190304155419140</v>
      </c>
      <c r="B2630" t="str">
        <f>"1551686059129025"</f>
        <v>1551686059129025</v>
      </c>
      <c r="C2630" t="s">
        <v>40</v>
      </c>
      <c r="D2630">
        <v>4.5928879999999896</v>
      </c>
      <c r="E2630">
        <v>0.4801801</v>
      </c>
      <c r="F2630" t="s">
        <v>65</v>
      </c>
      <c r="G2630">
        <v>-309.41269999999997</v>
      </c>
      <c r="H2630" s="1">
        <v>9.8359689999999997E-7</v>
      </c>
      <c r="I2630">
        <v>217.97329999999999</v>
      </c>
      <c r="J2630">
        <v>-335.07560000000001</v>
      </c>
      <c r="K2630">
        <v>1.1097170000000001</v>
      </c>
      <c r="L2630">
        <v>214.91120000000001</v>
      </c>
      <c r="M2630">
        <v>0.99991969999999997</v>
      </c>
      <c r="N2630">
        <v>-1.185306E-2</v>
      </c>
      <c r="O2630">
        <v>4.4734600000000003E-3</v>
      </c>
      <c r="P2630">
        <v>0.98657269999999997</v>
      </c>
      <c r="Q2630">
        <v>0.14789089999999999</v>
      </c>
      <c r="R2630">
        <v>6.9299849999999996E-2</v>
      </c>
      <c r="S2630">
        <v>3.0352169999999998</v>
      </c>
      <c r="T2630">
        <v>-0.12926170000000001</v>
      </c>
      <c r="U2630">
        <v>0.35688779999999998</v>
      </c>
      <c r="V2630">
        <v>-6.487279E-2</v>
      </c>
      <c r="W2630">
        <v>0.15958339999999999</v>
      </c>
      <c r="X2630">
        <v>0.9850506</v>
      </c>
      <c r="Y2630">
        <v>-0.112207</v>
      </c>
      <c r="Z2630">
        <v>2.9107820000000002E-3</v>
      </c>
      <c r="AA2630">
        <v>0.99368060000000002</v>
      </c>
      <c r="AB2630">
        <v>39</v>
      </c>
      <c r="AC2630">
        <v>25.6629</v>
      </c>
      <c r="AD2630">
        <v>-1.1097160164030999</v>
      </c>
      <c r="AE2630">
        <v>3.0620999999999801</v>
      </c>
      <c r="AF2630">
        <v>-2.9418356865348101</v>
      </c>
      <c r="AG2630">
        <v>-1.1097160164030999</v>
      </c>
      <c r="AH2630">
        <v>25.6290918828761</v>
      </c>
      <c r="AI2630">
        <v>92.463152182375296</v>
      </c>
      <c r="AJ2630">
        <v>96.548039125359196</v>
      </c>
      <c r="AK2630">
        <v>25.821235787323101</v>
      </c>
      <c r="AL2630">
        <v>80.817284012628207</v>
      </c>
      <c r="AM2630">
        <v>93.767905253059297</v>
      </c>
      <c r="AN2630">
        <v>1.0000000124991499</v>
      </c>
    </row>
    <row r="2631" spans="1:40" x14ac:dyDescent="0.25">
      <c r="A2631" t="str">
        <f>"20190304155419163"</f>
        <v>20190304155419163</v>
      </c>
      <c r="B2631" t="str">
        <f>"1551686059159281"</f>
        <v>1551686059159281</v>
      </c>
      <c r="C2631" t="s">
        <v>40</v>
      </c>
      <c r="D2631">
        <v>4.6618259999999996</v>
      </c>
      <c r="E2631">
        <v>0.46201930000000002</v>
      </c>
      <c r="F2631" t="s">
        <v>65</v>
      </c>
      <c r="G2631">
        <v>-309.31700000000001</v>
      </c>
      <c r="H2631" s="1">
        <v>1.000568E-6</v>
      </c>
      <c r="I2631">
        <v>217.94909999999999</v>
      </c>
      <c r="J2631">
        <v>-334.69850000000002</v>
      </c>
      <c r="K2631">
        <v>1.1097129999999999</v>
      </c>
      <c r="L2631">
        <v>214.9128</v>
      </c>
      <c r="M2631">
        <v>0.99991980000000003</v>
      </c>
      <c r="N2631">
        <v>-1.1859450000000001E-2</v>
      </c>
      <c r="O2631">
        <v>4.453383E-3</v>
      </c>
      <c r="P2631">
        <v>0.98659110000000005</v>
      </c>
      <c r="Q2631">
        <v>0.14793020000000001</v>
      </c>
      <c r="R2631">
        <v>6.8955849999999999E-2</v>
      </c>
      <c r="S2631">
        <v>3.0352779999999999</v>
      </c>
      <c r="T2631">
        <v>-0.13076450000000001</v>
      </c>
      <c r="U2631">
        <v>0.35797119999999999</v>
      </c>
      <c r="V2631">
        <v>-6.45482E-2</v>
      </c>
      <c r="W2631">
        <v>0.15962899999999999</v>
      </c>
      <c r="X2631">
        <v>0.98506450000000001</v>
      </c>
      <c r="Y2631">
        <v>-0.1125714</v>
      </c>
      <c r="Z2631">
        <v>2.947154E-3</v>
      </c>
      <c r="AA2631">
        <v>0.9936393</v>
      </c>
      <c r="AB2631">
        <v>39</v>
      </c>
      <c r="AC2631">
        <v>25.381499999999999</v>
      </c>
      <c r="AD2631">
        <v>-1.1097119994319999</v>
      </c>
      <c r="AE2631">
        <v>3.0362999999999798</v>
      </c>
      <c r="AF2631">
        <v>-2.9177296999008502</v>
      </c>
      <c r="AG2631">
        <v>-1.1097119994319999</v>
      </c>
      <c r="AH2631">
        <v>25.347002521164001</v>
      </c>
      <c r="AI2631">
        <v>92.490429411364602</v>
      </c>
      <c r="AJ2631">
        <v>96.566497442485996</v>
      </c>
      <c r="AK2631">
        <v>25.538503169357099</v>
      </c>
      <c r="AL2631">
        <v>80.814637082184802</v>
      </c>
      <c r="AM2631">
        <v>93.749053747695896</v>
      </c>
      <c r="AN2631">
        <v>0.99999997846224398</v>
      </c>
    </row>
    <row r="2632" spans="1:40" x14ac:dyDescent="0.25">
      <c r="A2632" t="str">
        <f>"20190304155419185"</f>
        <v>20190304155419185</v>
      </c>
      <c r="B2632" t="str">
        <f>"1551686059179778"</f>
        <v>1551686059179778</v>
      </c>
      <c r="C2632" t="s">
        <v>40</v>
      </c>
      <c r="D2632">
        <v>4.5988699999999998</v>
      </c>
      <c r="E2632">
        <v>0.45377070000000003</v>
      </c>
      <c r="F2632" t="s">
        <v>65</v>
      </c>
      <c r="G2632">
        <v>-313.63589999999999</v>
      </c>
      <c r="H2632" s="1">
        <v>2.517999E-6</v>
      </c>
      <c r="I2632">
        <v>218.39850000000001</v>
      </c>
      <c r="J2632">
        <v>-334.31</v>
      </c>
      <c r="K2632">
        <v>1.10972</v>
      </c>
      <c r="L2632">
        <v>214.91460000000001</v>
      </c>
      <c r="M2632">
        <v>0.99991980000000003</v>
      </c>
      <c r="N2632">
        <v>-1.1865270000000001E-2</v>
      </c>
      <c r="O2632">
        <v>4.4331300000000004E-3</v>
      </c>
      <c r="P2632">
        <v>0.9866241</v>
      </c>
      <c r="Q2632">
        <v>0.14776800000000001</v>
      </c>
      <c r="R2632">
        <v>6.8829230000000005E-2</v>
      </c>
      <c r="S2632">
        <v>3.0296630000000002</v>
      </c>
      <c r="T2632">
        <v>-0.15962109999999999</v>
      </c>
      <c r="U2632">
        <v>0.50137330000000002</v>
      </c>
      <c r="V2632">
        <v>-6.4441349999999994E-2</v>
      </c>
      <c r="W2632">
        <v>0.159472799999999</v>
      </c>
      <c r="X2632">
        <v>0.98509679999999999</v>
      </c>
      <c r="Y2632">
        <v>-0.1586322</v>
      </c>
      <c r="Z2632">
        <v>4.9165049999999998E-3</v>
      </c>
      <c r="AA2632">
        <v>0.98732549999999997</v>
      </c>
      <c r="AB2632">
        <v>39</v>
      </c>
      <c r="AC2632">
        <v>20.674099999999999</v>
      </c>
      <c r="AD2632">
        <v>-1.1097174820010001</v>
      </c>
      <c r="AE2632">
        <v>3.4839000000000002</v>
      </c>
      <c r="AF2632">
        <v>-3.3827311791326902</v>
      </c>
      <c r="AG2632">
        <v>-1.1097174820010001</v>
      </c>
      <c r="AH2632">
        <v>20.6315405598477</v>
      </c>
      <c r="AI2632">
        <v>93.038334909365204</v>
      </c>
      <c r="AJ2632">
        <v>99.311323249375405</v>
      </c>
      <c r="AK2632">
        <v>20.936446904686999</v>
      </c>
      <c r="AL2632">
        <v>80.823702864081199</v>
      </c>
      <c r="AM2632">
        <v>93.742743024064893</v>
      </c>
      <c r="AN2632">
        <v>0.999999983449951</v>
      </c>
    </row>
    <row r="2633" spans="1:40" x14ac:dyDescent="0.25">
      <c r="A2633" t="str">
        <f>"20190304155419210"</f>
        <v>20190304155419210</v>
      </c>
      <c r="B2633" t="str">
        <f>"1551686059199298"</f>
        <v>1551686059199298</v>
      </c>
      <c r="C2633" t="s">
        <v>40</v>
      </c>
      <c r="D2633">
        <v>4.8538560000000004</v>
      </c>
      <c r="E2633">
        <v>0.44990370000000002</v>
      </c>
      <c r="F2633" t="s">
        <v>65</v>
      </c>
      <c r="G2633">
        <v>-313.11360000000002</v>
      </c>
      <c r="H2633" s="1">
        <v>2.2863730000000001E-6</v>
      </c>
      <c r="I2633">
        <v>218.8879</v>
      </c>
      <c r="J2633">
        <v>-333.8954</v>
      </c>
      <c r="K2633">
        <v>1.109721</v>
      </c>
      <c r="L2633">
        <v>214.91640000000001</v>
      </c>
      <c r="M2633">
        <v>0.99991989999999997</v>
      </c>
      <c r="N2633">
        <v>-1.1870779999999999E-2</v>
      </c>
      <c r="O2633">
        <v>4.4113909999999997E-3</v>
      </c>
      <c r="P2633">
        <v>0.9865543</v>
      </c>
      <c r="Q2633">
        <v>0.148338</v>
      </c>
      <c r="R2633">
        <v>6.8606189999999997E-2</v>
      </c>
      <c r="S2633">
        <v>3.0248409999999999</v>
      </c>
      <c r="T2633">
        <v>-0.15836220000000001</v>
      </c>
      <c r="U2633">
        <v>0.56701659999999998</v>
      </c>
      <c r="V2633">
        <v>-6.4239409999999997E-2</v>
      </c>
      <c r="W2633">
        <v>0.16004749999999901</v>
      </c>
      <c r="X2633">
        <v>0.98501680000000003</v>
      </c>
      <c r="Y2633">
        <v>-0.17961669999999999</v>
      </c>
      <c r="Z2633">
        <v>5.5574329999999996E-3</v>
      </c>
      <c r="AA2633">
        <v>0.98372099999999996</v>
      </c>
      <c r="AB2633">
        <v>39</v>
      </c>
      <c r="AC2633">
        <v>20.781799999999901</v>
      </c>
      <c r="AD2633">
        <v>-1.1097187136269999</v>
      </c>
      <c r="AE2633">
        <v>3.97149999999999</v>
      </c>
      <c r="AF2633">
        <v>-3.8691344903806799</v>
      </c>
      <c r="AG2633">
        <v>-1.1097187136269999</v>
      </c>
      <c r="AH2633">
        <v>20.742058637985998</v>
      </c>
      <c r="AI2633">
        <v>93.010623518120795</v>
      </c>
      <c r="AJ2633">
        <v>100.566272241085</v>
      </c>
      <c r="AK2633">
        <v>21.129000777833198</v>
      </c>
      <c r="AL2633">
        <v>80.790346700655107</v>
      </c>
      <c r="AM2633">
        <v>93.731349730620906</v>
      </c>
      <c r="AN2633">
        <v>1.00000000016781</v>
      </c>
    </row>
    <row r="2634" spans="1:40" x14ac:dyDescent="0.25">
      <c r="A2634" t="str">
        <f>"20190304155419232"</f>
        <v>20190304155419232</v>
      </c>
      <c r="B2634" t="str">
        <f>"1551686059219794"</f>
        <v>1551686059219794</v>
      </c>
      <c r="C2634" t="s">
        <v>40</v>
      </c>
      <c r="D2634">
        <v>4.6375669999999998</v>
      </c>
      <c r="E2634">
        <v>0.44803890000000002</v>
      </c>
      <c r="F2634" t="s">
        <v>65</v>
      </c>
      <c r="G2634">
        <v>-312.9237</v>
      </c>
      <c r="H2634" s="1">
        <v>2.2021949999999999E-6</v>
      </c>
      <c r="I2634">
        <v>219.0598</v>
      </c>
      <c r="J2634">
        <v>-333.50580000000002</v>
      </c>
      <c r="K2634">
        <v>1.109723</v>
      </c>
      <c r="L2634">
        <v>214.91810000000001</v>
      </c>
      <c r="M2634">
        <v>0.99992009999999998</v>
      </c>
      <c r="N2634">
        <v>-1.1875399999999999E-2</v>
      </c>
      <c r="O2634">
        <v>4.3916839999999999E-3</v>
      </c>
      <c r="P2634">
        <v>0.98648579999999997</v>
      </c>
      <c r="Q2634">
        <v>0.1487888</v>
      </c>
      <c r="R2634">
        <v>6.8616259999999998E-2</v>
      </c>
      <c r="S2634">
        <v>3.0233759999999998</v>
      </c>
      <c r="T2634">
        <v>-0.15998219999999999</v>
      </c>
      <c r="U2634">
        <v>0.59733579999999997</v>
      </c>
      <c r="V2634">
        <v>-6.4269359999999998E-2</v>
      </c>
      <c r="W2634">
        <v>0.16050220000000001</v>
      </c>
      <c r="X2634">
        <v>0.98494090000000001</v>
      </c>
      <c r="Y2634">
        <v>-0.18920490000000001</v>
      </c>
      <c r="Z2634">
        <v>5.911431E-3</v>
      </c>
      <c r="AA2634">
        <v>0.98191980000000001</v>
      </c>
      <c r="AB2634">
        <v>39</v>
      </c>
      <c r="AC2634">
        <v>20.582100000000001</v>
      </c>
      <c r="AD2634">
        <v>-1.1097207978049899</v>
      </c>
      <c r="AE2634">
        <v>4.1416999999999797</v>
      </c>
      <c r="AF2634">
        <v>-4.0399763820813197</v>
      </c>
      <c r="AG2634">
        <v>-1.1097207978049899</v>
      </c>
      <c r="AH2634">
        <v>20.542697806542801</v>
      </c>
      <c r="AI2634">
        <v>93.034118825009202</v>
      </c>
      <c r="AJ2634">
        <v>101.125939978745</v>
      </c>
      <c r="AK2634">
        <v>20.9655747020633</v>
      </c>
      <c r="AL2634">
        <v>80.763953490909103</v>
      </c>
      <c r="AM2634">
        <v>93.733371319691599</v>
      </c>
      <c r="AN2634">
        <v>1.00000004166622</v>
      </c>
    </row>
    <row r="2635" spans="1:40" x14ac:dyDescent="0.25">
      <c r="A2635" t="str">
        <f>"20190304155419252"</f>
        <v>20190304155419252</v>
      </c>
      <c r="B2635" t="str">
        <f>"1551686059249074"</f>
        <v>1551686059249074</v>
      </c>
      <c r="C2635" t="s">
        <v>40</v>
      </c>
      <c r="D2635">
        <v>4.5849019999999996</v>
      </c>
      <c r="E2635">
        <v>0.4461099</v>
      </c>
      <c r="F2635" t="s">
        <v>65</v>
      </c>
      <c r="G2635">
        <v>-311.21109999999999</v>
      </c>
      <c r="H2635" s="1">
        <v>1.442723E-6</v>
      </c>
      <c r="I2635">
        <v>219.4408</v>
      </c>
      <c r="J2635">
        <v>-333.14280000000002</v>
      </c>
      <c r="K2635">
        <v>1.109718</v>
      </c>
      <c r="L2635">
        <v>214.9196</v>
      </c>
      <c r="M2635">
        <v>0.99991980000000003</v>
      </c>
      <c r="N2635">
        <v>-1.1879270000000001E-2</v>
      </c>
      <c r="O2635">
        <v>4.3734749999999999E-3</v>
      </c>
      <c r="P2635">
        <v>0.98651089999999997</v>
      </c>
      <c r="Q2635">
        <v>0.14870910000000001</v>
      </c>
      <c r="R2635">
        <v>6.8425059999999996E-2</v>
      </c>
      <c r="S2635">
        <v>3.0211489999999999</v>
      </c>
      <c r="T2635">
        <v>-0.15037829999999999</v>
      </c>
      <c r="U2635">
        <v>0.61286929999999995</v>
      </c>
      <c r="V2635">
        <v>-6.4095440000000004E-2</v>
      </c>
      <c r="W2635">
        <v>0.16042690000000001</v>
      </c>
      <c r="X2635">
        <v>0.98496450000000002</v>
      </c>
      <c r="Y2635">
        <v>-0.19423689999999999</v>
      </c>
      <c r="Z2635">
        <v>5.7847810000000001E-3</v>
      </c>
      <c r="AA2635">
        <v>0.98093759999999997</v>
      </c>
      <c r="AB2635">
        <v>39</v>
      </c>
      <c r="AC2635">
        <v>21.931699999999999</v>
      </c>
      <c r="AD2635">
        <v>-1.109716557277</v>
      </c>
      <c r="AE2635">
        <v>4.5211999999999897</v>
      </c>
      <c r="AF2635">
        <v>-4.41439108742071</v>
      </c>
      <c r="AG2635">
        <v>-1.109716557277</v>
      </c>
      <c r="AH2635">
        <v>21.897487694785699</v>
      </c>
      <c r="AI2635">
        <v>92.844024104751099</v>
      </c>
      <c r="AJ2635">
        <v>101.397694518902</v>
      </c>
      <c r="AK2635">
        <v>22.3655602848103</v>
      </c>
      <c r="AL2635">
        <v>80.768324497726695</v>
      </c>
      <c r="AM2635">
        <v>93.723207900293701</v>
      </c>
      <c r="AN2635">
        <v>1.0000000409663199</v>
      </c>
    </row>
    <row r="2636" spans="1:40" x14ac:dyDescent="0.25">
      <c r="A2636" t="str">
        <f>"20190304155419274"</f>
        <v>20190304155419274</v>
      </c>
      <c r="B2636" t="str">
        <f>"1551686059269571"</f>
        <v>1551686059269571</v>
      </c>
      <c r="C2636" t="s">
        <v>40</v>
      </c>
      <c r="D2636">
        <v>4.5531009999999998</v>
      </c>
      <c r="E2636">
        <v>0.4456233</v>
      </c>
      <c r="F2636" t="s">
        <v>65</v>
      </c>
      <c r="G2636">
        <v>-310.1934</v>
      </c>
      <c r="H2636" s="1">
        <v>9.8821529999999994E-7</v>
      </c>
      <c r="I2636">
        <v>219.68719999999999</v>
      </c>
      <c r="J2636">
        <v>-332.76369999999997</v>
      </c>
      <c r="K2636">
        <v>1.10972</v>
      </c>
      <c r="L2636">
        <v>214.9213</v>
      </c>
      <c r="M2636">
        <v>0.99992000000000003</v>
      </c>
      <c r="N2636">
        <v>-1.188293E-2</v>
      </c>
      <c r="O2636">
        <v>4.3543159999999996E-3</v>
      </c>
      <c r="P2636">
        <v>0.98657879999999998</v>
      </c>
      <c r="Q2636">
        <v>0.1484751</v>
      </c>
      <c r="R2636">
        <v>6.795271E-2</v>
      </c>
      <c r="S2636">
        <v>3.019501</v>
      </c>
      <c r="T2636">
        <v>-0.14600739999999901</v>
      </c>
      <c r="U2636">
        <v>0.62727359999999999</v>
      </c>
      <c r="V2636">
        <v>-6.3641799999999998E-2</v>
      </c>
      <c r="W2636">
        <v>0.1601967</v>
      </c>
      <c r="X2636">
        <v>0.98503130000000005</v>
      </c>
      <c r="Y2636">
        <v>-0.19885610000000001</v>
      </c>
      <c r="Z2636">
        <v>5.792195E-3</v>
      </c>
      <c r="AA2636">
        <v>0.98001159999999998</v>
      </c>
      <c r="AB2636">
        <v>39</v>
      </c>
      <c r="AC2636">
        <v>22.5702999999999</v>
      </c>
      <c r="AD2636">
        <v>-1.1097190117847</v>
      </c>
      <c r="AE2636">
        <v>4.7658999999999798</v>
      </c>
      <c r="AF2636">
        <v>-4.6567927746164699</v>
      </c>
      <c r="AG2636">
        <v>-1.1097190117847</v>
      </c>
      <c r="AH2636">
        <v>22.538680015385399</v>
      </c>
      <c r="AI2636">
        <v>92.760536755583104</v>
      </c>
      <c r="AJ2636">
        <v>101.67380955378</v>
      </c>
      <c r="AK2636">
        <v>23.0414689650372</v>
      </c>
      <c r="AL2636">
        <v>80.781686070919704</v>
      </c>
      <c r="AM2636">
        <v>93.696679958271204</v>
      </c>
      <c r="AN2636">
        <v>0.99999996168890903</v>
      </c>
    </row>
    <row r="2637" spans="1:40" x14ac:dyDescent="0.25">
      <c r="A2637" t="str">
        <f>"20190304155419298"</f>
        <v>20190304155419298</v>
      </c>
      <c r="B2637" t="str">
        <f>"1551686059289090"</f>
        <v>1551686059289090</v>
      </c>
      <c r="C2637" t="s">
        <v>40</v>
      </c>
      <c r="D2637">
        <v>4.5028839999999999</v>
      </c>
      <c r="E2637">
        <v>0.44544329999999999</v>
      </c>
      <c r="F2637" t="s">
        <v>65</v>
      </c>
      <c r="G2637">
        <v>-309.23829999999998</v>
      </c>
      <c r="H2637" s="1">
        <v>9.5692329999999992E-7</v>
      </c>
      <c r="I2637">
        <v>219.8329</v>
      </c>
      <c r="J2637">
        <v>-332.35480000000001</v>
      </c>
      <c r="K2637">
        <v>1.1097220000000001</v>
      </c>
      <c r="L2637">
        <v>214.923</v>
      </c>
      <c r="M2637">
        <v>0.99992000000000003</v>
      </c>
      <c r="N2637">
        <v>-1.188649E-2</v>
      </c>
      <c r="O2637">
        <v>4.3336080000000001E-3</v>
      </c>
      <c r="P2637">
        <v>0.98656429999999995</v>
      </c>
      <c r="Q2637">
        <v>0.14862909999999999</v>
      </c>
      <c r="R2637">
        <v>6.7828009999999994E-2</v>
      </c>
      <c r="S2637">
        <v>3.0188290000000002</v>
      </c>
      <c r="T2637">
        <v>-0.14240149999999999</v>
      </c>
      <c r="U2637">
        <v>0.6302643</v>
      </c>
      <c r="V2637">
        <v>-6.3537289999999996E-2</v>
      </c>
      <c r="W2637">
        <v>0.16035489999999999</v>
      </c>
      <c r="X2637">
        <v>0.98501240000000001</v>
      </c>
      <c r="Y2637">
        <v>-0.19986080000000001</v>
      </c>
      <c r="Z2637">
        <v>5.711214E-3</v>
      </c>
      <c r="AA2637">
        <v>0.97980769999999995</v>
      </c>
      <c r="AB2637">
        <v>39</v>
      </c>
      <c r="AC2637">
        <v>23.116499999999998</v>
      </c>
      <c r="AD2637">
        <v>-1.1097210430766999</v>
      </c>
      <c r="AE2637">
        <v>4.9098999999999897</v>
      </c>
      <c r="AF2637">
        <v>-4.7990866952188602</v>
      </c>
      <c r="AG2637">
        <v>-1.1097210430766999</v>
      </c>
      <c r="AH2637">
        <v>23.086654546376501</v>
      </c>
      <c r="AI2637">
        <v>92.694443215942599</v>
      </c>
      <c r="AJ2637">
        <v>101.74299563499</v>
      </c>
      <c r="AK2637">
        <v>23.606277386436901</v>
      </c>
      <c r="AL2637">
        <v>80.772504029525905</v>
      </c>
      <c r="AM2637">
        <v>93.690696829183906</v>
      </c>
      <c r="AN2637">
        <v>1.0000000546641501</v>
      </c>
    </row>
    <row r="2638" spans="1:40" x14ac:dyDescent="0.25">
      <c r="A2638" t="str">
        <f>"20190304155419319"</f>
        <v>20190304155419319</v>
      </c>
      <c r="B2638" t="str">
        <f>"1551686059309591"</f>
        <v>1551686059309591</v>
      </c>
      <c r="C2638" t="s">
        <v>40</v>
      </c>
      <c r="D2638">
        <v>4.566999</v>
      </c>
      <c r="E2638">
        <v>0.4449552</v>
      </c>
      <c r="F2638" t="s">
        <v>65</v>
      </c>
      <c r="G2638">
        <v>-308.91269999999997</v>
      </c>
      <c r="H2638" s="1">
        <v>1.0171289999999999E-6</v>
      </c>
      <c r="I2638">
        <v>219.8236</v>
      </c>
      <c r="J2638">
        <v>-331.98700000000002</v>
      </c>
      <c r="K2638">
        <v>1.1097189999999999</v>
      </c>
      <c r="L2638">
        <v>214.9246</v>
      </c>
      <c r="M2638">
        <v>0.99992009999999998</v>
      </c>
      <c r="N2638">
        <v>-1.188938E-2</v>
      </c>
      <c r="O2638">
        <v>4.3148730000000003E-3</v>
      </c>
      <c r="P2638">
        <v>0.98645950000000004</v>
      </c>
      <c r="Q2638">
        <v>0.14944560000000001</v>
      </c>
      <c r="R2638">
        <v>6.7557370000000005E-2</v>
      </c>
      <c r="S2638">
        <v>3.019012</v>
      </c>
      <c r="T2638">
        <v>-0.14291679999999901</v>
      </c>
      <c r="U2638">
        <v>0.63113399999999997</v>
      </c>
      <c r="V2638">
        <v>-6.3285439999999998E-2</v>
      </c>
      <c r="W2638">
        <v>0.16117279999999901</v>
      </c>
      <c r="X2638">
        <v>0.98489510000000002</v>
      </c>
      <c r="Y2638">
        <v>-0.2001357</v>
      </c>
      <c r="Z2638">
        <v>5.7360190000000002E-3</v>
      </c>
      <c r="AA2638">
        <v>0.97975140000000005</v>
      </c>
      <c r="AB2638">
        <v>39</v>
      </c>
      <c r="AC2638">
        <v>23.074299999999901</v>
      </c>
      <c r="AD2638">
        <v>-1.109717982871</v>
      </c>
      <c r="AE2638">
        <v>4.899</v>
      </c>
      <c r="AF2638">
        <v>-4.7887861658145798</v>
      </c>
      <c r="AG2638">
        <v>-1.109717982871</v>
      </c>
      <c r="AH2638">
        <v>23.044223852441</v>
      </c>
      <c r="AI2638">
        <v>92.699424153169005</v>
      </c>
      <c r="AJ2638">
        <v>101.739467408202</v>
      </c>
      <c r="AK2638">
        <v>23.562686602015798</v>
      </c>
      <c r="AL2638">
        <v>80.725024084101307</v>
      </c>
      <c r="AM2638">
        <v>93.676544407535303</v>
      </c>
      <c r="AN2638">
        <v>1.0000000381899199</v>
      </c>
    </row>
    <row r="2639" spans="1:40" x14ac:dyDescent="0.25">
      <c r="A2639" t="str">
        <f>"20190304155419341"</f>
        <v>20190304155419341</v>
      </c>
      <c r="B2639" t="str">
        <f>"1551686059329106"</f>
        <v>1551686059329106</v>
      </c>
      <c r="C2639" t="s">
        <v>40</v>
      </c>
      <c r="D2639">
        <v>4.5640679999999998</v>
      </c>
      <c r="E2639">
        <v>0.44459070000000001</v>
      </c>
      <c r="F2639" t="s">
        <v>65</v>
      </c>
      <c r="G2639">
        <v>-307.63099999999997</v>
      </c>
      <c r="H2639" s="1">
        <v>1.18571E-6</v>
      </c>
      <c r="I2639">
        <v>220.0445</v>
      </c>
      <c r="J2639">
        <v>-331.60919999999999</v>
      </c>
      <c r="K2639">
        <v>1.1097170000000001</v>
      </c>
      <c r="L2639">
        <v>214.92619999999999</v>
      </c>
      <c r="M2639">
        <v>0.99992009999999998</v>
      </c>
      <c r="N2639">
        <v>-1.1892099999999999E-2</v>
      </c>
      <c r="O2639">
        <v>4.2958420000000002E-3</v>
      </c>
      <c r="P2639">
        <v>0.98648119999999995</v>
      </c>
      <c r="Q2639">
        <v>0.1493101</v>
      </c>
      <c r="R2639">
        <v>6.7538459999999995E-2</v>
      </c>
      <c r="S2639">
        <v>3.0185550000000001</v>
      </c>
      <c r="T2639">
        <v>-0.137532399999999</v>
      </c>
      <c r="U2639">
        <v>0.63453669999999995</v>
      </c>
      <c r="V2639">
        <v>-6.3285419999999995E-2</v>
      </c>
      <c r="W2639">
        <v>0.16104009999999999</v>
      </c>
      <c r="X2639">
        <v>0.98491669999999998</v>
      </c>
      <c r="Y2639">
        <v>-0.2012582</v>
      </c>
      <c r="Z2639">
        <v>5.6005129999999997E-3</v>
      </c>
      <c r="AA2639">
        <v>0.97952220000000001</v>
      </c>
      <c r="AB2639">
        <v>39</v>
      </c>
      <c r="AC2639">
        <v>23.978200000000001</v>
      </c>
      <c r="AD2639">
        <v>-1.1097158142899901</v>
      </c>
      <c r="AE2639">
        <v>5.1182999999999996</v>
      </c>
      <c r="AF2639">
        <v>-5.0049861195429397</v>
      </c>
      <c r="AG2639">
        <v>-1.1097158142899901</v>
      </c>
      <c r="AH2639">
        <v>23.950903806344801</v>
      </c>
      <c r="AI2639">
        <v>92.596772127404705</v>
      </c>
      <c r="AJ2639">
        <v>101.803166893529</v>
      </c>
      <c r="AK2639">
        <v>24.493410305347101</v>
      </c>
      <c r="AL2639">
        <v>80.732726875858702</v>
      </c>
      <c r="AM2639">
        <v>93.676462840475097</v>
      </c>
      <c r="AN2639">
        <v>0.99999993206573501</v>
      </c>
    </row>
    <row r="2640" spans="1:40" x14ac:dyDescent="0.25">
      <c r="A2640" t="str">
        <f>"20190304155419364"</f>
        <v>20190304155419364</v>
      </c>
      <c r="B2640" t="str">
        <f>"1551686059359362"</f>
        <v>1551686059359362</v>
      </c>
      <c r="C2640" t="s">
        <v>40</v>
      </c>
      <c r="D2640">
        <v>4.517665</v>
      </c>
      <c r="E2640">
        <v>0.4440461</v>
      </c>
      <c r="F2640" t="s">
        <v>65</v>
      </c>
      <c r="G2640">
        <v>-306.78449999999998</v>
      </c>
      <c r="H2640" s="1">
        <v>1.3022020000000001E-6</v>
      </c>
      <c r="I2640">
        <v>220.17099999999999</v>
      </c>
      <c r="J2640">
        <v>-331.226</v>
      </c>
      <c r="K2640">
        <v>1.1097159999999999</v>
      </c>
      <c r="L2640">
        <v>214.92779999999999</v>
      </c>
      <c r="M2640">
        <v>0.99992020000000004</v>
      </c>
      <c r="N2640">
        <v>-1.189462E-2</v>
      </c>
      <c r="O2640">
        <v>4.276157E-3</v>
      </c>
      <c r="P2640">
        <v>0.98641310000000004</v>
      </c>
      <c r="Q2640">
        <v>0.1497936</v>
      </c>
      <c r="R2640">
        <v>6.7465449999999996E-2</v>
      </c>
      <c r="S2640">
        <v>3.0178829999999999</v>
      </c>
      <c r="T2640">
        <v>-0.1349062</v>
      </c>
      <c r="U2640">
        <v>0.63760380000000005</v>
      </c>
      <c r="V2640">
        <v>-6.3231969999999998E-2</v>
      </c>
      <c r="W2640">
        <v>0.161524799999999</v>
      </c>
      <c r="X2640">
        <v>0.98484079999999996</v>
      </c>
      <c r="Y2640">
        <v>-0.2022815</v>
      </c>
      <c r="Z2640">
        <v>5.5479880000000002E-3</v>
      </c>
      <c r="AA2640">
        <v>0.97931170000000001</v>
      </c>
      <c r="AB2640">
        <v>39</v>
      </c>
      <c r="AC2640">
        <v>24.441500000000001</v>
      </c>
      <c r="AD2640">
        <v>-1.1097146977979999</v>
      </c>
      <c r="AE2640">
        <v>5.2431999999999999</v>
      </c>
      <c r="AF2640">
        <v>-5.1285220406999397</v>
      </c>
      <c r="AG2640">
        <v>-1.1097146977979999</v>
      </c>
      <c r="AH2640">
        <v>24.415582285349998</v>
      </c>
      <c r="AI2640">
        <v>92.5468606998203</v>
      </c>
      <c r="AJ2640">
        <v>101.862588018303</v>
      </c>
      <c r="AK2640">
        <v>24.973062754999599</v>
      </c>
      <c r="AL2640">
        <v>80.704587589286405</v>
      </c>
      <c r="AM2640">
        <v>93.673648580445999</v>
      </c>
      <c r="AN2640">
        <v>0.99999997219488002</v>
      </c>
    </row>
    <row r="2641" spans="1:40" x14ac:dyDescent="0.25">
      <c r="A2641" t="str">
        <f>"20190304155419385"</f>
        <v>20190304155419385</v>
      </c>
      <c r="B2641" t="str">
        <f>"1551686059379858"</f>
        <v>1551686059379858</v>
      </c>
      <c r="C2641" t="s">
        <v>40</v>
      </c>
      <c r="D2641">
        <v>4.5645689999999997</v>
      </c>
      <c r="E2641">
        <v>0.44367459999999997</v>
      </c>
      <c r="F2641" t="s">
        <v>65</v>
      </c>
      <c r="G2641">
        <v>-305.90780000000001</v>
      </c>
      <c r="H2641" s="1">
        <v>1.4202369999999999E-6</v>
      </c>
      <c r="I2641">
        <v>220.31190000000001</v>
      </c>
      <c r="J2641">
        <v>-330.839</v>
      </c>
      <c r="K2641">
        <v>1.109718</v>
      </c>
      <c r="L2641">
        <v>214.92949999999999</v>
      </c>
      <c r="M2641">
        <v>0.99992009999999998</v>
      </c>
      <c r="N2641">
        <v>-1.189721E-2</v>
      </c>
      <c r="O2641">
        <v>4.2564730000000002E-3</v>
      </c>
      <c r="P2641">
        <v>0.98637030000000003</v>
      </c>
      <c r="Q2641">
        <v>0.15016060000000001</v>
      </c>
      <c r="R2641">
        <v>6.7274169999999994E-2</v>
      </c>
      <c r="S2641">
        <v>3.0175169999999998</v>
      </c>
      <c r="T2641">
        <v>-0.13225979999999901</v>
      </c>
      <c r="U2641">
        <v>0.64169309999999902</v>
      </c>
      <c r="V2641">
        <v>-6.3060450000000004E-2</v>
      </c>
      <c r="W2641">
        <v>0.1618937</v>
      </c>
      <c r="X2641">
        <v>0.98479119999999998</v>
      </c>
      <c r="Y2641">
        <v>-0.20360159999999999</v>
      </c>
      <c r="Z2641">
        <v>5.5015869999999996E-3</v>
      </c>
      <c r="AA2641">
        <v>0.97903839999999998</v>
      </c>
      <c r="AB2641">
        <v>39</v>
      </c>
      <c r="AC2641">
        <v>24.931199999999901</v>
      </c>
      <c r="AD2641">
        <v>-1.109716579763</v>
      </c>
      <c r="AE2641">
        <v>5.3824000000000103</v>
      </c>
      <c r="AF2641">
        <v>-5.2662556488296399</v>
      </c>
      <c r="AG2641">
        <v>-1.109716579763</v>
      </c>
      <c r="AH2641">
        <v>24.9067370168375</v>
      </c>
      <c r="AI2641">
        <v>92.496007462934102</v>
      </c>
      <c r="AJ2641">
        <v>101.938722617031</v>
      </c>
      <c r="AK2641">
        <v>25.4815711499926</v>
      </c>
      <c r="AL2641">
        <v>80.683169059429602</v>
      </c>
      <c r="AM2641">
        <v>93.663894819671</v>
      </c>
      <c r="AN2641">
        <v>0.99999994902566403</v>
      </c>
    </row>
    <row r="2642" spans="1:40" x14ac:dyDescent="0.25">
      <c r="A2642" t="str">
        <f>"20190304155419410"</f>
        <v>20190304155419410</v>
      </c>
      <c r="B2642" t="str">
        <f>"1551686059399377"</f>
        <v>1551686059399377</v>
      </c>
      <c r="C2642" t="s">
        <v>40</v>
      </c>
      <c r="D2642">
        <v>4.9185819999999998</v>
      </c>
      <c r="E2642">
        <v>0.4438066</v>
      </c>
      <c r="F2642" t="s">
        <v>65</v>
      </c>
      <c r="G2642">
        <v>-304.99180000000001</v>
      </c>
      <c r="H2642" s="1">
        <v>1.546994E-6</v>
      </c>
      <c r="I2642">
        <v>220.4462</v>
      </c>
      <c r="J2642">
        <v>-330.42349999999999</v>
      </c>
      <c r="K2642">
        <v>1.109721</v>
      </c>
      <c r="L2642">
        <v>214.93119999999999</v>
      </c>
      <c r="M2642">
        <v>0.99992029999999998</v>
      </c>
      <c r="N2642">
        <v>-1.189948E-2</v>
      </c>
      <c r="O2642">
        <v>4.235417E-3</v>
      </c>
      <c r="P2642">
        <v>0.98635229999999996</v>
      </c>
      <c r="Q2642">
        <v>0.15042720000000001</v>
      </c>
      <c r="R2642">
        <v>6.6939600000000002E-2</v>
      </c>
      <c r="S2642">
        <v>3.0172119999999998</v>
      </c>
      <c r="T2642">
        <v>-0.12954009999999999</v>
      </c>
      <c r="U2642">
        <v>0.6439819</v>
      </c>
      <c r="V2642">
        <v>-6.2746319999999994E-2</v>
      </c>
      <c r="W2642">
        <v>0.16216240000000001</v>
      </c>
      <c r="X2642">
        <v>0.98476710000000001</v>
      </c>
      <c r="Y2642">
        <v>-0.2043605</v>
      </c>
      <c r="Z2642">
        <v>5.4364699999999997E-3</v>
      </c>
      <c r="AA2642">
        <v>0.97888059999999999</v>
      </c>
      <c r="AB2642">
        <v>39</v>
      </c>
      <c r="AC2642">
        <v>25.4316999999999</v>
      </c>
      <c r="AD2642">
        <v>-1.1097194530059999</v>
      </c>
      <c r="AE2642">
        <v>5.5150000000000103</v>
      </c>
      <c r="AF2642">
        <v>-5.3974137488951497</v>
      </c>
      <c r="AG2642">
        <v>-1.1097194530059999</v>
      </c>
      <c r="AH2642">
        <v>25.408625746564201</v>
      </c>
      <c r="AI2642">
        <v>92.446283046076303</v>
      </c>
      <c r="AJ2642">
        <v>101.992758432426</v>
      </c>
      <c r="AK2642">
        <v>25.999265658285601</v>
      </c>
      <c r="AL2642">
        <v>80.667567939876506</v>
      </c>
      <c r="AM2642">
        <v>93.645781780074003</v>
      </c>
      <c r="AN2642">
        <v>0.99999999294485598</v>
      </c>
    </row>
    <row r="2643" spans="1:40" x14ac:dyDescent="0.25">
      <c r="A2643" t="str">
        <f>"20190304155419432"</f>
        <v>20190304155419432</v>
      </c>
      <c r="B2643" t="str">
        <f>"1551686059429633"</f>
        <v>1551686059429633</v>
      </c>
      <c r="C2643" t="s">
        <v>40</v>
      </c>
      <c r="D2643">
        <v>4.692647</v>
      </c>
      <c r="E2643">
        <v>0.51329139999999995</v>
      </c>
      <c r="F2643" t="s">
        <v>65</v>
      </c>
      <c r="G2643">
        <v>-304.26519999999999</v>
      </c>
      <c r="H2643" s="1">
        <v>1.661511E-6</v>
      </c>
      <c r="I2643">
        <v>220.50020000000001</v>
      </c>
      <c r="J2643">
        <v>-330.03730000000002</v>
      </c>
      <c r="K2643">
        <v>1.109726</v>
      </c>
      <c r="L2643">
        <v>214.93279999999999</v>
      </c>
      <c r="M2643">
        <v>0.99992020000000004</v>
      </c>
      <c r="N2643">
        <v>-1.1901200000000001E-2</v>
      </c>
      <c r="O2643">
        <v>4.2157380000000001E-3</v>
      </c>
      <c r="P2643">
        <v>0.98634770000000005</v>
      </c>
      <c r="Q2643">
        <v>0.15070359999999999</v>
      </c>
      <c r="R2643">
        <v>6.6381770000000007E-2</v>
      </c>
      <c r="S2643">
        <v>3.0174259999999999</v>
      </c>
      <c r="T2643">
        <v>-0.12800899999999901</v>
      </c>
      <c r="U2643">
        <v>0.64239499999999905</v>
      </c>
      <c r="V2643">
        <v>-6.2208100000000002E-2</v>
      </c>
      <c r="W2643">
        <v>0.16244049999999999</v>
      </c>
      <c r="X2643">
        <v>0.98475539999999995</v>
      </c>
      <c r="Y2643">
        <v>-0.20387839999999999</v>
      </c>
      <c r="Z2643">
        <v>5.3750119999999898E-3</v>
      </c>
      <c r="AA2643">
        <v>0.97898149999999995</v>
      </c>
      <c r="AB2643">
        <v>39</v>
      </c>
      <c r="AC2643">
        <v>25.772099999999998</v>
      </c>
      <c r="AD2643">
        <v>-1.1097243384890001</v>
      </c>
      <c r="AE2643">
        <v>5.5674000000000197</v>
      </c>
      <c r="AF2643">
        <v>-5.4490418350493401</v>
      </c>
      <c r="AG2643">
        <v>-1.1097243384890001</v>
      </c>
      <c r="AH2643">
        <v>25.7497296504438</v>
      </c>
      <c r="AI2643">
        <v>92.414322385082002</v>
      </c>
      <c r="AJ2643">
        <v>101.948401872392</v>
      </c>
      <c r="AK2643">
        <v>26.3433506239904</v>
      </c>
      <c r="AL2643">
        <v>80.651419765206597</v>
      </c>
      <c r="AM2643">
        <v>93.6146354030558</v>
      </c>
      <c r="AN2643">
        <v>0.99999998078750896</v>
      </c>
    </row>
    <row r="2644" spans="1:40" x14ac:dyDescent="0.25">
      <c r="A2644" t="str">
        <f>"20190304155419454"</f>
        <v>20190304155419454</v>
      </c>
      <c r="B2644" t="str">
        <f>"1551686059449154"</f>
        <v>1551686059449154</v>
      </c>
      <c r="C2644" t="s">
        <v>40</v>
      </c>
      <c r="D2644">
        <v>4.6693829999999998</v>
      </c>
      <c r="E2644">
        <v>0.51797899999999997</v>
      </c>
      <c r="F2644" t="s">
        <v>65</v>
      </c>
      <c r="G2644">
        <v>-303.71769999999998</v>
      </c>
      <c r="H2644" s="1">
        <v>1.9937909999999998E-6</v>
      </c>
      <c r="I2644">
        <v>215.69239999999999</v>
      </c>
      <c r="J2644">
        <v>-329.666</v>
      </c>
      <c r="K2644">
        <v>1.109731</v>
      </c>
      <c r="L2644">
        <v>214.93430000000001</v>
      </c>
      <c r="M2644">
        <v>0.99992040000000004</v>
      </c>
      <c r="N2644">
        <v>-1.1902670000000001E-2</v>
      </c>
      <c r="O2644">
        <v>4.1968939999999996E-3</v>
      </c>
      <c r="P2644">
        <v>0.98633490000000001</v>
      </c>
      <c r="Q2644">
        <v>0.15106220000000001</v>
      </c>
      <c r="R2644">
        <v>6.5755049999999995E-2</v>
      </c>
      <c r="S2644">
        <v>3.0552670000000002</v>
      </c>
      <c r="T2644">
        <v>-0.12882089999999999</v>
      </c>
      <c r="U2644">
        <v>8.8180540000000002E-2</v>
      </c>
      <c r="V2644">
        <v>-6.1600050000000003E-2</v>
      </c>
      <c r="W2644">
        <v>0.16280039999999901</v>
      </c>
      <c r="X2644">
        <v>0.9847342</v>
      </c>
      <c r="Y2644">
        <v>-2.4627969999999999E-2</v>
      </c>
      <c r="Z2644">
        <v>5.3864430000000001E-4</v>
      </c>
      <c r="AA2644">
        <v>0.99969660000000005</v>
      </c>
      <c r="AB2644">
        <v>39</v>
      </c>
      <c r="AC2644">
        <v>25.9483</v>
      </c>
      <c r="AD2644">
        <v>-1.1097290062089999</v>
      </c>
      <c r="AE2644">
        <v>0.75809999999998401</v>
      </c>
      <c r="AF2644">
        <v>-0.64799916179073902</v>
      </c>
      <c r="AG2644">
        <v>-1.1097290062089999</v>
      </c>
      <c r="AH2644">
        <v>25.9039152203767</v>
      </c>
      <c r="AI2644">
        <v>92.452296678662094</v>
      </c>
      <c r="AJ2644">
        <v>91.432983206604106</v>
      </c>
      <c r="AK2644">
        <v>25.935771149618201</v>
      </c>
      <c r="AL2644">
        <v>80.630520913560801</v>
      </c>
      <c r="AM2644">
        <v>93.579473493187706</v>
      </c>
      <c r="AN2644">
        <v>0.99999999052490096</v>
      </c>
    </row>
    <row r="2645" spans="1:40" x14ac:dyDescent="0.25">
      <c r="A2645" t="str">
        <f>"20190304155419475"</f>
        <v>20190304155419475</v>
      </c>
      <c r="B2645" t="str">
        <f>"1551686059469650"</f>
        <v>1551686059469650</v>
      </c>
      <c r="C2645" t="s">
        <v>40</v>
      </c>
      <c r="D2645">
        <v>4.7051379999999998</v>
      </c>
      <c r="E2645">
        <v>0.52017630000000004</v>
      </c>
      <c r="F2645" t="s">
        <v>65</v>
      </c>
      <c r="G2645">
        <v>-301.80340000000001</v>
      </c>
      <c r="H2645" s="1">
        <v>2.3333569999999998E-6</v>
      </c>
      <c r="I2645">
        <v>215.37899999999999</v>
      </c>
      <c r="J2645">
        <v>-329.28089999999997</v>
      </c>
      <c r="K2645">
        <v>1.109726</v>
      </c>
      <c r="L2645">
        <v>214.93600000000001</v>
      </c>
      <c r="M2645">
        <v>0.99992049999999999</v>
      </c>
      <c r="N2645">
        <v>-1.1904120000000001E-2</v>
      </c>
      <c r="O2645">
        <v>4.1772170000000004E-3</v>
      </c>
      <c r="P2645">
        <v>0.98629230000000001</v>
      </c>
      <c r="Q2645">
        <v>0.15144099999999999</v>
      </c>
      <c r="R2645">
        <v>6.5524150000000003E-2</v>
      </c>
      <c r="S2645">
        <v>3.0569459999999999</v>
      </c>
      <c r="T2645">
        <v>-0.1217539</v>
      </c>
      <c r="U2645">
        <v>4.8782350000000002E-2</v>
      </c>
      <c r="V2645">
        <v>-6.1389079999999999E-2</v>
      </c>
      <c r="W2645">
        <v>0.16317960000000001</v>
      </c>
      <c r="X2645">
        <v>0.98468460000000002</v>
      </c>
      <c r="Y2645">
        <v>-1.1768229999999999E-2</v>
      </c>
      <c r="Z2645">
        <v>1.877534E-4</v>
      </c>
      <c r="AA2645">
        <v>0.99993069999999895</v>
      </c>
      <c r="AB2645">
        <v>39</v>
      </c>
      <c r="AC2645">
        <v>27.4774999999999</v>
      </c>
      <c r="AD2645">
        <v>-1.1097236666429999</v>
      </c>
      <c r="AE2645">
        <v>0.44300000000003997</v>
      </c>
      <c r="AF2645">
        <v>-0.32767420630734301</v>
      </c>
      <c r="AG2645">
        <v>-1.1097236666429999</v>
      </c>
      <c r="AH2645">
        <v>27.434374841682398</v>
      </c>
      <c r="AI2645">
        <v>92.316193147919407</v>
      </c>
      <c r="AJ2645">
        <v>90.684304143786704</v>
      </c>
      <c r="AK2645">
        <v>27.458765084317299</v>
      </c>
      <c r="AL2645">
        <v>80.608499794234305</v>
      </c>
      <c r="AM2645">
        <v>93.567425320724297</v>
      </c>
      <c r="AN2645">
        <v>0.99999998123828304</v>
      </c>
    </row>
    <row r="2646" spans="1:40" x14ac:dyDescent="0.25">
      <c r="A2646" t="str">
        <f>"20190304155419497"</f>
        <v>20190304155419497</v>
      </c>
      <c r="B2646" t="str">
        <f>"1551686059489173"</f>
        <v>1551686059489173</v>
      </c>
      <c r="C2646" t="s">
        <v>40</v>
      </c>
      <c r="D2646">
        <v>4.7038769999999896</v>
      </c>
      <c r="E2646">
        <v>0.52159960000000005</v>
      </c>
      <c r="F2646" t="s">
        <v>65</v>
      </c>
      <c r="G2646">
        <v>-301.33109999999999</v>
      </c>
      <c r="H2646" s="1">
        <v>2.417133E-6</v>
      </c>
      <c r="I2646">
        <v>215.2167</v>
      </c>
      <c r="J2646">
        <v>-328.8999</v>
      </c>
      <c r="K2646">
        <v>1.1097300000000001</v>
      </c>
      <c r="L2646">
        <v>214.9375</v>
      </c>
      <c r="M2646">
        <v>0.99992060000000005</v>
      </c>
      <c r="N2646">
        <v>-1.190548E-2</v>
      </c>
      <c r="O2646">
        <v>4.1578370000000002E-3</v>
      </c>
      <c r="P2646">
        <v>0.98619000000000001</v>
      </c>
      <c r="Q2646">
        <v>0.1521391</v>
      </c>
      <c r="R2646">
        <v>6.5446229999999994E-2</v>
      </c>
      <c r="S2646">
        <v>3.0582579999999999</v>
      </c>
      <c r="T2646">
        <v>-0.12142559999999999</v>
      </c>
      <c r="U2646">
        <v>3.0715940000000001E-2</v>
      </c>
      <c r="V2646">
        <v>-6.1330229999999999E-2</v>
      </c>
      <c r="W2646">
        <v>0.1638782</v>
      </c>
      <c r="X2646">
        <v>0.98457229999999996</v>
      </c>
      <c r="Y2646">
        <v>-5.8806739999999998E-3</v>
      </c>
      <c r="Z2646" s="1">
        <v>3.6196099999999997E-5</v>
      </c>
      <c r="AA2646">
        <v>0.9999827</v>
      </c>
      <c r="AB2646">
        <v>39</v>
      </c>
      <c r="AC2646">
        <v>27.5688</v>
      </c>
      <c r="AD2646">
        <v>-1.1097275828669999</v>
      </c>
      <c r="AE2646">
        <v>0.279200000000003</v>
      </c>
      <c r="AF2646">
        <v>-0.16429671492272399</v>
      </c>
      <c r="AG2646">
        <v>-1.1097275828669999</v>
      </c>
      <c r="AH2646">
        <v>27.5251280602474</v>
      </c>
      <c r="AI2646">
        <v>92.308696232323896</v>
      </c>
      <c r="AJ2646">
        <v>90.341992834254398</v>
      </c>
      <c r="AK2646">
        <v>27.5479792988837</v>
      </c>
      <c r="AL2646">
        <v>80.567927327038305</v>
      </c>
      <c r="AM2646">
        <v>93.564419727159006</v>
      </c>
      <c r="AN2646">
        <v>1.00000003773719</v>
      </c>
    </row>
    <row r="2647" spans="1:40" x14ac:dyDescent="0.25">
      <c r="A2647" t="str">
        <f>"20190304155419521"</f>
        <v>20190304155419521</v>
      </c>
      <c r="B2647" t="str">
        <f>"1551686059509667"</f>
        <v>1551686059509667</v>
      </c>
      <c r="C2647" t="s">
        <v>40</v>
      </c>
      <c r="D2647">
        <v>4.7277040000000001</v>
      </c>
      <c r="E2647">
        <v>0.52234060000000004</v>
      </c>
      <c r="F2647" t="s">
        <v>65</v>
      </c>
      <c r="G2647">
        <v>-300.99979999999999</v>
      </c>
      <c r="H2647" s="1">
        <v>2.4759190000000002E-6</v>
      </c>
      <c r="I2647">
        <v>215.1163</v>
      </c>
      <c r="J2647">
        <v>-328.48829999999998</v>
      </c>
      <c r="K2647">
        <v>1.109737</v>
      </c>
      <c r="L2647">
        <v>214.9392</v>
      </c>
      <c r="M2647">
        <v>0.99992049999999999</v>
      </c>
      <c r="N2647">
        <v>-1.190691E-2</v>
      </c>
      <c r="O2647">
        <v>4.1367900000000004E-3</v>
      </c>
      <c r="P2647">
        <v>0.9862628</v>
      </c>
      <c r="Q2647">
        <v>0.15190970000000001</v>
      </c>
      <c r="R2647">
        <v>6.4877989999999996E-2</v>
      </c>
      <c r="S2647">
        <v>3.0595089999999998</v>
      </c>
      <c r="T2647">
        <v>-0.12169190000000001</v>
      </c>
      <c r="U2647">
        <v>1.960754E-2</v>
      </c>
      <c r="V2647">
        <v>-6.0782309999999999E-2</v>
      </c>
      <c r="W2647">
        <v>0.16365099999999999</v>
      </c>
      <c r="X2647">
        <v>0.98464410000000002</v>
      </c>
      <c r="Y2647">
        <v>-2.2708099999999998E-3</v>
      </c>
      <c r="Z2647" s="1">
        <v>-5.6559759999999997E-5</v>
      </c>
      <c r="AA2647">
        <v>0.99999740000000004</v>
      </c>
      <c r="AB2647">
        <v>39</v>
      </c>
      <c r="AC2647">
        <v>27.488499999999899</v>
      </c>
      <c r="AD2647">
        <v>-1.1097345240809999</v>
      </c>
      <c r="AE2647">
        <v>0.17709999999999501</v>
      </c>
      <c r="AF2647">
        <v>-6.3273146007362197E-2</v>
      </c>
      <c r="AG2647">
        <v>-1.1097345240809999</v>
      </c>
      <c r="AH2647">
        <v>27.444270436784901</v>
      </c>
      <c r="AI2647">
        <v>92.315540354859607</v>
      </c>
      <c r="AJ2647">
        <v>90.132095980027401</v>
      </c>
      <c r="AK2647">
        <v>27.466770724137302</v>
      </c>
      <c r="AL2647">
        <v>80.581123396979194</v>
      </c>
      <c r="AM2647">
        <v>93.532399506766893</v>
      </c>
      <c r="AN2647">
        <v>1.00000007133737</v>
      </c>
    </row>
    <row r="2648" spans="1:40" x14ac:dyDescent="0.25">
      <c r="A2648" t="str">
        <f>"20190304155419543"</f>
        <v>20190304155419543</v>
      </c>
      <c r="B2648" t="str">
        <f>"1551686059539923"</f>
        <v>1551686059539923</v>
      </c>
      <c r="C2648" t="s">
        <v>40</v>
      </c>
      <c r="D2648">
        <v>4.7190620000000001</v>
      </c>
      <c r="E2648">
        <v>0.52303549999999999</v>
      </c>
      <c r="F2648" t="s">
        <v>65</v>
      </c>
      <c r="G2648">
        <v>-300.84249999999997</v>
      </c>
      <c r="H2648" s="1">
        <v>2.5038110000000002E-6</v>
      </c>
      <c r="I2648">
        <v>215.0538</v>
      </c>
      <c r="J2648">
        <v>-328.10570000000001</v>
      </c>
      <c r="K2648">
        <v>1.1097349999999999</v>
      </c>
      <c r="L2648">
        <v>214.9408</v>
      </c>
      <c r="M2648">
        <v>0.9999207</v>
      </c>
      <c r="N2648">
        <v>-1.190838E-2</v>
      </c>
      <c r="O2648">
        <v>4.11729E-3</v>
      </c>
      <c r="P2648">
        <v>0.98625039999999997</v>
      </c>
      <c r="Q2648">
        <v>0.15176519999999999</v>
      </c>
      <c r="R2648">
        <v>6.540443E-2</v>
      </c>
      <c r="S2648">
        <v>3.0598749999999999</v>
      </c>
      <c r="T2648">
        <v>-0.12282709999999999</v>
      </c>
      <c r="U2648">
        <v>1.268005E-2</v>
      </c>
      <c r="V2648">
        <v>-6.1328430000000003E-2</v>
      </c>
      <c r="W2648">
        <v>0.1635075</v>
      </c>
      <c r="X2648">
        <v>0.98463400000000001</v>
      </c>
      <c r="Y2648" s="1">
        <v>-2.7970789999999999E-5</v>
      </c>
      <c r="Z2648">
        <v>-1.154591E-4</v>
      </c>
      <c r="AA2648">
        <v>1</v>
      </c>
      <c r="AB2648">
        <v>39</v>
      </c>
      <c r="AC2648">
        <v>27.263200000000001</v>
      </c>
      <c r="AD2648">
        <v>-1.1097324961890001</v>
      </c>
      <c r="AE2648">
        <v>0.112999999999999</v>
      </c>
      <c r="AF2648">
        <v>-7.3936582656679295E-4</v>
      </c>
      <c r="AG2648">
        <v>-1.1097324961890001</v>
      </c>
      <c r="AH2648">
        <v>27.218338265358799</v>
      </c>
      <c r="AI2648">
        <v>92.334741791279498</v>
      </c>
      <c r="AJ2648">
        <v>90.001556397049498</v>
      </c>
      <c r="AK2648">
        <v>27.240951611264599</v>
      </c>
      <c r="AL2648">
        <v>80.5894568894023</v>
      </c>
      <c r="AM2648">
        <v>93.564092609069704</v>
      </c>
      <c r="AN2648">
        <v>0.99999999641925696</v>
      </c>
    </row>
    <row r="2649" spans="1:40" x14ac:dyDescent="0.25">
      <c r="A2649" t="str">
        <f>"20190304155419566"</f>
        <v>20190304155419566</v>
      </c>
      <c r="B2649" t="str">
        <f>"1551686059559442"</f>
        <v>1551686059559442</v>
      </c>
      <c r="C2649" t="s">
        <v>40</v>
      </c>
      <c r="D2649">
        <v>4.7053589999999996</v>
      </c>
      <c r="E2649">
        <v>0.52347520000000003</v>
      </c>
      <c r="F2649" t="s">
        <v>65</v>
      </c>
      <c r="G2649">
        <v>-300.70859999999999</v>
      </c>
      <c r="H2649" s="1">
        <v>2.5275540000000002E-6</v>
      </c>
      <c r="I2649">
        <v>215.02070000000001</v>
      </c>
      <c r="J2649">
        <v>-327.71879999999999</v>
      </c>
      <c r="K2649">
        <v>1.109731</v>
      </c>
      <c r="L2649">
        <v>214.94229999999999</v>
      </c>
      <c r="M2649">
        <v>0.9999207</v>
      </c>
      <c r="N2649">
        <v>-1.19098E-2</v>
      </c>
      <c r="O2649">
        <v>4.0979090000000003E-3</v>
      </c>
      <c r="P2649">
        <v>0.98615370000000002</v>
      </c>
      <c r="Q2649">
        <v>0.15227869999999999</v>
      </c>
      <c r="R2649">
        <v>6.566756E-2</v>
      </c>
      <c r="S2649">
        <v>3.0603030000000002</v>
      </c>
      <c r="T2649">
        <v>-0.1239591</v>
      </c>
      <c r="U2649">
        <v>8.926392E-3</v>
      </c>
      <c r="V2649">
        <v>-6.1610909999999998E-2</v>
      </c>
      <c r="W2649">
        <v>0.16402169999999999</v>
      </c>
      <c r="X2649">
        <v>0.98453089999999999</v>
      </c>
      <c r="Y2649">
        <v>1.178461E-3</v>
      </c>
      <c r="Z2649">
        <v>-1.480048E-4</v>
      </c>
      <c r="AA2649">
        <v>0.99999930000000004</v>
      </c>
      <c r="AB2649">
        <v>39</v>
      </c>
      <c r="AC2649">
        <v>27.010200000000001</v>
      </c>
      <c r="AD2649">
        <v>-1.1097284724459999</v>
      </c>
      <c r="AE2649">
        <v>7.8400000000016207E-2</v>
      </c>
      <c r="AF2649">
        <v>3.2239428145768002E-2</v>
      </c>
      <c r="AG2649">
        <v>-1.1097284724459999</v>
      </c>
      <c r="AH2649">
        <v>26.9647777475585</v>
      </c>
      <c r="AI2649">
        <v>92.356661440403698</v>
      </c>
      <c r="AJ2649">
        <v>89.931496476485506</v>
      </c>
      <c r="AK2649">
        <v>26.987622637766901</v>
      </c>
      <c r="AL2649">
        <v>80.559592792965503</v>
      </c>
      <c r="AM2649">
        <v>93.580840255513806</v>
      </c>
      <c r="AN2649">
        <v>1.0000000576783601</v>
      </c>
    </row>
    <row r="2650" spans="1:40" x14ac:dyDescent="0.25">
      <c r="A2650" t="str">
        <f>"20190304155419587"</f>
        <v>20190304155419587</v>
      </c>
      <c r="B2650" t="str">
        <f>"1551686059579938"</f>
        <v>1551686059579938</v>
      </c>
      <c r="C2650" t="s">
        <v>40</v>
      </c>
      <c r="D2650">
        <v>4.7109420000000002</v>
      </c>
      <c r="E2650">
        <v>0.52379709999999902</v>
      </c>
      <c r="F2650" t="s">
        <v>65</v>
      </c>
      <c r="G2650">
        <v>-300.56920000000002</v>
      </c>
      <c r="H2650" s="1">
        <v>2.552289E-6</v>
      </c>
      <c r="I2650">
        <v>215</v>
      </c>
      <c r="J2650">
        <v>-327.34039999999999</v>
      </c>
      <c r="K2650">
        <v>1.109728</v>
      </c>
      <c r="L2650">
        <v>214.94390000000001</v>
      </c>
      <c r="M2650">
        <v>0.99992080000000005</v>
      </c>
      <c r="N2650">
        <v>-1.1911059999999999E-2</v>
      </c>
      <c r="O2650">
        <v>4.0785910000000003E-3</v>
      </c>
      <c r="P2650">
        <v>0.98611749999999998</v>
      </c>
      <c r="Q2650">
        <v>0.15230160000000001</v>
      </c>
      <c r="R2650">
        <v>6.6155900000000004E-2</v>
      </c>
      <c r="S2650">
        <v>3.061035</v>
      </c>
      <c r="T2650">
        <v>-0.1251187</v>
      </c>
      <c r="U2650">
        <v>6.5002439999999996E-3</v>
      </c>
      <c r="V2650">
        <v>-6.2118130000000001E-2</v>
      </c>
      <c r="W2650">
        <v>0.1640452</v>
      </c>
      <c r="X2650">
        <v>0.98449500000000001</v>
      </c>
      <c r="Y2650">
        <v>1.951534E-3</v>
      </c>
      <c r="Z2650">
        <v>-1.69569399999999E-4</v>
      </c>
      <c r="AA2650">
        <v>0.9999981</v>
      </c>
      <c r="AB2650">
        <v>39</v>
      </c>
      <c r="AC2650">
        <v>26.771199999999901</v>
      </c>
      <c r="AD2650">
        <v>-1.1097254477109999</v>
      </c>
      <c r="AE2650">
        <v>5.6099999999986397E-2</v>
      </c>
      <c r="AF2650">
        <v>5.30059032220161E-2</v>
      </c>
      <c r="AG2650">
        <v>-1.1097254477109999</v>
      </c>
      <c r="AH2650">
        <v>26.7252846477557</v>
      </c>
      <c r="AI2650">
        <v>92.377746594567299</v>
      </c>
      <c r="AJ2650">
        <v>89.886361900287298</v>
      </c>
      <c r="AK2650">
        <v>26.748367047329101</v>
      </c>
      <c r="AL2650">
        <v>80.558226802797193</v>
      </c>
      <c r="AM2650">
        <v>93.610373648485293</v>
      </c>
      <c r="AN2650">
        <v>0.99999994737136699</v>
      </c>
    </row>
    <row r="2651" spans="1:40" x14ac:dyDescent="0.25">
      <c r="A2651" t="str">
        <f>"20190304155419612"</f>
        <v>20190304155419612</v>
      </c>
      <c r="B2651" t="str">
        <f>"1551686059599459"</f>
        <v>1551686059599459</v>
      </c>
      <c r="C2651" t="s">
        <v>40</v>
      </c>
      <c r="D2651">
        <v>4.6653000000000002</v>
      </c>
      <c r="E2651">
        <v>0.524146</v>
      </c>
      <c r="F2651" t="s">
        <v>65</v>
      </c>
      <c r="G2651">
        <v>-300.15899999999999</v>
      </c>
      <c r="H2651" s="1">
        <v>2.625052E-6</v>
      </c>
      <c r="I2651">
        <v>214.9966</v>
      </c>
      <c r="J2651">
        <v>-326.9194</v>
      </c>
      <c r="K2651">
        <v>1.1097330000000001</v>
      </c>
      <c r="L2651">
        <v>214.94560000000001</v>
      </c>
      <c r="M2651">
        <v>0.99992099999999995</v>
      </c>
      <c r="N2651">
        <v>-1.191241E-2</v>
      </c>
      <c r="O2651">
        <v>4.0573639999999999E-3</v>
      </c>
      <c r="P2651">
        <v>0.98611459999999995</v>
      </c>
      <c r="Q2651">
        <v>0.15252669999999999</v>
      </c>
      <c r="R2651">
        <v>6.567829E-2</v>
      </c>
      <c r="S2651">
        <v>3.0611269999999999</v>
      </c>
      <c r="T2651">
        <v>-0.1249754</v>
      </c>
      <c r="U2651">
        <v>5.9356690000000002E-3</v>
      </c>
      <c r="V2651">
        <v>-6.1661340000000002E-2</v>
      </c>
      <c r="W2651">
        <v>0.1642719</v>
      </c>
      <c r="X2651">
        <v>0.98448599999999997</v>
      </c>
      <c r="Y2651">
        <v>2.1146450000000001E-3</v>
      </c>
      <c r="Z2651">
        <v>-1.730096E-4</v>
      </c>
      <c r="AA2651">
        <v>0.99999769999999999</v>
      </c>
      <c r="AB2651">
        <v>39</v>
      </c>
      <c r="AC2651">
        <v>26.760400000000001</v>
      </c>
      <c r="AD2651">
        <v>-1.1097303749480001</v>
      </c>
      <c r="AE2651">
        <v>5.0999999999987701E-2</v>
      </c>
      <c r="AF2651">
        <v>5.7485930237506401E-2</v>
      </c>
      <c r="AG2651">
        <v>-1.1097303749480001</v>
      </c>
      <c r="AH2651">
        <v>26.7144462857541</v>
      </c>
      <c r="AI2651">
        <v>92.378719887838002</v>
      </c>
      <c r="AJ2651">
        <v>89.876707304171106</v>
      </c>
      <c r="AK2651">
        <v>26.7375475033089</v>
      </c>
      <c r="AL2651">
        <v>80.545060015739296</v>
      </c>
      <c r="AM2651">
        <v>93.583926643834204</v>
      </c>
      <c r="AN2651">
        <v>1.0000000310881001</v>
      </c>
    </row>
    <row r="2652" spans="1:40" x14ac:dyDescent="0.25">
      <c r="A2652" t="str">
        <f>"20190304155419633"</f>
        <v>20190304155419633</v>
      </c>
      <c r="B2652" t="str">
        <f>"1551686059629714"</f>
        <v>1551686059629714</v>
      </c>
      <c r="C2652" t="s">
        <v>40</v>
      </c>
      <c r="D2652">
        <v>4.6824149999999998</v>
      </c>
      <c r="E2652">
        <v>0.52425010000000005</v>
      </c>
      <c r="F2652" t="s">
        <v>65</v>
      </c>
      <c r="G2652">
        <v>-299.66989999999998</v>
      </c>
      <c r="H2652" s="1">
        <v>2.6096949999999998E-6</v>
      </c>
      <c r="I2652">
        <v>214.96360000000001</v>
      </c>
      <c r="J2652">
        <v>-326.54180000000002</v>
      </c>
      <c r="K2652">
        <v>1.109734</v>
      </c>
      <c r="L2652">
        <v>214.94710000000001</v>
      </c>
      <c r="M2652">
        <v>0.99992099999999995</v>
      </c>
      <c r="N2652">
        <v>-1.191361E-2</v>
      </c>
      <c r="O2652">
        <v>4.0379869999999998E-3</v>
      </c>
      <c r="P2652">
        <v>0.98613720000000005</v>
      </c>
      <c r="Q2652">
        <v>0.15259239999999999</v>
      </c>
      <c r="R2652">
        <v>6.5187830000000002E-2</v>
      </c>
      <c r="S2652">
        <v>3.0614319999999999</v>
      </c>
      <c r="T2652">
        <v>-0.1246765</v>
      </c>
      <c r="U2652">
        <v>2.0294190000000002E-3</v>
      </c>
      <c r="V2652">
        <v>-6.1190269999999998E-2</v>
      </c>
      <c r="W2652">
        <v>0.16433909999999999</v>
      </c>
      <c r="X2652">
        <v>0.98450420000000005</v>
      </c>
      <c r="Y2652">
        <v>3.3700929999999998E-3</v>
      </c>
      <c r="Z2652">
        <v>-2.0496469999999999E-4</v>
      </c>
      <c r="AA2652">
        <v>0.9999943</v>
      </c>
      <c r="AB2652">
        <v>39</v>
      </c>
      <c r="AC2652">
        <v>26.8719</v>
      </c>
      <c r="AD2652">
        <v>-1.1097313903049999</v>
      </c>
      <c r="AE2652">
        <v>1.6500000000007699E-2</v>
      </c>
      <c r="AF2652">
        <v>9.1859543611668898E-2</v>
      </c>
      <c r="AG2652">
        <v>-1.1097313903049999</v>
      </c>
      <c r="AH2652">
        <v>26.825997142171001</v>
      </c>
      <c r="AI2652">
        <v>92.368833491670003</v>
      </c>
      <c r="AJ2652">
        <v>89.803804363436598</v>
      </c>
      <c r="AK2652">
        <v>26.849098022208299</v>
      </c>
      <c r="AL2652">
        <v>80.541156913636101</v>
      </c>
      <c r="AM2652">
        <v>93.556551729403196</v>
      </c>
      <c r="AN2652">
        <v>1.00000005437456</v>
      </c>
    </row>
    <row r="2653" spans="1:40" x14ac:dyDescent="0.25">
      <c r="A2653" t="str">
        <f>"20190304155419654"</f>
        <v>20190304155419654</v>
      </c>
      <c r="B2653" t="str">
        <f>"1551686059649234"</f>
        <v>1551686059649234</v>
      </c>
      <c r="C2653" t="s">
        <v>40</v>
      </c>
      <c r="D2653">
        <v>4.6854170000000002</v>
      </c>
      <c r="E2653">
        <v>0.52429999999999999</v>
      </c>
      <c r="F2653" t="s">
        <v>65</v>
      </c>
      <c r="G2653">
        <v>-299.28980000000001</v>
      </c>
      <c r="H2653" s="1">
        <v>2.5422669999999999E-6</v>
      </c>
      <c r="I2653">
        <v>214.94579999999999</v>
      </c>
      <c r="J2653">
        <v>-326.18389999999999</v>
      </c>
      <c r="K2653">
        <v>1.1097399999999999</v>
      </c>
      <c r="L2653">
        <v>214.9485</v>
      </c>
      <c r="M2653">
        <v>0.99992099999999995</v>
      </c>
      <c r="N2653">
        <v>-1.191474E-2</v>
      </c>
      <c r="O2653">
        <v>4.0197999999999996E-3</v>
      </c>
      <c r="P2653">
        <v>0.98614210000000002</v>
      </c>
      <c r="Q2653">
        <v>0.15286379999999999</v>
      </c>
      <c r="R2653">
        <v>6.4470600000000003E-2</v>
      </c>
      <c r="S2653">
        <v>3.0614620000000001</v>
      </c>
      <c r="T2653">
        <v>-0.124666</v>
      </c>
      <c r="U2653">
        <v>-1.3732910000000001E-4</v>
      </c>
      <c r="V2653">
        <v>-6.0490799999999997E-2</v>
      </c>
      <c r="W2653">
        <v>0.16461099999999901</v>
      </c>
      <c r="X2653">
        <v>0.98450199999999999</v>
      </c>
      <c r="Y2653">
        <v>4.0589270000000004E-3</v>
      </c>
      <c r="Z2653">
        <v>-2.225417E-4</v>
      </c>
      <c r="AA2653">
        <v>0.99999170000000004</v>
      </c>
      <c r="AB2653">
        <v>39</v>
      </c>
      <c r="AC2653">
        <v>26.894099999999899</v>
      </c>
      <c r="AD2653">
        <v>-1.1097374577329999</v>
      </c>
      <c r="AE2653">
        <v>-2.7000000000043599E-3</v>
      </c>
      <c r="AF2653">
        <v>0.110628187440836</v>
      </c>
      <c r="AG2653">
        <v>-1.1097374577329999</v>
      </c>
      <c r="AH2653">
        <v>26.848158695661098</v>
      </c>
      <c r="AI2653">
        <v>92.366887102288899</v>
      </c>
      <c r="AJ2653">
        <v>89.763913330720797</v>
      </c>
      <c r="AK2653">
        <v>26.871311489548699</v>
      </c>
      <c r="AL2653">
        <v>80.525363087762301</v>
      </c>
      <c r="AM2653">
        <v>93.516006965398006</v>
      </c>
      <c r="AN2653">
        <v>1.0000000531048101</v>
      </c>
    </row>
    <row r="2654" spans="1:40" x14ac:dyDescent="0.25">
      <c r="A2654" t="str">
        <f>"20190304155419677"</f>
        <v>20190304155419677</v>
      </c>
      <c r="B2654" t="str">
        <f>"1551686059669730"</f>
        <v>1551686059669730</v>
      </c>
      <c r="C2654" t="s">
        <v>40</v>
      </c>
      <c r="D2654">
        <v>4.6664640000000004</v>
      </c>
      <c r="E2654">
        <v>0.52438319999999905</v>
      </c>
      <c r="F2654" t="s">
        <v>65</v>
      </c>
      <c r="G2654">
        <v>-298.76409999999998</v>
      </c>
      <c r="H2654" s="1">
        <v>2.449008E-6</v>
      </c>
      <c r="I2654">
        <v>214.92169999999999</v>
      </c>
      <c r="J2654">
        <v>-325.78809999999999</v>
      </c>
      <c r="K2654">
        <v>1.109745</v>
      </c>
      <c r="L2654">
        <v>214.95</v>
      </c>
      <c r="M2654">
        <v>0.99992110000000001</v>
      </c>
      <c r="N2654">
        <v>-1.191599E-2</v>
      </c>
      <c r="O2654">
        <v>3.9996479999999997E-3</v>
      </c>
      <c r="P2654">
        <v>0.98596050000000002</v>
      </c>
      <c r="Q2654">
        <v>0.15435279999999901</v>
      </c>
      <c r="R2654">
        <v>6.3697909999999996E-2</v>
      </c>
      <c r="S2654">
        <v>3.0615540000000001</v>
      </c>
      <c r="T2654">
        <v>-0.12390760000000001</v>
      </c>
      <c r="U2654">
        <v>-2.9907229999999998E-3</v>
      </c>
      <c r="V2654">
        <v>-5.9738640000000003E-2</v>
      </c>
      <c r="W2654">
        <v>0.16609939999999901</v>
      </c>
      <c r="X2654">
        <v>0.98429789999999995</v>
      </c>
      <c r="Y2654">
        <v>4.9698880000000004E-3</v>
      </c>
      <c r="Z2654">
        <v>-2.4431700000000003E-4</v>
      </c>
      <c r="AA2654">
        <v>0.99998759999999998</v>
      </c>
      <c r="AB2654">
        <v>39</v>
      </c>
      <c r="AC2654">
        <v>27.024000000000001</v>
      </c>
      <c r="AD2654">
        <v>-1.109742550992</v>
      </c>
      <c r="AE2654">
        <v>-2.8300000000001501E-2</v>
      </c>
      <c r="AF2654">
        <v>0.13616430602003601</v>
      </c>
      <c r="AG2654">
        <v>-1.109742550992</v>
      </c>
      <c r="AH2654">
        <v>26.978176281122899</v>
      </c>
      <c r="AI2654">
        <v>92.355493901380399</v>
      </c>
      <c r="AJ2654">
        <v>89.710819081022294</v>
      </c>
      <c r="AK2654">
        <v>27.001334498558698</v>
      </c>
      <c r="AL2654">
        <v>80.438893548465401</v>
      </c>
      <c r="AM2654">
        <v>93.473113826911401</v>
      </c>
      <c r="AN2654">
        <v>1.0000000358668999</v>
      </c>
    </row>
    <row r="2655" spans="1:40" x14ac:dyDescent="0.25">
      <c r="A2655" t="str">
        <f>"20190304155419699"</f>
        <v>20190304155419699</v>
      </c>
      <c r="B2655" t="str">
        <f>"1551686059689250"</f>
        <v>1551686059689250</v>
      </c>
      <c r="C2655" t="s">
        <v>40</v>
      </c>
      <c r="D2655">
        <v>4.6828719999999997</v>
      </c>
      <c r="E2655">
        <v>0.52454049999999997</v>
      </c>
      <c r="F2655" t="s">
        <v>65</v>
      </c>
      <c r="G2655">
        <v>-297.38580000000002</v>
      </c>
      <c r="H2655" s="1">
        <v>2.204529E-6</v>
      </c>
      <c r="I2655">
        <v>214.89429999999999</v>
      </c>
      <c r="J2655">
        <v>-325.39670000000001</v>
      </c>
      <c r="K2655">
        <v>1.10975</v>
      </c>
      <c r="L2655">
        <v>214.95160000000001</v>
      </c>
      <c r="M2655">
        <v>0.99992110000000001</v>
      </c>
      <c r="N2655">
        <v>-1.1917199999999999E-2</v>
      </c>
      <c r="O2655">
        <v>3.9797929999999997E-3</v>
      </c>
      <c r="P2655">
        <v>0.98585750000000005</v>
      </c>
      <c r="Q2655">
        <v>0.15521969999999999</v>
      </c>
      <c r="R2655">
        <v>6.3182150000000006E-2</v>
      </c>
      <c r="S2655">
        <v>3.0618289999999999</v>
      </c>
      <c r="T2655">
        <v>-0.11963260000000001</v>
      </c>
      <c r="U2655">
        <v>-6.0119630000000004E-3</v>
      </c>
      <c r="V2655">
        <v>-5.9242650000000001E-2</v>
      </c>
      <c r="W2655">
        <v>0.166966</v>
      </c>
      <c r="X2655">
        <v>0.98418119999999998</v>
      </c>
      <c r="Y2655">
        <v>5.93619E-3</v>
      </c>
      <c r="Z2655">
        <v>-2.5933899999999998E-4</v>
      </c>
      <c r="AA2655">
        <v>0.99998240000000005</v>
      </c>
      <c r="AB2655">
        <v>39</v>
      </c>
      <c r="AC2655">
        <v>28.0108999999999</v>
      </c>
      <c r="AD2655">
        <v>-1.109747795471</v>
      </c>
      <c r="AE2655">
        <v>-5.7300000000026302E-2</v>
      </c>
      <c r="AF2655">
        <v>0.168520531093519</v>
      </c>
      <c r="AG2655">
        <v>-1.109747795471</v>
      </c>
      <c r="AH2655">
        <v>27.9665534094535</v>
      </c>
      <c r="AI2655">
        <v>92.272334740724403</v>
      </c>
      <c r="AJ2655">
        <v>89.654751939224496</v>
      </c>
      <c r="AK2655">
        <v>27.989070169313699</v>
      </c>
      <c r="AL2655">
        <v>80.388537367859996</v>
      </c>
      <c r="AM2655">
        <v>93.444754865907299</v>
      </c>
      <c r="AN2655">
        <v>0.99999998558423098</v>
      </c>
    </row>
    <row r="2656" spans="1:40" x14ac:dyDescent="0.25">
      <c r="A2656" t="str">
        <f>"20190304155419721"</f>
        <v>20190304155419721</v>
      </c>
      <c r="B2656" t="str">
        <f>"1551686059709084"</f>
        <v>1551686059709084</v>
      </c>
      <c r="C2656" t="s">
        <v>40</v>
      </c>
      <c r="D2656">
        <v>4.6418010000000001</v>
      </c>
      <c r="E2656">
        <v>0.52463749999999998</v>
      </c>
      <c r="F2656" t="s">
        <v>65</v>
      </c>
      <c r="G2656">
        <v>-296.35640000000001</v>
      </c>
      <c r="H2656" s="1">
        <v>2.0219320000000001E-6</v>
      </c>
      <c r="I2656">
        <v>214.87110000000001</v>
      </c>
      <c r="J2656">
        <v>-325.01409999999998</v>
      </c>
      <c r="K2656">
        <v>1.109753</v>
      </c>
      <c r="L2656">
        <v>214.95310000000001</v>
      </c>
      <c r="M2656">
        <v>0.99992110000000001</v>
      </c>
      <c r="N2656">
        <v>-1.1918379999999999E-2</v>
      </c>
      <c r="O2656">
        <v>3.9604139999999998E-3</v>
      </c>
      <c r="P2656">
        <v>0.98573330000000003</v>
      </c>
      <c r="Q2656">
        <v>0.156156399999999</v>
      </c>
      <c r="R2656">
        <v>6.2811229999999996E-2</v>
      </c>
      <c r="S2656">
        <v>3.0620419999999999</v>
      </c>
      <c r="T2656">
        <v>-0.11701300000000001</v>
      </c>
      <c r="U2656">
        <v>-8.4838869999999903E-3</v>
      </c>
      <c r="V2656">
        <v>-5.8891510000000001E-2</v>
      </c>
      <c r="W2656">
        <v>0.16790189999999999</v>
      </c>
      <c r="X2656">
        <v>0.98404309999999995</v>
      </c>
      <c r="Y2656">
        <v>6.7235039999999999E-3</v>
      </c>
      <c r="Z2656">
        <v>-2.7260259999999998E-4</v>
      </c>
      <c r="AA2656">
        <v>0.99997740000000002</v>
      </c>
      <c r="AB2656">
        <v>39</v>
      </c>
      <c r="AC2656">
        <v>28.657699999999899</v>
      </c>
      <c r="AD2656">
        <v>-1.1097509780679999</v>
      </c>
      <c r="AE2656">
        <v>-8.1999999999993606E-2</v>
      </c>
      <c r="AF2656">
        <v>0.195211047038685</v>
      </c>
      <c r="AG2656">
        <v>-1.1097509780679999</v>
      </c>
      <c r="AH2656">
        <v>28.614241572396399</v>
      </c>
      <c r="AI2656">
        <v>92.220947177562195</v>
      </c>
      <c r="AJ2656">
        <v>89.609124863016802</v>
      </c>
      <c r="AK2656">
        <v>28.636418689313501</v>
      </c>
      <c r="AL2656">
        <v>80.334146958051505</v>
      </c>
      <c r="AM2656">
        <v>93.424865455302395</v>
      </c>
      <c r="AN2656">
        <v>1.0000000403156399</v>
      </c>
    </row>
    <row r="2657" spans="1:40" x14ac:dyDescent="0.25">
      <c r="A2657" t="str">
        <f>"20190304155419743"</f>
        <v>20190304155419743</v>
      </c>
      <c r="B2657" t="str">
        <f>"1551686059739341"</f>
        <v>1551686059739341</v>
      </c>
      <c r="C2657" t="s">
        <v>40</v>
      </c>
      <c r="D2657">
        <v>4.6278839999999999</v>
      </c>
      <c r="E2657">
        <v>0.5246094</v>
      </c>
      <c r="F2657" t="s">
        <v>65</v>
      </c>
      <c r="G2657">
        <v>-295.40440000000001</v>
      </c>
      <c r="H2657" s="1">
        <v>1.8530540000000001E-6</v>
      </c>
      <c r="I2657">
        <v>214.84880000000001</v>
      </c>
      <c r="J2657">
        <v>-324.63760000000002</v>
      </c>
      <c r="K2657">
        <v>1.1097509999999999</v>
      </c>
      <c r="L2657">
        <v>214.9546</v>
      </c>
      <c r="M2657">
        <v>0.99992119999999995</v>
      </c>
      <c r="N2657">
        <v>-1.1919519999999999E-2</v>
      </c>
      <c r="O2657">
        <v>3.941394E-3</v>
      </c>
      <c r="P2657">
        <v>0.98562169999999905</v>
      </c>
      <c r="Q2657">
        <v>0.15682109999999999</v>
      </c>
      <c r="R2657">
        <v>6.2907379999999999E-2</v>
      </c>
      <c r="S2657">
        <v>3.0623170000000002</v>
      </c>
      <c r="T2657">
        <v>-0.11477329999999999</v>
      </c>
      <c r="U2657">
        <v>-1.0787959999999999E-2</v>
      </c>
      <c r="V2657">
        <v>-5.9006719999999999E-2</v>
      </c>
      <c r="W2657">
        <v>0.1685661</v>
      </c>
      <c r="X2657">
        <v>0.98392259999999998</v>
      </c>
      <c r="Y2657">
        <v>7.4562250000000004E-3</v>
      </c>
      <c r="Z2657">
        <v>-2.8483510000000003E-4</v>
      </c>
      <c r="AA2657">
        <v>0.99997219999999998</v>
      </c>
      <c r="AB2657">
        <v>39</v>
      </c>
      <c r="AC2657">
        <v>29.2332</v>
      </c>
      <c r="AD2657">
        <v>-1.1097491469459999</v>
      </c>
      <c r="AE2657">
        <v>-0.105799999999987</v>
      </c>
      <c r="AF2657">
        <v>0.22070886062478101</v>
      </c>
      <c r="AG2657">
        <v>-1.1097491469459999</v>
      </c>
      <c r="AH2657">
        <v>29.190489739362</v>
      </c>
      <c r="AI2657">
        <v>92.177131027778202</v>
      </c>
      <c r="AJ2657">
        <v>89.566795714706203</v>
      </c>
      <c r="AK2657">
        <v>29.212410835021899</v>
      </c>
      <c r="AL2657">
        <v>80.295540486375302</v>
      </c>
      <c r="AM2657">
        <v>93.431968809626397</v>
      </c>
      <c r="AN2657">
        <v>1.00000000293256</v>
      </c>
    </row>
    <row r="2658" spans="1:40" x14ac:dyDescent="0.25">
      <c r="A2658" t="str">
        <f>"20190304155419765"</f>
        <v>20190304155419765</v>
      </c>
      <c r="B2658" t="str">
        <f>"1551686059759837"</f>
        <v>1551686059759837</v>
      </c>
      <c r="C2658" t="s">
        <v>40</v>
      </c>
      <c r="D2658">
        <v>4.7585819999999996</v>
      </c>
      <c r="E2658">
        <v>0.524698</v>
      </c>
      <c r="F2658" t="s">
        <v>65</v>
      </c>
      <c r="G2658">
        <v>-294.73989999999998</v>
      </c>
      <c r="H2658" s="1">
        <v>1.735196E-6</v>
      </c>
      <c r="I2658">
        <v>214.85890000000001</v>
      </c>
      <c r="J2658">
        <v>-324.24740000000003</v>
      </c>
      <c r="K2658">
        <v>1.1097570000000001</v>
      </c>
      <c r="L2658">
        <v>214.95609999999999</v>
      </c>
      <c r="M2658">
        <v>0.99992130000000001</v>
      </c>
      <c r="N2658">
        <v>-1.192066E-2</v>
      </c>
      <c r="O2658">
        <v>3.9213599999999996E-3</v>
      </c>
      <c r="P2658">
        <v>0.9854908</v>
      </c>
      <c r="Q2658">
        <v>0.15746399999999999</v>
      </c>
      <c r="R2658">
        <v>6.3351069999999995E-2</v>
      </c>
      <c r="S2658">
        <v>3.0624389999999999</v>
      </c>
      <c r="T2658">
        <v>-0.1136723</v>
      </c>
      <c r="U2658">
        <v>-9.7961430000000002E-3</v>
      </c>
      <c r="V2658">
        <v>-5.9470639999999998E-2</v>
      </c>
      <c r="W2658">
        <v>0.169209</v>
      </c>
      <c r="X2658">
        <v>0.98378429999999994</v>
      </c>
      <c r="Y2658">
        <v>7.1126660000000001E-3</v>
      </c>
      <c r="Z2658">
        <v>-2.7314119999999998E-4</v>
      </c>
      <c r="AA2658">
        <v>0.99997469999999999</v>
      </c>
      <c r="AB2658">
        <v>39</v>
      </c>
      <c r="AC2658">
        <v>29.5075</v>
      </c>
      <c r="AD2658">
        <v>-1.1097552648040001</v>
      </c>
      <c r="AE2658">
        <v>-9.7199999999986603E-2</v>
      </c>
      <c r="AF2658">
        <v>0.212616266788312</v>
      </c>
      <c r="AG2658">
        <v>-1.1097552648040001</v>
      </c>
      <c r="AH2658">
        <v>29.4652151014207</v>
      </c>
      <c r="AI2658">
        <v>92.156868706922594</v>
      </c>
      <c r="AJ2658">
        <v>89.586570019087304</v>
      </c>
      <c r="AK2658">
        <v>29.486872730041298</v>
      </c>
      <c r="AL2658">
        <v>80.258168118223395</v>
      </c>
      <c r="AM2658">
        <v>93.459371294660201</v>
      </c>
      <c r="AN2658">
        <v>0.99999999581474897</v>
      </c>
    </row>
    <row r="2659" spans="1:40" x14ac:dyDescent="0.25">
      <c r="A2659" t="str">
        <f>"20190304155419788"</f>
        <v>20190304155419788</v>
      </c>
      <c r="B2659" t="str">
        <f>"1551686059779356"</f>
        <v>1551686059779356</v>
      </c>
      <c r="C2659" t="s">
        <v>40</v>
      </c>
      <c r="D2659">
        <v>4.7297209999999996</v>
      </c>
      <c r="E2659">
        <v>0.52478000000000002</v>
      </c>
      <c r="F2659" t="s">
        <v>65</v>
      </c>
      <c r="G2659">
        <v>-293.89159999999998</v>
      </c>
      <c r="H2659" s="1">
        <v>1.584707E-6</v>
      </c>
      <c r="I2659">
        <v>214.8717</v>
      </c>
      <c r="J2659">
        <v>-323.8569</v>
      </c>
      <c r="K2659">
        <v>1.1097570000000001</v>
      </c>
      <c r="L2659">
        <v>214.95760000000001</v>
      </c>
      <c r="M2659">
        <v>0.99992130000000001</v>
      </c>
      <c r="N2659">
        <v>-1.192179E-2</v>
      </c>
      <c r="O2659">
        <v>3.9015059999999999E-3</v>
      </c>
      <c r="P2659">
        <v>0.98543099999999995</v>
      </c>
      <c r="Q2659">
        <v>0.15796789999999999</v>
      </c>
      <c r="R2659">
        <v>6.3023179999999998E-2</v>
      </c>
      <c r="S2659">
        <v>3.062592</v>
      </c>
      <c r="T2659">
        <v>-0.1119628</v>
      </c>
      <c r="U2659">
        <v>-8.5144039999999997E-3</v>
      </c>
      <c r="V2659">
        <v>-5.9162399999999997E-2</v>
      </c>
      <c r="W2659">
        <v>0.1697128</v>
      </c>
      <c r="X2659">
        <v>0.98371609999999998</v>
      </c>
      <c r="Y2659">
        <v>6.67477E-3</v>
      </c>
      <c r="Z2659">
        <v>-2.5785450000000002E-4</v>
      </c>
      <c r="AA2659">
        <v>0.99997769999999997</v>
      </c>
      <c r="AB2659">
        <v>39</v>
      </c>
      <c r="AC2659">
        <v>29.965299999999999</v>
      </c>
      <c r="AD2659">
        <v>-1.10975541529299</v>
      </c>
      <c r="AE2659">
        <v>-8.5900000000009399E-2</v>
      </c>
      <c r="AF2659">
        <v>0.2025396608143</v>
      </c>
      <c r="AG2659">
        <v>-1.10975541529299</v>
      </c>
      <c r="AH2659">
        <v>29.923694702051399</v>
      </c>
      <c r="AI2659">
        <v>92.123859398153002</v>
      </c>
      <c r="AJ2659">
        <v>89.612197268626005</v>
      </c>
      <c r="AK2659">
        <v>29.944950893557301</v>
      </c>
      <c r="AL2659">
        <v>80.228878880630603</v>
      </c>
      <c r="AM2659">
        <v>93.441722387223805</v>
      </c>
      <c r="AN2659">
        <v>0.99999999472840495</v>
      </c>
    </row>
    <row r="2660" spans="1:40" x14ac:dyDescent="0.25">
      <c r="A2660" t="str">
        <f>"20190304155419813"</f>
        <v>20190304155419813</v>
      </c>
      <c r="B2660" t="str">
        <f>"1551686059809613"</f>
        <v>1551686059809613</v>
      </c>
      <c r="C2660" t="s">
        <v>40</v>
      </c>
      <c r="D2660">
        <v>4.6141899999999998</v>
      </c>
      <c r="E2660">
        <v>0.52468680000000001</v>
      </c>
      <c r="F2660" t="s">
        <v>65</v>
      </c>
      <c r="G2660">
        <v>-293.161</v>
      </c>
      <c r="H2660" s="1">
        <v>1.4551230000000001E-6</v>
      </c>
      <c r="I2660">
        <v>214.8536</v>
      </c>
      <c r="J2660">
        <v>-323.42360000000002</v>
      </c>
      <c r="K2660">
        <v>1.1097539999999999</v>
      </c>
      <c r="L2660">
        <v>214.95930000000001</v>
      </c>
      <c r="M2660">
        <v>0.99992139999999996</v>
      </c>
      <c r="N2660">
        <v>-1.1923019999999999E-2</v>
      </c>
      <c r="O2660">
        <v>3.8792660000000001E-3</v>
      </c>
      <c r="P2660">
        <v>0.98541029999999996</v>
      </c>
      <c r="Q2660">
        <v>0.15798809999999999</v>
      </c>
      <c r="R2660">
        <v>6.3294699999999995E-2</v>
      </c>
      <c r="S2660">
        <v>3.0627749999999998</v>
      </c>
      <c r="T2660">
        <v>-0.1107293</v>
      </c>
      <c r="U2660">
        <v>-1.037598E-2</v>
      </c>
      <c r="V2660">
        <v>-5.945582E-2</v>
      </c>
      <c r="W2660">
        <v>0.16973440000000001</v>
      </c>
      <c r="X2660">
        <v>0.98369470000000003</v>
      </c>
      <c r="Y2660">
        <v>7.2597989999999999E-3</v>
      </c>
      <c r="Z2660">
        <v>-2.6844739999999997E-4</v>
      </c>
      <c r="AA2660">
        <v>0.99997360000000002</v>
      </c>
      <c r="AB2660">
        <v>39</v>
      </c>
      <c r="AC2660">
        <v>30.262599999999999</v>
      </c>
      <c r="AD2660">
        <v>-1.109752544877</v>
      </c>
      <c r="AE2660">
        <v>-0.10570000000001301</v>
      </c>
      <c r="AF2660">
        <v>0.22280461272800001</v>
      </c>
      <c r="AG2660">
        <v>-1.109752544877</v>
      </c>
      <c r="AH2660">
        <v>30.2213227265588</v>
      </c>
      <c r="AI2660">
        <v>92.102947505836497</v>
      </c>
      <c r="AJ2660">
        <v>89.577598478939194</v>
      </c>
      <c r="AK2660">
        <v>30.2425121302634</v>
      </c>
      <c r="AL2660">
        <v>80.227623242010594</v>
      </c>
      <c r="AM2660">
        <v>93.458825571304203</v>
      </c>
      <c r="AN2660">
        <v>1.0000000119416601</v>
      </c>
    </row>
    <row r="2661" spans="1:40" x14ac:dyDescent="0.25">
      <c r="A2661" t="str">
        <f>"20190304155419835"</f>
        <v>20190304155419835</v>
      </c>
      <c r="B2661" t="str">
        <f>"1551686059829133"</f>
        <v>1551686059829133</v>
      </c>
      <c r="C2661" t="s">
        <v>40</v>
      </c>
      <c r="D2661">
        <v>4.6299539999999997</v>
      </c>
      <c r="E2661">
        <v>0.52461040000000003</v>
      </c>
      <c r="F2661" t="s">
        <v>65</v>
      </c>
      <c r="G2661">
        <v>-292.79020000000003</v>
      </c>
      <c r="H2661" s="1">
        <v>1.3893500000000001E-6</v>
      </c>
      <c r="I2661">
        <v>214.8706</v>
      </c>
      <c r="J2661">
        <v>-323.02839999999998</v>
      </c>
      <c r="K2661">
        <v>1.109753</v>
      </c>
      <c r="L2661">
        <v>214.96080000000001</v>
      </c>
      <c r="M2661">
        <v>0.99992150000000002</v>
      </c>
      <c r="N2661">
        <v>-1.192412E-2</v>
      </c>
      <c r="O2661">
        <v>3.859113E-3</v>
      </c>
      <c r="P2661">
        <v>0.98553000000000002</v>
      </c>
      <c r="Q2661">
        <v>0.15731020000000001</v>
      </c>
      <c r="R2661">
        <v>6.3122769999999995E-2</v>
      </c>
      <c r="S2661">
        <v>3.0627749999999998</v>
      </c>
      <c r="T2661">
        <v>-0.1109549</v>
      </c>
      <c r="U2661">
        <v>-8.8653559999999996E-3</v>
      </c>
      <c r="V2661">
        <v>-5.9303790000000002E-2</v>
      </c>
      <c r="W2661">
        <v>0.16905870000000001</v>
      </c>
      <c r="X2661">
        <v>0.98382020000000003</v>
      </c>
      <c r="Y2661">
        <v>6.7468659999999998E-3</v>
      </c>
      <c r="Z2661">
        <v>-2.5616259999999998E-4</v>
      </c>
      <c r="AA2661">
        <v>0.99997720000000001</v>
      </c>
      <c r="AB2661">
        <v>39</v>
      </c>
      <c r="AC2661">
        <v>30.2381999999999</v>
      </c>
      <c r="AD2661">
        <v>-1.1097516106500001</v>
      </c>
      <c r="AE2661">
        <v>-9.0200000000009994E-2</v>
      </c>
      <c r="AF2661">
        <v>0.20662195149965201</v>
      </c>
      <c r="AG2661">
        <v>-1.1097516106500001</v>
      </c>
      <c r="AH2661">
        <v>30.196954362596799</v>
      </c>
      <c r="AI2661">
        <v>92.104649168395099</v>
      </c>
      <c r="AJ2661">
        <v>89.607961091697902</v>
      </c>
      <c r="AK2661">
        <v>30.218045834317898</v>
      </c>
      <c r="AL2661">
        <v>80.266905444534203</v>
      </c>
      <c r="AM2661">
        <v>93.449563625427501</v>
      </c>
      <c r="AN2661">
        <v>0.99999998474104701</v>
      </c>
    </row>
    <row r="2662" spans="1:40" x14ac:dyDescent="0.25">
      <c r="A2662" t="str">
        <f>"20190304155419854"</f>
        <v>20190304155419854</v>
      </c>
      <c r="B2662" t="str">
        <f>"1551686059849629"</f>
        <v>1551686059849629</v>
      </c>
      <c r="C2662" t="s">
        <v>40</v>
      </c>
      <c r="D2662">
        <v>4.5330170000000001</v>
      </c>
      <c r="E2662">
        <v>0.5246826</v>
      </c>
      <c r="F2662" t="s">
        <v>65</v>
      </c>
      <c r="G2662">
        <v>-293.0317</v>
      </c>
      <c r="H2662" s="1">
        <v>1.432191E-6</v>
      </c>
      <c r="I2662">
        <v>214.87719999999999</v>
      </c>
      <c r="J2662">
        <v>-322.69740000000002</v>
      </c>
      <c r="K2662">
        <v>1.109756</v>
      </c>
      <c r="L2662">
        <v>214.96209999999999</v>
      </c>
      <c r="M2662">
        <v>0.99992159999999997</v>
      </c>
      <c r="N2662">
        <v>-1.192502E-2</v>
      </c>
      <c r="O2662">
        <v>3.8422399999999998E-3</v>
      </c>
      <c r="P2662">
        <v>0.98564589999999996</v>
      </c>
      <c r="Q2662">
        <v>0.1567751</v>
      </c>
      <c r="R2662">
        <v>6.2640810000000005E-2</v>
      </c>
      <c r="S2662">
        <v>3.0626829999999998</v>
      </c>
      <c r="T2662">
        <v>-0.11330659999999999</v>
      </c>
      <c r="U2662">
        <v>-8.5296629999999998E-3</v>
      </c>
      <c r="V2662">
        <v>-5.8838229999999998E-2</v>
      </c>
      <c r="W2662">
        <v>0.1685257</v>
      </c>
      <c r="X2662">
        <v>0.98393960000000003</v>
      </c>
      <c r="Y2662">
        <v>6.6203E-3</v>
      </c>
      <c r="Z2662">
        <v>-2.5820109999999998E-4</v>
      </c>
      <c r="AA2662">
        <v>0.99997809999999998</v>
      </c>
      <c r="AB2662">
        <v>39</v>
      </c>
      <c r="AC2662">
        <v>29.665700000000001</v>
      </c>
      <c r="AD2662">
        <v>-1.1097545678089999</v>
      </c>
      <c r="AE2662">
        <v>-8.4900000000004597E-2</v>
      </c>
      <c r="AF2662">
        <v>0.19861227026744899</v>
      </c>
      <c r="AG2662">
        <v>-1.1097545678089999</v>
      </c>
      <c r="AH2662">
        <v>29.623699430363001</v>
      </c>
      <c r="AI2662">
        <v>92.145346731321098</v>
      </c>
      <c r="AJ2662">
        <v>89.615865858663099</v>
      </c>
      <c r="AK2662">
        <v>29.645144121342401</v>
      </c>
      <c r="AL2662">
        <v>80.297888731106596</v>
      </c>
      <c r="AM2662">
        <v>93.422133374596697</v>
      </c>
      <c r="AN2662">
        <v>0.99999999265909101</v>
      </c>
    </row>
    <row r="2663" spans="1:40" x14ac:dyDescent="0.25">
      <c r="A2663" t="str">
        <f>"20190304155419877"</f>
        <v>20190304155419877</v>
      </c>
      <c r="B2663" t="str">
        <f>"1551686059869152"</f>
        <v>1551686059869152</v>
      </c>
      <c r="C2663" t="s">
        <v>40</v>
      </c>
      <c r="D2663">
        <v>4.5802329999999998</v>
      </c>
      <c r="E2663">
        <v>0.52453470000000002</v>
      </c>
      <c r="F2663" t="s">
        <v>65</v>
      </c>
      <c r="G2663">
        <v>-293.31900000000002</v>
      </c>
      <c r="H2663" s="1">
        <v>1.483145E-6</v>
      </c>
      <c r="I2663">
        <v>214.8612</v>
      </c>
      <c r="J2663">
        <v>-322.29829999999998</v>
      </c>
      <c r="K2663">
        <v>1.1097509999999999</v>
      </c>
      <c r="L2663">
        <v>214.96350000000001</v>
      </c>
      <c r="M2663">
        <v>0.99992159999999997</v>
      </c>
      <c r="N2663">
        <v>-1.19261E-2</v>
      </c>
      <c r="O2663">
        <v>3.8219090000000001E-3</v>
      </c>
      <c r="P2663">
        <v>0.98561889999999996</v>
      </c>
      <c r="Q2663">
        <v>0.15698960000000001</v>
      </c>
      <c r="R2663">
        <v>6.2526579999999998E-2</v>
      </c>
      <c r="S2663">
        <v>3.0627439999999999</v>
      </c>
      <c r="T2663">
        <v>-0.1156938</v>
      </c>
      <c r="U2663">
        <v>-1.051331E-2</v>
      </c>
      <c r="V2663">
        <v>-5.8743610000000002E-2</v>
      </c>
      <c r="W2663">
        <v>0.168741</v>
      </c>
      <c r="X2663">
        <v>0.98390840000000002</v>
      </c>
      <c r="Y2663">
        <v>7.2466780000000003E-3</v>
      </c>
      <c r="Z2663">
        <v>-2.7880320000000001E-4</v>
      </c>
      <c r="AA2663">
        <v>0.99997369999999997</v>
      </c>
      <c r="AB2663">
        <v>39</v>
      </c>
      <c r="AC2663">
        <v>28.979299999999899</v>
      </c>
      <c r="AD2663">
        <v>-1.109749516855</v>
      </c>
      <c r="AE2663">
        <v>-0.10230000000001301</v>
      </c>
      <c r="AF2663">
        <v>0.21275138478050301</v>
      </c>
      <c r="AG2663">
        <v>-1.109749516855</v>
      </c>
      <c r="AH2663">
        <v>28.936263581967602</v>
      </c>
      <c r="AI2663">
        <v>92.196244204132597</v>
      </c>
      <c r="AJ2663">
        <v>89.578745308465898</v>
      </c>
      <c r="AK2663">
        <v>28.958317582811901</v>
      </c>
      <c r="AL2663">
        <v>80.285374166937203</v>
      </c>
      <c r="AM2663">
        <v>93.4167512448564</v>
      </c>
      <c r="AN2663">
        <v>1.00000003819369</v>
      </c>
    </row>
    <row r="2664" spans="1:40" x14ac:dyDescent="0.25">
      <c r="A2664" t="str">
        <f>"20190304155419899"</f>
        <v>20190304155419899</v>
      </c>
      <c r="B2664" t="str">
        <f>"1551686059889645"</f>
        <v>1551686059889645</v>
      </c>
      <c r="C2664" t="s">
        <v>40</v>
      </c>
      <c r="D2664">
        <v>4.5216570000000003</v>
      </c>
      <c r="E2664">
        <v>0.52424199999999999</v>
      </c>
      <c r="F2664" t="s">
        <v>65</v>
      </c>
      <c r="G2664">
        <v>-291.25049999999999</v>
      </c>
      <c r="H2664" s="1">
        <v>1.1162330000000001E-6</v>
      </c>
      <c r="I2664">
        <v>214.86920000000001</v>
      </c>
      <c r="J2664">
        <v>-321.91719999999998</v>
      </c>
      <c r="K2664">
        <v>1.109756</v>
      </c>
      <c r="L2664">
        <v>214.965</v>
      </c>
      <c r="M2664">
        <v>0.99992170000000002</v>
      </c>
      <c r="N2664">
        <v>-1.192708E-2</v>
      </c>
      <c r="O2664">
        <v>3.802532E-3</v>
      </c>
      <c r="P2664">
        <v>0.985707</v>
      </c>
      <c r="Q2664">
        <v>0.15668480000000001</v>
      </c>
      <c r="R2664">
        <v>6.190147E-2</v>
      </c>
      <c r="S2664">
        <v>3.0617679999999998</v>
      </c>
      <c r="T2664">
        <v>-0.1094377</v>
      </c>
      <c r="U2664">
        <v>-9.3078610000000006E-3</v>
      </c>
      <c r="V2664">
        <v>-5.8137210000000002E-2</v>
      </c>
      <c r="W2664">
        <v>0.16843830000000001</v>
      </c>
      <c r="X2664">
        <v>0.98399630000000005</v>
      </c>
      <c r="Y2664">
        <v>6.8358759999999899E-3</v>
      </c>
      <c r="Z2664">
        <v>-2.5344039999999999E-4</v>
      </c>
      <c r="AA2664">
        <v>0.99997659999999999</v>
      </c>
      <c r="AB2664">
        <v>39</v>
      </c>
      <c r="AC2664">
        <v>30.666699999999899</v>
      </c>
      <c r="AD2664">
        <v>-1.1097548837669999</v>
      </c>
      <c r="AE2664">
        <v>-9.5799999999996999E-2</v>
      </c>
      <c r="AF2664">
        <v>0.212140898411947</v>
      </c>
      <c r="AG2664">
        <v>-1.1097548837669999</v>
      </c>
      <c r="AH2664">
        <v>30.6260082415779</v>
      </c>
      <c r="AI2664">
        <v>92.075195040420596</v>
      </c>
      <c r="AJ2664">
        <v>89.603128698590396</v>
      </c>
      <c r="AK2664">
        <v>30.646842259456701</v>
      </c>
      <c r="AL2664">
        <v>80.302969638601795</v>
      </c>
      <c r="AM2664">
        <v>93.381261620444107</v>
      </c>
      <c r="AN2664">
        <v>1.0000000572535801</v>
      </c>
    </row>
    <row r="2665" spans="1:40" x14ac:dyDescent="0.25">
      <c r="A2665" t="str">
        <f>"20190304155419922"</f>
        <v>20190304155419922</v>
      </c>
      <c r="B2665" t="str">
        <f>"1551686059919901"</f>
        <v>1551686059919901</v>
      </c>
      <c r="C2665" t="s">
        <v>40</v>
      </c>
      <c r="D2665">
        <v>4.5930669999999996</v>
      </c>
      <c r="E2665">
        <v>0.52375360000000004</v>
      </c>
      <c r="F2665" t="s">
        <v>65</v>
      </c>
      <c r="G2665">
        <v>-289.68619999999999</v>
      </c>
      <c r="H2665" s="1">
        <v>2.7652549999999998E-6</v>
      </c>
      <c r="I2665">
        <v>214.8699</v>
      </c>
      <c r="J2665">
        <v>-321.52910000000003</v>
      </c>
      <c r="K2665">
        <v>1.109756</v>
      </c>
      <c r="L2665">
        <v>214.96639999999999</v>
      </c>
      <c r="M2665">
        <v>0.99992179999999997</v>
      </c>
      <c r="N2665">
        <v>-1.1928090000000001E-2</v>
      </c>
      <c r="O2665">
        <v>3.7826779999999998E-3</v>
      </c>
      <c r="P2665">
        <v>0.98577420000000004</v>
      </c>
      <c r="Q2665">
        <v>0.15648219999999999</v>
      </c>
      <c r="R2665">
        <v>6.1340249999999999E-2</v>
      </c>
      <c r="S2665">
        <v>3.060791</v>
      </c>
      <c r="T2665">
        <v>-0.10538699999999999</v>
      </c>
      <c r="U2665">
        <v>-9.0332030000000001E-3</v>
      </c>
      <c r="V2665">
        <v>-5.7594920000000001E-2</v>
      </c>
      <c r="W2665">
        <v>0.16823759999999999</v>
      </c>
      <c r="X2665">
        <v>0.98406249999999995</v>
      </c>
      <c r="Y2665">
        <v>6.7278349999999997E-3</v>
      </c>
      <c r="Z2665">
        <v>-2.4102269999999999E-4</v>
      </c>
      <c r="AA2665">
        <v>0.99997740000000002</v>
      </c>
      <c r="AB2665">
        <v>39</v>
      </c>
      <c r="AC2665">
        <v>31.8429</v>
      </c>
      <c r="AD2665">
        <v>-1.1097532347450001</v>
      </c>
      <c r="AE2665">
        <v>-9.6499999999991801E-2</v>
      </c>
      <c r="AF2665">
        <v>0.21669611164256999</v>
      </c>
      <c r="AG2665">
        <v>-1.1097532347450001</v>
      </c>
      <c r="AH2665">
        <v>31.803679207686098</v>
      </c>
      <c r="AI2665">
        <v>91.998413915471204</v>
      </c>
      <c r="AJ2665">
        <v>89.609618106566899</v>
      </c>
      <c r="AK2665">
        <v>31.823772884311399</v>
      </c>
      <c r="AL2665">
        <v>80.314635155062106</v>
      </c>
      <c r="AM2665">
        <v>93.349569344563093</v>
      </c>
      <c r="AN2665">
        <v>1.0000000343849</v>
      </c>
    </row>
    <row r="2666" spans="1:40" x14ac:dyDescent="0.25">
      <c r="A2666" t="str">
        <f>"20190304155419944"</f>
        <v>20190304155419944</v>
      </c>
      <c r="B2666" t="str">
        <f>"1551686059939421"</f>
        <v>1551686059939421</v>
      </c>
      <c r="C2666" t="s">
        <v>40</v>
      </c>
      <c r="D2666">
        <v>4.5363559999999996</v>
      </c>
      <c r="E2666">
        <v>0.52330719999999997</v>
      </c>
      <c r="F2666" t="s">
        <v>65</v>
      </c>
      <c r="G2666">
        <v>-287.70429999999999</v>
      </c>
      <c r="H2666" s="1">
        <v>3.6416570000000001E-6</v>
      </c>
      <c r="I2666">
        <v>214.89089999999999</v>
      </c>
      <c r="J2666">
        <v>-321.14449999999999</v>
      </c>
      <c r="K2666">
        <v>1.109758</v>
      </c>
      <c r="L2666">
        <v>214.96789999999999</v>
      </c>
      <c r="M2666">
        <v>0.99992179999999997</v>
      </c>
      <c r="N2666">
        <v>-1.192912E-2</v>
      </c>
      <c r="O2666">
        <v>3.763181E-3</v>
      </c>
      <c r="P2666">
        <v>0.98585619999999996</v>
      </c>
      <c r="Q2666">
        <v>0.15608620000000001</v>
      </c>
      <c r="R2666">
        <v>6.1029119999999999E-2</v>
      </c>
      <c r="S2666">
        <v>3.059723</v>
      </c>
      <c r="T2666">
        <v>-0.1003858</v>
      </c>
      <c r="U2666">
        <v>-6.8359379999999997E-3</v>
      </c>
      <c r="V2666">
        <v>-5.7302739999999998E-2</v>
      </c>
      <c r="W2666">
        <v>0.1678432</v>
      </c>
      <c r="X2666">
        <v>0.98414690000000005</v>
      </c>
      <c r="Y2666">
        <v>5.9923700000000003E-3</v>
      </c>
      <c r="Z2666">
        <v>-2.1257749999999999E-4</v>
      </c>
      <c r="AA2666">
        <v>0.99998200000000004</v>
      </c>
      <c r="AB2666">
        <v>39</v>
      </c>
      <c r="AC2666">
        <v>33.440199999999997</v>
      </c>
      <c r="AD2666">
        <v>-1.1097543583430001</v>
      </c>
      <c r="AE2666">
        <v>-7.6999999999998098E-2</v>
      </c>
      <c r="AF2666">
        <v>0.202626773301816</v>
      </c>
      <c r="AG2666">
        <v>-1.1097543583430001</v>
      </c>
      <c r="AH2666">
        <v>33.402886117837902</v>
      </c>
      <c r="AI2666">
        <v>91.902820409208701</v>
      </c>
      <c r="AJ2666">
        <v>89.652439717808093</v>
      </c>
      <c r="AK2666">
        <v>33.421930125987103</v>
      </c>
      <c r="AL2666">
        <v>80.3375585579914</v>
      </c>
      <c r="AM2666">
        <v>93.332330160288095</v>
      </c>
      <c r="AN2666">
        <v>1.00000003228867</v>
      </c>
    </row>
    <row r="2667" spans="1:40" x14ac:dyDescent="0.25">
      <c r="A2667" t="str">
        <f>"20190304155419966"</f>
        <v>20190304155419966</v>
      </c>
      <c r="B2667" t="str">
        <f>"1551686059959917"</f>
        <v>1551686059959917</v>
      </c>
      <c r="C2667" t="s">
        <v>40</v>
      </c>
      <c r="D2667">
        <v>4.5761539999999998</v>
      </c>
      <c r="E2667">
        <v>0.52297479999999996</v>
      </c>
      <c r="F2667" t="s">
        <v>65</v>
      </c>
      <c r="G2667">
        <v>-286.70229999999998</v>
      </c>
      <c r="H2667" s="1">
        <v>4.0822550000000001E-6</v>
      </c>
      <c r="I2667">
        <v>214.92230000000001</v>
      </c>
      <c r="J2667">
        <v>-320.75049999999999</v>
      </c>
      <c r="K2667">
        <v>1.109758</v>
      </c>
      <c r="L2667">
        <v>214.9693</v>
      </c>
      <c r="M2667">
        <v>0.99992190000000003</v>
      </c>
      <c r="N2667">
        <v>-1.193048E-2</v>
      </c>
      <c r="O2667">
        <v>3.7429680000000002E-3</v>
      </c>
      <c r="P2667">
        <v>0.98582429999999999</v>
      </c>
      <c r="Q2667">
        <v>0.15636889999999901</v>
      </c>
      <c r="R2667">
        <v>6.0822719999999997E-2</v>
      </c>
      <c r="S2667">
        <v>3.0588989999999998</v>
      </c>
      <c r="T2667">
        <v>-9.8559859999999999E-2</v>
      </c>
      <c r="U2667">
        <v>-4.0435790000000003E-3</v>
      </c>
      <c r="V2667">
        <v>-5.7116449999999999E-2</v>
      </c>
      <c r="W2667">
        <v>0.16812659999999999</v>
      </c>
      <c r="X2667">
        <v>0.98410929999999996</v>
      </c>
      <c r="Y2667">
        <v>5.0607580000000003E-3</v>
      </c>
      <c r="Z2667">
        <v>-1.876297E-4</v>
      </c>
      <c r="AA2667">
        <v>0.99998719999999996</v>
      </c>
      <c r="AB2667">
        <v>39</v>
      </c>
      <c r="AC2667">
        <v>34.048200000000001</v>
      </c>
      <c r="AD2667">
        <v>-1.109753917745</v>
      </c>
      <c r="AE2667">
        <v>-4.6999999999997003E-2</v>
      </c>
      <c r="AF2667">
        <v>0.17426492591103299</v>
      </c>
      <c r="AG2667">
        <v>-1.109753917745</v>
      </c>
      <c r="AH2667">
        <v>34.0116535308157</v>
      </c>
      <c r="AI2667">
        <v>91.868795702967702</v>
      </c>
      <c r="AJ2667">
        <v>89.706437165970897</v>
      </c>
      <c r="AK2667">
        <v>34.030199792575502</v>
      </c>
      <c r="AL2667">
        <v>80.321086338253494</v>
      </c>
      <c r="AM2667">
        <v>93.321647741610704</v>
      </c>
      <c r="AN2667">
        <v>0.99999997841732602</v>
      </c>
    </row>
    <row r="2668" spans="1:40" x14ac:dyDescent="0.25">
      <c r="A2668" t="str">
        <f>"20190304155419989"</f>
        <v>20190304155419989</v>
      </c>
      <c r="B2668" t="str">
        <f>"1551686059979437"</f>
        <v>1551686059979437</v>
      </c>
      <c r="C2668" t="s">
        <v>40</v>
      </c>
      <c r="D2668">
        <v>4.5871029999999999</v>
      </c>
      <c r="E2668">
        <v>0.52262470000000005</v>
      </c>
      <c r="F2668" t="s">
        <v>65</v>
      </c>
      <c r="G2668">
        <v>-284.78089999999997</v>
      </c>
      <c r="H2668" s="1">
        <v>4.9314769999999997E-6</v>
      </c>
      <c r="I2668">
        <v>214.9462</v>
      </c>
      <c r="J2668">
        <v>-320.35149999999999</v>
      </c>
      <c r="K2668">
        <v>1.109756</v>
      </c>
      <c r="L2668">
        <v>214.9708</v>
      </c>
      <c r="M2668">
        <v>0.99992190000000003</v>
      </c>
      <c r="N2668">
        <v>-1.1931529999999999E-2</v>
      </c>
      <c r="O2668">
        <v>3.7225779999999998E-3</v>
      </c>
      <c r="P2668">
        <v>0.98574569999999995</v>
      </c>
      <c r="Q2668">
        <v>0.15692210000000001</v>
      </c>
      <c r="R2668">
        <v>6.0670450000000001E-2</v>
      </c>
      <c r="S2668">
        <v>3.0582579999999999</v>
      </c>
      <c r="T2668">
        <v>-9.4354750000000001E-2</v>
      </c>
      <c r="U2668">
        <v>-1.9683840000000001E-3</v>
      </c>
      <c r="V2668">
        <v>-5.6984750000000001E-2</v>
      </c>
      <c r="W2668">
        <v>0.16868029999999901</v>
      </c>
      <c r="X2668">
        <v>0.98402219999999996</v>
      </c>
      <c r="Y2668">
        <v>4.3629209999999996E-3</v>
      </c>
      <c r="Z2668">
        <v>-1.6373700000000001E-4</v>
      </c>
      <c r="AA2668">
        <v>0.9999905</v>
      </c>
      <c r="AB2668">
        <v>39</v>
      </c>
      <c r="AC2668">
        <v>35.570599999999999</v>
      </c>
      <c r="AD2668">
        <v>-1.1097510685230001</v>
      </c>
      <c r="AE2668">
        <v>-2.4599999999992399E-2</v>
      </c>
      <c r="AF2668">
        <v>0.156870897104432</v>
      </c>
      <c r="AG2668">
        <v>-1.1097510685230001</v>
      </c>
      <c r="AH2668">
        <v>35.5356733113099</v>
      </c>
      <c r="AI2668">
        <v>91.788703276491901</v>
      </c>
      <c r="AJ2668">
        <v>89.747071573128494</v>
      </c>
      <c r="AK2668">
        <v>35.553343493975198</v>
      </c>
      <c r="AL2668">
        <v>80.288902201609105</v>
      </c>
      <c r="AM2668">
        <v>93.314298408000496</v>
      </c>
      <c r="AN2668">
        <v>0.99999999771674597</v>
      </c>
    </row>
    <row r="2669" spans="1:40" x14ac:dyDescent="0.25">
      <c r="A2669" t="str">
        <f>"20190304155420013"</f>
        <v>20190304155420013</v>
      </c>
      <c r="B2669" t="str">
        <f>"1551686060009693"</f>
        <v>1551686060009693</v>
      </c>
      <c r="C2669" t="s">
        <v>40</v>
      </c>
      <c r="D2669">
        <v>4.5511670000000004</v>
      </c>
      <c r="E2669">
        <v>0.52209830000000002</v>
      </c>
      <c r="F2669" t="s">
        <v>65</v>
      </c>
      <c r="G2669">
        <v>-282.57810000000001</v>
      </c>
      <c r="H2669" s="1">
        <v>5.9048429999999999E-6</v>
      </c>
      <c r="I2669">
        <v>214.9752</v>
      </c>
      <c r="J2669">
        <v>-319.94990000000001</v>
      </c>
      <c r="K2669">
        <v>1.1097509999999999</v>
      </c>
      <c r="L2669">
        <v>214.97229999999999</v>
      </c>
      <c r="M2669">
        <v>0.99992210000000004</v>
      </c>
      <c r="N2669">
        <v>-1.193226E-2</v>
      </c>
      <c r="O2669">
        <v>3.70207E-3</v>
      </c>
      <c r="P2669">
        <v>0.98565939999999996</v>
      </c>
      <c r="Q2669">
        <v>0.15713089999999999</v>
      </c>
      <c r="R2669">
        <v>6.1529229999999997E-2</v>
      </c>
      <c r="S2669">
        <v>3.0576780000000001</v>
      </c>
      <c r="T2669">
        <v>-8.983207E-2</v>
      </c>
      <c r="U2669">
        <v>3.509521E-4</v>
      </c>
      <c r="V2669">
        <v>-5.7864289999999999E-2</v>
      </c>
      <c r="W2669">
        <v>0.1688885</v>
      </c>
      <c r="X2669">
        <v>0.98393520000000001</v>
      </c>
      <c r="Y2669">
        <v>3.584818E-3</v>
      </c>
      <c r="Z2669">
        <v>-1.3861289999999999E-4</v>
      </c>
      <c r="AA2669">
        <v>0.99999360000000004</v>
      </c>
      <c r="AB2669">
        <v>39</v>
      </c>
      <c r="AC2669">
        <v>37.3718</v>
      </c>
      <c r="AD2669">
        <v>-1.109745095157</v>
      </c>
      <c r="AE2669">
        <v>2.9000000000110001E-3</v>
      </c>
      <c r="AF2669">
        <v>0.13534352702548999</v>
      </c>
      <c r="AG2669">
        <v>-1.109745095157</v>
      </c>
      <c r="AH2669">
        <v>37.338630283049703</v>
      </c>
      <c r="AI2669">
        <v>91.702381161189706</v>
      </c>
      <c r="AJ2669">
        <v>89.792317531142402</v>
      </c>
      <c r="AK2669">
        <v>37.355363248947398</v>
      </c>
      <c r="AL2669">
        <v>80.276799995573299</v>
      </c>
      <c r="AM2669">
        <v>93.365633660465306</v>
      </c>
      <c r="AN2669">
        <v>1.0000000396442399</v>
      </c>
    </row>
    <row r="2670" spans="1:40" x14ac:dyDescent="0.25">
      <c r="A2670" t="str">
        <f>"20190304155420035"</f>
        <v>20190304155420035</v>
      </c>
      <c r="B2670" t="str">
        <f>"1551686060029213"</f>
        <v>1551686060029213</v>
      </c>
      <c r="C2670" t="s">
        <v>40</v>
      </c>
      <c r="D2670">
        <v>4.7511510000000001</v>
      </c>
      <c r="E2670">
        <v>0.5219355</v>
      </c>
      <c r="F2670" t="s">
        <v>65</v>
      </c>
      <c r="G2670">
        <v>-280.19549999999998</v>
      </c>
      <c r="H2670" s="1">
        <v>6.9511339999999999E-6</v>
      </c>
      <c r="I2670">
        <v>215.0616</v>
      </c>
      <c r="J2670">
        <v>-319.55930000000001</v>
      </c>
      <c r="K2670">
        <v>1.10975</v>
      </c>
      <c r="L2670">
        <v>214.97370000000001</v>
      </c>
      <c r="M2670">
        <v>0.99992199999999998</v>
      </c>
      <c r="N2670">
        <v>-1.193289E-2</v>
      </c>
      <c r="O2670">
        <v>3.6823369999999999E-3</v>
      </c>
      <c r="P2670">
        <v>0.98571120000000001</v>
      </c>
      <c r="Q2670">
        <v>0.15672320000000001</v>
      </c>
      <c r="R2670">
        <v>6.1736010000000001E-2</v>
      </c>
      <c r="S2670">
        <v>3.0568240000000002</v>
      </c>
      <c r="T2670">
        <v>-8.5331320000000002E-2</v>
      </c>
      <c r="U2670">
        <v>6.8664549999999996E-3</v>
      </c>
      <c r="V2670">
        <v>-5.8089839999999997E-2</v>
      </c>
      <c r="W2670">
        <v>0.16848250000000001</v>
      </c>
      <c r="X2670">
        <v>0.98399150000000002</v>
      </c>
      <c r="Y2670">
        <v>1.435071E-3</v>
      </c>
      <c r="Z2670" s="1">
        <v>-8.7425529999999994E-5</v>
      </c>
      <c r="AA2670">
        <v>0.99999899999999997</v>
      </c>
      <c r="AB2670">
        <v>39</v>
      </c>
      <c r="AC2670">
        <v>39.363799999999998</v>
      </c>
      <c r="AD2670">
        <v>-1.1097430488660001</v>
      </c>
      <c r="AE2670">
        <v>8.78999999999905E-2</v>
      </c>
      <c r="AF2670">
        <v>5.7016381655891103E-2</v>
      </c>
      <c r="AG2670">
        <v>-1.1097430488660001</v>
      </c>
      <c r="AH2670">
        <v>39.332595897063399</v>
      </c>
      <c r="AI2670">
        <v>91.616131887996602</v>
      </c>
      <c r="AJ2670">
        <v>89.916944313761107</v>
      </c>
      <c r="AK2670">
        <v>39.3482894228449</v>
      </c>
      <c r="AL2670">
        <v>80.300400153126802</v>
      </c>
      <c r="AM2670">
        <v>93.378529406904605</v>
      </c>
      <c r="AN2670">
        <v>1.0000000271948599</v>
      </c>
    </row>
    <row r="2671" spans="1:40" x14ac:dyDescent="0.25">
      <c r="A2671" t="str">
        <f>"20190304155420056"</f>
        <v>20190304155420056</v>
      </c>
      <c r="B2671" t="str">
        <f>"1551686060049711"</f>
        <v>1551686060049711</v>
      </c>
      <c r="C2671" t="s">
        <v>40</v>
      </c>
      <c r="D2671">
        <v>4.6364349999999996</v>
      </c>
      <c r="E2671">
        <v>0.52161919999999995</v>
      </c>
      <c r="F2671" t="s">
        <v>63</v>
      </c>
      <c r="G2671">
        <v>-279.48259999999999</v>
      </c>
      <c r="H2671" s="1">
        <v>3.4887970000000001E-6</v>
      </c>
      <c r="I2671">
        <v>215.08699999999999</v>
      </c>
      <c r="J2671">
        <v>-319.18369999999999</v>
      </c>
      <c r="K2671">
        <v>1.109747</v>
      </c>
      <c r="L2671">
        <v>214.9751</v>
      </c>
      <c r="M2671">
        <v>0.99992210000000004</v>
      </c>
      <c r="N2671">
        <v>-1.193351E-2</v>
      </c>
      <c r="O2671">
        <v>3.663202E-3</v>
      </c>
      <c r="P2671">
        <v>0.98570139999999995</v>
      </c>
      <c r="Q2671">
        <v>0.15669259999999999</v>
      </c>
      <c r="R2671">
        <v>6.1970600000000001E-2</v>
      </c>
      <c r="S2671">
        <v>3.0563660000000001</v>
      </c>
      <c r="T2671">
        <v>-8.4632399999999997E-2</v>
      </c>
      <c r="U2671">
        <v>8.6364749999999994E-3</v>
      </c>
      <c r="V2671">
        <v>-5.8343979999999997E-2</v>
      </c>
      <c r="W2671">
        <v>0.1684524</v>
      </c>
      <c r="X2671">
        <v>0.98398160000000001</v>
      </c>
      <c r="Y2671">
        <v>8.3683149999999997E-4</v>
      </c>
      <c r="Z2671" s="1">
        <v>-7.4282999999999993E-5</v>
      </c>
      <c r="AA2671">
        <v>0.99999959999999999</v>
      </c>
      <c r="AB2671">
        <v>39</v>
      </c>
      <c r="AC2671">
        <v>39.701099999999997</v>
      </c>
      <c r="AD2671">
        <v>-1.1097435112029901</v>
      </c>
      <c r="AE2671">
        <v>0.111900000000019</v>
      </c>
      <c r="AF2671">
        <v>3.3518065144360801E-2</v>
      </c>
      <c r="AG2671">
        <v>-1.1097435112029901</v>
      </c>
      <c r="AH2671">
        <v>39.670247815507501</v>
      </c>
      <c r="AI2671">
        <v>91.602385218805395</v>
      </c>
      <c r="AJ2671">
        <v>89.951589835733898</v>
      </c>
      <c r="AK2671">
        <v>39.685781028790799</v>
      </c>
      <c r="AL2671">
        <v>80.302149595480401</v>
      </c>
      <c r="AM2671">
        <v>93.393309893100195</v>
      </c>
      <c r="AN2671">
        <v>1.00000001010328</v>
      </c>
    </row>
    <row r="2672" spans="1:40" x14ac:dyDescent="0.25">
      <c r="A2672" t="str">
        <f>"20190304155420078"</f>
        <v>20190304155420078</v>
      </c>
      <c r="B2672" t="str">
        <f>"1551686060069233"</f>
        <v>1551686060069233</v>
      </c>
      <c r="C2672" t="s">
        <v>40</v>
      </c>
      <c r="D2672">
        <v>4.5847550000000004</v>
      </c>
      <c r="E2672">
        <v>0.52128109999999905</v>
      </c>
      <c r="F2672" t="s">
        <v>63</v>
      </c>
      <c r="G2672">
        <v>-278.1825</v>
      </c>
      <c r="H2672" s="1">
        <v>2.7950439999999999E-6</v>
      </c>
      <c r="I2672">
        <v>215.1309</v>
      </c>
      <c r="J2672">
        <v>-318.79250000000002</v>
      </c>
      <c r="K2672">
        <v>1.109742</v>
      </c>
      <c r="L2672">
        <v>214.97649999999999</v>
      </c>
      <c r="M2672">
        <v>0.99992219999999998</v>
      </c>
      <c r="N2672">
        <v>-1.1934210000000001E-2</v>
      </c>
      <c r="O2672">
        <v>3.6432890000000001E-3</v>
      </c>
      <c r="P2672">
        <v>0.98571209999999998</v>
      </c>
      <c r="Q2672">
        <v>0.15648190000000001</v>
      </c>
      <c r="R2672">
        <v>6.2332730000000003E-2</v>
      </c>
      <c r="S2672">
        <v>3.055939</v>
      </c>
      <c r="T2672">
        <v>-8.271241E-2</v>
      </c>
      <c r="U2672">
        <v>1.1611939999999999E-2</v>
      </c>
      <c r="V2672">
        <v>-5.8725680000000002E-2</v>
      </c>
      <c r="W2672">
        <v>0.16824220000000001</v>
      </c>
      <c r="X2672">
        <v>0.98399479999999995</v>
      </c>
      <c r="Y2672">
        <v>-1.5655380000000001E-4</v>
      </c>
      <c r="Z2672" s="1">
        <v>-5.2061400000000003E-5</v>
      </c>
      <c r="AA2672">
        <v>1</v>
      </c>
      <c r="AB2672">
        <v>39</v>
      </c>
      <c r="AC2672">
        <v>40.61</v>
      </c>
      <c r="AD2672">
        <v>-1.109739204956</v>
      </c>
      <c r="AE2672">
        <v>0.154400000000009</v>
      </c>
      <c r="AF2672">
        <v>-6.4296779853162097E-3</v>
      </c>
      <c r="AG2672">
        <v>-1.109739204956</v>
      </c>
      <c r="AH2672">
        <v>40.579990290144998</v>
      </c>
      <c r="AI2672">
        <v>91.566474714715895</v>
      </c>
      <c r="AJ2672">
        <v>90.009078203480797</v>
      </c>
      <c r="AK2672">
        <v>40.5951619579482</v>
      </c>
      <c r="AL2672">
        <v>80.314367006010698</v>
      </c>
      <c r="AM2672">
        <v>93.415411629912896</v>
      </c>
      <c r="AN2672">
        <v>0.99999995488966997</v>
      </c>
    </row>
    <row r="2673" spans="1:40" x14ac:dyDescent="0.25">
      <c r="A2673" t="str">
        <f>"20190304155420100"</f>
        <v>20190304155420100</v>
      </c>
      <c r="B2673" t="str">
        <f>"1551686060089725"</f>
        <v>1551686060089725</v>
      </c>
      <c r="C2673" t="s">
        <v>40</v>
      </c>
      <c r="D2673">
        <v>4.6414479999999996</v>
      </c>
      <c r="E2673">
        <v>0.5209956</v>
      </c>
      <c r="F2673" t="s">
        <v>63</v>
      </c>
      <c r="G2673">
        <v>-277.18799999999999</v>
      </c>
      <c r="H2673" s="1">
        <v>2.2637710000000001E-6</v>
      </c>
      <c r="I2673">
        <v>215.17760000000001</v>
      </c>
      <c r="J2673">
        <v>-318.41950000000003</v>
      </c>
      <c r="K2673">
        <v>1.1097459999999999</v>
      </c>
      <c r="L2673">
        <v>214.97790000000001</v>
      </c>
      <c r="M2673">
        <v>0.99992230000000004</v>
      </c>
      <c r="N2673">
        <v>-1.193512E-2</v>
      </c>
      <c r="O2673">
        <v>3.6239739999999999E-3</v>
      </c>
      <c r="P2673">
        <v>0.98571019999999998</v>
      </c>
      <c r="Q2673">
        <v>0.15632360000000001</v>
      </c>
      <c r="R2673">
        <v>6.2758620000000001E-2</v>
      </c>
      <c r="S2673">
        <v>3.0555110000000001</v>
      </c>
      <c r="T2673">
        <v>-8.1501359999999995E-2</v>
      </c>
      <c r="U2673">
        <v>1.4770510000000001E-2</v>
      </c>
      <c r="V2673">
        <v>-5.91707E-2</v>
      </c>
      <c r="W2673">
        <v>0.16808480000000001</v>
      </c>
      <c r="X2673">
        <v>0.98399510000000001</v>
      </c>
      <c r="Y2673">
        <v>-1.2095470000000001E-3</v>
      </c>
      <c r="Z2673" s="1">
        <v>-3.0047670000000002E-5</v>
      </c>
      <c r="AA2673">
        <v>0.99999930000000004</v>
      </c>
      <c r="AB2673">
        <v>39</v>
      </c>
      <c r="AC2673">
        <v>41.231499999999997</v>
      </c>
      <c r="AD2673">
        <v>-1.1097437362289999</v>
      </c>
      <c r="AE2673">
        <v>0.19970000000000701</v>
      </c>
      <c r="AF2673">
        <v>-5.0229788575006103E-2</v>
      </c>
      <c r="AG2673">
        <v>-1.1097437362289999</v>
      </c>
      <c r="AH2673">
        <v>41.2021062660612</v>
      </c>
      <c r="AI2673">
        <v>91.542838998096698</v>
      </c>
      <c r="AJ2673">
        <v>90.069849668529997</v>
      </c>
      <c r="AK2673">
        <v>41.217079165699701</v>
      </c>
      <c r="AL2673">
        <v>80.323516227041594</v>
      </c>
      <c r="AM2673">
        <v>93.441230421889102</v>
      </c>
      <c r="AN2673">
        <v>1.00000001427677</v>
      </c>
    </row>
    <row r="2674" spans="1:40" x14ac:dyDescent="0.25">
      <c r="A2674" t="str">
        <f>"20190304155420123"</f>
        <v>20190304155420123</v>
      </c>
      <c r="B2674" t="str">
        <f>"1551686060119005"</f>
        <v>1551686060119005</v>
      </c>
      <c r="C2674" t="s">
        <v>40</v>
      </c>
      <c r="D2674">
        <v>4.61341</v>
      </c>
      <c r="E2674">
        <v>0.52067259999999904</v>
      </c>
      <c r="F2674" t="s">
        <v>63</v>
      </c>
      <c r="G2674">
        <v>-276.06389999999999</v>
      </c>
      <c r="H2674" s="1">
        <v>1.663536E-6</v>
      </c>
      <c r="I2674">
        <v>215.22450000000001</v>
      </c>
      <c r="J2674">
        <v>-318.01760000000002</v>
      </c>
      <c r="K2674">
        <v>1.1097459999999999</v>
      </c>
      <c r="L2674">
        <v>214.97929999999999</v>
      </c>
      <c r="M2674">
        <v>0.99992239999999999</v>
      </c>
      <c r="N2674">
        <v>-1.193615E-2</v>
      </c>
      <c r="O2674">
        <v>3.6034029999999998E-3</v>
      </c>
      <c r="P2674">
        <v>0.98565630000000004</v>
      </c>
      <c r="Q2674">
        <v>0.15655529999999901</v>
      </c>
      <c r="R2674">
        <v>6.3025739999999997E-2</v>
      </c>
      <c r="S2674">
        <v>3.0550540000000002</v>
      </c>
      <c r="T2674">
        <v>-8.0044390000000007E-2</v>
      </c>
      <c r="U2674">
        <v>1.7791749999999999E-2</v>
      </c>
      <c r="V2674">
        <v>-5.9458280000000002E-2</v>
      </c>
      <c r="W2674">
        <v>0.16831750000000001</v>
      </c>
      <c r="X2674">
        <v>0.98393799999999998</v>
      </c>
      <c r="Y2674">
        <v>-2.2192340000000001E-3</v>
      </c>
      <c r="Z2674" s="1">
        <v>-9.0701180000000007E-6</v>
      </c>
      <c r="AA2674">
        <v>0.99999760000000004</v>
      </c>
      <c r="AB2674">
        <v>39</v>
      </c>
      <c r="AC2674">
        <v>41.953699999999998</v>
      </c>
      <c r="AD2674">
        <v>-1.1097443364639901</v>
      </c>
      <c r="AE2674">
        <v>0.24520000000001099</v>
      </c>
      <c r="AF2674">
        <v>-9.3945838275547006E-2</v>
      </c>
      <c r="AG2674">
        <v>-1.1097443364639901</v>
      </c>
      <c r="AH2674">
        <v>41.924977739983397</v>
      </c>
      <c r="AI2674">
        <v>91.516247998910103</v>
      </c>
      <c r="AJ2674">
        <v>90.128388643642793</v>
      </c>
      <c r="AK2674">
        <v>41.939767724809201</v>
      </c>
      <c r="AL2674">
        <v>80.309990931232306</v>
      </c>
      <c r="AM2674">
        <v>93.458115104622607</v>
      </c>
      <c r="AN2674">
        <v>1.0000000278554</v>
      </c>
    </row>
    <row r="2675" spans="1:40" x14ac:dyDescent="0.25">
      <c r="A2675" t="str">
        <f>"20190304155420146"</f>
        <v>20190304155420146</v>
      </c>
      <c r="B2675" t="str">
        <f>"1551686060139501"</f>
        <v>1551686060139501</v>
      </c>
      <c r="C2675" t="s">
        <v>40</v>
      </c>
      <c r="D2675">
        <v>4.6414419999999996</v>
      </c>
      <c r="E2675">
        <v>0.52044679999999999</v>
      </c>
      <c r="F2675" t="s">
        <v>63</v>
      </c>
      <c r="G2675">
        <v>-273.60320000000002</v>
      </c>
      <c r="H2675" s="1">
        <v>3.5176659999999998E-7</v>
      </c>
      <c r="I2675">
        <v>215.27709999999999</v>
      </c>
      <c r="J2675">
        <v>-317.62380000000002</v>
      </c>
      <c r="K2675">
        <v>1.1097490000000001</v>
      </c>
      <c r="L2675">
        <v>214.98070000000001</v>
      </c>
      <c r="M2675">
        <v>0.99992230000000004</v>
      </c>
      <c r="N2675">
        <v>-1.193701E-2</v>
      </c>
      <c r="O2675">
        <v>3.58355E-3</v>
      </c>
      <c r="P2675">
        <v>0.98561310000000002</v>
      </c>
      <c r="Q2675">
        <v>0.15672549999999999</v>
      </c>
      <c r="R2675">
        <v>6.3277130000000001E-2</v>
      </c>
      <c r="S2675">
        <v>3.0544739999999999</v>
      </c>
      <c r="T2675">
        <v>-7.6319579999999998E-2</v>
      </c>
      <c r="U2675">
        <v>2.0477289999999999E-2</v>
      </c>
      <c r="V2675">
        <v>-5.9729570000000003E-2</v>
      </c>
      <c r="W2675">
        <v>0.16848759999999999</v>
      </c>
      <c r="X2675">
        <v>0.9838924</v>
      </c>
      <c r="Y2675">
        <v>-3.1189809999999998E-3</v>
      </c>
      <c r="Z2675" s="1">
        <v>1.0830860000000001E-5</v>
      </c>
      <c r="AA2675">
        <v>0.99999510000000003</v>
      </c>
      <c r="AB2675">
        <v>39</v>
      </c>
      <c r="AC2675">
        <v>44.020600000000002</v>
      </c>
      <c r="AD2675">
        <v>-1.10974864823339</v>
      </c>
      <c r="AE2675">
        <v>0.29639999999997702</v>
      </c>
      <c r="AF2675">
        <v>-0.13854878225512801</v>
      </c>
      <c r="AG2675">
        <v>-1.10974864823339</v>
      </c>
      <c r="AH2675">
        <v>43.993421592196498</v>
      </c>
      <c r="AI2675">
        <v>91.444991434631007</v>
      </c>
      <c r="AJ2675">
        <v>90.180441392110694</v>
      </c>
      <c r="AK2675">
        <v>44.007634351508401</v>
      </c>
      <c r="AL2675">
        <v>80.300103184106504</v>
      </c>
      <c r="AM2675">
        <v>93.474015484308694</v>
      </c>
      <c r="AN2675">
        <v>0.99999997383195205</v>
      </c>
    </row>
    <row r="2676" spans="1:40" x14ac:dyDescent="0.25">
      <c r="A2676" t="str">
        <f>"20190304155420167"</f>
        <v>20190304155420167</v>
      </c>
      <c r="B2676" t="str">
        <f>"1551686060159021"</f>
        <v>1551686060159021</v>
      </c>
      <c r="C2676" t="s">
        <v>40</v>
      </c>
      <c r="D2676">
        <v>4.6302729999999999</v>
      </c>
      <c r="E2676">
        <v>0.52027000000000001</v>
      </c>
      <c r="F2676" t="s">
        <v>63</v>
      </c>
      <c r="G2676">
        <v>-271.90820000000002</v>
      </c>
      <c r="H2676" s="1">
        <v>-5.5215040000000005E-7</v>
      </c>
      <c r="I2676">
        <v>215.321</v>
      </c>
      <c r="J2676">
        <v>-317.2527</v>
      </c>
      <c r="K2676">
        <v>1.109748</v>
      </c>
      <c r="L2676">
        <v>214.9821</v>
      </c>
      <c r="M2676">
        <v>0.99992250000000005</v>
      </c>
      <c r="N2676">
        <v>-1.193781E-2</v>
      </c>
      <c r="O2676">
        <v>3.564354E-3</v>
      </c>
      <c r="P2676">
        <v>0.98551650000000002</v>
      </c>
      <c r="Q2676">
        <v>0.15714229999999901</v>
      </c>
      <c r="R2676">
        <v>6.3748579999999999E-2</v>
      </c>
      <c r="S2676">
        <v>3.0540769999999999</v>
      </c>
      <c r="T2676">
        <v>-7.4137930000000005E-2</v>
      </c>
      <c r="U2676">
        <v>2.2735600000000002E-2</v>
      </c>
      <c r="V2676">
        <v>-6.0219700000000001E-2</v>
      </c>
      <c r="W2676">
        <v>0.16890450000000001</v>
      </c>
      <c r="X2676">
        <v>0.98379110000000003</v>
      </c>
      <c r="Y2676">
        <v>-3.8781470000000002E-3</v>
      </c>
      <c r="Z2676" s="1">
        <v>2.6256000000000001E-5</v>
      </c>
      <c r="AA2676">
        <v>0.99999249999999995</v>
      </c>
      <c r="AB2676">
        <v>39</v>
      </c>
      <c r="AC2676">
        <v>45.344499999999897</v>
      </c>
      <c r="AD2676">
        <v>-1.10974855215039</v>
      </c>
      <c r="AE2676">
        <v>0.33889999999999498</v>
      </c>
      <c r="AF2676">
        <v>-0.177156392846581</v>
      </c>
      <c r="AG2676">
        <v>-1.10974855215039</v>
      </c>
      <c r="AH2676">
        <v>45.318277509508299</v>
      </c>
      <c r="AI2676">
        <v>91.402761124070494</v>
      </c>
      <c r="AJ2676">
        <v>90.223977222393401</v>
      </c>
      <c r="AK2676">
        <v>45.332209329188103</v>
      </c>
      <c r="AL2676">
        <v>80.275869859672298</v>
      </c>
      <c r="AM2676">
        <v>93.502811694191195</v>
      </c>
      <c r="AN2676">
        <v>1.0000000354137699</v>
      </c>
    </row>
    <row r="2677" spans="1:40" x14ac:dyDescent="0.25">
      <c r="A2677" t="str">
        <f>"20190304155420190"</f>
        <v>20190304155420190</v>
      </c>
      <c r="B2677" t="str">
        <f>"1551686060179517"</f>
        <v>1551686060179517</v>
      </c>
      <c r="C2677" t="s">
        <v>40</v>
      </c>
      <c r="D2677">
        <v>4.6395119999999999</v>
      </c>
      <c r="E2677">
        <v>0.52012760000000002</v>
      </c>
      <c r="F2677" t="s">
        <v>63</v>
      </c>
      <c r="G2677">
        <v>-269.91030000000001</v>
      </c>
      <c r="H2677" s="1">
        <v>3.703678E-6</v>
      </c>
      <c r="I2677">
        <v>215.3783</v>
      </c>
      <c r="J2677">
        <v>-316.84710000000001</v>
      </c>
      <c r="K2677">
        <v>1.109748</v>
      </c>
      <c r="L2677">
        <v>214.98349999999999</v>
      </c>
      <c r="M2677">
        <v>0.99992250000000005</v>
      </c>
      <c r="N2677">
        <v>-1.194023E-2</v>
      </c>
      <c r="O2677">
        <v>3.5438359999999999E-3</v>
      </c>
      <c r="P2677">
        <v>0.98538040000000005</v>
      </c>
      <c r="Q2677">
        <v>0.15773010000000001</v>
      </c>
      <c r="R2677">
        <v>6.439578E-2</v>
      </c>
      <c r="S2677">
        <v>3.0538639999999999</v>
      </c>
      <c r="T2677">
        <v>-7.1585060000000006E-2</v>
      </c>
      <c r="U2677">
        <v>2.555847E-2</v>
      </c>
      <c r="V2677">
        <v>-6.0888020000000001E-2</v>
      </c>
      <c r="W2677">
        <v>0.169492899999999</v>
      </c>
      <c r="X2677">
        <v>0.98364870000000004</v>
      </c>
      <c r="Y2677">
        <v>-4.8231510000000003E-3</v>
      </c>
      <c r="Z2677" s="1">
        <v>4.4578050000000003E-5</v>
      </c>
      <c r="AA2677">
        <v>0.9999884</v>
      </c>
      <c r="AB2677">
        <v>39</v>
      </c>
      <c r="AC2677">
        <v>46.936799999999998</v>
      </c>
      <c r="AD2677">
        <v>-1.1097442963219999</v>
      </c>
      <c r="AE2677">
        <v>0.39480000000000298</v>
      </c>
      <c r="AF2677">
        <v>-0.22832172673485601</v>
      </c>
      <c r="AG2677">
        <v>-1.1097442963219999</v>
      </c>
      <c r="AH2677">
        <v>46.911682226200099</v>
      </c>
      <c r="AI2677">
        <v>91.355122054559502</v>
      </c>
      <c r="AJ2677">
        <v>90.278859495082898</v>
      </c>
      <c r="AK2677">
        <v>46.9253619326063</v>
      </c>
      <c r="AL2677">
        <v>80.241663289665496</v>
      </c>
      <c r="AM2677">
        <v>93.542098998185494</v>
      </c>
      <c r="AN2677">
        <v>0.99999997957080999</v>
      </c>
    </row>
    <row r="2678" spans="1:40" x14ac:dyDescent="0.25">
      <c r="A2678" t="str">
        <f>"20190304155420213"</f>
        <v>20190304155420213</v>
      </c>
      <c r="B2678" t="str">
        <f>"1551686060209773"</f>
        <v>1551686060209773</v>
      </c>
      <c r="C2678" t="s">
        <v>40</v>
      </c>
      <c r="D2678">
        <v>4.6592479999999998</v>
      </c>
      <c r="E2678">
        <v>0.51983619999999997</v>
      </c>
      <c r="F2678" t="s">
        <v>63</v>
      </c>
      <c r="G2678">
        <v>-267.6447</v>
      </c>
      <c r="H2678" s="1">
        <v>2.495128E-6</v>
      </c>
      <c r="I2678">
        <v>215.4442</v>
      </c>
      <c r="J2678">
        <v>-316.45499999999998</v>
      </c>
      <c r="K2678">
        <v>1.1097549999999901</v>
      </c>
      <c r="L2678">
        <v>214.98480000000001</v>
      </c>
      <c r="M2678">
        <v>0.99992259999999999</v>
      </c>
      <c r="N2678">
        <v>-1.194689E-2</v>
      </c>
      <c r="O2678">
        <v>3.5235900000000001E-3</v>
      </c>
      <c r="P2678">
        <v>0.98524690000000004</v>
      </c>
      <c r="Q2678">
        <v>0.1584651</v>
      </c>
      <c r="R2678">
        <v>6.4632980000000007E-2</v>
      </c>
      <c r="S2678">
        <v>3.0536799999999999</v>
      </c>
      <c r="T2678">
        <v>-6.887472E-2</v>
      </c>
      <c r="U2678">
        <v>2.8594970000000001E-2</v>
      </c>
      <c r="V2678">
        <v>-6.1145100000000001E-2</v>
      </c>
      <c r="W2678">
        <v>0.170233</v>
      </c>
      <c r="X2678">
        <v>0.98350499999999996</v>
      </c>
      <c r="Y2678">
        <v>-5.8378739999999998E-3</v>
      </c>
      <c r="Z2678" s="1">
        <v>6.3340010000000001E-5</v>
      </c>
      <c r="AA2678">
        <v>0.99998299999999996</v>
      </c>
      <c r="AB2678">
        <v>39</v>
      </c>
      <c r="AC2678">
        <v>48.810299999999899</v>
      </c>
      <c r="AD2678">
        <v>-1.1097525048719901</v>
      </c>
      <c r="AE2678">
        <v>0.45939999999998798</v>
      </c>
      <c r="AF2678">
        <v>-0.28724894415671198</v>
      </c>
      <c r="AG2678">
        <v>-1.1097525048719901</v>
      </c>
      <c r="AH2678">
        <v>48.786399022998502</v>
      </c>
      <c r="AI2678">
        <v>91.303069525650699</v>
      </c>
      <c r="AJ2678">
        <v>90.337347341001504</v>
      </c>
      <c r="AK2678">
        <v>48.799864674087203</v>
      </c>
      <c r="AL2678">
        <v>80.198633968018299</v>
      </c>
      <c r="AM2678">
        <v>93.557534431906703</v>
      </c>
      <c r="AN2678">
        <v>1.000000041284</v>
      </c>
    </row>
    <row r="2679" spans="1:40" x14ac:dyDescent="0.25">
      <c r="A2679" t="str">
        <f>"20190304155420236"</f>
        <v>20190304155420236</v>
      </c>
      <c r="B2679" t="str">
        <f>"1551686060229293"</f>
        <v>1551686060229293</v>
      </c>
      <c r="C2679" t="s">
        <v>40</v>
      </c>
      <c r="D2679">
        <v>4.6382110000000001</v>
      </c>
      <c r="E2679">
        <v>0.51968369999999997</v>
      </c>
      <c r="F2679" t="s">
        <v>63</v>
      </c>
      <c r="G2679">
        <v>-264.49759999999998</v>
      </c>
      <c r="H2679" s="1">
        <v>8.1685799999999997E-7</v>
      </c>
      <c r="I2679">
        <v>215.52520000000001</v>
      </c>
      <c r="J2679">
        <v>-316.06470000000002</v>
      </c>
      <c r="K2679">
        <v>1.109756</v>
      </c>
      <c r="L2679">
        <v>214.9862</v>
      </c>
      <c r="M2679">
        <v>0.99992250000000005</v>
      </c>
      <c r="N2679">
        <v>-1.195623E-2</v>
      </c>
      <c r="O2679">
        <v>3.5036849999999999E-3</v>
      </c>
      <c r="P2679">
        <v>0.98521199999999998</v>
      </c>
      <c r="Q2679">
        <v>0.15872809999999901</v>
      </c>
      <c r="R2679">
        <v>6.452215E-2</v>
      </c>
      <c r="S2679">
        <v>3.053375</v>
      </c>
      <c r="T2679">
        <v>-6.5216659999999996E-2</v>
      </c>
      <c r="U2679">
        <v>3.1753539999999997E-2</v>
      </c>
      <c r="V2679">
        <v>-6.1054039999999997E-2</v>
      </c>
      <c r="W2679">
        <v>0.17050409999999999</v>
      </c>
      <c r="X2679">
        <v>0.98346359999999999</v>
      </c>
      <c r="Y2679">
        <v>-6.89282E-3</v>
      </c>
      <c r="Z2679" s="1">
        <v>8.1882640000000004E-5</v>
      </c>
      <c r="AA2679">
        <v>0.99997619999999998</v>
      </c>
      <c r="AB2679">
        <v>39</v>
      </c>
      <c r="AC2679">
        <v>51.567100000000003</v>
      </c>
      <c r="AD2679">
        <v>-1.1097551831420001</v>
      </c>
      <c r="AE2679">
        <v>0.53900000000001502</v>
      </c>
      <c r="AF2679">
        <v>-0.35814307126327699</v>
      </c>
      <c r="AG2679">
        <v>-1.1097551831420001</v>
      </c>
      <c r="AH2679">
        <v>51.544802392781499</v>
      </c>
      <c r="AI2679">
        <v>91.233352916925597</v>
      </c>
      <c r="AJ2679">
        <v>90.398095545696904</v>
      </c>
      <c r="AK2679">
        <v>51.557991395484997</v>
      </c>
      <c r="AL2679">
        <v>80.1828697066302</v>
      </c>
      <c r="AM2679">
        <v>93.552399122632195</v>
      </c>
      <c r="AN2679">
        <v>0.99999994822104399</v>
      </c>
    </row>
    <row r="2680" spans="1:40" x14ac:dyDescent="0.25">
      <c r="A2680" t="str">
        <f>"20190304155420256"</f>
        <v>20190304155420256</v>
      </c>
      <c r="B2680" t="str">
        <f>"1551686060249790"</f>
        <v>1551686060249790</v>
      </c>
      <c r="C2680" t="s">
        <v>40</v>
      </c>
      <c r="D2680">
        <v>4.7693479999999999</v>
      </c>
      <c r="E2680">
        <v>0.51988140000000005</v>
      </c>
      <c r="F2680" t="s">
        <v>63</v>
      </c>
      <c r="G2680">
        <v>-262.8263</v>
      </c>
      <c r="H2680" s="1">
        <v>-7.4100849999999995E-8</v>
      </c>
      <c r="I2680">
        <v>215.56200000000001</v>
      </c>
      <c r="J2680">
        <v>-315.68979999999999</v>
      </c>
      <c r="K2680">
        <v>1.109758</v>
      </c>
      <c r="L2680">
        <v>214.98750000000001</v>
      </c>
      <c r="M2680">
        <v>0.99992239999999999</v>
      </c>
      <c r="N2680">
        <v>-1.1965669999999999E-2</v>
      </c>
      <c r="O2680">
        <v>3.4847939999999998E-3</v>
      </c>
      <c r="P2680">
        <v>0.98536000000000001</v>
      </c>
      <c r="Q2680">
        <v>0.15792719999999999</v>
      </c>
      <c r="R2680">
        <v>6.4225439999999995E-2</v>
      </c>
      <c r="S2680">
        <v>3.053131</v>
      </c>
      <c r="T2680">
        <v>-6.3642619999999997E-2</v>
      </c>
      <c r="U2680">
        <v>3.3020019999999997E-2</v>
      </c>
      <c r="V2680">
        <v>-6.0775450000000002E-2</v>
      </c>
      <c r="W2680">
        <v>0.16971420000000001</v>
      </c>
      <c r="X2680">
        <v>0.98361750000000003</v>
      </c>
      <c r="Y2680">
        <v>-7.3272279999999999E-3</v>
      </c>
      <c r="Z2680" s="1">
        <v>8.927188E-5</v>
      </c>
      <c r="AA2680">
        <v>0.99997320000000001</v>
      </c>
      <c r="AB2680">
        <v>39</v>
      </c>
      <c r="AC2680">
        <v>52.863499999999902</v>
      </c>
      <c r="AD2680">
        <v>-1.1097580741008499</v>
      </c>
      <c r="AE2680">
        <v>0.57450000000000001</v>
      </c>
      <c r="AF2680">
        <v>-0.39009303152525499</v>
      </c>
      <c r="AG2680">
        <v>-1.1097580741008499</v>
      </c>
      <c r="AH2680">
        <v>52.841896361394603</v>
      </c>
      <c r="AI2680">
        <v>91.203086580344703</v>
      </c>
      <c r="AJ2680">
        <v>90.422965106374207</v>
      </c>
      <c r="AK2680">
        <v>52.8549879067685</v>
      </c>
      <c r="AL2680">
        <v>80.228797297584606</v>
      </c>
      <c r="AM2680">
        <v>93.535678841283698</v>
      </c>
      <c r="AN2680">
        <v>0.99999997565529597</v>
      </c>
    </row>
    <row r="2681" spans="1:40" x14ac:dyDescent="0.25">
      <c r="A2681" t="str">
        <f>"20190304155420280"</f>
        <v>20190304155420280</v>
      </c>
      <c r="B2681" t="str">
        <f>"1551686060269309"</f>
        <v>1551686060269309</v>
      </c>
      <c r="C2681" t="s">
        <v>40</v>
      </c>
      <c r="D2681">
        <v>4.6466690000000002</v>
      </c>
      <c r="E2681">
        <v>0.55100249999999995</v>
      </c>
      <c r="F2681" t="s">
        <v>63</v>
      </c>
      <c r="G2681">
        <v>-264.13850000000002</v>
      </c>
      <c r="H2681" s="1">
        <v>6.2713690000000002E-7</v>
      </c>
      <c r="I2681">
        <v>215.4948</v>
      </c>
      <c r="J2681">
        <v>-315.2894</v>
      </c>
      <c r="K2681">
        <v>1.1097570000000001</v>
      </c>
      <c r="L2681">
        <v>214.9889</v>
      </c>
      <c r="M2681">
        <v>0.99992250000000005</v>
      </c>
      <c r="N2681">
        <v>-1.197543E-2</v>
      </c>
      <c r="O2681">
        <v>3.4645269999999998E-3</v>
      </c>
      <c r="P2681">
        <v>0.98542079999999999</v>
      </c>
      <c r="Q2681">
        <v>0.15770689999999901</v>
      </c>
      <c r="R2681">
        <v>6.383279E-2</v>
      </c>
      <c r="S2681">
        <v>3.0531619999999999</v>
      </c>
      <c r="T2681">
        <v>-6.5726160000000006E-2</v>
      </c>
      <c r="U2681">
        <v>3.0044560000000001E-2</v>
      </c>
      <c r="V2681">
        <v>-6.040243E-2</v>
      </c>
      <c r="W2681">
        <v>0.16950460000000001</v>
      </c>
      <c r="X2681">
        <v>0.98367660000000001</v>
      </c>
      <c r="Y2681">
        <v>-6.3731919999999997E-3</v>
      </c>
      <c r="Z2681" s="1">
        <v>7.3676000000000004E-5</v>
      </c>
      <c r="AA2681">
        <v>0.99997970000000003</v>
      </c>
      <c r="AB2681">
        <v>39</v>
      </c>
      <c r="AC2681">
        <v>51.150899999999901</v>
      </c>
      <c r="AD2681">
        <v>-1.1097563728630999</v>
      </c>
      <c r="AE2681">
        <v>0.50589999999999602</v>
      </c>
      <c r="AF2681">
        <v>-0.32851599897173001</v>
      </c>
      <c r="AG2681">
        <v>-1.1097563728630999</v>
      </c>
      <c r="AH2681">
        <v>51.1282818241177</v>
      </c>
      <c r="AI2681">
        <v>91.243403060132707</v>
      </c>
      <c r="AJ2681">
        <v>90.368139130621799</v>
      </c>
      <c r="AK2681">
        <v>51.141379373801499</v>
      </c>
      <c r="AL2681">
        <v>80.240982875966296</v>
      </c>
      <c r="AM2681">
        <v>93.5138219401708</v>
      </c>
      <c r="AN2681">
        <v>0.99999995817931098</v>
      </c>
    </row>
    <row r="2682" spans="1:40" x14ac:dyDescent="0.25">
      <c r="A2682" t="str">
        <f>"20190304155420302"</f>
        <v>20190304155420302</v>
      </c>
      <c r="B2682" t="str">
        <f>"1551686060299565"</f>
        <v>1551686060299565</v>
      </c>
      <c r="C2682" t="s">
        <v>40</v>
      </c>
      <c r="D2682">
        <v>4.6534459999999997</v>
      </c>
      <c r="E2682">
        <v>0.55317209999999895</v>
      </c>
      <c r="F2682" t="s">
        <v>70</v>
      </c>
      <c r="G2682">
        <v>-168.4118</v>
      </c>
      <c r="H2682">
        <v>1.857748</v>
      </c>
      <c r="I2682">
        <v>204.49299999999999</v>
      </c>
      <c r="J2682">
        <v>-314.90859999999998</v>
      </c>
      <c r="K2682">
        <v>1.109758</v>
      </c>
      <c r="L2682">
        <v>214.99019999999999</v>
      </c>
      <c r="M2682">
        <v>0.99992250000000005</v>
      </c>
      <c r="N2682">
        <v>-1.1984170000000001E-2</v>
      </c>
      <c r="O2682">
        <v>3.4449260000000001E-3</v>
      </c>
      <c r="P2682">
        <v>0.98549509999999996</v>
      </c>
      <c r="Q2682">
        <v>0.1575281</v>
      </c>
      <c r="R2682">
        <v>6.3124310000000003E-2</v>
      </c>
      <c r="S2682">
        <v>3.0560299999999998</v>
      </c>
      <c r="T2682">
        <v>1.5563850000000001E-2</v>
      </c>
      <c r="U2682">
        <v>-0.21838379999999999</v>
      </c>
      <c r="V2682">
        <v>-5.9713259999999997E-2</v>
      </c>
      <c r="W2682">
        <v>0.1693355</v>
      </c>
      <c r="X2682">
        <v>0.98374779999999995</v>
      </c>
      <c r="Y2682">
        <v>7.4715000000000004E-2</v>
      </c>
      <c r="Z2682">
        <v>-1.995151E-4</v>
      </c>
      <c r="AA2682">
        <v>0.99720489999999995</v>
      </c>
      <c r="AB2682">
        <v>39</v>
      </c>
      <c r="AC2682">
        <v>146.49679999999901</v>
      </c>
      <c r="AD2682">
        <v>0.74798999999999904</v>
      </c>
      <c r="AE2682">
        <v>-10.4971999999999</v>
      </c>
      <c r="AF2682">
        <v>11.0015591162347</v>
      </c>
      <c r="AG2682">
        <v>0.74798999999999904</v>
      </c>
      <c r="AH2682">
        <v>146.45596737771999</v>
      </c>
      <c r="AI2682">
        <v>89.7081997066539</v>
      </c>
      <c r="AJ2682">
        <v>85.704092618002306</v>
      </c>
      <c r="AK2682">
        <v>146.870501369648</v>
      </c>
      <c r="AL2682">
        <v>80.250813720789793</v>
      </c>
      <c r="AM2682">
        <v>93.473578430539405</v>
      </c>
      <c r="AN2682">
        <v>0.99999995949245701</v>
      </c>
    </row>
    <row r="2683" spans="1:40" x14ac:dyDescent="0.25">
      <c r="A2683" t="str">
        <f>"20190304155420323"</f>
        <v>20190304155420323</v>
      </c>
      <c r="B2683" t="str">
        <f>"1551686060319085"</f>
        <v>1551686060319085</v>
      </c>
      <c r="C2683" t="s">
        <v>40</v>
      </c>
      <c r="D2683">
        <v>4.5976049999999997</v>
      </c>
      <c r="E2683">
        <v>0.55396599999999996</v>
      </c>
      <c r="F2683" t="s">
        <v>70</v>
      </c>
      <c r="G2683">
        <v>-168.41210000000001</v>
      </c>
      <c r="H2683">
        <v>2.0091169999999998</v>
      </c>
      <c r="I2683">
        <v>203.57859999999999</v>
      </c>
      <c r="J2683">
        <v>-314.52289999999999</v>
      </c>
      <c r="K2683">
        <v>1.1097570000000001</v>
      </c>
      <c r="L2683">
        <v>214.9915</v>
      </c>
      <c r="M2683">
        <v>0.99992219999999998</v>
      </c>
      <c r="N2683">
        <v>-1.199241E-2</v>
      </c>
      <c r="O2683">
        <v>3.4255639999999999E-3</v>
      </c>
      <c r="P2683">
        <v>0.9855566</v>
      </c>
      <c r="Q2683">
        <v>0.15700720000000001</v>
      </c>
      <c r="R2683">
        <v>6.3458609999999999E-2</v>
      </c>
      <c r="S2683">
        <v>3.0563959999999999</v>
      </c>
      <c r="T2683">
        <v>1.8764260000000001E-2</v>
      </c>
      <c r="U2683">
        <v>-0.23808289999999999</v>
      </c>
      <c r="V2683">
        <v>-6.0066679999999997E-2</v>
      </c>
      <c r="W2683">
        <v>0.16882320000000001</v>
      </c>
      <c r="X2683">
        <v>0.98381439999999998</v>
      </c>
      <c r="Y2683">
        <v>8.107723E-2</v>
      </c>
      <c r="Z2683">
        <v>-1.7638549999999999E-4</v>
      </c>
      <c r="AA2683">
        <v>0.99670780000000003</v>
      </c>
      <c r="AB2683">
        <v>39</v>
      </c>
      <c r="AC2683">
        <v>146.11079999999899</v>
      </c>
      <c r="AD2683">
        <v>0.89935999999999905</v>
      </c>
      <c r="AE2683">
        <v>-11.4129</v>
      </c>
      <c r="AF2683">
        <v>11.9129323091295</v>
      </c>
      <c r="AG2683">
        <v>0.89935999999999905</v>
      </c>
      <c r="AH2683">
        <v>146.06534360142999</v>
      </c>
      <c r="AI2683">
        <v>89.648387817411503</v>
      </c>
      <c r="AJ2683">
        <v>85.337338033340203</v>
      </c>
      <c r="AK2683">
        <v>146.553100977138</v>
      </c>
      <c r="AL2683">
        <v>80.2805957851795</v>
      </c>
      <c r="AM2683">
        <v>93.493850482682404</v>
      </c>
      <c r="AN2683">
        <v>1.0000000262759099</v>
      </c>
    </row>
    <row r="2684" spans="1:40" x14ac:dyDescent="0.25">
      <c r="A2684" t="str">
        <f>"20190304155420346"</f>
        <v>20190304155420346</v>
      </c>
      <c r="B2684" t="str">
        <f>"1551686060339582"</f>
        <v>1551686060339582</v>
      </c>
      <c r="C2684" t="s">
        <v>40</v>
      </c>
      <c r="D2684">
        <v>4.657235</v>
      </c>
      <c r="E2684">
        <v>0.55449369999999998</v>
      </c>
      <c r="F2684" t="s">
        <v>70</v>
      </c>
      <c r="G2684">
        <v>-168.41210000000001</v>
      </c>
      <c r="H2684">
        <v>1.865469</v>
      </c>
      <c r="I2684">
        <v>203.35159999999999</v>
      </c>
      <c r="J2684">
        <v>-314.13310000000001</v>
      </c>
      <c r="K2684">
        <v>1.109753</v>
      </c>
      <c r="L2684">
        <v>214.99279999999999</v>
      </c>
      <c r="M2684">
        <v>0.99992219999999998</v>
      </c>
      <c r="N2684">
        <v>-1.200006E-2</v>
      </c>
      <c r="O2684">
        <v>3.405314E-3</v>
      </c>
      <c r="P2684">
        <v>0.98559189999999997</v>
      </c>
      <c r="Q2684">
        <v>0.15686620000000001</v>
      </c>
      <c r="R2684">
        <v>6.3259940000000001E-2</v>
      </c>
      <c r="S2684">
        <v>3.0571290000000002</v>
      </c>
      <c r="T2684">
        <v>1.581275E-2</v>
      </c>
      <c r="U2684">
        <v>-0.2435455</v>
      </c>
      <c r="V2684">
        <v>-5.9887450000000002E-2</v>
      </c>
      <c r="W2684">
        <v>0.16869020000000001</v>
      </c>
      <c r="X2684">
        <v>0.9838481</v>
      </c>
      <c r="Y2684">
        <v>8.2808499999999993E-2</v>
      </c>
      <c r="Z2684">
        <v>-2.2544780000000001E-4</v>
      </c>
      <c r="AA2684">
        <v>0.99656549999999999</v>
      </c>
      <c r="AB2684">
        <v>39</v>
      </c>
      <c r="AC2684">
        <v>145.721</v>
      </c>
      <c r="AD2684">
        <v>0.75571599999999906</v>
      </c>
      <c r="AE2684">
        <v>-11.6411999999999</v>
      </c>
      <c r="AF2684">
        <v>12.137069628895601</v>
      </c>
      <c r="AG2684">
        <v>0.75571599999999906</v>
      </c>
      <c r="AH2684">
        <v>145.67661703823299</v>
      </c>
      <c r="AI2684">
        <v>89.703799742720406</v>
      </c>
      <c r="AJ2684">
        <v>85.237392786553301</v>
      </c>
      <c r="AK2684">
        <v>146.18329698550801</v>
      </c>
      <c r="AL2684">
        <v>80.288326622307196</v>
      </c>
      <c r="AM2684">
        <v>93.483332038324093</v>
      </c>
      <c r="AN2684">
        <v>0.99999998705857596</v>
      </c>
    </row>
    <row r="2685" spans="1:40" x14ac:dyDescent="0.25">
      <c r="A2685" t="str">
        <f>"20190304155420368"</f>
        <v>20190304155420368</v>
      </c>
      <c r="B2685" t="str">
        <f>"1551686060359105"</f>
        <v>1551686060359105</v>
      </c>
      <c r="C2685" t="s">
        <v>40</v>
      </c>
      <c r="D2685">
        <v>4.6422829999999999</v>
      </c>
      <c r="E2685">
        <v>0.55522380000000005</v>
      </c>
      <c r="F2685" t="s">
        <v>70</v>
      </c>
      <c r="G2685">
        <v>-168.41220000000001</v>
      </c>
      <c r="H2685">
        <v>1.7328300000000001</v>
      </c>
      <c r="I2685">
        <v>203.15350000000001</v>
      </c>
      <c r="J2685">
        <v>-313.74419999999998</v>
      </c>
      <c r="K2685">
        <v>1.10975</v>
      </c>
      <c r="L2685">
        <v>214.9941</v>
      </c>
      <c r="M2685">
        <v>0.99992230000000004</v>
      </c>
      <c r="N2685">
        <v>-1.200703E-2</v>
      </c>
      <c r="O2685">
        <v>3.3854240000000002E-3</v>
      </c>
      <c r="P2685">
        <v>0.98569580000000001</v>
      </c>
      <c r="Q2685">
        <v>0.15616459999999999</v>
      </c>
      <c r="R2685">
        <v>6.3378169999999998E-2</v>
      </c>
      <c r="S2685">
        <v>3.057709</v>
      </c>
      <c r="T2685">
        <v>1.3074870000000001E-2</v>
      </c>
      <c r="U2685">
        <v>-0.24842829999999999</v>
      </c>
      <c r="V2685">
        <v>-6.0025080000000001E-2</v>
      </c>
      <c r="W2685">
        <v>0.16799639999999999</v>
      </c>
      <c r="X2685">
        <v>0.98395840000000001</v>
      </c>
      <c r="Y2685">
        <v>8.4354769999999996E-2</v>
      </c>
      <c r="Z2685">
        <v>-2.7218309999999999E-4</v>
      </c>
      <c r="AA2685">
        <v>0.99643579999999998</v>
      </c>
      <c r="AB2685">
        <v>39</v>
      </c>
      <c r="AC2685">
        <v>145.331999999999</v>
      </c>
      <c r="AD2685">
        <v>0.62307999999999897</v>
      </c>
      <c r="AE2685">
        <v>-11.840599999999901</v>
      </c>
      <c r="AF2685">
        <v>12.332352805588201</v>
      </c>
      <c r="AG2685">
        <v>0.62307999999999897</v>
      </c>
      <c r="AH2685">
        <v>145.28842579686699</v>
      </c>
      <c r="AI2685">
        <v>89.755164797891098</v>
      </c>
      <c r="AJ2685">
        <v>85.148257130029194</v>
      </c>
      <c r="AK2685">
        <v>145.81221425154899</v>
      </c>
      <c r="AL2685">
        <v>80.328653772268893</v>
      </c>
      <c r="AM2685">
        <v>93.490927056667701</v>
      </c>
      <c r="AN2685">
        <v>0.99999996678626202</v>
      </c>
    </row>
    <row r="2686" spans="1:40" x14ac:dyDescent="0.25">
      <c r="A2686" t="str">
        <f>"20190304155420391"</f>
        <v>20190304155420391</v>
      </c>
      <c r="B2686" t="str">
        <f>"1551686060379597"</f>
        <v>1551686060379597</v>
      </c>
      <c r="C2686" t="s">
        <v>40</v>
      </c>
      <c r="D2686">
        <v>4.6487920000000003</v>
      </c>
      <c r="E2686">
        <v>0.55539769999999999</v>
      </c>
      <c r="F2686" t="s">
        <v>70</v>
      </c>
      <c r="G2686">
        <v>-168.41220000000001</v>
      </c>
      <c r="H2686">
        <v>1.6508619999999901</v>
      </c>
      <c r="I2686">
        <v>202.9281</v>
      </c>
      <c r="J2686">
        <v>-313.34010000000001</v>
      </c>
      <c r="K2686">
        <v>1.109748</v>
      </c>
      <c r="L2686">
        <v>214.99549999999999</v>
      </c>
      <c r="M2686">
        <v>0.99992219999999998</v>
      </c>
      <c r="N2686">
        <v>-1.201353E-2</v>
      </c>
      <c r="O2686">
        <v>3.364822E-3</v>
      </c>
      <c r="P2686">
        <v>0.98561690000000002</v>
      </c>
      <c r="Q2686">
        <v>0.15656900000000001</v>
      </c>
      <c r="R2686">
        <v>6.3604640000000004E-2</v>
      </c>
      <c r="S2686">
        <v>3.0580440000000002</v>
      </c>
      <c r="T2686">
        <v>1.138663E-2</v>
      </c>
      <c r="U2686">
        <v>-0.25389099999999998</v>
      </c>
      <c r="V2686">
        <v>-6.027275E-2</v>
      </c>
      <c r="W2686">
        <v>0.1684068</v>
      </c>
      <c r="X2686">
        <v>0.98387309999999994</v>
      </c>
      <c r="Y2686">
        <v>8.6093279999999994E-2</v>
      </c>
      <c r="Z2686">
        <v>-3.0517510000000001E-4</v>
      </c>
      <c r="AA2686">
        <v>0.99628700000000003</v>
      </c>
      <c r="AB2686">
        <v>39</v>
      </c>
      <c r="AC2686">
        <v>144.92789999999999</v>
      </c>
      <c r="AD2686">
        <v>0.54111399999999898</v>
      </c>
      <c r="AE2686">
        <v>-12.0673999999999</v>
      </c>
      <c r="AF2686">
        <v>12.554849630065601</v>
      </c>
      <c r="AG2686">
        <v>0.54111399999999898</v>
      </c>
      <c r="AH2686">
        <v>144.88446602508901</v>
      </c>
      <c r="AI2686">
        <v>89.786811822449707</v>
      </c>
      <c r="AJ2686">
        <v>85.047450647497698</v>
      </c>
      <c r="AK2686">
        <v>145.42842070575401</v>
      </c>
      <c r="AL2686">
        <v>80.304799715887299</v>
      </c>
      <c r="AM2686">
        <v>93.505598304796806</v>
      </c>
      <c r="AN2686">
        <v>0.99999996579120498</v>
      </c>
    </row>
    <row r="2687" spans="1:40" x14ac:dyDescent="0.25">
      <c r="A2687" t="str">
        <f>"20190304155420413"</f>
        <v>20190304155420413</v>
      </c>
      <c r="B2687" t="str">
        <f>"1551686060409853"</f>
        <v>1551686060409853</v>
      </c>
      <c r="C2687" t="s">
        <v>40</v>
      </c>
      <c r="D2687">
        <v>4.6537980000000001</v>
      </c>
      <c r="E2687">
        <v>0.55540259999999997</v>
      </c>
      <c r="F2687" t="s">
        <v>70</v>
      </c>
      <c r="G2687">
        <v>-168.41220000000001</v>
      </c>
      <c r="H2687">
        <v>1.66385299999999</v>
      </c>
      <c r="I2687">
        <v>202.92509999999999</v>
      </c>
      <c r="J2687">
        <v>-312.9511</v>
      </c>
      <c r="K2687">
        <v>1.1097570000000001</v>
      </c>
      <c r="L2687">
        <v>214.99680000000001</v>
      </c>
      <c r="M2687">
        <v>0.99992219999999998</v>
      </c>
      <c r="N2687">
        <v>-1.2019149999999999E-2</v>
      </c>
      <c r="O2687">
        <v>3.3451179999999998E-3</v>
      </c>
      <c r="P2687">
        <v>0.98557249999999996</v>
      </c>
      <c r="Q2687">
        <v>0.15674950000000001</v>
      </c>
      <c r="R2687">
        <v>6.3848249999999995E-2</v>
      </c>
      <c r="S2687">
        <v>3.0583499999999999</v>
      </c>
      <c r="T2687">
        <v>1.1693719999999999E-2</v>
      </c>
      <c r="U2687">
        <v>-0.25471500000000002</v>
      </c>
      <c r="V2687">
        <v>-6.0535409999999998E-2</v>
      </c>
      <c r="W2687">
        <v>0.16859199999999999</v>
      </c>
      <c r="X2687">
        <v>0.98382530000000001</v>
      </c>
      <c r="Y2687">
        <v>8.6332039999999999E-2</v>
      </c>
      <c r="Z2687">
        <v>-3.0206519999999998E-4</v>
      </c>
      <c r="AA2687">
        <v>0.9962664</v>
      </c>
      <c r="AB2687">
        <v>39</v>
      </c>
      <c r="AC2687">
        <v>144.53889999999899</v>
      </c>
      <c r="AD2687">
        <v>0.55409599999999903</v>
      </c>
      <c r="AE2687">
        <v>-12.0717</v>
      </c>
      <c r="AF2687">
        <v>12.5549838090281</v>
      </c>
      <c r="AG2687">
        <v>0.55409599999999903</v>
      </c>
      <c r="AH2687">
        <v>144.49559821787801</v>
      </c>
      <c r="AI2687">
        <v>89.781114142036998</v>
      </c>
      <c r="AJ2687">
        <v>85.034136053663303</v>
      </c>
      <c r="AK2687">
        <v>145.04107192504</v>
      </c>
      <c r="AL2687">
        <v>80.294035044651594</v>
      </c>
      <c r="AM2687">
        <v>93.521007485722293</v>
      </c>
      <c r="AN2687">
        <v>1.0000000096239701</v>
      </c>
    </row>
    <row r="2688" spans="1:40" x14ac:dyDescent="0.25">
      <c r="A2688" t="str">
        <f>"20190304155420437"</f>
        <v>20190304155420437</v>
      </c>
      <c r="B2688" t="str">
        <f>"1551686060429374"</f>
        <v>1551686060429374</v>
      </c>
      <c r="C2688" t="s">
        <v>40</v>
      </c>
      <c r="D2688">
        <v>4.6617579999999998</v>
      </c>
      <c r="E2688">
        <v>0.55550409999999995</v>
      </c>
      <c r="F2688" t="s">
        <v>70</v>
      </c>
      <c r="G2688">
        <v>-168.41220000000001</v>
      </c>
      <c r="H2688">
        <v>1.658207</v>
      </c>
      <c r="I2688">
        <v>202.99549999999999</v>
      </c>
      <c r="J2688">
        <v>-312.54840000000002</v>
      </c>
      <c r="K2688">
        <v>1.1097570000000001</v>
      </c>
      <c r="L2688">
        <v>214.99809999999999</v>
      </c>
      <c r="M2688">
        <v>0.99992230000000004</v>
      </c>
      <c r="N2688">
        <v>-1.2024389999999999E-2</v>
      </c>
      <c r="O2688">
        <v>3.3244049999999999E-3</v>
      </c>
      <c r="P2688">
        <v>0.98550369999999998</v>
      </c>
      <c r="Q2688">
        <v>0.1571285</v>
      </c>
      <c r="R2688">
        <v>6.3977880000000001E-2</v>
      </c>
      <c r="S2688">
        <v>3.0585019999999998</v>
      </c>
      <c r="T2688">
        <v>1.1606099999999999E-2</v>
      </c>
      <c r="U2688">
        <v>-0.25395200000000001</v>
      </c>
      <c r="V2688">
        <v>-6.0685709999999997E-2</v>
      </c>
      <c r="W2688">
        <v>0.1689755</v>
      </c>
      <c r="X2688">
        <v>0.98375020000000002</v>
      </c>
      <c r="Y2688">
        <v>8.6060460000000005E-2</v>
      </c>
      <c r="Z2688">
        <v>-3.0281120000000001E-4</v>
      </c>
      <c r="AA2688">
        <v>0.9962898</v>
      </c>
      <c r="AB2688">
        <v>39</v>
      </c>
      <c r="AC2688">
        <v>144.1362</v>
      </c>
      <c r="AD2688">
        <v>0.54844999999999999</v>
      </c>
      <c r="AE2688">
        <v>-12.002599999999999</v>
      </c>
      <c r="AF2688">
        <v>12.481555884095201</v>
      </c>
      <c r="AG2688">
        <v>0.54844999999999999</v>
      </c>
      <c r="AH2688">
        <v>144.09342711616799</v>
      </c>
      <c r="AI2688">
        <v>89.782734787760205</v>
      </c>
      <c r="AJ2688">
        <v>85.049324088371804</v>
      </c>
      <c r="AK2688">
        <v>144.63404085059801</v>
      </c>
      <c r="AL2688">
        <v>80.271741847937705</v>
      </c>
      <c r="AM2688">
        <v>93.529996304321401</v>
      </c>
      <c r="AN2688">
        <v>0.99999996549924597</v>
      </c>
    </row>
    <row r="2689" spans="1:40" x14ac:dyDescent="0.25">
      <c r="A2689" t="str">
        <f>"20190304155420481"</f>
        <v>20190304155420481</v>
      </c>
      <c r="B2689" t="str">
        <f>"1551686060469389"</f>
        <v>1551686060469389</v>
      </c>
      <c r="C2689" t="s">
        <v>40</v>
      </c>
      <c r="D2689">
        <v>2.7248770000000002</v>
      </c>
      <c r="E2689">
        <v>0.55554130000000002</v>
      </c>
      <c r="F2689" t="s">
        <v>70</v>
      </c>
      <c r="G2689">
        <v>-168.41220000000001</v>
      </c>
      <c r="H2689">
        <v>1.7568509999999999</v>
      </c>
      <c r="I2689">
        <v>202.995</v>
      </c>
      <c r="J2689">
        <v>-311.78070000000002</v>
      </c>
      <c r="K2689">
        <v>1.1097680000000001</v>
      </c>
      <c r="L2689">
        <v>215.00059999999999</v>
      </c>
      <c r="M2689">
        <v>0.99992239999999999</v>
      </c>
      <c r="N2689">
        <v>-1.203284E-2</v>
      </c>
      <c r="O2689">
        <v>3.2851349999999998E-3</v>
      </c>
      <c r="P2689">
        <v>0.98534440000000001</v>
      </c>
      <c r="Q2689">
        <v>0.1577625</v>
      </c>
      <c r="R2689">
        <v>6.4868510000000004E-2</v>
      </c>
      <c r="S2689">
        <v>3.0585019999999998</v>
      </c>
      <c r="T2689">
        <v>1.3731719999999999E-2</v>
      </c>
      <c r="U2689">
        <v>-0.25469969999999997</v>
      </c>
      <c r="V2689">
        <v>-6.1615580000000003E-2</v>
      </c>
      <c r="W2689">
        <v>0.16961560000000001</v>
      </c>
      <c r="X2689">
        <v>0.98358230000000002</v>
      </c>
      <c r="Y2689">
        <v>8.6263300000000001E-2</v>
      </c>
      <c r="Z2689">
        <v>-2.724103E-4</v>
      </c>
      <c r="AA2689">
        <v>0.9962723</v>
      </c>
      <c r="AB2689">
        <v>39</v>
      </c>
      <c r="AC2689">
        <v>143.36850000000001</v>
      </c>
      <c r="AD2689">
        <v>0.64708299999999896</v>
      </c>
      <c r="AE2689">
        <v>-12.0055999999999</v>
      </c>
      <c r="AF2689">
        <v>12.476301709027</v>
      </c>
      <c r="AG2689">
        <v>0.64708299999999896</v>
      </c>
      <c r="AH2689">
        <v>143.32538404576999</v>
      </c>
      <c r="AI2689">
        <v>89.742298259812301</v>
      </c>
      <c r="AJ2689">
        <v>85.025012226758605</v>
      </c>
      <c r="AK2689">
        <v>143.86883794835899</v>
      </c>
      <c r="AL2689">
        <v>80.234530368802396</v>
      </c>
      <c r="AM2689">
        <v>93.584555714403393</v>
      </c>
      <c r="AN2689">
        <v>1.00000003616769</v>
      </c>
    </row>
    <row r="2690" spans="1:40" x14ac:dyDescent="0.25">
      <c r="A2690" t="str">
        <f>"20190304155420503"</f>
        <v>20190304155420503</v>
      </c>
      <c r="B2690" t="str">
        <f>"1551686060499646"</f>
        <v>1551686060499646</v>
      </c>
      <c r="C2690" t="s">
        <v>40</v>
      </c>
      <c r="D2690">
        <v>3.860185</v>
      </c>
      <c r="E2690">
        <v>0.55554130000000002</v>
      </c>
      <c r="F2690" t="s">
        <v>70</v>
      </c>
      <c r="G2690">
        <v>-168.41220000000001</v>
      </c>
      <c r="H2690">
        <v>1.8358650000000001</v>
      </c>
      <c r="I2690">
        <v>203.17760000000001</v>
      </c>
      <c r="J2690">
        <v>-311.40109999999999</v>
      </c>
      <c r="K2690">
        <v>1.109758</v>
      </c>
      <c r="L2690">
        <v>215.00190000000001</v>
      </c>
      <c r="M2690">
        <v>0.99992230000000004</v>
      </c>
      <c r="N2690">
        <v>-1.2036369999999999E-2</v>
      </c>
      <c r="O2690">
        <v>3.2655639999999999E-3</v>
      </c>
      <c r="P2690">
        <v>0.98530600000000002</v>
      </c>
      <c r="Q2690">
        <v>0.15791549999999999</v>
      </c>
      <c r="R2690">
        <v>6.5076400000000006E-2</v>
      </c>
      <c r="S2690">
        <v>3.0587460000000002</v>
      </c>
      <c r="T2690">
        <v>1.549184E-2</v>
      </c>
      <c r="U2690">
        <v>-0.25224299999999999</v>
      </c>
      <c r="V2690">
        <v>-6.1843229999999999E-2</v>
      </c>
      <c r="W2690">
        <v>0.16977159999999999</v>
      </c>
      <c r="X2690">
        <v>0.98354109999999995</v>
      </c>
      <c r="Y2690">
        <v>8.5442509999999999E-2</v>
      </c>
      <c r="Z2690">
        <v>-2.4333889999999999E-4</v>
      </c>
      <c r="AA2690">
        <v>0.99634310000000004</v>
      </c>
      <c r="AB2690">
        <v>39</v>
      </c>
      <c r="AC2690">
        <v>142.98889999999901</v>
      </c>
      <c r="AD2690">
        <v>0.72610699999999995</v>
      </c>
      <c r="AE2690">
        <v>-11.8242999999999</v>
      </c>
      <c r="AF2690">
        <v>12.2908953524514</v>
      </c>
      <c r="AG2690">
        <v>0.72610699999999995</v>
      </c>
      <c r="AH2690">
        <v>142.94586060076199</v>
      </c>
      <c r="AI2690">
        <v>89.710033058002594</v>
      </c>
      <c r="AJ2690">
        <v>85.085631383917402</v>
      </c>
      <c r="AK2690">
        <v>143.47512816803001</v>
      </c>
      <c r="AL2690">
        <v>80.225460710085301</v>
      </c>
      <c r="AM2690">
        <v>93.597915100105396</v>
      </c>
      <c r="AN2690">
        <v>1.0000000383262999</v>
      </c>
    </row>
    <row r="2691" spans="1:40" x14ac:dyDescent="0.25">
      <c r="A2691" t="str">
        <f>"20190304155420548"</f>
        <v>20190304155420548</v>
      </c>
      <c r="B2691" t="str">
        <f>"1551686060539662"</f>
        <v>1551686060539662</v>
      </c>
      <c r="C2691" t="s">
        <v>40</v>
      </c>
      <c r="D2691">
        <v>4.5707559999999896</v>
      </c>
      <c r="E2691">
        <v>0.55542139999999995</v>
      </c>
      <c r="F2691" t="s">
        <v>70</v>
      </c>
      <c r="G2691">
        <v>-168.41220000000001</v>
      </c>
      <c r="H2691">
        <v>1.8680110000000001</v>
      </c>
      <c r="I2691">
        <v>203.226</v>
      </c>
      <c r="J2691">
        <v>-310.59370000000001</v>
      </c>
      <c r="K2691">
        <v>1.1097629999999901</v>
      </c>
      <c r="L2691">
        <v>215.00450000000001</v>
      </c>
      <c r="M2691">
        <v>0.99992230000000004</v>
      </c>
      <c r="N2691">
        <v>-1.204265E-2</v>
      </c>
      <c r="O2691">
        <v>3.2246380000000002E-3</v>
      </c>
      <c r="P2691">
        <v>0.98526170000000002</v>
      </c>
      <c r="Q2691">
        <v>0.1579392</v>
      </c>
      <c r="R2691">
        <v>6.5688350000000006E-2</v>
      </c>
      <c r="S2691">
        <v>3.0587770000000001</v>
      </c>
      <c r="T2691">
        <v>1.6221050000000001E-2</v>
      </c>
      <c r="U2691">
        <v>-0.2519073</v>
      </c>
      <c r="V2691">
        <v>-6.2495250000000002E-2</v>
      </c>
      <c r="W2691">
        <v>0.16980120000000001</v>
      </c>
      <c r="X2691">
        <v>0.9834948</v>
      </c>
      <c r="Y2691">
        <v>8.529233E-2</v>
      </c>
      <c r="Z2691">
        <v>-2.328416E-4</v>
      </c>
      <c r="AA2691">
        <v>0.99635600000000002</v>
      </c>
      <c r="AB2691">
        <v>39</v>
      </c>
      <c r="AC2691">
        <v>142.1815</v>
      </c>
      <c r="AD2691">
        <v>0.75824800000000003</v>
      </c>
      <c r="AE2691">
        <v>-11.778499999999999</v>
      </c>
      <c r="AF2691">
        <v>12.2366102207437</v>
      </c>
      <c r="AG2691">
        <v>0.75824800000000003</v>
      </c>
      <c r="AH2691">
        <v>142.13876157989</v>
      </c>
      <c r="AI2691">
        <v>89.695481368054502</v>
      </c>
      <c r="AJ2691">
        <v>85.079584711132895</v>
      </c>
      <c r="AK2691">
        <v>142.666524150513</v>
      </c>
      <c r="AL2691">
        <v>80.223740009260595</v>
      </c>
      <c r="AM2691">
        <v>93.635917798854507</v>
      </c>
      <c r="AN2691">
        <v>1.0000000627105099</v>
      </c>
    </row>
    <row r="2692" spans="1:40" x14ac:dyDescent="0.25">
      <c r="A2692" t="str">
        <f>"20190304155420570"</f>
        <v>20190304155420570</v>
      </c>
      <c r="B2692" t="str">
        <f>"1551686060559182"</f>
        <v>1551686060559182</v>
      </c>
      <c r="C2692" t="s">
        <v>40</v>
      </c>
      <c r="D2692">
        <v>4.8571589999999896</v>
      </c>
      <c r="E2692">
        <v>0.55399080000000001</v>
      </c>
      <c r="F2692" t="s">
        <v>70</v>
      </c>
      <c r="G2692">
        <v>-168.41200000000001</v>
      </c>
      <c r="H2692">
        <v>1.484961</v>
      </c>
      <c r="I2692">
        <v>203.39510000000001</v>
      </c>
      <c r="J2692">
        <v>-310.20710000000003</v>
      </c>
      <c r="K2692">
        <v>1.1097629999999901</v>
      </c>
      <c r="L2692">
        <v>215.00569999999999</v>
      </c>
      <c r="M2692">
        <v>0.99992250000000005</v>
      </c>
      <c r="N2692">
        <v>-1.2045149999999999E-2</v>
      </c>
      <c r="O2692">
        <v>3.2045960000000001E-3</v>
      </c>
      <c r="P2692">
        <v>0.98532580000000003</v>
      </c>
      <c r="Q2692">
        <v>0.1575116</v>
      </c>
      <c r="R2692">
        <v>6.5754060000000003E-2</v>
      </c>
      <c r="S2692">
        <v>3.0603030000000002</v>
      </c>
      <c r="T2692">
        <v>8.0764289999999996E-3</v>
      </c>
      <c r="U2692">
        <v>-0.24987789999999999</v>
      </c>
      <c r="V2692">
        <v>-6.2580090000000005E-2</v>
      </c>
      <c r="W2692">
        <v>0.16937679999999999</v>
      </c>
      <c r="X2692">
        <v>0.98356250000000001</v>
      </c>
      <c r="Y2692">
        <v>8.4575029999999995E-2</v>
      </c>
      <c r="Z2692">
        <v>-3.518266E-4</v>
      </c>
      <c r="AA2692">
        <v>0.996417</v>
      </c>
      <c r="AB2692">
        <v>39</v>
      </c>
      <c r="AC2692">
        <v>141.79509999999999</v>
      </c>
      <c r="AD2692">
        <v>0.37519799999999998</v>
      </c>
      <c r="AE2692">
        <v>-11.6105999999999</v>
      </c>
      <c r="AF2692">
        <v>12.0648853579006</v>
      </c>
      <c r="AG2692">
        <v>0.37519799999999998</v>
      </c>
      <c r="AH2692">
        <v>141.75617592729199</v>
      </c>
      <c r="AI2692">
        <v>89.848897077434401</v>
      </c>
      <c r="AJ2692">
        <v>85.135272900598096</v>
      </c>
      <c r="AK2692">
        <v>142.269166180757</v>
      </c>
      <c r="AL2692">
        <v>80.248412921597094</v>
      </c>
      <c r="AM2692">
        <v>93.640590516492296</v>
      </c>
      <c r="AN2692">
        <v>0.99999997972444798</v>
      </c>
    </row>
    <row r="2693" spans="1:40" x14ac:dyDescent="0.25">
      <c r="A2693" t="str">
        <f>"20190304155420591"</f>
        <v>20190304155420591</v>
      </c>
      <c r="B2693" t="str">
        <f>"1551686060579678"</f>
        <v>1551686060579678</v>
      </c>
      <c r="C2693" t="s">
        <v>40</v>
      </c>
      <c r="D2693">
        <v>4.7635709999999998</v>
      </c>
      <c r="E2693">
        <v>0.55156660000000002</v>
      </c>
      <c r="F2693" t="s">
        <v>70</v>
      </c>
      <c r="G2693">
        <v>-168.4117</v>
      </c>
      <c r="H2693">
        <v>1.149292</v>
      </c>
      <c r="I2693">
        <v>203.96420000000001</v>
      </c>
      <c r="J2693">
        <v>-309.8449</v>
      </c>
      <c r="K2693">
        <v>1.109761</v>
      </c>
      <c r="L2693">
        <v>215.0069</v>
      </c>
      <c r="M2693">
        <v>0.99992230000000004</v>
      </c>
      <c r="N2693">
        <v>-1.2047240000000001E-2</v>
      </c>
      <c r="O2693">
        <v>3.186225E-3</v>
      </c>
      <c r="P2693">
        <v>0.98530320000000005</v>
      </c>
      <c r="Q2693">
        <v>0.157448799999999</v>
      </c>
      <c r="R2693">
        <v>6.6240649999999998E-2</v>
      </c>
      <c r="S2693">
        <v>3.060425</v>
      </c>
      <c r="T2693">
        <v>8.5389609999999996E-4</v>
      </c>
      <c r="U2693">
        <v>-0.23831179999999999</v>
      </c>
      <c r="V2693">
        <v>-6.3085390000000005E-2</v>
      </c>
      <c r="W2693">
        <v>0.16931570000000001</v>
      </c>
      <c r="X2693">
        <v>0.98354079999999999</v>
      </c>
      <c r="Y2693">
        <v>8.0810170000000001E-2</v>
      </c>
      <c r="Z2693">
        <v>-4.3705110000000002E-4</v>
      </c>
      <c r="AA2693">
        <v>0.99672939999999999</v>
      </c>
      <c r="AB2693">
        <v>39</v>
      </c>
      <c r="AC2693">
        <v>141.4332</v>
      </c>
      <c r="AD2693">
        <v>3.95309999999999E-2</v>
      </c>
      <c r="AE2693">
        <v>-11.0426999999999</v>
      </c>
      <c r="AF2693">
        <v>11.493313773368699</v>
      </c>
      <c r="AG2693">
        <v>3.95309999999999E-2</v>
      </c>
      <c r="AH2693">
        <v>141.397283915347</v>
      </c>
      <c r="AI2693">
        <v>89.984034248399993</v>
      </c>
      <c r="AJ2693">
        <v>85.352995578576497</v>
      </c>
      <c r="AK2693">
        <v>141.86363072623701</v>
      </c>
      <c r="AL2693">
        <v>80.251965581068305</v>
      </c>
      <c r="AM2693">
        <v>93.669987028002694</v>
      </c>
      <c r="AN2693">
        <v>1.00000003898129</v>
      </c>
    </row>
    <row r="2694" spans="1:40" x14ac:dyDescent="0.25">
      <c r="A2694" t="str">
        <f>"20190304155420615"</f>
        <v>20190304155420615</v>
      </c>
      <c r="B2694" t="str">
        <f>"1551686060609122"</f>
        <v>1551686060609122</v>
      </c>
      <c r="C2694" t="s">
        <v>40</v>
      </c>
      <c r="D2694">
        <v>4.7842729999999998</v>
      </c>
      <c r="E2694">
        <v>0.5485525</v>
      </c>
      <c r="F2694" t="s">
        <v>44</v>
      </c>
      <c r="G2694">
        <v>-177.70869999999999</v>
      </c>
      <c r="H2694">
        <v>0.80836009999999903</v>
      </c>
      <c r="I2694">
        <v>205.6019</v>
      </c>
      <c r="J2694">
        <v>-309.43049999999999</v>
      </c>
      <c r="K2694">
        <v>1.109764</v>
      </c>
      <c r="L2694">
        <v>215.00810000000001</v>
      </c>
      <c r="M2694">
        <v>0.99992250000000005</v>
      </c>
      <c r="N2694">
        <v>-1.204938E-2</v>
      </c>
      <c r="O2694">
        <v>3.165171E-3</v>
      </c>
      <c r="P2694">
        <v>0.98526369999999996</v>
      </c>
      <c r="Q2694">
        <v>0.15724920000000001</v>
      </c>
      <c r="R2694">
        <v>6.7292420000000006E-2</v>
      </c>
      <c r="S2694">
        <v>3.0605159999999998</v>
      </c>
      <c r="T2694">
        <v>-6.9810150000000001E-3</v>
      </c>
      <c r="U2694">
        <v>-0.21783449999999999</v>
      </c>
      <c r="V2694">
        <v>-6.4157800000000001E-2</v>
      </c>
      <c r="W2694">
        <v>0.16911789999999999</v>
      </c>
      <c r="X2694">
        <v>0.98350539999999997</v>
      </c>
      <c r="Y2694">
        <v>7.4151819999999993E-2</v>
      </c>
      <c r="Z2694">
        <v>-5.0090889999999998E-4</v>
      </c>
      <c r="AA2694">
        <v>0.99724690000000005</v>
      </c>
      <c r="AB2694">
        <v>39</v>
      </c>
      <c r="AC2694">
        <v>131.7218</v>
      </c>
      <c r="AD2694">
        <v>-0.3014039</v>
      </c>
      <c r="AE2694">
        <v>-9.4062000000000108</v>
      </c>
      <c r="AF2694">
        <v>9.8230539519045301</v>
      </c>
      <c r="AG2694">
        <v>-0.3014039</v>
      </c>
      <c r="AH2694">
        <v>131.69067969122099</v>
      </c>
      <c r="AI2694">
        <v>90.130770823818295</v>
      </c>
      <c r="AJ2694">
        <v>85.734100750910699</v>
      </c>
      <c r="AK2694">
        <v>132.05687543929201</v>
      </c>
      <c r="AL2694">
        <v>80.263463929974805</v>
      </c>
      <c r="AM2694">
        <v>93.7323334807907</v>
      </c>
      <c r="AN2694">
        <v>0.99999997961520404</v>
      </c>
    </row>
    <row r="2695" spans="1:40" x14ac:dyDescent="0.25">
      <c r="A2695" t="str">
        <f>"20190304155420638"</f>
        <v>20190304155420638</v>
      </c>
      <c r="B2695" t="str">
        <f>"1551686060629618"</f>
        <v>1551686060629618</v>
      </c>
      <c r="C2695" t="s">
        <v>40</v>
      </c>
      <c r="D2695">
        <v>4.7789760000000001</v>
      </c>
      <c r="E2695">
        <v>0.54688749999999997</v>
      </c>
      <c r="F2695" t="s">
        <v>70</v>
      </c>
      <c r="G2695">
        <v>-168.41069999999999</v>
      </c>
      <c r="H2695">
        <v>0.32268330000000001</v>
      </c>
      <c r="I2695">
        <v>206.21719999999999</v>
      </c>
      <c r="J2695">
        <v>-309.0394</v>
      </c>
      <c r="K2695">
        <v>1.109753</v>
      </c>
      <c r="L2695">
        <v>215.0094</v>
      </c>
      <c r="M2695">
        <v>0.99992259999999999</v>
      </c>
      <c r="N2695">
        <v>-1.205119E-2</v>
      </c>
      <c r="O2695">
        <v>3.1451349999999999E-3</v>
      </c>
      <c r="P2695">
        <v>0.98520039999999998</v>
      </c>
      <c r="Q2695">
        <v>0.15724260000000001</v>
      </c>
      <c r="R2695">
        <v>6.8230750000000007E-2</v>
      </c>
      <c r="S2695">
        <v>3.060638</v>
      </c>
      <c r="T2695">
        <v>-1.7081740000000002E-2</v>
      </c>
      <c r="U2695">
        <v>-0.19079589999999999</v>
      </c>
      <c r="V2695">
        <v>-6.5116419999999994E-2</v>
      </c>
      <c r="W2695">
        <v>0.16911229999999999</v>
      </c>
      <c r="X2695">
        <v>0.98344339999999997</v>
      </c>
      <c r="Y2695">
        <v>6.5353499999999995E-2</v>
      </c>
      <c r="Z2695">
        <v>-5.5606340000000001E-4</v>
      </c>
      <c r="AA2695">
        <v>0.99786200000000003</v>
      </c>
      <c r="AB2695">
        <v>39</v>
      </c>
      <c r="AC2695">
        <v>140.62870000000001</v>
      </c>
      <c r="AD2695">
        <v>-0.78706969999999898</v>
      </c>
      <c r="AE2695">
        <v>-8.7921999999999993</v>
      </c>
      <c r="AF2695">
        <v>9.23419667604613</v>
      </c>
      <c r="AG2695">
        <v>-0.78706969999999898</v>
      </c>
      <c r="AH2695">
        <v>140.595962804191</v>
      </c>
      <c r="AI2695">
        <v>90.320054368644804</v>
      </c>
      <c r="AJ2695">
        <v>86.242269836248099</v>
      </c>
      <c r="AK2695">
        <v>140.901080988763</v>
      </c>
      <c r="AL2695">
        <v>80.263789868339003</v>
      </c>
      <c r="AM2695">
        <v>93.788177448715601</v>
      </c>
      <c r="AN2695">
        <v>1.00000001958423</v>
      </c>
    </row>
    <row r="2696" spans="1:40" x14ac:dyDescent="0.25">
      <c r="A2696" t="str">
        <f>"20190304155420661"</f>
        <v>20190304155420661</v>
      </c>
      <c r="B2696" t="str">
        <f>"1551686060649138"</f>
        <v>1551686060649138</v>
      </c>
      <c r="C2696" t="s">
        <v>40</v>
      </c>
      <c r="D2696">
        <v>4.757924</v>
      </c>
      <c r="E2696">
        <v>0.54559429999999998</v>
      </c>
      <c r="F2696" t="s">
        <v>70</v>
      </c>
      <c r="G2696">
        <v>-168.41040000000001</v>
      </c>
      <c r="H2696">
        <v>7.2305679999999997E-2</v>
      </c>
      <c r="I2696">
        <v>206.96109999999999</v>
      </c>
      <c r="J2696">
        <v>-308.62610000000001</v>
      </c>
      <c r="K2696">
        <v>1.1097539999999999</v>
      </c>
      <c r="L2696">
        <v>215.01070000000001</v>
      </c>
      <c r="M2696">
        <v>0.99992250000000005</v>
      </c>
      <c r="N2696">
        <v>-1.205292E-2</v>
      </c>
      <c r="O2696">
        <v>3.124085E-3</v>
      </c>
      <c r="P2696">
        <v>0.98509690000000005</v>
      </c>
      <c r="Q2696">
        <v>0.15742600000000001</v>
      </c>
      <c r="R2696">
        <v>6.9289589999999998E-2</v>
      </c>
      <c r="S2696">
        <v>3.060791</v>
      </c>
      <c r="T2696">
        <v>-2.2579309999999998E-2</v>
      </c>
      <c r="U2696">
        <v>-0.17517089999999999</v>
      </c>
      <c r="V2696">
        <v>-6.6196089999999999E-2</v>
      </c>
      <c r="W2696">
        <v>0.16929649999999999</v>
      </c>
      <c r="X2696">
        <v>0.98333959999999998</v>
      </c>
      <c r="Y2696">
        <v>6.0251689999999997E-2</v>
      </c>
      <c r="Z2696">
        <v>-5.7088279999999896E-4</v>
      </c>
      <c r="AA2696">
        <v>0.99818309999999999</v>
      </c>
      <c r="AB2696">
        <v>39</v>
      </c>
      <c r="AC2696">
        <v>140.2157</v>
      </c>
      <c r="AD2696">
        <v>-1.03744832</v>
      </c>
      <c r="AE2696">
        <v>-8.0496000000000194</v>
      </c>
      <c r="AF2696">
        <v>8.4871751917098699</v>
      </c>
      <c r="AG2696">
        <v>-1.03744832</v>
      </c>
      <c r="AH2696">
        <v>140.18221721050199</v>
      </c>
      <c r="AI2696">
        <v>90.423246882999905</v>
      </c>
      <c r="AJ2696">
        <v>86.535320461644702</v>
      </c>
      <c r="AK2696">
        <v>140.44273731241401</v>
      </c>
      <c r="AL2696">
        <v>80.253081371395695</v>
      </c>
      <c r="AM2696">
        <v>93.851205564762196</v>
      </c>
      <c r="AN2696">
        <v>0.99999999808584905</v>
      </c>
    </row>
    <row r="2697" spans="1:40" x14ac:dyDescent="0.25">
      <c r="A2697" t="str">
        <f>"20190304155420682"</f>
        <v>20190304155420682</v>
      </c>
      <c r="B2697" t="str">
        <f>"1551686060679393"</f>
        <v>1551686060679393</v>
      </c>
      <c r="C2697" t="s">
        <v>40</v>
      </c>
      <c r="D2697">
        <v>4.6375830000000002</v>
      </c>
      <c r="E2697">
        <v>0.54394619999999905</v>
      </c>
      <c r="F2697" t="s">
        <v>51</v>
      </c>
      <c r="G2697">
        <v>-179.95779999999999</v>
      </c>
      <c r="H2697">
        <v>1.2766700000000001E-2</v>
      </c>
      <c r="I2697">
        <v>208.2073</v>
      </c>
      <c r="J2697">
        <v>-308.2672</v>
      </c>
      <c r="K2697">
        <v>1.109758</v>
      </c>
      <c r="L2697">
        <v>215.01169999999999</v>
      </c>
      <c r="M2697">
        <v>0.99992259999999999</v>
      </c>
      <c r="N2697">
        <v>-1.205432E-2</v>
      </c>
      <c r="O2697">
        <v>3.1055399999999999E-3</v>
      </c>
      <c r="P2697">
        <v>0.98495429999999995</v>
      </c>
      <c r="Q2697">
        <v>0.15812570000000001</v>
      </c>
      <c r="R2697">
        <v>6.9723549999999995E-2</v>
      </c>
      <c r="S2697">
        <v>3.0609739999999999</v>
      </c>
      <c r="T2697">
        <v>-2.6096939999999999E-2</v>
      </c>
      <c r="U2697">
        <v>-0.16184999999999999</v>
      </c>
      <c r="V2697">
        <v>-6.6648879999999994E-2</v>
      </c>
      <c r="W2697">
        <v>0.1699957</v>
      </c>
      <c r="X2697">
        <v>0.98318839999999996</v>
      </c>
      <c r="Y2697">
        <v>5.5897820000000001E-2</v>
      </c>
      <c r="Z2697">
        <v>-5.6432909999999995E-4</v>
      </c>
      <c r="AA2697">
        <v>0.99843630000000005</v>
      </c>
      <c r="AB2697">
        <v>39</v>
      </c>
      <c r="AC2697">
        <v>128.30940000000001</v>
      </c>
      <c r="AD2697">
        <v>-1.0969913</v>
      </c>
      <c r="AE2697">
        <v>-6.8043999999999798</v>
      </c>
      <c r="AF2697">
        <v>7.2023410983274996</v>
      </c>
      <c r="AG2697">
        <v>-1.0969913</v>
      </c>
      <c r="AH2697">
        <v>128.278298062141</v>
      </c>
      <c r="AI2697">
        <v>90.489191176974899</v>
      </c>
      <c r="AJ2697">
        <v>86.786432737482698</v>
      </c>
      <c r="AK2697">
        <v>128.485014149232</v>
      </c>
      <c r="AL2697">
        <v>80.2124311573928</v>
      </c>
      <c r="AM2697">
        <v>93.878062712798396</v>
      </c>
      <c r="AN2697">
        <v>1.0000000205591499</v>
      </c>
    </row>
    <row r="2698" spans="1:40" x14ac:dyDescent="0.25">
      <c r="A2698" t="str">
        <f>"20190304155420704"</f>
        <v>20190304155420704</v>
      </c>
      <c r="B2698" t="str">
        <f>"1551686060699890"</f>
        <v>1551686060699890</v>
      </c>
      <c r="C2698" t="s">
        <v>40</v>
      </c>
      <c r="D2698">
        <v>4.7143649999999999</v>
      </c>
      <c r="E2698">
        <v>0.54315009999999997</v>
      </c>
      <c r="F2698" t="s">
        <v>51</v>
      </c>
      <c r="G2698">
        <v>-200.01900000000001</v>
      </c>
      <c r="H2698" s="1">
        <v>2.645327E-6</v>
      </c>
      <c r="I2698">
        <v>209.81309999999999</v>
      </c>
      <c r="J2698">
        <v>-307.87209999999999</v>
      </c>
      <c r="K2698">
        <v>1.1097549999999901</v>
      </c>
      <c r="L2698">
        <v>215.01300000000001</v>
      </c>
      <c r="M2698">
        <v>0.99992270000000005</v>
      </c>
      <c r="N2698">
        <v>-1.205575E-2</v>
      </c>
      <c r="O2698">
        <v>3.085207E-3</v>
      </c>
      <c r="P2698">
        <v>0.98488540000000002</v>
      </c>
      <c r="Q2698">
        <v>0.1584846</v>
      </c>
      <c r="R2698">
        <v>6.9883230000000005E-2</v>
      </c>
      <c r="S2698">
        <v>3.0612789999999999</v>
      </c>
      <c r="T2698">
        <v>-3.138411E-2</v>
      </c>
      <c r="U2698">
        <v>-0.14701839999999999</v>
      </c>
      <c r="V2698">
        <v>-6.6828440000000003E-2</v>
      </c>
      <c r="W2698">
        <v>0.17035520000000001</v>
      </c>
      <c r="X2698">
        <v>0.98311389999999999</v>
      </c>
      <c r="Y2698">
        <v>5.1045689999999998E-2</v>
      </c>
      <c r="Z2698">
        <v>-5.6384139999999996E-4</v>
      </c>
      <c r="AA2698">
        <v>0.99869609999999998</v>
      </c>
      <c r="AB2698">
        <v>39</v>
      </c>
      <c r="AC2698">
        <v>107.853099999999</v>
      </c>
      <c r="AD2698">
        <v>-1.1097523546729999</v>
      </c>
      <c r="AE2698">
        <v>-5.1999000000000102</v>
      </c>
      <c r="AF2698">
        <v>5.5320641871213496</v>
      </c>
      <c r="AG2698">
        <v>-1.1097523546729999</v>
      </c>
      <c r="AH2698">
        <v>107.825153350576</v>
      </c>
      <c r="AI2698">
        <v>90.588901262235495</v>
      </c>
      <c r="AJ2698">
        <v>87.062964952923195</v>
      </c>
      <c r="AK2698">
        <v>107.972677004575</v>
      </c>
      <c r="AL2698">
        <v>80.191527610151596</v>
      </c>
      <c r="AM2698">
        <v>93.888772428697607</v>
      </c>
      <c r="AN2698">
        <v>0.99999993746653904</v>
      </c>
    </row>
    <row r="2699" spans="1:40" x14ac:dyDescent="0.25">
      <c r="A2699" t="str">
        <f>"20190304155420726"</f>
        <v>20190304155420726</v>
      </c>
      <c r="B2699" t="str">
        <f>"1551686060719411"</f>
        <v>1551686060719411</v>
      </c>
      <c r="C2699" t="s">
        <v>40</v>
      </c>
      <c r="D2699">
        <v>4.7128709999999998</v>
      </c>
      <c r="E2699">
        <v>0.54228559999999904</v>
      </c>
      <c r="F2699" t="s">
        <v>51</v>
      </c>
      <c r="G2699">
        <v>-205.25290000000001</v>
      </c>
      <c r="H2699" s="1">
        <v>4.9225979999999996E-6</v>
      </c>
      <c r="I2699">
        <v>210.3134</v>
      </c>
      <c r="J2699">
        <v>-307.49689999999998</v>
      </c>
      <c r="K2699">
        <v>1.1097549999999901</v>
      </c>
      <c r="L2699">
        <v>215.01410000000001</v>
      </c>
      <c r="M2699">
        <v>0.9999228</v>
      </c>
      <c r="N2699">
        <v>-1.205695E-2</v>
      </c>
      <c r="O2699">
        <v>3.0663040000000002E-3</v>
      </c>
      <c r="P2699">
        <v>0.98487130000000001</v>
      </c>
      <c r="Q2699">
        <v>0.15859389999999901</v>
      </c>
      <c r="R2699">
        <v>6.9835250000000001E-2</v>
      </c>
      <c r="S2699">
        <v>3.06134</v>
      </c>
      <c r="T2699">
        <v>-3.3106089999999998E-2</v>
      </c>
      <c r="U2699">
        <v>-0.14019779999999901</v>
      </c>
      <c r="V2699">
        <v>-6.6799479999999994E-2</v>
      </c>
      <c r="W2699">
        <v>0.17046559999999999</v>
      </c>
      <c r="X2699">
        <v>0.98309679999999999</v>
      </c>
      <c r="Y2699">
        <v>4.8805330000000001E-2</v>
      </c>
      <c r="Z2699">
        <v>-5.5434539999999995E-4</v>
      </c>
      <c r="AA2699">
        <v>0.99880809999999998</v>
      </c>
      <c r="AB2699">
        <v>39</v>
      </c>
      <c r="AC2699">
        <v>102.24399999999901</v>
      </c>
      <c r="AD2699">
        <v>-1.1097500774019999</v>
      </c>
      <c r="AE2699">
        <v>-4.7007000000000101</v>
      </c>
      <c r="AF2699">
        <v>5.01362241626871</v>
      </c>
      <c r="AG2699">
        <v>-1.1097500774019999</v>
      </c>
      <c r="AH2699">
        <v>102.217087859906</v>
      </c>
      <c r="AI2699">
        <v>90.621277333804798</v>
      </c>
      <c r="AJ2699">
        <v>87.191962896503696</v>
      </c>
      <c r="AK2699">
        <v>102.34598675828499</v>
      </c>
      <c r="AL2699">
        <v>80.185108927816898</v>
      </c>
      <c r="AM2699">
        <v>93.887159807329297</v>
      </c>
      <c r="AN2699">
        <v>1.0000000047409301</v>
      </c>
    </row>
    <row r="2700" spans="1:40" x14ac:dyDescent="0.25">
      <c r="A2700" t="str">
        <f>"20190304155420748"</f>
        <v>20190304155420748</v>
      </c>
      <c r="B2700" t="str">
        <f>"1551686060739905"</f>
        <v>1551686060739905</v>
      </c>
      <c r="C2700" t="s">
        <v>40</v>
      </c>
      <c r="D2700">
        <v>4.7858669999999996</v>
      </c>
      <c r="E2700">
        <v>0.54156890000000002</v>
      </c>
      <c r="F2700" t="s">
        <v>63</v>
      </c>
      <c r="G2700">
        <v>-211.38550000000001</v>
      </c>
      <c r="H2700" s="1">
        <v>-6.3340989999999996E-7</v>
      </c>
      <c r="I2700">
        <v>210.81649999999999</v>
      </c>
      <c r="J2700">
        <v>-307.08580000000001</v>
      </c>
      <c r="K2700">
        <v>1.1097570000000001</v>
      </c>
      <c r="L2700">
        <v>215.0153</v>
      </c>
      <c r="M2700">
        <v>0.99992259999999999</v>
      </c>
      <c r="N2700">
        <v>-1.205809E-2</v>
      </c>
      <c r="O2700">
        <v>3.0454369999999998E-3</v>
      </c>
      <c r="P2700">
        <v>0.9848905</v>
      </c>
      <c r="Q2700">
        <v>0.1586254</v>
      </c>
      <c r="R2700">
        <v>6.948696E-2</v>
      </c>
      <c r="S2700">
        <v>3.0612490000000001</v>
      </c>
      <c r="T2700">
        <v>-3.5346870000000002E-2</v>
      </c>
      <c r="U2700">
        <v>-0.1336975</v>
      </c>
      <c r="V2700">
        <v>-6.6470950000000001E-2</v>
      </c>
      <c r="W2700">
        <v>0.1704985</v>
      </c>
      <c r="X2700">
        <v>0.98311329999999997</v>
      </c>
      <c r="Y2700">
        <v>4.6668790000000002E-2</v>
      </c>
      <c r="Z2700">
        <v>-5.4926770000000001E-4</v>
      </c>
      <c r="AA2700">
        <v>0.99891019999999997</v>
      </c>
      <c r="AB2700">
        <v>39</v>
      </c>
      <c r="AC2700">
        <v>95.700299999999999</v>
      </c>
      <c r="AD2700">
        <v>-1.1097576334099</v>
      </c>
      <c r="AE2700">
        <v>-4.1988000000000003</v>
      </c>
      <c r="AF2700">
        <v>4.4896483993961098</v>
      </c>
      <c r="AG2700">
        <v>-1.1097576334099</v>
      </c>
      <c r="AH2700">
        <v>95.674227305769406</v>
      </c>
      <c r="AI2700">
        <v>90.663832827178197</v>
      </c>
      <c r="AJ2700">
        <v>87.313285501089496</v>
      </c>
      <c r="AK2700">
        <v>95.785939862336406</v>
      </c>
      <c r="AL2700">
        <v>80.183195280872496</v>
      </c>
      <c r="AM2700">
        <v>93.868035620171199</v>
      </c>
      <c r="AN2700">
        <v>0.99999994316651897</v>
      </c>
    </row>
    <row r="2701" spans="1:40" x14ac:dyDescent="0.25">
      <c r="A2701" t="str">
        <f>"20190304155420770"</f>
        <v>20190304155420770</v>
      </c>
      <c r="B2701" t="str">
        <f>"1551686060759426"</f>
        <v>1551686060759426</v>
      </c>
      <c r="C2701" t="s">
        <v>40</v>
      </c>
      <c r="D2701">
        <v>4.6927880000000002</v>
      </c>
      <c r="E2701">
        <v>0.54082010000000003</v>
      </c>
      <c r="F2701" t="s">
        <v>63</v>
      </c>
      <c r="G2701">
        <v>-216.8819</v>
      </c>
      <c r="H2701" s="1">
        <v>2.2746950000000001E-6</v>
      </c>
      <c r="I2701">
        <v>211.20070000000001</v>
      </c>
      <c r="J2701">
        <v>-306.70920000000001</v>
      </c>
      <c r="K2701">
        <v>1.109758</v>
      </c>
      <c r="L2701">
        <v>215.01650000000001</v>
      </c>
      <c r="M2701">
        <v>0.9999228</v>
      </c>
      <c r="N2701">
        <v>-1.205903E-2</v>
      </c>
      <c r="O2701">
        <v>3.0262399999999999E-3</v>
      </c>
      <c r="P2701">
        <v>0.98485690000000004</v>
      </c>
      <c r="Q2701">
        <v>0.15898899999999999</v>
      </c>
      <c r="R2701">
        <v>6.913503E-2</v>
      </c>
      <c r="S2701">
        <v>3.061188</v>
      </c>
      <c r="T2701">
        <v>-3.766096E-2</v>
      </c>
      <c r="U2701">
        <v>-0.1294556</v>
      </c>
      <c r="V2701">
        <v>-6.6138569999999994E-2</v>
      </c>
      <c r="W2701">
        <v>0.17086209999999999</v>
      </c>
      <c r="X2701">
        <v>0.98307259999999996</v>
      </c>
      <c r="Y2701">
        <v>4.5268349999999999E-2</v>
      </c>
      <c r="Z2701">
        <v>-5.5216140000000004E-4</v>
      </c>
      <c r="AA2701">
        <v>0.99897469999999999</v>
      </c>
      <c r="AB2701">
        <v>39</v>
      </c>
      <c r="AC2701">
        <v>89.827299999999994</v>
      </c>
      <c r="AD2701">
        <v>-1.1097557253049899</v>
      </c>
      <c r="AE2701">
        <v>-3.8157999999999901</v>
      </c>
      <c r="AF2701">
        <v>4.0870185600865501</v>
      </c>
      <c r="AG2701">
        <v>-1.1097557253049899</v>
      </c>
      <c r="AH2701">
        <v>89.801658567452805</v>
      </c>
      <c r="AI2701">
        <v>90.707284750546506</v>
      </c>
      <c r="AJ2701">
        <v>87.394174672603597</v>
      </c>
      <c r="AK2701">
        <v>89.901463614035293</v>
      </c>
      <c r="AL2701">
        <v>80.162052382015204</v>
      </c>
      <c r="AM2701">
        <v>93.848911111243495</v>
      </c>
      <c r="AN2701">
        <v>0.99999995226440597</v>
      </c>
    </row>
    <row r="2702" spans="1:40" x14ac:dyDescent="0.25">
      <c r="A2702" t="str">
        <f>"20190304155420792"</f>
        <v>20190304155420792</v>
      </c>
      <c r="B2702" t="str">
        <f>"1551686060789682"</f>
        <v>1551686060789682</v>
      </c>
      <c r="C2702" t="s">
        <v>40</v>
      </c>
      <c r="D2702">
        <v>4.8162120000000002</v>
      </c>
      <c r="E2702">
        <v>0.54009439999999997</v>
      </c>
      <c r="F2702" t="s">
        <v>63</v>
      </c>
      <c r="G2702">
        <v>-219.2792</v>
      </c>
      <c r="H2702" s="1">
        <v>3.5390779999999999E-6</v>
      </c>
      <c r="I2702">
        <v>211.46109999999999</v>
      </c>
      <c r="J2702">
        <v>-306.31939999999997</v>
      </c>
      <c r="K2702">
        <v>1.1097589999999999</v>
      </c>
      <c r="L2702">
        <v>215.01759999999999</v>
      </c>
      <c r="M2702">
        <v>0.9999228</v>
      </c>
      <c r="N2702">
        <v>-1.205994E-2</v>
      </c>
      <c r="O2702">
        <v>3.0063870000000001E-3</v>
      </c>
      <c r="P2702">
        <v>0.98481799999999997</v>
      </c>
      <c r="Q2702">
        <v>0.1592488</v>
      </c>
      <c r="R2702">
        <v>6.9091310000000003E-2</v>
      </c>
      <c r="S2702">
        <v>3.061096</v>
      </c>
      <c r="T2702">
        <v>-3.8854720000000002E-2</v>
      </c>
      <c r="U2702">
        <v>-0.1244812</v>
      </c>
      <c r="V2702">
        <v>-6.6114450000000005E-2</v>
      </c>
      <c r="W2702">
        <v>0.17112239999999901</v>
      </c>
      <c r="X2702">
        <v>0.98302900000000004</v>
      </c>
      <c r="Y2702">
        <v>4.3629069999999999E-2</v>
      </c>
      <c r="Z2702">
        <v>-5.4188979999999999E-4</v>
      </c>
      <c r="AA2702">
        <v>0.99904760000000004</v>
      </c>
      <c r="AB2702">
        <v>39</v>
      </c>
      <c r="AC2702">
        <v>87.040199999999899</v>
      </c>
      <c r="AD2702">
        <v>-1.1097554609219999</v>
      </c>
      <c r="AE2702">
        <v>-3.5565000000000002</v>
      </c>
      <c r="AF2702">
        <v>3.81755992130224</v>
      </c>
      <c r="AG2702">
        <v>-1.1097554609219999</v>
      </c>
      <c r="AH2702">
        <v>87.014991982116101</v>
      </c>
      <c r="AI2702">
        <v>90.7299864143462</v>
      </c>
      <c r="AJ2702">
        <v>87.487905338516299</v>
      </c>
      <c r="AK2702">
        <v>87.105764163937593</v>
      </c>
      <c r="AL2702">
        <v>80.146915887758098</v>
      </c>
      <c r="AM2702">
        <v>93.847681807892897</v>
      </c>
      <c r="AN2702">
        <v>1.0000000055607801</v>
      </c>
    </row>
    <row r="2703" spans="1:40" x14ac:dyDescent="0.25">
      <c r="A2703" t="str">
        <f>"20190304155420816"</f>
        <v>20190304155420816</v>
      </c>
      <c r="B2703" t="str">
        <f>"1551686060809202"</f>
        <v>1551686060809202</v>
      </c>
      <c r="C2703" t="s">
        <v>40</v>
      </c>
      <c r="D2703">
        <v>4.5894320000000004</v>
      </c>
      <c r="E2703">
        <v>0.49143219999999999</v>
      </c>
      <c r="F2703" t="s">
        <v>63</v>
      </c>
      <c r="G2703">
        <v>-222.0198</v>
      </c>
      <c r="H2703" s="1">
        <v>-3.3690940000000001E-7</v>
      </c>
      <c r="I2703">
        <v>211.75550000000001</v>
      </c>
      <c r="J2703">
        <v>-305.92720000000003</v>
      </c>
      <c r="K2703">
        <v>1.109758</v>
      </c>
      <c r="L2703">
        <v>215.0188</v>
      </c>
      <c r="M2703">
        <v>0.99992289999999995</v>
      </c>
      <c r="N2703">
        <v>-1.206081E-2</v>
      </c>
      <c r="O2703">
        <v>2.9861760000000001E-3</v>
      </c>
      <c r="P2703">
        <v>0.98474530000000005</v>
      </c>
      <c r="Q2703">
        <v>0.15971299999999999</v>
      </c>
      <c r="R2703">
        <v>6.905654E-2</v>
      </c>
      <c r="S2703">
        <v>3.0610659999999998</v>
      </c>
      <c r="T2703">
        <v>-4.0297270000000003E-2</v>
      </c>
      <c r="U2703">
        <v>-0.118454</v>
      </c>
      <c r="V2703">
        <v>-6.6099640000000001E-2</v>
      </c>
      <c r="W2703">
        <v>0.17158699999999999</v>
      </c>
      <c r="X2703">
        <v>0.98294899999999996</v>
      </c>
      <c r="Y2703">
        <v>4.1645109999999999E-2</v>
      </c>
      <c r="Z2703">
        <v>-5.285566E-4</v>
      </c>
      <c r="AA2703">
        <v>0.99913229999999997</v>
      </c>
      <c r="AB2703">
        <v>39</v>
      </c>
      <c r="AC2703">
        <v>83.907399999999996</v>
      </c>
      <c r="AD2703">
        <v>-1.1097583369094</v>
      </c>
      <c r="AE2703">
        <v>-3.2632999999999801</v>
      </c>
      <c r="AF2703">
        <v>3.5132522808030799</v>
      </c>
      <c r="AG2703">
        <v>-1.1097583369094</v>
      </c>
      <c r="AH2703">
        <v>83.882629179722002</v>
      </c>
      <c r="AI2703">
        <v>90.757309038910705</v>
      </c>
      <c r="AJ2703">
        <v>87.601685219580006</v>
      </c>
      <c r="AK2703">
        <v>83.963503876730002</v>
      </c>
      <c r="AL2703">
        <v>80.119896570050102</v>
      </c>
      <c r="AM2703">
        <v>93.847134638202306</v>
      </c>
      <c r="AN2703">
        <v>0.99999999878906398</v>
      </c>
    </row>
    <row r="2704" spans="1:40" x14ac:dyDescent="0.25">
      <c r="A2704" t="str">
        <f>"20190304155420841"</f>
        <v>20190304155420841</v>
      </c>
      <c r="B2704" t="str">
        <f>"1551686060829699"</f>
        <v>1551686060829699</v>
      </c>
      <c r="C2704" t="s">
        <v>40</v>
      </c>
      <c r="D2704">
        <v>4.6050219999999999</v>
      </c>
      <c r="E2704">
        <v>0.48783530000000003</v>
      </c>
      <c r="F2704" t="s">
        <v>63</v>
      </c>
      <c r="G2704">
        <v>-275.00259999999997</v>
      </c>
      <c r="H2704" s="1">
        <v>9.8892409999999993E-7</v>
      </c>
      <c r="I2704">
        <v>217.73699999999999</v>
      </c>
      <c r="J2704">
        <v>-305.48719999999997</v>
      </c>
      <c r="K2704">
        <v>1.109764</v>
      </c>
      <c r="L2704">
        <v>215.02010000000001</v>
      </c>
      <c r="M2704">
        <v>0.99992300000000001</v>
      </c>
      <c r="N2704">
        <v>-1.206175E-2</v>
      </c>
      <c r="O2704">
        <v>2.96364E-3</v>
      </c>
      <c r="P2704">
        <v>0.98481209999999997</v>
      </c>
      <c r="Q2704">
        <v>0.15926999999999999</v>
      </c>
      <c r="R2704">
        <v>6.9125790000000006E-2</v>
      </c>
      <c r="S2704">
        <v>3.0454409999999998</v>
      </c>
      <c r="T2704">
        <v>-0.1092881</v>
      </c>
      <c r="U2704">
        <v>0.2676849</v>
      </c>
      <c r="V2704">
        <v>-6.6190589999999994E-2</v>
      </c>
      <c r="W2704">
        <v>0.1711454</v>
      </c>
      <c r="X2704">
        <v>0.98301989999999995</v>
      </c>
      <c r="Y2704">
        <v>-8.4535070000000004E-2</v>
      </c>
      <c r="Z2704">
        <v>1.9540019999999998E-3</v>
      </c>
      <c r="AA2704">
        <v>0.99641860000000004</v>
      </c>
      <c r="AB2704">
        <v>39</v>
      </c>
      <c r="AC2704">
        <v>30.4846</v>
      </c>
      <c r="AD2704">
        <v>-1.10976301107589</v>
      </c>
      <c r="AE2704">
        <v>2.7168999999999799</v>
      </c>
      <c r="AF2704">
        <v>-2.6230872611651201</v>
      </c>
      <c r="AG2704">
        <v>-1.10976301107589</v>
      </c>
      <c r="AH2704">
        <v>30.452479332057401</v>
      </c>
      <c r="AI2704">
        <v>92.079382063917805</v>
      </c>
      <c r="AJ2704">
        <v>94.9231385155841</v>
      </c>
      <c r="AK2704">
        <v>30.5853830806453</v>
      </c>
      <c r="AL2704">
        <v>80.145578626039196</v>
      </c>
      <c r="AM2704">
        <v>93.852135168635897</v>
      </c>
      <c r="AN2704">
        <v>1.0000000329708501</v>
      </c>
    </row>
    <row r="2705" spans="1:40" x14ac:dyDescent="0.25">
      <c r="A2705" t="str">
        <f>"20190304155420863"</f>
        <v>20190304155420863</v>
      </c>
      <c r="B2705" t="str">
        <f>"1551686060859954"</f>
        <v>1551686060859954</v>
      </c>
      <c r="C2705" t="s">
        <v>40</v>
      </c>
      <c r="D2705">
        <v>4.6345769999999904</v>
      </c>
      <c r="E2705">
        <v>0.48698760000000002</v>
      </c>
      <c r="F2705" t="s">
        <v>63</v>
      </c>
      <c r="G2705">
        <v>-275.45830000000001</v>
      </c>
      <c r="H2705" s="1">
        <v>1.222149E-6</v>
      </c>
      <c r="I2705">
        <v>217.94929999999999</v>
      </c>
      <c r="J2705">
        <v>-305.09519999999998</v>
      </c>
      <c r="K2705">
        <v>1.1097619999999999</v>
      </c>
      <c r="L2705">
        <v>215.02119999999999</v>
      </c>
      <c r="M2705">
        <v>0.99992300000000001</v>
      </c>
      <c r="N2705">
        <v>-1.2062750000000001E-2</v>
      </c>
      <c r="O2705">
        <v>2.9436079999999999E-3</v>
      </c>
      <c r="P2705">
        <v>0.98483520000000002</v>
      </c>
      <c r="Q2705">
        <v>0.15921099999999999</v>
      </c>
      <c r="R2705">
        <v>6.8930270000000002E-2</v>
      </c>
      <c r="S2705">
        <v>3.0436100000000001</v>
      </c>
      <c r="T2705">
        <v>-0.1124811</v>
      </c>
      <c r="U2705">
        <v>0.2968903</v>
      </c>
      <c r="V2705">
        <v>-6.6015009999999999E-2</v>
      </c>
      <c r="W2705">
        <v>0.17108809999999999</v>
      </c>
      <c r="X2705">
        <v>0.98304159999999996</v>
      </c>
      <c r="Y2705">
        <v>-9.4070680000000004E-2</v>
      </c>
      <c r="Z2705">
        <v>2.2294839999999999E-3</v>
      </c>
      <c r="AA2705">
        <v>0.99556299999999998</v>
      </c>
      <c r="AB2705">
        <v>39</v>
      </c>
      <c r="AC2705">
        <v>29.636899999999901</v>
      </c>
      <c r="AD2705">
        <v>-1.1097607778509999</v>
      </c>
      <c r="AE2705">
        <v>2.9281000000000001</v>
      </c>
      <c r="AF2705">
        <v>-2.83690225833706</v>
      </c>
      <c r="AG2705">
        <v>-1.1097607778509999</v>
      </c>
      <c r="AH2705">
        <v>29.604283132423099</v>
      </c>
      <c r="AI2705">
        <v>92.137032160251806</v>
      </c>
      <c r="AJ2705">
        <v>95.473792829111801</v>
      </c>
      <c r="AK2705">
        <v>29.760597493869</v>
      </c>
      <c r="AL2705">
        <v>80.148910029958103</v>
      </c>
      <c r="AM2705">
        <v>93.841862917997503</v>
      </c>
      <c r="AN2705">
        <v>0.99999995341873305</v>
      </c>
    </row>
    <row r="2706" spans="1:40" x14ac:dyDescent="0.25">
      <c r="A2706" t="str">
        <f>"20190304155420884"</f>
        <v>20190304155420884</v>
      </c>
      <c r="B2706" t="str">
        <f>"1551686060879474"</f>
        <v>1551686060879474</v>
      </c>
      <c r="C2706" t="s">
        <v>40</v>
      </c>
      <c r="D2706">
        <v>4.6884620000000004</v>
      </c>
      <c r="E2706">
        <v>0.48730289999999998</v>
      </c>
      <c r="F2706" t="s">
        <v>63</v>
      </c>
      <c r="G2706">
        <v>-275.97239999999999</v>
      </c>
      <c r="H2706" s="1">
        <v>1.4971269999999999E-6</v>
      </c>
      <c r="I2706">
        <v>217.917</v>
      </c>
      <c r="J2706">
        <v>-304.71879999999999</v>
      </c>
      <c r="K2706">
        <v>1.109772</v>
      </c>
      <c r="L2706">
        <v>215.0223</v>
      </c>
      <c r="M2706">
        <v>0.99992309999999995</v>
      </c>
      <c r="N2706">
        <v>-1.2067639999999999E-2</v>
      </c>
      <c r="O2706">
        <v>2.9243849999999998E-3</v>
      </c>
      <c r="P2706">
        <v>0.98481700000000005</v>
      </c>
      <c r="Q2706">
        <v>0.1594168</v>
      </c>
      <c r="R2706">
        <v>6.8717929999999997E-2</v>
      </c>
      <c r="S2706">
        <v>3.043793</v>
      </c>
      <c r="T2706">
        <v>-0.11598749999999999</v>
      </c>
      <c r="U2706">
        <v>0.30265809999999999</v>
      </c>
      <c r="V2706">
        <v>-6.5821790000000005E-2</v>
      </c>
      <c r="W2706">
        <v>0.17129810000000001</v>
      </c>
      <c r="X2706">
        <v>0.98301799999999995</v>
      </c>
      <c r="Y2706">
        <v>-9.5945909999999995E-2</v>
      </c>
      <c r="Z2706">
        <v>2.3276350000000002E-3</v>
      </c>
      <c r="AA2706">
        <v>0.99538380000000004</v>
      </c>
      <c r="AB2706">
        <v>39</v>
      </c>
      <c r="AC2706">
        <v>28.746399999999898</v>
      </c>
      <c r="AD2706">
        <v>-1.1097705028730001</v>
      </c>
      <c r="AE2706">
        <v>2.8946999999999998</v>
      </c>
      <c r="AF2706">
        <v>-2.8064752234955801</v>
      </c>
      <c r="AG2706">
        <v>-1.1097705028730001</v>
      </c>
      <c r="AH2706">
        <v>28.712379862956499</v>
      </c>
      <c r="AI2706">
        <v>92.202965845215402</v>
      </c>
      <c r="AJ2706">
        <v>95.582609717304706</v>
      </c>
      <c r="AK2706">
        <v>28.8705498933403</v>
      </c>
      <c r="AL2706">
        <v>80.136697772449494</v>
      </c>
      <c r="AM2706">
        <v>93.830743349757697</v>
      </c>
      <c r="AN2706">
        <v>0.99999996771320598</v>
      </c>
    </row>
    <row r="2707" spans="1:40" x14ac:dyDescent="0.25">
      <c r="A2707" t="str">
        <f>"20190304155420903"</f>
        <v>20190304155420903</v>
      </c>
      <c r="B2707" t="str">
        <f>"1551686060898994"</f>
        <v>1551686060898994</v>
      </c>
      <c r="C2707" t="s">
        <v>40</v>
      </c>
      <c r="D2707">
        <v>4.6720610000000002</v>
      </c>
      <c r="E2707">
        <v>0.48738540000000002</v>
      </c>
      <c r="F2707" t="s">
        <v>63</v>
      </c>
      <c r="G2707">
        <v>-276.98079999999999</v>
      </c>
      <c r="H2707" s="1">
        <v>2.0409319999999998E-6</v>
      </c>
      <c r="I2707">
        <v>217.7534</v>
      </c>
      <c r="J2707">
        <v>-304.37950000000001</v>
      </c>
      <c r="K2707">
        <v>1.109774</v>
      </c>
      <c r="L2707">
        <v>215.02330000000001</v>
      </c>
      <c r="M2707">
        <v>0.99992289999999995</v>
      </c>
      <c r="N2707">
        <v>-1.2075239999999999E-2</v>
      </c>
      <c r="O2707">
        <v>2.9071729999999999E-3</v>
      </c>
      <c r="P2707">
        <v>0.98476699999999995</v>
      </c>
      <c r="Q2707">
        <v>0.15986839999999999</v>
      </c>
      <c r="R2707">
        <v>6.8383280000000005E-2</v>
      </c>
      <c r="S2707">
        <v>3.0450439999999999</v>
      </c>
      <c r="T2707">
        <v>-0.12182949999999999</v>
      </c>
      <c r="U2707">
        <v>0.29981989999999997</v>
      </c>
      <c r="V2707">
        <v>-6.5504290000000007E-2</v>
      </c>
      <c r="W2707">
        <v>0.17175660000000001</v>
      </c>
      <c r="X2707">
        <v>0.98295920000000003</v>
      </c>
      <c r="Y2707">
        <v>-9.4996910000000004E-2</v>
      </c>
      <c r="Z2707">
        <v>2.3893209999999998E-3</v>
      </c>
      <c r="AA2707">
        <v>0.99547470000000005</v>
      </c>
      <c r="AB2707">
        <v>39</v>
      </c>
      <c r="AC2707">
        <v>27.398700000000002</v>
      </c>
      <c r="AD2707">
        <v>-1.109771959068</v>
      </c>
      <c r="AE2707">
        <v>2.73009999999999</v>
      </c>
      <c r="AF2707">
        <v>-2.64613128386355</v>
      </c>
      <c r="AG2707">
        <v>-1.109771959068</v>
      </c>
      <c r="AH2707">
        <v>27.362072262247601</v>
      </c>
      <c r="AI2707">
        <v>92.311799731348003</v>
      </c>
      <c r="AJ2707">
        <v>95.523782705052398</v>
      </c>
      <c r="AK2707">
        <v>27.512117385927102</v>
      </c>
      <c r="AL2707">
        <v>80.110032434838601</v>
      </c>
      <c r="AM2707">
        <v>93.812547258120802</v>
      </c>
      <c r="AN2707">
        <v>0.99999996525830104</v>
      </c>
    </row>
    <row r="2708" spans="1:40" x14ac:dyDescent="0.25">
      <c r="A2708" t="str">
        <f>"20190304155420927"</f>
        <v>20190304155420927</v>
      </c>
      <c r="B2708" t="str">
        <f>"1551686060919490"</f>
        <v>1551686060919490</v>
      </c>
      <c r="C2708" t="s">
        <v>40</v>
      </c>
      <c r="D2708">
        <v>4.6396139999999999</v>
      </c>
      <c r="E2708">
        <v>0.48748200000000003</v>
      </c>
      <c r="F2708" t="s">
        <v>63</v>
      </c>
      <c r="G2708">
        <v>-276.53809999999999</v>
      </c>
      <c r="H2708" s="1">
        <v>1.805464E-6</v>
      </c>
      <c r="I2708">
        <v>217.75049999999999</v>
      </c>
      <c r="J2708">
        <v>-303.9701</v>
      </c>
      <c r="K2708">
        <v>1.109783</v>
      </c>
      <c r="L2708">
        <v>215.02449999999999</v>
      </c>
      <c r="M2708">
        <v>0.9999228</v>
      </c>
      <c r="N2708">
        <v>-1.209025E-2</v>
      </c>
      <c r="O2708">
        <v>2.886039E-3</v>
      </c>
      <c r="P2708">
        <v>0.98475179999999995</v>
      </c>
      <c r="Q2708">
        <v>0.1600327</v>
      </c>
      <c r="R2708">
        <v>6.8218139999999997E-2</v>
      </c>
      <c r="S2708">
        <v>3.0453800000000002</v>
      </c>
      <c r="T2708">
        <v>-0.1213906</v>
      </c>
      <c r="U2708">
        <v>0.2983093</v>
      </c>
      <c r="V2708">
        <v>-6.5360210000000002E-2</v>
      </c>
      <c r="W2708">
        <v>0.17193510000000001</v>
      </c>
      <c r="X2708">
        <v>0.98293759999999997</v>
      </c>
      <c r="Y2708">
        <v>-9.4519240000000004E-2</v>
      </c>
      <c r="Z2708">
        <v>2.371705E-3</v>
      </c>
      <c r="AA2708">
        <v>0.99552019999999997</v>
      </c>
      <c r="AB2708">
        <v>39</v>
      </c>
      <c r="AC2708">
        <v>27.431999999999999</v>
      </c>
      <c r="AD2708">
        <v>-1.1097811945360001</v>
      </c>
      <c r="AE2708">
        <v>2.7259999999999902</v>
      </c>
      <c r="AF2708">
        <v>-2.6425303953949699</v>
      </c>
      <c r="AG2708">
        <v>-1.1097811945360001</v>
      </c>
      <c r="AH2708">
        <v>27.3953550749765</v>
      </c>
      <c r="AI2708">
        <v>92.309068288834695</v>
      </c>
      <c r="AJ2708">
        <v>95.509651724862195</v>
      </c>
      <c r="AK2708">
        <v>27.5448735861026</v>
      </c>
      <c r="AL2708">
        <v>80.0996508507573</v>
      </c>
      <c r="AM2708">
        <v>93.804269369546404</v>
      </c>
      <c r="AN2708">
        <v>0.99999998057850603</v>
      </c>
    </row>
    <row r="2709" spans="1:40" x14ac:dyDescent="0.25">
      <c r="A2709" t="str">
        <f>"20190304155420949"</f>
        <v>20190304155420949</v>
      </c>
      <c r="B2709" t="str">
        <f>"1551686060939986"</f>
        <v>1551686060939986</v>
      </c>
      <c r="C2709" t="s">
        <v>40</v>
      </c>
      <c r="D2709">
        <v>4.7111989999999997</v>
      </c>
      <c r="E2709">
        <v>0.48753990000000003</v>
      </c>
      <c r="F2709" t="s">
        <v>63</v>
      </c>
      <c r="G2709">
        <v>-276.87049999999999</v>
      </c>
      <c r="H2709" s="1">
        <v>1.985874E-6</v>
      </c>
      <c r="I2709">
        <v>217.66909999999999</v>
      </c>
      <c r="J2709">
        <v>-303.57229999999998</v>
      </c>
      <c r="K2709">
        <v>1.109793</v>
      </c>
      <c r="L2709">
        <v>215.0256</v>
      </c>
      <c r="M2709">
        <v>0.99992259999999999</v>
      </c>
      <c r="N2709">
        <v>-1.2107969999999999E-2</v>
      </c>
      <c r="O2709">
        <v>2.8657230000000001E-3</v>
      </c>
      <c r="P2709">
        <v>0.98473310000000003</v>
      </c>
      <c r="Q2709">
        <v>0.16024579999999999</v>
      </c>
      <c r="R2709">
        <v>6.7984710000000004E-2</v>
      </c>
      <c r="S2709">
        <v>3.0461119999999999</v>
      </c>
      <c r="T2709">
        <v>-0.1247439</v>
      </c>
      <c r="U2709">
        <v>0.29727170000000003</v>
      </c>
      <c r="V2709">
        <v>-6.5146629999999997E-2</v>
      </c>
      <c r="W2709">
        <v>0.17216579999999901</v>
      </c>
      <c r="X2709">
        <v>0.98291139999999999</v>
      </c>
      <c r="Y2709">
        <v>-9.4175990000000001E-2</v>
      </c>
      <c r="Z2709">
        <v>2.4123730000000002E-3</v>
      </c>
      <c r="AA2709">
        <v>0.99555269999999996</v>
      </c>
      <c r="AB2709">
        <v>39</v>
      </c>
      <c r="AC2709">
        <v>26.701799999999899</v>
      </c>
      <c r="AD2709">
        <v>-1.1097910141259999</v>
      </c>
      <c r="AE2709">
        <v>2.64349999999998</v>
      </c>
      <c r="AF2709">
        <v>-2.5625798518013898</v>
      </c>
      <c r="AG2709">
        <v>-1.1097910141259999</v>
      </c>
      <c r="AH2709">
        <v>26.663653803902601</v>
      </c>
      <c r="AI2709">
        <v>92.372462494562797</v>
      </c>
      <c r="AJ2709">
        <v>95.489699274719698</v>
      </c>
      <c r="AK2709">
        <v>26.809492456334699</v>
      </c>
      <c r="AL2709">
        <v>80.086232649342705</v>
      </c>
      <c r="AM2709">
        <v>93.791975121825999</v>
      </c>
      <c r="AN2709">
        <v>0.99999998316997796</v>
      </c>
    </row>
    <row r="2710" spans="1:40" x14ac:dyDescent="0.25">
      <c r="A2710" t="str">
        <f>"20190304155420971"</f>
        <v>20190304155420971</v>
      </c>
      <c r="B2710" t="str">
        <f>"1551686060959507"</f>
        <v>1551686060959507</v>
      </c>
      <c r="C2710" t="s">
        <v>40</v>
      </c>
      <c r="D2710">
        <v>4.6959109999999997</v>
      </c>
      <c r="E2710">
        <v>0.48733480000000001</v>
      </c>
      <c r="F2710" t="s">
        <v>63</v>
      </c>
      <c r="G2710">
        <v>-277.03050000000002</v>
      </c>
      <c r="H2710" s="1">
        <v>2.0739650000000001E-6</v>
      </c>
      <c r="I2710">
        <v>217.60319999999999</v>
      </c>
      <c r="J2710">
        <v>-303.19159999999999</v>
      </c>
      <c r="K2710">
        <v>1.1097939999999999</v>
      </c>
      <c r="L2710">
        <v>215.02670000000001</v>
      </c>
      <c r="M2710">
        <v>0.99992259999999999</v>
      </c>
      <c r="N2710">
        <v>-1.212527E-2</v>
      </c>
      <c r="O2710">
        <v>2.8462449999999999E-3</v>
      </c>
      <c r="P2710">
        <v>0.9846743</v>
      </c>
      <c r="Q2710">
        <v>0.16066179999999999</v>
      </c>
      <c r="R2710">
        <v>6.7855860000000004E-2</v>
      </c>
      <c r="S2710">
        <v>3.0468440000000001</v>
      </c>
      <c r="T2710">
        <v>-0.12739780000000001</v>
      </c>
      <c r="U2710">
        <v>0.29589840000000001</v>
      </c>
      <c r="V2710">
        <v>-6.5036640000000007E-2</v>
      </c>
      <c r="W2710">
        <v>0.1725979</v>
      </c>
      <c r="X2710">
        <v>0.98284289999999996</v>
      </c>
      <c r="Y2710">
        <v>-9.3724459999999996E-2</v>
      </c>
      <c r="Z2710">
        <v>2.4396420000000001E-3</v>
      </c>
      <c r="AA2710">
        <v>0.99559520000000001</v>
      </c>
      <c r="AB2710">
        <v>39</v>
      </c>
      <c r="AC2710">
        <v>26.161099999999902</v>
      </c>
      <c r="AD2710">
        <v>-1.109791926035</v>
      </c>
      <c r="AE2710">
        <v>2.5764999999999798</v>
      </c>
      <c r="AF2710">
        <v>-2.4975717965011901</v>
      </c>
      <c r="AG2710">
        <v>-1.109791926035</v>
      </c>
      <c r="AH2710">
        <v>26.121771267406299</v>
      </c>
      <c r="AI2710">
        <v>92.421735702539493</v>
      </c>
      <c r="AJ2710">
        <v>95.461598832581799</v>
      </c>
      <c r="AK2710">
        <v>26.264356781472198</v>
      </c>
      <c r="AL2710">
        <v>80.061098891955993</v>
      </c>
      <c r="AM2710">
        <v>93.785854662664406</v>
      </c>
      <c r="AN2710">
        <v>0.99999998285365399</v>
      </c>
    </row>
    <row r="2711" spans="1:40" x14ac:dyDescent="0.25">
      <c r="A2711" t="str">
        <f>"20190304155420993"</f>
        <v>20190304155420993</v>
      </c>
      <c r="B2711" t="str">
        <f>"1551686060989762"</f>
        <v>1551686060989762</v>
      </c>
      <c r="C2711" t="s">
        <v>40</v>
      </c>
      <c r="D2711">
        <v>4.7267359999999998</v>
      </c>
      <c r="E2711">
        <v>0.48705379999999998</v>
      </c>
      <c r="F2711" t="s">
        <v>63</v>
      </c>
      <c r="G2711">
        <v>-277.40660000000003</v>
      </c>
      <c r="H2711" s="1">
        <v>2.2764100000000002E-6</v>
      </c>
      <c r="I2711">
        <v>217.5496</v>
      </c>
      <c r="J2711">
        <v>-302.80720000000002</v>
      </c>
      <c r="K2711">
        <v>1.109796</v>
      </c>
      <c r="L2711">
        <v>215.02770000000001</v>
      </c>
      <c r="M2711">
        <v>0.99992230000000004</v>
      </c>
      <c r="N2711">
        <v>-1.2143960000000001E-2</v>
      </c>
      <c r="O2711">
        <v>2.8262830000000002E-3</v>
      </c>
      <c r="P2711">
        <v>0.98472800000000005</v>
      </c>
      <c r="Q2711">
        <v>0.1605066</v>
      </c>
      <c r="R2711">
        <v>6.7443180000000005E-2</v>
      </c>
      <c r="S2711">
        <v>3.0475159999999999</v>
      </c>
      <c r="T2711">
        <v>-0.1311657</v>
      </c>
      <c r="U2711">
        <v>0.29818729999999999</v>
      </c>
      <c r="V2711">
        <v>-6.4643610000000004E-2</v>
      </c>
      <c r="W2711">
        <v>0.1724617</v>
      </c>
      <c r="X2711">
        <v>0.98289280000000001</v>
      </c>
      <c r="Y2711">
        <v>-9.4457570000000005E-2</v>
      </c>
      <c r="Z2711">
        <v>2.5151710000000001E-3</v>
      </c>
      <c r="AA2711">
        <v>0.99552569999999996</v>
      </c>
      <c r="AB2711">
        <v>39</v>
      </c>
      <c r="AC2711">
        <v>25.400600000000001</v>
      </c>
      <c r="AD2711">
        <v>-1.1097937235899999</v>
      </c>
      <c r="AE2711">
        <v>2.52189999999998</v>
      </c>
      <c r="AF2711">
        <v>-2.4454726125770301</v>
      </c>
      <c r="AG2711">
        <v>-1.1097937235899999</v>
      </c>
      <c r="AH2711">
        <v>25.359688612088199</v>
      </c>
      <c r="AI2711">
        <v>92.494230520299496</v>
      </c>
      <c r="AJ2711">
        <v>95.508086351382602</v>
      </c>
      <c r="AK2711">
        <v>25.5014859353305</v>
      </c>
      <c r="AL2711">
        <v>80.069022006845799</v>
      </c>
      <c r="AM2711">
        <v>93.762851391198893</v>
      </c>
      <c r="AN2711">
        <v>1.0000000452862801</v>
      </c>
    </row>
    <row r="2712" spans="1:40" x14ac:dyDescent="0.25">
      <c r="A2712" t="str">
        <f>"20190304155421016"</f>
        <v>20190304155421016</v>
      </c>
      <c r="B2712" t="str">
        <f>"1551686061009282"</f>
        <v>1551686061009282</v>
      </c>
      <c r="C2712" t="s">
        <v>40</v>
      </c>
      <c r="D2712">
        <v>4.7166959999999998</v>
      </c>
      <c r="E2712">
        <v>0.48694189999999998</v>
      </c>
      <c r="F2712" t="s">
        <v>63</v>
      </c>
      <c r="G2712">
        <v>-278.23939999999999</v>
      </c>
      <c r="H2712" s="1">
        <v>2.724428E-6</v>
      </c>
      <c r="I2712">
        <v>217.43879999999999</v>
      </c>
      <c r="J2712">
        <v>-302.41419999999999</v>
      </c>
      <c r="K2712">
        <v>1.1097950000000001</v>
      </c>
      <c r="L2712">
        <v>215.02879999999999</v>
      </c>
      <c r="M2712">
        <v>0.99992210000000004</v>
      </c>
      <c r="N2712">
        <v>-1.216592E-2</v>
      </c>
      <c r="O2712">
        <v>2.8057640000000001E-3</v>
      </c>
      <c r="P2712">
        <v>0.984711</v>
      </c>
      <c r="Q2712">
        <v>0.16067709999999999</v>
      </c>
      <c r="R2712">
        <v>6.7285670000000006E-2</v>
      </c>
      <c r="S2712">
        <v>3.048492</v>
      </c>
      <c r="T2712">
        <v>-0.13770869999999999</v>
      </c>
      <c r="U2712">
        <v>0.29917909999999998</v>
      </c>
      <c r="V2712">
        <v>-6.450641E-2</v>
      </c>
      <c r="W2712">
        <v>0.17265369999999999</v>
      </c>
      <c r="X2712">
        <v>0.98286810000000002</v>
      </c>
      <c r="Y2712">
        <v>-9.4757629999999995E-2</v>
      </c>
      <c r="Z2712">
        <v>2.6198710000000002E-3</v>
      </c>
      <c r="AA2712">
        <v>0.99549690000000002</v>
      </c>
      <c r="AB2712">
        <v>39</v>
      </c>
      <c r="AC2712">
        <v>24.174800000000001</v>
      </c>
      <c r="AD2712">
        <v>-1.109792275572</v>
      </c>
      <c r="AE2712">
        <v>2.4099999999999899</v>
      </c>
      <c r="AF2712">
        <v>-2.3372794791919098</v>
      </c>
      <c r="AG2712">
        <v>-1.109792275572</v>
      </c>
      <c r="AH2712">
        <v>24.131112504862401</v>
      </c>
      <c r="AI2712">
        <v>92.620935130433693</v>
      </c>
      <c r="AJ2712">
        <v>95.532269522878295</v>
      </c>
      <c r="AK2712">
        <v>24.2694273723361</v>
      </c>
      <c r="AL2712">
        <v>80.057853628440697</v>
      </c>
      <c r="AM2712">
        <v>93.754982055603804</v>
      </c>
      <c r="AN2712">
        <v>1.0000000395261901</v>
      </c>
    </row>
    <row r="2713" spans="1:40" x14ac:dyDescent="0.25">
      <c r="A2713" t="str">
        <f>"20190304155421040"</f>
        <v>20190304155421040</v>
      </c>
      <c r="B2713" t="str">
        <f>"1551686061029778"</f>
        <v>1551686061029778</v>
      </c>
      <c r="C2713" t="s">
        <v>40</v>
      </c>
      <c r="D2713">
        <v>4.7252359999999998</v>
      </c>
      <c r="E2713">
        <v>0.48677179999999998</v>
      </c>
      <c r="F2713" t="s">
        <v>63</v>
      </c>
      <c r="G2713">
        <v>-278.40949999999998</v>
      </c>
      <c r="H2713" s="1">
        <v>2.8173760000000001E-6</v>
      </c>
      <c r="I2713">
        <v>217.38329999999999</v>
      </c>
      <c r="J2713">
        <v>-301.9855</v>
      </c>
      <c r="K2713">
        <v>1.1098059999999901</v>
      </c>
      <c r="L2713">
        <v>215.03</v>
      </c>
      <c r="M2713">
        <v>0.99992190000000003</v>
      </c>
      <c r="N2713">
        <v>-1.2190960000000001E-2</v>
      </c>
      <c r="O2713">
        <v>2.7833770000000001E-3</v>
      </c>
      <c r="P2713">
        <v>0.98469600000000002</v>
      </c>
      <c r="Q2713">
        <v>0.16081599999999999</v>
      </c>
      <c r="R2713">
        <v>6.7173849999999993E-2</v>
      </c>
      <c r="S2713">
        <v>3.0491329999999999</v>
      </c>
      <c r="T2713">
        <v>-0.14096810000000001</v>
      </c>
      <c r="U2713">
        <v>0.29907230000000001</v>
      </c>
      <c r="V2713">
        <v>-6.4416440000000005E-2</v>
      </c>
      <c r="W2713">
        <v>0.17281679999999999</v>
      </c>
      <c r="X2713">
        <v>0.98284530000000003</v>
      </c>
      <c r="Y2713">
        <v>-9.4719990000000004E-2</v>
      </c>
      <c r="Z2713">
        <v>2.6678499999999998E-3</v>
      </c>
      <c r="AA2713">
        <v>0.99550039999999995</v>
      </c>
      <c r="AB2713">
        <v>39</v>
      </c>
      <c r="AC2713">
        <v>23.576000000000001</v>
      </c>
      <c r="AD2713">
        <v>-1.10980318262399</v>
      </c>
      <c r="AE2713">
        <v>2.3532999999999902</v>
      </c>
      <c r="AF2713">
        <v>-2.2826568585136902</v>
      </c>
      <c r="AG2713">
        <v>-1.10980318262399</v>
      </c>
      <c r="AH2713">
        <v>23.530831512676599</v>
      </c>
      <c r="AI2713">
        <v>92.687687250243997</v>
      </c>
      <c r="AJ2713">
        <v>95.540758505743796</v>
      </c>
      <c r="AK2713">
        <v>23.667323826657199</v>
      </c>
      <c r="AL2713">
        <v>80.048365715030798</v>
      </c>
      <c r="AM2713">
        <v>93.749846503435293</v>
      </c>
      <c r="AN2713">
        <v>1.0000000039182999</v>
      </c>
    </row>
    <row r="2714" spans="1:40" x14ac:dyDescent="0.25">
      <c r="A2714" t="str">
        <f>"20190304155421083"</f>
        <v>20190304155421083</v>
      </c>
      <c r="B2714" t="str">
        <f>"1551686061079554"</f>
        <v>1551686061079554</v>
      </c>
      <c r="C2714" t="s">
        <v>40</v>
      </c>
      <c r="D2714">
        <v>4.2923669999999996</v>
      </c>
      <c r="E2714">
        <v>0.49944699999999997</v>
      </c>
      <c r="F2714" t="s">
        <v>63</v>
      </c>
      <c r="G2714">
        <v>-278.48079999999999</v>
      </c>
      <c r="H2714" s="1">
        <v>2.8571530000000001E-6</v>
      </c>
      <c r="I2714">
        <v>217.3415</v>
      </c>
      <c r="J2714">
        <v>-301.24610000000001</v>
      </c>
      <c r="K2714">
        <v>1.1097969999999999</v>
      </c>
      <c r="L2714">
        <v>215.03200000000001</v>
      </c>
      <c r="M2714">
        <v>0.99992150000000002</v>
      </c>
      <c r="N2714">
        <v>-1.2230680000000001E-2</v>
      </c>
      <c r="O2714">
        <v>2.7445669999999998E-3</v>
      </c>
      <c r="P2714">
        <v>0.9846627</v>
      </c>
      <c r="Q2714">
        <v>0.16100100000000001</v>
      </c>
      <c r="R2714">
        <v>6.7216079999999997E-2</v>
      </c>
      <c r="S2714">
        <v>3.049652</v>
      </c>
      <c r="T2714">
        <v>-0.14399329999999999</v>
      </c>
      <c r="U2714">
        <v>0.2999115</v>
      </c>
      <c r="V2714">
        <v>-6.4497280000000004E-2</v>
      </c>
      <c r="W2714">
        <v>0.17304029999999901</v>
      </c>
      <c r="X2714">
        <v>0.98280069999999997</v>
      </c>
      <c r="Y2714">
        <v>-9.5008209999999996E-2</v>
      </c>
      <c r="Z2714">
        <v>2.7234410000000001E-3</v>
      </c>
      <c r="AA2714">
        <v>0.99547280000000005</v>
      </c>
      <c r="AB2714">
        <v>39</v>
      </c>
      <c r="AC2714">
        <v>22.7653</v>
      </c>
      <c r="AD2714">
        <v>-1.109794142847</v>
      </c>
      <c r="AE2714">
        <v>2.3094999999999799</v>
      </c>
      <c r="AF2714">
        <v>-2.2417325292083898</v>
      </c>
      <c r="AG2714">
        <v>-1.109794142847</v>
      </c>
      <c r="AH2714">
        <v>22.7181136519254</v>
      </c>
      <c r="AI2714">
        <v>92.783215822392407</v>
      </c>
      <c r="AJ2714">
        <v>95.6354746728816</v>
      </c>
      <c r="AK2714">
        <v>22.855408455632801</v>
      </c>
      <c r="AL2714">
        <v>80.035364497756007</v>
      </c>
      <c r="AM2714">
        <v>93.754708851446594</v>
      </c>
      <c r="AN2714">
        <v>1.0000000302359799</v>
      </c>
    </row>
    <row r="2715" spans="1:40" x14ac:dyDescent="0.25">
      <c r="A2715" t="str">
        <f>"20190304155421104"</f>
        <v>20190304155421104</v>
      </c>
      <c r="B2715" t="str">
        <f>"1551686061099075"</f>
        <v>1551686061099075</v>
      </c>
      <c r="C2715" t="s">
        <v>40</v>
      </c>
      <c r="D2715">
        <v>4.6411910000000001</v>
      </c>
      <c r="E2715">
        <v>0.54699119999999901</v>
      </c>
      <c r="F2715" t="s">
        <v>63</v>
      </c>
      <c r="G2715">
        <v>-277.6377</v>
      </c>
      <c r="H2715" s="1">
        <v>2.4419829999999998E-6</v>
      </c>
      <c r="I2715">
        <v>216.57550000000001</v>
      </c>
      <c r="J2715">
        <v>-300.85730000000001</v>
      </c>
      <c r="K2715">
        <v>1.109807</v>
      </c>
      <c r="L2715">
        <v>215.03299999999999</v>
      </c>
      <c r="M2715">
        <v>0.99992130000000001</v>
      </c>
      <c r="N2715">
        <v>-1.2248770000000001E-2</v>
      </c>
      <c r="O2715">
        <v>2.7246079999999999E-3</v>
      </c>
      <c r="P2715">
        <v>0.98476710000000001</v>
      </c>
      <c r="Q2715">
        <v>0.16043489999999999</v>
      </c>
      <c r="R2715">
        <v>6.7043069999999996E-2</v>
      </c>
      <c r="S2715">
        <v>3.0565799999999999</v>
      </c>
      <c r="T2715">
        <v>-0.14368529999999999</v>
      </c>
      <c r="U2715">
        <v>0.19984440000000001</v>
      </c>
      <c r="V2715">
        <v>-6.4343280000000003E-2</v>
      </c>
      <c r="W2715">
        <v>0.17249310000000001</v>
      </c>
      <c r="X2715">
        <v>0.98290690000000003</v>
      </c>
      <c r="Y2715">
        <v>-6.2438159999999999E-2</v>
      </c>
      <c r="Z2715">
        <v>1.7537309999999999E-3</v>
      </c>
      <c r="AA2715">
        <v>0.99804729999999997</v>
      </c>
      <c r="AB2715">
        <v>39</v>
      </c>
      <c r="AC2715">
        <v>23.2196</v>
      </c>
      <c r="AD2715">
        <v>-1.109804558017</v>
      </c>
      <c r="AE2715">
        <v>1.54250000000001</v>
      </c>
      <c r="AF2715">
        <v>-1.47586847264643</v>
      </c>
      <c r="AG2715">
        <v>-1.109804558017</v>
      </c>
      <c r="AH2715">
        <v>23.1710161391889</v>
      </c>
      <c r="AI2715">
        <v>92.736619666033206</v>
      </c>
      <c r="AJ2715">
        <v>93.6445081608164</v>
      </c>
      <c r="AK2715">
        <v>23.244479835610399</v>
      </c>
      <c r="AL2715">
        <v>80.067194597616506</v>
      </c>
      <c r="AM2715">
        <v>93.745365728885304</v>
      </c>
      <c r="AN2715">
        <v>0.99999995064818803</v>
      </c>
    </row>
    <row r="2716" spans="1:40" x14ac:dyDescent="0.25">
      <c r="A2716" t="str">
        <f>"20190304155421129"</f>
        <v>20190304155421129</v>
      </c>
      <c r="B2716" t="str">
        <f>"1551686061119261"</f>
        <v>1551686061119261</v>
      </c>
      <c r="C2716" t="s">
        <v>40</v>
      </c>
      <c r="D2716">
        <v>4.6111269999999998</v>
      </c>
      <c r="E2716">
        <v>0.55551459999999997</v>
      </c>
      <c r="F2716" t="s">
        <v>63</v>
      </c>
      <c r="G2716">
        <v>-255.36080000000001</v>
      </c>
      <c r="H2716" s="1">
        <v>1.413111E-6</v>
      </c>
      <c r="I2716">
        <v>212.39400000000001</v>
      </c>
      <c r="J2716">
        <v>-300.44400000000002</v>
      </c>
      <c r="K2716">
        <v>1.1098079999999999</v>
      </c>
      <c r="L2716">
        <v>215.0341</v>
      </c>
      <c r="M2716">
        <v>0.99992110000000001</v>
      </c>
      <c r="N2716">
        <v>-1.226608E-2</v>
      </c>
      <c r="O2716">
        <v>2.702809E-3</v>
      </c>
      <c r="P2716">
        <v>0.98473849999999996</v>
      </c>
      <c r="Q2716">
        <v>0.1605772</v>
      </c>
      <c r="R2716">
        <v>6.7119949999999998E-2</v>
      </c>
      <c r="S2716">
        <v>3.0707399999999998</v>
      </c>
      <c r="T2716">
        <v>-7.4905159999999998E-2</v>
      </c>
      <c r="U2716">
        <v>-0.17811579999999999</v>
      </c>
      <c r="V2716">
        <v>-6.4441760000000001E-2</v>
      </c>
      <c r="W2716">
        <v>0.1726519</v>
      </c>
      <c r="X2716">
        <v>0.98287259999999999</v>
      </c>
      <c r="Y2716">
        <v>6.0577939999999997E-2</v>
      </c>
      <c r="Z2716">
        <v>-1.142793E-3</v>
      </c>
      <c r="AA2716">
        <v>0.99816280000000002</v>
      </c>
      <c r="AB2716">
        <v>39</v>
      </c>
      <c r="AC2716">
        <v>45.083199999999998</v>
      </c>
      <c r="AD2716">
        <v>-1.1098065868889999</v>
      </c>
      <c r="AE2716">
        <v>-2.6400999999999799</v>
      </c>
      <c r="AF2716">
        <v>2.76028381724654</v>
      </c>
      <c r="AG2716">
        <v>-1.1098065868889999</v>
      </c>
      <c r="AH2716">
        <v>45.0486933425179</v>
      </c>
      <c r="AI2716">
        <v>91.408596118370596</v>
      </c>
      <c r="AJ2716">
        <v>86.4936800149531</v>
      </c>
      <c r="AK2716">
        <v>45.1468228038283</v>
      </c>
      <c r="AL2716">
        <v>80.057957769722194</v>
      </c>
      <c r="AM2716">
        <v>93.751212339880396</v>
      </c>
      <c r="AN2716">
        <v>0.99999998341813301</v>
      </c>
    </row>
    <row r="2717" spans="1:40" x14ac:dyDescent="0.25">
      <c r="A2717" t="str">
        <f>"20190304155421150"</f>
        <v>20190304155421150</v>
      </c>
      <c r="B2717" t="str">
        <f>"1551686061139758"</f>
        <v>1551686061139758</v>
      </c>
      <c r="C2717" t="s">
        <v>40</v>
      </c>
      <c r="D2717">
        <v>4.6805669999999999</v>
      </c>
      <c r="E2717">
        <v>0.56034150000000005</v>
      </c>
      <c r="F2717" t="s">
        <v>63</v>
      </c>
      <c r="G2717">
        <v>-232.38659999999999</v>
      </c>
      <c r="H2717">
        <v>7.5462100000000004E-2</v>
      </c>
      <c r="I2717">
        <v>209.5909</v>
      </c>
      <c r="J2717">
        <v>-300.05650000000003</v>
      </c>
      <c r="K2717">
        <v>1.1098110000000001</v>
      </c>
      <c r="L2717">
        <v>215.0352</v>
      </c>
      <c r="M2717">
        <v>0.99992110000000001</v>
      </c>
      <c r="N2717">
        <v>-1.2280660000000001E-2</v>
      </c>
      <c r="O2717">
        <v>2.6826319999999999E-3</v>
      </c>
      <c r="P2717">
        <v>0.98463109999999998</v>
      </c>
      <c r="Q2717">
        <v>0.16134399999999999</v>
      </c>
      <c r="R2717">
        <v>6.68599E-2</v>
      </c>
      <c r="S2717">
        <v>3.0708009999999999</v>
      </c>
      <c r="T2717">
        <v>-4.6670440000000001E-2</v>
      </c>
      <c r="U2717">
        <v>-0.2456055</v>
      </c>
      <c r="V2717">
        <v>-6.4202239999999994E-2</v>
      </c>
      <c r="W2717">
        <v>0.173432</v>
      </c>
      <c r="X2717">
        <v>0.98275100000000004</v>
      </c>
      <c r="Y2717">
        <v>8.2383189999999995E-2</v>
      </c>
      <c r="Z2717">
        <v>-1.1395520000000001E-3</v>
      </c>
      <c r="AA2717">
        <v>0.99660009999999999</v>
      </c>
      <c r="AB2717">
        <v>39</v>
      </c>
      <c r="AC2717">
        <v>67.669899999999998</v>
      </c>
      <c r="AD2717">
        <v>-1.0343488999999999</v>
      </c>
      <c r="AE2717">
        <v>-5.4442999999999904</v>
      </c>
      <c r="AF2717">
        <v>5.6245218674644599</v>
      </c>
      <c r="AG2717">
        <v>-1.0343488999999999</v>
      </c>
      <c r="AH2717">
        <v>67.639348842273705</v>
      </c>
      <c r="AI2717">
        <v>90.873092618993695</v>
      </c>
      <c r="AJ2717">
        <v>85.246529450414897</v>
      </c>
      <c r="AK2717">
        <v>67.880679399158296</v>
      </c>
      <c r="AL2717">
        <v>80.012577476069097</v>
      </c>
      <c r="AM2717">
        <v>93.737770377513201</v>
      </c>
      <c r="AN2717">
        <v>1.0000000571230001</v>
      </c>
    </row>
    <row r="2718" spans="1:40" x14ac:dyDescent="0.25">
      <c r="A2718" t="str">
        <f>"20190304155421172"</f>
        <v>20190304155421172</v>
      </c>
      <c r="B2718" t="str">
        <f>"1551686061169038"</f>
        <v>1551686061169038</v>
      </c>
      <c r="C2718" t="s">
        <v>40</v>
      </c>
      <c r="D2718">
        <v>4.6479530000000002</v>
      </c>
      <c r="E2718">
        <v>0.56302359999999996</v>
      </c>
      <c r="F2718" t="s">
        <v>51</v>
      </c>
      <c r="G2718">
        <v>-201.48660000000001</v>
      </c>
      <c r="H2718">
        <v>8.0001409999999995E-2</v>
      </c>
      <c r="I2718">
        <v>205.8937</v>
      </c>
      <c r="J2718">
        <v>-299.67509999999999</v>
      </c>
      <c r="K2718">
        <v>1.1098079999999999</v>
      </c>
      <c r="L2718">
        <v>215.0361</v>
      </c>
      <c r="M2718">
        <v>0.99992099999999995</v>
      </c>
      <c r="N2718">
        <v>-1.2293449999999999E-2</v>
      </c>
      <c r="O2718">
        <v>2.6627059999999999E-3</v>
      </c>
      <c r="P2718">
        <v>0.98462000000000005</v>
      </c>
      <c r="Q2718">
        <v>0.1615964</v>
      </c>
      <c r="R2718">
        <v>6.6410460000000004E-2</v>
      </c>
      <c r="S2718">
        <v>3.071472</v>
      </c>
      <c r="T2718">
        <v>-3.2089230000000003E-2</v>
      </c>
      <c r="U2718">
        <v>-0.28485110000000002</v>
      </c>
      <c r="V2718">
        <v>-6.3772309999999999E-2</v>
      </c>
      <c r="W2718">
        <v>0.1736963</v>
      </c>
      <c r="X2718">
        <v>0.98273219999999994</v>
      </c>
      <c r="Y2718">
        <v>9.4984589999999994E-2</v>
      </c>
      <c r="Z2718">
        <v>-1.075346E-3</v>
      </c>
      <c r="AA2718">
        <v>0.99547819999999998</v>
      </c>
      <c r="AB2718">
        <v>39</v>
      </c>
      <c r="AC2718">
        <v>98.188499999999905</v>
      </c>
      <c r="AD2718">
        <v>-1.02980659</v>
      </c>
      <c r="AE2718">
        <v>-9.1424000000000092</v>
      </c>
      <c r="AF2718">
        <v>9.4028090093470897</v>
      </c>
      <c r="AG2718">
        <v>-1.02980659</v>
      </c>
      <c r="AH2718">
        <v>98.153102530807104</v>
      </c>
      <c r="AI2718">
        <v>90.598376840266894</v>
      </c>
      <c r="AJ2718">
        <v>84.527913642422504</v>
      </c>
      <c r="AK2718">
        <v>98.607833640650497</v>
      </c>
      <c r="AL2718">
        <v>79.997199686501105</v>
      </c>
      <c r="AM2718">
        <v>93.712881489955294</v>
      </c>
      <c r="AN2718">
        <v>0.99999994453663099</v>
      </c>
    </row>
    <row r="2719" spans="1:40" x14ac:dyDescent="0.25">
      <c r="A2719" t="str">
        <f>"20190304155421194"</f>
        <v>20190304155421194</v>
      </c>
      <c r="B2719" t="str">
        <f>"1551686061189534"</f>
        <v>1551686061189534</v>
      </c>
      <c r="C2719" t="s">
        <v>40</v>
      </c>
      <c r="D2719">
        <v>4.6233779999999998</v>
      </c>
      <c r="E2719">
        <v>0.56396499999999905</v>
      </c>
      <c r="F2719" t="s">
        <v>51</v>
      </c>
      <c r="G2719">
        <v>-179.94239999999999</v>
      </c>
      <c r="H2719">
        <v>6.5337709999999993E-2</v>
      </c>
      <c r="I2719">
        <v>203.04820000000001</v>
      </c>
      <c r="J2719">
        <v>-299.28789999999998</v>
      </c>
      <c r="K2719">
        <v>1.1098159999999999</v>
      </c>
      <c r="L2719">
        <v>215.03720000000001</v>
      </c>
      <c r="M2719">
        <v>0.9999209</v>
      </c>
      <c r="N2719">
        <v>-1.2304890000000001E-2</v>
      </c>
      <c r="O2719">
        <v>2.6426079999999998E-3</v>
      </c>
      <c r="P2719">
        <v>0.98451880000000003</v>
      </c>
      <c r="Q2719">
        <v>0.16219</v>
      </c>
      <c r="R2719">
        <v>6.6465010000000005E-2</v>
      </c>
      <c r="S2719">
        <v>3.0719599999999998</v>
      </c>
      <c r="T2719">
        <v>-2.6797769999999999E-2</v>
      </c>
      <c r="U2719">
        <v>-0.30757139999999999</v>
      </c>
      <c r="V2719">
        <v>-6.3846929999999996E-2</v>
      </c>
      <c r="W2719">
        <v>0.17430019999999999</v>
      </c>
      <c r="X2719">
        <v>0.98262050000000001</v>
      </c>
      <c r="Y2719">
        <v>0.102244</v>
      </c>
      <c r="Z2719">
        <v>-1.0660649999999999E-3</v>
      </c>
      <c r="AA2719">
        <v>0.99475880000000005</v>
      </c>
      <c r="AB2719">
        <v>39</v>
      </c>
      <c r="AC2719">
        <v>119.3455</v>
      </c>
      <c r="AD2719">
        <v>-1.04447828999999</v>
      </c>
      <c r="AE2719">
        <v>-11.989000000000001</v>
      </c>
      <c r="AF2719">
        <v>12.3034324151044</v>
      </c>
      <c r="AG2719">
        <v>-1.04447828999999</v>
      </c>
      <c r="AH2719">
        <v>119.304352059778</v>
      </c>
      <c r="AI2719">
        <v>90.498950663479107</v>
      </c>
      <c r="AJ2719">
        <v>84.112104405453593</v>
      </c>
      <c r="AK2719">
        <v>119.941626654364</v>
      </c>
      <c r="AL2719">
        <v>79.962063534206607</v>
      </c>
      <c r="AM2719">
        <v>93.717635131957095</v>
      </c>
      <c r="AN2719">
        <v>1.0000000186053499</v>
      </c>
    </row>
    <row r="2720" spans="1:40" x14ac:dyDescent="0.25">
      <c r="A2720" t="str">
        <f>"20190304155421216"</f>
        <v>20190304155421216</v>
      </c>
      <c r="B2720" t="str">
        <f>"1551686061209053"</f>
        <v>1551686061209053</v>
      </c>
      <c r="C2720" t="s">
        <v>40</v>
      </c>
      <c r="D2720">
        <v>4.6737690000000001</v>
      </c>
      <c r="E2720">
        <v>0.56502959999999902</v>
      </c>
      <c r="F2720" t="s">
        <v>70</v>
      </c>
      <c r="G2720">
        <v>-168.41220000000001</v>
      </c>
      <c r="H2720">
        <v>0.18564800000000001</v>
      </c>
      <c r="I2720">
        <v>201.61070000000001</v>
      </c>
      <c r="J2720">
        <v>-298.899</v>
      </c>
      <c r="K2720">
        <v>1.1098239999999999</v>
      </c>
      <c r="L2720">
        <v>215.03819999999999</v>
      </c>
      <c r="M2720">
        <v>0.9999207</v>
      </c>
      <c r="N2720">
        <v>-1.231498E-2</v>
      </c>
      <c r="O2720">
        <v>2.6223409999999998E-3</v>
      </c>
      <c r="P2720">
        <v>0.98440030000000001</v>
      </c>
      <c r="Q2720">
        <v>0.1627807</v>
      </c>
      <c r="R2720">
        <v>6.6770280000000001E-2</v>
      </c>
      <c r="S2720">
        <v>3.0720209999999999</v>
      </c>
      <c r="T2720">
        <v>-2.1692039999999999E-2</v>
      </c>
      <c r="U2720">
        <v>-0.31515500000000002</v>
      </c>
      <c r="V2720">
        <v>-6.4172199999999999E-2</v>
      </c>
      <c r="W2720">
        <v>0.17489979999999999</v>
      </c>
      <c r="X2720">
        <v>0.9824927</v>
      </c>
      <c r="Y2720">
        <v>0.1046545</v>
      </c>
      <c r="Z2720">
        <v>-1.00092E-3</v>
      </c>
      <c r="AA2720">
        <v>0.99450810000000001</v>
      </c>
      <c r="AB2720">
        <v>39</v>
      </c>
      <c r="AC2720">
        <v>130.48679999999999</v>
      </c>
      <c r="AD2720">
        <v>-0.924176</v>
      </c>
      <c r="AE2720">
        <v>-13.427499999999901</v>
      </c>
      <c r="AF2720">
        <v>13.768977225966699</v>
      </c>
      <c r="AG2720">
        <v>-0.924176</v>
      </c>
      <c r="AH2720">
        <v>130.444662295006</v>
      </c>
      <c r="AI2720">
        <v>90.403680538854601</v>
      </c>
      <c r="AJ2720">
        <v>83.974503865428204</v>
      </c>
      <c r="AK2720">
        <v>131.17259148307801</v>
      </c>
      <c r="AL2720">
        <v>79.9271724351823</v>
      </c>
      <c r="AM2720">
        <v>93.7370058709311</v>
      </c>
      <c r="AN2720">
        <v>0.99999995842308398</v>
      </c>
    </row>
    <row r="2721" spans="1:40" x14ac:dyDescent="0.25">
      <c r="A2721" t="str">
        <f>"20190304155421241"</f>
        <v>20190304155421241</v>
      </c>
      <c r="B2721" t="str">
        <f>"1551686061229549"</f>
        <v>1551686061229549</v>
      </c>
      <c r="C2721" t="s">
        <v>40</v>
      </c>
      <c r="D2721">
        <v>4.6229269999999998</v>
      </c>
      <c r="E2721">
        <v>0.56581400000000004</v>
      </c>
      <c r="F2721" t="s">
        <v>70</v>
      </c>
      <c r="G2721">
        <v>-168.41229999999999</v>
      </c>
      <c r="H2721">
        <v>0.39536480000000002</v>
      </c>
      <c r="I2721">
        <v>201.34710000000001</v>
      </c>
      <c r="J2721">
        <v>-298.47179999999997</v>
      </c>
      <c r="K2721">
        <v>1.109828</v>
      </c>
      <c r="L2721">
        <v>215.0393</v>
      </c>
      <c r="M2721">
        <v>0.99992080000000005</v>
      </c>
      <c r="N2721">
        <v>-1.232464E-2</v>
      </c>
      <c r="O2721">
        <v>2.6000490000000001E-3</v>
      </c>
      <c r="P2721">
        <v>0.98432520000000001</v>
      </c>
      <c r="Q2721">
        <v>0.1633638</v>
      </c>
      <c r="R2721">
        <v>6.6456379999999995E-2</v>
      </c>
      <c r="S2721">
        <v>3.072174</v>
      </c>
      <c r="T2721">
        <v>-1.6820430000000001E-2</v>
      </c>
      <c r="U2721">
        <v>-0.32234190000000001</v>
      </c>
      <c r="V2721">
        <v>-6.3880519999999996E-2</v>
      </c>
      <c r="W2721">
        <v>0.17549129999999999</v>
      </c>
      <c r="X2721">
        <v>0.98240629999999995</v>
      </c>
      <c r="Y2721">
        <v>0.1069307</v>
      </c>
      <c r="Z2721">
        <v>-9.3494949999999998E-4</v>
      </c>
      <c r="AA2721">
        <v>0.99426599999999998</v>
      </c>
      <c r="AB2721">
        <v>39</v>
      </c>
      <c r="AC2721">
        <v>130.05950000000001</v>
      </c>
      <c r="AD2721">
        <v>-0.71446319999999996</v>
      </c>
      <c r="AE2721">
        <v>-13.6921999999999</v>
      </c>
      <c r="AF2721">
        <v>14.029921686101201</v>
      </c>
      <c r="AG2721">
        <v>-0.71446319999999996</v>
      </c>
      <c r="AH2721">
        <v>130.01957663731699</v>
      </c>
      <c r="AI2721">
        <v>90.3130225508649</v>
      </c>
      <c r="AJ2721">
        <v>83.841258577104</v>
      </c>
      <c r="AK2721">
        <v>130.776295516923</v>
      </c>
      <c r="AL2721">
        <v>79.892750291937801</v>
      </c>
      <c r="AM2721">
        <v>93.720394224480501</v>
      </c>
      <c r="AN2721">
        <v>1.00000002774542</v>
      </c>
    </row>
    <row r="2722" spans="1:40" x14ac:dyDescent="0.25">
      <c r="A2722" t="str">
        <f>"20190304155421264"</f>
        <v>20190304155421264</v>
      </c>
      <c r="B2722" t="str">
        <f>"1551686061259805"</f>
        <v>1551686061259805</v>
      </c>
      <c r="C2722" t="s">
        <v>40</v>
      </c>
      <c r="D2722">
        <v>4.6547210000000003</v>
      </c>
      <c r="E2722">
        <v>0.56691930000000001</v>
      </c>
      <c r="F2722" t="s">
        <v>70</v>
      </c>
      <c r="G2722">
        <v>-168.41239999999999</v>
      </c>
      <c r="H2722">
        <v>0.5446396</v>
      </c>
      <c r="I2722">
        <v>201.09100000000001</v>
      </c>
      <c r="J2722">
        <v>-298.07850000000002</v>
      </c>
      <c r="K2722">
        <v>1.1098269999999999</v>
      </c>
      <c r="L2722">
        <v>215.0403</v>
      </c>
      <c r="M2722">
        <v>0.9999207</v>
      </c>
      <c r="N2722">
        <v>-1.2332259999999999E-2</v>
      </c>
      <c r="O2722">
        <v>2.5796159999999999E-3</v>
      </c>
      <c r="P2722">
        <v>0.98429330000000004</v>
      </c>
      <c r="Q2722">
        <v>0.1635316</v>
      </c>
      <c r="R2722">
        <v>6.6514740000000003E-2</v>
      </c>
      <c r="S2722">
        <v>3.072235</v>
      </c>
      <c r="T2722">
        <v>-1.3350010000000001E-2</v>
      </c>
      <c r="U2722">
        <v>-0.32948300000000003</v>
      </c>
      <c r="V2722">
        <v>-6.3958589999999996E-2</v>
      </c>
      <c r="W2722">
        <v>0.17566590000000001</v>
      </c>
      <c r="X2722">
        <v>0.98236999999999997</v>
      </c>
      <c r="Y2722">
        <v>0.1091946</v>
      </c>
      <c r="Z2722">
        <v>-8.9129319999999999E-4</v>
      </c>
      <c r="AA2722">
        <v>0.99402000000000001</v>
      </c>
      <c r="AB2722">
        <v>39</v>
      </c>
      <c r="AC2722">
        <v>129.6661</v>
      </c>
      <c r="AD2722">
        <v>-0.56518740000000001</v>
      </c>
      <c r="AE2722">
        <v>-13.949299999999999</v>
      </c>
      <c r="AF2722">
        <v>14.2834994724253</v>
      </c>
      <c r="AG2722">
        <v>-0.56518740000000001</v>
      </c>
      <c r="AH2722">
        <v>129.62724731677801</v>
      </c>
      <c r="AI2722">
        <v>90.248310705641103</v>
      </c>
      <c r="AJ2722">
        <v>83.712001104305102</v>
      </c>
      <c r="AK2722">
        <v>130.413040148986</v>
      </c>
      <c r="AL2722">
        <v>79.882588443409205</v>
      </c>
      <c r="AM2722">
        <v>93.725065473376205</v>
      </c>
      <c r="AN2722">
        <v>1.0000000132787901</v>
      </c>
    </row>
    <row r="2723" spans="1:40" x14ac:dyDescent="0.25">
      <c r="A2723" t="str">
        <f>"20190304155421284"</f>
        <v>20190304155421284</v>
      </c>
      <c r="B2723" t="str">
        <f>"1551686061279326"</f>
        <v>1551686061279326</v>
      </c>
      <c r="C2723" t="s">
        <v>40</v>
      </c>
      <c r="D2723">
        <v>4.7132069999999997</v>
      </c>
      <c r="E2723">
        <v>0.56747599999999998</v>
      </c>
      <c r="F2723" t="s">
        <v>70</v>
      </c>
      <c r="G2723">
        <v>-168.4126</v>
      </c>
      <c r="H2723">
        <v>0.6312065</v>
      </c>
      <c r="I2723">
        <v>200.77269999999999</v>
      </c>
      <c r="J2723">
        <v>-297.72160000000002</v>
      </c>
      <c r="K2723">
        <v>1.109828</v>
      </c>
      <c r="L2723">
        <v>215.0412</v>
      </c>
      <c r="M2723">
        <v>0.99992080000000005</v>
      </c>
      <c r="N2723">
        <v>-1.233828E-2</v>
      </c>
      <c r="O2723">
        <v>2.5609249999999999E-3</v>
      </c>
      <c r="P2723">
        <v>0.98426089999999999</v>
      </c>
      <c r="Q2723">
        <v>0.1636253</v>
      </c>
      <c r="R2723">
        <v>6.6764199999999996E-2</v>
      </c>
      <c r="S2723">
        <v>3.0726010000000001</v>
      </c>
      <c r="T2723">
        <v>-1.134074E-2</v>
      </c>
      <c r="U2723">
        <v>-0.33808899999999997</v>
      </c>
      <c r="V2723">
        <v>-6.4226779999999997E-2</v>
      </c>
      <c r="W2723">
        <v>0.1757649</v>
      </c>
      <c r="X2723">
        <v>0.98233479999999995</v>
      </c>
      <c r="Y2723">
        <v>0.1119153</v>
      </c>
      <c r="Z2723">
        <v>-8.7636989999999998E-4</v>
      </c>
      <c r="AA2723">
        <v>0.99371739999999997</v>
      </c>
      <c r="AB2723">
        <v>39</v>
      </c>
      <c r="AC2723">
        <v>129.309</v>
      </c>
      <c r="AD2723">
        <v>-0.47862149999999998</v>
      </c>
      <c r="AE2723">
        <v>-14.2685</v>
      </c>
      <c r="AF2723">
        <v>14.5994313888162</v>
      </c>
      <c r="AG2723">
        <v>-0.47862149999999998</v>
      </c>
      <c r="AH2723">
        <v>129.270282851839</v>
      </c>
      <c r="AI2723">
        <v>90.210795830814405</v>
      </c>
      <c r="AJ2723">
        <v>83.5564745047987</v>
      </c>
      <c r="AK2723">
        <v>130.092961008701</v>
      </c>
      <c r="AL2723">
        <v>79.876826573220001</v>
      </c>
      <c r="AM2723">
        <v>93.740774753495103</v>
      </c>
      <c r="AN2723">
        <v>1.0000000193161001</v>
      </c>
    </row>
    <row r="2724" spans="1:40" x14ac:dyDescent="0.25">
      <c r="A2724" t="str">
        <f>"20190304155421306"</f>
        <v>20190304155421306</v>
      </c>
      <c r="B2724" t="str">
        <f>"1551686061299822"</f>
        <v>1551686061299822</v>
      </c>
      <c r="C2724" t="s">
        <v>40</v>
      </c>
      <c r="D2724">
        <v>4.6580750000000002</v>
      </c>
      <c r="E2724">
        <v>0.56779659999999998</v>
      </c>
      <c r="F2724" t="s">
        <v>70</v>
      </c>
      <c r="G2724">
        <v>-168.4126</v>
      </c>
      <c r="H2724">
        <v>0.66310599999999997</v>
      </c>
      <c r="I2724">
        <v>200.6557</v>
      </c>
      <c r="J2724">
        <v>-297.32990000000001</v>
      </c>
      <c r="K2724">
        <v>1.1098250000000001</v>
      </c>
      <c r="L2724">
        <v>215.04220000000001</v>
      </c>
      <c r="M2724">
        <v>0.99992049999999999</v>
      </c>
      <c r="N2724">
        <v>-1.2344050000000001E-2</v>
      </c>
      <c r="O2724">
        <v>2.5408610000000002E-3</v>
      </c>
      <c r="P2724">
        <v>0.98426829999999998</v>
      </c>
      <c r="Q2724">
        <v>0.16355799999999901</v>
      </c>
      <c r="R2724">
        <v>6.6819089999999998E-2</v>
      </c>
      <c r="S2724">
        <v>3.0729060000000001</v>
      </c>
      <c r="T2724">
        <v>-1.0615110000000001E-2</v>
      </c>
      <c r="U2724">
        <v>-0.34185789999999999</v>
      </c>
      <c r="V2724">
        <v>-6.4301510000000006E-2</v>
      </c>
      <c r="W2724">
        <v>0.17570350000000001</v>
      </c>
      <c r="X2724">
        <v>0.98234089999999996</v>
      </c>
      <c r="Y2724">
        <v>0.11308890000000001</v>
      </c>
      <c r="Z2724">
        <v>-8.7237869999999996E-4</v>
      </c>
      <c r="AA2724">
        <v>0.99358449999999998</v>
      </c>
      <c r="AB2724">
        <v>39</v>
      </c>
      <c r="AC2724">
        <v>128.91730000000001</v>
      </c>
      <c r="AD2724">
        <v>-0.44671899999999998</v>
      </c>
      <c r="AE2724">
        <v>-14.3865</v>
      </c>
      <c r="AF2724">
        <v>14.713864977650999</v>
      </c>
      <c r="AG2724">
        <v>-0.44671899999999998</v>
      </c>
      <c r="AH2724">
        <v>128.87879845160501</v>
      </c>
      <c r="AI2724">
        <v>90.197315756972102</v>
      </c>
      <c r="AJ2724">
        <v>83.486842608177895</v>
      </c>
      <c r="AK2724">
        <v>129.71677636595399</v>
      </c>
      <c r="AL2724">
        <v>79.880400194669306</v>
      </c>
      <c r="AM2724">
        <v>93.745091700205407</v>
      </c>
      <c r="AN2724">
        <v>1.00000002395666</v>
      </c>
    </row>
    <row r="2725" spans="1:40" x14ac:dyDescent="0.25">
      <c r="A2725" t="str">
        <f>"20190304155421328"</f>
        <v>20190304155421328</v>
      </c>
      <c r="B2725" t="str">
        <f>"1551686061319159"</f>
        <v>1551686061319159</v>
      </c>
      <c r="C2725" t="s">
        <v>40</v>
      </c>
      <c r="D2725">
        <v>4.7046330000000003</v>
      </c>
      <c r="E2725">
        <v>0.56825369999999997</v>
      </c>
      <c r="F2725" t="s">
        <v>70</v>
      </c>
      <c r="G2725">
        <v>-168.4127</v>
      </c>
      <c r="H2725">
        <v>0.69108099999999995</v>
      </c>
      <c r="I2725">
        <v>200.5925</v>
      </c>
      <c r="J2725">
        <v>-296.93060000000003</v>
      </c>
      <c r="K2725">
        <v>1.1098250000000001</v>
      </c>
      <c r="L2725">
        <v>215.04320000000001</v>
      </c>
      <c r="M2725">
        <v>0.99992060000000005</v>
      </c>
      <c r="N2725">
        <v>-1.23491E-2</v>
      </c>
      <c r="O2725">
        <v>2.5199110000000001E-3</v>
      </c>
      <c r="P2725">
        <v>0.98436299999999999</v>
      </c>
      <c r="Q2725">
        <v>0.16302349999999999</v>
      </c>
      <c r="R2725">
        <v>6.6729579999999997E-2</v>
      </c>
      <c r="S2725">
        <v>3.0729980000000001</v>
      </c>
      <c r="T2725">
        <v>-9.9807980000000008E-3</v>
      </c>
      <c r="U2725">
        <v>-0.34443659999999998</v>
      </c>
      <c r="V2725">
        <v>-6.4232230000000001E-2</v>
      </c>
      <c r="W2725">
        <v>0.17517489999999999</v>
      </c>
      <c r="X2725">
        <v>0.98243979999999997</v>
      </c>
      <c r="Y2725">
        <v>0.1138885</v>
      </c>
      <c r="Z2725">
        <v>-8.6694970000000002E-4</v>
      </c>
      <c r="AA2725">
        <v>0.99349310000000002</v>
      </c>
      <c r="AB2725">
        <v>39</v>
      </c>
      <c r="AC2725">
        <v>128.5179</v>
      </c>
      <c r="AD2725">
        <v>-0.41874399999999901</v>
      </c>
      <c r="AE2725">
        <v>-14.450699999999999</v>
      </c>
      <c r="AF2725">
        <v>14.774377579987499</v>
      </c>
      <c r="AG2725">
        <v>-0.41874399999999901</v>
      </c>
      <c r="AH2725">
        <v>128.47972770232499</v>
      </c>
      <c r="AI2725">
        <v>90.185516464692597</v>
      </c>
      <c r="AJ2725">
        <v>83.440151789985904</v>
      </c>
      <c r="AK2725">
        <v>129.32709696686601</v>
      </c>
      <c r="AL2725">
        <v>79.9111635621923</v>
      </c>
      <c r="AM2725">
        <v>93.740692577173306</v>
      </c>
      <c r="AN2725">
        <v>0.99999999279241103</v>
      </c>
    </row>
    <row r="2726" spans="1:40" x14ac:dyDescent="0.25">
      <c r="A2726" t="str">
        <f>"20190304155421351"</f>
        <v>20190304155421351</v>
      </c>
      <c r="B2726" t="str">
        <f>"1551686061339654"</f>
        <v>1551686061339654</v>
      </c>
      <c r="C2726" t="s">
        <v>40</v>
      </c>
      <c r="D2726">
        <v>4.6616289999999996</v>
      </c>
      <c r="E2726">
        <v>0.56852550000000002</v>
      </c>
      <c r="F2726" t="s">
        <v>70</v>
      </c>
      <c r="G2726">
        <v>-168.4127</v>
      </c>
      <c r="H2726">
        <v>0.63166809999999995</v>
      </c>
      <c r="I2726">
        <v>200.46870000000001</v>
      </c>
      <c r="J2726">
        <v>-296.54489999999998</v>
      </c>
      <c r="K2726">
        <v>1.1098209999999999</v>
      </c>
      <c r="L2726">
        <v>215.04409999999999</v>
      </c>
      <c r="M2726">
        <v>0.9999207</v>
      </c>
      <c r="N2726">
        <v>-1.235496E-2</v>
      </c>
      <c r="O2726">
        <v>2.4996689999999999E-3</v>
      </c>
      <c r="P2726">
        <v>0.98441140000000005</v>
      </c>
      <c r="Q2726">
        <v>0.16285659999999999</v>
      </c>
      <c r="R2726">
        <v>6.6424529999999996E-2</v>
      </c>
      <c r="S2726">
        <v>3.0731809999999999</v>
      </c>
      <c r="T2726">
        <v>-1.143312E-2</v>
      </c>
      <c r="U2726">
        <v>-0.34851070000000001</v>
      </c>
      <c r="V2726">
        <v>-6.3947400000000001E-2</v>
      </c>
      <c r="W2726">
        <v>0.17501429999999901</v>
      </c>
      <c r="X2726">
        <v>0.982487</v>
      </c>
      <c r="Y2726">
        <v>0.11516170000000001</v>
      </c>
      <c r="Z2726">
        <v>-9.0573699999999999E-4</v>
      </c>
      <c r="AA2726">
        <v>0.99334630000000002</v>
      </c>
      <c r="AB2726">
        <v>39</v>
      </c>
      <c r="AC2726">
        <v>128.13219999999899</v>
      </c>
      <c r="AD2726">
        <v>-0.47815289999999999</v>
      </c>
      <c r="AE2726">
        <v>-14.575399999999901</v>
      </c>
      <c r="AF2726">
        <v>14.895462165219399</v>
      </c>
      <c r="AG2726">
        <v>-0.47815289999999999</v>
      </c>
      <c r="AH2726">
        <v>128.09360217404401</v>
      </c>
      <c r="AI2726">
        <v>90.212443440580202</v>
      </c>
      <c r="AJ2726">
        <v>83.367107050851601</v>
      </c>
      <c r="AK2726">
        <v>128.957645532296</v>
      </c>
      <c r="AL2726">
        <v>79.920509619668294</v>
      </c>
      <c r="AM2726">
        <v>93.723973305813303</v>
      </c>
      <c r="AN2726">
        <v>0.99999999017012398</v>
      </c>
    </row>
    <row r="2727" spans="1:40" x14ac:dyDescent="0.25">
      <c r="A2727" t="str">
        <f>"20190304155421372"</f>
        <v>20190304155421372</v>
      </c>
      <c r="B2727" t="str">
        <f>"1551686061369911"</f>
        <v>1551686061369911</v>
      </c>
      <c r="C2727" t="s">
        <v>40</v>
      </c>
      <c r="D2727">
        <v>4.6643939999999997</v>
      </c>
      <c r="E2727">
        <v>0.5688223</v>
      </c>
      <c r="F2727" t="s">
        <v>70</v>
      </c>
      <c r="G2727">
        <v>-168.4127</v>
      </c>
      <c r="H2727">
        <v>0.64435290000000001</v>
      </c>
      <c r="I2727">
        <v>200.39179999999999</v>
      </c>
      <c r="J2727">
        <v>-296.16399999999999</v>
      </c>
      <c r="K2727">
        <v>1.1098220000000001</v>
      </c>
      <c r="L2727">
        <v>215.04499999999999</v>
      </c>
      <c r="M2727">
        <v>0.99992049999999999</v>
      </c>
      <c r="N2727">
        <v>-1.236609E-2</v>
      </c>
      <c r="O2727">
        <v>2.4792709999999999E-3</v>
      </c>
      <c r="P2727">
        <v>0.98443689999999995</v>
      </c>
      <c r="Q2727">
        <v>0.16277179999999999</v>
      </c>
      <c r="R2727">
        <v>6.6254090000000002E-2</v>
      </c>
      <c r="S2727">
        <v>3.073029</v>
      </c>
      <c r="T2727">
        <v>-1.116264E-2</v>
      </c>
      <c r="U2727">
        <v>-0.3514099</v>
      </c>
      <c r="V2727">
        <v>-6.3796930000000002E-2</v>
      </c>
      <c r="W2727">
        <v>0.17494109999999999</v>
      </c>
      <c r="X2727">
        <v>0.98250990000000005</v>
      </c>
      <c r="Y2727">
        <v>0.1160721</v>
      </c>
      <c r="Z2727">
        <v>-9.0859320000000003E-4</v>
      </c>
      <c r="AA2727">
        <v>0.99324040000000002</v>
      </c>
      <c r="AB2727">
        <v>39</v>
      </c>
      <c r="AC2727">
        <v>127.7513</v>
      </c>
      <c r="AD2727">
        <v>-0.46546909999999903</v>
      </c>
      <c r="AE2727">
        <v>-14.653199999999901</v>
      </c>
      <c r="AF2727">
        <v>14.969713109803299</v>
      </c>
      <c r="AG2727">
        <v>-0.46546909999999903</v>
      </c>
      <c r="AH2727">
        <v>127.71290184194601</v>
      </c>
      <c r="AI2727">
        <v>90.207402375138898</v>
      </c>
      <c r="AJ2727">
        <v>83.314650061224</v>
      </c>
      <c r="AK2727">
        <v>128.58807980899101</v>
      </c>
      <c r="AL2727">
        <v>79.924770203252905</v>
      </c>
      <c r="AM2727">
        <v>93.715148913281197</v>
      </c>
      <c r="AN2727">
        <v>1.00000007017232</v>
      </c>
    </row>
    <row r="2728" spans="1:40" x14ac:dyDescent="0.25">
      <c r="A2728" t="str">
        <f>"20190304155421395"</f>
        <v>20190304155421395</v>
      </c>
      <c r="B2728" t="str">
        <f>"1551686061389431"</f>
        <v>1551686061389431</v>
      </c>
      <c r="C2728" t="s">
        <v>40</v>
      </c>
      <c r="D2728">
        <v>4.6841299999999997</v>
      </c>
      <c r="E2728">
        <v>0.56909100000000001</v>
      </c>
      <c r="F2728" t="s">
        <v>70</v>
      </c>
      <c r="G2728">
        <v>-168.4128</v>
      </c>
      <c r="H2728">
        <v>0.67467500000000002</v>
      </c>
      <c r="I2728">
        <v>200.32390000000001</v>
      </c>
      <c r="J2728">
        <v>-295.76949999999999</v>
      </c>
      <c r="K2728">
        <v>1.1098250000000001</v>
      </c>
      <c r="L2728">
        <v>215.04599999999999</v>
      </c>
      <c r="M2728">
        <v>0.99992040000000004</v>
      </c>
      <c r="N2728">
        <v>-1.238615E-2</v>
      </c>
      <c r="O2728">
        <v>2.451979E-3</v>
      </c>
      <c r="P2728">
        <v>0.98443729999999996</v>
      </c>
      <c r="Q2728">
        <v>0.16283210000000001</v>
      </c>
      <c r="R2728">
        <v>6.6100039999999999E-2</v>
      </c>
      <c r="S2728">
        <v>3.0729980000000001</v>
      </c>
      <c r="T2728">
        <v>-1.046646E-2</v>
      </c>
      <c r="U2728">
        <v>-0.3541107</v>
      </c>
      <c r="V2728">
        <v>-6.3668559999999999E-2</v>
      </c>
      <c r="W2728">
        <v>0.17502139999999999</v>
      </c>
      <c r="X2728">
        <v>0.98250380000000004</v>
      </c>
      <c r="Y2728">
        <v>0.1169079</v>
      </c>
      <c r="Z2728">
        <v>-9.0293130000000004E-4</v>
      </c>
      <c r="AA2728">
        <v>0.99314239999999998</v>
      </c>
      <c r="AB2728">
        <v>39</v>
      </c>
      <c r="AC2728">
        <v>127.3567</v>
      </c>
      <c r="AD2728">
        <v>-0.43514999999999998</v>
      </c>
      <c r="AE2728">
        <v>-14.7220999999999</v>
      </c>
      <c r="AF2728">
        <v>15.034182410595101</v>
      </c>
      <c r="AG2728">
        <v>-0.43514999999999998</v>
      </c>
      <c r="AH2728">
        <v>127.318749279296</v>
      </c>
      <c r="AI2728">
        <v>90.194473616135994</v>
      </c>
      <c r="AJ2728">
        <v>83.265526714363304</v>
      </c>
      <c r="AK2728">
        <v>128.20405576393301</v>
      </c>
      <c r="AL2728">
        <v>79.9200959975811</v>
      </c>
      <c r="AM2728">
        <v>93.707717246137193</v>
      </c>
      <c r="AN2728">
        <v>0.99999994650243496</v>
      </c>
    </row>
    <row r="2729" spans="1:40" x14ac:dyDescent="0.25">
      <c r="A2729" t="str">
        <f>"20190304155421417"</f>
        <v>20190304155421417</v>
      </c>
      <c r="B2729" t="str">
        <f>"1551686061409930"</f>
        <v>1551686061409930</v>
      </c>
      <c r="C2729" t="s">
        <v>40</v>
      </c>
      <c r="D2729">
        <v>4.6501060000000001</v>
      </c>
      <c r="E2729">
        <v>0.56942939999999997</v>
      </c>
      <c r="F2729" t="s">
        <v>70</v>
      </c>
      <c r="G2729">
        <v>-168.4128</v>
      </c>
      <c r="H2729">
        <v>0.7140398</v>
      </c>
      <c r="I2729">
        <v>200.25380000000001</v>
      </c>
      <c r="J2729">
        <v>-295.3716</v>
      </c>
      <c r="K2729">
        <v>1.109828</v>
      </c>
      <c r="L2729">
        <v>215.04689999999999</v>
      </c>
      <c r="M2729">
        <v>0.99992000000000003</v>
      </c>
      <c r="N2729">
        <v>-1.241604E-2</v>
      </c>
      <c r="O2729">
        <v>2.4256490000000002E-3</v>
      </c>
      <c r="P2729">
        <v>0.98445419999999995</v>
      </c>
      <c r="Q2729">
        <v>0.16277259999999999</v>
      </c>
      <c r="R2729">
        <v>6.5994559999999994E-2</v>
      </c>
      <c r="S2729">
        <v>3.0729679999999999</v>
      </c>
      <c r="T2729">
        <v>-9.5490220000000008E-3</v>
      </c>
      <c r="U2729">
        <v>-0.35691830000000002</v>
      </c>
      <c r="V2729">
        <v>-6.3587389999999994E-2</v>
      </c>
      <c r="W2729">
        <v>0.1749918</v>
      </c>
      <c r="X2729">
        <v>0.98251440000000001</v>
      </c>
      <c r="Y2729">
        <v>0.11777849999999999</v>
      </c>
      <c r="Z2729">
        <v>-8.9353489999999995E-4</v>
      </c>
      <c r="AA2729">
        <v>0.99303949999999996</v>
      </c>
      <c r="AB2729">
        <v>39</v>
      </c>
      <c r="AC2729">
        <v>126.9588</v>
      </c>
      <c r="AD2729">
        <v>-0.39578819999999998</v>
      </c>
      <c r="AE2729">
        <v>-14.7930999999999</v>
      </c>
      <c r="AF2729">
        <v>15.1008928997387</v>
      </c>
      <c r="AG2729">
        <v>-0.39578819999999998</v>
      </c>
      <c r="AH2729">
        <v>126.92132384508101</v>
      </c>
      <c r="AI2729">
        <v>90.177417780597594</v>
      </c>
      <c r="AJ2729">
        <v>83.214937391629405</v>
      </c>
      <c r="AK2729">
        <v>127.817119593803</v>
      </c>
      <c r="AL2729">
        <v>79.921819246210902</v>
      </c>
      <c r="AM2729">
        <v>93.702963659342004</v>
      </c>
      <c r="AN2729">
        <v>1.0000000162208</v>
      </c>
    </row>
    <row r="2730" spans="1:40" x14ac:dyDescent="0.25">
      <c r="A2730" t="str">
        <f>"20190304155421440"</f>
        <v>20190304155421440</v>
      </c>
      <c r="B2730" t="str">
        <f>"1551686061429447"</f>
        <v>1551686061429447</v>
      </c>
      <c r="C2730" t="s">
        <v>40</v>
      </c>
      <c r="D2730">
        <v>4.6697790000000001</v>
      </c>
      <c r="E2730">
        <v>0.56960759999999999</v>
      </c>
      <c r="F2730" t="s">
        <v>70</v>
      </c>
      <c r="G2730">
        <v>-168.4128</v>
      </c>
      <c r="H2730">
        <v>0.76407150000000001</v>
      </c>
      <c r="I2730">
        <v>200.18450000000001</v>
      </c>
      <c r="J2730">
        <v>-294.98599999999999</v>
      </c>
      <c r="K2730">
        <v>1.1098300000000001</v>
      </c>
      <c r="L2730">
        <v>215.0479</v>
      </c>
      <c r="M2730">
        <v>0.99991960000000002</v>
      </c>
      <c r="N2730">
        <v>-1.2454099999999999E-2</v>
      </c>
      <c r="O2730">
        <v>2.40485E-3</v>
      </c>
      <c r="P2730">
        <v>0.98449750000000003</v>
      </c>
      <c r="Q2730">
        <v>0.16262779999999999</v>
      </c>
      <c r="R2730">
        <v>6.5702709999999998E-2</v>
      </c>
      <c r="S2730">
        <v>3.0728759999999999</v>
      </c>
      <c r="T2730">
        <v>-8.3677769999999999E-3</v>
      </c>
      <c r="U2730">
        <v>-0.35972599999999999</v>
      </c>
      <c r="V2730">
        <v>-6.3315940000000001E-2</v>
      </c>
      <c r="W2730">
        <v>0.17488480000000001</v>
      </c>
      <c r="X2730">
        <v>0.98255099999999995</v>
      </c>
      <c r="Y2730">
        <v>0.1186567</v>
      </c>
      <c r="Z2730">
        <v>-8.7911789999999999E-4</v>
      </c>
      <c r="AA2730">
        <v>0.99293489999999995</v>
      </c>
      <c r="AB2730">
        <v>39</v>
      </c>
      <c r="AC2730">
        <v>126.5732</v>
      </c>
      <c r="AD2730">
        <v>-0.34575849999999902</v>
      </c>
      <c r="AE2730">
        <v>-14.863399999999899</v>
      </c>
      <c r="AF2730">
        <v>15.1676585246469</v>
      </c>
      <c r="AG2730">
        <v>-0.34575849999999902</v>
      </c>
      <c r="AH2730">
        <v>126.536155534451</v>
      </c>
      <c r="AI2730">
        <v>90.155446856976695</v>
      </c>
      <c r="AJ2730">
        <v>83.164672281724194</v>
      </c>
      <c r="AK2730">
        <v>127.44244219058</v>
      </c>
      <c r="AL2730">
        <v>79.928046100165901</v>
      </c>
      <c r="AM2730">
        <v>93.687062705252103</v>
      </c>
      <c r="AN2730">
        <v>1.0000000345650599</v>
      </c>
    </row>
    <row r="2731" spans="1:40" x14ac:dyDescent="0.25">
      <c r="A2731" t="str">
        <f>"20190304155421464"</f>
        <v>20190304155421464</v>
      </c>
      <c r="B2731" t="str">
        <f>"1551686061459702"</f>
        <v>1551686061459702</v>
      </c>
      <c r="C2731" t="s">
        <v>40</v>
      </c>
      <c r="D2731">
        <v>4.5833130000000004</v>
      </c>
      <c r="E2731">
        <v>0.56986049999999999</v>
      </c>
      <c r="F2731" t="s">
        <v>70</v>
      </c>
      <c r="G2731">
        <v>-168.41290000000001</v>
      </c>
      <c r="H2731">
        <v>0.7793274</v>
      </c>
      <c r="I2731">
        <v>200.11920000000001</v>
      </c>
      <c r="J2731">
        <v>-294.58190000000002</v>
      </c>
      <c r="K2731">
        <v>1.1098380000000001</v>
      </c>
      <c r="L2731">
        <v>215.0488</v>
      </c>
      <c r="M2731">
        <v>0.99991909999999895</v>
      </c>
      <c r="N2731">
        <v>-1.24992E-2</v>
      </c>
      <c r="O2731">
        <v>2.3887689999999998E-3</v>
      </c>
      <c r="P2731">
        <v>0.98441330000000005</v>
      </c>
      <c r="Q2731">
        <v>0.16315289999999999</v>
      </c>
      <c r="R2731">
        <v>6.5663139999999995E-2</v>
      </c>
      <c r="S2731">
        <v>3.0727229999999999</v>
      </c>
      <c r="T2731">
        <v>-8.0225469999999997E-3</v>
      </c>
      <c r="U2731">
        <v>-0.3624115</v>
      </c>
      <c r="V2731">
        <v>-6.3292559999999998E-2</v>
      </c>
      <c r="W2731">
        <v>0.17545329999999901</v>
      </c>
      <c r="X2731">
        <v>0.98245110000000002</v>
      </c>
      <c r="Y2731">
        <v>0.1195025</v>
      </c>
      <c r="Z2731">
        <v>-8.8138470000000005E-4</v>
      </c>
      <c r="AA2731">
        <v>0.99283350000000004</v>
      </c>
      <c r="AB2731">
        <v>39</v>
      </c>
      <c r="AC2731">
        <v>126.169</v>
      </c>
      <c r="AD2731">
        <v>-0.33051059999999899</v>
      </c>
      <c r="AE2731">
        <v>-14.929599999999899</v>
      </c>
      <c r="AF2731">
        <v>15.2308664431872</v>
      </c>
      <c r="AG2731">
        <v>-0.33051059999999899</v>
      </c>
      <c r="AH2731">
        <v>126.13212022420799</v>
      </c>
      <c r="AI2731">
        <v>90.149052035434096</v>
      </c>
      <c r="AJ2731">
        <v>83.114683651961698</v>
      </c>
      <c r="AK2731">
        <v>127.048810628518</v>
      </c>
      <c r="AL2731">
        <v>79.894961421546</v>
      </c>
      <c r="AM2731">
        <v>93.686078722224906</v>
      </c>
      <c r="AN2731">
        <v>0.99999998626172604</v>
      </c>
    </row>
    <row r="2732" spans="1:40" x14ac:dyDescent="0.25">
      <c r="A2732" t="str">
        <f>"20190304155421487"</f>
        <v>20190304155421487</v>
      </c>
      <c r="B2732" t="str">
        <f>"1551686061479223"</f>
        <v>1551686061479223</v>
      </c>
      <c r="C2732" t="s">
        <v>40</v>
      </c>
      <c r="D2732">
        <v>4.5008359999999996</v>
      </c>
      <c r="E2732">
        <v>0.57002089999999905</v>
      </c>
      <c r="F2732" t="s">
        <v>70</v>
      </c>
      <c r="G2732">
        <v>-168.41290000000001</v>
      </c>
      <c r="H2732">
        <v>0.91729930000000004</v>
      </c>
      <c r="I2732">
        <v>200.0797</v>
      </c>
      <c r="J2732">
        <v>-294.16789999999997</v>
      </c>
      <c r="K2732">
        <v>1.109858</v>
      </c>
      <c r="L2732">
        <v>215.0498</v>
      </c>
      <c r="M2732">
        <v>0.99991850000000004</v>
      </c>
      <c r="N2732">
        <v>-1.254943E-2</v>
      </c>
      <c r="O2732">
        <v>2.366103E-3</v>
      </c>
      <c r="P2732">
        <v>0.98442969999999996</v>
      </c>
      <c r="Q2732">
        <v>0.16299379999999999</v>
      </c>
      <c r="R2732">
        <v>6.5811919999999996E-2</v>
      </c>
      <c r="S2732">
        <v>3.072632</v>
      </c>
      <c r="T2732">
        <v>-4.688144E-3</v>
      </c>
      <c r="U2732">
        <v>-0.36454769999999997</v>
      </c>
      <c r="V2732">
        <v>-6.3465289999999994E-2</v>
      </c>
      <c r="W2732">
        <v>0.17534340000000001</v>
      </c>
      <c r="X2732">
        <v>0.98245959999999999</v>
      </c>
      <c r="Y2732">
        <v>0.1201652</v>
      </c>
      <c r="Z2732">
        <v>-8.2203089999999897E-4</v>
      </c>
      <c r="AA2732">
        <v>0.99275360000000001</v>
      </c>
      <c r="AB2732">
        <v>39</v>
      </c>
      <c r="AC2732">
        <v>125.754999999999</v>
      </c>
      <c r="AD2732">
        <v>-0.1925587</v>
      </c>
      <c r="AE2732">
        <v>-14.9701</v>
      </c>
      <c r="AF2732">
        <v>15.2675954938244</v>
      </c>
      <c r="AG2732">
        <v>-0.1925587</v>
      </c>
      <c r="AH2732">
        <v>125.718933694961</v>
      </c>
      <c r="AI2732">
        <v>90.087117539886293</v>
      </c>
      <c r="AJ2732">
        <v>83.075776361497205</v>
      </c>
      <c r="AK2732">
        <v>126.642752814419</v>
      </c>
      <c r="AL2732">
        <v>79.901357605711993</v>
      </c>
      <c r="AM2732">
        <v>93.696078562690403</v>
      </c>
      <c r="AN2732">
        <v>1.00000000829525</v>
      </c>
    </row>
    <row r="2733" spans="1:40" x14ac:dyDescent="0.25">
      <c r="A2733" t="str">
        <f>"20190304155421508"</f>
        <v>20190304155421508</v>
      </c>
      <c r="B2733" t="str">
        <f>"1551686061499718"</f>
        <v>1551686061499718</v>
      </c>
      <c r="C2733" t="s">
        <v>40</v>
      </c>
      <c r="D2733">
        <v>4.5519610000000004</v>
      </c>
      <c r="E2733">
        <v>0.57023100000000004</v>
      </c>
      <c r="F2733" t="s">
        <v>70</v>
      </c>
      <c r="G2733">
        <v>-168.41290000000001</v>
      </c>
      <c r="H2733">
        <v>0.90293880000000004</v>
      </c>
      <c r="I2733">
        <v>200.1113</v>
      </c>
      <c r="J2733">
        <v>-293.79930000000002</v>
      </c>
      <c r="K2733">
        <v>1.1098680000000001</v>
      </c>
      <c r="L2733">
        <v>215.0506</v>
      </c>
      <c r="M2733">
        <v>0.99991799999999997</v>
      </c>
      <c r="N2733">
        <v>-1.259571E-2</v>
      </c>
      <c r="O2733">
        <v>2.3461100000000002E-3</v>
      </c>
      <c r="P2733">
        <v>0.98441789999999996</v>
      </c>
      <c r="Q2733">
        <v>0.16303799999999999</v>
      </c>
      <c r="R2733">
        <v>6.5881759999999998E-2</v>
      </c>
      <c r="S2733">
        <v>3.0726930000000001</v>
      </c>
      <c r="T2733">
        <v>-5.05507E-3</v>
      </c>
      <c r="U2733">
        <v>-0.36500549999999998</v>
      </c>
      <c r="V2733">
        <v>-6.3555609999999998E-2</v>
      </c>
      <c r="W2733">
        <v>0.17543259999999999</v>
      </c>
      <c r="X2733">
        <v>0.98243780000000003</v>
      </c>
      <c r="Y2733">
        <v>0.1202888</v>
      </c>
      <c r="Z2733">
        <v>-8.3324859999999996E-4</v>
      </c>
      <c r="AA2733">
        <v>0.99273860000000003</v>
      </c>
      <c r="AB2733">
        <v>39</v>
      </c>
      <c r="AC2733">
        <v>125.38639999999999</v>
      </c>
      <c r="AD2733">
        <v>-0.20692920000000001</v>
      </c>
      <c r="AE2733">
        <v>-14.939299999999999</v>
      </c>
      <c r="AF2733">
        <v>15.2334115708731</v>
      </c>
      <c r="AG2733">
        <v>-0.20692920000000001</v>
      </c>
      <c r="AH2733">
        <v>125.350666222081</v>
      </c>
      <c r="AI2733">
        <v>90.0938931378371</v>
      </c>
      <c r="AJ2733">
        <v>83.071029068545698</v>
      </c>
      <c r="AK2733">
        <v>126.273073812674</v>
      </c>
      <c r="AL2733">
        <v>79.896165981920007</v>
      </c>
      <c r="AM2733">
        <v>93.701405891742198</v>
      </c>
      <c r="AN2733">
        <v>0.99999997178703504</v>
      </c>
    </row>
    <row r="2734" spans="1:40" x14ac:dyDescent="0.25">
      <c r="A2734" t="str">
        <f>"20190304155421530"</f>
        <v>20190304155421530</v>
      </c>
      <c r="B2734" t="str">
        <f>"1551686061519239"</f>
        <v>1551686061519239</v>
      </c>
      <c r="C2734" t="s">
        <v>40</v>
      </c>
      <c r="D2734">
        <v>4.5196079999999998</v>
      </c>
      <c r="E2734">
        <v>0.57037340000000003</v>
      </c>
      <c r="F2734" t="s">
        <v>70</v>
      </c>
      <c r="G2734">
        <v>-168.41290000000001</v>
      </c>
      <c r="H2734">
        <v>0.95188810000000001</v>
      </c>
      <c r="I2734">
        <v>200.0924</v>
      </c>
      <c r="J2734">
        <v>-293.40019999999998</v>
      </c>
      <c r="K2734">
        <v>1.109874</v>
      </c>
      <c r="L2734">
        <v>215.0515</v>
      </c>
      <c r="M2734">
        <v>0.99991739999999996</v>
      </c>
      <c r="N2734">
        <v>-1.264936E-2</v>
      </c>
      <c r="O2734">
        <v>2.3265870000000002E-3</v>
      </c>
      <c r="P2734">
        <v>0.98444279999999995</v>
      </c>
      <c r="Q2734">
        <v>0.1629399</v>
      </c>
      <c r="R2734">
        <v>6.5752569999999996E-2</v>
      </c>
      <c r="S2734">
        <v>3.0726930000000001</v>
      </c>
      <c r="T2734">
        <v>-3.870606E-3</v>
      </c>
      <c r="U2734">
        <v>-0.3665619</v>
      </c>
      <c r="V2734">
        <v>-6.3446050000000004E-2</v>
      </c>
      <c r="W2734">
        <v>0.1753876</v>
      </c>
      <c r="X2734">
        <v>0.98245289999999996</v>
      </c>
      <c r="Y2734">
        <v>0.1207655</v>
      </c>
      <c r="Z2734">
        <v>-8.1592399999999999E-4</v>
      </c>
      <c r="AA2734">
        <v>0.99268069999999997</v>
      </c>
      <c r="AB2734">
        <v>39</v>
      </c>
      <c r="AC2734">
        <v>124.987299999999</v>
      </c>
      <c r="AD2734">
        <v>-0.15798590000000001</v>
      </c>
      <c r="AE2734">
        <v>-14.959099999999999</v>
      </c>
      <c r="AF2734">
        <v>15.249852547151001</v>
      </c>
      <c r="AG2734">
        <v>-0.15798590000000001</v>
      </c>
      <c r="AH2734">
        <v>124.95195841770099</v>
      </c>
      <c r="AI2734">
        <v>90.071909633453402</v>
      </c>
      <c r="AJ2734">
        <v>83.041707088989995</v>
      </c>
      <c r="AK2734">
        <v>125.879207475553</v>
      </c>
      <c r="AL2734">
        <v>79.898784737112805</v>
      </c>
      <c r="AM2734">
        <v>93.694986300643905</v>
      </c>
      <c r="AN2734">
        <v>0.99999995610638504</v>
      </c>
    </row>
    <row r="2735" spans="1:40" x14ac:dyDescent="0.25">
      <c r="A2735" t="str">
        <f>"20190304155421553"</f>
        <v>20190304155421553</v>
      </c>
      <c r="B2735" t="str">
        <f>"1551686061549495"</f>
        <v>1551686061549495</v>
      </c>
      <c r="C2735" t="s">
        <v>40</v>
      </c>
      <c r="D2735">
        <v>4.528308</v>
      </c>
      <c r="E2735">
        <v>0.57052950000000002</v>
      </c>
      <c r="F2735" t="s">
        <v>70</v>
      </c>
      <c r="G2735">
        <v>-168.41290000000001</v>
      </c>
      <c r="H2735">
        <v>0.98754120000000001</v>
      </c>
      <c r="I2735">
        <v>200.07320000000001</v>
      </c>
      <c r="J2735">
        <v>-293.01589999999999</v>
      </c>
      <c r="K2735">
        <v>1.1098809999999999</v>
      </c>
      <c r="L2735">
        <v>215.05240000000001</v>
      </c>
      <c r="M2735">
        <v>0.99991669999999999</v>
      </c>
      <c r="N2735">
        <v>-1.2706429999999999E-2</v>
      </c>
      <c r="O2735">
        <v>2.308764E-3</v>
      </c>
      <c r="P2735">
        <v>0.98452669999999998</v>
      </c>
      <c r="Q2735">
        <v>0.1624929</v>
      </c>
      <c r="R2735">
        <v>6.5600110000000003E-2</v>
      </c>
      <c r="S2735">
        <v>3.07254</v>
      </c>
      <c r="T2735">
        <v>-3.006458E-3</v>
      </c>
      <c r="U2735">
        <v>-0.36820979999999998</v>
      </c>
      <c r="V2735">
        <v>-6.331138E-2</v>
      </c>
      <c r="W2735">
        <v>0.17499700000000001</v>
      </c>
      <c r="X2735">
        <v>0.9825313</v>
      </c>
      <c r="Y2735">
        <v>0.12127880000000001</v>
      </c>
      <c r="Z2735">
        <v>-8.0543369999999995E-4</v>
      </c>
      <c r="AA2735">
        <v>0.99261809999999995</v>
      </c>
      <c r="AB2735">
        <v>39</v>
      </c>
      <c r="AC2735">
        <v>124.602999999999</v>
      </c>
      <c r="AD2735">
        <v>-0.122339799999999</v>
      </c>
      <c r="AE2735">
        <v>-14.979199999999899</v>
      </c>
      <c r="AF2735">
        <v>15.2668476828115</v>
      </c>
      <c r="AG2735">
        <v>-0.122339799999999</v>
      </c>
      <c r="AH2735">
        <v>124.56796325484</v>
      </c>
      <c r="AI2735">
        <v>90.055852996590502</v>
      </c>
      <c r="AJ2735">
        <v>83.012767130664798</v>
      </c>
      <c r="AK2735">
        <v>125.50007599462199</v>
      </c>
      <c r="AL2735">
        <v>79.921516658536305</v>
      </c>
      <c r="AM2735">
        <v>93.686871613556207</v>
      </c>
      <c r="AN2735">
        <v>1.0000000181630899</v>
      </c>
    </row>
    <row r="2736" spans="1:40" x14ac:dyDescent="0.25">
      <c r="A2736" t="str">
        <f>"20190304155421574"</f>
        <v>20190304155421574</v>
      </c>
      <c r="B2736" t="str">
        <f>"1551686061569991"</f>
        <v>1551686061569991</v>
      </c>
      <c r="C2736" t="s">
        <v>40</v>
      </c>
      <c r="D2736">
        <v>4.4797330000000004</v>
      </c>
      <c r="E2736">
        <v>0.57066470000000002</v>
      </c>
      <c r="F2736" t="s">
        <v>70</v>
      </c>
      <c r="G2736">
        <v>-168.41290000000001</v>
      </c>
      <c r="H2736">
        <v>0.97575659999999997</v>
      </c>
      <c r="I2736">
        <v>200.0549</v>
      </c>
      <c r="J2736">
        <v>-292.6361</v>
      </c>
      <c r="K2736">
        <v>1.10989</v>
      </c>
      <c r="L2736">
        <v>215.0532</v>
      </c>
      <c r="M2736">
        <v>0.99991600000000003</v>
      </c>
      <c r="N2736">
        <v>-1.2773039999999999E-2</v>
      </c>
      <c r="O2736">
        <v>2.291001E-3</v>
      </c>
      <c r="P2736">
        <v>0.98451370000000005</v>
      </c>
      <c r="Q2736">
        <v>0.16257720000000001</v>
      </c>
      <c r="R2736">
        <v>6.5589330000000001E-2</v>
      </c>
      <c r="S2736">
        <v>3.0723569999999998</v>
      </c>
      <c r="T2736">
        <v>-3.30627E-3</v>
      </c>
      <c r="U2736">
        <v>-0.36979679999999998</v>
      </c>
      <c r="V2736">
        <v>-6.3318570000000005E-2</v>
      </c>
      <c r="W2736">
        <v>0.17514669999999999</v>
      </c>
      <c r="X2736">
        <v>0.98250409999999999</v>
      </c>
      <c r="Y2736">
        <v>0.1217734</v>
      </c>
      <c r="Z2736">
        <v>-8.1912459999999995E-4</v>
      </c>
      <c r="AA2736">
        <v>0.99255760000000004</v>
      </c>
      <c r="AB2736">
        <v>39</v>
      </c>
      <c r="AC2736">
        <v>124.22320000000001</v>
      </c>
      <c r="AD2736">
        <v>-0.13413340000000001</v>
      </c>
      <c r="AE2736">
        <v>-14.9983</v>
      </c>
      <c r="AF2736">
        <v>15.2828617066854</v>
      </c>
      <c r="AG2736">
        <v>-0.13413340000000001</v>
      </c>
      <c r="AH2736">
        <v>124.188367312354</v>
      </c>
      <c r="AI2736">
        <v>90.0614206776945</v>
      </c>
      <c r="AJ2736">
        <v>82.984343777680706</v>
      </c>
      <c r="AK2736">
        <v>125.12527494244701</v>
      </c>
      <c r="AL2736">
        <v>79.912804311989902</v>
      </c>
      <c r="AM2736">
        <v>93.687390959219996</v>
      </c>
      <c r="AN2736">
        <v>0.99999995717227097</v>
      </c>
    </row>
    <row r="2737" spans="1:40" x14ac:dyDescent="0.25">
      <c r="A2737" t="str">
        <f>"20190304155421597"</f>
        <v>20190304155421597</v>
      </c>
      <c r="B2737" t="str">
        <f>"1551686061589511"</f>
        <v>1551686061589511</v>
      </c>
      <c r="C2737" t="s">
        <v>40</v>
      </c>
      <c r="D2737">
        <v>4.5837300000000001</v>
      </c>
      <c r="E2737">
        <v>0.5708529</v>
      </c>
      <c r="F2737" t="s">
        <v>70</v>
      </c>
      <c r="G2737">
        <v>-168.41299999999899</v>
      </c>
      <c r="H2737">
        <v>1.0290140000000001</v>
      </c>
      <c r="I2737">
        <v>200.0478</v>
      </c>
      <c r="J2737">
        <v>-292.24310000000003</v>
      </c>
      <c r="K2737">
        <v>1.1099049999999999</v>
      </c>
      <c r="L2737">
        <v>215.05410000000001</v>
      </c>
      <c r="M2737">
        <v>0.99991479999999999</v>
      </c>
      <c r="N2737">
        <v>-1.2863960000000001E-2</v>
      </c>
      <c r="O2737">
        <v>2.2717100000000001E-3</v>
      </c>
      <c r="P2737">
        <v>0.98459549999999996</v>
      </c>
      <c r="Q2737">
        <v>0.16209749999999901</v>
      </c>
      <c r="R2737">
        <v>6.5547590000000003E-2</v>
      </c>
      <c r="S2737">
        <v>3.072235</v>
      </c>
      <c r="T2737">
        <v>-1.999378E-3</v>
      </c>
      <c r="U2737">
        <v>-0.37110900000000002</v>
      </c>
      <c r="V2737">
        <v>-6.3295840000000006E-2</v>
      </c>
      <c r="W2737">
        <v>0.174757</v>
      </c>
      <c r="X2737">
        <v>0.98257499999999998</v>
      </c>
      <c r="Y2737">
        <v>0.1221772</v>
      </c>
      <c r="Z2737">
        <v>-8.0068890000000001E-4</v>
      </c>
      <c r="AA2737">
        <v>0.99250799999999995</v>
      </c>
      <c r="AB2737">
        <v>39</v>
      </c>
      <c r="AC2737">
        <v>123.8301</v>
      </c>
      <c r="AD2737">
        <v>-8.0891000000000005E-2</v>
      </c>
      <c r="AE2737">
        <v>-15.0063</v>
      </c>
      <c r="AF2737">
        <v>15.2875841628667</v>
      </c>
      <c r="AG2737">
        <v>-8.0891000000000005E-2</v>
      </c>
      <c r="AH2737">
        <v>123.795635583261</v>
      </c>
      <c r="AI2737">
        <v>90.037156171933901</v>
      </c>
      <c r="AJ2737">
        <v>82.960157159560794</v>
      </c>
      <c r="AK2737">
        <v>124.736025920158</v>
      </c>
      <c r="AL2737">
        <v>79.935482691279404</v>
      </c>
      <c r="AM2737">
        <v>93.685805671614602</v>
      </c>
      <c r="AN2737">
        <v>1.00000000151765</v>
      </c>
    </row>
    <row r="2738" spans="1:40" x14ac:dyDescent="0.25">
      <c r="A2738" t="str">
        <f>"20190304155421618"</f>
        <v>20190304155421618</v>
      </c>
      <c r="B2738" t="str">
        <f>"1551686061610007"</f>
        <v>1551686061610007</v>
      </c>
      <c r="C2738" t="s">
        <v>40</v>
      </c>
      <c r="D2738">
        <v>4.5503650000000002</v>
      </c>
      <c r="E2738">
        <v>0.57100919999999999</v>
      </c>
      <c r="F2738" t="s">
        <v>70</v>
      </c>
      <c r="G2738">
        <v>-168.41299999999899</v>
      </c>
      <c r="H2738">
        <v>1.017736</v>
      </c>
      <c r="I2738">
        <v>200.0249</v>
      </c>
      <c r="J2738">
        <v>-291.86700000000002</v>
      </c>
      <c r="K2738">
        <v>1.1099300000000001</v>
      </c>
      <c r="L2738">
        <v>215.05500000000001</v>
      </c>
      <c r="M2738">
        <v>0.99991319999999995</v>
      </c>
      <c r="N2738">
        <v>-1.298756E-2</v>
      </c>
      <c r="O2738">
        <v>2.2527319999999999E-3</v>
      </c>
      <c r="P2738">
        <v>0.98468820000000001</v>
      </c>
      <c r="Q2738">
        <v>0.16155159999999999</v>
      </c>
      <c r="R2738">
        <v>6.5503800000000001E-2</v>
      </c>
      <c r="S2738">
        <v>3.0721440000000002</v>
      </c>
      <c r="T2738">
        <v>-2.2858380000000001E-3</v>
      </c>
      <c r="U2738">
        <v>-0.37286380000000002</v>
      </c>
      <c r="V2738">
        <v>-6.3270699999999999E-2</v>
      </c>
      <c r="W2738">
        <v>0.17433360000000001</v>
      </c>
      <c r="X2738">
        <v>0.98265179999999996</v>
      </c>
      <c r="Y2738">
        <v>0.1227205</v>
      </c>
      <c r="Z2738">
        <v>-8.1787679999999901E-4</v>
      </c>
      <c r="AA2738">
        <v>0.99244089999999996</v>
      </c>
      <c r="AB2738">
        <v>39</v>
      </c>
      <c r="AC2738">
        <v>123.45399999999999</v>
      </c>
      <c r="AD2738">
        <v>-9.2193999999999804E-2</v>
      </c>
      <c r="AE2738">
        <v>-15.030099999999999</v>
      </c>
      <c r="AF2738">
        <v>15.308185655976899</v>
      </c>
      <c r="AG2738">
        <v>-9.2193999999999804E-2</v>
      </c>
      <c r="AH2738">
        <v>123.41975722905499</v>
      </c>
      <c r="AI2738">
        <v>90.042474208890198</v>
      </c>
      <c r="AJ2738">
        <v>82.929514000433599</v>
      </c>
      <c r="AK2738">
        <v>124.36553189003099</v>
      </c>
      <c r="AL2738">
        <v>79.960119635877902</v>
      </c>
      <c r="AM2738">
        <v>93.684058606967895</v>
      </c>
      <c r="AN2738">
        <v>0.99999997280534403</v>
      </c>
    </row>
    <row r="2739" spans="1:40" x14ac:dyDescent="0.25">
      <c r="A2739" t="str">
        <f>"20190304155421642"</f>
        <v>20190304155421642</v>
      </c>
      <c r="B2739" t="str">
        <f>"1551686061639287"</f>
        <v>1551686061639287</v>
      </c>
      <c r="C2739" t="s">
        <v>40</v>
      </c>
      <c r="D2739">
        <v>4.5991609999999996</v>
      </c>
      <c r="E2739">
        <v>0.54909649999999999</v>
      </c>
      <c r="F2739" t="s">
        <v>70</v>
      </c>
      <c r="G2739">
        <v>-168.41299999999899</v>
      </c>
      <c r="H2739">
        <v>0.98813530000000005</v>
      </c>
      <c r="I2739">
        <v>200.0086</v>
      </c>
      <c r="J2739">
        <v>-291.46519999999998</v>
      </c>
      <c r="K2739">
        <v>1.1099619999999999</v>
      </c>
      <c r="L2739">
        <v>215.0558</v>
      </c>
      <c r="M2739">
        <v>0.99991099999999999</v>
      </c>
      <c r="N2739">
        <v>-1.316086E-2</v>
      </c>
      <c r="O2739">
        <v>2.2320460000000001E-3</v>
      </c>
      <c r="P2739">
        <v>0.98474170000000005</v>
      </c>
      <c r="Q2739">
        <v>0.1613058</v>
      </c>
      <c r="R2739">
        <v>6.5299999999999997E-2</v>
      </c>
      <c r="S2739">
        <v>3.0720830000000001</v>
      </c>
      <c r="T2739">
        <v>-3.0299429999999998E-3</v>
      </c>
      <c r="U2739">
        <v>-0.37442019999999998</v>
      </c>
      <c r="V2739">
        <v>-6.3087370000000004E-2</v>
      </c>
      <c r="W2739">
        <v>0.17425940000000001</v>
      </c>
      <c r="X2739">
        <v>0.98267680000000002</v>
      </c>
      <c r="Y2739">
        <v>0.1231975</v>
      </c>
      <c r="Z2739">
        <v>-8.4717479999999996E-4</v>
      </c>
      <c r="AA2739">
        <v>0.99238179999999998</v>
      </c>
      <c r="AB2739">
        <v>39</v>
      </c>
      <c r="AC2739">
        <v>123.0522</v>
      </c>
      <c r="AD2739">
        <v>-0.1218267</v>
      </c>
      <c r="AE2739">
        <v>-15.0472</v>
      </c>
      <c r="AF2739">
        <v>15.3218296469646</v>
      </c>
      <c r="AG2739">
        <v>-0.1218267</v>
      </c>
      <c r="AH2739">
        <v>123.01818566985401</v>
      </c>
      <c r="AI2739">
        <v>90.056305784304101</v>
      </c>
      <c r="AJ2739">
        <v>82.900410650734401</v>
      </c>
      <c r="AK2739">
        <v>123.968735215691</v>
      </c>
      <c r="AL2739">
        <v>79.964437587938093</v>
      </c>
      <c r="AM2739">
        <v>93.673319936121203</v>
      </c>
      <c r="AN2739">
        <v>1.0000000240000499</v>
      </c>
    </row>
    <row r="2740" spans="1:40" x14ac:dyDescent="0.25">
      <c r="A2740" t="str">
        <f>"20190304155421665"</f>
        <v>20190304155421665</v>
      </c>
      <c r="B2740" t="str">
        <f>"1551686061659782"</f>
        <v>1551686061659782</v>
      </c>
      <c r="C2740" t="s">
        <v>40</v>
      </c>
      <c r="D2740">
        <v>4.5852469999999999</v>
      </c>
      <c r="E2740">
        <v>0.53434950000000003</v>
      </c>
      <c r="F2740" t="s">
        <v>63</v>
      </c>
      <c r="G2740">
        <v>-230.96709999999999</v>
      </c>
      <c r="H2740" s="1">
        <v>-8.6797809999999996E-7</v>
      </c>
      <c r="I2740">
        <v>211.08969999999999</v>
      </c>
      <c r="J2740">
        <v>-291.0582</v>
      </c>
      <c r="K2740">
        <v>1.109999</v>
      </c>
      <c r="L2740">
        <v>215.05670000000001</v>
      </c>
      <c r="M2740">
        <v>0.99990840000000003</v>
      </c>
      <c r="N2740">
        <v>-1.3357590000000001E-2</v>
      </c>
      <c r="O2740">
        <v>2.2118939999999998E-3</v>
      </c>
      <c r="P2740">
        <v>0.98484749999999999</v>
      </c>
      <c r="Q2740">
        <v>0.16066520000000001</v>
      </c>
      <c r="R2740">
        <v>6.5285480000000007E-2</v>
      </c>
      <c r="S2740">
        <v>3.069061</v>
      </c>
      <c r="T2740">
        <v>-5.6308270000000001E-2</v>
      </c>
      <c r="U2740">
        <v>-0.2012024</v>
      </c>
      <c r="V2740">
        <v>-6.3092430000000005E-2</v>
      </c>
      <c r="W2740">
        <v>0.173813299999999</v>
      </c>
      <c r="X2740">
        <v>0.9827555</v>
      </c>
      <c r="Y2740">
        <v>6.7605410000000005E-2</v>
      </c>
      <c r="Z2740">
        <v>-1.0825780000000001E-3</v>
      </c>
      <c r="AA2740">
        <v>0.99771149999999997</v>
      </c>
      <c r="AB2740">
        <v>39</v>
      </c>
      <c r="AC2740">
        <v>60.091099999999997</v>
      </c>
      <c r="AD2740">
        <v>-1.1099998679781</v>
      </c>
      <c r="AE2740">
        <v>-3.9670000000000099</v>
      </c>
      <c r="AF2740">
        <v>4.0985248869127098</v>
      </c>
      <c r="AG2740">
        <v>-1.1099998679781</v>
      </c>
      <c r="AH2740">
        <v>60.061772682226199</v>
      </c>
      <c r="AI2740">
        <v>91.056305177826403</v>
      </c>
      <c r="AJ2740">
        <v>86.096274037354803</v>
      </c>
      <c r="AK2740">
        <v>60.211681123241902</v>
      </c>
      <c r="AL2740">
        <v>79.990393555781594</v>
      </c>
      <c r="AM2740">
        <v>93.673320371497098</v>
      </c>
      <c r="AN2740">
        <v>1.00000004538022</v>
      </c>
    </row>
    <row r="2741" spans="1:40" x14ac:dyDescent="0.25">
      <c r="A2741" t="str">
        <f>"20190304155421690"</f>
        <v>20190304155421690</v>
      </c>
      <c r="B2741" t="str">
        <f>"1551686061679303"</f>
        <v>1551686061679303</v>
      </c>
      <c r="C2741" t="s">
        <v>40</v>
      </c>
      <c r="D2741">
        <v>4.5689529999999996</v>
      </c>
      <c r="E2741">
        <v>0.52862449999999905</v>
      </c>
      <c r="F2741" t="s">
        <v>63</v>
      </c>
      <c r="G2741">
        <v>-238.74870000000001</v>
      </c>
      <c r="H2741" s="1">
        <v>3.1621620000000002E-6</v>
      </c>
      <c r="I2741">
        <v>213.62549999999999</v>
      </c>
      <c r="J2741">
        <v>-290.6422</v>
      </c>
      <c r="K2741">
        <v>1.110026</v>
      </c>
      <c r="L2741">
        <v>215.05760000000001</v>
      </c>
      <c r="M2741">
        <v>0.99990590000000001</v>
      </c>
      <c r="N2741">
        <v>-1.3551830000000001E-2</v>
      </c>
      <c r="O2741">
        <v>2.1910190000000002E-3</v>
      </c>
      <c r="P2741">
        <v>0.98487659999999999</v>
      </c>
      <c r="Q2741">
        <v>0.16052359999999999</v>
      </c>
      <c r="R2741">
        <v>6.5195069999999994E-2</v>
      </c>
      <c r="S2741">
        <v>3.0622859999999998</v>
      </c>
      <c r="T2741">
        <v>-6.49811E-2</v>
      </c>
      <c r="U2741">
        <v>-8.3786009999999994E-2</v>
      </c>
      <c r="V2741">
        <v>-6.3022049999999996E-2</v>
      </c>
      <c r="W2741">
        <v>0.1738635</v>
      </c>
      <c r="X2741">
        <v>0.98275109999999999</v>
      </c>
      <c r="Y2741">
        <v>2.952975E-2</v>
      </c>
      <c r="Z2741">
        <v>-5.3018119999999997E-4</v>
      </c>
      <c r="AA2741">
        <v>0.9995638</v>
      </c>
      <c r="AB2741">
        <v>39</v>
      </c>
      <c r="AC2741">
        <v>51.893499999999896</v>
      </c>
      <c r="AD2741">
        <v>-1.1100228378379999</v>
      </c>
      <c r="AE2741">
        <v>-1.4321000000000099</v>
      </c>
      <c r="AF2741">
        <v>1.5451002120252</v>
      </c>
      <c r="AG2741">
        <v>-1.1100228378379999</v>
      </c>
      <c r="AH2741">
        <v>51.866523939686701</v>
      </c>
      <c r="AI2741">
        <v>91.225486552374804</v>
      </c>
      <c r="AJ2741">
        <v>88.293667271195702</v>
      </c>
      <c r="AK2741">
        <v>51.901404518103497</v>
      </c>
      <c r="AL2741">
        <v>79.987472479440996</v>
      </c>
      <c r="AM2741">
        <v>93.669250343094205</v>
      </c>
      <c r="AN2741">
        <v>1.0000000099848301</v>
      </c>
    </row>
    <row r="2742" spans="1:40" x14ac:dyDescent="0.25">
      <c r="A2742" t="str">
        <f>"20190304155421711"</f>
        <v>20190304155421711</v>
      </c>
      <c r="B2742" t="str">
        <f>"1551686061699799"</f>
        <v>1551686061699799</v>
      </c>
      <c r="C2742" t="s">
        <v>40</v>
      </c>
      <c r="D2742">
        <v>4.5785629999999999</v>
      </c>
      <c r="E2742">
        <v>0.5256248</v>
      </c>
      <c r="F2742" t="s">
        <v>63</v>
      </c>
      <c r="G2742">
        <v>-243.67439999999999</v>
      </c>
      <c r="H2742" s="1">
        <v>4.2502490000000002E-7</v>
      </c>
      <c r="I2742">
        <v>214.46799999999999</v>
      </c>
      <c r="J2742">
        <v>-290.26429999999999</v>
      </c>
      <c r="K2742">
        <v>1.110047</v>
      </c>
      <c r="L2742">
        <v>215.05850000000001</v>
      </c>
      <c r="M2742">
        <v>0.9999036</v>
      </c>
      <c r="N2742">
        <v>-1.3714860000000001E-2</v>
      </c>
      <c r="O2742">
        <v>2.172368E-3</v>
      </c>
      <c r="P2742">
        <v>0.98486119999999999</v>
      </c>
      <c r="Q2742">
        <v>0.16053249999999999</v>
      </c>
      <c r="R2742">
        <v>6.5407179999999995E-2</v>
      </c>
      <c r="S2742">
        <v>3.0603940000000001</v>
      </c>
      <c r="T2742">
        <v>-7.2328690000000001E-2</v>
      </c>
      <c r="U2742">
        <v>-3.8421629999999998E-2</v>
      </c>
      <c r="V2742">
        <v>-6.3252089999999997E-2</v>
      </c>
      <c r="W2742">
        <v>0.1740321</v>
      </c>
      <c r="X2742">
        <v>0.98270650000000004</v>
      </c>
      <c r="Y2742">
        <v>1.471925E-2</v>
      </c>
      <c r="Z2742">
        <v>-2.9641200000000002E-4</v>
      </c>
      <c r="AA2742">
        <v>0.99989159999999999</v>
      </c>
      <c r="AB2742">
        <v>39</v>
      </c>
      <c r="AC2742">
        <v>46.5899</v>
      </c>
      <c r="AD2742">
        <v>-1.1100465749751001</v>
      </c>
      <c r="AE2742">
        <v>-0.59050000000002001</v>
      </c>
      <c r="AF2742">
        <v>0.69132614831706096</v>
      </c>
      <c r="AG2742">
        <v>-1.1100465749751001</v>
      </c>
      <c r="AH2742">
        <v>46.562079315301403</v>
      </c>
      <c r="AI2742">
        <v>91.365530372768504</v>
      </c>
      <c r="AJ2742">
        <v>89.149368737127602</v>
      </c>
      <c r="AK2742">
        <v>46.580439729637398</v>
      </c>
      <c r="AL2742">
        <v>79.9776630844799</v>
      </c>
      <c r="AM2742">
        <v>93.682773546750795</v>
      </c>
      <c r="AN2742">
        <v>1.0000000319310101</v>
      </c>
    </row>
    <row r="2743" spans="1:40" x14ac:dyDescent="0.25">
      <c r="A2743" t="str">
        <f>"20190304155421731"</f>
        <v>20190304155421731</v>
      </c>
      <c r="B2743" t="str">
        <f>"1551686061719319"</f>
        <v>1551686061719319</v>
      </c>
      <c r="C2743" t="s">
        <v>40</v>
      </c>
      <c r="D2743">
        <v>4.5819559999999999</v>
      </c>
      <c r="E2743">
        <v>0.52386769999999905</v>
      </c>
      <c r="F2743" t="s">
        <v>63</v>
      </c>
      <c r="G2743">
        <v>-244.5403</v>
      </c>
      <c r="H2743" s="1">
        <v>8.6921110000000001E-7</v>
      </c>
      <c r="I2743">
        <v>214.84790000000001</v>
      </c>
      <c r="J2743">
        <v>-289.91680000000002</v>
      </c>
      <c r="K2743">
        <v>1.1100680000000001</v>
      </c>
      <c r="L2743">
        <v>215.0592</v>
      </c>
      <c r="M2743">
        <v>0.99990179999999995</v>
      </c>
      <c r="N2743">
        <v>-1.385222E-2</v>
      </c>
      <c r="O2743">
        <v>2.155255E-3</v>
      </c>
      <c r="P2743">
        <v>0.98481039999999997</v>
      </c>
      <c r="Q2743">
        <v>0.16092310000000001</v>
      </c>
      <c r="R2743">
        <v>6.5211580000000005E-2</v>
      </c>
      <c r="S2743">
        <v>3.0591430000000002</v>
      </c>
      <c r="T2743">
        <v>-7.4267029999999998E-2</v>
      </c>
      <c r="U2743">
        <v>-1.408386E-2</v>
      </c>
      <c r="V2743">
        <v>-6.3073229999999994E-2</v>
      </c>
      <c r="W2743">
        <v>0.17455709999999999</v>
      </c>
      <c r="X2743">
        <v>0.98262479999999996</v>
      </c>
      <c r="Y2743">
        <v>6.7559949999999999E-3</v>
      </c>
      <c r="Z2743">
        <v>-1.5126239999999999E-4</v>
      </c>
      <c r="AA2743">
        <v>0.99997720000000001</v>
      </c>
      <c r="AB2743">
        <v>39</v>
      </c>
      <c r="AC2743">
        <v>45.3765</v>
      </c>
      <c r="AD2743">
        <v>-1.1100671307888901</v>
      </c>
      <c r="AE2743">
        <v>-0.21129999999999399</v>
      </c>
      <c r="AF2743">
        <v>0.30892194114836002</v>
      </c>
      <c r="AG2743">
        <v>-1.1100671307888901</v>
      </c>
      <c r="AH2743">
        <v>45.348800200830901</v>
      </c>
      <c r="AI2743">
        <v>91.402197802987502</v>
      </c>
      <c r="AJ2743">
        <v>89.609699714942806</v>
      </c>
      <c r="AK2743">
        <v>45.3634363938123</v>
      </c>
      <c r="AL2743">
        <v>79.947114445639301</v>
      </c>
      <c r="AM2743">
        <v>93.672692689933697</v>
      </c>
      <c r="AN2743">
        <v>0.99999995553903998</v>
      </c>
    </row>
    <row r="2744" spans="1:40" x14ac:dyDescent="0.25">
      <c r="A2744" t="str">
        <f>"20190304155421752"</f>
        <v>20190304155421752</v>
      </c>
      <c r="B2744" t="str">
        <f>"1551686061749574"</f>
        <v>1551686061749574</v>
      </c>
      <c r="C2744" t="s">
        <v>40</v>
      </c>
      <c r="D2744">
        <v>4.6512789999999997</v>
      </c>
      <c r="E2744">
        <v>0.52264940000000004</v>
      </c>
      <c r="F2744" t="s">
        <v>63</v>
      </c>
      <c r="G2744">
        <v>-244.52090000000001</v>
      </c>
      <c r="H2744" s="1">
        <v>8.500516E-7</v>
      </c>
      <c r="I2744">
        <v>215.04949999999999</v>
      </c>
      <c r="J2744">
        <v>-289.54399999999998</v>
      </c>
      <c r="K2744">
        <v>1.1100749999999999</v>
      </c>
      <c r="L2744">
        <v>215.06</v>
      </c>
      <c r="M2744">
        <v>0.99990000000000001</v>
      </c>
      <c r="N2744">
        <v>-1.398633E-2</v>
      </c>
      <c r="O2744">
        <v>2.136785E-3</v>
      </c>
      <c r="P2744">
        <v>0.98485</v>
      </c>
      <c r="Q2744">
        <v>0.1608841</v>
      </c>
      <c r="R2744">
        <v>6.4709489999999995E-2</v>
      </c>
      <c r="S2744">
        <v>3.0585330000000002</v>
      </c>
      <c r="T2744">
        <v>-7.4790239999999994E-2</v>
      </c>
      <c r="U2744">
        <v>-6.5612789999999895E-4</v>
      </c>
      <c r="V2744">
        <v>-6.258909E-2</v>
      </c>
      <c r="W2744">
        <v>0.17465</v>
      </c>
      <c r="X2744">
        <v>0.98263929999999999</v>
      </c>
      <c r="Y2744">
        <v>2.3502950000000001E-3</v>
      </c>
      <c r="Z2744" s="1">
        <v>-6.7529809999999999E-5</v>
      </c>
      <c r="AA2744">
        <v>0.99999729999999998</v>
      </c>
      <c r="AB2744">
        <v>39</v>
      </c>
      <c r="AC2744">
        <v>45.023099999999999</v>
      </c>
      <c r="AD2744">
        <v>-1.1100741499483999</v>
      </c>
      <c r="AE2744">
        <v>-1.05000000000075E-2</v>
      </c>
      <c r="AF2744">
        <v>0.10664923027565</v>
      </c>
      <c r="AG2744">
        <v>-1.1100741499483999</v>
      </c>
      <c r="AH2744">
        <v>44.995621854032301</v>
      </c>
      <c r="AI2744">
        <v>91.413237188527802</v>
      </c>
      <c r="AJ2744">
        <v>89.864197024320902</v>
      </c>
      <c r="AK2744">
        <v>45.009439284529797</v>
      </c>
      <c r="AL2744">
        <v>79.941709133391797</v>
      </c>
      <c r="AM2744">
        <v>93.644524330348304</v>
      </c>
      <c r="AN2744">
        <v>1.0000000052957501</v>
      </c>
    </row>
    <row r="2745" spans="1:40" x14ac:dyDescent="0.25">
      <c r="A2745" t="str">
        <f>"20190304155421774"</f>
        <v>20190304155421774</v>
      </c>
      <c r="B2745" t="str">
        <f>"1551686061770071"</f>
        <v>1551686061770071</v>
      </c>
      <c r="C2745" t="s">
        <v>40</v>
      </c>
      <c r="D2745">
        <v>4.5276059999999996</v>
      </c>
      <c r="E2745">
        <v>0.52188380000000001</v>
      </c>
      <c r="F2745" t="s">
        <v>63</v>
      </c>
      <c r="G2745">
        <v>-247.10509999999999</v>
      </c>
      <c r="H2745" s="1">
        <v>2.219797E-6</v>
      </c>
      <c r="I2745">
        <v>215.17429999999999</v>
      </c>
      <c r="J2745">
        <v>-289.16090000000003</v>
      </c>
      <c r="K2745">
        <v>1.1100890000000001</v>
      </c>
      <c r="L2745">
        <v>215.0608</v>
      </c>
      <c r="M2745">
        <v>0.99989830000000002</v>
      </c>
      <c r="N2745">
        <v>-1.411016E-2</v>
      </c>
      <c r="O2745">
        <v>2.1177259999999999E-3</v>
      </c>
      <c r="P2745">
        <v>0.98494999999999999</v>
      </c>
      <c r="Q2745">
        <v>0.1603358</v>
      </c>
      <c r="R2745">
        <v>6.4546320000000004E-2</v>
      </c>
      <c r="S2745">
        <v>3.058716</v>
      </c>
      <c r="T2745">
        <v>-8.0006720000000003E-2</v>
      </c>
      <c r="U2745">
        <v>8.2397459999999992E-3</v>
      </c>
      <c r="V2745">
        <v>-6.2444880000000001E-2</v>
      </c>
      <c r="W2745">
        <v>0.17422509999999999</v>
      </c>
      <c r="X2745">
        <v>0.98272389999999998</v>
      </c>
      <c r="Y2745">
        <v>-5.7576359999999996E-4</v>
      </c>
      <c r="Z2745" s="1">
        <v>-1.39109299999999E-5</v>
      </c>
      <c r="AA2745">
        <v>0.99999979999999999</v>
      </c>
      <c r="AB2745">
        <v>39</v>
      </c>
      <c r="AC2745">
        <v>42.055799999999998</v>
      </c>
      <c r="AD2745">
        <v>-1.1100867802029999</v>
      </c>
      <c r="AE2745">
        <v>0.113499999999987</v>
      </c>
      <c r="AF2745">
        <v>-2.44112176987961E-2</v>
      </c>
      <c r="AG2745">
        <v>-1.1100867802029999</v>
      </c>
      <c r="AH2745">
        <v>42.026665201573799</v>
      </c>
      <c r="AI2745">
        <v>91.513051076434806</v>
      </c>
      <c r="AJ2745">
        <v>90.033280289618702</v>
      </c>
      <c r="AK2745">
        <v>42.041330575188802</v>
      </c>
      <c r="AL2745">
        <v>79.966433181093393</v>
      </c>
      <c r="AM2745">
        <v>93.635837438575095</v>
      </c>
      <c r="AN2745">
        <v>1.0000000060697101</v>
      </c>
    </row>
    <row r="2746" spans="1:40" x14ac:dyDescent="0.25">
      <c r="A2746" t="str">
        <f>"20190304155421797"</f>
        <v>20190304155421797</v>
      </c>
      <c r="B2746" t="str">
        <f>"1551686061789591"</f>
        <v>1551686061789591</v>
      </c>
      <c r="C2746" t="s">
        <v>40</v>
      </c>
      <c r="D2746">
        <v>4.5673870000000001</v>
      </c>
      <c r="E2746">
        <v>0.52122659999999998</v>
      </c>
      <c r="F2746" t="s">
        <v>63</v>
      </c>
      <c r="G2746">
        <v>-247.3751</v>
      </c>
      <c r="H2746" s="1">
        <v>2.360627E-6</v>
      </c>
      <c r="I2746">
        <v>215.23929999999999</v>
      </c>
      <c r="J2746">
        <v>-288.7679</v>
      </c>
      <c r="K2746">
        <v>1.1100969999999999</v>
      </c>
      <c r="L2746">
        <v>215.0616</v>
      </c>
      <c r="M2746">
        <v>0.99989680000000003</v>
      </c>
      <c r="N2746">
        <v>-1.4222810000000001E-2</v>
      </c>
      <c r="O2746">
        <v>2.097907E-3</v>
      </c>
      <c r="P2746">
        <v>0.98494959999999998</v>
      </c>
      <c r="Q2746">
        <v>0.1603301</v>
      </c>
      <c r="R2746">
        <v>6.4567269999999996E-2</v>
      </c>
      <c r="S2746">
        <v>3.0581969999999998</v>
      </c>
      <c r="T2746">
        <v>-8.1244350000000007E-2</v>
      </c>
      <c r="U2746">
        <v>1.306152E-2</v>
      </c>
      <c r="V2746">
        <v>-6.2484919999999999E-2</v>
      </c>
      <c r="W2746">
        <v>0.17433019999999999</v>
      </c>
      <c r="X2746">
        <v>0.98270270000000004</v>
      </c>
      <c r="Y2746">
        <v>-2.1718240000000002E-3</v>
      </c>
      <c r="Z2746" s="1">
        <v>1.840707E-5</v>
      </c>
      <c r="AA2746">
        <v>0.99999760000000004</v>
      </c>
      <c r="AB2746">
        <v>39</v>
      </c>
      <c r="AC2746">
        <v>41.392800000000001</v>
      </c>
      <c r="AD2746">
        <v>-1.11009463937299</v>
      </c>
      <c r="AE2746">
        <v>0.17769999999998701</v>
      </c>
      <c r="AF2746">
        <v>-9.0787296390983693E-2</v>
      </c>
      <c r="AG2746">
        <v>-1.11009463937299</v>
      </c>
      <c r="AH2746">
        <v>41.363332348140602</v>
      </c>
      <c r="AI2746">
        <v>91.537311362272405</v>
      </c>
      <c r="AJ2746">
        <v>90.125756806047207</v>
      </c>
      <c r="AK2746">
        <v>41.378325429919002</v>
      </c>
      <c r="AL2746">
        <v>79.960317647676305</v>
      </c>
      <c r="AM2746">
        <v>93.638240773839399</v>
      </c>
      <c r="AN2746">
        <v>0.99999999022336805</v>
      </c>
    </row>
    <row r="2747" spans="1:40" x14ac:dyDescent="0.25">
      <c r="A2747" t="str">
        <f>"20190304155421820"</f>
        <v>20190304155421820</v>
      </c>
      <c r="B2747" t="str">
        <f>"1551686061810087"</f>
        <v>1551686061810087</v>
      </c>
      <c r="C2747" t="s">
        <v>40</v>
      </c>
      <c r="D2747">
        <v>4.5773599999999997</v>
      </c>
      <c r="E2747">
        <v>0.52064029999999994</v>
      </c>
      <c r="F2747" t="s">
        <v>63</v>
      </c>
      <c r="G2747">
        <v>-247.0112</v>
      </c>
      <c r="H2747" s="1">
        <v>2.1639609999999999E-6</v>
      </c>
      <c r="I2747">
        <v>215.30869999999999</v>
      </c>
      <c r="J2747">
        <v>-288.36750000000001</v>
      </c>
      <c r="K2747">
        <v>1.1101019999999999</v>
      </c>
      <c r="L2747">
        <v>215.0624</v>
      </c>
      <c r="M2747">
        <v>0.99989519999999998</v>
      </c>
      <c r="N2747">
        <v>-1.432362E-2</v>
      </c>
      <c r="O2747">
        <v>2.0774539999999998E-3</v>
      </c>
      <c r="P2747">
        <v>0.98494289999999995</v>
      </c>
      <c r="Q2747">
        <v>0.16045409999999999</v>
      </c>
      <c r="R2747">
        <v>6.4357559999999994E-2</v>
      </c>
      <c r="S2747">
        <v>3.057922</v>
      </c>
      <c r="T2747">
        <v>-8.1294420000000006E-2</v>
      </c>
      <c r="U2747">
        <v>1.8096919999999999E-2</v>
      </c>
      <c r="V2747">
        <v>-6.2295459999999997E-2</v>
      </c>
      <c r="W2747">
        <v>0.17455279999999901</v>
      </c>
      <c r="X2747">
        <v>0.98267519999999997</v>
      </c>
      <c r="Y2747">
        <v>-3.8383670000000001E-3</v>
      </c>
      <c r="Z2747" s="1">
        <v>5.3047660000000001E-5</v>
      </c>
      <c r="AA2747">
        <v>0.99999260000000001</v>
      </c>
      <c r="AB2747">
        <v>39</v>
      </c>
      <c r="AC2747">
        <v>41.356299999999997</v>
      </c>
      <c r="AD2747">
        <v>-1.110099836039</v>
      </c>
      <c r="AE2747">
        <v>0.24629999999999</v>
      </c>
      <c r="AF2747">
        <v>-0.160259373498222</v>
      </c>
      <c r="AG2747">
        <v>-1.110099836039</v>
      </c>
      <c r="AH2747">
        <v>41.326946996782297</v>
      </c>
      <c r="AI2747">
        <v>91.538663542605505</v>
      </c>
      <c r="AJ2747">
        <v>90.222182870266096</v>
      </c>
      <c r="AK2747">
        <v>41.342164345709101</v>
      </c>
      <c r="AL2747">
        <v>79.947364871919305</v>
      </c>
      <c r="AM2747">
        <v>93.6273400269543</v>
      </c>
      <c r="AN2747">
        <v>0.99999997650974504</v>
      </c>
    </row>
    <row r="2748" spans="1:40" x14ac:dyDescent="0.25">
      <c r="A2748" t="str">
        <f>"20190304155421842"</f>
        <v>20190304155421842</v>
      </c>
      <c r="B2748" t="str">
        <f>"1551686061839367"</f>
        <v>1551686061839367</v>
      </c>
      <c r="C2748" t="s">
        <v>40</v>
      </c>
      <c r="D2748">
        <v>4.5559529999999997</v>
      </c>
      <c r="E2748">
        <v>0.51947189999999999</v>
      </c>
      <c r="F2748" t="s">
        <v>63</v>
      </c>
      <c r="G2748">
        <v>-246.42599999999999</v>
      </c>
      <c r="H2748" s="1">
        <v>1.8500770000000001E-6</v>
      </c>
      <c r="I2748">
        <v>215.3655</v>
      </c>
      <c r="J2748">
        <v>-288.0016</v>
      </c>
      <c r="K2748">
        <v>1.1101019999999999</v>
      </c>
      <c r="L2748">
        <v>215.06309999999999</v>
      </c>
      <c r="M2748">
        <v>0.99989430000000001</v>
      </c>
      <c r="N2748">
        <v>-1.4403829999999999E-2</v>
      </c>
      <c r="O2748">
        <v>2.0586939999999998E-3</v>
      </c>
      <c r="P2748">
        <v>0.98499760000000003</v>
      </c>
      <c r="Q2748">
        <v>0.16007160000000001</v>
      </c>
      <c r="R2748">
        <v>6.4476099999999995E-2</v>
      </c>
      <c r="S2748">
        <v>3.0575869999999998</v>
      </c>
      <c r="T2748">
        <v>-8.0927730000000003E-2</v>
      </c>
      <c r="U2748">
        <v>2.209473E-2</v>
      </c>
      <c r="V2748">
        <v>-6.2432389999999997E-2</v>
      </c>
      <c r="W2748">
        <v>0.1742504</v>
      </c>
      <c r="X2748">
        <v>0.98272020000000004</v>
      </c>
      <c r="Y2748">
        <v>-5.1644969999999997E-3</v>
      </c>
      <c r="Z2748" s="1">
        <v>8.0713549999999996E-5</v>
      </c>
      <c r="AA2748">
        <v>0.99998659999999995</v>
      </c>
      <c r="AB2748">
        <v>39</v>
      </c>
      <c r="AC2748">
        <v>41.575600000000001</v>
      </c>
      <c r="AD2748">
        <v>-1.1101001499230001</v>
      </c>
      <c r="AE2748">
        <v>0.302400000000005</v>
      </c>
      <c r="AF2748">
        <v>-0.21664460983772699</v>
      </c>
      <c r="AG2748">
        <v>-1.1101001499230001</v>
      </c>
      <c r="AH2748">
        <v>41.546516274965597</v>
      </c>
      <c r="AI2748">
        <v>91.530526870844596</v>
      </c>
      <c r="AJ2748">
        <v>90.298766549079801</v>
      </c>
      <c r="AK2748">
        <v>41.561908904859202</v>
      </c>
      <c r="AL2748">
        <v>79.964961001831895</v>
      </c>
      <c r="AM2748">
        <v>93.635125811307304</v>
      </c>
      <c r="AN2748">
        <v>0.99999999835465603</v>
      </c>
    </row>
    <row r="2749" spans="1:40" x14ac:dyDescent="0.25">
      <c r="A2749" t="str">
        <f>"20190304155421864"</f>
        <v>20190304155421864</v>
      </c>
      <c r="B2749" t="str">
        <f>"1551686061859863"</f>
        <v>1551686061859863</v>
      </c>
      <c r="C2749" t="s">
        <v>40</v>
      </c>
      <c r="D2749">
        <v>4.6433119999999999</v>
      </c>
      <c r="E2749">
        <v>0.51962829999999904</v>
      </c>
      <c r="F2749" t="s">
        <v>63</v>
      </c>
      <c r="G2749">
        <v>-247.55539999999999</v>
      </c>
      <c r="H2749" s="1">
        <v>2.4457780000000002E-6</v>
      </c>
      <c r="I2749">
        <v>215.4863</v>
      </c>
      <c r="J2749">
        <v>-287.61079999999998</v>
      </c>
      <c r="K2749">
        <v>1.1101030000000001</v>
      </c>
      <c r="L2749">
        <v>215.06389999999999</v>
      </c>
      <c r="M2749">
        <v>0.99989320000000004</v>
      </c>
      <c r="N2749">
        <v>-1.4478090000000001E-2</v>
      </c>
      <c r="O2749">
        <v>2.0386060000000001E-3</v>
      </c>
      <c r="P2749">
        <v>0.98503459999999998</v>
      </c>
      <c r="Q2749">
        <v>0.1596535</v>
      </c>
      <c r="R2749">
        <v>6.4944070000000007E-2</v>
      </c>
      <c r="S2749">
        <v>3.0572509999999999</v>
      </c>
      <c r="T2749">
        <v>-8.3910230000000002E-2</v>
      </c>
      <c r="U2749">
        <v>3.1982419999999998E-2</v>
      </c>
      <c r="V2749">
        <v>-6.2919870000000003E-2</v>
      </c>
      <c r="W2749">
        <v>0.1739058</v>
      </c>
      <c r="X2749">
        <v>0.98275020000000002</v>
      </c>
      <c r="Y2749">
        <v>-8.4171969999999995E-3</v>
      </c>
      <c r="Z2749">
        <v>1.500138E-4</v>
      </c>
      <c r="AA2749">
        <v>0.99996450000000003</v>
      </c>
      <c r="AB2749">
        <v>38</v>
      </c>
      <c r="AC2749">
        <v>40.055399999999899</v>
      </c>
      <c r="AD2749">
        <v>-1.1101005542219999</v>
      </c>
      <c r="AE2749">
        <v>0.42240000000000999</v>
      </c>
      <c r="AF2749">
        <v>-0.34047191292716</v>
      </c>
      <c r="AG2749">
        <v>-1.1101005542219999</v>
      </c>
      <c r="AH2749">
        <v>40.025438906248802</v>
      </c>
      <c r="AI2749">
        <v>91.588626583853795</v>
      </c>
      <c r="AJ2749">
        <v>90.487368376023397</v>
      </c>
      <c r="AK2749">
        <v>40.042277707465999</v>
      </c>
      <c r="AL2749">
        <v>79.985011744640602</v>
      </c>
      <c r="AM2749">
        <v>93.663320809236595</v>
      </c>
      <c r="AN2749">
        <v>1.0000000464572401</v>
      </c>
    </row>
    <row r="2750" spans="1:40" x14ac:dyDescent="0.25">
      <c r="A2750" t="str">
        <f>"20190304155421889"</f>
        <v>20190304155421889</v>
      </c>
      <c r="B2750" t="str">
        <f>"1551686061879384"</f>
        <v>1551686061879384</v>
      </c>
      <c r="C2750" t="s">
        <v>40</v>
      </c>
      <c r="D2750">
        <v>4.6905210000000004</v>
      </c>
      <c r="E2750">
        <v>0.51902609999999905</v>
      </c>
      <c r="F2750" t="s">
        <v>63</v>
      </c>
      <c r="G2750">
        <v>-248.8691</v>
      </c>
      <c r="H2750" s="1">
        <v>3.1456329999999999E-6</v>
      </c>
      <c r="I2750">
        <v>215.46879999999999</v>
      </c>
      <c r="J2750">
        <v>-287.2063</v>
      </c>
      <c r="K2750">
        <v>1.1101080000000001</v>
      </c>
      <c r="L2750">
        <v>215.06469999999999</v>
      </c>
      <c r="M2750">
        <v>0.99989220000000001</v>
      </c>
      <c r="N2750">
        <v>-1.454421E-2</v>
      </c>
      <c r="O2750">
        <v>2.018274E-3</v>
      </c>
      <c r="P2750">
        <v>0.98509610000000003</v>
      </c>
      <c r="Q2750">
        <v>0.15910679999999999</v>
      </c>
      <c r="R2750">
        <v>6.5351679999999995E-2</v>
      </c>
      <c r="S2750">
        <v>3.0576479999999999</v>
      </c>
      <c r="T2750">
        <v>-8.7613339999999998E-2</v>
      </c>
      <c r="U2750">
        <v>3.1951899999999998E-2</v>
      </c>
      <c r="V2750">
        <v>-6.3348000000000002E-2</v>
      </c>
      <c r="W2750">
        <v>0.17342539999999901</v>
      </c>
      <c r="X2750">
        <v>0.98280749999999995</v>
      </c>
      <c r="Y2750">
        <v>-8.4258500000000004E-3</v>
      </c>
      <c r="Z2750">
        <v>1.535203E-4</v>
      </c>
      <c r="AA2750">
        <v>0.99996450000000003</v>
      </c>
      <c r="AB2750">
        <v>38</v>
      </c>
      <c r="AC2750">
        <v>38.337200000000003</v>
      </c>
      <c r="AD2750">
        <v>-1.110104854367</v>
      </c>
      <c r="AE2750">
        <v>0.40409999999999902</v>
      </c>
      <c r="AF2750">
        <v>-0.32644233700961001</v>
      </c>
      <c r="AG2750">
        <v>-1.110104854367</v>
      </c>
      <c r="AH2750">
        <v>38.305822879685202</v>
      </c>
      <c r="AI2750">
        <v>91.659910000922807</v>
      </c>
      <c r="AJ2750">
        <v>90.488262984438606</v>
      </c>
      <c r="AK2750">
        <v>38.323295315994102</v>
      </c>
      <c r="AL2750">
        <v>80.012960469453503</v>
      </c>
      <c r="AM2750">
        <v>93.687964390124804</v>
      </c>
      <c r="AN2750">
        <v>0.99999996026270399</v>
      </c>
    </row>
    <row r="2751" spans="1:40" x14ac:dyDescent="0.25">
      <c r="A2751" t="str">
        <f>"20190304155421909"</f>
        <v>20190304155421909</v>
      </c>
      <c r="B2751" t="str">
        <f>"1551686061899879"</f>
        <v>1551686061899879</v>
      </c>
      <c r="C2751" t="s">
        <v>40</v>
      </c>
      <c r="D2751">
        <v>4.660787</v>
      </c>
      <c r="E2751">
        <v>0.51874179999999903</v>
      </c>
      <c r="F2751" t="s">
        <v>63</v>
      </c>
      <c r="G2751">
        <v>-249.65780000000001</v>
      </c>
      <c r="H2751" s="1">
        <v>3.5625230000000002E-6</v>
      </c>
      <c r="I2751">
        <v>215.5334</v>
      </c>
      <c r="J2751">
        <v>-286.84570000000002</v>
      </c>
      <c r="K2751">
        <v>1.110114</v>
      </c>
      <c r="L2751">
        <v>215.06549999999999</v>
      </c>
      <c r="M2751">
        <v>0.99989150000000004</v>
      </c>
      <c r="N2751">
        <v>-1.4595159999999999E-2</v>
      </c>
      <c r="O2751">
        <v>2.0000170000000002E-3</v>
      </c>
      <c r="P2751">
        <v>0.98498450000000004</v>
      </c>
      <c r="Q2751">
        <v>0.15952459999999999</v>
      </c>
      <c r="R2751">
        <v>6.6010840000000001E-2</v>
      </c>
      <c r="S2751">
        <v>3.0574340000000002</v>
      </c>
      <c r="T2751">
        <v>-9.0391760000000002E-2</v>
      </c>
      <c r="U2751">
        <v>3.8162229999999998E-2</v>
      </c>
      <c r="V2751">
        <v>-6.4024979999999995E-2</v>
      </c>
      <c r="W2751">
        <v>0.17389170000000001</v>
      </c>
      <c r="X2751">
        <v>0.98268129999999998</v>
      </c>
      <c r="Y2751">
        <v>-1.04741E-2</v>
      </c>
      <c r="Z2751">
        <v>2.0133259999999999E-4</v>
      </c>
      <c r="AA2751">
        <v>0.99994510000000003</v>
      </c>
      <c r="AB2751">
        <v>38</v>
      </c>
      <c r="AC2751">
        <v>37.187899999999999</v>
      </c>
      <c r="AD2751">
        <v>-1.1101104374769999</v>
      </c>
      <c r="AE2751">
        <v>0.46790000000001403</v>
      </c>
      <c r="AF2751">
        <v>-0.39316441440609301</v>
      </c>
      <c r="AG2751">
        <v>-1.1101104374769999</v>
      </c>
      <c r="AH2751">
        <v>37.155657149545497</v>
      </c>
      <c r="AI2751">
        <v>91.711237933768402</v>
      </c>
      <c r="AJ2751">
        <v>90.606255483574003</v>
      </c>
      <c r="AK2751">
        <v>37.174316155844998</v>
      </c>
      <c r="AL2751">
        <v>79.9858319418653</v>
      </c>
      <c r="AM2751">
        <v>93.727743304857299</v>
      </c>
      <c r="AN2751">
        <v>1.0000000293812801</v>
      </c>
    </row>
    <row r="2752" spans="1:40" x14ac:dyDescent="0.25">
      <c r="A2752" t="str">
        <f>"20190304155421932"</f>
        <v>20190304155421932</v>
      </c>
      <c r="B2752" t="str">
        <f>"1551686061919400"</f>
        <v>1551686061919400</v>
      </c>
      <c r="C2752" t="s">
        <v>40</v>
      </c>
      <c r="D2752">
        <v>4.5512050000000004</v>
      </c>
      <c r="E2752">
        <v>0.51859569999999999</v>
      </c>
      <c r="F2752" t="s">
        <v>63</v>
      </c>
      <c r="G2752">
        <v>-251.1508</v>
      </c>
      <c r="H2752" s="1">
        <v>-9.6546110000000004E-7</v>
      </c>
      <c r="I2752">
        <v>215.5565</v>
      </c>
      <c r="J2752">
        <v>-286.46440000000001</v>
      </c>
      <c r="K2752">
        <v>1.110123</v>
      </c>
      <c r="L2752">
        <v>215.06620000000001</v>
      </c>
      <c r="M2752">
        <v>0.99989090000000003</v>
      </c>
      <c r="N2752">
        <v>-1.464172E-2</v>
      </c>
      <c r="O2752">
        <v>1.9808400000000002E-3</v>
      </c>
      <c r="P2752">
        <v>0.9849386</v>
      </c>
      <c r="Q2752">
        <v>0.159861999999999</v>
      </c>
      <c r="R2752">
        <v>6.5879460000000001E-2</v>
      </c>
      <c r="S2752">
        <v>3.058319</v>
      </c>
      <c r="T2752">
        <v>-9.5114229999999994E-2</v>
      </c>
      <c r="U2752">
        <v>4.2068479999999998E-2</v>
      </c>
      <c r="V2752">
        <v>-6.3912350000000007E-2</v>
      </c>
      <c r="W2752">
        <v>0.17427390000000001</v>
      </c>
      <c r="X2752">
        <v>0.98262090000000002</v>
      </c>
      <c r="Y2752">
        <v>-1.176514E-2</v>
      </c>
      <c r="Z2752">
        <v>2.3647929999999999E-4</v>
      </c>
      <c r="AA2752">
        <v>0.99993069999999895</v>
      </c>
      <c r="AB2752">
        <v>38</v>
      </c>
      <c r="AC2752">
        <v>35.313600000000001</v>
      </c>
      <c r="AD2752">
        <v>-1.1101239654610999</v>
      </c>
      <c r="AE2752">
        <v>0.49029999999999002</v>
      </c>
      <c r="AF2752">
        <v>-0.41992604687243901</v>
      </c>
      <c r="AG2752">
        <v>-1.1101239654610999</v>
      </c>
      <c r="AH2752">
        <v>35.279644256080502</v>
      </c>
      <c r="AI2752">
        <v>91.802170581574103</v>
      </c>
      <c r="AJ2752">
        <v>90.681947183815495</v>
      </c>
      <c r="AK2752">
        <v>35.299603566316797</v>
      </c>
      <c r="AL2752">
        <v>79.963593716004297</v>
      </c>
      <c r="AM2752">
        <v>93.721432153320293</v>
      </c>
      <c r="AN2752">
        <v>1.0000000069102699</v>
      </c>
    </row>
    <row r="2753" spans="1:40" x14ac:dyDescent="0.25">
      <c r="A2753" t="str">
        <f>"20190304155421953"</f>
        <v>20190304155421953</v>
      </c>
      <c r="B2753" t="str">
        <f>"1551686061949655"</f>
        <v>1551686061949655</v>
      </c>
      <c r="C2753" t="s">
        <v>40</v>
      </c>
      <c r="D2753">
        <v>4.703201</v>
      </c>
      <c r="E2753">
        <v>0.50458990000000004</v>
      </c>
      <c r="F2753" t="s">
        <v>63</v>
      </c>
      <c r="G2753">
        <v>-250.03039999999999</v>
      </c>
      <c r="H2753" s="1">
        <v>-1.562721E-6</v>
      </c>
      <c r="I2753">
        <v>215.5796</v>
      </c>
      <c r="J2753">
        <v>-286.0933</v>
      </c>
      <c r="K2753">
        <v>1.110128</v>
      </c>
      <c r="L2753">
        <v>215.0669</v>
      </c>
      <c r="M2753">
        <v>0.99989030000000001</v>
      </c>
      <c r="N2753">
        <v>-1.468056E-2</v>
      </c>
      <c r="O2753">
        <v>1.9620169999999999E-3</v>
      </c>
      <c r="P2753">
        <v>0.98484020000000005</v>
      </c>
      <c r="Q2753">
        <v>0.16047069999999999</v>
      </c>
      <c r="R2753">
        <v>6.5869789999999998E-2</v>
      </c>
      <c r="S2753">
        <v>3.0581049999999999</v>
      </c>
      <c r="T2753">
        <v>-9.3178750000000005E-2</v>
      </c>
      <c r="U2753">
        <v>4.3090820000000002E-2</v>
      </c>
      <c r="V2753">
        <v>-6.3921800000000001E-2</v>
      </c>
      <c r="W2753">
        <v>0.17491899999999999</v>
      </c>
      <c r="X2753">
        <v>0.98250559999999998</v>
      </c>
      <c r="Y2753">
        <v>-1.211914E-2</v>
      </c>
      <c r="Z2753">
        <v>2.426133E-4</v>
      </c>
      <c r="AA2753">
        <v>0.99992650000000005</v>
      </c>
      <c r="AB2753">
        <v>38</v>
      </c>
      <c r="AC2753">
        <v>36.062899999999999</v>
      </c>
      <c r="AD2753">
        <v>-1.1101295627209999</v>
      </c>
      <c r="AE2753">
        <v>0.51269999999999505</v>
      </c>
      <c r="AF2753">
        <v>-0.441517065561781</v>
      </c>
      <c r="AG2753">
        <v>-1.1101295627209999</v>
      </c>
      <c r="AH2753">
        <v>36.029701683484802</v>
      </c>
      <c r="AI2753">
        <v>91.764678819356305</v>
      </c>
      <c r="AJ2753">
        <v>90.702081813416996</v>
      </c>
      <c r="AK2753">
        <v>36.049503857419602</v>
      </c>
      <c r="AL2753">
        <v>79.926055082859506</v>
      </c>
      <c r="AM2753">
        <v>93.7224164107636</v>
      </c>
      <c r="AN2753">
        <v>0.999999953553798</v>
      </c>
    </row>
    <row r="2754" spans="1:40" x14ac:dyDescent="0.25">
      <c r="A2754" t="str">
        <f>"20190304155421976"</f>
        <v>20190304155421976</v>
      </c>
      <c r="B2754" t="str">
        <f>"1551686061969175"</f>
        <v>1551686061969175</v>
      </c>
      <c r="C2754" t="s">
        <v>40</v>
      </c>
      <c r="D2754">
        <v>4.5723240000000001</v>
      </c>
      <c r="E2754">
        <v>0.50671860000000002</v>
      </c>
      <c r="F2754" t="s">
        <v>63</v>
      </c>
      <c r="G2754">
        <v>-257.33449999999999</v>
      </c>
      <c r="H2754" s="1">
        <v>2.2829549999999998E-6</v>
      </c>
      <c r="I2754">
        <v>216.52180000000001</v>
      </c>
      <c r="J2754">
        <v>-285.69940000000003</v>
      </c>
      <c r="K2754">
        <v>1.110128</v>
      </c>
      <c r="L2754">
        <v>215.0677</v>
      </c>
      <c r="M2754">
        <v>0.99988999999999995</v>
      </c>
      <c r="N2754">
        <v>-1.4715900000000001E-2</v>
      </c>
      <c r="O2754">
        <v>1.942086E-3</v>
      </c>
      <c r="P2754">
        <v>0.9846686</v>
      </c>
      <c r="Q2754">
        <v>0.1615183</v>
      </c>
      <c r="R2754">
        <v>6.5875489999999995E-2</v>
      </c>
      <c r="S2754">
        <v>3.0550839999999999</v>
      </c>
      <c r="T2754">
        <v>-0.1179299</v>
      </c>
      <c r="U2754">
        <v>0.15455629999999901</v>
      </c>
      <c r="V2754">
        <v>-6.3946779999999995E-2</v>
      </c>
      <c r="W2754">
        <v>0.17599870000000001</v>
      </c>
      <c r="X2754">
        <v>0.98231120000000005</v>
      </c>
      <c r="Y2754">
        <v>-4.8536049999999997E-2</v>
      </c>
      <c r="Z2754">
        <v>1.247052E-3</v>
      </c>
      <c r="AA2754">
        <v>0.99882070000000001</v>
      </c>
      <c r="AB2754">
        <v>38</v>
      </c>
      <c r="AC2754">
        <v>28.364899999999999</v>
      </c>
      <c r="AD2754">
        <v>-1.1101257170450001</v>
      </c>
      <c r="AE2754">
        <v>1.4541000000000099</v>
      </c>
      <c r="AF2754">
        <v>-1.3968702078834101</v>
      </c>
      <c r="AG2754">
        <v>-1.1101257170450001</v>
      </c>
      <c r="AH2754">
        <v>28.3243992153654</v>
      </c>
      <c r="AI2754">
        <v>92.241738275086504</v>
      </c>
      <c r="AJ2754">
        <v>92.823360021983106</v>
      </c>
      <c r="AK2754">
        <v>28.380542919343601</v>
      </c>
      <c r="AL2754">
        <v>79.863218629886404</v>
      </c>
      <c r="AM2754">
        <v>93.724601882933101</v>
      </c>
      <c r="AN2754">
        <v>1.00000001335974</v>
      </c>
    </row>
    <row r="2755" spans="1:40" x14ac:dyDescent="0.25">
      <c r="A2755" t="str">
        <f>"20190304155421998"</f>
        <v>20190304155421998</v>
      </c>
      <c r="B2755" t="str">
        <f>"1551686061989671"</f>
        <v>1551686061989671</v>
      </c>
      <c r="C2755" t="s">
        <v>40</v>
      </c>
      <c r="D2755">
        <v>4.5720619999999998</v>
      </c>
      <c r="E2755">
        <v>0.50882470000000002</v>
      </c>
      <c r="F2755" t="s">
        <v>63</v>
      </c>
      <c r="G2755">
        <v>-256.2079</v>
      </c>
      <c r="H2755" s="1">
        <v>1.689112E-6</v>
      </c>
      <c r="I2755">
        <v>216.39250000000001</v>
      </c>
      <c r="J2755">
        <v>-285.32389999999998</v>
      </c>
      <c r="K2755">
        <v>1.110136</v>
      </c>
      <c r="L2755">
        <v>215.0684</v>
      </c>
      <c r="M2755">
        <v>0.99988949999999999</v>
      </c>
      <c r="N2755">
        <v>-1.474433E-2</v>
      </c>
      <c r="O2755">
        <v>1.922984E-3</v>
      </c>
      <c r="P2755">
        <v>0.98461310000000002</v>
      </c>
      <c r="Q2755">
        <v>0.16199659999999999</v>
      </c>
      <c r="R2755">
        <v>6.5528370000000002E-2</v>
      </c>
      <c r="S2755">
        <v>3.0563660000000001</v>
      </c>
      <c r="T2755">
        <v>-0.1150484</v>
      </c>
      <c r="U2755">
        <v>0.13729859999999999</v>
      </c>
      <c r="V2755">
        <v>-6.3618659999999994E-2</v>
      </c>
      <c r="W2755">
        <v>0.1765042</v>
      </c>
      <c r="X2755">
        <v>0.98224180000000005</v>
      </c>
      <c r="Y2755">
        <v>-4.2913840000000002E-2</v>
      </c>
      <c r="Z2755">
        <v>1.0797059999999999E-3</v>
      </c>
      <c r="AA2755">
        <v>0.99907820000000003</v>
      </c>
      <c r="AB2755">
        <v>38</v>
      </c>
      <c r="AC2755">
        <v>29.1159999999999</v>
      </c>
      <c r="AD2755">
        <v>-1.110134310888</v>
      </c>
      <c r="AE2755">
        <v>1.32410000000001</v>
      </c>
      <c r="AF2755">
        <v>-1.2662648407572801</v>
      </c>
      <c r="AG2755">
        <v>-1.110134310888</v>
      </c>
      <c r="AH2755">
        <v>29.0763104108512</v>
      </c>
      <c r="AI2755">
        <v>92.184423908825295</v>
      </c>
      <c r="AJ2755">
        <v>92.4936388294213</v>
      </c>
      <c r="AK2755">
        <v>29.125034797289501</v>
      </c>
      <c r="AL2755">
        <v>79.833794957957707</v>
      </c>
      <c r="AM2755">
        <v>93.705804890881197</v>
      </c>
      <c r="AN2755">
        <v>1.0000000100925299</v>
      </c>
    </row>
    <row r="2756" spans="1:40" x14ac:dyDescent="0.25">
      <c r="A2756" t="str">
        <f>"20190304155422021"</f>
        <v>20190304155422021</v>
      </c>
      <c r="B2756" t="str">
        <f>"1551686062009191"</f>
        <v>1551686062009191</v>
      </c>
      <c r="C2756" t="s">
        <v>40</v>
      </c>
      <c r="D2756">
        <v>4.614128</v>
      </c>
      <c r="E2756">
        <v>0.50852609999999998</v>
      </c>
      <c r="F2756" t="s">
        <v>63</v>
      </c>
      <c r="G2756">
        <v>-253.2371</v>
      </c>
      <c r="H2756" s="1">
        <v>1.108663E-7</v>
      </c>
      <c r="I2756">
        <v>216.33170000000001</v>
      </c>
      <c r="J2756">
        <v>-284.94029999999998</v>
      </c>
      <c r="K2756">
        <v>1.1101479999999999</v>
      </c>
      <c r="L2756">
        <v>215.06909999999999</v>
      </c>
      <c r="M2756">
        <v>0.99988909999999998</v>
      </c>
      <c r="N2756">
        <v>-1.4768989999999999E-2</v>
      </c>
      <c r="O2756">
        <v>1.9036109999999999E-3</v>
      </c>
      <c r="P2756">
        <v>0.98447750000000001</v>
      </c>
      <c r="Q2756">
        <v>0.16302230000000001</v>
      </c>
      <c r="R2756">
        <v>6.5024319999999997E-2</v>
      </c>
      <c r="S2756">
        <v>3.0562740000000002</v>
      </c>
      <c r="T2756">
        <v>-0.105740899999999</v>
      </c>
      <c r="U2756">
        <v>0.1203308</v>
      </c>
      <c r="V2756">
        <v>-6.3134449999999995E-2</v>
      </c>
      <c r="W2756">
        <v>0.17755179999999901</v>
      </c>
      <c r="X2756">
        <v>0.98208419999999996</v>
      </c>
      <c r="Y2756">
        <v>-3.7407299999999997E-2</v>
      </c>
      <c r="Z2756">
        <v>8.8542359999999997E-4</v>
      </c>
      <c r="AA2756">
        <v>0.99929970000000001</v>
      </c>
      <c r="AB2756">
        <v>38</v>
      </c>
      <c r="AC2756">
        <v>31.703199999999899</v>
      </c>
      <c r="AD2756">
        <v>-1.1101478891337</v>
      </c>
      <c r="AE2756">
        <v>1.2626000000000199</v>
      </c>
      <c r="AF2756">
        <v>-1.2007705338985599</v>
      </c>
      <c r="AG2756">
        <v>-1.1101478891337</v>
      </c>
      <c r="AH2756">
        <v>31.666778513877301</v>
      </c>
      <c r="AI2756">
        <v>92.006365347903298</v>
      </c>
      <c r="AJ2756">
        <v>92.171554583261496</v>
      </c>
      <c r="AK2756">
        <v>31.7089756954996</v>
      </c>
      <c r="AL2756">
        <v>79.772808441574</v>
      </c>
      <c r="AM2756">
        <v>93.678265780409106</v>
      </c>
      <c r="AN2756">
        <v>0.99999998817484104</v>
      </c>
    </row>
    <row r="2757" spans="1:40" x14ac:dyDescent="0.25">
      <c r="A2757" t="str">
        <f>"20190304155422043"</f>
        <v>20190304155422043</v>
      </c>
      <c r="B2757" t="str">
        <f>"1551686062039447"</f>
        <v>1551686062039447</v>
      </c>
      <c r="C2757" t="s">
        <v>40</v>
      </c>
      <c r="D2757">
        <v>4.579771</v>
      </c>
      <c r="E2757">
        <v>0.48306070000000001</v>
      </c>
      <c r="F2757" t="s">
        <v>63</v>
      </c>
      <c r="G2757">
        <v>-250.678</v>
      </c>
      <c r="H2757" s="1">
        <v>-1.255235E-6</v>
      </c>
      <c r="I2757">
        <v>216.4297</v>
      </c>
      <c r="J2757">
        <v>-284.5677</v>
      </c>
      <c r="K2757">
        <v>1.1101559999999999</v>
      </c>
      <c r="L2757">
        <v>215.06979999999999</v>
      </c>
      <c r="M2757">
        <v>0.99988889999999997</v>
      </c>
      <c r="N2757">
        <v>-1.478904E-2</v>
      </c>
      <c r="O2757">
        <v>1.884452E-3</v>
      </c>
      <c r="P2757">
        <v>0.98449850000000005</v>
      </c>
      <c r="Q2757">
        <v>0.16296930000000001</v>
      </c>
      <c r="R2757">
        <v>6.4834069999999994E-2</v>
      </c>
      <c r="S2757">
        <v>3.0557249999999998</v>
      </c>
      <c r="T2757">
        <v>-9.9010109999999998E-2</v>
      </c>
      <c r="U2757">
        <v>0.12135310000000001</v>
      </c>
      <c r="V2757">
        <v>-6.2962489999999996E-2</v>
      </c>
      <c r="W2757">
        <v>0.17751839999999999</v>
      </c>
      <c r="X2757">
        <v>0.98210129999999995</v>
      </c>
      <c r="Y2757">
        <v>-3.77703E-2</v>
      </c>
      <c r="Z2757">
        <v>8.578689E-4</v>
      </c>
      <c r="AA2757">
        <v>0.99928609999999896</v>
      </c>
      <c r="AB2757">
        <v>38</v>
      </c>
      <c r="AC2757">
        <v>33.889699999999998</v>
      </c>
      <c r="AD2757">
        <v>-1.1101572552350001</v>
      </c>
      <c r="AE2757">
        <v>1.3599000000000101</v>
      </c>
      <c r="AF2757">
        <v>-1.2946400656889101</v>
      </c>
      <c r="AG2757">
        <v>-1.1101572552350001</v>
      </c>
      <c r="AH2757">
        <v>33.855930920169001</v>
      </c>
      <c r="AI2757">
        <v>91.876721036444394</v>
      </c>
      <c r="AJ2757">
        <v>92.189905447640996</v>
      </c>
      <c r="AK2757">
        <v>33.898858395265897</v>
      </c>
      <c r="AL2757">
        <v>79.774753241615798</v>
      </c>
      <c r="AM2757">
        <v>93.668210942996794</v>
      </c>
      <c r="AN2757">
        <v>1.00000001047362</v>
      </c>
    </row>
    <row r="2758" spans="1:40" x14ac:dyDescent="0.25">
      <c r="A2758" t="str">
        <f>"20190304155422065"</f>
        <v>20190304155422065</v>
      </c>
      <c r="B2758" t="str">
        <f>"1551686062059943"</f>
        <v>1551686062059943</v>
      </c>
      <c r="C2758" t="s">
        <v>40</v>
      </c>
      <c r="D2758">
        <v>4.6137300000000003</v>
      </c>
      <c r="E2758">
        <v>0.48192869999999999</v>
      </c>
      <c r="F2758" t="s">
        <v>63</v>
      </c>
      <c r="G2758">
        <v>-258.3544</v>
      </c>
      <c r="H2758" s="1">
        <v>2.7677249999999998E-6</v>
      </c>
      <c r="I2758">
        <v>217.84809999999999</v>
      </c>
      <c r="J2758">
        <v>-284.17840000000001</v>
      </c>
      <c r="K2758">
        <v>1.11016</v>
      </c>
      <c r="L2758">
        <v>215.07050000000001</v>
      </c>
      <c r="M2758">
        <v>0.99988869999999996</v>
      </c>
      <c r="N2758">
        <v>-1.4806430000000001E-2</v>
      </c>
      <c r="O2758">
        <v>1.8644149999999999E-3</v>
      </c>
      <c r="P2758">
        <v>0.98451509999999998</v>
      </c>
      <c r="Q2758">
        <v>0.16290070000000001</v>
      </c>
      <c r="R2758">
        <v>6.4758430000000006E-2</v>
      </c>
      <c r="S2758">
        <v>3.0473330000000001</v>
      </c>
      <c r="T2758">
        <v>-0.1290568</v>
      </c>
      <c r="U2758">
        <v>0.32298280000000001</v>
      </c>
      <c r="V2758">
        <v>-6.2906889999999993E-2</v>
      </c>
      <c r="W2758">
        <v>0.177467299999999</v>
      </c>
      <c r="X2758">
        <v>0.98211409999999999</v>
      </c>
      <c r="Y2758">
        <v>-0.1034206</v>
      </c>
      <c r="Z2758">
        <v>2.8999870000000001E-3</v>
      </c>
      <c r="AA2758">
        <v>0.99463349999999995</v>
      </c>
      <c r="AB2758">
        <v>38</v>
      </c>
      <c r="AC2758">
        <v>25.824000000000002</v>
      </c>
      <c r="AD2758">
        <v>-1.110157232275</v>
      </c>
      <c r="AE2758">
        <v>2.7775999999999699</v>
      </c>
      <c r="AF2758">
        <v>-2.7244657820838301</v>
      </c>
      <c r="AG2758">
        <v>-1.110157232275</v>
      </c>
      <c r="AH2758">
        <v>25.782031809972299</v>
      </c>
      <c r="AI2758">
        <v>92.451959831667907</v>
      </c>
      <c r="AJ2758">
        <v>96.032232342418794</v>
      </c>
      <c r="AK2758">
        <v>25.949341554816801</v>
      </c>
      <c r="AL2758">
        <v>79.777728313414798</v>
      </c>
      <c r="AM2758">
        <v>93.664932869342096</v>
      </c>
      <c r="AN2758">
        <v>1.00000001239878</v>
      </c>
    </row>
    <row r="2759" spans="1:40" x14ac:dyDescent="0.25">
      <c r="A2759" t="str">
        <f>"20190304155422092"</f>
        <v>20190304155422092</v>
      </c>
      <c r="B2759" t="str">
        <f>"1551686062079463"</f>
        <v>1551686062079463</v>
      </c>
      <c r="C2759" t="s">
        <v>40</v>
      </c>
      <c r="D2759">
        <v>4.6331350000000002</v>
      </c>
      <c r="E2759">
        <v>0.48204449999999999</v>
      </c>
      <c r="F2759" t="s">
        <v>63</v>
      </c>
      <c r="G2759">
        <v>-259.34930000000003</v>
      </c>
      <c r="H2759" s="1">
        <v>3.3005029999999999E-6</v>
      </c>
      <c r="I2759">
        <v>217.77250000000001</v>
      </c>
      <c r="J2759">
        <v>-283.7396</v>
      </c>
      <c r="K2759">
        <v>1.1101620000000001</v>
      </c>
      <c r="L2759">
        <v>215.07130000000001</v>
      </c>
      <c r="M2759">
        <v>0.99988849999999996</v>
      </c>
      <c r="N2759">
        <v>-1.4822419999999999E-2</v>
      </c>
      <c r="O2759">
        <v>1.842064E-3</v>
      </c>
      <c r="P2759">
        <v>0.98451719999999998</v>
      </c>
      <c r="Q2759">
        <v>0.1629002</v>
      </c>
      <c r="R2759">
        <v>6.4726039999999999E-2</v>
      </c>
      <c r="S2759">
        <v>3.047882</v>
      </c>
      <c r="T2759">
        <v>-0.1362766</v>
      </c>
      <c r="U2759">
        <v>0.33168029999999998</v>
      </c>
      <c r="V2759">
        <v>-6.289641E-2</v>
      </c>
      <c r="W2759">
        <v>0.1774828</v>
      </c>
      <c r="X2759">
        <v>0.98211199999999999</v>
      </c>
      <c r="Y2759">
        <v>-0.10621369999999999</v>
      </c>
      <c r="Z2759">
        <v>3.101538E-3</v>
      </c>
      <c r="AA2759">
        <v>0.99433850000000001</v>
      </c>
      <c r="AB2759">
        <v>38</v>
      </c>
      <c r="AC2759">
        <v>24.3902999999999</v>
      </c>
      <c r="AD2759">
        <v>-1.1101586994970001</v>
      </c>
      <c r="AE2759">
        <v>2.7012</v>
      </c>
      <c r="AF2759">
        <v>-2.65083667997706</v>
      </c>
      <c r="AG2759">
        <v>-1.1101586994970001</v>
      </c>
      <c r="AH2759">
        <v>24.345408649522401</v>
      </c>
      <c r="AI2759">
        <v>92.595577979453296</v>
      </c>
      <c r="AJ2759">
        <v>96.214139271323205</v>
      </c>
      <c r="AK2759">
        <v>24.514451039217999</v>
      </c>
      <c r="AL2759">
        <v>79.776826205251794</v>
      </c>
      <c r="AM2759">
        <v>93.664331785833497</v>
      </c>
      <c r="AN2759">
        <v>1.00000004161536</v>
      </c>
    </row>
    <row r="2760" spans="1:40" x14ac:dyDescent="0.25">
      <c r="A2760" t="str">
        <f>"20190304155422114"</f>
        <v>20190304155422114</v>
      </c>
      <c r="B2760" t="str">
        <f>"1551686062109719"</f>
        <v>1551686062109719</v>
      </c>
      <c r="C2760" t="s">
        <v>40</v>
      </c>
      <c r="D2760">
        <v>4.6487449999999999</v>
      </c>
      <c r="E2760">
        <v>0.48131160000000001</v>
      </c>
      <c r="F2760" t="s">
        <v>63</v>
      </c>
      <c r="G2760">
        <v>-258.63850000000002</v>
      </c>
      <c r="H2760" s="1">
        <v>2.9211989999999998E-6</v>
      </c>
      <c r="I2760">
        <v>217.79650000000001</v>
      </c>
      <c r="J2760">
        <v>-283.35899999999998</v>
      </c>
      <c r="K2760">
        <v>1.1101639999999999</v>
      </c>
      <c r="L2760">
        <v>215.072</v>
      </c>
      <c r="M2760">
        <v>0.99988840000000001</v>
      </c>
      <c r="N2760">
        <v>-1.4833590000000001E-2</v>
      </c>
      <c r="O2760">
        <v>1.822789E-3</v>
      </c>
      <c r="P2760">
        <v>0.98451840000000002</v>
      </c>
      <c r="Q2760">
        <v>0.16294629999999999</v>
      </c>
      <c r="R2760">
        <v>6.4593139999999993E-2</v>
      </c>
      <c r="S2760">
        <v>3.0476990000000002</v>
      </c>
      <c r="T2760">
        <v>-0.134792299999999</v>
      </c>
      <c r="U2760">
        <v>0.33088679999999998</v>
      </c>
      <c r="V2760">
        <v>-6.278243E-2</v>
      </c>
      <c r="W2760">
        <v>0.17753949999999999</v>
      </c>
      <c r="X2760">
        <v>0.98210900000000001</v>
      </c>
      <c r="Y2760">
        <v>-0.10598630000000001</v>
      </c>
      <c r="Z2760">
        <v>3.0713049999999999E-3</v>
      </c>
      <c r="AA2760">
        <v>0.99436279999999999</v>
      </c>
      <c r="AB2760">
        <v>38</v>
      </c>
      <c r="AC2760">
        <v>24.720500000000001</v>
      </c>
      <c r="AD2760">
        <v>-1.1101610788009999</v>
      </c>
      <c r="AE2760">
        <v>2.7244999999999999</v>
      </c>
      <c r="AF2760">
        <v>-2.6741019223886702</v>
      </c>
      <c r="AG2760">
        <v>-1.1101610788009999</v>
      </c>
      <c r="AH2760">
        <v>24.676256440635601</v>
      </c>
      <c r="AI2760">
        <v>92.560971764209697</v>
      </c>
      <c r="AJ2760">
        <v>96.184859783984507</v>
      </c>
      <c r="AK2760">
        <v>24.845541061450401</v>
      </c>
      <c r="AL2760">
        <v>79.773524655661902</v>
      </c>
      <c r="AM2760">
        <v>93.657720520770496</v>
      </c>
      <c r="AN2760">
        <v>0.99999999772897696</v>
      </c>
    </row>
    <row r="2761" spans="1:40" x14ac:dyDescent="0.25">
      <c r="A2761" t="str">
        <f>"20190304155422133"</f>
        <v>20190304155422133</v>
      </c>
      <c r="B2761" t="str">
        <f>"1551686062129239"</f>
        <v>1551686062129239</v>
      </c>
      <c r="C2761" t="s">
        <v>40</v>
      </c>
      <c r="D2761">
        <v>4.6294760000000004</v>
      </c>
      <c r="E2761">
        <v>0.48105239999999999</v>
      </c>
      <c r="F2761" t="s">
        <v>63</v>
      </c>
      <c r="G2761">
        <v>-259.24700000000001</v>
      </c>
      <c r="H2761" s="1">
        <v>3.2477529999999998E-6</v>
      </c>
      <c r="I2761">
        <v>217.7338</v>
      </c>
      <c r="J2761">
        <v>-283.04320000000001</v>
      </c>
      <c r="K2761">
        <v>1.1101639999999999</v>
      </c>
      <c r="L2761">
        <v>215.07249999999999</v>
      </c>
      <c r="M2761">
        <v>0.99988840000000001</v>
      </c>
      <c r="N2761">
        <v>-1.484122E-2</v>
      </c>
      <c r="O2761">
        <v>1.806759E-3</v>
      </c>
      <c r="P2761">
        <v>0.9845739</v>
      </c>
      <c r="Q2761">
        <v>0.16247899999999901</v>
      </c>
      <c r="R2761">
        <v>6.4926449999999997E-2</v>
      </c>
      <c r="S2761">
        <v>3.0483090000000002</v>
      </c>
      <c r="T2761">
        <v>-0.1403499</v>
      </c>
      <c r="U2761">
        <v>0.33651730000000002</v>
      </c>
      <c r="V2761">
        <v>-6.3131939999999998E-2</v>
      </c>
      <c r="W2761">
        <v>0.1770806</v>
      </c>
      <c r="X2761">
        <v>0.98216939999999997</v>
      </c>
      <c r="Y2761">
        <v>-0.107783199999999</v>
      </c>
      <c r="Z2761">
        <v>3.2191329999999999E-3</v>
      </c>
      <c r="AA2761">
        <v>0.99416919999999998</v>
      </c>
      <c r="AB2761">
        <v>38</v>
      </c>
      <c r="AC2761">
        <v>23.796199999999999</v>
      </c>
      <c r="AD2761">
        <v>-1.1101607522469901</v>
      </c>
      <c r="AE2761">
        <v>2.66130000000001</v>
      </c>
      <c r="AF2761">
        <v>-2.6126807022173502</v>
      </c>
      <c r="AG2761">
        <v>-1.1101607522469901</v>
      </c>
      <c r="AH2761">
        <v>23.749917116630201</v>
      </c>
      <c r="AI2761">
        <v>92.660247720455402</v>
      </c>
      <c r="AJ2761">
        <v>96.277750946586295</v>
      </c>
      <c r="AK2761">
        <v>23.918969885728199</v>
      </c>
      <c r="AL2761">
        <v>79.800240573579302</v>
      </c>
      <c r="AM2761">
        <v>93.677801757959998</v>
      </c>
      <c r="AN2761">
        <v>0.99999995552043996</v>
      </c>
    </row>
    <row r="2762" spans="1:40" x14ac:dyDescent="0.25">
      <c r="A2762" t="str">
        <f>"20190304155422154"</f>
        <v>20190304155422154</v>
      </c>
      <c r="B2762" t="str">
        <f>"1551686062149735"</f>
        <v>1551686062149735</v>
      </c>
      <c r="C2762" t="s">
        <v>40</v>
      </c>
      <c r="D2762">
        <v>4.6568199999999997</v>
      </c>
      <c r="E2762">
        <v>0.4808212</v>
      </c>
      <c r="F2762" t="s">
        <v>63</v>
      </c>
      <c r="G2762">
        <v>-259.32619999999997</v>
      </c>
      <c r="H2762" s="1">
        <v>3.2906939999999999E-6</v>
      </c>
      <c r="I2762">
        <v>217.71530000000001</v>
      </c>
      <c r="J2762">
        <v>-282.66980000000001</v>
      </c>
      <c r="K2762">
        <v>1.110169</v>
      </c>
      <c r="L2762">
        <v>215.07320000000001</v>
      </c>
      <c r="M2762">
        <v>0.99988809999999995</v>
      </c>
      <c r="N2762">
        <v>-1.484857E-2</v>
      </c>
      <c r="O2762">
        <v>1.787812E-3</v>
      </c>
      <c r="P2762">
        <v>0.98453930000000001</v>
      </c>
      <c r="Q2762">
        <v>0.16259279999999901</v>
      </c>
      <c r="R2762">
        <v>6.5160570000000001E-2</v>
      </c>
      <c r="S2762">
        <v>3.0481569999999998</v>
      </c>
      <c r="T2762">
        <v>-0.14268040000000001</v>
      </c>
      <c r="U2762">
        <v>0.33966059999999998</v>
      </c>
      <c r="V2762">
        <v>-6.3384850000000006E-2</v>
      </c>
      <c r="W2762">
        <v>0.1772012</v>
      </c>
      <c r="X2762">
        <v>0.98213139999999999</v>
      </c>
      <c r="Y2762">
        <v>-0.1088143</v>
      </c>
      <c r="Z2762">
        <v>3.291558E-3</v>
      </c>
      <c r="AA2762">
        <v>0.99405659999999896</v>
      </c>
      <c r="AB2762">
        <v>38</v>
      </c>
      <c r="AC2762">
        <v>23.343599999999999</v>
      </c>
      <c r="AD2762">
        <v>-1.110165709306</v>
      </c>
      <c r="AE2762">
        <v>2.6420999999999899</v>
      </c>
      <c r="AF2762">
        <v>-2.5945632370501599</v>
      </c>
      <c r="AG2762">
        <v>-1.110165709306</v>
      </c>
      <c r="AH2762">
        <v>23.296263464339798</v>
      </c>
      <c r="AI2762">
        <v>92.711582821250005</v>
      </c>
      <c r="AJ2762">
        <v>96.354985487736897</v>
      </c>
      <c r="AK2762">
        <v>23.4665744771814</v>
      </c>
      <c r="AL2762">
        <v>79.793220084458099</v>
      </c>
      <c r="AM2762">
        <v>93.692637024749601</v>
      </c>
      <c r="AN2762">
        <v>0.99999999567846098</v>
      </c>
    </row>
    <row r="2763" spans="1:40" x14ac:dyDescent="0.25">
      <c r="A2763" t="str">
        <f>"20190304155422178"</f>
        <v>20190304155422178</v>
      </c>
      <c r="B2763" t="str">
        <f>"1551686062169255"</f>
        <v>1551686062169255</v>
      </c>
      <c r="C2763" t="s">
        <v>40</v>
      </c>
      <c r="D2763">
        <v>4.6436830000000002</v>
      </c>
      <c r="E2763">
        <v>0.48067029999999999</v>
      </c>
      <c r="F2763" t="s">
        <v>63</v>
      </c>
      <c r="G2763">
        <v>-259.0831</v>
      </c>
      <c r="H2763" s="1">
        <v>3.1610240000000001E-6</v>
      </c>
      <c r="I2763">
        <v>217.72190000000001</v>
      </c>
      <c r="J2763">
        <v>-282.27769999999998</v>
      </c>
      <c r="K2763">
        <v>1.110174</v>
      </c>
      <c r="L2763">
        <v>215.07390000000001</v>
      </c>
      <c r="M2763">
        <v>0.9998882</v>
      </c>
      <c r="N2763">
        <v>-1.4854610000000001E-2</v>
      </c>
      <c r="O2763">
        <v>1.767565E-3</v>
      </c>
      <c r="P2763">
        <v>0.98449520000000001</v>
      </c>
      <c r="Q2763">
        <v>0.16277049999999901</v>
      </c>
      <c r="R2763">
        <v>6.5385299999999993E-2</v>
      </c>
      <c r="S2763">
        <v>3.0481259999999999</v>
      </c>
      <c r="T2763">
        <v>-0.14346739999999999</v>
      </c>
      <c r="U2763">
        <v>0.3423004</v>
      </c>
      <c r="V2763">
        <v>-6.3629519999999995E-2</v>
      </c>
      <c r="W2763">
        <v>0.17738419999999999</v>
      </c>
      <c r="X2763">
        <v>0.98208249999999997</v>
      </c>
      <c r="Y2763">
        <v>-0.109683</v>
      </c>
      <c r="Z2763">
        <v>3.3328640000000001E-3</v>
      </c>
      <c r="AA2763">
        <v>0.99396099999999998</v>
      </c>
      <c r="AB2763">
        <v>38</v>
      </c>
      <c r="AC2763">
        <v>23.194599999999902</v>
      </c>
      <c r="AD2763">
        <v>-1.1101708389760001</v>
      </c>
      <c r="AE2763">
        <v>2.6479999999999899</v>
      </c>
      <c r="AF2763">
        <v>-2.6011111636421198</v>
      </c>
      <c r="AG2763">
        <v>-1.1101708389760001</v>
      </c>
      <c r="AH2763">
        <v>23.1468998275299</v>
      </c>
      <c r="AI2763">
        <v>92.728764968940794</v>
      </c>
      <c r="AJ2763">
        <v>96.411661115114498</v>
      </c>
      <c r="AK2763">
        <v>23.3190315022524</v>
      </c>
      <c r="AL2763">
        <v>79.782565743942101</v>
      </c>
      <c r="AM2763">
        <v>93.707035256814507</v>
      </c>
      <c r="AN2763">
        <v>0.99999995351565896</v>
      </c>
    </row>
    <row r="2764" spans="1:40" x14ac:dyDescent="0.25">
      <c r="A2764" t="str">
        <f>"20190304155422199"</f>
        <v>20190304155422199</v>
      </c>
      <c r="B2764" t="str">
        <f>"1551686062189752"</f>
        <v>1551686062189752</v>
      </c>
      <c r="C2764" t="s">
        <v>40</v>
      </c>
      <c r="D2764">
        <v>4.6464530000000002</v>
      </c>
      <c r="E2764">
        <v>0.48053970000000001</v>
      </c>
      <c r="F2764" t="s">
        <v>63</v>
      </c>
      <c r="G2764">
        <v>-258.75189999999998</v>
      </c>
      <c r="H2764" s="1">
        <v>2.9843949999999998E-6</v>
      </c>
      <c r="I2764">
        <v>217.7303</v>
      </c>
      <c r="J2764">
        <v>-281.91910000000001</v>
      </c>
      <c r="K2764">
        <v>1.1101749999999999</v>
      </c>
      <c r="L2764">
        <v>215.0745</v>
      </c>
      <c r="M2764">
        <v>0.9998882</v>
      </c>
      <c r="N2764">
        <v>-1.48588E-2</v>
      </c>
      <c r="O2764">
        <v>1.749177E-3</v>
      </c>
      <c r="P2764">
        <v>0.98439529999999997</v>
      </c>
      <c r="Q2764">
        <v>0.1633367</v>
      </c>
      <c r="R2764">
        <v>6.5476370000000006E-2</v>
      </c>
      <c r="S2764">
        <v>3.048187</v>
      </c>
      <c r="T2764">
        <v>-0.1438421</v>
      </c>
      <c r="U2764">
        <v>0.34419250000000001</v>
      </c>
      <c r="V2764">
        <v>-6.3738520000000007E-2</v>
      </c>
      <c r="W2764">
        <v>0.1779529</v>
      </c>
      <c r="X2764">
        <v>0.98197259999999997</v>
      </c>
      <c r="Y2764">
        <v>-0.11030669999999999</v>
      </c>
      <c r="Z2764">
        <v>3.3593939999999999E-3</v>
      </c>
      <c r="AA2764">
        <v>0.99389190000000005</v>
      </c>
      <c r="AB2764">
        <v>38</v>
      </c>
      <c r="AC2764">
        <v>23.167200000000001</v>
      </c>
      <c r="AD2764">
        <v>-1.1101720156049999</v>
      </c>
      <c r="AE2764">
        <v>2.6558000000000002</v>
      </c>
      <c r="AF2764">
        <v>-2.60935372948971</v>
      </c>
      <c r="AG2764">
        <v>-1.1101720156049999</v>
      </c>
      <c r="AH2764">
        <v>23.119409463471602</v>
      </c>
      <c r="AI2764">
        <v>92.731858925924698</v>
      </c>
      <c r="AJ2764">
        <v>96.439392405541497</v>
      </c>
      <c r="AK2764">
        <v>23.2926662863979</v>
      </c>
      <c r="AL2764">
        <v>79.749455439396897</v>
      </c>
      <c r="AM2764">
        <v>93.713782237239201</v>
      </c>
      <c r="AN2764">
        <v>1.00000001035048</v>
      </c>
    </row>
    <row r="2765" spans="1:40" x14ac:dyDescent="0.25">
      <c r="A2765" t="str">
        <f>"20190304155422221"</f>
        <v>20190304155422221</v>
      </c>
      <c r="B2765" t="str">
        <f>"1551686062209272"</f>
        <v>1551686062209272</v>
      </c>
      <c r="C2765" t="s">
        <v>40</v>
      </c>
      <c r="D2765">
        <v>4.6772519999999904</v>
      </c>
      <c r="E2765">
        <v>0.48045529999999997</v>
      </c>
      <c r="F2765" t="s">
        <v>63</v>
      </c>
      <c r="G2765">
        <v>-258.22649999999999</v>
      </c>
      <c r="H2765" s="1">
        <v>2.7034350000000001E-6</v>
      </c>
      <c r="I2765">
        <v>217.762</v>
      </c>
      <c r="J2765">
        <v>-281.54340000000002</v>
      </c>
      <c r="K2765">
        <v>1.1101780000000001</v>
      </c>
      <c r="L2765">
        <v>215.07509999999999</v>
      </c>
      <c r="M2765">
        <v>0.99988809999999995</v>
      </c>
      <c r="N2765">
        <v>-1.486209E-2</v>
      </c>
      <c r="O2765">
        <v>1.730316E-3</v>
      </c>
      <c r="P2765">
        <v>0.98437669999999999</v>
      </c>
      <c r="Q2765">
        <v>0.163434</v>
      </c>
      <c r="R2765">
        <v>6.551266E-2</v>
      </c>
      <c r="S2765">
        <v>3.0482179999999999</v>
      </c>
      <c r="T2765">
        <v>-0.14283109999999999</v>
      </c>
      <c r="U2765">
        <v>0.34576420000000002</v>
      </c>
      <c r="V2765">
        <v>-6.3793069999999993E-2</v>
      </c>
      <c r="W2765">
        <v>0.1780533</v>
      </c>
      <c r="X2765">
        <v>0.98195080000000001</v>
      </c>
      <c r="Y2765">
        <v>-0.110831399999999</v>
      </c>
      <c r="Z2765">
        <v>3.3586369999999998E-3</v>
      </c>
      <c r="AA2765">
        <v>0.99383350000000004</v>
      </c>
      <c r="AB2765">
        <v>38</v>
      </c>
      <c r="AC2765">
        <v>23.3169</v>
      </c>
      <c r="AD2765">
        <v>-1.110175296565</v>
      </c>
      <c r="AE2765">
        <v>2.6869000000000001</v>
      </c>
      <c r="AF2765">
        <v>-2.6406381764865499</v>
      </c>
      <c r="AG2765">
        <v>-1.110175296565</v>
      </c>
      <c r="AH2765">
        <v>23.269455437911201</v>
      </c>
      <c r="AI2765">
        <v>92.714091057754402</v>
      </c>
      <c r="AJ2765">
        <v>96.474278302840204</v>
      </c>
      <c r="AK2765">
        <v>23.445106430663898</v>
      </c>
      <c r="AL2765">
        <v>79.743608995285697</v>
      </c>
      <c r="AM2765">
        <v>93.717034023428198</v>
      </c>
      <c r="AN2765">
        <v>0.99999995352077597</v>
      </c>
    </row>
    <row r="2766" spans="1:40" x14ac:dyDescent="0.25">
      <c r="A2766" t="str">
        <f>"20190304155422243"</f>
        <v>20190304155422243</v>
      </c>
      <c r="B2766" t="str">
        <f>"1551686062239528"</f>
        <v>1551686062239528</v>
      </c>
      <c r="C2766" t="s">
        <v>40</v>
      </c>
      <c r="D2766">
        <v>4.7110969999999996</v>
      </c>
      <c r="E2766">
        <v>0.48041780000000001</v>
      </c>
      <c r="F2766" t="s">
        <v>63</v>
      </c>
      <c r="G2766">
        <v>-257.92689999999999</v>
      </c>
      <c r="H2766" s="1">
        <v>2.5441950000000002E-6</v>
      </c>
      <c r="I2766">
        <v>217.75829999999999</v>
      </c>
      <c r="J2766">
        <v>-281.1782</v>
      </c>
      <c r="K2766">
        <v>1.1101859999999999</v>
      </c>
      <c r="L2766">
        <v>215.07570000000001</v>
      </c>
      <c r="M2766">
        <v>0.999888</v>
      </c>
      <c r="N2766">
        <v>-1.4864250000000001E-2</v>
      </c>
      <c r="O2766">
        <v>1.71158799999999E-3</v>
      </c>
      <c r="P2766">
        <v>0.9843288</v>
      </c>
      <c r="Q2766">
        <v>0.16367860000000001</v>
      </c>
      <c r="R2766">
        <v>6.5621289999999999E-2</v>
      </c>
      <c r="S2766">
        <v>3.0483090000000002</v>
      </c>
      <c r="T2766">
        <v>-0.14329639999999999</v>
      </c>
      <c r="U2766">
        <v>0.34632869999999999</v>
      </c>
      <c r="V2766">
        <v>-6.3920820000000003E-2</v>
      </c>
      <c r="W2766">
        <v>0.1782987</v>
      </c>
      <c r="X2766">
        <v>0.98189800000000005</v>
      </c>
      <c r="Y2766">
        <v>-0.1110273</v>
      </c>
      <c r="Z2766">
        <v>3.3734730000000001E-3</v>
      </c>
      <c r="AA2766">
        <v>0.99381160000000002</v>
      </c>
      <c r="AB2766">
        <v>38</v>
      </c>
      <c r="AC2766">
        <v>23.251300000000001</v>
      </c>
      <c r="AD2766">
        <v>-1.1101834558050001</v>
      </c>
      <c r="AE2766">
        <v>2.6825999999999701</v>
      </c>
      <c r="AF2766">
        <v>-2.63686249811408</v>
      </c>
      <c r="AG2766">
        <v>-1.1101834558050001</v>
      </c>
      <c r="AH2766">
        <v>23.203653375347798</v>
      </c>
      <c r="AI2766">
        <v>92.721747751790204</v>
      </c>
      <c r="AJ2766">
        <v>96.483277748084205</v>
      </c>
      <c r="AK2766">
        <v>23.3793729835253</v>
      </c>
      <c r="AL2766">
        <v>79.729320345323401</v>
      </c>
      <c r="AM2766">
        <v>93.724656421855997</v>
      </c>
      <c r="AN2766">
        <v>0.999999990027581</v>
      </c>
    </row>
    <row r="2767" spans="1:40" x14ac:dyDescent="0.25">
      <c r="A2767" t="str">
        <f>"20190304155422267"</f>
        <v>20190304155422267</v>
      </c>
      <c r="B2767" t="str">
        <f>"1551686062260024"</f>
        <v>1551686062260024</v>
      </c>
      <c r="C2767" t="s">
        <v>40</v>
      </c>
      <c r="D2767">
        <v>4.6526019999999999</v>
      </c>
      <c r="E2767">
        <v>0.48005569999999997</v>
      </c>
      <c r="F2767" t="s">
        <v>63</v>
      </c>
      <c r="G2767">
        <v>-257.59620000000001</v>
      </c>
      <c r="H2767" s="1">
        <v>2.3681350000000002E-6</v>
      </c>
      <c r="I2767">
        <v>217.75960000000001</v>
      </c>
      <c r="J2767">
        <v>-280.77659999999997</v>
      </c>
      <c r="K2767">
        <v>1.1101840000000001</v>
      </c>
      <c r="L2767">
        <v>215.07640000000001</v>
      </c>
      <c r="M2767">
        <v>0.99988809999999995</v>
      </c>
      <c r="N2767">
        <v>-1.48655E-2</v>
      </c>
      <c r="O2767">
        <v>1.691372E-3</v>
      </c>
      <c r="P2767">
        <v>0.9843172</v>
      </c>
      <c r="Q2767">
        <v>0.16374079999999999</v>
      </c>
      <c r="R2767">
        <v>6.564151E-2</v>
      </c>
      <c r="S2767">
        <v>3.0485530000000001</v>
      </c>
      <c r="T2767">
        <v>-0.14351839999999999</v>
      </c>
      <c r="U2767">
        <v>0.34695429999999999</v>
      </c>
      <c r="V2767">
        <v>-6.3960799999999998E-2</v>
      </c>
      <c r="W2767">
        <v>0.17836260000000001</v>
      </c>
      <c r="X2767">
        <v>0.98188379999999997</v>
      </c>
      <c r="Y2767">
        <v>-0.111239</v>
      </c>
      <c r="Z2767">
        <v>3.3844209999999999E-3</v>
      </c>
      <c r="AA2767">
        <v>0.99378789999999995</v>
      </c>
      <c r="AB2767">
        <v>38</v>
      </c>
      <c r="AC2767">
        <v>23.180399999999899</v>
      </c>
      <c r="AD2767">
        <v>-1.110181631865</v>
      </c>
      <c r="AE2767">
        <v>2.6831999999999998</v>
      </c>
      <c r="AF2767">
        <v>-2.6380142061672198</v>
      </c>
      <c r="AG2767">
        <v>-1.110181631865</v>
      </c>
      <c r="AH2767">
        <v>23.1325468719341</v>
      </c>
      <c r="AI2767">
        <v>92.7299746775861</v>
      </c>
      <c r="AJ2767">
        <v>96.505852065779095</v>
      </c>
      <c r="AK2767">
        <v>23.308932772435099</v>
      </c>
      <c r="AL2767">
        <v>79.7255995938838</v>
      </c>
      <c r="AM2767">
        <v>93.727033234106599</v>
      </c>
      <c r="AN2767">
        <v>0.99999999885891899</v>
      </c>
    </row>
    <row r="2768" spans="1:40" x14ac:dyDescent="0.25">
      <c r="A2768" t="str">
        <f>"20190304155422290"</f>
        <v>20190304155422290</v>
      </c>
      <c r="B2768" t="str">
        <f>"1551686062279543"</f>
        <v>1551686062279543</v>
      </c>
      <c r="C2768" t="s">
        <v>40</v>
      </c>
      <c r="D2768">
        <v>4.6947219999999996</v>
      </c>
      <c r="E2768">
        <v>0.4799175</v>
      </c>
      <c r="F2768" t="s">
        <v>63</v>
      </c>
      <c r="G2768">
        <v>-257.22550000000001</v>
      </c>
      <c r="H2768" s="1">
        <v>2.1698739999999999E-6</v>
      </c>
      <c r="I2768">
        <v>217.7825</v>
      </c>
      <c r="J2768">
        <v>-280.3897</v>
      </c>
      <c r="K2768">
        <v>1.110185</v>
      </c>
      <c r="L2768">
        <v>215.077</v>
      </c>
      <c r="M2768">
        <v>0.99988809999999995</v>
      </c>
      <c r="N2768">
        <v>-1.486614E-2</v>
      </c>
      <c r="O2768">
        <v>1.6716420000000001E-3</v>
      </c>
      <c r="P2768">
        <v>0.98427980000000004</v>
      </c>
      <c r="Q2768">
        <v>0.16389719999999999</v>
      </c>
      <c r="R2768">
        <v>6.5810380000000002E-2</v>
      </c>
      <c r="S2768">
        <v>3.04834</v>
      </c>
      <c r="T2768">
        <v>-0.14369680000000001</v>
      </c>
      <c r="U2768">
        <v>0.35026550000000001</v>
      </c>
      <c r="V2768">
        <v>-6.4149040000000004E-2</v>
      </c>
      <c r="W2768">
        <v>0.17851929999999999</v>
      </c>
      <c r="X2768">
        <v>0.98184309999999997</v>
      </c>
      <c r="Y2768">
        <v>-0.11233</v>
      </c>
      <c r="Z2768">
        <v>3.4220600000000002E-3</v>
      </c>
      <c r="AA2768">
        <v>0.99366500000000002</v>
      </c>
      <c r="AB2768">
        <v>38</v>
      </c>
      <c r="AC2768">
        <v>23.164199999999902</v>
      </c>
      <c r="AD2768">
        <v>-1.1101828301259999</v>
      </c>
      <c r="AE2768">
        <v>2.7054999999999998</v>
      </c>
      <c r="AF2768">
        <v>-2.66074031180848</v>
      </c>
      <c r="AG2768">
        <v>-1.1101828301259999</v>
      </c>
      <c r="AH2768">
        <v>23.1163079789379</v>
      </c>
      <c r="AI2768">
        <v>92.731564530954799</v>
      </c>
      <c r="AJ2768">
        <v>96.565981421588802</v>
      </c>
      <c r="AK2768">
        <v>23.295401681454202</v>
      </c>
      <c r="AL2768">
        <v>79.716475497829904</v>
      </c>
      <c r="AM2768">
        <v>93.738125546337798</v>
      </c>
      <c r="AN2768">
        <v>1.0000000564114999</v>
      </c>
    </row>
    <row r="2769" spans="1:40" x14ac:dyDescent="0.25">
      <c r="A2769" t="str">
        <f>"20190304155422312"</f>
        <v>20190304155422312</v>
      </c>
      <c r="B2769" t="str">
        <f>"1551686062300039"</f>
        <v>1551686062300039</v>
      </c>
      <c r="C2769" t="s">
        <v>40</v>
      </c>
      <c r="D2769">
        <v>4.693066</v>
      </c>
      <c r="E2769">
        <v>0.47980040000000002</v>
      </c>
      <c r="F2769" t="s">
        <v>63</v>
      </c>
      <c r="G2769">
        <v>-256.92469999999997</v>
      </c>
      <c r="H2769" s="1">
        <v>2.0095540000000002E-6</v>
      </c>
      <c r="I2769">
        <v>217.78729999999999</v>
      </c>
      <c r="J2769">
        <v>-280.0249</v>
      </c>
      <c r="K2769">
        <v>1.1101939999999999</v>
      </c>
      <c r="L2769">
        <v>215.07759999999999</v>
      </c>
      <c r="M2769">
        <v>0.9998882</v>
      </c>
      <c r="N2769">
        <v>-1.4866310000000001E-2</v>
      </c>
      <c r="O2769">
        <v>1.6529279999999999E-3</v>
      </c>
      <c r="P2769">
        <v>0.9842592</v>
      </c>
      <c r="Q2769">
        <v>0.1639359</v>
      </c>
      <c r="R2769">
        <v>6.6021549999999998E-2</v>
      </c>
      <c r="S2769">
        <v>3.0484010000000001</v>
      </c>
      <c r="T2769">
        <v>-0.14422639999999901</v>
      </c>
      <c r="U2769">
        <v>0.35209659999999998</v>
      </c>
      <c r="V2769">
        <v>-6.4378930000000001E-2</v>
      </c>
      <c r="W2769">
        <v>0.178557299999999</v>
      </c>
      <c r="X2769">
        <v>0.9818211</v>
      </c>
      <c r="Y2769">
        <v>-0.1129334</v>
      </c>
      <c r="Z2769">
        <v>3.4507129999999998E-3</v>
      </c>
      <c r="AA2769">
        <v>0.99359660000000005</v>
      </c>
      <c r="AB2769">
        <v>38</v>
      </c>
      <c r="AC2769">
        <v>23.100200000000001</v>
      </c>
      <c r="AD2769">
        <v>-1.110191990446</v>
      </c>
      <c r="AE2769">
        <v>2.70969999999999</v>
      </c>
      <c r="AF2769">
        <v>-2.66543618765049</v>
      </c>
      <c r="AG2769">
        <v>-1.110191990446</v>
      </c>
      <c r="AH2769">
        <v>23.052125945029498</v>
      </c>
      <c r="AI2769">
        <v>92.739017576811406</v>
      </c>
      <c r="AJ2769">
        <v>96.595620046284907</v>
      </c>
      <c r="AK2769">
        <v>23.232253160457599</v>
      </c>
      <c r="AL2769">
        <v>79.714262266499603</v>
      </c>
      <c r="AM2769">
        <v>93.751567447903696</v>
      </c>
      <c r="AN2769">
        <v>1.0000000142082199</v>
      </c>
    </row>
    <row r="2770" spans="1:40" x14ac:dyDescent="0.25">
      <c r="A2770" t="str">
        <f>"20190304155422333"</f>
        <v>20190304155422333</v>
      </c>
      <c r="B2770" t="str">
        <f>"1551686062329319"</f>
        <v>1551686062329319</v>
      </c>
      <c r="C2770" t="s">
        <v>40</v>
      </c>
      <c r="D2770">
        <v>4.7276049999999996</v>
      </c>
      <c r="E2770">
        <v>0.47966809999999999</v>
      </c>
      <c r="F2770" t="s">
        <v>63</v>
      </c>
      <c r="G2770">
        <v>-256.68860000000001</v>
      </c>
      <c r="H2770" s="1">
        <v>1.883996E-6</v>
      </c>
      <c r="I2770">
        <v>217.78569999999999</v>
      </c>
      <c r="J2770">
        <v>-279.6653</v>
      </c>
      <c r="K2770">
        <v>1.1101989999999999</v>
      </c>
      <c r="L2770">
        <v>215.07820000000001</v>
      </c>
      <c r="M2770">
        <v>0.9998882</v>
      </c>
      <c r="N2770">
        <v>-1.4866010000000001E-2</v>
      </c>
      <c r="O2770">
        <v>1.634576E-3</v>
      </c>
      <c r="P2770">
        <v>0.98419270000000003</v>
      </c>
      <c r="Q2770">
        <v>0.16431809999999999</v>
      </c>
      <c r="R2770">
        <v>6.6062380000000004E-2</v>
      </c>
      <c r="S2770">
        <v>3.0484010000000001</v>
      </c>
      <c r="T2770">
        <v>-0.14502309999999999</v>
      </c>
      <c r="U2770">
        <v>0.35375980000000001</v>
      </c>
      <c r="V2770">
        <v>-6.4438060000000005E-2</v>
      </c>
      <c r="W2770">
        <v>0.17893819999999999</v>
      </c>
      <c r="X2770">
        <v>0.98174790000000001</v>
      </c>
      <c r="Y2770">
        <v>-0.11348419999999999</v>
      </c>
      <c r="Z2770">
        <v>3.4826570000000001E-3</v>
      </c>
      <c r="AA2770">
        <v>0.99353369999999996</v>
      </c>
      <c r="AB2770">
        <v>38</v>
      </c>
      <c r="AC2770">
        <v>22.976699999999902</v>
      </c>
      <c r="AD2770">
        <v>-1.1101971160039901</v>
      </c>
      <c r="AE2770">
        <v>2.70749999999998</v>
      </c>
      <c r="AF2770">
        <v>-2.6638011553932701</v>
      </c>
      <c r="AG2770">
        <v>-1.1101971160039901</v>
      </c>
      <c r="AH2770">
        <v>22.928298577764998</v>
      </c>
      <c r="AI2770">
        <v>92.753626059888802</v>
      </c>
      <c r="AJ2770">
        <v>96.626892857293797</v>
      </c>
      <c r="AK2770">
        <v>23.109202710240801</v>
      </c>
      <c r="AL2770">
        <v>79.692081354672595</v>
      </c>
      <c r="AM2770">
        <v>93.755282465138706</v>
      </c>
      <c r="AN2770">
        <v>1.0000000410751</v>
      </c>
    </row>
    <row r="2771" spans="1:40" x14ac:dyDescent="0.25">
      <c r="A2771" t="str">
        <f>"20190304155422355"</f>
        <v>20190304155422355</v>
      </c>
      <c r="B2771" t="str">
        <f>"1551686062349815"</f>
        <v>1551686062349815</v>
      </c>
      <c r="C2771" t="s">
        <v>40</v>
      </c>
      <c r="D2771">
        <v>4.7255209999999996</v>
      </c>
      <c r="E2771">
        <v>0.4795452</v>
      </c>
      <c r="F2771" t="s">
        <v>63</v>
      </c>
      <c r="G2771">
        <v>-256.34690000000001</v>
      </c>
      <c r="H2771" s="1">
        <v>1.701925E-6</v>
      </c>
      <c r="I2771">
        <v>217.79169999999999</v>
      </c>
      <c r="J2771">
        <v>-279.29590000000002</v>
      </c>
      <c r="K2771">
        <v>1.1102030000000001</v>
      </c>
      <c r="L2771">
        <v>215.0788</v>
      </c>
      <c r="M2771">
        <v>0.9998882</v>
      </c>
      <c r="N2771">
        <v>-1.486525E-2</v>
      </c>
      <c r="O2771">
        <v>1.6157459999999999E-3</v>
      </c>
      <c r="P2771">
        <v>0.98417750000000004</v>
      </c>
      <c r="Q2771">
        <v>0.16443740000000001</v>
      </c>
      <c r="R2771">
        <v>6.5994380000000005E-2</v>
      </c>
      <c r="S2771">
        <v>3.048584</v>
      </c>
      <c r="T2771">
        <v>-0.1451442</v>
      </c>
      <c r="U2771">
        <v>0.35476679999999999</v>
      </c>
      <c r="V2771">
        <v>-6.4388440000000005E-2</v>
      </c>
      <c r="W2771">
        <v>0.17905689999999999</v>
      </c>
      <c r="X2771">
        <v>0.98172939999999997</v>
      </c>
      <c r="Y2771">
        <v>-0.1138192</v>
      </c>
      <c r="Z2771">
        <v>3.4956589999999999E-3</v>
      </c>
      <c r="AA2771">
        <v>0.99349529999999997</v>
      </c>
      <c r="AB2771">
        <v>37</v>
      </c>
      <c r="AC2771">
        <v>22.949000000000002</v>
      </c>
      <c r="AD2771">
        <v>-1.110201298075</v>
      </c>
      <c r="AE2771">
        <v>2.7128999999999901</v>
      </c>
      <c r="AF2771">
        <v>-2.66965086629338</v>
      </c>
      <c r="AG2771">
        <v>-1.110201298075</v>
      </c>
      <c r="AH2771">
        <v>22.900497943064199</v>
      </c>
      <c r="AI2771">
        <v>92.756848794017401</v>
      </c>
      <c r="AJ2771">
        <v>96.649305901742395</v>
      </c>
      <c r="AK2771">
        <v>23.082296001707402</v>
      </c>
      <c r="AL2771">
        <v>79.685167542250198</v>
      </c>
      <c r="AM2771">
        <v>93.752469514746295</v>
      </c>
      <c r="AN2771">
        <v>0.99999992973379903</v>
      </c>
    </row>
    <row r="2772" spans="1:40" x14ac:dyDescent="0.25">
      <c r="A2772" t="str">
        <f>"20190304155422378"</f>
        <v>20190304155422378</v>
      </c>
      <c r="B2772" t="str">
        <f>"1551686062369335"</f>
        <v>1551686062369335</v>
      </c>
      <c r="C2772" t="s">
        <v>40</v>
      </c>
      <c r="D2772">
        <v>4.7404109999999999</v>
      </c>
      <c r="E2772">
        <v>0.47939559999999998</v>
      </c>
      <c r="F2772" t="s">
        <v>63</v>
      </c>
      <c r="G2772">
        <v>-256.01729999999998</v>
      </c>
      <c r="H2772" s="1">
        <v>1.52641E-6</v>
      </c>
      <c r="I2772">
        <v>217.79390000000001</v>
      </c>
      <c r="J2772">
        <v>-278.92320000000001</v>
      </c>
      <c r="K2772">
        <v>1.110204</v>
      </c>
      <c r="L2772">
        <v>215.07929999999999</v>
      </c>
      <c r="M2772">
        <v>0.9998882</v>
      </c>
      <c r="N2772">
        <v>-1.486405E-2</v>
      </c>
      <c r="O2772">
        <v>1.59686299999999E-3</v>
      </c>
      <c r="P2772">
        <v>0.98416219999999999</v>
      </c>
      <c r="Q2772">
        <v>0.16460549999999999</v>
      </c>
      <c r="R2772">
        <v>6.5800120000000004E-2</v>
      </c>
      <c r="S2772">
        <v>3.0486759999999999</v>
      </c>
      <c r="T2772">
        <v>-0.1453971</v>
      </c>
      <c r="U2772">
        <v>0.35559079999999998</v>
      </c>
      <c r="V2772">
        <v>-6.4212309999999995E-2</v>
      </c>
      <c r="W2772">
        <v>0.17922349999999901</v>
      </c>
      <c r="X2772">
        <v>0.98171059999999999</v>
      </c>
      <c r="Y2772">
        <v>-0.11409850000000001</v>
      </c>
      <c r="Z2772">
        <v>3.509383E-3</v>
      </c>
      <c r="AA2772">
        <v>0.99346319999999999</v>
      </c>
      <c r="AB2772">
        <v>37</v>
      </c>
      <c r="AC2772">
        <v>22.905899999999999</v>
      </c>
      <c r="AD2772">
        <v>-1.11020247359</v>
      </c>
      <c r="AE2772">
        <v>2.7146000000000101</v>
      </c>
      <c r="AF2772">
        <v>-2.6718253395863298</v>
      </c>
      <c r="AG2772">
        <v>-1.11020247359</v>
      </c>
      <c r="AH2772">
        <v>22.857254819399</v>
      </c>
      <c r="AI2772">
        <v>92.761959006929601</v>
      </c>
      <c r="AJ2772">
        <v>96.667149901582306</v>
      </c>
      <c r="AK2772">
        <v>23.039646222469599</v>
      </c>
      <c r="AL2772">
        <v>79.675465773512997</v>
      </c>
      <c r="AM2772">
        <v>93.742305569428694</v>
      </c>
      <c r="AN2772">
        <v>0.99999999293007202</v>
      </c>
    </row>
    <row r="2773" spans="1:40" x14ac:dyDescent="0.25">
      <c r="A2773" t="str">
        <f>"20190304155422399"</f>
        <v>20190304155422399</v>
      </c>
      <c r="B2773" t="str">
        <f>"1551686062389832"</f>
        <v>1551686062389832</v>
      </c>
      <c r="C2773" t="s">
        <v>40</v>
      </c>
      <c r="D2773">
        <v>4.7377149999999997</v>
      </c>
      <c r="E2773">
        <v>0.47925509999999899</v>
      </c>
      <c r="F2773" t="s">
        <v>63</v>
      </c>
      <c r="G2773">
        <v>-255.6705</v>
      </c>
      <c r="H2773" s="1">
        <v>1.3418400000000001E-6</v>
      </c>
      <c r="I2773">
        <v>217.79519999999999</v>
      </c>
      <c r="J2773">
        <v>-278.55430000000001</v>
      </c>
      <c r="K2773">
        <v>1.1102019999999999</v>
      </c>
      <c r="L2773">
        <v>215.07990000000001</v>
      </c>
      <c r="M2773">
        <v>0.99988840000000001</v>
      </c>
      <c r="N2773">
        <v>-1.4862490000000001E-2</v>
      </c>
      <c r="O2773">
        <v>1.578039E-3</v>
      </c>
      <c r="P2773">
        <v>0.98405790000000004</v>
      </c>
      <c r="Q2773">
        <v>0.1651984</v>
      </c>
      <c r="R2773">
        <v>6.5877720000000001E-2</v>
      </c>
      <c r="S2773">
        <v>3.0487980000000001</v>
      </c>
      <c r="T2773">
        <v>-0.14556520000000001</v>
      </c>
      <c r="U2773">
        <v>0.35609439999999998</v>
      </c>
      <c r="V2773">
        <v>-6.4308729999999995E-2</v>
      </c>
      <c r="W2773">
        <v>0.17981259999999999</v>
      </c>
      <c r="X2773">
        <v>0.98159660000000004</v>
      </c>
      <c r="Y2773">
        <v>-0.1142739</v>
      </c>
      <c r="Z2773">
        <v>3.5183079999999999E-3</v>
      </c>
      <c r="AA2773">
        <v>0.99344310000000002</v>
      </c>
      <c r="AB2773">
        <v>37</v>
      </c>
      <c r="AC2773">
        <v>22.883800000000001</v>
      </c>
      <c r="AD2773">
        <v>-1.1102006581599999</v>
      </c>
      <c r="AE2773">
        <v>2.7152999999999801</v>
      </c>
      <c r="AF2773">
        <v>-2.6729771292666999</v>
      </c>
      <c r="AG2773">
        <v>-1.1102006581599999</v>
      </c>
      <c r="AH2773">
        <v>22.8350567005789</v>
      </c>
      <c r="AI2773">
        <v>92.764582988388497</v>
      </c>
      <c r="AJ2773">
        <v>96.676423578927</v>
      </c>
      <c r="AK2773">
        <v>23.017757639561999</v>
      </c>
      <c r="AL2773">
        <v>79.641155882145</v>
      </c>
      <c r="AM2773">
        <v>93.748342972364199</v>
      </c>
      <c r="AN2773">
        <v>1.0000000345022599</v>
      </c>
    </row>
    <row r="2774" spans="1:40" x14ac:dyDescent="0.25">
      <c r="A2774" t="str">
        <f>"20190304155422422"</f>
        <v>20190304155422422</v>
      </c>
      <c r="B2774" t="str">
        <f>"1551686062420087"</f>
        <v>1551686062420087</v>
      </c>
      <c r="C2774" t="s">
        <v>40</v>
      </c>
      <c r="D2774">
        <v>4.7460620000000002</v>
      </c>
      <c r="E2774">
        <v>0.47904740000000001</v>
      </c>
      <c r="F2774" t="s">
        <v>63</v>
      </c>
      <c r="G2774">
        <v>-255.11760000000001</v>
      </c>
      <c r="H2774" s="1">
        <v>1.046221E-6</v>
      </c>
      <c r="I2774">
        <v>217.82650000000001</v>
      </c>
      <c r="J2774">
        <v>-278.1859</v>
      </c>
      <c r="K2774">
        <v>1.110204</v>
      </c>
      <c r="L2774">
        <v>215.0805</v>
      </c>
      <c r="M2774">
        <v>0.99988840000000001</v>
      </c>
      <c r="N2774">
        <v>-1.4860430000000001E-2</v>
      </c>
      <c r="O2774">
        <v>1.5591629999999999E-3</v>
      </c>
      <c r="P2774">
        <v>0.98399570000000003</v>
      </c>
      <c r="Q2774">
        <v>0.16567509999999999</v>
      </c>
      <c r="R2774">
        <v>6.5608680000000003E-2</v>
      </c>
      <c r="S2774">
        <v>3.048889</v>
      </c>
      <c r="T2774">
        <v>-0.14442629999999901</v>
      </c>
      <c r="U2774">
        <v>0.3572998</v>
      </c>
      <c r="V2774">
        <v>-6.4058760000000006E-2</v>
      </c>
      <c r="W2774">
        <v>0.18028640000000001</v>
      </c>
      <c r="X2774">
        <v>0.98152600000000001</v>
      </c>
      <c r="Y2774">
        <v>-0.1146784</v>
      </c>
      <c r="Z2774">
        <v>3.5105840000000002E-3</v>
      </c>
      <c r="AA2774">
        <v>0.99339650000000002</v>
      </c>
      <c r="AB2774">
        <v>37</v>
      </c>
      <c r="AC2774">
        <v>23.068299999999901</v>
      </c>
      <c r="AD2774">
        <v>-1.1102029537789999</v>
      </c>
      <c r="AE2774">
        <v>2.746</v>
      </c>
      <c r="AF2774">
        <v>-2.7038503301431298</v>
      </c>
      <c r="AG2774">
        <v>-1.1102029537789999</v>
      </c>
      <c r="AH2774">
        <v>23.0199802830601</v>
      </c>
      <c r="AI2774">
        <v>92.742287361744204</v>
      </c>
      <c r="AJ2774">
        <v>96.699077267252207</v>
      </c>
      <c r="AK2774">
        <v>23.2048022926047</v>
      </c>
      <c r="AL2774">
        <v>79.613557762286405</v>
      </c>
      <c r="AM2774">
        <v>93.734082152879196</v>
      </c>
      <c r="AN2774">
        <v>0.99999999971684805</v>
      </c>
    </row>
    <row r="2775" spans="1:40" x14ac:dyDescent="0.25">
      <c r="A2775" t="str">
        <f>"20190304155422444"</f>
        <v>20190304155422444</v>
      </c>
      <c r="B2775" t="str">
        <f>"1551686062439608"</f>
        <v>1551686062439608</v>
      </c>
      <c r="C2775" t="s">
        <v>40</v>
      </c>
      <c r="D2775">
        <v>4.7614780000000003</v>
      </c>
      <c r="E2775">
        <v>0.47889880000000001</v>
      </c>
      <c r="F2775" t="s">
        <v>63</v>
      </c>
      <c r="G2775">
        <v>-254.6756</v>
      </c>
      <c r="H2775" s="1">
        <v>8.102594E-7</v>
      </c>
      <c r="I2775">
        <v>217.84360000000001</v>
      </c>
      <c r="J2775">
        <v>-277.81920000000002</v>
      </c>
      <c r="K2775">
        <v>1.110206</v>
      </c>
      <c r="L2775">
        <v>215.08099999999999</v>
      </c>
      <c r="M2775">
        <v>0.99988849999999996</v>
      </c>
      <c r="N2775">
        <v>-1.485803E-2</v>
      </c>
      <c r="O2775">
        <v>1.5405270000000001E-3</v>
      </c>
      <c r="P2775">
        <v>0.98387049999999998</v>
      </c>
      <c r="Q2775">
        <v>0.1663105</v>
      </c>
      <c r="R2775">
        <v>6.5877119999999997E-2</v>
      </c>
      <c r="S2775">
        <v>3.0491329999999999</v>
      </c>
      <c r="T2775">
        <v>-0.1439859</v>
      </c>
      <c r="U2775">
        <v>0.35835270000000002</v>
      </c>
      <c r="V2775">
        <v>-6.4345550000000001E-2</v>
      </c>
      <c r="W2775">
        <v>0.18091769999999999</v>
      </c>
      <c r="X2775">
        <v>0.98139109999999996</v>
      </c>
      <c r="Y2775">
        <v>-0.1150265</v>
      </c>
      <c r="Z2775">
        <v>3.5135589999999999E-3</v>
      </c>
      <c r="AA2775">
        <v>0.99335620000000002</v>
      </c>
      <c r="AB2775">
        <v>37</v>
      </c>
      <c r="AC2775">
        <v>23.143599999999999</v>
      </c>
      <c r="AD2775">
        <v>-1.1102051897406</v>
      </c>
      <c r="AE2775">
        <v>2.7626000000000199</v>
      </c>
      <c r="AF2775">
        <v>-2.7207665148052902</v>
      </c>
      <c r="AG2775">
        <v>-1.1102051897406</v>
      </c>
      <c r="AH2775">
        <v>23.095429465638698</v>
      </c>
      <c r="AI2775">
        <v>92.733237412492898</v>
      </c>
      <c r="AJ2775">
        <v>96.718785580746399</v>
      </c>
      <c r="AK2775">
        <v>23.2816234011657</v>
      </c>
      <c r="AL2775">
        <v>79.576782501564793</v>
      </c>
      <c r="AM2775">
        <v>93.751266061250206</v>
      </c>
      <c r="AN2775">
        <v>1.00000002756865</v>
      </c>
    </row>
    <row r="2776" spans="1:40" x14ac:dyDescent="0.25">
      <c r="A2776" t="str">
        <f>"20190304155422466"</f>
        <v>20190304155422466</v>
      </c>
      <c r="B2776" t="str">
        <f>"1551686062459127"</f>
        <v>1551686062459127</v>
      </c>
      <c r="C2776" t="s">
        <v>40</v>
      </c>
      <c r="D2776">
        <v>4.7144149999999998</v>
      </c>
      <c r="E2776">
        <v>0.47863250000000002</v>
      </c>
      <c r="F2776" t="s">
        <v>63</v>
      </c>
      <c r="G2776">
        <v>-254.1052</v>
      </c>
      <c r="H2776" s="1">
        <v>5.0499839999999995E-7</v>
      </c>
      <c r="I2776">
        <v>217.8827</v>
      </c>
      <c r="J2776">
        <v>-277.44310000000002</v>
      </c>
      <c r="K2776">
        <v>1.1102160000000001</v>
      </c>
      <c r="L2776">
        <v>215.08160000000001</v>
      </c>
      <c r="M2776">
        <v>0.99988849999999996</v>
      </c>
      <c r="N2776">
        <v>-1.485538E-2</v>
      </c>
      <c r="O2776">
        <v>1.5211770000000001E-3</v>
      </c>
      <c r="P2776">
        <v>0.98370190000000002</v>
      </c>
      <c r="Q2776">
        <v>0.16718359999999999</v>
      </c>
      <c r="R2776">
        <v>6.6183190000000003E-2</v>
      </c>
      <c r="S2776">
        <v>3.0492249999999999</v>
      </c>
      <c r="T2776">
        <v>-0.142753399999999</v>
      </c>
      <c r="U2776">
        <v>0.36024479999999998</v>
      </c>
      <c r="V2776">
        <v>-6.4671030000000004E-2</v>
      </c>
      <c r="W2776">
        <v>0.18178559999999999</v>
      </c>
      <c r="X2776">
        <v>0.98120929999999995</v>
      </c>
      <c r="Y2776">
        <v>-0.1156518</v>
      </c>
      <c r="Z2776">
        <v>3.5105990000000001E-3</v>
      </c>
      <c r="AA2776">
        <v>0.99328360000000004</v>
      </c>
      <c r="AB2776">
        <v>37</v>
      </c>
      <c r="AC2776">
        <v>23.337900000000001</v>
      </c>
      <c r="AD2776">
        <v>-1.1102154950016001</v>
      </c>
      <c r="AE2776">
        <v>2.8010999999999902</v>
      </c>
      <c r="AF2776">
        <v>-2.7594357494962001</v>
      </c>
      <c r="AG2776">
        <v>-1.1102154950016001</v>
      </c>
      <c r="AH2776">
        <v>23.2901764670797</v>
      </c>
      <c r="AI2776">
        <v>92.710229137875501</v>
      </c>
      <c r="AJ2776">
        <v>96.756942686567001</v>
      </c>
      <c r="AK2776">
        <v>23.479339513041101</v>
      </c>
      <c r="AL2776">
        <v>79.526216936805696</v>
      </c>
      <c r="AM2776">
        <v>93.770883084637205</v>
      </c>
      <c r="AN2776">
        <v>1.0000000184475499</v>
      </c>
    </row>
    <row r="2777" spans="1:40" x14ac:dyDescent="0.25">
      <c r="A2777" t="str">
        <f>"20190304155422492"</f>
        <v>20190304155422492</v>
      </c>
      <c r="B2777" t="str">
        <f>"1551686062479623"</f>
        <v>1551686062479623</v>
      </c>
      <c r="C2777" t="s">
        <v>40</v>
      </c>
      <c r="D2777">
        <v>4.730836</v>
      </c>
      <c r="E2777">
        <v>0.4780451</v>
      </c>
      <c r="F2777" t="s">
        <v>63</v>
      </c>
      <c r="G2777">
        <v>-253.24959999999999</v>
      </c>
      <c r="H2777" s="1">
        <v>4.607394E-8</v>
      </c>
      <c r="I2777">
        <v>217.96549999999999</v>
      </c>
      <c r="J2777">
        <v>-277.02890000000002</v>
      </c>
      <c r="K2777">
        <v>1.1102240000000001</v>
      </c>
      <c r="L2777">
        <v>215.0822</v>
      </c>
      <c r="M2777">
        <v>0.99988869999999996</v>
      </c>
      <c r="N2777">
        <v>-1.4852239999999999E-2</v>
      </c>
      <c r="O2777">
        <v>1.5001019999999999E-3</v>
      </c>
      <c r="P2777">
        <v>0.98357989999999995</v>
      </c>
      <c r="Q2777">
        <v>0.16797809999999999</v>
      </c>
      <c r="R2777">
        <v>6.5986420000000004E-2</v>
      </c>
      <c r="S2777">
        <v>3.049042</v>
      </c>
      <c r="T2777">
        <v>-0.1399176</v>
      </c>
      <c r="U2777">
        <v>0.36344910000000002</v>
      </c>
      <c r="V2777">
        <v>-6.4495339999999998E-2</v>
      </c>
      <c r="W2777">
        <v>0.18257470000000001</v>
      </c>
      <c r="X2777">
        <v>0.98107429999999995</v>
      </c>
      <c r="Y2777">
        <v>-0.1167132</v>
      </c>
      <c r="Z2777">
        <v>3.4911600000000001E-3</v>
      </c>
      <c r="AA2777">
        <v>0.99315949999999997</v>
      </c>
      <c r="AB2777">
        <v>37</v>
      </c>
      <c r="AC2777">
        <v>23.779299999999999</v>
      </c>
      <c r="AD2777">
        <v>-1.1102239539260601</v>
      </c>
      <c r="AE2777">
        <v>2.88329999999999</v>
      </c>
      <c r="AF2777">
        <v>-2.8415171648817599</v>
      </c>
      <c r="AG2777">
        <v>-1.1102239539260601</v>
      </c>
      <c r="AH2777">
        <v>23.732615410185002</v>
      </c>
      <c r="AI2777">
        <v>92.6594069500741</v>
      </c>
      <c r="AJ2777">
        <v>96.827549140171499</v>
      </c>
      <c r="AK2777">
        <v>23.927888566146802</v>
      </c>
      <c r="AL2777">
        <v>79.480234891328806</v>
      </c>
      <c r="AM2777">
        <v>93.761184266090495</v>
      </c>
      <c r="AN2777">
        <v>0.99999997604114699</v>
      </c>
    </row>
    <row r="2778" spans="1:40" x14ac:dyDescent="0.25">
      <c r="A2778" t="str">
        <f>"20190304155422514"</f>
        <v>20190304155422514</v>
      </c>
      <c r="B2778" t="str">
        <f>"1551686062509879"</f>
        <v>1551686062509879</v>
      </c>
      <c r="C2778" t="s">
        <v>40</v>
      </c>
      <c r="D2778">
        <v>4.7119049999999998</v>
      </c>
      <c r="E2778">
        <v>0.47728080000000001</v>
      </c>
      <c r="F2778" t="s">
        <v>63</v>
      </c>
      <c r="G2778">
        <v>-252.66210000000001</v>
      </c>
      <c r="H2778" s="1">
        <v>-2.6891879999999999E-7</v>
      </c>
      <c r="I2778">
        <v>218.02019999999999</v>
      </c>
      <c r="J2778">
        <v>-276.65179999999998</v>
      </c>
      <c r="K2778">
        <v>1.110231</v>
      </c>
      <c r="L2778">
        <v>215.08269999999999</v>
      </c>
      <c r="M2778">
        <v>0.99988869999999996</v>
      </c>
      <c r="N2778">
        <v>-1.484916E-2</v>
      </c>
      <c r="O2778">
        <v>1.480755E-3</v>
      </c>
      <c r="P2778">
        <v>0.98355910000000002</v>
      </c>
      <c r="Q2778">
        <v>0.16803479999999901</v>
      </c>
      <c r="R2778">
        <v>6.6151409999999994E-2</v>
      </c>
      <c r="S2778">
        <v>3.0491640000000002</v>
      </c>
      <c r="T2778">
        <v>-0.138929</v>
      </c>
      <c r="U2778">
        <v>0.36764530000000001</v>
      </c>
      <c r="V2778">
        <v>-6.4679E-2</v>
      </c>
      <c r="W2778">
        <v>0.18262819999999999</v>
      </c>
      <c r="X2778">
        <v>0.98105229999999999</v>
      </c>
      <c r="Y2778">
        <v>-0.11807520000000001</v>
      </c>
      <c r="Z2778">
        <v>3.51403E-3</v>
      </c>
      <c r="AA2778">
        <v>0.99299839999999995</v>
      </c>
      <c r="AB2778">
        <v>37</v>
      </c>
      <c r="AC2778">
        <v>23.9896999999999</v>
      </c>
      <c r="AD2778">
        <v>-1.1102312689188001</v>
      </c>
      <c r="AE2778">
        <v>2.9375</v>
      </c>
      <c r="AF2778">
        <v>-2.89585928896093</v>
      </c>
      <c r="AG2778">
        <v>-1.1102312689188001</v>
      </c>
      <c r="AH2778">
        <v>23.943499441199499</v>
      </c>
      <c r="AI2778">
        <v>92.635655195850404</v>
      </c>
      <c r="AJ2778">
        <v>96.896173397753103</v>
      </c>
      <c r="AK2778">
        <v>24.1435245973463</v>
      </c>
      <c r="AL2778">
        <v>79.477117657905595</v>
      </c>
      <c r="AM2778">
        <v>93.771948258726397</v>
      </c>
      <c r="AN2778">
        <v>1.00000002390576</v>
      </c>
    </row>
    <row r="2779" spans="1:40" x14ac:dyDescent="0.25">
      <c r="A2779" t="str">
        <f>"20190304155422536"</f>
        <v>20190304155422536</v>
      </c>
      <c r="B2779" t="str">
        <f>"1551686062529400"</f>
        <v>1551686062529400</v>
      </c>
      <c r="C2779" t="s">
        <v>40</v>
      </c>
      <c r="D2779">
        <v>4.745946</v>
      </c>
      <c r="E2779">
        <v>0.47680309999999998</v>
      </c>
      <c r="F2779" t="s">
        <v>63</v>
      </c>
      <c r="G2779">
        <v>-252.60820000000001</v>
      </c>
      <c r="H2779" s="1">
        <v>-2.9817630000000001E-7</v>
      </c>
      <c r="I2779">
        <v>218.0326</v>
      </c>
      <c r="J2779">
        <v>-276.29969999999997</v>
      </c>
      <c r="K2779">
        <v>1.1102379999999901</v>
      </c>
      <c r="L2779">
        <v>215.08330000000001</v>
      </c>
      <c r="M2779">
        <v>0.99988880000000002</v>
      </c>
      <c r="N2779">
        <v>-1.4846130000000001E-2</v>
      </c>
      <c r="O2779">
        <v>1.462779E-3</v>
      </c>
      <c r="P2779">
        <v>0.9834446</v>
      </c>
      <c r="Q2779">
        <v>0.16857759999999999</v>
      </c>
      <c r="R2779">
        <v>6.647335E-2</v>
      </c>
      <c r="S2779">
        <v>3.049042</v>
      </c>
      <c r="T2779">
        <v>-0.1407919</v>
      </c>
      <c r="U2779">
        <v>0.37408449999999999</v>
      </c>
      <c r="V2779">
        <v>-6.501854E-2</v>
      </c>
      <c r="W2779">
        <v>0.18316679999999999</v>
      </c>
      <c r="X2779">
        <v>0.98092939999999995</v>
      </c>
      <c r="Y2779">
        <v>-0.120157399999999</v>
      </c>
      <c r="Z2779">
        <v>3.6126750000000001E-3</v>
      </c>
      <c r="AA2779">
        <v>0.99274830000000003</v>
      </c>
      <c r="AB2779">
        <v>37</v>
      </c>
      <c r="AC2779">
        <v>23.691499999999898</v>
      </c>
      <c r="AD2779">
        <v>-1.1102382981762999</v>
      </c>
      <c r="AE2779">
        <v>2.9492999999999898</v>
      </c>
      <c r="AF2779">
        <v>-2.90834811512542</v>
      </c>
      <c r="AG2779">
        <v>-1.1102382981762999</v>
      </c>
      <c r="AH2779">
        <v>23.6446562617848</v>
      </c>
      <c r="AI2779">
        <v>92.668277342930594</v>
      </c>
      <c r="AJ2779">
        <v>97.012292335368997</v>
      </c>
      <c r="AK2779">
        <v>23.848708299936298</v>
      </c>
      <c r="AL2779">
        <v>79.445728292842105</v>
      </c>
      <c r="AM2779">
        <v>93.792165604340497</v>
      </c>
      <c r="AN2779">
        <v>0.99999998747516505</v>
      </c>
    </row>
    <row r="2780" spans="1:40" x14ac:dyDescent="0.25">
      <c r="A2780" t="str">
        <f>"20190304155422556"</f>
        <v>20190304155422556</v>
      </c>
      <c r="B2780" t="str">
        <f>"1551686062549896"</f>
        <v>1551686062549896</v>
      </c>
      <c r="C2780" t="s">
        <v>40</v>
      </c>
      <c r="D2780">
        <v>4.7233580000000002</v>
      </c>
      <c r="E2780">
        <v>0.47639490000000001</v>
      </c>
      <c r="F2780" t="s">
        <v>63</v>
      </c>
      <c r="G2780">
        <v>-252.2722</v>
      </c>
      <c r="H2780" s="1">
        <v>-4.7841079999999899E-7</v>
      </c>
      <c r="I2780">
        <v>218.06549999999999</v>
      </c>
      <c r="J2780">
        <v>-275.95650000000001</v>
      </c>
      <c r="K2780">
        <v>1.110239</v>
      </c>
      <c r="L2780">
        <v>215.0838</v>
      </c>
      <c r="M2780">
        <v>0.99988880000000002</v>
      </c>
      <c r="N2780">
        <v>-1.484304E-2</v>
      </c>
      <c r="O2780">
        <v>1.4454579999999999E-3</v>
      </c>
      <c r="P2780">
        <v>0.98326499999999994</v>
      </c>
      <c r="Q2780">
        <v>0.16955780000000001</v>
      </c>
      <c r="R2780">
        <v>6.6635490000000006E-2</v>
      </c>
      <c r="S2780">
        <v>3.0490719999999998</v>
      </c>
      <c r="T2780">
        <v>-0.1408885</v>
      </c>
      <c r="U2780">
        <v>0.37844850000000002</v>
      </c>
      <c r="V2780">
        <v>-6.5198249999999999E-2</v>
      </c>
      <c r="W2780">
        <v>0.18414079999999999</v>
      </c>
      <c r="X2780">
        <v>0.98073509999999997</v>
      </c>
      <c r="Y2780">
        <v>-0.1215707</v>
      </c>
      <c r="Z2780">
        <v>3.6577329999999998E-3</v>
      </c>
      <c r="AA2780">
        <v>0.99257609999999996</v>
      </c>
      <c r="AB2780">
        <v>37</v>
      </c>
      <c r="AC2780">
        <v>23.6843</v>
      </c>
      <c r="AD2780">
        <v>-1.1102394784108001</v>
      </c>
      <c r="AE2780">
        <v>2.98169999999998</v>
      </c>
      <c r="AF2780">
        <v>-2.94109647251353</v>
      </c>
      <c r="AG2780">
        <v>-1.1102394784108001</v>
      </c>
      <c r="AH2780">
        <v>23.637454718026898</v>
      </c>
      <c r="AI2780">
        <v>92.668629875340898</v>
      </c>
      <c r="AJ2780">
        <v>97.0925905564864</v>
      </c>
      <c r="AK2780">
        <v>23.845585455317</v>
      </c>
      <c r="AL2780">
        <v>79.388956609385303</v>
      </c>
      <c r="AM2780">
        <v>93.803367518883704</v>
      </c>
      <c r="AN2780">
        <v>0.99999999119985605</v>
      </c>
    </row>
    <row r="2781" spans="1:40" x14ac:dyDescent="0.25">
      <c r="A2781" t="str">
        <f>"20190304155422581"</f>
        <v>20190304155422581</v>
      </c>
      <c r="B2781" t="str">
        <f>"1551686062569416"</f>
        <v>1551686062569416</v>
      </c>
      <c r="C2781" t="s">
        <v>40</v>
      </c>
      <c r="D2781">
        <v>4.7576519999999896</v>
      </c>
      <c r="E2781">
        <v>0.4759832</v>
      </c>
      <c r="F2781" t="s">
        <v>63</v>
      </c>
      <c r="G2781">
        <v>-251.68709999999999</v>
      </c>
      <c r="H2781" s="1">
        <v>-7.9237779999999997E-7</v>
      </c>
      <c r="I2781">
        <v>218.12530000000001</v>
      </c>
      <c r="J2781">
        <v>-275.55619999999999</v>
      </c>
      <c r="K2781">
        <v>1.110242</v>
      </c>
      <c r="L2781">
        <v>215.08430000000001</v>
      </c>
      <c r="M2781">
        <v>0.99988889999999997</v>
      </c>
      <c r="N2781">
        <v>-1.483928E-2</v>
      </c>
      <c r="O2781">
        <v>1.4249250000000001E-3</v>
      </c>
      <c r="P2781">
        <v>0.98312869999999997</v>
      </c>
      <c r="Q2781">
        <v>0.1702951</v>
      </c>
      <c r="R2781">
        <v>6.6764690000000002E-2</v>
      </c>
      <c r="S2781">
        <v>3.049194</v>
      </c>
      <c r="T2781">
        <v>-0.1394899</v>
      </c>
      <c r="U2781">
        <v>0.38214110000000001</v>
      </c>
      <c r="V2781">
        <v>-6.5347660000000002E-2</v>
      </c>
      <c r="W2781">
        <v>0.18487239999999999</v>
      </c>
      <c r="X2781">
        <v>0.98058749999999995</v>
      </c>
      <c r="Y2781">
        <v>-0.12277100000000001</v>
      </c>
      <c r="Z2781">
        <v>3.667085E-3</v>
      </c>
      <c r="AA2781">
        <v>0.99242819999999998</v>
      </c>
      <c r="AB2781">
        <v>37</v>
      </c>
      <c r="AC2781">
        <v>23.8691</v>
      </c>
      <c r="AD2781">
        <v>-1.1102427923778</v>
      </c>
      <c r="AE2781">
        <v>3.0409999999999902</v>
      </c>
      <c r="AF2781">
        <v>-3.0005932934092101</v>
      </c>
      <c r="AG2781">
        <v>-1.1102427923778</v>
      </c>
      <c r="AH2781">
        <v>23.8226914532497</v>
      </c>
      <c r="AI2781">
        <v>92.647418503656098</v>
      </c>
      <c r="AJ2781">
        <v>97.178900321899704</v>
      </c>
      <c r="AK2781">
        <v>24.036572701764602</v>
      </c>
      <c r="AL2781">
        <v>79.346306684494095</v>
      </c>
      <c r="AM2781">
        <v>93.812629851481802</v>
      </c>
      <c r="AN2781">
        <v>0.99999998305274196</v>
      </c>
    </row>
    <row r="2782" spans="1:40" x14ac:dyDescent="0.25">
      <c r="A2782" t="str">
        <f>"20190304155422601"</f>
        <v>20190304155422601</v>
      </c>
      <c r="B2782" t="str">
        <f>"1551686062589912"</f>
        <v>1551686062589912</v>
      </c>
      <c r="C2782" t="s">
        <v>40</v>
      </c>
      <c r="D2782">
        <v>4.7650790000000001</v>
      </c>
      <c r="E2782">
        <v>0.47557880000000002</v>
      </c>
      <c r="F2782" t="s">
        <v>63</v>
      </c>
      <c r="G2782">
        <v>-251.12700000000001</v>
      </c>
      <c r="H2782" s="1">
        <v>-1.092717E-6</v>
      </c>
      <c r="I2782">
        <v>218.17760000000001</v>
      </c>
      <c r="J2782">
        <v>-275.21699999999998</v>
      </c>
      <c r="K2782">
        <v>1.1102369999999999</v>
      </c>
      <c r="L2782">
        <v>215.0848</v>
      </c>
      <c r="M2782">
        <v>0.99988909999999998</v>
      </c>
      <c r="N2782">
        <v>-1.483602E-2</v>
      </c>
      <c r="O2782">
        <v>1.407606E-3</v>
      </c>
      <c r="P2782">
        <v>0.98300010000000004</v>
      </c>
      <c r="Q2782">
        <v>0.17088639999999999</v>
      </c>
      <c r="R2782">
        <v>6.7149429999999996E-2</v>
      </c>
      <c r="S2782">
        <v>3.049255</v>
      </c>
      <c r="T2782">
        <v>-0.13858039999999999</v>
      </c>
      <c r="U2782">
        <v>0.38610840000000002</v>
      </c>
      <c r="V2782">
        <v>-6.5749849999999999E-2</v>
      </c>
      <c r="W2782">
        <v>0.1854586</v>
      </c>
      <c r="X2782">
        <v>0.98044989999999999</v>
      </c>
      <c r="Y2782">
        <v>-0.1240569</v>
      </c>
      <c r="Z2782">
        <v>3.6880839999999999E-3</v>
      </c>
      <c r="AA2782">
        <v>0.99226829999999999</v>
      </c>
      <c r="AB2782">
        <v>37</v>
      </c>
      <c r="AC2782">
        <v>24.0899999999999</v>
      </c>
      <c r="AD2782">
        <v>-1.1102380927169999</v>
      </c>
      <c r="AE2782">
        <v>3.0928000000000102</v>
      </c>
      <c r="AF2782">
        <v>-3.0525055304606301</v>
      </c>
      <c r="AG2782">
        <v>-1.1102380927169999</v>
      </c>
      <c r="AH2782">
        <v>24.044088049476098</v>
      </c>
      <c r="AI2782">
        <v>92.622738582692904</v>
      </c>
      <c r="AJ2782">
        <v>97.235252287027606</v>
      </c>
      <c r="AK2782">
        <v>24.2624934573298</v>
      </c>
      <c r="AL2782">
        <v>79.312128739452604</v>
      </c>
      <c r="AM2782">
        <v>93.836562047375196</v>
      </c>
      <c r="AN2782">
        <v>0.99999997074949498</v>
      </c>
    </row>
    <row r="2783" spans="1:40" x14ac:dyDescent="0.25">
      <c r="A2783" t="str">
        <f>"20190304155422622"</f>
        <v>20190304155422622</v>
      </c>
      <c r="B2783" t="str">
        <f>"1551686062619843"</f>
        <v>1551686062619843</v>
      </c>
      <c r="C2783" t="s">
        <v>40</v>
      </c>
      <c r="D2783">
        <v>4.7330259999999997</v>
      </c>
      <c r="E2783">
        <v>0.47501749999999998</v>
      </c>
      <c r="F2783" t="s">
        <v>63</v>
      </c>
      <c r="G2783">
        <v>-250.69820000000001</v>
      </c>
      <c r="H2783" s="1">
        <v>-1.323119E-6</v>
      </c>
      <c r="I2783">
        <v>218.22829999999999</v>
      </c>
      <c r="J2783">
        <v>-274.86500000000001</v>
      </c>
      <c r="K2783">
        <v>1.110241</v>
      </c>
      <c r="L2783">
        <v>215.08529999999999</v>
      </c>
      <c r="M2783">
        <v>0.99988920000000003</v>
      </c>
      <c r="N2783">
        <v>-1.483257E-2</v>
      </c>
      <c r="O2783">
        <v>1.3894549999999999E-3</v>
      </c>
      <c r="P2783">
        <v>0.98295149999999998</v>
      </c>
      <c r="Q2783">
        <v>0.17119819999999999</v>
      </c>
      <c r="R2783">
        <v>6.706732E-2</v>
      </c>
      <c r="S2783">
        <v>3.0491640000000002</v>
      </c>
      <c r="T2783">
        <v>-0.13806940000000001</v>
      </c>
      <c r="U2783">
        <v>0.39093020000000001</v>
      </c>
      <c r="V2783">
        <v>-6.5685649999999998E-2</v>
      </c>
      <c r="W2783">
        <v>0.1857664</v>
      </c>
      <c r="X2783">
        <v>0.98039600000000005</v>
      </c>
      <c r="Y2783">
        <v>-0.1256215</v>
      </c>
      <c r="Z2783">
        <v>3.725126E-3</v>
      </c>
      <c r="AA2783">
        <v>0.99207129999999999</v>
      </c>
      <c r="AB2783">
        <v>37</v>
      </c>
      <c r="AC2783">
        <v>24.166799999999899</v>
      </c>
      <c r="AD2783">
        <v>-1.110242323119</v>
      </c>
      <c r="AE2783">
        <v>3.1429999999999998</v>
      </c>
      <c r="AF2783">
        <v>-3.1029745171021998</v>
      </c>
      <c r="AG2783">
        <v>-1.110242323119</v>
      </c>
      <c r="AH2783">
        <v>24.121082024209301</v>
      </c>
      <c r="AI2783">
        <v>92.613834648601895</v>
      </c>
      <c r="AJ2783">
        <v>97.330361611364097</v>
      </c>
      <c r="AK2783">
        <v>24.3451778980656</v>
      </c>
      <c r="AL2783">
        <v>79.294181957103106</v>
      </c>
      <c r="AM2783">
        <v>93.833037184034694</v>
      </c>
      <c r="AN2783">
        <v>1.0000000384004399</v>
      </c>
    </row>
    <row r="2784" spans="1:40" x14ac:dyDescent="0.25">
      <c r="A2784" t="str">
        <f>"20190304155422646"</f>
        <v>20190304155422646</v>
      </c>
      <c r="B2784" t="str">
        <f>"1551686062639362"</f>
        <v>1551686062639362</v>
      </c>
      <c r="C2784" t="s">
        <v>40</v>
      </c>
      <c r="D2784">
        <v>4.6640280000000001</v>
      </c>
      <c r="E2784">
        <v>0.47469939999999999</v>
      </c>
      <c r="F2784" t="s">
        <v>63</v>
      </c>
      <c r="G2784">
        <v>-250.56809999999999</v>
      </c>
      <c r="H2784" s="1">
        <v>-1.3924019999999901E-6</v>
      </c>
      <c r="I2784">
        <v>218.2294</v>
      </c>
      <c r="J2784">
        <v>-274.48570000000001</v>
      </c>
      <c r="K2784">
        <v>1.110249</v>
      </c>
      <c r="L2784">
        <v>215.08580000000001</v>
      </c>
      <c r="M2784">
        <v>0.99988929999999998</v>
      </c>
      <c r="N2784">
        <v>-1.482878E-2</v>
      </c>
      <c r="O2784">
        <v>1.3701150000000001E-3</v>
      </c>
      <c r="P2784">
        <v>0.98285619999999996</v>
      </c>
      <c r="Q2784">
        <v>0.17187549999999999</v>
      </c>
      <c r="R2784">
        <v>6.6728579999999996E-2</v>
      </c>
      <c r="S2784">
        <v>3.0493769999999998</v>
      </c>
      <c r="T2784">
        <v>-0.13934089999999999</v>
      </c>
      <c r="U2784">
        <v>0.3946075</v>
      </c>
      <c r="V2784">
        <v>-6.5365839999999995E-2</v>
      </c>
      <c r="W2784">
        <v>0.1864383</v>
      </c>
      <c r="X2784">
        <v>0.98028979999999999</v>
      </c>
      <c r="Y2784">
        <v>-0.12680439999999901</v>
      </c>
      <c r="Z2784">
        <v>3.7863300000000001E-3</v>
      </c>
      <c r="AA2784">
        <v>0.99192049999999998</v>
      </c>
      <c r="AB2784">
        <v>37</v>
      </c>
      <c r="AC2784">
        <v>23.9176</v>
      </c>
      <c r="AD2784">
        <v>-1.110250392402</v>
      </c>
      <c r="AE2784">
        <v>3.14359999999999</v>
      </c>
      <c r="AF2784">
        <v>-3.1042481506012698</v>
      </c>
      <c r="AG2784">
        <v>-1.110250392402</v>
      </c>
      <c r="AH2784">
        <v>23.8713207273221</v>
      </c>
      <c r="AI2784">
        <v>92.640693923521596</v>
      </c>
      <c r="AJ2784">
        <v>97.409216849533706</v>
      </c>
      <c r="AK2784">
        <v>24.0979037632118</v>
      </c>
      <c r="AL2784">
        <v>79.255000153552999</v>
      </c>
      <c r="AM2784">
        <v>93.814842154908504</v>
      </c>
      <c r="AN2784">
        <v>1.00000001236491</v>
      </c>
    </row>
    <row r="2785" spans="1:40" x14ac:dyDescent="0.25">
      <c r="A2785" t="str">
        <f>"20190304155422668"</f>
        <v>20190304155422668</v>
      </c>
      <c r="B2785" t="str">
        <f>"1551686062659859"</f>
        <v>1551686062659859</v>
      </c>
      <c r="C2785" t="s">
        <v>40</v>
      </c>
      <c r="D2785">
        <v>4.7504720000000002</v>
      </c>
      <c r="E2785">
        <v>0.47433819999999999</v>
      </c>
      <c r="F2785" t="s">
        <v>63</v>
      </c>
      <c r="G2785">
        <v>-250.27250000000001</v>
      </c>
      <c r="H2785" s="1">
        <v>-1.54967E-6</v>
      </c>
      <c r="I2785">
        <v>218.22839999999999</v>
      </c>
      <c r="J2785">
        <v>-274.1123</v>
      </c>
      <c r="K2785">
        <v>1.110257</v>
      </c>
      <c r="L2785">
        <v>215.08629999999999</v>
      </c>
      <c r="M2785">
        <v>0.99988929999999998</v>
      </c>
      <c r="N2785">
        <v>-1.482498E-2</v>
      </c>
      <c r="O2785">
        <v>1.3510709999999999E-3</v>
      </c>
      <c r="P2785">
        <v>0.98264689999999999</v>
      </c>
      <c r="Q2785">
        <v>0.17295659999999999</v>
      </c>
      <c r="R2785">
        <v>6.701791E-2</v>
      </c>
      <c r="S2785">
        <v>3.0498959999999999</v>
      </c>
      <c r="T2785">
        <v>-0.13984739999999901</v>
      </c>
      <c r="U2785">
        <v>0.39584350000000001</v>
      </c>
      <c r="V2785">
        <v>-6.5673770000000006E-2</v>
      </c>
      <c r="W2785">
        <v>0.1875124</v>
      </c>
      <c r="X2785">
        <v>0.9800643</v>
      </c>
      <c r="Y2785">
        <v>-0.12719559999999999</v>
      </c>
      <c r="Z2785">
        <v>3.808231E-3</v>
      </c>
      <c r="AA2785">
        <v>0.99187029999999998</v>
      </c>
      <c r="AB2785">
        <v>37</v>
      </c>
      <c r="AC2785">
        <v>23.8398</v>
      </c>
      <c r="AD2785">
        <v>-1.1102585496699999</v>
      </c>
      <c r="AE2785">
        <v>3.1420999999999899</v>
      </c>
      <c r="AF2785">
        <v>-3.1032685249632102</v>
      </c>
      <c r="AG2785">
        <v>-1.1102585496699999</v>
      </c>
      <c r="AH2785">
        <v>23.793299355508498</v>
      </c>
      <c r="AI2785">
        <v>92.649229709624194</v>
      </c>
      <c r="AJ2785">
        <v>97.4309218558775</v>
      </c>
      <c r="AK2785">
        <v>24.020492164108202</v>
      </c>
      <c r="AL2785">
        <v>79.192353699352694</v>
      </c>
      <c r="AM2785">
        <v>93.833639181147007</v>
      </c>
      <c r="AN2785">
        <v>0.99999998817713098</v>
      </c>
    </row>
    <row r="2786" spans="1:40" x14ac:dyDescent="0.25">
      <c r="A2786" t="str">
        <f>"20190304155422694"</f>
        <v>20190304155422694</v>
      </c>
      <c r="B2786" t="str">
        <f>"1551686062690116"</f>
        <v>1551686062690116</v>
      </c>
      <c r="C2786" t="s">
        <v>40</v>
      </c>
      <c r="D2786">
        <v>4.8080119999999997</v>
      </c>
      <c r="E2786">
        <v>0.47382380000000002</v>
      </c>
      <c r="F2786" t="s">
        <v>63</v>
      </c>
      <c r="G2786">
        <v>-249.53059999999999</v>
      </c>
      <c r="H2786" s="1">
        <v>3.3736420000000001E-6</v>
      </c>
      <c r="I2786">
        <v>218.30629999999999</v>
      </c>
      <c r="J2786">
        <v>-273.7045</v>
      </c>
      <c r="K2786">
        <v>1.1102650000000001</v>
      </c>
      <c r="L2786">
        <v>215.08680000000001</v>
      </c>
      <c r="M2786">
        <v>0.99988940000000004</v>
      </c>
      <c r="N2786">
        <v>-1.4820760000000001E-2</v>
      </c>
      <c r="O2786">
        <v>1.3302419999999999E-3</v>
      </c>
      <c r="P2786">
        <v>0.98234089999999996</v>
      </c>
      <c r="Q2786">
        <v>0.17462040000000001</v>
      </c>
      <c r="R2786">
        <v>6.7188830000000005E-2</v>
      </c>
      <c r="S2786">
        <v>3.0500180000000001</v>
      </c>
      <c r="T2786">
        <v>-0.13775679999999901</v>
      </c>
      <c r="U2786">
        <v>0.39953610000000001</v>
      </c>
      <c r="V2786">
        <v>-6.5865580000000007E-2</v>
      </c>
      <c r="W2786">
        <v>0.1891669</v>
      </c>
      <c r="X2786">
        <v>0.97973350000000003</v>
      </c>
      <c r="Y2786">
        <v>-0.12839489999999901</v>
      </c>
      <c r="Z2786">
        <v>3.8017709999999998E-3</v>
      </c>
      <c r="AA2786">
        <v>0.99171580000000004</v>
      </c>
      <c r="AB2786">
        <v>37</v>
      </c>
      <c r="AC2786">
        <v>24.1739</v>
      </c>
      <c r="AD2786">
        <v>-1.1102616263580001</v>
      </c>
      <c r="AE2786">
        <v>3.21949999999998</v>
      </c>
      <c r="AF2786">
        <v>-3.1807439826382802</v>
      </c>
      <c r="AG2786">
        <v>-1.1102616263580001</v>
      </c>
      <c r="AH2786">
        <v>24.128153078162399</v>
      </c>
      <c r="AI2786">
        <v>92.612050764613599</v>
      </c>
      <c r="AJ2786">
        <v>97.509832232643603</v>
      </c>
      <c r="AK2786">
        <v>24.3622163221101</v>
      </c>
      <c r="AL2786">
        <v>79.095831235908506</v>
      </c>
      <c r="AM2786">
        <v>93.846096634536806</v>
      </c>
      <c r="AN2786">
        <v>1.00000006085329</v>
      </c>
    </row>
    <row r="2787" spans="1:40" x14ac:dyDescent="0.25">
      <c r="A2787" t="str">
        <f>"20190304155422714"</f>
        <v>20190304155422714</v>
      </c>
      <c r="B2787" t="str">
        <f>"1551686062709634"</f>
        <v>1551686062709634</v>
      </c>
      <c r="C2787" t="s">
        <v>40</v>
      </c>
      <c r="D2787">
        <v>4.7914389999999996</v>
      </c>
      <c r="E2787">
        <v>0.4734814</v>
      </c>
      <c r="F2787" t="s">
        <v>63</v>
      </c>
      <c r="G2787">
        <v>-248.5788</v>
      </c>
      <c r="H2787" s="1">
        <v>2.8622739999999998E-6</v>
      </c>
      <c r="I2787">
        <v>218.4177</v>
      </c>
      <c r="J2787">
        <v>-273.36680000000001</v>
      </c>
      <c r="K2787">
        <v>1.1102700000000001</v>
      </c>
      <c r="L2787">
        <v>215.0872</v>
      </c>
      <c r="M2787">
        <v>0.99988940000000004</v>
      </c>
      <c r="N2787">
        <v>-1.4817220000000001E-2</v>
      </c>
      <c r="O2787">
        <v>1.313222E-3</v>
      </c>
      <c r="P2787">
        <v>0.98201380000000005</v>
      </c>
      <c r="Q2787">
        <v>0.17619689999999999</v>
      </c>
      <c r="R2787">
        <v>6.7851990000000001E-2</v>
      </c>
      <c r="S2787">
        <v>3.0502319999999998</v>
      </c>
      <c r="T2787">
        <v>-0.13478490000000001</v>
      </c>
      <c r="U2787">
        <v>0.40437319999999999</v>
      </c>
      <c r="V2787">
        <v>-6.6545759999999995E-2</v>
      </c>
      <c r="W2787">
        <v>0.19073519999999999</v>
      </c>
      <c r="X2787">
        <v>0.97938329999999996</v>
      </c>
      <c r="Y2787">
        <v>-0.12995290000000001</v>
      </c>
      <c r="Z2787">
        <v>3.7865820000000001E-3</v>
      </c>
      <c r="AA2787">
        <v>0.99151299999999998</v>
      </c>
      <c r="AB2787">
        <v>37</v>
      </c>
      <c r="AC2787">
        <v>24.788</v>
      </c>
      <c r="AD2787">
        <v>-1.1102671377260001</v>
      </c>
      <c r="AE2787">
        <v>3.3304999999999998</v>
      </c>
      <c r="AF2787">
        <v>-3.29145521607489</v>
      </c>
      <c r="AG2787">
        <v>-1.1102671377260001</v>
      </c>
      <c r="AH2787">
        <v>24.743592685123598</v>
      </c>
      <c r="AI2787">
        <v>92.546785597423806</v>
      </c>
      <c r="AJ2787">
        <v>97.577145797749296</v>
      </c>
      <c r="AK2787">
        <v>24.986231198879199</v>
      </c>
      <c r="AL2787">
        <v>79.004306729536097</v>
      </c>
      <c r="AM2787">
        <v>93.8870785703932</v>
      </c>
      <c r="AN2787">
        <v>0.999999951505952</v>
      </c>
    </row>
    <row r="2788" spans="1:40" x14ac:dyDescent="0.25">
      <c r="A2788" t="str">
        <f>"20190304155422735"</f>
        <v>20190304155422735</v>
      </c>
      <c r="B2788" t="str">
        <f>"1551686062730131"</f>
        <v>1551686062730131</v>
      </c>
      <c r="C2788" t="s">
        <v>40</v>
      </c>
      <c r="D2788">
        <v>4.7977509999999999</v>
      </c>
      <c r="E2788">
        <v>0.47315449999999998</v>
      </c>
      <c r="F2788" t="s">
        <v>63</v>
      </c>
      <c r="G2788">
        <v>-247.56540000000001</v>
      </c>
      <c r="H2788" s="1">
        <v>2.317377E-6</v>
      </c>
      <c r="I2788">
        <v>218.5455</v>
      </c>
      <c r="J2788">
        <v>-273.02179999999998</v>
      </c>
      <c r="K2788">
        <v>1.110284</v>
      </c>
      <c r="L2788">
        <v>215.08760000000001</v>
      </c>
      <c r="M2788">
        <v>0.99988960000000005</v>
      </c>
      <c r="N2788">
        <v>-1.481359E-2</v>
      </c>
      <c r="O2788">
        <v>1.2954310000000001E-3</v>
      </c>
      <c r="P2788">
        <v>0.9816821</v>
      </c>
      <c r="Q2788">
        <v>0.1779743</v>
      </c>
      <c r="R2788">
        <v>6.8010050000000002E-2</v>
      </c>
      <c r="S2788">
        <v>3.0502929999999999</v>
      </c>
      <c r="T2788">
        <v>-0.13125780000000001</v>
      </c>
      <c r="U2788">
        <v>0.40884399999999999</v>
      </c>
      <c r="V2788">
        <v>-6.6721680000000005E-2</v>
      </c>
      <c r="W2788">
        <v>0.19250429999999999</v>
      </c>
      <c r="X2788">
        <v>0.97902520000000004</v>
      </c>
      <c r="Y2788">
        <v>-0.1314014</v>
      </c>
      <c r="Z2788">
        <v>3.7551889999999999E-3</v>
      </c>
      <c r="AA2788">
        <v>0.99132209999999998</v>
      </c>
      <c r="AB2788">
        <v>37</v>
      </c>
      <c r="AC2788">
        <v>25.456399999999899</v>
      </c>
      <c r="AD2788">
        <v>-1.110281682623</v>
      </c>
      <c r="AE2788">
        <v>3.4578999999999902</v>
      </c>
      <c r="AF2788">
        <v>-3.4185313175294998</v>
      </c>
      <c r="AG2788">
        <v>-1.110281682623</v>
      </c>
      <c r="AH2788">
        <v>25.413391282732501</v>
      </c>
      <c r="AI2788">
        <v>92.4792932046564</v>
      </c>
      <c r="AJ2788">
        <v>97.661263429189304</v>
      </c>
      <c r="AK2788">
        <v>25.6663113491784</v>
      </c>
      <c r="AL2788">
        <v>78.901031682919793</v>
      </c>
      <c r="AM2788">
        <v>93.898743939792098</v>
      </c>
      <c r="AN2788">
        <v>1.0000000151677699</v>
      </c>
    </row>
    <row r="2789" spans="1:40" x14ac:dyDescent="0.25">
      <c r="A2789" t="str">
        <f>"20190304155422757"</f>
        <v>20190304155422757</v>
      </c>
      <c r="B2789" t="str">
        <f>"1551686062749650"</f>
        <v>1551686062749650</v>
      </c>
      <c r="C2789" t="s">
        <v>40</v>
      </c>
      <c r="D2789">
        <v>4.8149989999999896</v>
      </c>
      <c r="E2789">
        <v>0.46218550000000003</v>
      </c>
      <c r="F2789" t="s">
        <v>63</v>
      </c>
      <c r="G2789">
        <v>-246.34450000000001</v>
      </c>
      <c r="H2789" s="1">
        <v>1.6611540000000001E-6</v>
      </c>
      <c r="I2789">
        <v>218.6951</v>
      </c>
      <c r="J2789">
        <v>-272.65379999999999</v>
      </c>
      <c r="K2789">
        <v>1.1102890000000001</v>
      </c>
      <c r="L2789">
        <v>215.0881</v>
      </c>
      <c r="M2789">
        <v>0.99988949999999999</v>
      </c>
      <c r="N2789">
        <v>-1.480968E-2</v>
      </c>
      <c r="O2789">
        <v>1.276924E-3</v>
      </c>
      <c r="P2789">
        <v>0.98137770000000002</v>
      </c>
      <c r="Q2789">
        <v>0.1797396</v>
      </c>
      <c r="R2789">
        <v>6.7763080000000003E-2</v>
      </c>
      <c r="S2789">
        <v>3.0504150000000001</v>
      </c>
      <c r="T2789">
        <v>-0.12695529999999999</v>
      </c>
      <c r="U2789">
        <v>0.41249079999999999</v>
      </c>
      <c r="V2789">
        <v>-6.6493280000000002E-2</v>
      </c>
      <c r="W2789">
        <v>0.1942605</v>
      </c>
      <c r="X2789">
        <v>0.97869379999999995</v>
      </c>
      <c r="Y2789">
        <v>-0.13258619999999999</v>
      </c>
      <c r="Z2789">
        <v>3.6981739999999998E-3</v>
      </c>
      <c r="AA2789">
        <v>0.99116459999999995</v>
      </c>
      <c r="AB2789">
        <v>37</v>
      </c>
      <c r="AC2789">
        <v>26.309299999999901</v>
      </c>
      <c r="AD2789">
        <v>-1.1102873388459999</v>
      </c>
      <c r="AE2789">
        <v>3.60699999999999</v>
      </c>
      <c r="AF2789">
        <v>-3.5671626608637799</v>
      </c>
      <c r="AG2789">
        <v>-1.1102873388459999</v>
      </c>
      <c r="AH2789">
        <v>26.267966040063602</v>
      </c>
      <c r="AI2789">
        <v>92.398334773907706</v>
      </c>
      <c r="AJ2789">
        <v>97.733401090825595</v>
      </c>
      <c r="AK2789">
        <v>26.532309121254301</v>
      </c>
      <c r="AL2789">
        <v>78.798472990737096</v>
      </c>
      <c r="AM2789">
        <v>93.886750439263295</v>
      </c>
      <c r="AN2789">
        <v>1.00000002615192</v>
      </c>
    </row>
    <row r="2790" spans="1:40" x14ac:dyDescent="0.25">
      <c r="A2790" t="str">
        <f>"20190304155422779"</f>
        <v>20190304155422779</v>
      </c>
      <c r="B2790" t="str">
        <f>"1551686062769170"</f>
        <v>1551686062769170</v>
      </c>
      <c r="C2790" t="s">
        <v>40</v>
      </c>
      <c r="D2790">
        <v>4.7882800000000003</v>
      </c>
      <c r="E2790">
        <v>0.46166839999999998</v>
      </c>
      <c r="F2790" t="s">
        <v>63</v>
      </c>
      <c r="G2790">
        <v>-256.1266</v>
      </c>
      <c r="H2790" s="1">
        <v>1.5852770000000001E-6</v>
      </c>
      <c r="I2790">
        <v>217.77869999999999</v>
      </c>
      <c r="J2790">
        <v>-272.29149999999998</v>
      </c>
      <c r="K2790">
        <v>1.1102970000000001</v>
      </c>
      <c r="L2790">
        <v>215.08860000000001</v>
      </c>
      <c r="M2790">
        <v>0.99988969999999999</v>
      </c>
      <c r="N2790">
        <v>-1.4805789999999999E-2</v>
      </c>
      <c r="O2790">
        <v>1.258241E-3</v>
      </c>
      <c r="P2790">
        <v>0.98108399999999996</v>
      </c>
      <c r="Q2790">
        <v>0.1811622</v>
      </c>
      <c r="R2790">
        <v>6.8226170000000003E-2</v>
      </c>
      <c r="S2790">
        <v>3.060181</v>
      </c>
      <c r="T2790">
        <v>-0.20558119999999999</v>
      </c>
      <c r="U2790">
        <v>0.49818420000000002</v>
      </c>
      <c r="V2790">
        <v>-6.6975279999999998E-2</v>
      </c>
      <c r="W2790">
        <v>0.19567480000000001</v>
      </c>
      <c r="X2790">
        <v>0.97837909999999995</v>
      </c>
      <c r="Y2790">
        <v>-0.15901199999999999</v>
      </c>
      <c r="Z2790">
        <v>6.4214919999999896E-3</v>
      </c>
      <c r="AA2790">
        <v>0.98725580000000002</v>
      </c>
      <c r="AB2790">
        <v>37</v>
      </c>
      <c r="AC2790">
        <v>16.1648999999999</v>
      </c>
      <c r="AD2790">
        <v>-1.110295414723</v>
      </c>
      <c r="AE2790">
        <v>2.69009999999997</v>
      </c>
      <c r="AF2790">
        <v>-2.6575565896832098</v>
      </c>
      <c r="AG2790">
        <v>-1.110295414723</v>
      </c>
      <c r="AH2790">
        <v>16.094389862055301</v>
      </c>
      <c r="AI2790">
        <v>93.893820701366195</v>
      </c>
      <c r="AJ2790">
        <v>99.376254754125199</v>
      </c>
      <c r="AK2790">
        <v>16.350068745028299</v>
      </c>
      <c r="AL2790">
        <v>78.715853660103406</v>
      </c>
      <c r="AM2790">
        <v>93.916092934875493</v>
      </c>
      <c r="AN2790">
        <v>0.99999998940146395</v>
      </c>
    </row>
    <row r="2791" spans="1:40" x14ac:dyDescent="0.25">
      <c r="A2791" t="str">
        <f>"20190304155422801"</f>
        <v>20190304155422801</v>
      </c>
      <c r="B2791" t="str">
        <f>"1551686062789667"</f>
        <v>1551686062789667</v>
      </c>
      <c r="C2791" t="s">
        <v>40</v>
      </c>
      <c r="D2791">
        <v>4.8228200000000001</v>
      </c>
      <c r="E2791">
        <v>0.46162419999999998</v>
      </c>
      <c r="F2791" t="s">
        <v>63</v>
      </c>
      <c r="G2791">
        <v>-254.2473</v>
      </c>
      <c r="H2791" s="1">
        <v>5.7287869999999997E-7</v>
      </c>
      <c r="I2791">
        <v>218.06010000000001</v>
      </c>
      <c r="J2791">
        <v>-271.9375</v>
      </c>
      <c r="K2791">
        <v>1.1103050000000001</v>
      </c>
      <c r="L2791">
        <v>215.089</v>
      </c>
      <c r="M2791">
        <v>0.99988969999999999</v>
      </c>
      <c r="N2791">
        <v>-1.4801969999999999E-2</v>
      </c>
      <c r="O2791">
        <v>1.2400899999999999E-3</v>
      </c>
      <c r="P2791">
        <v>0.98093850000000005</v>
      </c>
      <c r="Q2791">
        <v>0.18193690000000001</v>
      </c>
      <c r="R2791">
        <v>6.8255040000000003E-2</v>
      </c>
      <c r="S2791">
        <v>3.0575559999999999</v>
      </c>
      <c r="T2791">
        <v>-0.18813730000000001</v>
      </c>
      <c r="U2791">
        <v>0.50352479999999999</v>
      </c>
      <c r="V2791">
        <v>-6.702168E-2</v>
      </c>
      <c r="W2791">
        <v>0.19644349999999999</v>
      </c>
      <c r="X2791">
        <v>0.97822189999999998</v>
      </c>
      <c r="Y2791">
        <v>-0.16090160000000001</v>
      </c>
      <c r="Z2791">
        <v>6.055352E-3</v>
      </c>
      <c r="AA2791">
        <v>0.98695189999999999</v>
      </c>
      <c r="AB2791">
        <v>37</v>
      </c>
      <c r="AC2791">
        <v>17.690200000000001</v>
      </c>
      <c r="AD2791">
        <v>-1.1103044271212901</v>
      </c>
      <c r="AE2791">
        <v>2.9710999999999701</v>
      </c>
      <c r="AF2791">
        <v>-2.9379021049445</v>
      </c>
      <c r="AG2791">
        <v>-1.1103044271212901</v>
      </c>
      <c r="AH2791">
        <v>17.626340735507402</v>
      </c>
      <c r="AI2791">
        <v>93.555447459607905</v>
      </c>
      <c r="AJ2791">
        <v>99.462887224600607</v>
      </c>
      <c r="AK2791">
        <v>17.903964153877499</v>
      </c>
      <c r="AL2791">
        <v>78.670939036808704</v>
      </c>
      <c r="AM2791">
        <v>93.9194253132043</v>
      </c>
      <c r="AN2791">
        <v>1.00000001996094</v>
      </c>
    </row>
    <row r="2792" spans="1:40" x14ac:dyDescent="0.25">
      <c r="A2792" t="str">
        <f>"20190304155422824"</f>
        <v>20190304155422824</v>
      </c>
      <c r="B2792" t="str">
        <f>"1551686062820037"</f>
        <v>1551686062820037</v>
      </c>
      <c r="C2792" t="s">
        <v>40</v>
      </c>
      <c r="D2792">
        <v>4.8095480000000004</v>
      </c>
      <c r="E2792">
        <v>0.46149829999999997</v>
      </c>
      <c r="F2792" t="s">
        <v>63</v>
      </c>
      <c r="G2792">
        <v>-253.5318</v>
      </c>
      <c r="H2792" s="1">
        <v>1.894901E-7</v>
      </c>
      <c r="I2792">
        <v>218.12020000000001</v>
      </c>
      <c r="J2792">
        <v>-271.5652</v>
      </c>
      <c r="K2792">
        <v>1.110312</v>
      </c>
      <c r="L2792">
        <v>215.08940000000001</v>
      </c>
      <c r="M2792">
        <v>0.9998899</v>
      </c>
      <c r="N2792">
        <v>-1.4797960000000001E-2</v>
      </c>
      <c r="O2792">
        <v>1.220753E-3</v>
      </c>
      <c r="P2792">
        <v>0.98049010000000003</v>
      </c>
      <c r="Q2792">
        <v>0.18427660000000001</v>
      </c>
      <c r="R2792">
        <v>6.8420999999999996E-2</v>
      </c>
      <c r="S2792">
        <v>3.0574340000000002</v>
      </c>
      <c r="T2792">
        <v>-0.1844363</v>
      </c>
      <c r="U2792">
        <v>0.50352479999999999</v>
      </c>
      <c r="V2792">
        <v>-6.7206870000000002E-2</v>
      </c>
      <c r="W2792">
        <v>0.19877230000000001</v>
      </c>
      <c r="X2792">
        <v>0.97773860000000001</v>
      </c>
      <c r="Y2792">
        <v>-0.16093979999999999</v>
      </c>
      <c r="Z2792">
        <v>5.9624839999999997E-3</v>
      </c>
      <c r="AA2792">
        <v>0.9869462</v>
      </c>
      <c r="AB2792">
        <v>36</v>
      </c>
      <c r="AC2792">
        <v>18.0334</v>
      </c>
      <c r="AD2792">
        <v>-1.1103118105098999</v>
      </c>
      <c r="AE2792">
        <v>3.0308000000000002</v>
      </c>
      <c r="AF2792">
        <v>-2.9977292830982099</v>
      </c>
      <c r="AG2792">
        <v>-1.1103118105098999</v>
      </c>
      <c r="AH2792">
        <v>17.970833781332999</v>
      </c>
      <c r="AI2792">
        <v>93.487408439399601</v>
      </c>
      <c r="AJ2792">
        <v>99.470357439089199</v>
      </c>
      <c r="AK2792">
        <v>18.252946062693599</v>
      </c>
      <c r="AL2792">
        <v>78.534824110101198</v>
      </c>
      <c r="AM2792">
        <v>93.932157954675006</v>
      </c>
      <c r="AN2792">
        <v>0.99999998027622305</v>
      </c>
    </row>
    <row r="2793" spans="1:40" x14ac:dyDescent="0.25">
      <c r="A2793" t="str">
        <f>"20190304155422846"</f>
        <v>20190304155422846</v>
      </c>
      <c r="B2793" t="str">
        <f>"1551686062839558"</f>
        <v>1551686062839558</v>
      </c>
      <c r="C2793" t="s">
        <v>40</v>
      </c>
      <c r="D2793">
        <v>4.7342690000000003</v>
      </c>
      <c r="E2793">
        <v>0.46143459999999997</v>
      </c>
      <c r="F2793" t="s">
        <v>63</v>
      </c>
      <c r="G2793">
        <v>-253.5104</v>
      </c>
      <c r="H2793" s="1">
        <v>1.8021490000000001E-7</v>
      </c>
      <c r="I2793">
        <v>218.07220000000001</v>
      </c>
      <c r="J2793">
        <v>-271.20650000000001</v>
      </c>
      <c r="K2793">
        <v>1.110317</v>
      </c>
      <c r="L2793">
        <v>215.0898</v>
      </c>
      <c r="M2793">
        <v>0.9998899</v>
      </c>
      <c r="N2793">
        <v>-1.479427E-2</v>
      </c>
      <c r="O2793">
        <v>1.2025429999999999E-3</v>
      </c>
      <c r="P2793">
        <v>0.98002469999999997</v>
      </c>
      <c r="Q2793">
        <v>0.18655189999999999</v>
      </c>
      <c r="R2793">
        <v>6.8921830000000003E-2</v>
      </c>
      <c r="S2793">
        <v>3.0597840000000001</v>
      </c>
      <c r="T2793">
        <v>-0.1881671</v>
      </c>
      <c r="U2793">
        <v>0.50550839999999997</v>
      </c>
      <c r="V2793">
        <v>-6.7726430000000004E-2</v>
      </c>
      <c r="W2793">
        <v>0.2010373</v>
      </c>
      <c r="X2793">
        <v>0.97723950000000004</v>
      </c>
      <c r="Y2793">
        <v>-0.16144549999999999</v>
      </c>
      <c r="Z2793">
        <v>6.0742000000000001E-3</v>
      </c>
      <c r="AA2793">
        <v>0.98686300000000005</v>
      </c>
      <c r="AB2793">
        <v>36</v>
      </c>
      <c r="AC2793">
        <v>17.696100000000001</v>
      </c>
      <c r="AD2793">
        <v>-1.1103168197851001</v>
      </c>
      <c r="AE2793">
        <v>2.9824000000000099</v>
      </c>
      <c r="AF2793">
        <v>-2.9498231902378902</v>
      </c>
      <c r="AG2793">
        <v>-1.1103168197851001</v>
      </c>
      <c r="AH2793">
        <v>17.6321776004777</v>
      </c>
      <c r="AI2793">
        <v>93.553955471341396</v>
      </c>
      <c r="AJ2793">
        <v>99.497498338548397</v>
      </c>
      <c r="AK2793">
        <v>17.9116706989814</v>
      </c>
      <c r="AL2793">
        <v>78.402375383678901</v>
      </c>
      <c r="AM2793">
        <v>93.964477321632799</v>
      </c>
      <c r="AN2793">
        <v>0.99999995283604104</v>
      </c>
    </row>
    <row r="2794" spans="1:40" x14ac:dyDescent="0.25">
      <c r="A2794" t="str">
        <f>"20190304155422868"</f>
        <v>20190304155422868</v>
      </c>
      <c r="B2794" t="str">
        <f>"1551686062860052"</f>
        <v>1551686062860052</v>
      </c>
      <c r="C2794" t="s">
        <v>40</v>
      </c>
      <c r="D2794">
        <v>4.8372739999999999</v>
      </c>
      <c r="E2794">
        <v>0.4608912</v>
      </c>
      <c r="F2794" t="s">
        <v>63</v>
      </c>
      <c r="G2794">
        <v>-252.8433</v>
      </c>
      <c r="H2794" s="1">
        <v>-1.7762109999999999E-7</v>
      </c>
      <c r="I2794">
        <v>218.13650000000001</v>
      </c>
      <c r="J2794">
        <v>-270.85309999999998</v>
      </c>
      <c r="K2794">
        <v>1.1103240000000001</v>
      </c>
      <c r="L2794">
        <v>215.09020000000001</v>
      </c>
      <c r="M2794">
        <v>0.9998899</v>
      </c>
      <c r="N2794">
        <v>-1.4790869999999999E-2</v>
      </c>
      <c r="O2794">
        <v>1.1845689999999999E-3</v>
      </c>
      <c r="P2794">
        <v>0.97977099999999995</v>
      </c>
      <c r="Q2794">
        <v>0.18792539999999999</v>
      </c>
      <c r="R2794">
        <v>6.8796720000000006E-2</v>
      </c>
      <c r="S2794">
        <v>3.0606689999999999</v>
      </c>
      <c r="T2794">
        <v>-0.1850609</v>
      </c>
      <c r="U2794">
        <v>0.50779719999999995</v>
      </c>
      <c r="V2794">
        <v>-6.7618940000000002E-2</v>
      </c>
      <c r="W2794">
        <v>0.2024039</v>
      </c>
      <c r="X2794">
        <v>0.97696490000000002</v>
      </c>
      <c r="Y2794">
        <v>-0.16214509999999999</v>
      </c>
      <c r="Z2794">
        <v>6.0193490000000002E-3</v>
      </c>
      <c r="AA2794">
        <v>0.98674859999999998</v>
      </c>
      <c r="AB2794">
        <v>36</v>
      </c>
      <c r="AC2794">
        <v>18.009799999999899</v>
      </c>
      <c r="AD2794">
        <v>-1.1103241776210999</v>
      </c>
      <c r="AE2794">
        <v>3.0463</v>
      </c>
      <c r="AF2794">
        <v>-3.0138251738269601</v>
      </c>
      <c r="AG2794">
        <v>-1.1103241776210999</v>
      </c>
      <c r="AH2794">
        <v>17.947079352710499</v>
      </c>
      <c r="AI2794">
        <v>93.491417904111401</v>
      </c>
      <c r="AJ2794">
        <v>99.532648591170002</v>
      </c>
      <c r="AK2794">
        <v>18.2322137780986</v>
      </c>
      <c r="AL2794">
        <v>78.322432570048505</v>
      </c>
      <c r="AM2794">
        <v>93.959314248021897</v>
      </c>
      <c r="AN2794">
        <v>1.00000003780697</v>
      </c>
    </row>
    <row r="2795" spans="1:40" x14ac:dyDescent="0.25">
      <c r="A2795" t="str">
        <f>"20190304155422892"</f>
        <v>20190304155422892</v>
      </c>
      <c r="B2795" t="str">
        <f>"1551686062889332"</f>
        <v>1551686062889332</v>
      </c>
      <c r="C2795" t="s">
        <v>40</v>
      </c>
      <c r="D2795">
        <v>4.7008910000000004</v>
      </c>
      <c r="E2795">
        <v>0.46077360000000001</v>
      </c>
      <c r="F2795" t="s">
        <v>63</v>
      </c>
      <c r="G2795">
        <v>-251.9187</v>
      </c>
      <c r="H2795" s="1">
        <v>-6.7481239999999996E-7</v>
      </c>
      <c r="I2795">
        <v>218.25479999999999</v>
      </c>
      <c r="J2795">
        <v>-270.46800000000002</v>
      </c>
      <c r="K2795">
        <v>1.110333</v>
      </c>
      <c r="L2795">
        <v>215.0907</v>
      </c>
      <c r="M2795">
        <v>0.9998901</v>
      </c>
      <c r="N2795">
        <v>-1.4786880000000001E-2</v>
      </c>
      <c r="O2795">
        <v>1.1646899999999999E-3</v>
      </c>
      <c r="P2795">
        <v>0.97947969999999895</v>
      </c>
      <c r="Q2795">
        <v>0.1895104</v>
      </c>
      <c r="R2795">
        <v>6.8596710000000005E-2</v>
      </c>
      <c r="S2795">
        <v>3.0604550000000001</v>
      </c>
      <c r="T2795">
        <v>-0.17946609999999999</v>
      </c>
      <c r="U2795">
        <v>0.51150509999999905</v>
      </c>
      <c r="V2795">
        <v>-6.7438479999999995E-2</v>
      </c>
      <c r="W2795">
        <v>0.20397999999999999</v>
      </c>
      <c r="X2795">
        <v>0.97664949999999995</v>
      </c>
      <c r="Y2795">
        <v>-0.16335569999999999</v>
      </c>
      <c r="Z2795">
        <v>5.9193719999999896E-3</v>
      </c>
      <c r="AA2795">
        <v>0.98654949999999997</v>
      </c>
      <c r="AB2795">
        <v>36</v>
      </c>
      <c r="AC2795">
        <v>18.549299999999999</v>
      </c>
      <c r="AD2795">
        <v>-1.1103336748124</v>
      </c>
      <c r="AE2795">
        <v>3.1640999999999901</v>
      </c>
      <c r="AF2795">
        <v>-3.13158794927668</v>
      </c>
      <c r="AG2795">
        <v>-1.1103336748124</v>
      </c>
      <c r="AH2795">
        <v>18.488600602324802</v>
      </c>
      <c r="AI2795">
        <v>93.388622545674906</v>
      </c>
      <c r="AJ2795">
        <v>99.613482386431699</v>
      </c>
      <c r="AK2795">
        <v>18.784782037217401</v>
      </c>
      <c r="AL2795">
        <v>78.230204468693898</v>
      </c>
      <c r="AM2795">
        <v>93.950052372627994</v>
      </c>
      <c r="AN2795">
        <v>1.0000000174174799</v>
      </c>
    </row>
    <row r="2796" spans="1:40" x14ac:dyDescent="0.25">
      <c r="A2796" t="str">
        <f>"20190304155422917"</f>
        <v>20190304155422917</v>
      </c>
      <c r="B2796" t="str">
        <f>"1551686062909829"</f>
        <v>1551686062909829</v>
      </c>
      <c r="C2796" t="s">
        <v>40</v>
      </c>
      <c r="D2796">
        <v>4.8330580000000003</v>
      </c>
      <c r="E2796">
        <v>0.46066410000000002</v>
      </c>
      <c r="F2796" t="s">
        <v>63</v>
      </c>
      <c r="G2796">
        <v>-251.416</v>
      </c>
      <c r="H2796" s="1">
        <v>-9.432335E-7</v>
      </c>
      <c r="I2796">
        <v>218.27600000000001</v>
      </c>
      <c r="J2796">
        <v>-270.05939999999998</v>
      </c>
      <c r="K2796">
        <v>1.110341</v>
      </c>
      <c r="L2796">
        <v>215.09110000000001</v>
      </c>
      <c r="M2796">
        <v>0.99989019999999995</v>
      </c>
      <c r="N2796">
        <v>-1.478237E-2</v>
      </c>
      <c r="O2796">
        <v>1.1436860000000001E-3</v>
      </c>
      <c r="P2796">
        <v>0.97921650000000005</v>
      </c>
      <c r="Q2796">
        <v>0.19094249999999999</v>
      </c>
      <c r="R2796">
        <v>6.8384269999999997E-2</v>
      </c>
      <c r="S2796">
        <v>3.0615230000000002</v>
      </c>
      <c r="T2796">
        <v>-0.17842269999999999</v>
      </c>
      <c r="U2796">
        <v>0.51185609999999904</v>
      </c>
      <c r="V2796">
        <v>-6.7246639999999996E-2</v>
      </c>
      <c r="W2796">
        <v>0.20540359999999999</v>
      </c>
      <c r="X2796">
        <v>0.97636429999999996</v>
      </c>
      <c r="Y2796">
        <v>-0.1634341</v>
      </c>
      <c r="Z2796">
        <v>5.893906E-3</v>
      </c>
      <c r="AA2796">
        <v>0.98653659999999999</v>
      </c>
      <c r="AB2796">
        <v>36</v>
      </c>
      <c r="AC2796">
        <v>18.6433999999999</v>
      </c>
      <c r="AD2796">
        <v>-1.1103419432335</v>
      </c>
      <c r="AE2796">
        <v>3.1848999999999701</v>
      </c>
      <c r="AF2796">
        <v>-3.1527077851775598</v>
      </c>
      <c r="AG2796">
        <v>-1.1103419432335</v>
      </c>
      <c r="AH2796">
        <v>18.5829856406354</v>
      </c>
      <c r="AI2796">
        <v>93.371323110135194</v>
      </c>
      <c r="AJ2796">
        <v>99.628866433978402</v>
      </c>
      <c r="AK2796">
        <v>18.881201787219101</v>
      </c>
      <c r="AL2796">
        <v>78.146873551278802</v>
      </c>
      <c r="AM2796">
        <v>93.939998140927301</v>
      </c>
      <c r="AN2796">
        <v>0.999999997899369</v>
      </c>
    </row>
    <row r="2797" spans="1:40" x14ac:dyDescent="0.25">
      <c r="A2797" t="str">
        <f>"20190304155422937"</f>
        <v>20190304155422937</v>
      </c>
      <c r="B2797" t="str">
        <f>"1551686062929585"</f>
        <v>1551686062929585</v>
      </c>
      <c r="C2797" t="s">
        <v>40</v>
      </c>
      <c r="D2797">
        <v>5.0211439999999996</v>
      </c>
      <c r="E2797">
        <v>0.49135570000000001</v>
      </c>
      <c r="F2797" t="s">
        <v>63</v>
      </c>
      <c r="G2797">
        <v>-250.57239999999999</v>
      </c>
      <c r="H2797" s="1">
        <v>-1.3954480000000001E-6</v>
      </c>
      <c r="I2797">
        <v>218.35159999999999</v>
      </c>
      <c r="J2797">
        <v>-269.73450000000003</v>
      </c>
      <c r="K2797">
        <v>1.110355</v>
      </c>
      <c r="L2797">
        <v>215.0915</v>
      </c>
      <c r="M2797">
        <v>0.99989030000000001</v>
      </c>
      <c r="N2797">
        <v>-1.477875E-2</v>
      </c>
      <c r="O2797">
        <v>1.126847E-3</v>
      </c>
      <c r="P2797">
        <v>0.97900770000000004</v>
      </c>
      <c r="Q2797">
        <v>0.19201460000000001</v>
      </c>
      <c r="R2797">
        <v>6.8371580000000001E-2</v>
      </c>
      <c r="S2797">
        <v>3.0619200000000002</v>
      </c>
      <c r="T2797">
        <v>-0.1744637</v>
      </c>
      <c r="U2797">
        <v>0.51229859999999905</v>
      </c>
      <c r="V2797">
        <v>-6.7251259999999993E-2</v>
      </c>
      <c r="W2797">
        <v>0.20646890000000001</v>
      </c>
      <c r="X2797">
        <v>0.97613919999999998</v>
      </c>
      <c r="Y2797">
        <v>-0.1635817</v>
      </c>
      <c r="Z2797">
        <v>5.7956880000000002E-3</v>
      </c>
      <c r="AA2797">
        <v>0.98651279999999997</v>
      </c>
      <c r="AB2797">
        <v>36</v>
      </c>
      <c r="AC2797">
        <v>19.162099999999999</v>
      </c>
      <c r="AD2797">
        <v>-1.110356395448</v>
      </c>
      <c r="AE2797">
        <v>3.2600999999999898</v>
      </c>
      <c r="AF2797">
        <v>-3.2279692453198101</v>
      </c>
      <c r="AG2797">
        <v>-1.110356395448</v>
      </c>
      <c r="AH2797">
        <v>19.1034231908294</v>
      </c>
      <c r="AI2797">
        <v>93.280091038119096</v>
      </c>
      <c r="AJ2797">
        <v>99.590864661669698</v>
      </c>
      <c r="AK2797">
        <v>19.406015932734999</v>
      </c>
      <c r="AL2797">
        <v>78.084498667511397</v>
      </c>
      <c r="AM2797">
        <v>93.941173747243596</v>
      </c>
      <c r="AN2797">
        <v>0.99999993820771604</v>
      </c>
    </row>
    <row r="2798" spans="1:40" x14ac:dyDescent="0.25">
      <c r="A2798" t="str">
        <f>"20190304155422957"</f>
        <v>20190304155422957</v>
      </c>
      <c r="B2798" t="str">
        <f>"1551686062950081"</f>
        <v>1551686062950081</v>
      </c>
      <c r="C2798" t="s">
        <v>40</v>
      </c>
      <c r="D2798">
        <v>4.8949629999999997</v>
      </c>
      <c r="E2798">
        <v>0.50568290000000005</v>
      </c>
      <c r="F2798" t="s">
        <v>63</v>
      </c>
      <c r="G2798">
        <v>-248.47280000000001</v>
      </c>
      <c r="H2798" s="1">
        <v>2.870265E-6</v>
      </c>
      <c r="I2798">
        <v>216.9436</v>
      </c>
      <c r="J2798">
        <v>-269.3956</v>
      </c>
      <c r="K2798">
        <v>1.1103639999999999</v>
      </c>
      <c r="L2798">
        <v>215.09180000000001</v>
      </c>
      <c r="M2798">
        <v>0.99989030000000001</v>
      </c>
      <c r="N2798">
        <v>-1.477497E-2</v>
      </c>
      <c r="O2798">
        <v>1.109353E-3</v>
      </c>
      <c r="P2798">
        <v>0.97856469999999995</v>
      </c>
      <c r="Q2798">
        <v>0.1943762</v>
      </c>
      <c r="R2798">
        <v>6.8040459999999997E-2</v>
      </c>
      <c r="S2798">
        <v>3.077118</v>
      </c>
      <c r="T2798">
        <v>-0.16069639999999999</v>
      </c>
      <c r="U2798">
        <v>0.26805109999999999</v>
      </c>
      <c r="V2798">
        <v>-6.6937339999999998E-2</v>
      </c>
      <c r="W2798">
        <v>0.20882029999999999</v>
      </c>
      <c r="X2798">
        <v>0.97566059999999999</v>
      </c>
      <c r="Y2798">
        <v>-8.5529240000000006E-2</v>
      </c>
      <c r="Z2798">
        <v>2.8197600000000001E-3</v>
      </c>
      <c r="AA2798">
        <v>0.99633170000000004</v>
      </c>
      <c r="AB2798">
        <v>36</v>
      </c>
      <c r="AC2798">
        <v>20.922799999999899</v>
      </c>
      <c r="AD2798">
        <v>-1.110361129735</v>
      </c>
      <c r="AE2798">
        <v>1.8517999999999899</v>
      </c>
      <c r="AF2798">
        <v>-1.82348986109898</v>
      </c>
      <c r="AG2798">
        <v>-1.110361129735</v>
      </c>
      <c r="AH2798">
        <v>20.866530657748999</v>
      </c>
      <c r="AI2798">
        <v>93.034438453304304</v>
      </c>
      <c r="AJ2798">
        <v>94.994291099181595</v>
      </c>
      <c r="AK2798">
        <v>20.975464686216998</v>
      </c>
      <c r="AL2798">
        <v>77.946773030937905</v>
      </c>
      <c r="AM2798">
        <v>93.924752733429798</v>
      </c>
      <c r="AN2798">
        <v>1.00000006578536</v>
      </c>
    </row>
    <row r="2799" spans="1:40" x14ac:dyDescent="0.25">
      <c r="A2799" t="str">
        <f>"20190304155422980"</f>
        <v>20190304155422980</v>
      </c>
      <c r="B2799" t="str">
        <f>"1551686062969601"</f>
        <v>1551686062969601</v>
      </c>
      <c r="C2799" t="s">
        <v>40</v>
      </c>
      <c r="D2799">
        <v>4.8749880000000001</v>
      </c>
      <c r="E2799">
        <v>0.51159520000000003</v>
      </c>
      <c r="F2799" t="s">
        <v>63</v>
      </c>
      <c r="G2799">
        <v>-237.81370000000001</v>
      </c>
      <c r="H2799" s="1">
        <v>2.5317190000000001E-6</v>
      </c>
      <c r="I2799">
        <v>216.66499999999999</v>
      </c>
      <c r="J2799">
        <v>-269.04390000000001</v>
      </c>
      <c r="K2799">
        <v>1.1103769999999999</v>
      </c>
      <c r="L2799">
        <v>215.09219999999999</v>
      </c>
      <c r="M2799">
        <v>0.99989030000000001</v>
      </c>
      <c r="N2799">
        <v>-1.4771060000000001E-2</v>
      </c>
      <c r="O2799">
        <v>1.091383E-3</v>
      </c>
      <c r="P2799">
        <v>0.97827640000000005</v>
      </c>
      <c r="Q2799">
        <v>0.1958367</v>
      </c>
      <c r="R2799">
        <v>6.7997059999999998E-2</v>
      </c>
      <c r="S2799">
        <v>3.0765380000000002</v>
      </c>
      <c r="T2799">
        <v>-0.10816530000000001</v>
      </c>
      <c r="U2799">
        <v>0.15324399999999999</v>
      </c>
      <c r="V2799">
        <v>-6.6911880000000007E-2</v>
      </c>
      <c r="W2799">
        <v>0.21027219999999999</v>
      </c>
      <c r="X2799">
        <v>0.97535039999999995</v>
      </c>
      <c r="Y2799">
        <v>-4.8616319999999998E-2</v>
      </c>
      <c r="Z2799">
        <v>1.1910670000000001E-3</v>
      </c>
      <c r="AA2799">
        <v>0.99881679999999995</v>
      </c>
      <c r="AB2799">
        <v>36</v>
      </c>
      <c r="AC2799">
        <v>31.2302</v>
      </c>
      <c r="AD2799">
        <v>-1.1103744682809999</v>
      </c>
      <c r="AE2799">
        <v>1.5728</v>
      </c>
      <c r="AF2799">
        <v>-1.5367734782851701</v>
      </c>
      <c r="AG2799">
        <v>-1.1103744682809999</v>
      </c>
      <c r="AH2799">
        <v>31.1925666194829</v>
      </c>
      <c r="AI2799">
        <v>92.0362526127671</v>
      </c>
      <c r="AJ2799">
        <v>92.820527667040693</v>
      </c>
      <c r="AK2799">
        <v>31.250133063624698</v>
      </c>
      <c r="AL2799">
        <v>77.861695671490395</v>
      </c>
      <c r="AM2799">
        <v>93.924508448865296</v>
      </c>
      <c r="AN2799">
        <v>1.0000000002790601</v>
      </c>
    </row>
    <row r="2800" spans="1:40" x14ac:dyDescent="0.25">
      <c r="A2800" t="str">
        <f>"20190304155423002"</f>
        <v>20190304155423002</v>
      </c>
      <c r="B2800" t="str">
        <f>"1551686062999857"</f>
        <v>1551686062999857</v>
      </c>
      <c r="C2800" t="s">
        <v>40</v>
      </c>
      <c r="D2800">
        <v>4.8713150000000001</v>
      </c>
      <c r="E2800">
        <v>0.51220829999999995</v>
      </c>
      <c r="F2800" t="s">
        <v>63</v>
      </c>
      <c r="G2800">
        <v>-229.20009999999999</v>
      </c>
      <c r="H2800" s="1">
        <v>3.2782389999999998E-6</v>
      </c>
      <c r="I2800">
        <v>216.46510000000001</v>
      </c>
      <c r="J2800">
        <v>-268.6866</v>
      </c>
      <c r="K2800">
        <v>1.11039</v>
      </c>
      <c r="L2800">
        <v>215.0926</v>
      </c>
      <c r="M2800">
        <v>0.99989039999999996</v>
      </c>
      <c r="N2800">
        <v>-1.47671E-2</v>
      </c>
      <c r="O2800">
        <v>1.0727E-3</v>
      </c>
      <c r="P2800">
        <v>0.97811879999999995</v>
      </c>
      <c r="Q2800">
        <v>0.19659209999999999</v>
      </c>
      <c r="R2800">
        <v>6.8084069999999997E-2</v>
      </c>
      <c r="S2800">
        <v>3.0763850000000001</v>
      </c>
      <c r="T2800">
        <v>-8.5733180000000006E-2</v>
      </c>
      <c r="U2800">
        <v>0.10600279999999999</v>
      </c>
      <c r="V2800">
        <v>-6.7017060000000003E-2</v>
      </c>
      <c r="W2800">
        <v>0.21102170000000001</v>
      </c>
      <c r="X2800">
        <v>0.97518130000000003</v>
      </c>
      <c r="Y2800">
        <v>-3.334459E-2</v>
      </c>
      <c r="Z2800">
        <v>6.9671529999999998E-4</v>
      </c>
      <c r="AA2800">
        <v>0.99944370000000005</v>
      </c>
      <c r="AB2800">
        <v>36</v>
      </c>
      <c r="AC2800">
        <v>39.486499999999999</v>
      </c>
      <c r="AD2800">
        <v>-1.110386721761</v>
      </c>
      <c r="AE2800">
        <v>1.3725000000000001</v>
      </c>
      <c r="AF2800">
        <v>-1.3290876861824199</v>
      </c>
      <c r="AG2800">
        <v>-1.110386721761</v>
      </c>
      <c r="AH2800">
        <v>39.456786050601004</v>
      </c>
      <c r="AI2800">
        <v>91.611070177202393</v>
      </c>
      <c r="AJ2800">
        <v>91.929258322414398</v>
      </c>
      <c r="AK2800">
        <v>39.494776846974702</v>
      </c>
      <c r="AL2800">
        <v>77.817766888082204</v>
      </c>
      <c r="AM2800">
        <v>93.931337585998406</v>
      </c>
      <c r="AN2800">
        <v>1.0000000060358101</v>
      </c>
    </row>
    <row r="2801" spans="1:40" x14ac:dyDescent="0.25">
      <c r="A2801" t="str">
        <f>"20190304155423025"</f>
        <v>20190304155423025</v>
      </c>
      <c r="B2801" t="str">
        <f>"1551686063019887"</f>
        <v>1551686063019887</v>
      </c>
      <c r="C2801" t="s">
        <v>40</v>
      </c>
      <c r="D2801">
        <v>4.8777189999999999</v>
      </c>
      <c r="E2801">
        <v>0.51174140000000001</v>
      </c>
      <c r="F2801" t="s">
        <v>63</v>
      </c>
      <c r="G2801">
        <v>-228.679</v>
      </c>
      <c r="H2801" s="1">
        <v>3.0033219999999999E-6</v>
      </c>
      <c r="I2801">
        <v>216.4101</v>
      </c>
      <c r="J2801">
        <v>-268.31950000000001</v>
      </c>
      <c r="K2801">
        <v>1.1104000000000001</v>
      </c>
      <c r="L2801">
        <v>215.09299999999999</v>
      </c>
      <c r="M2801">
        <v>0.99989050000000002</v>
      </c>
      <c r="N2801">
        <v>-1.476323E-2</v>
      </c>
      <c r="O2801">
        <v>1.053834E-3</v>
      </c>
      <c r="P2801">
        <v>0.97779990000000006</v>
      </c>
      <c r="Q2801">
        <v>0.19825909999999999</v>
      </c>
      <c r="R2801">
        <v>6.7831840000000004E-2</v>
      </c>
      <c r="S2801">
        <v>3.0772089999999999</v>
      </c>
      <c r="T2801">
        <v>-8.5405949999999994E-2</v>
      </c>
      <c r="U2801">
        <v>0.1013336</v>
      </c>
      <c r="V2801">
        <v>-6.6783729999999999E-2</v>
      </c>
      <c r="W2801">
        <v>0.21267929999999999</v>
      </c>
      <c r="X2801">
        <v>0.97483710000000001</v>
      </c>
      <c r="Y2801">
        <v>-3.1840449999999999E-2</v>
      </c>
      <c r="Z2801">
        <v>6.631489E-4</v>
      </c>
      <c r="AA2801">
        <v>0.99949279999999996</v>
      </c>
      <c r="AB2801">
        <v>36</v>
      </c>
      <c r="AC2801">
        <v>39.640500000000003</v>
      </c>
      <c r="AD2801">
        <v>-1.1103969966779901</v>
      </c>
      <c r="AE2801">
        <v>1.3171000000000099</v>
      </c>
      <c r="AF2801">
        <v>-1.2743214111836401</v>
      </c>
      <c r="AG2801">
        <v>-1.1103969966779901</v>
      </c>
      <c r="AH2801">
        <v>39.610819617692997</v>
      </c>
      <c r="AI2801">
        <v>91.604903232267404</v>
      </c>
      <c r="AJ2801">
        <v>91.842629512700896</v>
      </c>
      <c r="AK2801">
        <v>39.6468650379149</v>
      </c>
      <c r="AL2801">
        <v>77.720587068143203</v>
      </c>
      <c r="AM2801">
        <v>93.919071705742695</v>
      </c>
      <c r="AN2801">
        <v>0.99999996138880498</v>
      </c>
    </row>
    <row r="2802" spans="1:40" x14ac:dyDescent="0.25">
      <c r="A2802" t="str">
        <f>"20190304155423048"</f>
        <v>20190304155423048</v>
      </c>
      <c r="B2802" t="str">
        <f>"1551686063039406"</f>
        <v>1551686063039406</v>
      </c>
      <c r="C2802" t="s">
        <v>40</v>
      </c>
      <c r="D2802">
        <v>4.8017000000000003</v>
      </c>
      <c r="E2802">
        <v>0.51119040000000004</v>
      </c>
      <c r="F2802" t="s">
        <v>63</v>
      </c>
      <c r="G2802">
        <v>-227.232</v>
      </c>
      <c r="H2802" s="1">
        <v>2.2302310000000001E-6</v>
      </c>
      <c r="I2802">
        <v>216.4804</v>
      </c>
      <c r="J2802">
        <v>-267.9554</v>
      </c>
      <c r="K2802">
        <v>1.1104039999999999</v>
      </c>
      <c r="L2802">
        <v>215.0933</v>
      </c>
      <c r="M2802">
        <v>0.99989059999999996</v>
      </c>
      <c r="N2802">
        <v>-1.4759329999999999E-2</v>
      </c>
      <c r="O2802">
        <v>1.034852E-3</v>
      </c>
      <c r="P2802">
        <v>0.9775836</v>
      </c>
      <c r="Q2802">
        <v>0.1993974</v>
      </c>
      <c r="R2802">
        <v>6.7609920000000004E-2</v>
      </c>
      <c r="S2802">
        <v>3.0777589999999999</v>
      </c>
      <c r="T2802">
        <v>-8.3176970000000003E-2</v>
      </c>
      <c r="U2802">
        <v>0.10392759999999999</v>
      </c>
      <c r="V2802">
        <v>-6.6580490000000006E-2</v>
      </c>
      <c r="W2802">
        <v>0.2138109</v>
      </c>
      <c r="X2802">
        <v>0.97460349999999996</v>
      </c>
      <c r="Y2802">
        <v>-3.2695309999999998E-2</v>
      </c>
      <c r="Z2802">
        <v>6.7033730000000001E-4</v>
      </c>
      <c r="AA2802">
        <v>0.99946520000000005</v>
      </c>
      <c r="AB2802">
        <v>36</v>
      </c>
      <c r="AC2802">
        <v>40.723399999999998</v>
      </c>
      <c r="AD2802">
        <v>-1.1104017697690001</v>
      </c>
      <c r="AE2802">
        <v>1.3871</v>
      </c>
      <c r="AF2802">
        <v>-1.34395392512038</v>
      </c>
      <c r="AG2802">
        <v>-1.1104017697690001</v>
      </c>
      <c r="AH2802">
        <v>40.694593029856698</v>
      </c>
      <c r="AI2802">
        <v>91.562146389037807</v>
      </c>
      <c r="AJ2802">
        <v>91.891526743575</v>
      </c>
      <c r="AK2802">
        <v>40.731917535377697</v>
      </c>
      <c r="AL2802">
        <v>77.654225504982605</v>
      </c>
      <c r="AM2802">
        <v>93.908115563471398</v>
      </c>
      <c r="AN2802">
        <v>1.00000002240984</v>
      </c>
    </row>
    <row r="2803" spans="1:40" x14ac:dyDescent="0.25">
      <c r="A2803" t="str">
        <f>"20190304155423069"</f>
        <v>20190304155423069</v>
      </c>
      <c r="B2803" t="str">
        <f>"1551686063059901"</f>
        <v>1551686063059901</v>
      </c>
      <c r="C2803" t="s">
        <v>40</v>
      </c>
      <c r="D2803">
        <v>4.8978840000000003</v>
      </c>
      <c r="E2803">
        <v>0.51086120000000002</v>
      </c>
      <c r="F2803" t="s">
        <v>63</v>
      </c>
      <c r="G2803">
        <v>-228.32339999999999</v>
      </c>
      <c r="H2803" s="1">
        <v>2.8110400000000001E-6</v>
      </c>
      <c r="I2803">
        <v>216.4802</v>
      </c>
      <c r="J2803">
        <v>-267.60789999999997</v>
      </c>
      <c r="K2803">
        <v>1.110414</v>
      </c>
      <c r="L2803">
        <v>215.09370000000001</v>
      </c>
      <c r="M2803">
        <v>0.99989070000000002</v>
      </c>
      <c r="N2803">
        <v>-1.4755509999999999E-2</v>
      </c>
      <c r="O2803">
        <v>1.016999E-3</v>
      </c>
      <c r="P2803">
        <v>0.97730919999999999</v>
      </c>
      <c r="Q2803">
        <v>0.2006918</v>
      </c>
      <c r="R2803">
        <v>6.7747559999999998E-2</v>
      </c>
      <c r="S2803">
        <v>3.0789490000000002</v>
      </c>
      <c r="T2803">
        <v>-8.6265330000000001E-2</v>
      </c>
      <c r="U2803">
        <v>0.1077423</v>
      </c>
      <c r="V2803">
        <v>-6.6735450000000002E-2</v>
      </c>
      <c r="W2803">
        <v>0.21509729999999999</v>
      </c>
      <c r="X2803">
        <v>0.97430969999999995</v>
      </c>
      <c r="Y2803">
        <v>-3.3935069999999998E-2</v>
      </c>
      <c r="Z2803">
        <v>7.122055E-4</v>
      </c>
      <c r="AA2803">
        <v>0.99942379999999997</v>
      </c>
      <c r="AB2803">
        <v>36</v>
      </c>
      <c r="AC2803">
        <v>39.284499999999902</v>
      </c>
      <c r="AD2803">
        <v>-1.1104111889599999</v>
      </c>
      <c r="AE2803">
        <v>1.3864999999999801</v>
      </c>
      <c r="AF2803">
        <v>-1.3454690000828</v>
      </c>
      <c r="AG2803">
        <v>-1.1104111889599999</v>
      </c>
      <c r="AH2803">
        <v>39.254566081206796</v>
      </c>
      <c r="AI2803">
        <v>91.619368406848494</v>
      </c>
      <c r="AJ2803">
        <v>91.963071703125294</v>
      </c>
      <c r="AK2803">
        <v>39.293310601966198</v>
      </c>
      <c r="AL2803">
        <v>77.578763375671301</v>
      </c>
      <c r="AM2803">
        <v>93.918360595923701</v>
      </c>
      <c r="AN2803">
        <v>0.99999993013403798</v>
      </c>
    </row>
    <row r="2804" spans="1:40" x14ac:dyDescent="0.25">
      <c r="A2804" t="str">
        <f>"20190304155423093"</f>
        <v>20190304155423093</v>
      </c>
      <c r="B2804" t="str">
        <f>"1551686063089182"</f>
        <v>1551686063089182</v>
      </c>
      <c r="C2804" t="s">
        <v>40</v>
      </c>
      <c r="D2804">
        <v>4.8827550000000004</v>
      </c>
      <c r="E2804">
        <v>0.51017639999999997</v>
      </c>
      <c r="F2804" t="s">
        <v>63</v>
      </c>
      <c r="G2804">
        <v>-227.20400000000001</v>
      </c>
      <c r="H2804" s="1">
        <v>2.2125840000000002E-6</v>
      </c>
      <c r="I2804">
        <v>216.54339999999999</v>
      </c>
      <c r="J2804">
        <v>-267.23869999999999</v>
      </c>
      <c r="K2804">
        <v>1.110417</v>
      </c>
      <c r="L2804">
        <v>215.09399999999999</v>
      </c>
      <c r="M2804">
        <v>0.99989070000000002</v>
      </c>
      <c r="N2804">
        <v>-1.4751419999999999E-2</v>
      </c>
      <c r="O2804">
        <v>9.9766109999999998E-4</v>
      </c>
      <c r="P2804">
        <v>0.97719650000000002</v>
      </c>
      <c r="Q2804">
        <v>0.20120209999999999</v>
      </c>
      <c r="R2804">
        <v>6.7858360000000006E-2</v>
      </c>
      <c r="S2804">
        <v>3.0793759999999999</v>
      </c>
      <c r="T2804">
        <v>-8.4629770000000007E-2</v>
      </c>
      <c r="U2804">
        <v>0.1104889</v>
      </c>
      <c r="V2804">
        <v>-6.6865339999999995E-2</v>
      </c>
      <c r="W2804">
        <v>0.21560209999999999</v>
      </c>
      <c r="X2804">
        <v>0.97418930000000004</v>
      </c>
      <c r="Y2804">
        <v>-3.483994E-2</v>
      </c>
      <c r="Z2804">
        <v>7.2295249999999997E-4</v>
      </c>
      <c r="AA2804">
        <v>0.99939259999999996</v>
      </c>
      <c r="AB2804">
        <v>36</v>
      </c>
      <c r="AC2804">
        <v>40.034700000000001</v>
      </c>
      <c r="AD2804">
        <v>-1.110414787416</v>
      </c>
      <c r="AE2804">
        <v>1.4493999999999601</v>
      </c>
      <c r="AF2804">
        <v>-1.4083718233798199</v>
      </c>
      <c r="AG2804">
        <v>-1.110414787416</v>
      </c>
      <c r="AH2804">
        <v>40.005390265849698</v>
      </c>
      <c r="AI2804">
        <v>91.588945657701899</v>
      </c>
      <c r="AJ2804">
        <v>92.016239548656003</v>
      </c>
      <c r="AK2804">
        <v>40.045571322131799</v>
      </c>
      <c r="AL2804">
        <v>77.549146623121104</v>
      </c>
      <c r="AM2804">
        <v>93.926446931120907</v>
      </c>
      <c r="AN2804">
        <v>1.0000000157261</v>
      </c>
    </row>
    <row r="2805" spans="1:40" x14ac:dyDescent="0.25">
      <c r="A2805" t="str">
        <f>"20190304155423117"</f>
        <v>20190304155423117</v>
      </c>
      <c r="B2805" t="str">
        <f>"1551686063109677"</f>
        <v>1551686063109677</v>
      </c>
      <c r="C2805" t="s">
        <v>40</v>
      </c>
      <c r="D2805">
        <v>4.8795630000000001</v>
      </c>
      <c r="E2805">
        <v>0.50996940000000002</v>
      </c>
      <c r="F2805" t="s">
        <v>63</v>
      </c>
      <c r="G2805">
        <v>-229.40110000000001</v>
      </c>
      <c r="H2805" s="1">
        <v>3.382777E-6</v>
      </c>
      <c r="I2805">
        <v>216.51990000000001</v>
      </c>
      <c r="J2805">
        <v>-266.83319999999998</v>
      </c>
      <c r="K2805">
        <v>1.1104099999999999</v>
      </c>
      <c r="L2805">
        <v>215.09440000000001</v>
      </c>
      <c r="M2805">
        <v>0.99989079999999997</v>
      </c>
      <c r="N2805">
        <v>-1.474694E-2</v>
      </c>
      <c r="O2805">
        <v>9.7701100000000007E-4</v>
      </c>
      <c r="P2805">
        <v>0.97712650000000001</v>
      </c>
      <c r="Q2805">
        <v>0.20163039999999999</v>
      </c>
      <c r="R2805">
        <v>6.7596160000000002E-2</v>
      </c>
      <c r="S2805">
        <v>3.0805660000000001</v>
      </c>
      <c r="T2805">
        <v>-9.0404750000000006E-2</v>
      </c>
      <c r="U2805">
        <v>0.11608889999999999</v>
      </c>
      <c r="V2805">
        <v>-6.6623459999999995E-2</v>
      </c>
      <c r="W2805">
        <v>0.21602479999999999</v>
      </c>
      <c r="X2805">
        <v>0.97411219999999998</v>
      </c>
      <c r="Y2805">
        <v>-3.6657500000000003E-2</v>
      </c>
      <c r="Z2805">
        <v>7.9382110000000004E-4</v>
      </c>
      <c r="AA2805">
        <v>0.99932759999999998</v>
      </c>
      <c r="AB2805">
        <v>36</v>
      </c>
      <c r="AC2805">
        <v>37.432099999999899</v>
      </c>
      <c r="AD2805">
        <v>-1.1104066172229901</v>
      </c>
      <c r="AE2805">
        <v>1.42549999999999</v>
      </c>
      <c r="AF2805">
        <v>-1.38770437764635</v>
      </c>
      <c r="AG2805">
        <v>-1.1104066172229901</v>
      </c>
      <c r="AH2805">
        <v>37.400610664352897</v>
      </c>
      <c r="AI2805">
        <v>91.699416613670095</v>
      </c>
      <c r="AJ2805">
        <v>92.124915770750505</v>
      </c>
      <c r="AK2805">
        <v>37.442815123355999</v>
      </c>
      <c r="AL2805">
        <v>77.524342855038199</v>
      </c>
      <c r="AM2805">
        <v>93.912596204234006</v>
      </c>
      <c r="AN2805">
        <v>0.99999998891312503</v>
      </c>
    </row>
    <row r="2806" spans="1:40" x14ac:dyDescent="0.25">
      <c r="A2806" t="str">
        <f>"20190304155423140"</f>
        <v>20190304155423140</v>
      </c>
      <c r="B2806" t="str">
        <f>"1551686063129705"</f>
        <v>1551686063129705</v>
      </c>
      <c r="C2806" t="s">
        <v>40</v>
      </c>
      <c r="D2806">
        <v>5.0012549999999996</v>
      </c>
      <c r="E2806">
        <v>0.50928899999999999</v>
      </c>
      <c r="F2806" t="s">
        <v>63</v>
      </c>
      <c r="G2806">
        <v>-229.1593</v>
      </c>
      <c r="H2806" s="1">
        <v>3.2541720000000002E-6</v>
      </c>
      <c r="I2806">
        <v>216.51949999999999</v>
      </c>
      <c r="J2806">
        <v>-266.47390000000001</v>
      </c>
      <c r="K2806">
        <v>1.11042</v>
      </c>
      <c r="L2806">
        <v>215.09469999999999</v>
      </c>
      <c r="M2806">
        <v>0.99989090000000003</v>
      </c>
      <c r="N2806">
        <v>-1.4743020000000001E-2</v>
      </c>
      <c r="O2806">
        <v>9.5832749999999998E-4</v>
      </c>
      <c r="P2806">
        <v>0.97695319999999997</v>
      </c>
      <c r="Q2806">
        <v>0.2024842</v>
      </c>
      <c r="R2806">
        <v>6.7548220000000006E-2</v>
      </c>
      <c r="S2806">
        <v>3.080902</v>
      </c>
      <c r="T2806">
        <v>-9.0807200000000005E-2</v>
      </c>
      <c r="U2806">
        <v>0.1165466</v>
      </c>
      <c r="V2806">
        <v>-6.6593449999999998E-2</v>
      </c>
      <c r="W2806">
        <v>0.2168716</v>
      </c>
      <c r="X2806">
        <v>0.97392610000000002</v>
      </c>
      <c r="Y2806">
        <v>-3.6820070000000003E-2</v>
      </c>
      <c r="Z2806">
        <v>7.9982289999999895E-4</v>
      </c>
      <c r="AA2806">
        <v>0.99932160000000003</v>
      </c>
      <c r="AB2806">
        <v>36</v>
      </c>
      <c r="AC2806">
        <v>37.314599999999999</v>
      </c>
      <c r="AD2806">
        <v>-1.1104167458280001</v>
      </c>
      <c r="AE2806">
        <v>1.4248000000000001</v>
      </c>
      <c r="AF2806">
        <v>-1.38780866435624</v>
      </c>
      <c r="AG2806">
        <v>-1.1104167458280001</v>
      </c>
      <c r="AH2806">
        <v>37.282980456475698</v>
      </c>
      <c r="AI2806">
        <v>91.704783185637297</v>
      </c>
      <c r="AJ2806">
        <v>92.131773886286197</v>
      </c>
      <c r="AK2806">
        <v>37.3253221011718</v>
      </c>
      <c r="AL2806">
        <v>77.474647005852702</v>
      </c>
      <c r="AM2806">
        <v>93.911584249408307</v>
      </c>
      <c r="AN2806">
        <v>1.00000001336533</v>
      </c>
    </row>
    <row r="2807" spans="1:40" x14ac:dyDescent="0.25">
      <c r="A2807" t="str">
        <f>"20190304155423158"</f>
        <v>20190304155423158</v>
      </c>
      <c r="B2807" t="str">
        <f>"1551686063149225"</f>
        <v>1551686063149225</v>
      </c>
      <c r="C2807" t="s">
        <v>40</v>
      </c>
      <c r="D2807">
        <v>4.8939589999999997</v>
      </c>
      <c r="E2807">
        <v>0.50931170000000003</v>
      </c>
      <c r="F2807" t="s">
        <v>63</v>
      </c>
      <c r="G2807">
        <v>-230.5454</v>
      </c>
      <c r="H2807" s="1">
        <v>-1.329655E-6</v>
      </c>
      <c r="I2807">
        <v>216.5172</v>
      </c>
      <c r="J2807">
        <v>-266.17610000000002</v>
      </c>
      <c r="K2807">
        <v>1.110428</v>
      </c>
      <c r="L2807">
        <v>215.095</v>
      </c>
      <c r="M2807">
        <v>0.99989110000000003</v>
      </c>
      <c r="N2807">
        <v>-1.4739810000000001E-2</v>
      </c>
      <c r="O2807">
        <v>9.4285539999999996E-4</v>
      </c>
      <c r="P2807">
        <v>0.97646650000000002</v>
      </c>
      <c r="Q2807">
        <v>0.2048422</v>
      </c>
      <c r="R2807">
        <v>6.7474800000000001E-2</v>
      </c>
      <c r="S2807">
        <v>3.0820919999999998</v>
      </c>
      <c r="T2807">
        <v>-9.5256450000000006E-2</v>
      </c>
      <c r="U2807">
        <v>0.12202449999999999</v>
      </c>
      <c r="V2807">
        <v>-6.653539E-2</v>
      </c>
      <c r="W2807">
        <v>0.21921940000000001</v>
      </c>
      <c r="X2807">
        <v>0.9734043</v>
      </c>
      <c r="Y2807">
        <v>-3.8591170000000001E-2</v>
      </c>
      <c r="Z2807">
        <v>8.6539129999999996E-4</v>
      </c>
      <c r="AA2807">
        <v>0.99925469999999905</v>
      </c>
      <c r="AB2807">
        <v>36</v>
      </c>
      <c r="AC2807">
        <v>35.630699999999997</v>
      </c>
      <c r="AD2807">
        <v>-1.1104293296550001</v>
      </c>
      <c r="AE2807">
        <v>1.4221999999999999</v>
      </c>
      <c r="AF2807">
        <v>-1.3872558903169501</v>
      </c>
      <c r="AG2807">
        <v>-1.1104293296550001</v>
      </c>
      <c r="AH2807">
        <v>35.597505984430903</v>
      </c>
      <c r="AI2807">
        <v>91.785352018915205</v>
      </c>
      <c r="AJ2807">
        <v>92.231721140514097</v>
      </c>
      <c r="AK2807">
        <v>35.641828860384997</v>
      </c>
      <c r="AL2807">
        <v>77.336811474247696</v>
      </c>
      <c r="AM2807">
        <v>93.9102729896602</v>
      </c>
      <c r="AN2807">
        <v>1.0000000173586501</v>
      </c>
    </row>
    <row r="2808" spans="1:40" x14ac:dyDescent="0.25">
      <c r="A2808" t="str">
        <f>"20190304155423182"</f>
        <v>20190304155423182</v>
      </c>
      <c r="B2808" t="str">
        <f>"1551686063179481"</f>
        <v>1551686063179481</v>
      </c>
      <c r="C2808" t="s">
        <v>40</v>
      </c>
      <c r="D2808">
        <v>4.8147949999999904</v>
      </c>
      <c r="E2808">
        <v>0.5092641</v>
      </c>
      <c r="F2808" t="s">
        <v>63</v>
      </c>
      <c r="G2808">
        <v>-227.5787</v>
      </c>
      <c r="H2808" s="1">
        <v>2.4088440000000001E-6</v>
      </c>
      <c r="I2808">
        <v>216.61510000000001</v>
      </c>
      <c r="J2808">
        <v>-265.80309999999997</v>
      </c>
      <c r="K2808">
        <v>1.110444</v>
      </c>
      <c r="L2808">
        <v>215.09530000000001</v>
      </c>
      <c r="M2808">
        <v>0.99989090000000003</v>
      </c>
      <c r="N2808">
        <v>-1.4735760000000001E-2</v>
      </c>
      <c r="O2808">
        <v>9.2381340000000003E-4</v>
      </c>
      <c r="P2808">
        <v>0.97587590000000002</v>
      </c>
      <c r="Q2808">
        <v>0.20757729999999999</v>
      </c>
      <c r="R2808">
        <v>6.7661260000000001E-2</v>
      </c>
      <c r="S2808">
        <v>3.0825499999999999</v>
      </c>
      <c r="T2808">
        <v>-8.8683129999999999E-2</v>
      </c>
      <c r="U2808">
        <v>0.1213989</v>
      </c>
      <c r="V2808">
        <v>-6.6741120000000001E-2</v>
      </c>
      <c r="W2808">
        <v>0.22194159999999999</v>
      </c>
      <c r="X2808">
        <v>0.97277309999999995</v>
      </c>
      <c r="Y2808">
        <v>-3.840499E-2</v>
      </c>
      <c r="Z2808">
        <v>8.2233860000000003E-4</v>
      </c>
      <c r="AA2808">
        <v>0.99926190000000004</v>
      </c>
      <c r="AB2808">
        <v>36</v>
      </c>
      <c r="AC2808">
        <v>38.224399999999903</v>
      </c>
      <c r="AD2808">
        <v>-1.1104415911559999</v>
      </c>
      <c r="AE2808">
        <v>1.5198</v>
      </c>
      <c r="AF2808">
        <v>-1.48323352040532</v>
      </c>
      <c r="AG2808">
        <v>-1.1104415911559999</v>
      </c>
      <c r="AH2808">
        <v>38.1936057236124</v>
      </c>
      <c r="AI2808">
        <v>91.664095753244197</v>
      </c>
      <c r="AJ2808">
        <v>92.223941312849107</v>
      </c>
      <c r="AK2808">
        <v>38.238522204371101</v>
      </c>
      <c r="AL2808">
        <v>77.176901563312299</v>
      </c>
      <c r="AM2808">
        <v>93.924863138116507</v>
      </c>
      <c r="AN2808">
        <v>0.99999997749651104</v>
      </c>
    </row>
    <row r="2809" spans="1:40" x14ac:dyDescent="0.25">
      <c r="A2809" t="str">
        <f>"20190304155423204"</f>
        <v>20190304155423204</v>
      </c>
      <c r="B2809" t="str">
        <f>"1551686063199977"</f>
        <v>1551686063199977</v>
      </c>
      <c r="C2809" t="s">
        <v>40</v>
      </c>
      <c r="D2809">
        <v>4.8173849999999998</v>
      </c>
      <c r="E2809">
        <v>0.48976910000000001</v>
      </c>
      <c r="F2809" t="s">
        <v>63</v>
      </c>
      <c r="G2809">
        <v>-221.83189999999999</v>
      </c>
      <c r="H2809" s="1">
        <v>-6.5938709999999999E-7</v>
      </c>
      <c r="I2809">
        <v>216.84569999999999</v>
      </c>
      <c r="J2809">
        <v>-265.44889999999998</v>
      </c>
      <c r="K2809">
        <v>1.1104579999999999</v>
      </c>
      <c r="L2809">
        <v>215.09559999999999</v>
      </c>
      <c r="M2809">
        <v>0.99989099999999997</v>
      </c>
      <c r="N2809">
        <v>-1.4731940000000001E-2</v>
      </c>
      <c r="O2809">
        <v>9.0530660000000002E-4</v>
      </c>
      <c r="P2809">
        <v>0.97533579999999998</v>
      </c>
      <c r="Q2809">
        <v>0.21024989999999999</v>
      </c>
      <c r="R2809">
        <v>6.7193870000000003E-2</v>
      </c>
      <c r="S2809">
        <v>3.0821839999999998</v>
      </c>
      <c r="T2809">
        <v>-7.7837229999999993E-2</v>
      </c>
      <c r="U2809">
        <v>0.122695899999999</v>
      </c>
      <c r="V2809">
        <v>-6.6291909999999996E-2</v>
      </c>
      <c r="W2809">
        <v>0.22460250000000001</v>
      </c>
      <c r="X2809">
        <v>0.97219290000000003</v>
      </c>
      <c r="Y2809">
        <v>-3.8852360000000002E-2</v>
      </c>
      <c r="Z2809">
        <v>7.6718299999999995E-4</v>
      </c>
      <c r="AA2809">
        <v>0.99924469999999999</v>
      </c>
      <c r="AB2809">
        <v>36</v>
      </c>
      <c r="AC2809">
        <v>43.616999999999898</v>
      </c>
      <c r="AD2809">
        <v>-1.1104586593871</v>
      </c>
      <c r="AE2809">
        <v>1.7501</v>
      </c>
      <c r="AF2809">
        <v>-1.7095019586100699</v>
      </c>
      <c r="AG2809">
        <v>-1.1104586593871</v>
      </c>
      <c r="AH2809">
        <v>43.590357845648398</v>
      </c>
      <c r="AI2809">
        <v>91.458166439571897</v>
      </c>
      <c r="AJ2809">
        <v>92.245842518923396</v>
      </c>
      <c r="AK2809">
        <v>43.637997347407897</v>
      </c>
      <c r="AL2809">
        <v>77.020494730025504</v>
      </c>
      <c r="AM2809">
        <v>93.900847499999202</v>
      </c>
      <c r="AN2809">
        <v>0.99999996757405296</v>
      </c>
    </row>
    <row r="2810" spans="1:40" x14ac:dyDescent="0.25">
      <c r="A2810" t="str">
        <f>"20190304155423225"</f>
        <v>20190304155423225</v>
      </c>
      <c r="B2810" t="str">
        <f>"1551686063220004"</f>
        <v>1551686063220004</v>
      </c>
      <c r="C2810" t="s">
        <v>40</v>
      </c>
      <c r="D2810">
        <v>4.7312690000000002</v>
      </c>
      <c r="E2810">
        <v>0.48614109999999999</v>
      </c>
      <c r="F2810" t="s">
        <v>61</v>
      </c>
      <c r="G2810">
        <v>-168.35059999999999</v>
      </c>
      <c r="H2810">
        <v>1.587107</v>
      </c>
      <c r="I2810">
        <v>223.93279999999999</v>
      </c>
      <c r="J2810">
        <v>-265.10000000000002</v>
      </c>
      <c r="K2810">
        <v>1.110466</v>
      </c>
      <c r="L2810">
        <v>215.0959</v>
      </c>
      <c r="M2810">
        <v>0.99989119999999998</v>
      </c>
      <c r="N2810">
        <v>-1.472819E-2</v>
      </c>
      <c r="O2810">
        <v>8.8715619999999904E-4</v>
      </c>
      <c r="P2810">
        <v>0.97511789999999998</v>
      </c>
      <c r="Q2810">
        <v>0.21141660000000001</v>
      </c>
      <c r="R2810">
        <v>6.6695080000000004E-2</v>
      </c>
      <c r="S2810">
        <v>3.0534970000000001</v>
      </c>
      <c r="T2810">
        <v>1.499116E-2</v>
      </c>
      <c r="U2810">
        <v>0.2779083</v>
      </c>
      <c r="V2810">
        <v>-6.5811159999999994E-2</v>
      </c>
      <c r="W2810">
        <v>0.22576170000000001</v>
      </c>
      <c r="X2810">
        <v>0.97195710000000002</v>
      </c>
      <c r="Y2810">
        <v>-8.9757169999999997E-2</v>
      </c>
      <c r="Z2810">
        <v>4.5988170000000001E-4</v>
      </c>
      <c r="AA2810">
        <v>0.99596359999999995</v>
      </c>
      <c r="AB2810">
        <v>36</v>
      </c>
      <c r="AC2810">
        <v>96.749399999999994</v>
      </c>
      <c r="AD2810">
        <v>0.47664099999999998</v>
      </c>
      <c r="AE2810">
        <v>8.8368999999999804</v>
      </c>
      <c r="AF2810">
        <v>-8.7508447521246104</v>
      </c>
      <c r="AG2810">
        <v>0.47664099999999998</v>
      </c>
      <c r="AH2810">
        <v>96.754873578611793</v>
      </c>
      <c r="AI2810">
        <v>89.718894947068904</v>
      </c>
      <c r="AJ2810">
        <v>95.167967328764405</v>
      </c>
      <c r="AK2810">
        <v>97.1509651610926</v>
      </c>
      <c r="AL2810">
        <v>76.952327491624501</v>
      </c>
      <c r="AM2810">
        <v>93.873581539984201</v>
      </c>
      <c r="AN2810">
        <v>1.0000000291039199</v>
      </c>
    </row>
    <row r="2811" spans="1:40" x14ac:dyDescent="0.25">
      <c r="A2811" t="str">
        <f>"20190304155423250"</f>
        <v>20190304155423250</v>
      </c>
      <c r="B2811" t="str">
        <f>"1551686063239524"</f>
        <v>1551686063239524</v>
      </c>
      <c r="C2811" t="s">
        <v>40</v>
      </c>
      <c r="D2811">
        <v>4.7524689999999996</v>
      </c>
      <c r="E2811">
        <v>0.48466599999999999</v>
      </c>
      <c r="F2811" t="s">
        <v>47</v>
      </c>
      <c r="G2811">
        <v>-157.34270000000001</v>
      </c>
      <c r="H2811">
        <v>-0.05</v>
      </c>
      <c r="I2811">
        <v>225.84620000000001</v>
      </c>
      <c r="J2811">
        <v>-264.72879999999998</v>
      </c>
      <c r="K2811">
        <v>1.110476</v>
      </c>
      <c r="L2811">
        <v>215.09620000000001</v>
      </c>
      <c r="M2811">
        <v>0.99989139999999999</v>
      </c>
      <c r="N2811">
        <v>-1.472416E-2</v>
      </c>
      <c r="O2811">
        <v>8.6799419999999895E-4</v>
      </c>
      <c r="P2811">
        <v>0.97503039999999996</v>
      </c>
      <c r="Q2811">
        <v>0.2118775</v>
      </c>
      <c r="R2811">
        <v>6.6513920000000004E-2</v>
      </c>
      <c r="S2811">
        <v>3.062805</v>
      </c>
      <c r="T2811">
        <v>-3.2984140000000002E-2</v>
      </c>
      <c r="U2811">
        <v>0.30555729999999998</v>
      </c>
      <c r="V2811">
        <v>-6.5648310000000001E-2</v>
      </c>
      <c r="W2811">
        <v>0.22621740000000001</v>
      </c>
      <c r="X2811">
        <v>0.97186209999999995</v>
      </c>
      <c r="Y2811">
        <v>-9.839378E-2</v>
      </c>
      <c r="Z2811">
        <v>1.258178E-3</v>
      </c>
      <c r="AA2811">
        <v>0.9951468</v>
      </c>
      <c r="AB2811">
        <v>36</v>
      </c>
      <c r="AC2811">
        <v>107.386099999999</v>
      </c>
      <c r="AD2811">
        <v>-1.1604760000000001</v>
      </c>
      <c r="AE2811">
        <v>10.75</v>
      </c>
      <c r="AF2811">
        <v>-10.655543318920101</v>
      </c>
      <c r="AG2811">
        <v>-1.1604760000000001</v>
      </c>
      <c r="AH2811">
        <v>107.382975502428</v>
      </c>
      <c r="AI2811">
        <v>90.616139349675606</v>
      </c>
      <c r="AJ2811">
        <v>95.666872238022293</v>
      </c>
      <c r="AK2811">
        <v>107.916591568317</v>
      </c>
      <c r="AL2811">
        <v>76.925523709417405</v>
      </c>
      <c r="AM2811">
        <v>93.864401984400004</v>
      </c>
      <c r="AN2811">
        <v>0.99999997704251198</v>
      </c>
    </row>
    <row r="2812" spans="1:40" x14ac:dyDescent="0.25">
      <c r="A2812" t="str">
        <f>"20190304155423270"</f>
        <v>20190304155423270</v>
      </c>
      <c r="B2812" t="str">
        <f>"1551686063260020"</f>
        <v>1551686063260020</v>
      </c>
      <c r="C2812" t="s">
        <v>40</v>
      </c>
      <c r="D2812">
        <v>4.6109030000000004</v>
      </c>
      <c r="E2812">
        <v>0.48356850000000001</v>
      </c>
      <c r="F2812" t="s">
        <v>51</v>
      </c>
      <c r="G2812">
        <v>-203.4263</v>
      </c>
      <c r="H2812">
        <v>8.0000080000000001E-2</v>
      </c>
      <c r="I2812">
        <v>221.41739999999999</v>
      </c>
      <c r="J2812">
        <v>-264.39830000000001</v>
      </c>
      <c r="K2812">
        <v>1.1104830000000001</v>
      </c>
      <c r="L2812">
        <v>215.09649999999999</v>
      </c>
      <c r="M2812">
        <v>0.99989119999999998</v>
      </c>
      <c r="N2812">
        <v>-1.472058E-2</v>
      </c>
      <c r="O2812">
        <v>8.5097539999999896E-4</v>
      </c>
      <c r="P2812">
        <v>0.97476099999999999</v>
      </c>
      <c r="Q2812">
        <v>0.2131142</v>
      </c>
      <c r="R2812">
        <v>6.6507150000000001E-2</v>
      </c>
      <c r="S2812">
        <v>3.0664370000000001</v>
      </c>
      <c r="T2812">
        <v>-5.1545859999999999E-2</v>
      </c>
      <c r="U2812">
        <v>0.31619259999999999</v>
      </c>
      <c r="V2812">
        <v>-6.5658659999999994E-2</v>
      </c>
      <c r="W2812">
        <v>0.2274466</v>
      </c>
      <c r="X2812">
        <v>0.97157450000000001</v>
      </c>
      <c r="Y2812">
        <v>-0.1016968</v>
      </c>
      <c r="Z2812">
        <v>1.6012909999999999E-3</v>
      </c>
      <c r="AA2812">
        <v>0.99481419999999998</v>
      </c>
      <c r="AB2812">
        <v>36</v>
      </c>
      <c r="AC2812">
        <v>60.972000000000001</v>
      </c>
      <c r="AD2812">
        <v>-1.0304829200000001</v>
      </c>
      <c r="AE2812">
        <v>6.3208999999999902</v>
      </c>
      <c r="AF2812">
        <v>-6.2672352666399798</v>
      </c>
      <c r="AG2812">
        <v>-1.0304829200000001</v>
      </c>
      <c r="AH2812">
        <v>60.960129861850596</v>
      </c>
      <c r="AI2812">
        <v>90.963370834049798</v>
      </c>
      <c r="AJ2812">
        <v>95.869885067727495</v>
      </c>
      <c r="AK2812">
        <v>61.290109852320498</v>
      </c>
      <c r="AL2812">
        <v>76.853211286442701</v>
      </c>
      <c r="AM2812">
        <v>93.866150022058207</v>
      </c>
      <c r="AN2812">
        <v>1.0000000122674</v>
      </c>
    </row>
    <row r="2813" spans="1:40" x14ac:dyDescent="0.25">
      <c r="A2813" t="str">
        <f>"20190304155423293"</f>
        <v>20190304155423293</v>
      </c>
      <c r="B2813" t="str">
        <f>"1551686063289301"</f>
        <v>1551686063289301</v>
      </c>
      <c r="C2813" t="s">
        <v>40</v>
      </c>
      <c r="D2813">
        <v>4.6119629999999896</v>
      </c>
      <c r="E2813">
        <v>0.4826397</v>
      </c>
      <c r="F2813" t="s">
        <v>63</v>
      </c>
      <c r="G2813">
        <v>-214.9932</v>
      </c>
      <c r="H2813">
        <v>7.9999769999999998E-2</v>
      </c>
      <c r="I2813">
        <v>220.32919999999999</v>
      </c>
      <c r="J2813">
        <v>-264.041</v>
      </c>
      <c r="K2813">
        <v>1.110484</v>
      </c>
      <c r="L2813">
        <v>215.0968</v>
      </c>
      <c r="M2813">
        <v>0.99989150000000004</v>
      </c>
      <c r="N2813">
        <v>-1.4716699999999999E-2</v>
      </c>
      <c r="O2813">
        <v>8.322901E-4</v>
      </c>
      <c r="P2813">
        <v>0.97460630000000004</v>
      </c>
      <c r="Q2813">
        <v>0.21385299999999999</v>
      </c>
      <c r="R2813">
        <v>6.640501E-2</v>
      </c>
      <c r="S2813">
        <v>3.0694889999999999</v>
      </c>
      <c r="T2813">
        <v>-6.4022780000000001E-2</v>
      </c>
      <c r="U2813">
        <v>0.3251038</v>
      </c>
      <c r="V2813">
        <v>-6.5574850000000004E-2</v>
      </c>
      <c r="W2813">
        <v>0.22817889999999999</v>
      </c>
      <c r="X2813">
        <v>0.97140839999999995</v>
      </c>
      <c r="Y2813">
        <v>-0.1044593</v>
      </c>
      <c r="Z2813">
        <v>1.8521200000000001E-3</v>
      </c>
      <c r="AA2813">
        <v>0.99452750000000001</v>
      </c>
      <c r="AB2813">
        <v>36</v>
      </c>
      <c r="AC2813">
        <v>49.047800000000002</v>
      </c>
      <c r="AD2813">
        <v>-1.0304842299999999</v>
      </c>
      <c r="AE2813">
        <v>5.2323999999999797</v>
      </c>
      <c r="AF2813">
        <v>-5.1893069288950997</v>
      </c>
      <c r="AG2813">
        <v>-1.0304842299999999</v>
      </c>
      <c r="AH2813">
        <v>49.0307391568887</v>
      </c>
      <c r="AI2813">
        <v>91.197328811179204</v>
      </c>
      <c r="AJ2813">
        <v>96.041569332591195</v>
      </c>
      <c r="AK2813">
        <v>49.3153544691855</v>
      </c>
      <c r="AL2813">
        <v>76.8101200188664</v>
      </c>
      <c r="AM2813">
        <v>93.861888241779894</v>
      </c>
      <c r="AN2813">
        <v>0.99999997547414499</v>
      </c>
    </row>
    <row r="2814" spans="1:40" x14ac:dyDescent="0.25">
      <c r="A2814" t="str">
        <f>"20190304155423322"</f>
        <v>20190304155423322</v>
      </c>
      <c r="B2814" t="str">
        <f>"1551686063309796"</f>
        <v>1551686063309796</v>
      </c>
      <c r="C2814" t="s">
        <v>40</v>
      </c>
      <c r="D2814">
        <v>4.6180209999999997</v>
      </c>
      <c r="E2814">
        <v>0.48224470000000003</v>
      </c>
      <c r="F2814" t="s">
        <v>63</v>
      </c>
      <c r="G2814">
        <v>-222.1412</v>
      </c>
      <c r="H2814">
        <v>6.4423629999999996E-2</v>
      </c>
      <c r="I2814">
        <v>219.63069999999999</v>
      </c>
      <c r="J2814">
        <v>-263.59879999999998</v>
      </c>
      <c r="K2814">
        <v>1.11049</v>
      </c>
      <c r="L2814">
        <v>215.09710000000001</v>
      </c>
      <c r="M2814">
        <v>0.99989159999999999</v>
      </c>
      <c r="N2814">
        <v>-1.471187E-2</v>
      </c>
      <c r="O2814">
        <v>8.0926239999999997E-4</v>
      </c>
      <c r="P2814">
        <v>0.97441949999999999</v>
      </c>
      <c r="Q2814">
        <v>0.21480270000000001</v>
      </c>
      <c r="R2814">
        <v>6.6081879999999996E-2</v>
      </c>
      <c r="S2814">
        <v>3.0723569999999998</v>
      </c>
      <c r="T2814">
        <v>-7.6703789999999994E-2</v>
      </c>
      <c r="U2814">
        <v>0.33245849999999999</v>
      </c>
      <c r="V2814">
        <v>-6.5274209999999999E-2</v>
      </c>
      <c r="W2814">
        <v>0.2291212</v>
      </c>
      <c r="X2814">
        <v>0.97120680000000004</v>
      </c>
      <c r="Y2814">
        <v>-0.1067245</v>
      </c>
      <c r="Z2814">
        <v>2.1074549999999998E-3</v>
      </c>
      <c r="AA2814">
        <v>0.99428640000000001</v>
      </c>
      <c r="AB2814">
        <v>35</v>
      </c>
      <c r="AC2814">
        <v>41.4575999999999</v>
      </c>
      <c r="AD2814">
        <v>-1.0460663699999999</v>
      </c>
      <c r="AE2814">
        <v>4.5335999999999697</v>
      </c>
      <c r="AF2814">
        <v>-4.4972154329400498</v>
      </c>
      <c r="AG2814">
        <v>-1.0460663699999999</v>
      </c>
      <c r="AH2814">
        <v>41.435187147603102</v>
      </c>
      <c r="AI2814">
        <v>91.437733311570796</v>
      </c>
      <c r="AJ2814">
        <v>96.194415309502403</v>
      </c>
      <c r="AK2814">
        <v>41.691653066982298</v>
      </c>
      <c r="AL2814">
        <v>76.754660643741502</v>
      </c>
      <c r="AM2814">
        <v>93.845031493626607</v>
      </c>
      <c r="AN2814">
        <v>0.99999994757340005</v>
      </c>
    </row>
    <row r="2815" spans="1:40" x14ac:dyDescent="0.25">
      <c r="A2815" t="str">
        <f>"20190304155423344"</f>
        <v>20190304155423344</v>
      </c>
      <c r="B2815" t="str">
        <f>"1551686063339583"</f>
        <v>1551686063339583</v>
      </c>
      <c r="C2815" t="s">
        <v>40</v>
      </c>
      <c r="D2815">
        <v>4.6589369999999999</v>
      </c>
      <c r="E2815">
        <v>0.48176409999999997</v>
      </c>
      <c r="F2815" t="s">
        <v>63</v>
      </c>
      <c r="G2815">
        <v>-222.02680000000001</v>
      </c>
      <c r="H2815">
        <v>6.5014199999999994E-2</v>
      </c>
      <c r="I2815">
        <v>219.63130000000001</v>
      </c>
      <c r="J2815">
        <v>-263.24200000000002</v>
      </c>
      <c r="K2815">
        <v>1.1104909999999999</v>
      </c>
      <c r="L2815">
        <v>215.09739999999999</v>
      </c>
      <c r="M2815">
        <v>0.99989150000000004</v>
      </c>
      <c r="N2815">
        <v>-1.4707919999999999E-2</v>
      </c>
      <c r="O2815">
        <v>7.9111220000000002E-4</v>
      </c>
      <c r="P2815">
        <v>0.97426100000000004</v>
      </c>
      <c r="Q2815">
        <v>0.21559880000000001</v>
      </c>
      <c r="R2815">
        <v>6.5822679999999995E-2</v>
      </c>
      <c r="S2815">
        <v>3.0730590000000002</v>
      </c>
      <c r="T2815">
        <v>-7.728314E-2</v>
      </c>
      <c r="U2815">
        <v>0.33517459999999999</v>
      </c>
      <c r="V2815">
        <v>-6.5032530000000005E-2</v>
      </c>
      <c r="W2815">
        <v>0.22991110000000001</v>
      </c>
      <c r="X2815">
        <v>0.97103640000000002</v>
      </c>
      <c r="Y2815">
        <v>-0.10758570000000001</v>
      </c>
      <c r="Z2815">
        <v>2.134132E-3</v>
      </c>
      <c r="AA2815">
        <v>0.99419360000000001</v>
      </c>
      <c r="AB2815">
        <v>35</v>
      </c>
      <c r="AC2815">
        <v>41.215200000000003</v>
      </c>
      <c r="AD2815">
        <v>-1.0454768000000001</v>
      </c>
      <c r="AE2815">
        <v>4.5339000000000098</v>
      </c>
      <c r="AF2815">
        <v>-4.4984293049095303</v>
      </c>
      <c r="AG2815">
        <v>-1.0454768000000001</v>
      </c>
      <c r="AH2815">
        <v>41.192585904232899</v>
      </c>
      <c r="AI2815">
        <v>91.445278485451098</v>
      </c>
      <c r="AJ2815">
        <v>96.232279357601101</v>
      </c>
      <c r="AK2815">
        <v>41.450669734374799</v>
      </c>
      <c r="AL2815">
        <v>76.708162339020802</v>
      </c>
      <c r="AM2815">
        <v>93.831507844126406</v>
      </c>
      <c r="AN2815">
        <v>1.00000001699318</v>
      </c>
    </row>
    <row r="2816" spans="1:40" x14ac:dyDescent="0.25">
      <c r="A2816" t="str">
        <f>"20190304155423363"</f>
        <v>20190304155423363</v>
      </c>
      <c r="B2816" t="str">
        <f>"1551686063349343"</f>
        <v>1551686063349343</v>
      </c>
      <c r="C2816" t="s">
        <v>40</v>
      </c>
      <c r="D2816">
        <v>4.724227</v>
      </c>
      <c r="E2816">
        <v>0.48171130000000001</v>
      </c>
      <c r="F2816" t="s">
        <v>63</v>
      </c>
      <c r="G2816">
        <v>-221.7499</v>
      </c>
      <c r="H2816">
        <v>8.0000310000000005E-2</v>
      </c>
      <c r="I2816">
        <v>219.66</v>
      </c>
      <c r="J2816">
        <v>-262.93360000000001</v>
      </c>
      <c r="K2816">
        <v>1.1104909999999999</v>
      </c>
      <c r="L2816">
        <v>215.0976</v>
      </c>
      <c r="M2816">
        <v>0.99989159999999999</v>
      </c>
      <c r="N2816">
        <v>-1.470452E-2</v>
      </c>
      <c r="O2816">
        <v>7.7510739999999995E-4</v>
      </c>
      <c r="P2816">
        <v>0.97421530000000001</v>
      </c>
      <c r="Q2816">
        <v>0.21595549999999999</v>
      </c>
      <c r="R2816">
        <v>6.5330750000000007E-2</v>
      </c>
      <c r="S2816">
        <v>3.0733030000000001</v>
      </c>
      <c r="T2816">
        <v>-7.632804E-2</v>
      </c>
      <c r="U2816">
        <v>0.33795170000000002</v>
      </c>
      <c r="V2816">
        <v>-6.4556550000000004E-2</v>
      </c>
      <c r="W2816">
        <v>0.23026379999999999</v>
      </c>
      <c r="X2816">
        <v>0.97098459999999998</v>
      </c>
      <c r="Y2816">
        <v>-0.10848140000000001</v>
      </c>
      <c r="Z2816">
        <v>2.1352519999999998E-3</v>
      </c>
      <c r="AA2816">
        <v>0.99409619999999999</v>
      </c>
      <c r="AB2816">
        <v>35</v>
      </c>
      <c r="AC2816">
        <v>41.183700000000002</v>
      </c>
      <c r="AD2816">
        <v>-1.0304906899999999</v>
      </c>
      <c r="AE2816">
        <v>4.5623999999999896</v>
      </c>
      <c r="AF2816">
        <v>-4.5276730201123998</v>
      </c>
      <c r="AG2816">
        <v>-1.0304906899999999</v>
      </c>
      <c r="AH2816">
        <v>41.1617657918367</v>
      </c>
      <c r="AI2816">
        <v>91.425514077229806</v>
      </c>
      <c r="AJ2816">
        <v>96.277131776836697</v>
      </c>
      <c r="AK2816">
        <v>41.422852353999602</v>
      </c>
      <c r="AL2816">
        <v>76.687397153161101</v>
      </c>
      <c r="AM2816">
        <v>93.803749564942294</v>
      </c>
      <c r="AN2816">
        <v>1.00000002958775</v>
      </c>
    </row>
    <row r="2817" spans="1:40" x14ac:dyDescent="0.25">
      <c r="A2817" t="str">
        <f>"20190304155423385"</f>
        <v>20190304155423385</v>
      </c>
      <c r="B2817" t="str">
        <f>"1551686063379599"</f>
        <v>1551686063379599</v>
      </c>
      <c r="C2817" t="s">
        <v>40</v>
      </c>
      <c r="D2817">
        <v>4.7161359999999997</v>
      </c>
      <c r="E2817">
        <v>0.4817128</v>
      </c>
      <c r="F2817" t="s">
        <v>63</v>
      </c>
      <c r="G2817">
        <v>-221.69589999999999</v>
      </c>
      <c r="H2817">
        <v>5.4496629999999997E-2</v>
      </c>
      <c r="I2817">
        <v>219.6208</v>
      </c>
      <c r="J2817">
        <v>-262.58870000000002</v>
      </c>
      <c r="K2817">
        <v>1.1105039999999999</v>
      </c>
      <c r="L2817">
        <v>215.09790000000001</v>
      </c>
      <c r="M2817">
        <v>0.99989170000000005</v>
      </c>
      <c r="N2817">
        <v>-1.470075E-2</v>
      </c>
      <c r="O2817">
        <v>7.5713649999999903E-4</v>
      </c>
      <c r="P2817">
        <v>0.97388479999999999</v>
      </c>
      <c r="Q2817">
        <v>0.2176141</v>
      </c>
      <c r="R2817">
        <v>6.4748529999999999E-2</v>
      </c>
      <c r="S2817">
        <v>3.074249</v>
      </c>
      <c r="T2817">
        <v>-7.8723909999999994E-2</v>
      </c>
      <c r="U2817">
        <v>0.337204</v>
      </c>
      <c r="V2817">
        <v>-6.399183E-2</v>
      </c>
      <c r="W2817">
        <v>0.23191349999999999</v>
      </c>
      <c r="X2817">
        <v>0.97062930000000003</v>
      </c>
      <c r="Y2817">
        <v>-0.1082246</v>
      </c>
      <c r="Z2817">
        <v>2.1712010000000002E-3</v>
      </c>
      <c r="AA2817">
        <v>0.99412409999999996</v>
      </c>
      <c r="AB2817">
        <v>35</v>
      </c>
      <c r="AC2817">
        <v>40.892800000000001</v>
      </c>
      <c r="AD2817">
        <v>-1.0560073699999999</v>
      </c>
      <c r="AE2817">
        <v>4.5228999999999902</v>
      </c>
      <c r="AF2817">
        <v>-4.4889765484355104</v>
      </c>
      <c r="AG2817">
        <v>-1.0560073699999999</v>
      </c>
      <c r="AH2817">
        <v>40.869288038187399</v>
      </c>
      <c r="AI2817">
        <v>91.471272086121303</v>
      </c>
      <c r="AJ2817">
        <v>96.268093704263407</v>
      </c>
      <c r="AK2817">
        <v>41.128636821152</v>
      </c>
      <c r="AL2817">
        <v>76.590246726300606</v>
      </c>
      <c r="AM2817">
        <v>93.771948229251606</v>
      </c>
      <c r="AN2817">
        <v>1.0000000319037401</v>
      </c>
    </row>
    <row r="2818" spans="1:40" x14ac:dyDescent="0.25">
      <c r="A2818" t="str">
        <f>"20190304155423405"</f>
        <v>20190304155423405</v>
      </c>
      <c r="B2818" t="str">
        <f>"1551686063400095"</f>
        <v>1551686063400095</v>
      </c>
      <c r="C2818" t="s">
        <v>40</v>
      </c>
      <c r="D2818">
        <v>4.6003509999999999</v>
      </c>
      <c r="E2818">
        <v>0.48157870000000003</v>
      </c>
      <c r="F2818" t="s">
        <v>63</v>
      </c>
      <c r="G2818">
        <v>-221.1798</v>
      </c>
      <c r="H2818">
        <v>4.4050230000000003E-2</v>
      </c>
      <c r="I2818">
        <v>219.6163</v>
      </c>
      <c r="J2818">
        <v>-262.27289999999999</v>
      </c>
      <c r="K2818">
        <v>1.1105160000000001</v>
      </c>
      <c r="L2818">
        <v>215.09809999999999</v>
      </c>
      <c r="M2818">
        <v>0.99989189999999994</v>
      </c>
      <c r="N2818">
        <v>-1.4697389999999999E-2</v>
      </c>
      <c r="O2818">
        <v>7.40593E-4</v>
      </c>
      <c r="P2818">
        <v>0.97348509999999999</v>
      </c>
      <c r="Q2818">
        <v>0.2194333</v>
      </c>
      <c r="R2818">
        <v>6.4624769999999998E-2</v>
      </c>
      <c r="S2818">
        <v>3.0758670000000001</v>
      </c>
      <c r="T2818">
        <v>-7.921636E-2</v>
      </c>
      <c r="U2818">
        <v>0.33563229999999999</v>
      </c>
      <c r="V2818">
        <v>-6.3884700000000003E-2</v>
      </c>
      <c r="W2818">
        <v>0.23372299999999999</v>
      </c>
      <c r="X2818">
        <v>0.97020220000000001</v>
      </c>
      <c r="Y2818">
        <v>-0.10768220000000001</v>
      </c>
      <c r="Z2818">
        <v>2.1680530000000001E-3</v>
      </c>
      <c r="AA2818">
        <v>0.99418300000000004</v>
      </c>
      <c r="AB2818">
        <v>35</v>
      </c>
      <c r="AC2818">
        <v>41.0930999999999</v>
      </c>
      <c r="AD2818">
        <v>-1.06646577</v>
      </c>
      <c r="AE2818">
        <v>4.5182000000000002</v>
      </c>
      <c r="AF2818">
        <v>-4.4847776710598897</v>
      </c>
      <c r="AG2818">
        <v>-1.06646577</v>
      </c>
      <c r="AH2818">
        <v>41.069104424888003</v>
      </c>
      <c r="AI2818">
        <v>91.478712554450894</v>
      </c>
      <c r="AJ2818">
        <v>96.232049313447902</v>
      </c>
      <c r="AK2818">
        <v>41.327011968684303</v>
      </c>
      <c r="AL2818">
        <v>76.483640079516107</v>
      </c>
      <c r="AM2818">
        <v>93.767304652326999</v>
      </c>
      <c r="AN2818">
        <v>1.0000000022539599</v>
      </c>
    </row>
    <row r="2819" spans="1:40" x14ac:dyDescent="0.25">
      <c r="A2819" t="str">
        <f>"20190304155423427"</f>
        <v>20190304155423427</v>
      </c>
      <c r="B2819" t="str">
        <f>"1551686063419615"</f>
        <v>1551686063419615</v>
      </c>
      <c r="C2819" t="s">
        <v>40</v>
      </c>
      <c r="D2819">
        <v>4.6880649999999999</v>
      </c>
      <c r="E2819">
        <v>0.4814814</v>
      </c>
      <c r="F2819" t="s">
        <v>63</v>
      </c>
      <c r="G2819">
        <v>-220.86760000000001</v>
      </c>
      <c r="H2819">
        <v>6.1410609999999997E-2</v>
      </c>
      <c r="I2819">
        <v>219.6277</v>
      </c>
      <c r="J2819">
        <v>-261.92349999999999</v>
      </c>
      <c r="K2819">
        <v>1.1105259999999999</v>
      </c>
      <c r="L2819">
        <v>215.09829999999999</v>
      </c>
      <c r="M2819">
        <v>0.99989189999999994</v>
      </c>
      <c r="N2819">
        <v>-1.469354E-2</v>
      </c>
      <c r="O2819">
        <v>7.2262279999999997E-4</v>
      </c>
      <c r="P2819">
        <v>0.97309970000000001</v>
      </c>
      <c r="Q2819">
        <v>0.2214199</v>
      </c>
      <c r="R2819">
        <v>6.3642309999999994E-2</v>
      </c>
      <c r="S2819">
        <v>3.0769350000000002</v>
      </c>
      <c r="T2819">
        <v>-7.7961559999999999E-2</v>
      </c>
      <c r="U2819">
        <v>0.33660889999999999</v>
      </c>
      <c r="V2819">
        <v>-6.2919699999999995E-2</v>
      </c>
      <c r="W2819">
        <v>0.2357004</v>
      </c>
      <c r="X2819">
        <v>0.96978679999999995</v>
      </c>
      <c r="Y2819">
        <v>-0.107976</v>
      </c>
      <c r="Z2819">
        <v>2.1518409999999998E-3</v>
      </c>
      <c r="AA2819">
        <v>0.99415120000000001</v>
      </c>
      <c r="AB2819">
        <v>35</v>
      </c>
      <c r="AC2819">
        <v>41.055899999999902</v>
      </c>
      <c r="AD2819">
        <v>-1.0491153900000001</v>
      </c>
      <c r="AE2819">
        <v>4.5294000000000096</v>
      </c>
      <c r="AF2819">
        <v>-4.4968266890692004</v>
      </c>
      <c r="AG2819">
        <v>-1.0491153900000001</v>
      </c>
      <c r="AH2819">
        <v>41.0326916130266</v>
      </c>
      <c r="AI2819">
        <v>91.4558946222717</v>
      </c>
      <c r="AJ2819">
        <v>96.2541615618035</v>
      </c>
      <c r="AK2819">
        <v>41.291692558949499</v>
      </c>
      <c r="AL2819">
        <v>76.367087490101397</v>
      </c>
      <c r="AM2819">
        <v>93.712143377035403</v>
      </c>
      <c r="AN2819">
        <v>1.0000000023312401</v>
      </c>
    </row>
    <row r="2820" spans="1:40" x14ac:dyDescent="0.25">
      <c r="A2820" t="str">
        <f>"20190304155423449"</f>
        <v>20190304155423449</v>
      </c>
      <c r="B2820" t="str">
        <f>"1551686063439135"</f>
        <v>1551686063439135</v>
      </c>
      <c r="C2820" t="s">
        <v>40</v>
      </c>
      <c r="D2820">
        <v>4.5685760000000002</v>
      </c>
      <c r="E2820">
        <v>0.48148160000000001</v>
      </c>
      <c r="F2820" t="s">
        <v>63</v>
      </c>
      <c r="G2820">
        <v>-218.77719999999999</v>
      </c>
      <c r="H2820">
        <v>8.0000899999999903E-2</v>
      </c>
      <c r="I2820">
        <v>219.7818</v>
      </c>
      <c r="J2820">
        <v>-261.57780000000002</v>
      </c>
      <c r="K2820">
        <v>1.1105370000000001</v>
      </c>
      <c r="L2820">
        <v>215.0985</v>
      </c>
      <c r="M2820">
        <v>0.99989189999999994</v>
      </c>
      <c r="N2820">
        <v>-1.468972E-2</v>
      </c>
      <c r="O2820">
        <v>7.0494899999999996E-4</v>
      </c>
      <c r="P2820">
        <v>0.97277950000000002</v>
      </c>
      <c r="Q2820">
        <v>0.22299050000000001</v>
      </c>
      <c r="R2820">
        <v>6.3050610000000007E-2</v>
      </c>
      <c r="S2820">
        <v>3.07782</v>
      </c>
      <c r="T2820">
        <v>-7.3511960000000001E-2</v>
      </c>
      <c r="U2820">
        <v>0.33409119999999998</v>
      </c>
      <c r="V2820">
        <v>-6.2345459999999998E-2</v>
      </c>
      <c r="W2820">
        <v>0.23726220000000001</v>
      </c>
      <c r="X2820">
        <v>0.96944300000000005</v>
      </c>
      <c r="Y2820">
        <v>-0.1071642</v>
      </c>
      <c r="Z2820">
        <v>2.059024E-3</v>
      </c>
      <c r="AA2820">
        <v>0.99423919999999999</v>
      </c>
      <c r="AB2820">
        <v>35</v>
      </c>
      <c r="AC2820">
        <v>42.800600000000003</v>
      </c>
      <c r="AD2820">
        <v>-1.0305361</v>
      </c>
      <c r="AE2820">
        <v>4.6833</v>
      </c>
      <c r="AF2820">
        <v>-4.6504592225046499</v>
      </c>
      <c r="AG2820">
        <v>-1.0305361</v>
      </c>
      <c r="AH2820">
        <v>42.779384085664297</v>
      </c>
      <c r="AI2820">
        <v>91.371883499871203</v>
      </c>
      <c r="AJ2820">
        <v>96.204144387665494</v>
      </c>
      <c r="AK2820">
        <v>43.043750747145197</v>
      </c>
      <c r="AL2820">
        <v>76.274990935433806</v>
      </c>
      <c r="AM2820">
        <v>93.679658639241396</v>
      </c>
      <c r="AN2820">
        <v>1.0000000190902201</v>
      </c>
    </row>
    <row r="2821" spans="1:40" x14ac:dyDescent="0.25">
      <c r="A2821" t="str">
        <f>"20190304155423471"</f>
        <v>20190304155423471</v>
      </c>
      <c r="B2821" t="str">
        <f>"1551686063459631"</f>
        <v>1551686063459631</v>
      </c>
      <c r="C2821" t="s">
        <v>40</v>
      </c>
      <c r="D2821">
        <v>4.5826630000000002</v>
      </c>
      <c r="E2821">
        <v>0.48142600000000002</v>
      </c>
      <c r="F2821" t="s">
        <v>63</v>
      </c>
      <c r="G2821">
        <v>-218.11619999999999</v>
      </c>
      <c r="H2821">
        <v>8.0000710000000003E-2</v>
      </c>
      <c r="I2821">
        <v>219.78989999999999</v>
      </c>
      <c r="J2821">
        <v>-261.22789999999998</v>
      </c>
      <c r="K2821">
        <v>1.110541</v>
      </c>
      <c r="L2821">
        <v>215.09880000000001</v>
      </c>
      <c r="M2821">
        <v>0.99989189999999994</v>
      </c>
      <c r="N2821">
        <v>-1.468586E-2</v>
      </c>
      <c r="O2821">
        <v>6.8679929999999998E-4</v>
      </c>
      <c r="P2821">
        <v>0.97243460000000004</v>
      </c>
      <c r="Q2821">
        <v>0.22468489999999999</v>
      </c>
      <c r="R2821">
        <v>6.2351339999999998E-2</v>
      </c>
      <c r="S2821">
        <v>3.0791019999999998</v>
      </c>
      <c r="T2821">
        <v>-7.3009850000000001E-2</v>
      </c>
      <c r="U2821">
        <v>0.33236690000000002</v>
      </c>
      <c r="V2821">
        <v>-6.1664190000000001E-2</v>
      </c>
      <c r="W2821">
        <v>0.23894750000000001</v>
      </c>
      <c r="X2821">
        <v>0.96907259999999995</v>
      </c>
      <c r="Y2821">
        <v>-0.1065884</v>
      </c>
      <c r="Z2821">
        <v>2.0388239999999998E-3</v>
      </c>
      <c r="AA2821">
        <v>0.99430110000000005</v>
      </c>
      <c r="AB2821">
        <v>35</v>
      </c>
      <c r="AC2821">
        <v>43.1116999999999</v>
      </c>
      <c r="AD2821">
        <v>-1.03054029</v>
      </c>
      <c r="AE2821">
        <v>4.6910999999999703</v>
      </c>
      <c r="AF2821">
        <v>-4.6588556978917497</v>
      </c>
      <c r="AG2821">
        <v>-1.03054029</v>
      </c>
      <c r="AH2821">
        <v>43.090578215564904</v>
      </c>
      <c r="AI2821">
        <v>91.362071337383</v>
      </c>
      <c r="AJ2821">
        <v>96.170720278231201</v>
      </c>
      <c r="AK2821">
        <v>43.353948847305801</v>
      </c>
      <c r="AL2821">
        <v>76.175571297768997</v>
      </c>
      <c r="AM2821">
        <v>93.640945806443796</v>
      </c>
      <c r="AN2821">
        <v>1.00000004207768</v>
      </c>
    </row>
    <row r="2822" spans="1:40" x14ac:dyDescent="0.25">
      <c r="A2822" t="str">
        <f>"20190304155423496"</f>
        <v>20190304155423496</v>
      </c>
      <c r="B2822" t="str">
        <f>"1551686063489887"</f>
        <v>1551686063489887</v>
      </c>
      <c r="C2822" t="s">
        <v>40</v>
      </c>
      <c r="D2822">
        <v>4.5998130000000002</v>
      </c>
      <c r="E2822">
        <v>0.48135509999999898</v>
      </c>
      <c r="F2822" t="s">
        <v>63</v>
      </c>
      <c r="G2822">
        <v>-215.096</v>
      </c>
      <c r="H2822">
        <v>7.9999810000000005E-2</v>
      </c>
      <c r="I2822">
        <v>220.06370000000001</v>
      </c>
      <c r="J2822">
        <v>-260.85489999999999</v>
      </c>
      <c r="K2822">
        <v>1.1105480000000001</v>
      </c>
      <c r="L2822">
        <v>215.09899999999999</v>
      </c>
      <c r="M2822">
        <v>0.99989209999999995</v>
      </c>
      <c r="N2822">
        <v>-1.4681909999999999E-2</v>
      </c>
      <c r="O2822">
        <v>6.6745819999999997E-4</v>
      </c>
      <c r="P2822">
        <v>0.97223280000000001</v>
      </c>
      <c r="Q2822">
        <v>0.22577630000000001</v>
      </c>
      <c r="R2822">
        <v>6.1552129999999997E-2</v>
      </c>
      <c r="S2822">
        <v>3.0796809999999999</v>
      </c>
      <c r="T2822">
        <v>-6.8797109999999995E-2</v>
      </c>
      <c r="U2822">
        <v>0.33145140000000001</v>
      </c>
      <c r="V2822">
        <v>-6.0883090000000001E-2</v>
      </c>
      <c r="W2822">
        <v>0.2400322</v>
      </c>
      <c r="X2822">
        <v>0.96885379999999999</v>
      </c>
      <c r="Y2822">
        <v>-0.1062999</v>
      </c>
      <c r="Z2822">
        <v>1.9614519999999998E-3</v>
      </c>
      <c r="AA2822">
        <v>0.9943322</v>
      </c>
      <c r="AB2822">
        <v>35</v>
      </c>
      <c r="AC2822">
        <v>45.758899999999997</v>
      </c>
      <c r="AD2822">
        <v>-1.03054818999999</v>
      </c>
      <c r="AE2822">
        <v>4.9646999999999899</v>
      </c>
      <c r="AF2822">
        <v>-4.9316811699933902</v>
      </c>
      <c r="AG2822">
        <v>-1.03054818999999</v>
      </c>
      <c r="AH2822">
        <v>45.739274514715099</v>
      </c>
      <c r="AI2822">
        <v>91.283273287349999</v>
      </c>
      <c r="AJ2822">
        <v>96.153947801355102</v>
      </c>
      <c r="AK2822">
        <v>46.015918352966096</v>
      </c>
      <c r="AL2822">
        <v>76.111558405566001</v>
      </c>
      <c r="AM2822">
        <v>93.595757413851899</v>
      </c>
      <c r="AN2822">
        <v>0.99999994672961201</v>
      </c>
    </row>
    <row r="2823" spans="1:40" x14ac:dyDescent="0.25">
      <c r="A2823" t="str">
        <f>"20190304155423527"</f>
        <v>20190304155423527</v>
      </c>
      <c r="B2823" t="str">
        <f>"1551686063520143"</f>
        <v>1551686063520143</v>
      </c>
      <c r="C2823" t="s">
        <v>40</v>
      </c>
      <c r="D2823">
        <v>4.5780830000000003</v>
      </c>
      <c r="E2823">
        <v>0.4812768</v>
      </c>
      <c r="F2823" t="s">
        <v>63</v>
      </c>
      <c r="G2823">
        <v>-213.9066</v>
      </c>
      <c r="H2823">
        <v>8.0000920000000003E-2</v>
      </c>
      <c r="I2823">
        <v>220.1223</v>
      </c>
      <c r="J2823">
        <v>-260.35930000000002</v>
      </c>
      <c r="K2823">
        <v>1.11056</v>
      </c>
      <c r="L2823">
        <v>215.0993</v>
      </c>
      <c r="M2823">
        <v>0.99989220000000001</v>
      </c>
      <c r="N2823">
        <v>-1.467657E-2</v>
      </c>
      <c r="O2823">
        <v>6.4186970000000001E-4</v>
      </c>
      <c r="P2823">
        <v>0.97179349999999998</v>
      </c>
      <c r="Q2823">
        <v>0.2277911</v>
      </c>
      <c r="R2823">
        <v>6.1064689999999998E-2</v>
      </c>
      <c r="S2823">
        <v>3.0805359999999999</v>
      </c>
      <c r="T2823">
        <v>-6.7619799999999994E-2</v>
      </c>
      <c r="U2823">
        <v>0.32960509999999998</v>
      </c>
      <c r="V2823">
        <v>-6.0421080000000002E-2</v>
      </c>
      <c r="W2823">
        <v>0.24203469999999999</v>
      </c>
      <c r="X2823">
        <v>0.96838449999999998</v>
      </c>
      <c r="Y2823">
        <v>-0.10570830000000001</v>
      </c>
      <c r="Z2823">
        <v>1.9302119999999999E-3</v>
      </c>
      <c r="AA2823">
        <v>0.99439529999999998</v>
      </c>
      <c r="AB2823">
        <v>35</v>
      </c>
      <c r="AC2823">
        <v>46.4527</v>
      </c>
      <c r="AD2823">
        <v>-1.03055908</v>
      </c>
      <c r="AE2823">
        <v>5.0229999999999899</v>
      </c>
      <c r="AF2823">
        <v>-4.9907512173353696</v>
      </c>
      <c r="AG2823">
        <v>-1.03055908</v>
      </c>
      <c r="AH2823">
        <v>46.433325463241701</v>
      </c>
      <c r="AI2823">
        <v>91.264157149523996</v>
      </c>
      <c r="AJ2823">
        <v>96.134719322054707</v>
      </c>
      <c r="AK2823">
        <v>46.712132934667302</v>
      </c>
      <c r="AL2823">
        <v>75.993339130413901</v>
      </c>
      <c r="AM2823">
        <v>93.570266786186494</v>
      </c>
      <c r="AN2823">
        <v>1.00000002137635</v>
      </c>
    </row>
    <row r="2824" spans="1:40" x14ac:dyDescent="0.25">
      <c r="A2824" t="str">
        <f>"20190304155423546"</f>
        <v>20190304155423546</v>
      </c>
      <c r="B2824" t="str">
        <f>"1551686063539663"</f>
        <v>1551686063539663</v>
      </c>
      <c r="C2824" t="s">
        <v>40</v>
      </c>
      <c r="D2824">
        <v>4.5794459999999999</v>
      </c>
      <c r="E2824">
        <v>0.48116979999999998</v>
      </c>
      <c r="F2824" t="s">
        <v>63</v>
      </c>
      <c r="G2824">
        <v>-210.39160000000001</v>
      </c>
      <c r="H2824">
        <v>7.9999879999999995E-2</v>
      </c>
      <c r="I2824">
        <v>220.4325</v>
      </c>
      <c r="J2824">
        <v>-260.0566</v>
      </c>
      <c r="K2824">
        <v>1.1105700000000001</v>
      </c>
      <c r="L2824">
        <v>215.09950000000001</v>
      </c>
      <c r="M2824">
        <v>0.99989229999999996</v>
      </c>
      <c r="N2824">
        <v>-1.46731E-2</v>
      </c>
      <c r="O2824">
        <v>6.2622139999999997E-4</v>
      </c>
      <c r="P2824">
        <v>0.97154410000000002</v>
      </c>
      <c r="Q2824">
        <v>0.22910179999999999</v>
      </c>
      <c r="R2824">
        <v>6.0123429999999999E-2</v>
      </c>
      <c r="S2824">
        <v>3.081299</v>
      </c>
      <c r="T2824">
        <v>-6.3550350000000005E-2</v>
      </c>
      <c r="U2824">
        <v>0.32887270000000002</v>
      </c>
      <c r="V2824">
        <v>-5.9495069999999997E-2</v>
      </c>
      <c r="W2824">
        <v>0.2433382</v>
      </c>
      <c r="X2824">
        <v>0.96811510000000001</v>
      </c>
      <c r="Y2824">
        <v>-0.1054682</v>
      </c>
      <c r="Z2824">
        <v>1.856852E-3</v>
      </c>
      <c r="AA2824">
        <v>0.99442090000000005</v>
      </c>
      <c r="AB2824">
        <v>35</v>
      </c>
      <c r="AC2824">
        <v>49.6649999999999</v>
      </c>
      <c r="AD2824">
        <v>-1.0305701199999999</v>
      </c>
      <c r="AE2824">
        <v>5.3329999999999904</v>
      </c>
      <c r="AF2824">
        <v>-5.29963841560361</v>
      </c>
      <c r="AG2824">
        <v>-1.0305701199999999</v>
      </c>
      <c r="AH2824">
        <v>49.647196825572699</v>
      </c>
      <c r="AI2824">
        <v>91.182451797018601</v>
      </c>
      <c r="AJ2824">
        <v>96.0930210122619</v>
      </c>
      <c r="AK2824">
        <v>49.939887812704697</v>
      </c>
      <c r="AL2824">
        <v>75.916352165365296</v>
      </c>
      <c r="AM2824">
        <v>93.5166632525724</v>
      </c>
      <c r="AN2824">
        <v>0.99999999489077696</v>
      </c>
    </row>
    <row r="2825" spans="1:40" x14ac:dyDescent="0.25">
      <c r="A2825" t="str">
        <f>"20190304155423568"</f>
        <v>20190304155423568</v>
      </c>
      <c r="B2825" t="str">
        <f>"1551686063560159"</f>
        <v>1551686063560159</v>
      </c>
      <c r="C2825" t="s">
        <v>40</v>
      </c>
      <c r="D2825">
        <v>4.4172099999999999</v>
      </c>
      <c r="E2825">
        <v>0.48101359999999899</v>
      </c>
      <c r="F2825" t="s">
        <v>51</v>
      </c>
      <c r="G2825">
        <v>-207.70429999999999</v>
      </c>
      <c r="H2825">
        <v>8.0000440000000006E-2</v>
      </c>
      <c r="I2825">
        <v>220.6481</v>
      </c>
      <c r="J2825">
        <v>-259.71100000000001</v>
      </c>
      <c r="K2825">
        <v>1.110573</v>
      </c>
      <c r="L2825">
        <v>215.09970000000001</v>
      </c>
      <c r="M2825">
        <v>0.99989229999999996</v>
      </c>
      <c r="N2825">
        <v>-1.4669059999999999E-2</v>
      </c>
      <c r="O2825">
        <v>6.0854979999999995E-4</v>
      </c>
      <c r="P2825">
        <v>0.97153920000000005</v>
      </c>
      <c r="Q2825">
        <v>0.2293925</v>
      </c>
      <c r="R2825">
        <v>5.9082809999999999E-2</v>
      </c>
      <c r="S2825">
        <v>3.0819399999999999</v>
      </c>
      <c r="T2825">
        <v>-6.066883E-2</v>
      </c>
      <c r="U2825">
        <v>0.32664490000000002</v>
      </c>
      <c r="V2825">
        <v>-5.8471879999999997E-2</v>
      </c>
      <c r="W2825">
        <v>0.24362500000000001</v>
      </c>
      <c r="X2825">
        <v>0.96810529999999995</v>
      </c>
      <c r="Y2825">
        <v>-0.1047561</v>
      </c>
      <c r="Z2825">
        <v>1.7957079999999901E-3</v>
      </c>
      <c r="AA2825">
        <v>0.9944963</v>
      </c>
      <c r="AB2825">
        <v>35</v>
      </c>
      <c r="AC2825">
        <v>52.006700000000002</v>
      </c>
      <c r="AD2825">
        <v>-1.03057256</v>
      </c>
      <c r="AE2825">
        <v>5.5483999999999796</v>
      </c>
      <c r="AF2825">
        <v>-5.5146057981362597</v>
      </c>
      <c r="AG2825">
        <v>-1.03057256</v>
      </c>
      <c r="AH2825">
        <v>51.989881584684497</v>
      </c>
      <c r="AI2825">
        <v>91.129267047141596</v>
      </c>
      <c r="AJ2825">
        <v>96.054766705223201</v>
      </c>
      <c r="AK2825">
        <v>52.291689053804497</v>
      </c>
      <c r="AL2825">
        <v>75.899409747019803</v>
      </c>
      <c r="AM2825">
        <v>93.456366843176994</v>
      </c>
      <c r="AN2825">
        <v>0.99999998663191203</v>
      </c>
    </row>
    <row r="2826" spans="1:40" x14ac:dyDescent="0.25">
      <c r="A2826" t="str">
        <f>"20190304155423589"</f>
        <v>20190304155423589</v>
      </c>
      <c r="B2826" t="str">
        <f>"1551686063579679"</f>
        <v>1551686063579679</v>
      </c>
      <c r="C2826" t="s">
        <v>40</v>
      </c>
      <c r="D2826">
        <v>4.6776939999999998</v>
      </c>
      <c r="E2826">
        <v>0.48103390000000001</v>
      </c>
      <c r="F2826" t="s">
        <v>51</v>
      </c>
      <c r="G2826">
        <v>-209.36070000000001</v>
      </c>
      <c r="H2826">
        <v>8.0000719999999997E-2</v>
      </c>
      <c r="I2826">
        <v>220.3965</v>
      </c>
      <c r="J2826">
        <v>-259.39229999999998</v>
      </c>
      <c r="K2826">
        <v>1.1105769999999999</v>
      </c>
      <c r="L2826">
        <v>215.09979999999999</v>
      </c>
      <c r="M2826">
        <v>0.99989240000000001</v>
      </c>
      <c r="N2826">
        <v>-1.4665330000000001E-2</v>
      </c>
      <c r="O2826">
        <v>5.9188929999999995E-4</v>
      </c>
      <c r="P2826">
        <v>0.97137910000000005</v>
      </c>
      <c r="Q2826">
        <v>0.23035559999999999</v>
      </c>
      <c r="R2826">
        <v>5.7959370000000003E-2</v>
      </c>
      <c r="S2826">
        <v>3.0830989999999998</v>
      </c>
      <c r="T2826">
        <v>-6.310499E-2</v>
      </c>
      <c r="U2826">
        <v>0.32434079999999998</v>
      </c>
      <c r="V2826">
        <v>-5.7364449999999997E-2</v>
      </c>
      <c r="W2826">
        <v>0.24458170000000001</v>
      </c>
      <c r="X2826">
        <v>0.96793030000000002</v>
      </c>
      <c r="Y2826">
        <v>-0.1039964</v>
      </c>
      <c r="Z2826">
        <v>1.822686E-3</v>
      </c>
      <c r="AA2826">
        <v>0.99457600000000002</v>
      </c>
      <c r="AB2826">
        <v>35</v>
      </c>
      <c r="AC2826">
        <v>50.031599999999898</v>
      </c>
      <c r="AD2826">
        <v>-1.03057628</v>
      </c>
      <c r="AE2826">
        <v>5.2967000000000102</v>
      </c>
      <c r="AF2826">
        <v>-5.26487360321563</v>
      </c>
      <c r="AG2826">
        <v>-1.03057628</v>
      </c>
      <c r="AH2826">
        <v>50.013741078316897</v>
      </c>
      <c r="AI2826">
        <v>91.1739769663115</v>
      </c>
      <c r="AJ2826">
        <v>96.009311063084596</v>
      </c>
      <c r="AK2826">
        <v>50.300648884240701</v>
      </c>
      <c r="AL2826">
        <v>75.842884811385403</v>
      </c>
      <c r="AM2826">
        <v>93.391670773552505</v>
      </c>
      <c r="AN2826">
        <v>0.99999997687839104</v>
      </c>
    </row>
    <row r="2827" spans="1:40" x14ac:dyDescent="0.25">
      <c r="A2827" t="str">
        <f>"20190304155423610"</f>
        <v>20190304155423610</v>
      </c>
      <c r="B2827" t="str">
        <f>"1551686063600176"</f>
        <v>1551686063600176</v>
      </c>
      <c r="C2827" t="s">
        <v>40</v>
      </c>
      <c r="D2827">
        <v>4.6704800000000004</v>
      </c>
      <c r="E2827">
        <v>0.55991109999999999</v>
      </c>
      <c r="F2827" t="s">
        <v>51</v>
      </c>
      <c r="G2827">
        <v>-206.51169999999999</v>
      </c>
      <c r="H2827">
        <v>8.0000269999999998E-2</v>
      </c>
      <c r="I2827">
        <v>220.6027</v>
      </c>
      <c r="J2827">
        <v>-259.05439999999999</v>
      </c>
      <c r="K2827">
        <v>1.1105689999999999</v>
      </c>
      <c r="L2827">
        <v>215.1</v>
      </c>
      <c r="M2827">
        <v>0.99989249999999996</v>
      </c>
      <c r="N2827">
        <v>-1.466139E-2</v>
      </c>
      <c r="O2827">
        <v>5.7421809999999996E-4</v>
      </c>
      <c r="P2827">
        <v>0.97139240000000004</v>
      </c>
      <c r="Q2827">
        <v>0.23058899999999999</v>
      </c>
      <c r="R2827">
        <v>5.6798969999999997E-2</v>
      </c>
      <c r="S2827">
        <v>3.0834959999999998</v>
      </c>
      <c r="T2827">
        <v>-6.0093399999999998E-2</v>
      </c>
      <c r="U2827">
        <v>0.32087710000000003</v>
      </c>
      <c r="V2827">
        <v>-5.6221500000000001E-2</v>
      </c>
      <c r="W2827">
        <v>0.24481149999999999</v>
      </c>
      <c r="X2827">
        <v>0.96793929999999995</v>
      </c>
      <c r="Y2827">
        <v>-0.10289860000000001</v>
      </c>
      <c r="Z2827">
        <v>1.753639E-3</v>
      </c>
      <c r="AA2827">
        <v>0.99469030000000003</v>
      </c>
      <c r="AB2827">
        <v>35</v>
      </c>
      <c r="AC2827">
        <v>52.542700000000004</v>
      </c>
      <c r="AD2827">
        <v>-1.0305687299999999</v>
      </c>
      <c r="AE2827">
        <v>5.5026999999999999</v>
      </c>
      <c r="AF2827">
        <v>-5.4704432031080099</v>
      </c>
      <c r="AG2827">
        <v>-1.0305687299999999</v>
      </c>
      <c r="AH2827">
        <v>52.525863627081698</v>
      </c>
      <c r="AI2827">
        <v>91.117966053670102</v>
      </c>
      <c r="AJ2827">
        <v>95.945782952193497</v>
      </c>
      <c r="AK2827">
        <v>52.820016759903297</v>
      </c>
      <c r="AL2827">
        <v>75.829305874197999</v>
      </c>
      <c r="AM2827">
        <v>93.324216146157497</v>
      </c>
      <c r="AN2827">
        <v>1.00000000803949</v>
      </c>
    </row>
    <row r="2828" spans="1:40" x14ac:dyDescent="0.25">
      <c r="A2828" t="str">
        <f>"20190304155423631"</f>
        <v>20190304155423631</v>
      </c>
      <c r="B2828" t="str">
        <f>"1551686063619695"</f>
        <v>1551686063619695</v>
      </c>
      <c r="C2828" t="s">
        <v>40</v>
      </c>
      <c r="D2828">
        <v>4.7594070000000004</v>
      </c>
      <c r="E2828">
        <v>0.56072939999999905</v>
      </c>
      <c r="F2828" t="s">
        <v>70</v>
      </c>
      <c r="G2828">
        <v>-168.41079999999999</v>
      </c>
      <c r="H2828">
        <v>0.4735355</v>
      </c>
      <c r="I2828">
        <v>206.0463</v>
      </c>
      <c r="J2828">
        <v>-258.73570000000001</v>
      </c>
      <c r="K2828">
        <v>1.1105670000000001</v>
      </c>
      <c r="L2828">
        <v>215.1002</v>
      </c>
      <c r="M2828">
        <v>0.99989249999999996</v>
      </c>
      <c r="N2828">
        <v>-1.4657679999999999E-2</v>
      </c>
      <c r="O2828">
        <v>5.5791469999999998E-4</v>
      </c>
      <c r="P2828">
        <v>0.97154169999999995</v>
      </c>
      <c r="Q2828">
        <v>0.230159</v>
      </c>
      <c r="R2828">
        <v>5.5979050000000002E-2</v>
      </c>
      <c r="S2828">
        <v>3.11171</v>
      </c>
      <c r="T2828">
        <v>-2.1867629999999999E-2</v>
      </c>
      <c r="U2828">
        <v>-0.31080629999999998</v>
      </c>
      <c r="V2828">
        <v>-5.5416760000000002E-2</v>
      </c>
      <c r="W2828">
        <v>0.24437970000000001</v>
      </c>
      <c r="X2828">
        <v>0.96809480000000003</v>
      </c>
      <c r="Y2828">
        <v>9.9935839999999998E-2</v>
      </c>
      <c r="Z2828">
        <v>-1.080328E-3</v>
      </c>
      <c r="AA2828">
        <v>0.99499329999999997</v>
      </c>
      <c r="AB2828">
        <v>35</v>
      </c>
      <c r="AC2828">
        <v>90.3249</v>
      </c>
      <c r="AD2828">
        <v>-0.63703149999999997</v>
      </c>
      <c r="AE2828">
        <v>-9.0539000000000005</v>
      </c>
      <c r="AF2828">
        <v>9.1038492680683891</v>
      </c>
      <c r="AG2828">
        <v>-0.63703149999999997</v>
      </c>
      <c r="AH2828">
        <v>90.3153864820883</v>
      </c>
      <c r="AI2828">
        <v>90.402086430373501</v>
      </c>
      <c r="AJ2828">
        <v>84.243991050715593</v>
      </c>
      <c r="AK2828">
        <v>90.775299041295796</v>
      </c>
      <c r="AL2828">
        <v>75.854821076847202</v>
      </c>
      <c r="AM2828">
        <v>93.276213430473902</v>
      </c>
      <c r="AN2828">
        <v>0.99999999842401299</v>
      </c>
    </row>
    <row r="2829" spans="1:40" x14ac:dyDescent="0.25">
      <c r="A2829" t="str">
        <f>"20190304155423650"</f>
        <v>20190304155423650</v>
      </c>
      <c r="B2829" t="str">
        <f>"1551686063640191"</f>
        <v>1551686063640191</v>
      </c>
      <c r="C2829" t="s">
        <v>40</v>
      </c>
      <c r="D2829">
        <v>4.7359770000000001</v>
      </c>
      <c r="E2829">
        <v>0.56246779999999996</v>
      </c>
      <c r="F2829" t="s">
        <v>51</v>
      </c>
      <c r="G2829">
        <v>-186.86510000000001</v>
      </c>
      <c r="H2829" s="1">
        <v>4.5307599999999996E-6</v>
      </c>
      <c r="I2829">
        <v>207.72059999999999</v>
      </c>
      <c r="J2829">
        <v>-258.43079999999998</v>
      </c>
      <c r="K2829">
        <v>1.1105700000000001</v>
      </c>
      <c r="L2829">
        <v>215.10040000000001</v>
      </c>
      <c r="M2829">
        <v>0.99989249999999996</v>
      </c>
      <c r="N2829">
        <v>-1.4654210000000001E-2</v>
      </c>
      <c r="O2829">
        <v>5.4190990000000001E-4</v>
      </c>
      <c r="P2829">
        <v>0.97172009999999998</v>
      </c>
      <c r="Q2829">
        <v>0.229687</v>
      </c>
      <c r="R2829">
        <v>5.4808040000000002E-2</v>
      </c>
      <c r="S2829">
        <v>3.1177670000000002</v>
      </c>
      <c r="T2829">
        <v>-4.8176530000000002E-2</v>
      </c>
      <c r="U2829">
        <v>-0.32012940000000001</v>
      </c>
      <c r="V2829">
        <v>-5.426193E-2</v>
      </c>
      <c r="W2829">
        <v>0.24390709999999999</v>
      </c>
      <c r="X2829">
        <v>0.96827940000000001</v>
      </c>
      <c r="Y2829">
        <v>0.102657399999999</v>
      </c>
      <c r="Z2829">
        <v>-1.5457299999999999E-3</v>
      </c>
      <c r="AA2829">
        <v>0.99471560000000003</v>
      </c>
      <c r="AB2829">
        <v>35</v>
      </c>
      <c r="AC2829">
        <v>71.565699999999893</v>
      </c>
      <c r="AD2829">
        <v>-1.11056546924</v>
      </c>
      <c r="AE2829">
        <v>-7.3798000000000101</v>
      </c>
      <c r="AF2829">
        <v>7.4168179734595299</v>
      </c>
      <c r="AG2829">
        <v>-1.11056546924</v>
      </c>
      <c r="AH2829">
        <v>71.544642327163899</v>
      </c>
      <c r="AI2829">
        <v>90.884573606367795</v>
      </c>
      <c r="AJ2829">
        <v>84.081460252051201</v>
      </c>
      <c r="AK2829">
        <v>71.936627598426597</v>
      </c>
      <c r="AL2829">
        <v>75.8827442521671</v>
      </c>
      <c r="AM2829">
        <v>93.207474190975404</v>
      </c>
      <c r="AN2829">
        <v>1.0000000134710401</v>
      </c>
    </row>
    <row r="2830" spans="1:40" x14ac:dyDescent="0.25">
      <c r="A2830" t="str">
        <f>"20190304155423672"</f>
        <v>20190304155423672</v>
      </c>
      <c r="B2830" t="str">
        <f>"1551686063669471"</f>
        <v>1551686063669471</v>
      </c>
      <c r="C2830" t="s">
        <v>40</v>
      </c>
      <c r="D2830">
        <v>4.7680110000000004</v>
      </c>
      <c r="E2830">
        <v>0.56328350000000005</v>
      </c>
      <c r="F2830" t="s">
        <v>51</v>
      </c>
      <c r="G2830">
        <v>-195.1583</v>
      </c>
      <c r="H2830" s="1">
        <v>3.8504119999999999E-6</v>
      </c>
      <c r="I2830">
        <v>208.24289999999999</v>
      </c>
      <c r="J2830">
        <v>-258.10289999999998</v>
      </c>
      <c r="K2830">
        <v>1.110573</v>
      </c>
      <c r="L2830">
        <v>215.10050000000001</v>
      </c>
      <c r="M2830">
        <v>0.99989249999999996</v>
      </c>
      <c r="N2830">
        <v>-1.465059E-2</v>
      </c>
      <c r="O2830">
        <v>5.2477220000000002E-4</v>
      </c>
      <c r="P2830">
        <v>0.97158480000000003</v>
      </c>
      <c r="Q2830">
        <v>0.2304744</v>
      </c>
      <c r="R2830">
        <v>5.3893740000000002E-2</v>
      </c>
      <c r="S2830">
        <v>3.1193240000000002</v>
      </c>
      <c r="T2830">
        <v>-5.4750680000000003E-2</v>
      </c>
      <c r="U2830">
        <v>-0.33807369999999998</v>
      </c>
      <c r="V2830">
        <v>-5.3364109999999999E-2</v>
      </c>
      <c r="W2830">
        <v>0.24468889999999999</v>
      </c>
      <c r="X2830">
        <v>0.96813199999999999</v>
      </c>
      <c r="Y2830">
        <v>0.1082409</v>
      </c>
      <c r="Z2830">
        <v>-1.743964E-3</v>
      </c>
      <c r="AA2830">
        <v>0.99412319999999998</v>
      </c>
      <c r="AB2830">
        <v>35</v>
      </c>
      <c r="AC2830">
        <v>62.944599999999902</v>
      </c>
      <c r="AD2830">
        <v>-1.1105691495879999</v>
      </c>
      <c r="AE2830">
        <v>-6.8576000000000104</v>
      </c>
      <c r="AF2830">
        <v>6.8885149615736996</v>
      </c>
      <c r="AG2830">
        <v>-1.1105691495879999</v>
      </c>
      <c r="AH2830">
        <v>62.921634742907798</v>
      </c>
      <c r="AI2830">
        <v>91.005163168891102</v>
      </c>
      <c r="AJ2830">
        <v>83.7522718025145</v>
      </c>
      <c r="AK2830">
        <v>63.307322806542203</v>
      </c>
      <c r="AL2830">
        <v>75.836550240607096</v>
      </c>
      <c r="AM2830">
        <v>93.154990589463196</v>
      </c>
      <c r="AN2830">
        <v>0.99999997772164995</v>
      </c>
    </row>
    <row r="2831" spans="1:40" x14ac:dyDescent="0.25">
      <c r="A2831" t="str">
        <f>"20190304155423695"</f>
        <v>20190304155423695</v>
      </c>
      <c r="B2831" t="str">
        <f>"1551686063689967"</f>
        <v>1551686063689967</v>
      </c>
      <c r="C2831" t="s">
        <v>40</v>
      </c>
      <c r="D2831">
        <v>4.7808149999999996</v>
      </c>
      <c r="E2831">
        <v>0.5634188</v>
      </c>
      <c r="F2831" t="s">
        <v>51</v>
      </c>
      <c r="G2831">
        <v>-192.53290000000001</v>
      </c>
      <c r="H2831" s="1">
        <v>4.4817020000000003E-6</v>
      </c>
      <c r="I2831">
        <v>207.79599999999999</v>
      </c>
      <c r="J2831">
        <v>-257.7328</v>
      </c>
      <c r="K2831">
        <v>1.1105670000000001</v>
      </c>
      <c r="L2831">
        <v>215.10069999999999</v>
      </c>
      <c r="M2831">
        <v>0.99989269999999997</v>
      </c>
      <c r="N2831">
        <v>-1.464642E-2</v>
      </c>
      <c r="O2831">
        <v>5.0525470000000003E-4</v>
      </c>
      <c r="P2831">
        <v>0.97145919999999997</v>
      </c>
      <c r="Q2831">
        <v>0.23115160000000001</v>
      </c>
      <c r="R2831">
        <v>5.3256209999999998E-2</v>
      </c>
      <c r="S2831">
        <v>3.1195529999999998</v>
      </c>
      <c r="T2831">
        <v>-5.2836300000000003E-2</v>
      </c>
      <c r="U2831">
        <v>-0.34751890000000002</v>
      </c>
      <c r="V2831">
        <v>-5.2745510000000002E-2</v>
      </c>
      <c r="W2831">
        <v>0.24535969999999999</v>
      </c>
      <c r="X2831">
        <v>0.96799610000000003</v>
      </c>
      <c r="Y2831">
        <v>0.111188</v>
      </c>
      <c r="Z2831">
        <v>-1.7567030000000001E-3</v>
      </c>
      <c r="AA2831">
        <v>0.99379779999999995</v>
      </c>
      <c r="AB2831">
        <v>35</v>
      </c>
      <c r="AC2831">
        <v>65.1998999999999</v>
      </c>
      <c r="AD2831">
        <v>-1.1105625182979999</v>
      </c>
      <c r="AE2831">
        <v>-7.3046999999999898</v>
      </c>
      <c r="AF2831">
        <v>7.3355432780206202</v>
      </c>
      <c r="AG2831">
        <v>-1.1105625182979999</v>
      </c>
      <c r="AH2831">
        <v>65.177525025759095</v>
      </c>
      <c r="AI2831">
        <v>90.970047459579405</v>
      </c>
      <c r="AJ2831">
        <v>83.578546773198795</v>
      </c>
      <c r="AK2831">
        <v>65.598424621131102</v>
      </c>
      <c r="AL2831">
        <v>75.796907556103804</v>
      </c>
      <c r="AM2831">
        <v>93.118927305535905</v>
      </c>
      <c r="AN2831">
        <v>0.99999996041222905</v>
      </c>
    </row>
    <row r="2832" spans="1:40" x14ac:dyDescent="0.25">
      <c r="A2832" t="str">
        <f>"20190304155423720"</f>
        <v>20190304155423720</v>
      </c>
      <c r="B2832" t="str">
        <f>"1551686063709487"</f>
        <v>1551686063709487</v>
      </c>
      <c r="C2832" t="s">
        <v>40</v>
      </c>
      <c r="D2832">
        <v>4.7858799999999997</v>
      </c>
      <c r="E2832">
        <v>0.56375929999999996</v>
      </c>
      <c r="F2832" t="s">
        <v>51</v>
      </c>
      <c r="G2832">
        <v>-191.83619999999999</v>
      </c>
      <c r="H2832" s="1">
        <v>4.6750369999999997E-6</v>
      </c>
      <c r="I2832">
        <v>207.68610000000001</v>
      </c>
      <c r="J2832">
        <v>-257.35939999999999</v>
      </c>
      <c r="K2832">
        <v>1.110571</v>
      </c>
      <c r="L2832">
        <v>215.1009</v>
      </c>
      <c r="M2832">
        <v>0.99989280000000003</v>
      </c>
      <c r="N2832">
        <v>-1.4642179999999999E-2</v>
      </c>
      <c r="O2832">
        <v>4.857377E-4</v>
      </c>
      <c r="P2832">
        <v>0.97179110000000002</v>
      </c>
      <c r="Q2832">
        <v>0.22999610000000001</v>
      </c>
      <c r="R2832">
        <v>5.2192549999999997E-2</v>
      </c>
      <c r="S2832">
        <v>3.119888</v>
      </c>
      <c r="T2832">
        <v>-5.2579760000000003E-2</v>
      </c>
      <c r="U2832">
        <v>-0.35104370000000001</v>
      </c>
      <c r="V2832">
        <v>-5.1701259999999999E-2</v>
      </c>
      <c r="W2832">
        <v>0.2442049</v>
      </c>
      <c r="X2832">
        <v>0.96834439999999999</v>
      </c>
      <c r="Y2832">
        <v>0.11226559999999999</v>
      </c>
      <c r="Z2832">
        <v>-1.768684E-3</v>
      </c>
      <c r="AA2832">
        <v>0.99367669999999997</v>
      </c>
      <c r="AB2832">
        <v>35</v>
      </c>
      <c r="AC2832">
        <v>65.523200000000003</v>
      </c>
      <c r="AD2832">
        <v>-1.110566324963</v>
      </c>
      <c r="AE2832">
        <v>-7.4147999999999801</v>
      </c>
      <c r="AF2832">
        <v>7.4445180340279098</v>
      </c>
      <c r="AG2832">
        <v>-1.110566324963</v>
      </c>
      <c r="AH2832">
        <v>65.501011308993995</v>
      </c>
      <c r="AI2832">
        <v>90.965141563615205</v>
      </c>
      <c r="AJ2832">
        <v>83.515871624377496</v>
      </c>
      <c r="AK2832">
        <v>65.932061160122004</v>
      </c>
      <c r="AL2832">
        <v>75.865148828786502</v>
      </c>
      <c r="AM2832">
        <v>93.056199854227202</v>
      </c>
      <c r="AN2832">
        <v>0.99999996524047796</v>
      </c>
    </row>
    <row r="2833" spans="1:40" x14ac:dyDescent="0.25">
      <c r="A2833" t="str">
        <f>"20190304155423744"</f>
        <v>20190304155423744</v>
      </c>
      <c r="B2833" t="str">
        <f>"1551686063739742"</f>
        <v>1551686063739742</v>
      </c>
      <c r="C2833" t="s">
        <v>40</v>
      </c>
      <c r="D2833">
        <v>4.7975379999999896</v>
      </c>
      <c r="E2833">
        <v>0.56399690000000002</v>
      </c>
      <c r="F2833" t="s">
        <v>51</v>
      </c>
      <c r="G2833">
        <v>-195.4967</v>
      </c>
      <c r="H2833" s="1">
        <v>3.852702E-6</v>
      </c>
      <c r="I2833">
        <v>208.00749999999999</v>
      </c>
      <c r="J2833">
        <v>-256.99619999999999</v>
      </c>
      <c r="K2833">
        <v>1.1105769999999999</v>
      </c>
      <c r="L2833">
        <v>215.101</v>
      </c>
      <c r="M2833">
        <v>0.99989280000000003</v>
      </c>
      <c r="N2833">
        <v>-1.4638099999999999E-2</v>
      </c>
      <c r="O2833">
        <v>4.6669579999999999E-4</v>
      </c>
      <c r="P2833">
        <v>0.97193309999999999</v>
      </c>
      <c r="Q2833">
        <v>0.22954540000000001</v>
      </c>
      <c r="R2833">
        <v>5.1527330000000003E-2</v>
      </c>
      <c r="S2833">
        <v>3.1195529999999998</v>
      </c>
      <c r="T2833">
        <v>-5.6002620000000003E-2</v>
      </c>
      <c r="U2833">
        <v>-0.35769649999999997</v>
      </c>
      <c r="V2833">
        <v>-5.1053870000000001E-2</v>
      </c>
      <c r="W2833">
        <v>0.24375260000000001</v>
      </c>
      <c r="X2833">
        <v>0.96849269999999998</v>
      </c>
      <c r="Y2833">
        <v>0.1143469</v>
      </c>
      <c r="Z2833">
        <v>-1.8643030000000001E-3</v>
      </c>
      <c r="AA2833">
        <v>0.99343910000000002</v>
      </c>
      <c r="AB2833">
        <v>35</v>
      </c>
      <c r="AC2833">
        <v>61.499499999999898</v>
      </c>
      <c r="AD2833">
        <v>-1.1105731472980001</v>
      </c>
      <c r="AE2833">
        <v>-7.0934999999999997</v>
      </c>
      <c r="AF2833">
        <v>7.1199125376990899</v>
      </c>
      <c r="AG2833">
        <v>-1.1105731472980001</v>
      </c>
      <c r="AH2833">
        <v>61.476398176710902</v>
      </c>
      <c r="AI2833">
        <v>91.028067181213402</v>
      </c>
      <c r="AJ2833">
        <v>83.393699710311196</v>
      </c>
      <c r="AK2833">
        <v>61.897286370579103</v>
      </c>
      <c r="AL2833">
        <v>75.891871298406301</v>
      </c>
      <c r="AM2833">
        <v>93.017540816806203</v>
      </c>
      <c r="AN2833">
        <v>0.99999996880101305</v>
      </c>
    </row>
    <row r="2834" spans="1:40" x14ac:dyDescent="0.25">
      <c r="A2834" t="str">
        <f>"20190304155423766"</f>
        <v>20190304155423766</v>
      </c>
      <c r="B2834" t="str">
        <f>"1551686063760239"</f>
        <v>1551686063760239</v>
      </c>
      <c r="C2834" t="s">
        <v>40</v>
      </c>
      <c r="D2834">
        <v>4.629645</v>
      </c>
      <c r="E2834">
        <v>0.56315839999999995</v>
      </c>
      <c r="F2834" t="s">
        <v>51</v>
      </c>
      <c r="G2834">
        <v>-195.47149999999999</v>
      </c>
      <c r="H2834" s="1">
        <v>3.8731030000000001E-6</v>
      </c>
      <c r="I2834">
        <v>207.94739999999999</v>
      </c>
      <c r="J2834">
        <v>-256.65620000000001</v>
      </c>
      <c r="K2834">
        <v>1.110576</v>
      </c>
      <c r="L2834">
        <v>215.10120000000001</v>
      </c>
      <c r="M2834">
        <v>0.99989289999999997</v>
      </c>
      <c r="N2834">
        <v>-1.4634319999999999E-2</v>
      </c>
      <c r="O2834">
        <v>4.489041E-4</v>
      </c>
      <c r="P2834">
        <v>0.97207319999999997</v>
      </c>
      <c r="Q2834">
        <v>0.2290963</v>
      </c>
      <c r="R2834">
        <v>5.0877489999999997E-2</v>
      </c>
      <c r="S2834">
        <v>3.1191559999999998</v>
      </c>
      <c r="T2834">
        <v>-5.630338E-2</v>
      </c>
      <c r="U2834">
        <v>-0.36267090000000002</v>
      </c>
      <c r="V2834">
        <v>-5.0421510000000003E-2</v>
      </c>
      <c r="W2834">
        <v>0.2433022</v>
      </c>
      <c r="X2834">
        <v>0.96863909999999998</v>
      </c>
      <c r="Y2834">
        <v>0.1159061</v>
      </c>
      <c r="Z2834">
        <v>-1.8951529999999999E-3</v>
      </c>
      <c r="AA2834">
        <v>0.99325839999999999</v>
      </c>
      <c r="AB2834">
        <v>35</v>
      </c>
      <c r="AC2834">
        <v>61.184699999999999</v>
      </c>
      <c r="AD2834">
        <v>-1.1105721268969999</v>
      </c>
      <c r="AE2834">
        <v>-7.1538000000000102</v>
      </c>
      <c r="AF2834">
        <v>7.1789349784660104</v>
      </c>
      <c r="AG2834">
        <v>-1.1105721268969999</v>
      </c>
      <c r="AH2834">
        <v>61.161603333289797</v>
      </c>
      <c r="AI2834">
        <v>91.0331709713343</v>
      </c>
      <c r="AJ2834">
        <v>83.305453879488297</v>
      </c>
      <c r="AK2834">
        <v>61.5914945440745</v>
      </c>
      <c r="AL2834">
        <v>75.918478764277694</v>
      </c>
      <c r="AM2834">
        <v>92.979783335317805</v>
      </c>
      <c r="AN2834">
        <v>0.99999999762216496</v>
      </c>
    </row>
    <row r="2835" spans="1:40" x14ac:dyDescent="0.25">
      <c r="A2835" t="str">
        <f>"20190304155423785"</f>
        <v>20190304155423785</v>
      </c>
      <c r="B2835" t="str">
        <f>"1551686063779759"</f>
        <v>1551686063779759</v>
      </c>
      <c r="C2835" t="s">
        <v>40</v>
      </c>
      <c r="D2835">
        <v>4.7826240000000002</v>
      </c>
      <c r="E2835">
        <v>0.56319030000000003</v>
      </c>
      <c r="F2835" t="s">
        <v>51</v>
      </c>
      <c r="G2835">
        <v>-201.89080000000001</v>
      </c>
      <c r="H2835">
        <v>8.0001210000000003E-2</v>
      </c>
      <c r="I2835">
        <v>208.8048</v>
      </c>
      <c r="J2835">
        <v>-256.36290000000002</v>
      </c>
      <c r="K2835">
        <v>1.1105750000000001</v>
      </c>
      <c r="L2835">
        <v>215.10130000000001</v>
      </c>
      <c r="M2835">
        <v>0.99989300000000003</v>
      </c>
      <c r="N2835">
        <v>-1.4631099999999999E-2</v>
      </c>
      <c r="O2835">
        <v>4.3337369999999999E-4</v>
      </c>
      <c r="P2835">
        <v>0.97217560000000003</v>
      </c>
      <c r="Q2835">
        <v>0.2287621</v>
      </c>
      <c r="R2835">
        <v>5.0423799999999998E-2</v>
      </c>
      <c r="S2835">
        <v>3.1187900000000002</v>
      </c>
      <c r="T2835">
        <v>-5.8689360000000003E-2</v>
      </c>
      <c r="U2835">
        <v>-0.3585663</v>
      </c>
      <c r="V2835">
        <v>-4.9982890000000002E-2</v>
      </c>
      <c r="W2835">
        <v>0.2429663</v>
      </c>
      <c r="X2835">
        <v>0.96874610000000005</v>
      </c>
      <c r="Y2835">
        <v>0.11461209999999999</v>
      </c>
      <c r="Z2835">
        <v>-1.917937E-3</v>
      </c>
      <c r="AA2835">
        <v>0.99340839999999997</v>
      </c>
      <c r="AB2835">
        <v>35</v>
      </c>
      <c r="AC2835">
        <v>54.472099999999998</v>
      </c>
      <c r="AD2835">
        <v>-1.03057379</v>
      </c>
      <c r="AE2835">
        <v>-6.2965</v>
      </c>
      <c r="AF2835">
        <v>6.3178771058509602</v>
      </c>
      <c r="AG2835">
        <v>-1.03057379</v>
      </c>
      <c r="AH2835">
        <v>54.450132963835003</v>
      </c>
      <c r="AI2835">
        <v>91.077079233074102</v>
      </c>
      <c r="AJ2835">
        <v>83.381536799794304</v>
      </c>
      <c r="AK2835">
        <v>54.825127753983203</v>
      </c>
      <c r="AL2835">
        <v>75.938319242811701</v>
      </c>
      <c r="AM2835">
        <v>92.953582426853103</v>
      </c>
      <c r="AN2835">
        <v>0.99999995924682505</v>
      </c>
    </row>
    <row r="2836" spans="1:40" x14ac:dyDescent="0.25">
      <c r="A2836" t="str">
        <f>"20190304155423809"</f>
        <v>20190304155423809</v>
      </c>
      <c r="B2836" t="str">
        <f>"1551686063799280"</f>
        <v>1551686063799280</v>
      </c>
      <c r="C2836" t="s">
        <v>40</v>
      </c>
      <c r="D2836">
        <v>4.8049600000000003</v>
      </c>
      <c r="E2836">
        <v>0.56329619999999903</v>
      </c>
      <c r="F2836" t="s">
        <v>51</v>
      </c>
      <c r="G2836">
        <v>-196.2604</v>
      </c>
      <c r="H2836" s="1">
        <v>3.6809670000000001E-6</v>
      </c>
      <c r="I2836">
        <v>208.14449999999999</v>
      </c>
      <c r="J2836">
        <v>-256.0018</v>
      </c>
      <c r="K2836">
        <v>1.110581</v>
      </c>
      <c r="L2836">
        <v>215.10140000000001</v>
      </c>
      <c r="M2836">
        <v>0.99989309999999998</v>
      </c>
      <c r="N2836">
        <v>-1.462714E-2</v>
      </c>
      <c r="O2836">
        <v>4.145676E-4</v>
      </c>
      <c r="P2836">
        <v>0.97217819999999999</v>
      </c>
      <c r="Q2836">
        <v>0.2289138</v>
      </c>
      <c r="R2836">
        <v>4.9682039999999997E-2</v>
      </c>
      <c r="S2836">
        <v>3.118134</v>
      </c>
      <c r="T2836">
        <v>-5.7616710000000002E-2</v>
      </c>
      <c r="U2836">
        <v>-0.36091610000000002</v>
      </c>
      <c r="V2836">
        <v>-4.9258990000000002E-2</v>
      </c>
      <c r="W2836">
        <v>0.24311389999999999</v>
      </c>
      <c r="X2836">
        <v>0.9687462</v>
      </c>
      <c r="Y2836">
        <v>0.11535670000000001</v>
      </c>
      <c r="Z2836">
        <v>-1.910382E-3</v>
      </c>
      <c r="AA2836">
        <v>0.99332229999999999</v>
      </c>
      <c r="AB2836">
        <v>34</v>
      </c>
      <c r="AC2836">
        <v>59.741399999999999</v>
      </c>
      <c r="AD2836">
        <v>-1.1105773190329999</v>
      </c>
      <c r="AE2836">
        <v>-6.9569000000000099</v>
      </c>
      <c r="AF2836">
        <v>6.9792892730187504</v>
      </c>
      <c r="AG2836">
        <v>-1.1105773190329999</v>
      </c>
      <c r="AH2836">
        <v>59.718149250126601</v>
      </c>
      <c r="AI2836">
        <v>91.0582050486491</v>
      </c>
      <c r="AJ2836">
        <v>83.334053913523206</v>
      </c>
      <c r="AK2836">
        <v>60.134858531457702</v>
      </c>
      <c r="AL2836">
        <v>75.929601682648197</v>
      </c>
      <c r="AM2836">
        <v>92.910879630313801</v>
      </c>
      <c r="AN2836">
        <v>1.00000000824173</v>
      </c>
    </row>
    <row r="2837" spans="1:40" x14ac:dyDescent="0.25">
      <c r="A2837" t="str">
        <f>"20190304155423832"</f>
        <v>20190304155423832</v>
      </c>
      <c r="B2837" t="str">
        <f>"1551686063819774"</f>
        <v>1551686063819774</v>
      </c>
      <c r="C2837" t="s">
        <v>40</v>
      </c>
      <c r="D2837">
        <v>4.753603</v>
      </c>
      <c r="E2837">
        <v>0.56341430000000003</v>
      </c>
      <c r="F2837" t="s">
        <v>51</v>
      </c>
      <c r="G2837">
        <v>-193.74639999999999</v>
      </c>
      <c r="H2837" s="1">
        <v>4.2132020000000002E-6</v>
      </c>
      <c r="I2837">
        <v>207.8186</v>
      </c>
      <c r="J2837">
        <v>-255.64109999999999</v>
      </c>
      <c r="K2837">
        <v>1.1105860000000001</v>
      </c>
      <c r="L2837">
        <v>215.10149999999999</v>
      </c>
      <c r="M2837">
        <v>0.99989309999999998</v>
      </c>
      <c r="N2837">
        <v>-1.462314E-2</v>
      </c>
      <c r="O2837">
        <v>3.9552629999999999E-4</v>
      </c>
      <c r="P2837">
        <v>0.97206859999999995</v>
      </c>
      <c r="Q2837">
        <v>0.2294571</v>
      </c>
      <c r="R2837">
        <v>4.9317180000000002E-2</v>
      </c>
      <c r="S2837">
        <v>3.1175540000000002</v>
      </c>
      <c r="T2837">
        <v>-5.5614230000000001E-2</v>
      </c>
      <c r="U2837">
        <v>-0.36470029999999998</v>
      </c>
      <c r="V2837">
        <v>-4.891268E-2</v>
      </c>
      <c r="W2837">
        <v>0.24365129999999999</v>
      </c>
      <c r="X2837">
        <v>0.96862870000000001</v>
      </c>
      <c r="Y2837">
        <v>0.1165499</v>
      </c>
      <c r="Z2837">
        <v>-1.8924499999999999E-3</v>
      </c>
      <c r="AA2837">
        <v>0.99318300000000004</v>
      </c>
      <c r="AB2837">
        <v>34</v>
      </c>
      <c r="AC2837">
        <v>61.8947</v>
      </c>
      <c r="AD2837">
        <v>-1.1105817867979999</v>
      </c>
      <c r="AE2837">
        <v>-7.2828999999999802</v>
      </c>
      <c r="AF2837">
        <v>7.3050632490521803</v>
      </c>
      <c r="AG2837">
        <v>-1.1105817867979999</v>
      </c>
      <c r="AH2837">
        <v>61.872166295827597</v>
      </c>
      <c r="AI2837">
        <v>91.021235192787998</v>
      </c>
      <c r="AJ2837">
        <v>83.266429967789804</v>
      </c>
      <c r="AK2837">
        <v>62.311815116527903</v>
      </c>
      <c r="AL2837">
        <v>75.897855987693305</v>
      </c>
      <c r="AM2837">
        <v>92.890799865109997</v>
      </c>
      <c r="AN2837">
        <v>0.99999998236008103</v>
      </c>
    </row>
    <row r="2838" spans="1:40" x14ac:dyDescent="0.25">
      <c r="A2838" t="str">
        <f>"20190304155423853"</f>
        <v>20190304155423853</v>
      </c>
      <c r="B2838" t="str">
        <f>"1551686063850031"</f>
        <v>1551686063850031</v>
      </c>
      <c r="C2838" t="s">
        <v>40</v>
      </c>
      <c r="D2838">
        <v>4.7507020000000004</v>
      </c>
      <c r="E2838">
        <v>0.56324479999999999</v>
      </c>
      <c r="F2838" t="s">
        <v>51</v>
      </c>
      <c r="G2838">
        <v>-190.18889999999999</v>
      </c>
      <c r="H2838" s="1">
        <v>5.1431330000000002E-6</v>
      </c>
      <c r="I2838">
        <v>207.39510000000001</v>
      </c>
      <c r="J2838">
        <v>-255.30420000000001</v>
      </c>
      <c r="K2838">
        <v>1.1105849999999999</v>
      </c>
      <c r="L2838">
        <v>215.10159999999999</v>
      </c>
      <c r="M2838">
        <v>0.99989309999999998</v>
      </c>
      <c r="N2838">
        <v>-1.461953E-2</v>
      </c>
      <c r="O2838">
        <v>3.7803039999999998E-4</v>
      </c>
      <c r="P2838">
        <v>0.97215189999999996</v>
      </c>
      <c r="Q2838">
        <v>0.22922300000000001</v>
      </c>
      <c r="R2838">
        <v>4.876233E-2</v>
      </c>
      <c r="S2838">
        <v>3.1173099999999998</v>
      </c>
      <c r="T2838">
        <v>-5.2893999999999997E-2</v>
      </c>
      <c r="U2838">
        <v>-0.3670349</v>
      </c>
      <c r="V2838">
        <v>-4.8375679999999997E-2</v>
      </c>
      <c r="W2838">
        <v>0.24341550000000001</v>
      </c>
      <c r="X2838">
        <v>0.96871499999999999</v>
      </c>
      <c r="Y2838">
        <v>0.11727750000000001</v>
      </c>
      <c r="Z2838">
        <v>-1.852743E-3</v>
      </c>
      <c r="AA2838">
        <v>0.99309749999999997</v>
      </c>
      <c r="AB2838">
        <v>34</v>
      </c>
      <c r="AC2838">
        <v>65.115300000000005</v>
      </c>
      <c r="AD2838">
        <v>-1.110579856867</v>
      </c>
      <c r="AE2838">
        <v>-7.7064999999999699</v>
      </c>
      <c r="AF2838">
        <v>7.7289004148048299</v>
      </c>
      <c r="AG2838">
        <v>-1.110579856867</v>
      </c>
      <c r="AH2838">
        <v>65.093707995158098</v>
      </c>
      <c r="AI2838">
        <v>90.970625960434404</v>
      </c>
      <c r="AJ2838">
        <v>83.228688392633401</v>
      </c>
      <c r="AK2838">
        <v>65.560354710750005</v>
      </c>
      <c r="AL2838">
        <v>75.911786430729805</v>
      </c>
      <c r="AM2838">
        <v>92.858861165007397</v>
      </c>
      <c r="AN2838">
        <v>1.0000000316403499</v>
      </c>
    </row>
    <row r="2839" spans="1:40" x14ac:dyDescent="0.25">
      <c r="A2839" t="str">
        <f>"20190304155423873"</f>
        <v>20190304155423873</v>
      </c>
      <c r="B2839" t="str">
        <f>"1551686063869551"</f>
        <v>1551686063869551</v>
      </c>
      <c r="C2839" t="s">
        <v>40</v>
      </c>
      <c r="D2839">
        <v>4.7522399999999996</v>
      </c>
      <c r="E2839">
        <v>0.56326919999999903</v>
      </c>
      <c r="F2839" t="s">
        <v>51</v>
      </c>
      <c r="G2839">
        <v>-187.6611</v>
      </c>
      <c r="H2839" s="1">
        <v>4.8877029999999997E-6</v>
      </c>
      <c r="I2839">
        <v>207.11019999999999</v>
      </c>
      <c r="J2839">
        <v>-255.00129999999999</v>
      </c>
      <c r="K2839">
        <v>1.1105780000000001</v>
      </c>
      <c r="L2839">
        <v>215.10169999999999</v>
      </c>
      <c r="M2839">
        <v>0.99989320000000004</v>
      </c>
      <c r="N2839">
        <v>-1.4616280000000001E-2</v>
      </c>
      <c r="O2839">
        <v>3.620219E-4</v>
      </c>
      <c r="P2839">
        <v>0.97218640000000001</v>
      </c>
      <c r="Q2839">
        <v>0.22916890000000001</v>
      </c>
      <c r="R2839">
        <v>4.8323289999999998E-2</v>
      </c>
      <c r="S2839">
        <v>3.1164550000000002</v>
      </c>
      <c r="T2839">
        <v>-5.1166650000000001E-2</v>
      </c>
      <c r="U2839">
        <v>-0.36817929999999999</v>
      </c>
      <c r="V2839">
        <v>-4.7951880000000002E-2</v>
      </c>
      <c r="W2839">
        <v>0.24335860000000001</v>
      </c>
      <c r="X2839">
        <v>0.96875040000000001</v>
      </c>
      <c r="Y2839">
        <v>0.1176543</v>
      </c>
      <c r="Z2839">
        <v>-1.826044E-3</v>
      </c>
      <c r="AA2839">
        <v>0.99305299999999996</v>
      </c>
      <c r="AB2839">
        <v>34</v>
      </c>
      <c r="AC2839">
        <v>67.340199999999896</v>
      </c>
      <c r="AD2839">
        <v>-1.110573112297</v>
      </c>
      <c r="AE2839">
        <v>-7.9915000000000003</v>
      </c>
      <c r="AF2839">
        <v>8.01373135831696</v>
      </c>
      <c r="AG2839">
        <v>-1.110573112297</v>
      </c>
      <c r="AH2839">
        <v>67.319246614752601</v>
      </c>
      <c r="AI2839">
        <v>90.9385040879245</v>
      </c>
      <c r="AJ2839">
        <v>83.211415380154804</v>
      </c>
      <c r="AK2839">
        <v>67.803644649081505</v>
      </c>
      <c r="AL2839">
        <v>75.9151481031098</v>
      </c>
      <c r="AM2839">
        <v>92.833753444699099</v>
      </c>
      <c r="AN2839">
        <v>1.0000000642448199</v>
      </c>
    </row>
    <row r="2840" spans="1:40" x14ac:dyDescent="0.25">
      <c r="A2840" t="str">
        <f>"20190304155423896"</f>
        <v>20190304155423896</v>
      </c>
      <c r="B2840" t="str">
        <f>"1551686063890047"</f>
        <v>1551686063890047</v>
      </c>
      <c r="C2840" t="s">
        <v>40</v>
      </c>
      <c r="D2840">
        <v>4.7093949999999998</v>
      </c>
      <c r="E2840">
        <v>0.5630425</v>
      </c>
      <c r="F2840" t="s">
        <v>51</v>
      </c>
      <c r="G2840">
        <v>-185.30420000000001</v>
      </c>
      <c r="H2840" s="1">
        <v>4.5603750000000004E-6</v>
      </c>
      <c r="I2840">
        <v>206.8236</v>
      </c>
      <c r="J2840">
        <v>-254.65029999999999</v>
      </c>
      <c r="K2840">
        <v>1.1105830000000001</v>
      </c>
      <c r="L2840">
        <v>215.1018</v>
      </c>
      <c r="M2840">
        <v>0.99989320000000004</v>
      </c>
      <c r="N2840">
        <v>-1.4612480000000001E-2</v>
      </c>
      <c r="O2840">
        <v>3.4369510000000002E-4</v>
      </c>
      <c r="P2840">
        <v>0.97222050000000004</v>
      </c>
      <c r="Q2840">
        <v>0.22911960000000001</v>
      </c>
      <c r="R2840">
        <v>4.7869700000000001E-2</v>
      </c>
      <c r="S2840">
        <v>3.1159059999999998</v>
      </c>
      <c r="T2840">
        <v>-4.9649720000000001E-2</v>
      </c>
      <c r="U2840">
        <v>-0.37008669999999999</v>
      </c>
      <c r="V2840">
        <v>-4.7516460000000003E-2</v>
      </c>
      <c r="W2840">
        <v>0.24330579999999999</v>
      </c>
      <c r="X2840">
        <v>0.96878500000000001</v>
      </c>
      <c r="Y2840">
        <v>0.1182571</v>
      </c>
      <c r="Z2840">
        <v>-1.806457E-3</v>
      </c>
      <c r="AA2840">
        <v>0.99298140000000001</v>
      </c>
      <c r="AB2840">
        <v>34</v>
      </c>
      <c r="AC2840">
        <v>69.346099999999893</v>
      </c>
      <c r="AD2840">
        <v>-1.110578439625</v>
      </c>
      <c r="AE2840">
        <v>-8.2781999999999893</v>
      </c>
      <c r="AF2840">
        <v>8.2999371075157704</v>
      </c>
      <c r="AG2840">
        <v>-1.110578439625</v>
      </c>
      <c r="AH2840">
        <v>69.325719548290095</v>
      </c>
      <c r="AI2840">
        <v>90.911277016866805</v>
      </c>
      <c r="AJ2840">
        <v>83.172828746018695</v>
      </c>
      <c r="AK2840">
        <v>69.829633618883094</v>
      </c>
      <c r="AL2840">
        <v>75.918265442798301</v>
      </c>
      <c r="AM2840">
        <v>92.807963206610296</v>
      </c>
      <c r="AN2840">
        <v>0.99999995125478403</v>
      </c>
    </row>
    <row r="2841" spans="1:40" x14ac:dyDescent="0.25">
      <c r="A2841" t="str">
        <f>"20190304155423922"</f>
        <v>20190304155423922</v>
      </c>
      <c r="B2841" t="str">
        <f>"1551686063909566"</f>
        <v>1551686063909566</v>
      </c>
      <c r="C2841" t="s">
        <v>40</v>
      </c>
      <c r="D2841">
        <v>4.6957259999999996</v>
      </c>
      <c r="E2841">
        <v>0.5631427</v>
      </c>
      <c r="F2841" t="s">
        <v>51</v>
      </c>
      <c r="G2841">
        <v>-183.89250000000001</v>
      </c>
      <c r="H2841" s="1">
        <v>4.27843E-6</v>
      </c>
      <c r="I2841">
        <v>206.7062</v>
      </c>
      <c r="J2841">
        <v>-254.26300000000001</v>
      </c>
      <c r="K2841">
        <v>1.110587</v>
      </c>
      <c r="L2841">
        <v>215.1019</v>
      </c>
      <c r="M2841">
        <v>0.99989329999999998</v>
      </c>
      <c r="N2841">
        <v>-1.4608309999999999E-2</v>
      </c>
      <c r="O2841">
        <v>3.2351960000000002E-4</v>
      </c>
      <c r="P2841">
        <v>0.97225280000000003</v>
      </c>
      <c r="Q2841">
        <v>0.22911580000000001</v>
      </c>
      <c r="R2841">
        <v>4.7229449999999999E-2</v>
      </c>
      <c r="S2841">
        <v>3.1154630000000001</v>
      </c>
      <c r="T2841">
        <v>-4.8898700000000003E-2</v>
      </c>
      <c r="U2841">
        <v>-0.36965940000000003</v>
      </c>
      <c r="V2841">
        <v>-4.689567E-2</v>
      </c>
      <c r="W2841">
        <v>0.2432984</v>
      </c>
      <c r="X2841">
        <v>0.96881719999999905</v>
      </c>
      <c r="Y2841">
        <v>0.11812</v>
      </c>
      <c r="Z2841">
        <v>-1.7899599999999999E-3</v>
      </c>
      <c r="AA2841">
        <v>0.99299769999999998</v>
      </c>
      <c r="AB2841">
        <v>34</v>
      </c>
      <c r="AC2841">
        <v>70.370499999999893</v>
      </c>
      <c r="AD2841">
        <v>-1.1105827215699999</v>
      </c>
      <c r="AE2841">
        <v>-8.3956999999999997</v>
      </c>
      <c r="AF2841">
        <v>8.4164013757884497</v>
      </c>
      <c r="AG2841">
        <v>-1.1105827215699999</v>
      </c>
      <c r="AH2841">
        <v>70.350503601819398</v>
      </c>
      <c r="AI2841">
        <v>90.8980176248389</v>
      </c>
      <c r="AJ2841">
        <v>83.177828407115399</v>
      </c>
      <c r="AK2841">
        <v>70.860867643075196</v>
      </c>
      <c r="AL2841">
        <v>75.918703859048506</v>
      </c>
      <c r="AM2841">
        <v>92.771243512265102</v>
      </c>
      <c r="AN2841">
        <v>1.0000000411615699</v>
      </c>
    </row>
    <row r="2842" spans="1:40" x14ac:dyDescent="0.25">
      <c r="A2842" t="str">
        <f>"20190304155423945"</f>
        <v>20190304155423945</v>
      </c>
      <c r="B2842" t="str">
        <f>"1551686063939822"</f>
        <v>1551686063939822</v>
      </c>
      <c r="C2842" t="s">
        <v>40</v>
      </c>
      <c r="D2842">
        <v>4.683376</v>
      </c>
      <c r="E2842">
        <v>0.56324359999999996</v>
      </c>
      <c r="F2842" t="s">
        <v>51</v>
      </c>
      <c r="G2842">
        <v>-182.67869999999999</v>
      </c>
      <c r="H2842" s="1">
        <v>4.051397E-6</v>
      </c>
      <c r="I2842">
        <v>206.5472</v>
      </c>
      <c r="J2842">
        <v>-253.8956</v>
      </c>
      <c r="K2842">
        <v>1.1105879999999999</v>
      </c>
      <c r="L2842">
        <v>215.102</v>
      </c>
      <c r="M2842">
        <v>0.99989320000000004</v>
      </c>
      <c r="N2842">
        <v>-1.4604310000000001E-2</v>
      </c>
      <c r="O2842">
        <v>3.0429879999999999E-4</v>
      </c>
      <c r="P2842">
        <v>0.97236259999999997</v>
      </c>
      <c r="Q2842">
        <v>0.22884299999999999</v>
      </c>
      <c r="R2842">
        <v>4.6280210000000002E-2</v>
      </c>
      <c r="S2842">
        <v>3.1150820000000001</v>
      </c>
      <c r="T2842">
        <v>-4.8328400000000001E-2</v>
      </c>
      <c r="U2842">
        <v>-0.37226870000000001</v>
      </c>
      <c r="V2842">
        <v>-4.5964820000000003E-2</v>
      </c>
      <c r="W2842">
        <v>0.24302319999999999</v>
      </c>
      <c r="X2842">
        <v>0.96893079999999998</v>
      </c>
      <c r="Y2842">
        <v>0.1189355</v>
      </c>
      <c r="Z2842">
        <v>-1.7912640000000001E-3</v>
      </c>
      <c r="AA2842">
        <v>0.99290040000000002</v>
      </c>
      <c r="AB2842">
        <v>34</v>
      </c>
      <c r="AC2842">
        <v>71.216899999999995</v>
      </c>
      <c r="AD2842">
        <v>-1.11058394860299</v>
      </c>
      <c r="AE2842">
        <v>-8.5548000000000002</v>
      </c>
      <c r="AF2842">
        <v>8.5744176257740605</v>
      </c>
      <c r="AG2842">
        <v>-1.11058394860299</v>
      </c>
      <c r="AH2842">
        <v>71.197225397922395</v>
      </c>
      <c r="AI2842">
        <v>90.887256909401401</v>
      </c>
      <c r="AJ2842">
        <v>83.132832678827796</v>
      </c>
      <c r="AK2842">
        <v>71.720282617197199</v>
      </c>
      <c r="AL2842">
        <v>75.934958502502894</v>
      </c>
      <c r="AM2842">
        <v>92.716001271469295</v>
      </c>
      <c r="AN2842">
        <v>0.99999996780225497</v>
      </c>
    </row>
    <row r="2843" spans="1:40" x14ac:dyDescent="0.25">
      <c r="A2843" t="str">
        <f>"20190304155423966"</f>
        <v>20190304155423966</v>
      </c>
      <c r="B2843" t="str">
        <f>"1551686063959343"</f>
        <v>1551686063959343</v>
      </c>
      <c r="C2843" t="s">
        <v>40</v>
      </c>
      <c r="D2843">
        <v>4.6852609999999997</v>
      </c>
      <c r="E2843">
        <v>0.56330849999999999</v>
      </c>
      <c r="F2843" t="s">
        <v>51</v>
      </c>
      <c r="G2843">
        <v>-182.5324</v>
      </c>
      <c r="H2843" s="1">
        <v>4.0308509999999999E-6</v>
      </c>
      <c r="I2843">
        <v>206.50229999999999</v>
      </c>
      <c r="J2843">
        <v>-253.59780000000001</v>
      </c>
      <c r="K2843">
        <v>1.110589</v>
      </c>
      <c r="L2843">
        <v>215.10210000000001</v>
      </c>
      <c r="M2843">
        <v>0.99989349999999999</v>
      </c>
      <c r="N2843">
        <v>-1.4601029999999999E-2</v>
      </c>
      <c r="O2843">
        <v>2.8853039999999998E-4</v>
      </c>
      <c r="P2843">
        <v>0.97269930000000004</v>
      </c>
      <c r="Q2843">
        <v>0.22761819999999999</v>
      </c>
      <c r="R2843">
        <v>4.5237409999999999E-2</v>
      </c>
      <c r="S2843">
        <v>3.1145320000000001</v>
      </c>
      <c r="T2843">
        <v>-4.8469659999999998E-2</v>
      </c>
      <c r="U2843">
        <v>-0.3753204</v>
      </c>
      <c r="V2843">
        <v>-4.493755E-2</v>
      </c>
      <c r="W2843">
        <v>0.24180009999999999</v>
      </c>
      <c r="X2843">
        <v>0.96928499999999995</v>
      </c>
      <c r="Y2843">
        <v>0.1198992</v>
      </c>
      <c r="Z2843">
        <v>-1.808448E-3</v>
      </c>
      <c r="AA2843">
        <v>0.99278440000000001</v>
      </c>
      <c r="AB2843">
        <v>34</v>
      </c>
      <c r="AC2843">
        <v>71.065399999999997</v>
      </c>
      <c r="AD2843">
        <v>-1.110584969149</v>
      </c>
      <c r="AE2843">
        <v>-8.5998000000000108</v>
      </c>
      <c r="AF2843">
        <v>8.6182319574255892</v>
      </c>
      <c r="AG2843">
        <v>-1.110584969149</v>
      </c>
      <c r="AH2843">
        <v>71.045814848778306</v>
      </c>
      <c r="AI2843">
        <v>90.889055826835204</v>
      </c>
      <c r="AJ2843">
        <v>83.083513022613403</v>
      </c>
      <c r="AK2843">
        <v>71.575241030488897</v>
      </c>
      <c r="AL2843">
        <v>76.007192487075102</v>
      </c>
      <c r="AM2843">
        <v>92.654420143228194</v>
      </c>
      <c r="AN2843">
        <v>1.0000000414925001</v>
      </c>
    </row>
    <row r="2844" spans="1:40" x14ac:dyDescent="0.25">
      <c r="A2844" t="str">
        <f>"20190304155423985"</f>
        <v>20190304155423985</v>
      </c>
      <c r="B2844" t="str">
        <f>"1551686063979839"</f>
        <v>1551686063979839</v>
      </c>
      <c r="C2844" t="s">
        <v>40</v>
      </c>
      <c r="D2844">
        <v>4.6667639999999997</v>
      </c>
      <c r="E2844">
        <v>0.56339249999999996</v>
      </c>
      <c r="F2844" t="s">
        <v>51</v>
      </c>
      <c r="G2844">
        <v>-186.285</v>
      </c>
      <c r="H2844" s="1">
        <v>4.7180259999999998E-6</v>
      </c>
      <c r="I2844">
        <v>206.8997</v>
      </c>
      <c r="J2844">
        <v>-253.29499999999999</v>
      </c>
      <c r="K2844">
        <v>1.11059</v>
      </c>
      <c r="L2844">
        <v>215.10220000000001</v>
      </c>
      <c r="M2844">
        <v>0.99989349999999999</v>
      </c>
      <c r="N2844">
        <v>-1.45977E-2</v>
      </c>
      <c r="O2844">
        <v>2.728788E-4</v>
      </c>
      <c r="P2844">
        <v>0.97274320000000003</v>
      </c>
      <c r="Q2844">
        <v>0.22757169999999999</v>
      </c>
      <c r="R2844">
        <v>4.4517420000000002E-2</v>
      </c>
      <c r="S2844">
        <v>3.1138759999999999</v>
      </c>
      <c r="T2844">
        <v>-5.137539E-2</v>
      </c>
      <c r="U2844">
        <v>-0.37944030000000001</v>
      </c>
      <c r="V2844">
        <v>-4.4232790000000001E-2</v>
      </c>
      <c r="W2844">
        <v>0.24175099999999999</v>
      </c>
      <c r="X2844">
        <v>0.96932960000000001</v>
      </c>
      <c r="Y2844">
        <v>0.1212</v>
      </c>
      <c r="Z2844">
        <v>-1.8846360000000001E-3</v>
      </c>
      <c r="AA2844">
        <v>0.99262629999999996</v>
      </c>
      <c r="AB2844">
        <v>34</v>
      </c>
      <c r="AC2844">
        <v>67.009999999999906</v>
      </c>
      <c r="AD2844">
        <v>-1.1105852819740001</v>
      </c>
      <c r="AE2844">
        <v>-8.2025000000000095</v>
      </c>
      <c r="AF2844">
        <v>8.2185631130328094</v>
      </c>
      <c r="AG2844">
        <v>-1.1105852819740001</v>
      </c>
      <c r="AH2844">
        <v>66.989630005470701</v>
      </c>
      <c r="AI2844">
        <v>90.9427222520507</v>
      </c>
      <c r="AJ2844">
        <v>83.005670021213902</v>
      </c>
      <c r="AK2844">
        <v>67.501027455745401</v>
      </c>
      <c r="AL2844">
        <v>76.010090839822894</v>
      </c>
      <c r="AM2844">
        <v>92.612728708563495</v>
      </c>
      <c r="AN2844">
        <v>0.99999997957417097</v>
      </c>
    </row>
    <row r="2845" spans="1:40" x14ac:dyDescent="0.25">
      <c r="A2845" t="str">
        <f>"20190304155424008"</f>
        <v>20190304155424008</v>
      </c>
      <c r="B2845" t="str">
        <f>"1551686063999359"</f>
        <v>1551686063999359</v>
      </c>
      <c r="C2845" t="s">
        <v>40</v>
      </c>
      <c r="D2845">
        <v>4.6107100000000001</v>
      </c>
      <c r="E2845">
        <v>0.56343699999999997</v>
      </c>
      <c r="F2845" t="s">
        <v>51</v>
      </c>
      <c r="G2845">
        <v>-184.85599999999999</v>
      </c>
      <c r="H2845" s="1">
        <v>4.4962210000000002E-6</v>
      </c>
      <c r="I2845">
        <v>206.69049999999999</v>
      </c>
      <c r="J2845">
        <v>-252.94309999999999</v>
      </c>
      <c r="K2845">
        <v>1.110581</v>
      </c>
      <c r="L2845">
        <v>215.10220000000001</v>
      </c>
      <c r="M2845">
        <v>0.99989360000000005</v>
      </c>
      <c r="N2845">
        <v>-1.45939E-2</v>
      </c>
      <c r="O2845">
        <v>2.5419439999999999E-4</v>
      </c>
      <c r="P2845">
        <v>0.97281240000000002</v>
      </c>
      <c r="Q2845">
        <v>0.22749900000000001</v>
      </c>
      <c r="R2845">
        <v>4.3361249999999997E-2</v>
      </c>
      <c r="S2845">
        <v>3.1134029999999999</v>
      </c>
      <c r="T2845">
        <v>-5.0522329999999997E-2</v>
      </c>
      <c r="U2845">
        <v>-0.3826599</v>
      </c>
      <c r="V2845">
        <v>-4.3094699999999903E-2</v>
      </c>
      <c r="W2845">
        <v>0.24167559999999999</v>
      </c>
      <c r="X2845">
        <v>0.96939969999999998</v>
      </c>
      <c r="Y2845">
        <v>0.12221129999999999</v>
      </c>
      <c r="Z2845">
        <v>-1.8834870000000001E-3</v>
      </c>
      <c r="AA2845">
        <v>0.99250229999999995</v>
      </c>
      <c r="AB2845">
        <v>34</v>
      </c>
      <c r="AC2845">
        <v>68.087099999999893</v>
      </c>
      <c r="AD2845">
        <v>-1.1105765037790001</v>
      </c>
      <c r="AE2845">
        <v>-8.4117000000000193</v>
      </c>
      <c r="AF2845">
        <v>8.4268006623739602</v>
      </c>
      <c r="AG2845">
        <v>-1.1105765037790001</v>
      </c>
      <c r="AH2845">
        <v>68.067122187209605</v>
      </c>
      <c r="AI2845">
        <v>90.9276685935898</v>
      </c>
      <c r="AJ2845">
        <v>82.942615396647497</v>
      </c>
      <c r="AK2845">
        <v>68.5957540407761</v>
      </c>
      <c r="AL2845">
        <v>76.014543442450702</v>
      </c>
      <c r="AM2845">
        <v>92.545410119435601</v>
      </c>
      <c r="AN2845">
        <v>1.0000000135817699</v>
      </c>
    </row>
    <row r="2846" spans="1:40" x14ac:dyDescent="0.25">
      <c r="A2846" t="str">
        <f>"20190304155424031"</f>
        <v>20190304155424031</v>
      </c>
      <c r="B2846" t="str">
        <f>"1551686064019855"</f>
        <v>1551686064019855</v>
      </c>
      <c r="C2846" t="s">
        <v>40</v>
      </c>
      <c r="D2846">
        <v>4.6344649999999996</v>
      </c>
      <c r="E2846">
        <v>0.56342309999999995</v>
      </c>
      <c r="F2846" t="s">
        <v>51</v>
      </c>
      <c r="G2846">
        <v>-183.66229999999999</v>
      </c>
      <c r="H2846" s="1">
        <v>4.2847559999999997E-6</v>
      </c>
      <c r="I2846">
        <v>206.48949999999999</v>
      </c>
      <c r="J2846">
        <v>-252.58789999999999</v>
      </c>
      <c r="K2846">
        <v>1.1105769999999999</v>
      </c>
      <c r="L2846">
        <v>215.10230000000001</v>
      </c>
      <c r="M2846">
        <v>0.9998937</v>
      </c>
      <c r="N2846">
        <v>-1.459007E-2</v>
      </c>
      <c r="O2846">
        <v>2.355081E-4</v>
      </c>
      <c r="P2846">
        <v>0.97302789999999995</v>
      </c>
      <c r="Q2846">
        <v>0.22675609999999999</v>
      </c>
      <c r="R2846">
        <v>4.24123E-2</v>
      </c>
      <c r="S2846">
        <v>3.1127470000000002</v>
      </c>
      <c r="T2846">
        <v>-4.9897549999999999E-2</v>
      </c>
      <c r="U2846">
        <v>-0.3869629</v>
      </c>
      <c r="V2846">
        <v>-4.2163890000000002E-2</v>
      </c>
      <c r="W2846">
        <v>0.24093200000000001</v>
      </c>
      <c r="X2846">
        <v>0.96962570000000003</v>
      </c>
      <c r="Y2846">
        <v>0.1235696</v>
      </c>
      <c r="Z2846">
        <v>-1.891951E-3</v>
      </c>
      <c r="AA2846">
        <v>0.9923341</v>
      </c>
      <c r="AB2846">
        <v>34</v>
      </c>
      <c r="AC2846">
        <v>68.925600000000003</v>
      </c>
      <c r="AD2846">
        <v>-1.1105727152439999</v>
      </c>
      <c r="AE2846">
        <v>-8.6128000000000196</v>
      </c>
      <c r="AF2846">
        <v>8.6268287869000098</v>
      </c>
      <c r="AG2846">
        <v>-1.1105727152439999</v>
      </c>
      <c r="AH2846">
        <v>68.905955376084805</v>
      </c>
      <c r="AI2846">
        <v>90.916217570080406</v>
      </c>
      <c r="AJ2846">
        <v>82.863862204345907</v>
      </c>
      <c r="AK2846">
        <v>69.452762601391996</v>
      </c>
      <c r="AL2846">
        <v>76.058445870845205</v>
      </c>
      <c r="AM2846">
        <v>92.489921592706395</v>
      </c>
      <c r="AN2846">
        <v>1.00000001017221</v>
      </c>
    </row>
    <row r="2847" spans="1:40" x14ac:dyDescent="0.25">
      <c r="A2847" t="str">
        <f>"20190304155424052"</f>
        <v>20190304155424052</v>
      </c>
      <c r="B2847" t="str">
        <f>"1551686064050112"</f>
        <v>1551686064050112</v>
      </c>
      <c r="C2847" t="s">
        <v>40</v>
      </c>
      <c r="D2847">
        <v>4.5815890000000001</v>
      </c>
      <c r="E2847">
        <v>0.56331869999999995</v>
      </c>
      <c r="F2847" t="s">
        <v>51</v>
      </c>
      <c r="G2847">
        <v>-185.72640000000001</v>
      </c>
      <c r="H2847" s="1">
        <v>4.6744989999999996E-6</v>
      </c>
      <c r="I2847">
        <v>206.74260000000001</v>
      </c>
      <c r="J2847">
        <v>-252.27950000000001</v>
      </c>
      <c r="K2847">
        <v>1.110579</v>
      </c>
      <c r="L2847">
        <v>215.10239999999999</v>
      </c>
      <c r="M2847">
        <v>0.99989380000000005</v>
      </c>
      <c r="N2847">
        <v>-1.4586729999999999E-2</v>
      </c>
      <c r="O2847">
        <v>2.193211E-4</v>
      </c>
      <c r="P2847">
        <v>0.97316659999999999</v>
      </c>
      <c r="Q2847">
        <v>0.22636719999999999</v>
      </c>
      <c r="R2847">
        <v>4.129124E-2</v>
      </c>
      <c r="S2847">
        <v>3.112152</v>
      </c>
      <c r="T2847">
        <v>-5.1692960000000003E-2</v>
      </c>
      <c r="U2847">
        <v>-0.38911440000000003</v>
      </c>
      <c r="V2847">
        <v>-4.1058770000000001E-2</v>
      </c>
      <c r="W2847">
        <v>0.2405418</v>
      </c>
      <c r="X2847">
        <v>0.96977000000000002</v>
      </c>
      <c r="Y2847">
        <v>0.1242504</v>
      </c>
      <c r="Z2847">
        <v>-1.9381540000000001E-3</v>
      </c>
      <c r="AA2847">
        <v>0.99224900000000005</v>
      </c>
      <c r="AB2847">
        <v>34</v>
      </c>
      <c r="AC2847">
        <v>66.553100000000001</v>
      </c>
      <c r="AD2847">
        <v>-1.1105743255010001</v>
      </c>
      <c r="AE2847">
        <v>-8.3597999999999697</v>
      </c>
      <c r="AF2847">
        <v>8.3721027861923094</v>
      </c>
      <c r="AG2847">
        <v>-1.1105743255010001</v>
      </c>
      <c r="AH2847">
        <v>66.533025888464095</v>
      </c>
      <c r="AI2847">
        <v>90.948815742227495</v>
      </c>
      <c r="AJ2847">
        <v>82.827950822248297</v>
      </c>
      <c r="AK2847">
        <v>67.066899542695893</v>
      </c>
      <c r="AL2847">
        <v>76.081480201650294</v>
      </c>
      <c r="AM2847">
        <v>92.424379057259898</v>
      </c>
      <c r="AN2847">
        <v>1.00000001652057</v>
      </c>
    </row>
    <row r="2848" spans="1:40" x14ac:dyDescent="0.25">
      <c r="A2848" t="str">
        <f>"20190304155424075"</f>
        <v>20190304155424075</v>
      </c>
      <c r="B2848" t="str">
        <f>"1551686064069631"</f>
        <v>1551686064069631</v>
      </c>
      <c r="C2848" t="s">
        <v>40</v>
      </c>
      <c r="D2848">
        <v>4.6198379999999997</v>
      </c>
      <c r="E2848">
        <v>0.56326769999999904</v>
      </c>
      <c r="F2848" t="s">
        <v>51</v>
      </c>
      <c r="G2848">
        <v>-185.55019999999999</v>
      </c>
      <c r="H2848" s="1">
        <v>4.648636E-6</v>
      </c>
      <c r="I2848">
        <v>206.69630000000001</v>
      </c>
      <c r="J2848">
        <v>-251.93539999999999</v>
      </c>
      <c r="K2848">
        <v>1.1105769999999999</v>
      </c>
      <c r="L2848">
        <v>215.10239999999999</v>
      </c>
      <c r="M2848">
        <v>0.9998937</v>
      </c>
      <c r="N2848">
        <v>-1.4582980000000001E-2</v>
      </c>
      <c r="O2848">
        <v>2.0135079999999999E-4</v>
      </c>
      <c r="P2848">
        <v>0.97322039999999999</v>
      </c>
      <c r="Q2848">
        <v>0.22628719999999999</v>
      </c>
      <c r="R2848">
        <v>4.0449869999999999E-2</v>
      </c>
      <c r="S2848">
        <v>3.1114039999999998</v>
      </c>
      <c r="T2848">
        <v>-5.1783080000000002E-2</v>
      </c>
      <c r="U2848">
        <v>-0.39195249999999998</v>
      </c>
      <c r="V2848">
        <v>-4.0234649999999997E-2</v>
      </c>
      <c r="W2848">
        <v>0.24045900000000001</v>
      </c>
      <c r="X2848">
        <v>0.96982500000000005</v>
      </c>
      <c r="Y2848">
        <v>0.1251526</v>
      </c>
      <c r="Z2848">
        <v>-1.9540069999999998E-3</v>
      </c>
      <c r="AA2848">
        <v>0.99213560000000001</v>
      </c>
      <c r="AB2848">
        <v>34</v>
      </c>
      <c r="AC2848">
        <v>66.385199999999998</v>
      </c>
      <c r="AD2848">
        <v>-1.110572351364</v>
      </c>
      <c r="AE2848">
        <v>-8.4060999999999808</v>
      </c>
      <c r="AF2848">
        <v>8.4171494591730998</v>
      </c>
      <c r="AG2848">
        <v>-1.110572351364</v>
      </c>
      <c r="AH2848">
        <v>66.365225594122705</v>
      </c>
      <c r="AI2848">
        <v>90.951094743095695</v>
      </c>
      <c r="AJ2848">
        <v>82.771728133151399</v>
      </c>
      <c r="AK2848">
        <v>66.906090486027296</v>
      </c>
      <c r="AL2848">
        <v>76.086366719504994</v>
      </c>
      <c r="AM2848">
        <v>92.375639357110202</v>
      </c>
      <c r="AN2848">
        <v>0.99999994418330895</v>
      </c>
    </row>
    <row r="2849" spans="1:40" x14ac:dyDescent="0.25">
      <c r="A2849" t="str">
        <f>"20190304155424096"</f>
        <v>20190304155424096</v>
      </c>
      <c r="B2849" t="str">
        <f>"1551686064090127"</f>
        <v>1551686064090127</v>
      </c>
      <c r="C2849" t="s">
        <v>40</v>
      </c>
      <c r="D2849">
        <v>4.5729199999999999</v>
      </c>
      <c r="E2849">
        <v>0.56325570000000003</v>
      </c>
      <c r="F2849" t="s">
        <v>51</v>
      </c>
      <c r="G2849">
        <v>-184.32660000000001</v>
      </c>
      <c r="H2849" s="1">
        <v>4.4193729999999999E-6</v>
      </c>
      <c r="I2849">
        <v>206.53739999999999</v>
      </c>
      <c r="J2849">
        <v>-251.59610000000001</v>
      </c>
      <c r="K2849">
        <v>1.1105780000000001</v>
      </c>
      <c r="L2849">
        <v>215.10239999999999</v>
      </c>
      <c r="M2849">
        <v>0.9998937</v>
      </c>
      <c r="N2849">
        <v>-1.457927E-2</v>
      </c>
      <c r="O2849">
        <v>1.8385450000000001E-4</v>
      </c>
      <c r="P2849">
        <v>0.97332859999999999</v>
      </c>
      <c r="Q2849">
        <v>0.225989</v>
      </c>
      <c r="R2849">
        <v>3.950248E-2</v>
      </c>
      <c r="S2849">
        <v>3.1107939999999998</v>
      </c>
      <c r="T2849">
        <v>-5.10993E-2</v>
      </c>
      <c r="U2849">
        <v>-0.39408870000000001</v>
      </c>
      <c r="V2849">
        <v>-3.930488E-2</v>
      </c>
      <c r="W2849">
        <v>0.2401586</v>
      </c>
      <c r="X2849">
        <v>0.96993759999999996</v>
      </c>
      <c r="Y2849">
        <v>0.12583050000000001</v>
      </c>
      <c r="Z2849">
        <v>-1.9507039999999999E-3</v>
      </c>
      <c r="AA2849">
        <v>0.99204990000000004</v>
      </c>
      <c r="AB2849">
        <v>34</v>
      </c>
      <c r="AC2849">
        <v>67.269499999999994</v>
      </c>
      <c r="AD2849">
        <v>-1.1105735806270001</v>
      </c>
      <c r="AE2849">
        <v>-8.5649999999999906</v>
      </c>
      <c r="AF2849">
        <v>8.5750690546542092</v>
      </c>
      <c r="AG2849">
        <v>-1.1105735806270001</v>
      </c>
      <c r="AH2849">
        <v>67.249886919272797</v>
      </c>
      <c r="AI2849">
        <v>90.938506704384096</v>
      </c>
      <c r="AJ2849">
        <v>82.733397602527205</v>
      </c>
      <c r="AK2849">
        <v>67.803484229241903</v>
      </c>
      <c r="AL2849">
        <v>76.104098571774898</v>
      </c>
      <c r="AM2849">
        <v>92.3205330562065</v>
      </c>
      <c r="AN2849">
        <v>0.99999998731976703</v>
      </c>
    </row>
    <row r="2850" spans="1:40" x14ac:dyDescent="0.25">
      <c r="A2850" t="str">
        <f>"20190304155424121"</f>
        <v>20190304155424121</v>
      </c>
      <c r="B2850" t="str">
        <f>"1551686064109647"</f>
        <v>1551686064109647</v>
      </c>
      <c r="C2850" t="s">
        <v>40</v>
      </c>
      <c r="D2850">
        <v>4.4926170000000001</v>
      </c>
      <c r="E2850">
        <v>0.56348880000000001</v>
      </c>
      <c r="F2850" t="s">
        <v>51</v>
      </c>
      <c r="G2850">
        <v>-184.09030000000001</v>
      </c>
      <c r="H2850" s="1">
        <v>4.3820130000000003E-6</v>
      </c>
      <c r="I2850">
        <v>206.48070000000001</v>
      </c>
      <c r="J2850">
        <v>-251.23830000000001</v>
      </c>
      <c r="K2850">
        <v>1.110584</v>
      </c>
      <c r="L2850">
        <v>215.10249999999999</v>
      </c>
      <c r="M2850">
        <v>0.99989380000000005</v>
      </c>
      <c r="N2850">
        <v>-1.4575370000000001E-2</v>
      </c>
      <c r="O2850">
        <v>1.6463439999999901E-4</v>
      </c>
      <c r="P2850">
        <v>0.97338740000000001</v>
      </c>
      <c r="Q2850">
        <v>0.22584960000000001</v>
      </c>
      <c r="R2850">
        <v>3.8847600000000003E-2</v>
      </c>
      <c r="S2850">
        <v>3.110214</v>
      </c>
      <c r="T2850">
        <v>-5.1167850000000001E-2</v>
      </c>
      <c r="U2850">
        <v>-0.39723209999999998</v>
      </c>
      <c r="V2850">
        <v>-3.866849E-2</v>
      </c>
      <c r="W2850">
        <v>0.24001649999999999</v>
      </c>
      <c r="X2850">
        <v>0.96999840000000004</v>
      </c>
      <c r="Y2850">
        <v>0.12682069999999901</v>
      </c>
      <c r="Z2850">
        <v>-1.967351E-3</v>
      </c>
      <c r="AA2850">
        <v>0.99192369999999996</v>
      </c>
      <c r="AB2850">
        <v>34</v>
      </c>
      <c r="AC2850">
        <v>67.147999999999996</v>
      </c>
      <c r="AD2850">
        <v>-1.110579617987</v>
      </c>
      <c r="AE2850">
        <v>-8.6217999999999702</v>
      </c>
      <c r="AF2850">
        <v>8.6305333555679393</v>
      </c>
      <c r="AG2850">
        <v>-1.110579617987</v>
      </c>
      <c r="AH2850">
        <v>67.128514466357103</v>
      </c>
      <c r="AI2850">
        <v>90.9400832510415</v>
      </c>
      <c r="AJ2850">
        <v>82.673824785480505</v>
      </c>
      <c r="AK2850">
        <v>67.690153992655198</v>
      </c>
      <c r="AL2850">
        <v>76.112486276778199</v>
      </c>
      <c r="AM2850">
        <v>92.282858162997599</v>
      </c>
      <c r="AN2850">
        <v>1.00000003419684</v>
      </c>
    </row>
    <row r="2851" spans="1:40" x14ac:dyDescent="0.25">
      <c r="A2851" t="str">
        <f>"20190304155424145"</f>
        <v>20190304155424145</v>
      </c>
      <c r="B2851" t="str">
        <f>"1551686064139903"</f>
        <v>1551686064139903</v>
      </c>
      <c r="C2851" t="s">
        <v>40</v>
      </c>
      <c r="D2851">
        <v>4.394698</v>
      </c>
      <c r="E2851">
        <v>0.56398159999999997</v>
      </c>
      <c r="F2851" t="s">
        <v>51</v>
      </c>
      <c r="G2851">
        <v>-182.964</v>
      </c>
      <c r="H2851" s="1">
        <v>4.1790740000000001E-6</v>
      </c>
      <c r="I2851">
        <v>206.304</v>
      </c>
      <c r="J2851">
        <v>-250.8689</v>
      </c>
      <c r="K2851">
        <v>1.1105849999999999</v>
      </c>
      <c r="L2851">
        <v>215.10249999999999</v>
      </c>
      <c r="M2851">
        <v>0.99989380000000005</v>
      </c>
      <c r="N2851">
        <v>-1.457164E-2</v>
      </c>
      <c r="O2851">
        <v>1.4529199999999999E-4</v>
      </c>
      <c r="P2851">
        <v>0.97336730000000005</v>
      </c>
      <c r="Q2851">
        <v>0.22607720000000001</v>
      </c>
      <c r="R2851">
        <v>3.801773E-2</v>
      </c>
      <c r="S2851">
        <v>3.109772</v>
      </c>
      <c r="T2851">
        <v>-5.0584909999999997E-2</v>
      </c>
      <c r="U2851">
        <v>-0.40075680000000002</v>
      </c>
      <c r="V2851">
        <v>-3.7857340000000003E-2</v>
      </c>
      <c r="W2851">
        <v>0.24024010000000001</v>
      </c>
      <c r="X2851">
        <v>0.96997500000000003</v>
      </c>
      <c r="Y2851">
        <v>0.1279256</v>
      </c>
      <c r="Z2851">
        <v>-1.972386E-3</v>
      </c>
      <c r="AA2851">
        <v>0.99178180000000005</v>
      </c>
      <c r="AB2851">
        <v>34</v>
      </c>
      <c r="AC2851">
        <v>67.904899999999898</v>
      </c>
      <c r="AD2851">
        <v>-1.110580820926</v>
      </c>
      <c r="AE2851">
        <v>-8.79849999999999</v>
      </c>
      <c r="AF2851">
        <v>8.8060504067050296</v>
      </c>
      <c r="AG2851">
        <v>-1.110580820926</v>
      </c>
      <c r="AH2851">
        <v>67.885762248268506</v>
      </c>
      <c r="AI2851">
        <v>90.929463808617399</v>
      </c>
      <c r="AJ2851">
        <v>82.608939897433601</v>
      </c>
      <c r="AK2851">
        <v>68.463542338632195</v>
      </c>
      <c r="AL2851">
        <v>76.099288202932698</v>
      </c>
      <c r="AM2851">
        <v>92.235073530610194</v>
      </c>
      <c r="AN2851">
        <v>0.99999999223244196</v>
      </c>
    </row>
    <row r="2852" spans="1:40" x14ac:dyDescent="0.25">
      <c r="A2852" t="str">
        <f>"20190304155424169"</f>
        <v>20190304155424169</v>
      </c>
      <c r="B2852" t="str">
        <f>"1551686064159423"</f>
        <v>1551686064159423</v>
      </c>
      <c r="C2852" t="s">
        <v>40</v>
      </c>
      <c r="D2852">
        <v>4.5164150000000003</v>
      </c>
      <c r="E2852">
        <v>0.56423210000000001</v>
      </c>
      <c r="F2852" t="s">
        <v>51</v>
      </c>
      <c r="G2852">
        <v>-179.95779999999999</v>
      </c>
      <c r="H2852">
        <v>3.7167819999999997E-2</v>
      </c>
      <c r="I2852">
        <v>205.81129999999999</v>
      </c>
      <c r="J2852">
        <v>-250.52189999999999</v>
      </c>
      <c r="K2852">
        <v>1.1105860000000001</v>
      </c>
      <c r="L2852">
        <v>215.10249999999999</v>
      </c>
      <c r="M2852">
        <v>0.99989399999999995</v>
      </c>
      <c r="N2852">
        <v>-1.456789E-2</v>
      </c>
      <c r="O2852">
        <v>1.2714019999999999E-4</v>
      </c>
      <c r="P2852">
        <v>0.97331319999999999</v>
      </c>
      <c r="Q2852">
        <v>0.2264352</v>
      </c>
      <c r="R2852">
        <v>3.7266769999999998E-2</v>
      </c>
      <c r="S2852">
        <v>3.1089020000000001</v>
      </c>
      <c r="T2852">
        <v>-4.7060970000000001E-2</v>
      </c>
      <c r="U2852">
        <v>-0.40734860000000001</v>
      </c>
      <c r="V2852">
        <v>-3.7124129999999998E-2</v>
      </c>
      <c r="W2852">
        <v>0.24059369999999999</v>
      </c>
      <c r="X2852">
        <v>0.96991570000000005</v>
      </c>
      <c r="Y2852">
        <v>0.1300132</v>
      </c>
      <c r="Z2852">
        <v>-1.931061E-3</v>
      </c>
      <c r="AA2852">
        <v>0.99151040000000001</v>
      </c>
      <c r="AB2852">
        <v>34</v>
      </c>
      <c r="AC2852">
        <v>70.564099999999996</v>
      </c>
      <c r="AD2852">
        <v>-1.07341818</v>
      </c>
      <c r="AE2852">
        <v>-9.2911999999999999</v>
      </c>
      <c r="AF2852">
        <v>9.2980574717342304</v>
      </c>
      <c r="AG2852">
        <v>-1.07341818</v>
      </c>
      <c r="AH2852">
        <v>70.546871414278002</v>
      </c>
      <c r="AI2852">
        <v>90.864253542180705</v>
      </c>
      <c r="AJ2852">
        <v>82.491708988065199</v>
      </c>
      <c r="AK2852">
        <v>71.165069842441</v>
      </c>
      <c r="AL2852">
        <v>76.078416306484499</v>
      </c>
      <c r="AM2852">
        <v>92.1919617861695</v>
      </c>
      <c r="AN2852">
        <v>0.999999997307218</v>
      </c>
    </row>
    <row r="2853" spans="1:40" x14ac:dyDescent="0.25">
      <c r="A2853" t="str">
        <f>"20190304155424186"</f>
        <v>20190304155424186</v>
      </c>
      <c r="B2853" t="str">
        <f>"1551686064179920"</f>
        <v>1551686064179920</v>
      </c>
      <c r="C2853" t="s">
        <v>40</v>
      </c>
      <c r="D2853">
        <v>4.3201589999999896</v>
      </c>
      <c r="E2853">
        <v>0.56434969999999995</v>
      </c>
      <c r="F2853" t="s">
        <v>51</v>
      </c>
      <c r="G2853">
        <v>-178.09729999999999</v>
      </c>
      <c r="H2853">
        <v>8.0003969999999994E-2</v>
      </c>
      <c r="I2853">
        <v>205.5145</v>
      </c>
      <c r="J2853">
        <v>-250.2406</v>
      </c>
      <c r="K2853">
        <v>1.1105879999999999</v>
      </c>
      <c r="L2853">
        <v>215.1026</v>
      </c>
      <c r="M2853">
        <v>0.99989399999999995</v>
      </c>
      <c r="N2853">
        <v>-1.456467E-2</v>
      </c>
      <c r="O2853">
        <v>1.124413E-4</v>
      </c>
      <c r="P2853">
        <v>0.97314599999999996</v>
      </c>
      <c r="Q2853">
        <v>0.22722690000000001</v>
      </c>
      <c r="R2853">
        <v>3.6810830000000003E-2</v>
      </c>
      <c r="S2853">
        <v>3.1083069999999999</v>
      </c>
      <c r="T2853">
        <v>-4.423034E-2</v>
      </c>
      <c r="U2853">
        <v>-0.411499</v>
      </c>
      <c r="V2853">
        <v>-3.6682010000000001E-2</v>
      </c>
      <c r="W2853">
        <v>0.2413795</v>
      </c>
      <c r="X2853">
        <v>0.96973730000000002</v>
      </c>
      <c r="Y2853">
        <v>0.13132659999999999</v>
      </c>
      <c r="Z2853">
        <v>-1.890894E-3</v>
      </c>
      <c r="AA2853">
        <v>0.99133740000000004</v>
      </c>
      <c r="AB2853">
        <v>34</v>
      </c>
      <c r="AC2853">
        <v>72.143299999999996</v>
      </c>
      <c r="AD2853">
        <v>-1.03058403</v>
      </c>
      <c r="AE2853">
        <v>-9.5880999999999901</v>
      </c>
      <c r="AF2853">
        <v>9.5942887814366298</v>
      </c>
      <c r="AG2853">
        <v>-1.03058403</v>
      </c>
      <c r="AH2853">
        <v>72.127757840930201</v>
      </c>
      <c r="AI2853">
        <v>90.811457931774498</v>
      </c>
      <c r="AJ2853">
        <v>82.423110071190393</v>
      </c>
      <c r="AK2853">
        <v>72.770364378807102</v>
      </c>
      <c r="AL2853">
        <v>76.032026583061807</v>
      </c>
      <c r="AM2853">
        <v>92.166280280495698</v>
      </c>
      <c r="AN2853">
        <v>1.0000000319445801</v>
      </c>
    </row>
    <row r="2854" spans="1:40" x14ac:dyDescent="0.25">
      <c r="A2854" t="str">
        <f>"20190304155424211"</f>
        <v>20190304155424211</v>
      </c>
      <c r="B2854" t="str">
        <f>"1551686064199439"</f>
        <v>1551686064199439</v>
      </c>
      <c r="C2854" t="s">
        <v>40</v>
      </c>
      <c r="D2854">
        <v>4.2672499999999998</v>
      </c>
      <c r="E2854">
        <v>0.53522349999999996</v>
      </c>
      <c r="F2854" t="s">
        <v>44</v>
      </c>
      <c r="G2854">
        <v>-178.0574</v>
      </c>
      <c r="H2854">
        <v>0.15624089999999999</v>
      </c>
      <c r="I2854">
        <v>205.49449999999999</v>
      </c>
      <c r="J2854">
        <v>-249.886</v>
      </c>
      <c r="K2854">
        <v>1.110584</v>
      </c>
      <c r="L2854">
        <v>215.1026</v>
      </c>
      <c r="M2854">
        <v>0.99989410000000001</v>
      </c>
      <c r="N2854">
        <v>-1.456063E-2</v>
      </c>
      <c r="O2854" s="1">
        <v>9.363916E-5</v>
      </c>
      <c r="P2854">
        <v>0.97320779999999996</v>
      </c>
      <c r="Q2854">
        <v>0.2271003</v>
      </c>
      <c r="R2854">
        <v>3.5947590000000001E-2</v>
      </c>
      <c r="S2854">
        <v>3.1080169999999998</v>
      </c>
      <c r="T2854">
        <v>-4.1091679999999998E-2</v>
      </c>
      <c r="U2854">
        <v>-0.41369630000000002</v>
      </c>
      <c r="V2854">
        <v>-3.5837439999999998E-2</v>
      </c>
      <c r="W2854">
        <v>0.24124950000000001</v>
      </c>
      <c r="X2854">
        <v>0.96980120000000003</v>
      </c>
      <c r="Y2854">
        <v>0.132011299999999</v>
      </c>
      <c r="Z2854">
        <v>-1.834121E-3</v>
      </c>
      <c r="AA2854">
        <v>0.99124650000000003</v>
      </c>
      <c r="AB2854">
        <v>34</v>
      </c>
      <c r="AC2854">
        <v>71.828599999999994</v>
      </c>
      <c r="AD2854">
        <v>-0.9543431</v>
      </c>
      <c r="AE2854">
        <v>-9.6081000000000092</v>
      </c>
      <c r="AF2854">
        <v>9.6131594758876098</v>
      </c>
      <c r="AG2854">
        <v>-0.9543431</v>
      </c>
      <c r="AH2854">
        <v>71.815245322273697</v>
      </c>
      <c r="AI2854">
        <v>90.754621073015002</v>
      </c>
      <c r="AJ2854">
        <v>82.3757329257989</v>
      </c>
      <c r="AK2854">
        <v>72.462080197574494</v>
      </c>
      <c r="AL2854">
        <v>76.039701484406393</v>
      </c>
      <c r="AM2854">
        <v>92.116310208913504</v>
      </c>
      <c r="AN2854">
        <v>1.0000000054387199</v>
      </c>
    </row>
    <row r="2855" spans="1:40" x14ac:dyDescent="0.25">
      <c r="A2855" t="str">
        <f>"20190304155424232"</f>
        <v>20190304155424232</v>
      </c>
      <c r="B2855" t="str">
        <f>"1551686064219936"</f>
        <v>1551686064219936</v>
      </c>
      <c r="C2855" t="s">
        <v>40</v>
      </c>
      <c r="D2855">
        <v>4.4031820000000002</v>
      </c>
      <c r="E2855">
        <v>0.53592099999999998</v>
      </c>
      <c r="F2855" t="s">
        <v>70</v>
      </c>
      <c r="G2855">
        <v>-167.68559999999999</v>
      </c>
      <c r="H2855">
        <v>0.71849249999999998</v>
      </c>
      <c r="I2855">
        <v>210.2364</v>
      </c>
      <c r="J2855">
        <v>-249.5719</v>
      </c>
      <c r="K2855">
        <v>1.1105830000000001</v>
      </c>
      <c r="L2855">
        <v>215.1026</v>
      </c>
      <c r="M2855">
        <v>0.99989419999999996</v>
      </c>
      <c r="N2855">
        <v>-1.45571E-2</v>
      </c>
      <c r="O2855" s="1">
        <v>7.7156459999999996E-5</v>
      </c>
      <c r="P2855">
        <v>0.97327370000000002</v>
      </c>
      <c r="Q2855">
        <v>0.22695979999999999</v>
      </c>
      <c r="R2855">
        <v>3.5045850000000003E-2</v>
      </c>
      <c r="S2855">
        <v>3.0927889999999998</v>
      </c>
      <c r="T2855">
        <v>-1.4751200000000001E-2</v>
      </c>
      <c r="U2855">
        <v>-0.18309020000000001</v>
      </c>
      <c r="V2855">
        <v>-3.4952219999999999E-2</v>
      </c>
      <c r="W2855">
        <v>0.2411065</v>
      </c>
      <c r="X2855">
        <v>0.96986910000000004</v>
      </c>
      <c r="Y2855">
        <v>5.9169909999999999E-2</v>
      </c>
      <c r="Z2855">
        <v>-5.7130829999999997E-4</v>
      </c>
      <c r="AA2855">
        <v>0.99824769999999896</v>
      </c>
      <c r="AB2855">
        <v>34</v>
      </c>
      <c r="AC2855">
        <v>81.886300000000006</v>
      </c>
      <c r="AD2855">
        <v>-0.39209050000000001</v>
      </c>
      <c r="AE2855">
        <v>-4.8661999999999903</v>
      </c>
      <c r="AF2855">
        <v>4.8724073937272498</v>
      </c>
      <c r="AG2855">
        <v>-0.39209050000000001</v>
      </c>
      <c r="AH2855">
        <v>81.884053495999794</v>
      </c>
      <c r="AI2855">
        <v>90.273866440499802</v>
      </c>
      <c r="AJ2855">
        <v>86.594702110429097</v>
      </c>
      <c r="AK2855">
        <v>82.029825708131199</v>
      </c>
      <c r="AL2855">
        <v>76.048144439484602</v>
      </c>
      <c r="AM2855">
        <v>92.063936674370794</v>
      </c>
      <c r="AN2855">
        <v>1.0000000365799899</v>
      </c>
    </row>
    <row r="2856" spans="1:40" x14ac:dyDescent="0.25">
      <c r="A2856" t="str">
        <f>"20190304155424254"</f>
        <v>20190304155424254</v>
      </c>
      <c r="B2856" t="str">
        <f>"1551686064250191"</f>
        <v>1551686064250191</v>
      </c>
      <c r="C2856" t="s">
        <v>40</v>
      </c>
      <c r="D2856">
        <v>4.3680050000000001</v>
      </c>
      <c r="E2856">
        <v>0.53905119999999995</v>
      </c>
      <c r="F2856" t="s">
        <v>70</v>
      </c>
      <c r="G2856">
        <v>-169.3922</v>
      </c>
      <c r="H2856">
        <v>0.92425539999999995</v>
      </c>
      <c r="I2856">
        <v>210.14850000000001</v>
      </c>
      <c r="J2856">
        <v>-249.24180000000001</v>
      </c>
      <c r="K2856">
        <v>1.1105849999999999</v>
      </c>
      <c r="L2856">
        <v>215.1026</v>
      </c>
      <c r="M2856">
        <v>0.99989410000000001</v>
      </c>
      <c r="N2856">
        <v>-1.4553399999999999E-2</v>
      </c>
      <c r="O2856" s="1">
        <v>5.9959530000000003E-5</v>
      </c>
      <c r="P2856">
        <v>0.97334290000000001</v>
      </c>
      <c r="Q2856">
        <v>0.22675629999999999</v>
      </c>
      <c r="R2856">
        <v>3.4427659999999999E-2</v>
      </c>
      <c r="S2856">
        <v>3.0909270000000002</v>
      </c>
      <c r="T2856">
        <v>-7.181644E-3</v>
      </c>
      <c r="U2856">
        <v>-0.19097900000000001</v>
      </c>
      <c r="V2856">
        <v>-3.4350499999999999E-2</v>
      </c>
      <c r="W2856">
        <v>0.24090049999999999</v>
      </c>
      <c r="X2856">
        <v>0.96994170000000002</v>
      </c>
      <c r="Y2856">
        <v>6.1727999999999998E-2</v>
      </c>
      <c r="Z2856">
        <v>-5.2054239999999995E-4</v>
      </c>
      <c r="AA2856">
        <v>0.99809289999999995</v>
      </c>
      <c r="AB2856">
        <v>34</v>
      </c>
      <c r="AC2856">
        <v>79.849599999999995</v>
      </c>
      <c r="AD2856">
        <v>-0.18632959999999901</v>
      </c>
      <c r="AE2856">
        <v>-4.95409999999998</v>
      </c>
      <c r="AF2856">
        <v>4.9588613439244904</v>
      </c>
      <c r="AG2856">
        <v>-0.18632959999999901</v>
      </c>
      <c r="AH2856">
        <v>79.848869649275798</v>
      </c>
      <c r="AI2856">
        <v>90.133443998002406</v>
      </c>
      <c r="AJ2856">
        <v>86.446319102903999</v>
      </c>
      <c r="AK2856">
        <v>80.002918751850203</v>
      </c>
      <c r="AL2856">
        <v>76.060304669726605</v>
      </c>
      <c r="AM2856">
        <v>92.028283209554402</v>
      </c>
      <c r="AN2856">
        <v>0.99999995457469304</v>
      </c>
    </row>
    <row r="2857" spans="1:40" x14ac:dyDescent="0.25">
      <c r="A2857" t="str">
        <f>"20190304155424275"</f>
        <v>20190304155424275</v>
      </c>
      <c r="B2857" t="str">
        <f>"1551686064269711"</f>
        <v>1551686064269711</v>
      </c>
      <c r="C2857" t="s">
        <v>40</v>
      </c>
      <c r="D2857">
        <v>4.2297630000000002</v>
      </c>
      <c r="E2857">
        <v>0.54040650000000001</v>
      </c>
      <c r="F2857" t="s">
        <v>70</v>
      </c>
      <c r="G2857">
        <v>-169.39240000000001</v>
      </c>
      <c r="H2857">
        <v>0.8604889</v>
      </c>
      <c r="I2857">
        <v>209.4545</v>
      </c>
      <c r="J2857">
        <v>-248.91200000000001</v>
      </c>
      <c r="K2857">
        <v>1.110584</v>
      </c>
      <c r="L2857">
        <v>215.1026</v>
      </c>
      <c r="M2857">
        <v>0.99989430000000001</v>
      </c>
      <c r="N2857">
        <v>-1.454972E-2</v>
      </c>
      <c r="O2857" s="1">
        <v>4.2286619999999997E-5</v>
      </c>
      <c r="P2857">
        <v>0.97356980000000004</v>
      </c>
      <c r="Q2857">
        <v>0.2258957</v>
      </c>
      <c r="R2857">
        <v>3.3666769999999999E-2</v>
      </c>
      <c r="S2857">
        <v>3.0921479999999999</v>
      </c>
      <c r="T2857">
        <v>-9.6834899999999995E-3</v>
      </c>
      <c r="U2857">
        <v>-0.21871950000000001</v>
      </c>
      <c r="V2857">
        <v>-3.3606770000000001E-2</v>
      </c>
      <c r="W2857">
        <v>0.24003959999999999</v>
      </c>
      <c r="X2857">
        <v>0.97018119999999997</v>
      </c>
      <c r="Y2857">
        <v>7.0597770000000004E-2</v>
      </c>
      <c r="Z2857">
        <v>-6.2418689999999997E-4</v>
      </c>
      <c r="AA2857">
        <v>0.99750470000000002</v>
      </c>
      <c r="AB2857">
        <v>34</v>
      </c>
      <c r="AC2857">
        <v>79.519599999999997</v>
      </c>
      <c r="AD2857">
        <v>-0.25009509999999902</v>
      </c>
      <c r="AE2857">
        <v>-5.6481000000000003</v>
      </c>
      <c r="AF2857">
        <v>5.6514073452462501</v>
      </c>
      <c r="AG2857">
        <v>-0.25009509999999902</v>
      </c>
      <c r="AH2857">
        <v>79.518578455080103</v>
      </c>
      <c r="AI2857">
        <v>90.179747863200305</v>
      </c>
      <c r="AJ2857">
        <v>85.934808328342697</v>
      </c>
      <c r="AK2857">
        <v>79.719541343748801</v>
      </c>
      <c r="AL2857">
        <v>76.111122298950093</v>
      </c>
      <c r="AM2857">
        <v>91.983914434613396</v>
      </c>
      <c r="AN2857">
        <v>0.99999999269571604</v>
      </c>
    </row>
    <row r="2858" spans="1:40" x14ac:dyDescent="0.25">
      <c r="A2858" t="str">
        <f>"20190304155424298"</f>
        <v>20190304155424298</v>
      </c>
      <c r="B2858" t="str">
        <f>"1551686064290208"</f>
        <v>1551686064290208</v>
      </c>
      <c r="C2858" t="s">
        <v>40</v>
      </c>
      <c r="D2858">
        <v>4.2635750000000003</v>
      </c>
      <c r="E2858">
        <v>0.54179370000000004</v>
      </c>
      <c r="F2858" t="s">
        <v>70</v>
      </c>
      <c r="G2858">
        <v>-169.39259999999999</v>
      </c>
      <c r="H2858">
        <v>0.92428779999999999</v>
      </c>
      <c r="I2858">
        <v>209.13929999999999</v>
      </c>
      <c r="J2858">
        <v>-248.57149999999999</v>
      </c>
      <c r="K2858">
        <v>1.110579</v>
      </c>
      <c r="L2858">
        <v>215.1026</v>
      </c>
      <c r="M2858">
        <v>0.99989430000000001</v>
      </c>
      <c r="N2858">
        <v>-1.454591E-2</v>
      </c>
      <c r="O2858" s="1">
        <v>2.461126E-5</v>
      </c>
      <c r="P2858">
        <v>0.97373779999999999</v>
      </c>
      <c r="Q2858">
        <v>0.2253386</v>
      </c>
      <c r="R2858">
        <v>3.251337E-2</v>
      </c>
      <c r="S2858">
        <v>3.0911710000000001</v>
      </c>
      <c r="T2858">
        <v>-7.2406529999999997E-3</v>
      </c>
      <c r="U2858">
        <v>-0.2318115</v>
      </c>
      <c r="V2858">
        <v>-3.2470539999999999E-2</v>
      </c>
      <c r="W2858">
        <v>0.23948130000000001</v>
      </c>
      <c r="X2858">
        <v>0.97035780000000005</v>
      </c>
      <c r="Y2858">
        <v>7.4804570000000001E-2</v>
      </c>
      <c r="Z2858">
        <v>-6.3203409999999999E-4</v>
      </c>
      <c r="AA2858">
        <v>0.99719800000000003</v>
      </c>
      <c r="AB2858">
        <v>34</v>
      </c>
      <c r="AC2858">
        <v>79.178899999999999</v>
      </c>
      <c r="AD2858">
        <v>-0.18629119999999899</v>
      </c>
      <c r="AE2858">
        <v>-5.9633000000000003</v>
      </c>
      <c r="AF2858">
        <v>5.9652160618032202</v>
      </c>
      <c r="AG2858">
        <v>-0.18629119999999899</v>
      </c>
      <c r="AH2858">
        <v>79.178317367740704</v>
      </c>
      <c r="AI2858">
        <v>90.134424636814202</v>
      </c>
      <c r="AJ2858">
        <v>85.691531953166205</v>
      </c>
      <c r="AK2858">
        <v>79.402924683300398</v>
      </c>
      <c r="AL2858">
        <v>76.144070915039805</v>
      </c>
      <c r="AM2858">
        <v>91.916541478227501</v>
      </c>
      <c r="AN2858">
        <v>0.99999994451920904</v>
      </c>
    </row>
    <row r="2859" spans="1:40" x14ac:dyDescent="0.25">
      <c r="A2859" t="str">
        <f>"20190304155424322"</f>
        <v>20190304155424322</v>
      </c>
      <c r="B2859" t="str">
        <f>"1551686064309728"</f>
        <v>1551686064309728</v>
      </c>
      <c r="C2859" t="s">
        <v>40</v>
      </c>
      <c r="D2859">
        <v>4.3575309999999998</v>
      </c>
      <c r="E2859">
        <v>0.54271639999999999</v>
      </c>
      <c r="F2859" t="s">
        <v>70</v>
      </c>
      <c r="G2859">
        <v>-169.39269999999999</v>
      </c>
      <c r="H2859">
        <v>1.0304530000000001</v>
      </c>
      <c r="I2859">
        <v>208.7893</v>
      </c>
      <c r="J2859">
        <v>-248.22829999999999</v>
      </c>
      <c r="K2859">
        <v>1.110579</v>
      </c>
      <c r="L2859">
        <v>215.1026</v>
      </c>
      <c r="M2859">
        <v>0.99989430000000001</v>
      </c>
      <c r="N2859">
        <v>-1.454226E-2</v>
      </c>
      <c r="O2859" s="1">
        <v>6.5806229999999997E-6</v>
      </c>
      <c r="P2859">
        <v>0.97385129999999998</v>
      </c>
      <c r="Q2859">
        <v>0.2249872</v>
      </c>
      <c r="R2859">
        <v>3.1535420000000002E-2</v>
      </c>
      <c r="S2859">
        <v>3.0898590000000001</v>
      </c>
      <c r="T2859">
        <v>-3.1254289999999999E-3</v>
      </c>
      <c r="U2859">
        <v>-0.24636839999999999</v>
      </c>
      <c r="V2859">
        <v>-3.1510459999999997E-2</v>
      </c>
      <c r="W2859">
        <v>0.23912810000000001</v>
      </c>
      <c r="X2859">
        <v>0.97047660000000002</v>
      </c>
      <c r="Y2859">
        <v>7.9488169999999997E-2</v>
      </c>
      <c r="Z2859">
        <v>-6.1896650000000004E-4</v>
      </c>
      <c r="AA2859">
        <v>0.99683560000000004</v>
      </c>
      <c r="AB2859">
        <v>33</v>
      </c>
      <c r="AC2859">
        <v>78.835599999999999</v>
      </c>
      <c r="AD2859">
        <v>-8.0125999999999906E-2</v>
      </c>
      <c r="AE2859">
        <v>-6.3132999999999901</v>
      </c>
      <c r="AF2859">
        <v>6.3138123614324799</v>
      </c>
      <c r="AG2859">
        <v>-8.0125999999999906E-2</v>
      </c>
      <c r="AH2859">
        <v>78.835477529996794</v>
      </c>
      <c r="AI2859">
        <v>90.058047814627997</v>
      </c>
      <c r="AJ2859">
        <v>85.421042353113904</v>
      </c>
      <c r="AK2859">
        <v>79.087945757200501</v>
      </c>
      <c r="AL2859">
        <v>76.164914074664907</v>
      </c>
      <c r="AM2859">
        <v>91.859686593525396</v>
      </c>
      <c r="AN2859">
        <v>0.99999999422329</v>
      </c>
    </row>
    <row r="2860" spans="1:40" x14ac:dyDescent="0.25">
      <c r="A2860" t="str">
        <f>"20190304155424349"</f>
        <v>20190304155424349</v>
      </c>
      <c r="B2860" t="str">
        <f>"1551686064339983"</f>
        <v>1551686064339983</v>
      </c>
      <c r="C2860" t="s">
        <v>40</v>
      </c>
      <c r="D2860">
        <v>4.2540389999999997</v>
      </c>
      <c r="E2860">
        <v>0.54469109999999998</v>
      </c>
      <c r="F2860" t="s">
        <v>70</v>
      </c>
      <c r="G2860">
        <v>-169.3929</v>
      </c>
      <c r="H2860">
        <v>1.2912920000000001</v>
      </c>
      <c r="I2860">
        <v>208.54089999999999</v>
      </c>
      <c r="J2860">
        <v>-247.81569999999999</v>
      </c>
      <c r="K2860">
        <v>1.110574</v>
      </c>
      <c r="L2860">
        <v>215.10249999999999</v>
      </c>
      <c r="M2860">
        <v>0.99989450000000002</v>
      </c>
      <c r="N2860">
        <v>-1.4537929999999999E-2</v>
      </c>
      <c r="O2860" s="1">
        <v>-1.5261639999999999E-5</v>
      </c>
      <c r="P2860">
        <v>0.97398499999999999</v>
      </c>
      <c r="Q2860">
        <v>0.22455639999999999</v>
      </c>
      <c r="R2860">
        <v>3.0466460000000001E-2</v>
      </c>
      <c r="S2860">
        <v>3.08725</v>
      </c>
      <c r="T2860">
        <v>7.0781709999999899E-3</v>
      </c>
      <c r="U2860">
        <v>-0.25695800000000002</v>
      </c>
      <c r="V2860">
        <v>-3.0462860000000001E-2</v>
      </c>
      <c r="W2860">
        <v>0.23869470000000001</v>
      </c>
      <c r="X2860">
        <v>0.97061679999999995</v>
      </c>
      <c r="Y2860">
        <v>8.2931149999999995E-2</v>
      </c>
      <c r="Z2860">
        <v>-5.0924360000000003E-4</v>
      </c>
      <c r="AA2860">
        <v>0.99655510000000003</v>
      </c>
      <c r="AB2860">
        <v>33</v>
      </c>
      <c r="AC2860">
        <v>78.422799999999995</v>
      </c>
      <c r="AD2860">
        <v>0.18071799999999999</v>
      </c>
      <c r="AE2860">
        <v>-6.5615999999999897</v>
      </c>
      <c r="AF2860">
        <v>6.5603684171492196</v>
      </c>
      <c r="AG2860">
        <v>0.18071799999999999</v>
      </c>
      <c r="AH2860">
        <v>78.422486591263393</v>
      </c>
      <c r="AI2860">
        <v>89.868426519417994</v>
      </c>
      <c r="AJ2860">
        <v>85.218102699733706</v>
      </c>
      <c r="AK2860">
        <v>78.696616800985396</v>
      </c>
      <c r="AL2860">
        <v>76.190487524425706</v>
      </c>
      <c r="AM2860">
        <v>91.797641010341394</v>
      </c>
      <c r="AN2860">
        <v>1.0000000590448499</v>
      </c>
    </row>
    <row r="2861" spans="1:40" x14ac:dyDescent="0.25">
      <c r="A2861" t="str">
        <f>"20190304155424373"</f>
        <v>20190304155424373</v>
      </c>
      <c r="B2861" t="str">
        <f>"1551686064359504"</f>
        <v>1551686064359504</v>
      </c>
      <c r="C2861" t="s">
        <v>40</v>
      </c>
      <c r="D2861">
        <v>4.369923</v>
      </c>
      <c r="E2861">
        <v>0.54578070000000001</v>
      </c>
      <c r="F2861" t="s">
        <v>70</v>
      </c>
      <c r="G2861">
        <v>-168.41050000000001</v>
      </c>
      <c r="H2861">
        <v>1.591982</v>
      </c>
      <c r="I2861">
        <v>208.00149999999999</v>
      </c>
      <c r="J2861">
        <v>-247.4787</v>
      </c>
      <c r="K2861">
        <v>1.1105769999999999</v>
      </c>
      <c r="L2861">
        <v>215.10249999999999</v>
      </c>
      <c r="M2861">
        <v>0.99989450000000002</v>
      </c>
      <c r="N2861">
        <v>-1.453424E-2</v>
      </c>
      <c r="O2861" s="1">
        <v>-3.29357599999999E-5</v>
      </c>
      <c r="P2861">
        <v>0.97405509999999995</v>
      </c>
      <c r="Q2861">
        <v>0.22434470000000001</v>
      </c>
      <c r="R2861">
        <v>2.9772280000000002E-2</v>
      </c>
      <c r="S2861">
        <v>3.0844420000000001</v>
      </c>
      <c r="T2861">
        <v>1.8701430000000002E-2</v>
      </c>
      <c r="U2861">
        <v>-0.275833099999999</v>
      </c>
      <c r="V2861">
        <v>-2.9785499999999999E-2</v>
      </c>
      <c r="W2861">
        <v>0.23848069999999999</v>
      </c>
      <c r="X2861">
        <v>0.97069039999999995</v>
      </c>
      <c r="Y2861">
        <v>8.9041270000000006E-2</v>
      </c>
      <c r="Z2861">
        <v>-3.7966969999999998E-4</v>
      </c>
      <c r="AA2861">
        <v>0.99602789999999997</v>
      </c>
      <c r="AB2861">
        <v>33</v>
      </c>
      <c r="AC2861">
        <v>79.068199999999905</v>
      </c>
      <c r="AD2861">
        <v>0.48140499999999897</v>
      </c>
      <c r="AE2861">
        <v>-7.1009999999999902</v>
      </c>
      <c r="AF2861">
        <v>7.0981345306344901</v>
      </c>
      <c r="AG2861">
        <v>0.48140499999999897</v>
      </c>
      <c r="AH2861">
        <v>79.065526384399604</v>
      </c>
      <c r="AI2861">
        <v>89.652545747614894</v>
      </c>
      <c r="AJ2861">
        <v>84.870004329458197</v>
      </c>
      <c r="AK2861">
        <v>79.384965371480803</v>
      </c>
      <c r="AL2861">
        <v>76.203113127369704</v>
      </c>
      <c r="AM2861">
        <v>91.757561551836304</v>
      </c>
      <c r="AN2861">
        <v>1.00000003646744</v>
      </c>
    </row>
    <row r="2862" spans="1:40" x14ac:dyDescent="0.25">
      <c r="A2862" t="str">
        <f>"20190304155424388"</f>
        <v>20190304155424388</v>
      </c>
      <c r="B2862" t="str">
        <f>"1551686064380000"</f>
        <v>1551686064380000</v>
      </c>
      <c r="C2862" t="s">
        <v>40</v>
      </c>
      <c r="D2862">
        <v>4.2384599999999999</v>
      </c>
      <c r="E2862">
        <v>0.54600439999999995</v>
      </c>
      <c r="F2862" t="s">
        <v>70</v>
      </c>
      <c r="G2862">
        <v>-168.41059999999999</v>
      </c>
      <c r="H2862">
        <v>1.6611899999999999</v>
      </c>
      <c r="I2862">
        <v>207.7467</v>
      </c>
      <c r="J2862">
        <v>-247.2277</v>
      </c>
      <c r="K2862">
        <v>1.1105769999999999</v>
      </c>
      <c r="L2862">
        <v>215.10249999999999</v>
      </c>
      <c r="M2862">
        <v>0.99989450000000002</v>
      </c>
      <c r="N2862">
        <v>-1.4531489999999999E-2</v>
      </c>
      <c r="O2862" s="1">
        <v>-4.6264519999999999E-5</v>
      </c>
      <c r="P2862">
        <v>0.97421860000000005</v>
      </c>
      <c r="Q2862">
        <v>0.22365289999999999</v>
      </c>
      <c r="R2862">
        <v>2.9625080000000002E-2</v>
      </c>
      <c r="S2862">
        <v>3.0837249999999998</v>
      </c>
      <c r="T2862">
        <v>2.1475790000000002E-2</v>
      </c>
      <c r="U2862">
        <v>-0.28688049999999998</v>
      </c>
      <c r="V2862">
        <v>-2.9651819999999999E-2</v>
      </c>
      <c r="W2862">
        <v>0.23778840000000001</v>
      </c>
      <c r="X2862">
        <v>0.97086430000000001</v>
      </c>
      <c r="Y2862">
        <v>9.2586909999999994E-2</v>
      </c>
      <c r="Z2862">
        <v>-3.53481E-4</v>
      </c>
      <c r="AA2862">
        <v>0.99570449999999999</v>
      </c>
      <c r="AB2862">
        <v>33</v>
      </c>
      <c r="AC2862">
        <v>78.817099999999996</v>
      </c>
      <c r="AD2862">
        <v>0.55061300000000002</v>
      </c>
      <c r="AE2862">
        <v>-7.3557999999999799</v>
      </c>
      <c r="AF2862">
        <v>7.3517974758950002</v>
      </c>
      <c r="AG2862">
        <v>0.55061300000000002</v>
      </c>
      <c r="AH2862">
        <v>78.813627086778794</v>
      </c>
      <c r="AI2862">
        <v>89.601453056786795</v>
      </c>
      <c r="AJ2862">
        <v>84.670825589108901</v>
      </c>
      <c r="AK2862">
        <v>79.157690184695099</v>
      </c>
      <c r="AL2862">
        <v>76.243953682458596</v>
      </c>
      <c r="AM2862">
        <v>91.749365166381097</v>
      </c>
      <c r="AN2862">
        <v>1.00000002130918</v>
      </c>
    </row>
    <row r="2863" spans="1:40" x14ac:dyDescent="0.25">
      <c r="A2863" t="str">
        <f>"20190304155424410"</f>
        <v>20190304155424410</v>
      </c>
      <c r="B2863" t="str">
        <f>"1551686064399520"</f>
        <v>1551686064399520</v>
      </c>
      <c r="C2863" t="s">
        <v>40</v>
      </c>
      <c r="D2863">
        <v>4.2311180000000004</v>
      </c>
      <c r="E2863">
        <v>0.54651240000000001</v>
      </c>
      <c r="F2863" t="s">
        <v>70</v>
      </c>
      <c r="G2863">
        <v>-168.41059999999999</v>
      </c>
      <c r="H2863">
        <v>1.64682</v>
      </c>
      <c r="I2863">
        <v>207.70099999999999</v>
      </c>
      <c r="J2863">
        <v>-246.90219999999999</v>
      </c>
      <c r="K2863">
        <v>1.1105830000000001</v>
      </c>
      <c r="L2863">
        <v>215.10239999999999</v>
      </c>
      <c r="M2863">
        <v>0.99989459999999997</v>
      </c>
      <c r="N2863">
        <v>-1.4527969999999999E-2</v>
      </c>
      <c r="O2863" s="1">
        <v>-6.3463240000000002E-5</v>
      </c>
      <c r="P2863">
        <v>0.97421610000000003</v>
      </c>
      <c r="Q2863">
        <v>0.22367960000000001</v>
      </c>
      <c r="R2863">
        <v>2.9503499999999998E-2</v>
      </c>
      <c r="S2863">
        <v>3.0833740000000001</v>
      </c>
      <c r="T2863">
        <v>2.0979399999999999E-2</v>
      </c>
      <c r="U2863">
        <v>-0.2895508</v>
      </c>
      <c r="V2863">
        <v>-2.9546559999999999E-2</v>
      </c>
      <c r="W2863">
        <v>0.23781150000000001</v>
      </c>
      <c r="X2863">
        <v>0.9708618</v>
      </c>
      <c r="Y2863">
        <v>9.3435030000000002E-2</v>
      </c>
      <c r="Z2863">
        <v>-3.6441149999999999E-4</v>
      </c>
      <c r="AA2863">
        <v>0.99562530000000005</v>
      </c>
      <c r="AB2863">
        <v>33</v>
      </c>
      <c r="AC2863">
        <v>78.491600000000005</v>
      </c>
      <c r="AD2863">
        <v>0.53623699999999996</v>
      </c>
      <c r="AE2863">
        <v>-7.40139999999999</v>
      </c>
      <c r="AF2863">
        <v>7.3960759728649501</v>
      </c>
      <c r="AG2863">
        <v>0.53623699999999996</v>
      </c>
      <c r="AH2863">
        <v>78.488438590588501</v>
      </c>
      <c r="AI2863">
        <v>89.610284785666593</v>
      </c>
      <c r="AJ2863">
        <v>84.616833926880005</v>
      </c>
      <c r="AK2863">
        <v>78.8379634586354</v>
      </c>
      <c r="AL2863">
        <v>76.242590366417602</v>
      </c>
      <c r="AM2863">
        <v>91.743163477795406</v>
      </c>
      <c r="AN2863">
        <v>0.99999997171966104</v>
      </c>
    </row>
    <row r="2864" spans="1:40" x14ac:dyDescent="0.25">
      <c r="A2864" t="str">
        <f>"20190304155424432"</f>
        <v>20190304155424432</v>
      </c>
      <c r="B2864" t="str">
        <f>"1551686064420016"</f>
        <v>1551686064420016</v>
      </c>
      <c r="C2864" t="s">
        <v>40</v>
      </c>
      <c r="D2864">
        <v>4.2296370000000003</v>
      </c>
      <c r="E2864">
        <v>0.54657880000000003</v>
      </c>
      <c r="F2864" t="s">
        <v>70</v>
      </c>
      <c r="G2864">
        <v>-168.41059999999999</v>
      </c>
      <c r="H2864">
        <v>1.6411610000000001</v>
      </c>
      <c r="I2864">
        <v>207.62270000000001</v>
      </c>
      <c r="J2864">
        <v>-246.57759999999999</v>
      </c>
      <c r="K2864">
        <v>1.1105830000000001</v>
      </c>
      <c r="L2864">
        <v>215.10239999999999</v>
      </c>
      <c r="M2864">
        <v>0.99989459999999997</v>
      </c>
      <c r="N2864">
        <v>-1.4524479999999999E-2</v>
      </c>
      <c r="O2864" s="1">
        <v>-8.0365849999999999E-5</v>
      </c>
      <c r="P2864">
        <v>0.97411899999999996</v>
      </c>
      <c r="Q2864">
        <v>0.2241534</v>
      </c>
      <c r="R2864">
        <v>2.91095E-2</v>
      </c>
      <c r="S2864">
        <v>3.0835270000000001</v>
      </c>
      <c r="T2864">
        <v>2.0845059999999999E-2</v>
      </c>
      <c r="U2864">
        <v>-0.2938385</v>
      </c>
      <c r="V2864">
        <v>-2.9169509999999999E-2</v>
      </c>
      <c r="W2864">
        <v>0.2382803</v>
      </c>
      <c r="X2864">
        <v>0.97075829999999996</v>
      </c>
      <c r="Y2864">
        <v>9.4785739999999993E-2</v>
      </c>
      <c r="Z2864">
        <v>-3.7199150000000002E-4</v>
      </c>
      <c r="AA2864">
        <v>0.99549759999999998</v>
      </c>
      <c r="AB2864">
        <v>33</v>
      </c>
      <c r="AC2864">
        <v>78.167000000000002</v>
      </c>
      <c r="AD2864">
        <v>0.53057799999999999</v>
      </c>
      <c r="AE2864">
        <v>-7.4796999999999798</v>
      </c>
      <c r="AF2864">
        <v>7.4730761692185999</v>
      </c>
      <c r="AG2864">
        <v>0.53057799999999999</v>
      </c>
      <c r="AH2864">
        <v>78.164032305059493</v>
      </c>
      <c r="AI2864">
        <v>89.612847186569297</v>
      </c>
      <c r="AJ2864">
        <v>84.538687479251394</v>
      </c>
      <c r="AK2864">
        <v>78.522253703210893</v>
      </c>
      <c r="AL2864">
        <v>76.214935793215901</v>
      </c>
      <c r="AM2864">
        <v>91.721115428462994</v>
      </c>
      <c r="AN2864">
        <v>1.0000000193503</v>
      </c>
    </row>
    <row r="2865" spans="1:40" x14ac:dyDescent="0.25">
      <c r="A2865" t="str">
        <f>"20190304155424454"</f>
        <v>20190304155424454</v>
      </c>
      <c r="B2865" t="str">
        <f>"1551686064449295"</f>
        <v>1551686064449295</v>
      </c>
      <c r="C2865" t="s">
        <v>40</v>
      </c>
      <c r="D2865">
        <v>4.2175529999999997</v>
      </c>
      <c r="E2865">
        <v>0.54667140000000003</v>
      </c>
      <c r="F2865" t="s">
        <v>70</v>
      </c>
      <c r="G2865">
        <v>-168.41069999999999</v>
      </c>
      <c r="H2865">
        <v>1.7128300000000001</v>
      </c>
      <c r="I2865">
        <v>207.6223</v>
      </c>
      <c r="J2865">
        <v>-246.25630000000001</v>
      </c>
      <c r="K2865">
        <v>1.110584</v>
      </c>
      <c r="L2865">
        <v>215.10239999999999</v>
      </c>
      <c r="M2865">
        <v>0.99989459999999997</v>
      </c>
      <c r="N2865">
        <v>-1.4521040000000001E-2</v>
      </c>
      <c r="O2865" s="1">
        <v>-9.7267050000000006E-5</v>
      </c>
      <c r="P2865">
        <v>0.97401420000000005</v>
      </c>
      <c r="Q2865">
        <v>0.22464919999999999</v>
      </c>
      <c r="R2865">
        <v>2.8797409999999999E-2</v>
      </c>
      <c r="S2865">
        <v>3.0830229999999998</v>
      </c>
      <c r="T2865">
        <v>2.3754839999999999E-2</v>
      </c>
      <c r="U2865">
        <v>-0.29502869999999998</v>
      </c>
      <c r="V2865">
        <v>-2.8873380000000001E-2</v>
      </c>
      <c r="W2865">
        <v>0.23877109999999999</v>
      </c>
      <c r="X2865">
        <v>0.97064649999999997</v>
      </c>
      <c r="Y2865">
        <v>9.5165130000000001E-2</v>
      </c>
      <c r="Z2865">
        <v>-3.2892210000000003E-4</v>
      </c>
      <c r="AA2865">
        <v>0.9954615</v>
      </c>
      <c r="AB2865">
        <v>33</v>
      </c>
      <c r="AC2865">
        <v>77.845600000000005</v>
      </c>
      <c r="AD2865">
        <v>0.60224599999999895</v>
      </c>
      <c r="AE2865">
        <v>-7.4800999999999904</v>
      </c>
      <c r="AF2865">
        <v>7.4720842258115798</v>
      </c>
      <c r="AG2865">
        <v>0.60224599999999895</v>
      </c>
      <c r="AH2865">
        <v>77.841710905706506</v>
      </c>
      <c r="AI2865">
        <v>89.558750814989807</v>
      </c>
      <c r="AJ2865">
        <v>84.5169346914969</v>
      </c>
      <c r="AK2865">
        <v>78.201833096480101</v>
      </c>
      <c r="AL2865">
        <v>76.185978520202397</v>
      </c>
      <c r="AM2865">
        <v>91.703849060212505</v>
      </c>
      <c r="AN2865">
        <v>0.99999996911504097</v>
      </c>
    </row>
    <row r="2866" spans="1:40" x14ac:dyDescent="0.25">
      <c r="A2866" t="str">
        <f>"20190304155424478"</f>
        <v>20190304155424478</v>
      </c>
      <c r="B2866" t="str">
        <f>"1551686064469791"</f>
        <v>1551686064469791</v>
      </c>
      <c r="C2866" t="s">
        <v>40</v>
      </c>
      <c r="D2866">
        <v>4.2142400000000002</v>
      </c>
      <c r="E2866">
        <v>0.54682649999999999</v>
      </c>
      <c r="F2866" t="s">
        <v>70</v>
      </c>
      <c r="G2866">
        <v>-168.41069999999999</v>
      </c>
      <c r="H2866">
        <v>1.811237</v>
      </c>
      <c r="I2866">
        <v>207.61330000000001</v>
      </c>
      <c r="J2866">
        <v>-245.90190000000001</v>
      </c>
      <c r="K2866">
        <v>1.1105849999999999</v>
      </c>
      <c r="L2866">
        <v>215.10230000000001</v>
      </c>
      <c r="M2866">
        <v>0.99989470000000003</v>
      </c>
      <c r="N2866">
        <v>-1.4517270000000001E-2</v>
      </c>
      <c r="O2866">
        <v>-1.160732E-4</v>
      </c>
      <c r="P2866">
        <v>0.97407469999999996</v>
      </c>
      <c r="Q2866">
        <v>0.22437280000000001</v>
      </c>
      <c r="R2866">
        <v>2.8911619999999999E-2</v>
      </c>
      <c r="S2866">
        <v>3.0823969999999998</v>
      </c>
      <c r="T2866">
        <v>2.7744649999999999E-2</v>
      </c>
      <c r="U2866">
        <v>-0.29653930000000001</v>
      </c>
      <c r="V2866">
        <v>-2.900641E-2</v>
      </c>
      <c r="W2866">
        <v>0.23849229999999999</v>
      </c>
      <c r="X2866">
        <v>0.97071110000000005</v>
      </c>
      <c r="Y2866">
        <v>9.5648830000000004E-2</v>
      </c>
      <c r="Z2866">
        <v>-2.6916340000000003E-4</v>
      </c>
      <c r="AA2866">
        <v>0.9954151</v>
      </c>
      <c r="AB2866">
        <v>33</v>
      </c>
      <c r="AC2866">
        <v>77.491200000000006</v>
      </c>
      <c r="AD2866">
        <v>0.70065200000000005</v>
      </c>
      <c r="AE2866">
        <v>-7.4889999999999999</v>
      </c>
      <c r="AF2866">
        <v>7.47939855092143</v>
      </c>
      <c r="AG2866">
        <v>0.70065200000000005</v>
      </c>
      <c r="AH2866">
        <v>77.485792817645702</v>
      </c>
      <c r="AI2866">
        <v>89.484323505282603</v>
      </c>
      <c r="AJ2866">
        <v>84.486545084278006</v>
      </c>
      <c r="AK2866">
        <v>77.849087370936701</v>
      </c>
      <c r="AL2866">
        <v>76.202428156161005</v>
      </c>
      <c r="AM2866">
        <v>91.711580799489795</v>
      </c>
      <c r="AN2866">
        <v>0.99999999432179398</v>
      </c>
    </row>
    <row r="2867" spans="1:40" x14ac:dyDescent="0.25">
      <c r="A2867" t="str">
        <f>"20190304155424500"</f>
        <v>20190304155424500</v>
      </c>
      <c r="B2867" t="str">
        <f>"1551686064490288"</f>
        <v>1551686064490288</v>
      </c>
      <c r="C2867" t="s">
        <v>40</v>
      </c>
      <c r="D2867">
        <v>4.4731290000000001</v>
      </c>
      <c r="E2867">
        <v>0.54672410000000005</v>
      </c>
      <c r="F2867" t="s">
        <v>70</v>
      </c>
      <c r="G2867">
        <v>-168.41069999999999</v>
      </c>
      <c r="H2867">
        <v>1.840576</v>
      </c>
      <c r="I2867">
        <v>207.61600000000001</v>
      </c>
      <c r="J2867">
        <v>-245.58099999999999</v>
      </c>
      <c r="K2867">
        <v>1.110584</v>
      </c>
      <c r="L2867">
        <v>215.10220000000001</v>
      </c>
      <c r="M2867">
        <v>0.99989470000000003</v>
      </c>
      <c r="N2867">
        <v>-1.451386E-2</v>
      </c>
      <c r="O2867">
        <v>-1.3309500000000001E-4</v>
      </c>
      <c r="P2867">
        <v>0.97412379999999998</v>
      </c>
      <c r="Q2867">
        <v>0.2241359</v>
      </c>
      <c r="R2867">
        <v>2.9088510000000001E-2</v>
      </c>
      <c r="S2867">
        <v>3.082001</v>
      </c>
      <c r="T2867">
        <v>2.9034730000000002E-2</v>
      </c>
      <c r="U2867">
        <v>-0.29774479999999998</v>
      </c>
      <c r="V2867">
        <v>-2.9199340000000001E-2</v>
      </c>
      <c r="W2867">
        <v>0.23825289999999999</v>
      </c>
      <c r="X2867">
        <v>0.97076410000000002</v>
      </c>
      <c r="Y2867">
        <v>9.6029809999999993E-2</v>
      </c>
      <c r="Z2867">
        <v>-2.504308E-4</v>
      </c>
      <c r="AA2867">
        <v>0.9953784</v>
      </c>
      <c r="AB2867">
        <v>33</v>
      </c>
      <c r="AC2867">
        <v>77.170299999999997</v>
      </c>
      <c r="AD2867">
        <v>0.72999199999999898</v>
      </c>
      <c r="AE2867">
        <v>-7.4862000000000197</v>
      </c>
      <c r="AF2867">
        <v>7.4752652053007598</v>
      </c>
      <c r="AG2867">
        <v>0.72999199999999898</v>
      </c>
      <c r="AH2867">
        <v>77.164455338592603</v>
      </c>
      <c r="AI2867">
        <v>89.460511424022599</v>
      </c>
      <c r="AJ2867">
        <v>84.466768167653896</v>
      </c>
      <c r="AK2867">
        <v>77.529127725721906</v>
      </c>
      <c r="AL2867">
        <v>76.216551865105799</v>
      </c>
      <c r="AM2867">
        <v>91.722864167738194</v>
      </c>
      <c r="AN2867">
        <v>0.99999999183182697</v>
      </c>
    </row>
    <row r="2868" spans="1:40" x14ac:dyDescent="0.25">
      <c r="A2868" t="str">
        <f>"20190304155424522"</f>
        <v>20190304155424522</v>
      </c>
      <c r="B2868" t="str">
        <f>"1551686064509808"</f>
        <v>1551686064509808</v>
      </c>
      <c r="C2868" t="s">
        <v>40</v>
      </c>
      <c r="D2868">
        <v>4.2397470000000004</v>
      </c>
      <c r="E2868">
        <v>0.54684359999999999</v>
      </c>
      <c r="F2868" t="s">
        <v>70</v>
      </c>
      <c r="G2868">
        <v>-168.41069999999999</v>
      </c>
      <c r="H2868">
        <v>1.8559570000000001</v>
      </c>
      <c r="I2868">
        <v>207.6833</v>
      </c>
      <c r="J2868">
        <v>-245.2552</v>
      </c>
      <c r="K2868">
        <v>1.1105799999999999</v>
      </c>
      <c r="L2868">
        <v>215.10220000000001</v>
      </c>
      <c r="M2868">
        <v>0.99989479999999997</v>
      </c>
      <c r="N2868">
        <v>-1.4510399999999901E-2</v>
      </c>
      <c r="O2868">
        <v>-1.504748E-4</v>
      </c>
      <c r="P2868">
        <v>0.97431420000000002</v>
      </c>
      <c r="Q2868">
        <v>0.22330610000000001</v>
      </c>
      <c r="R2868">
        <v>2.9097899999999999E-2</v>
      </c>
      <c r="S2868">
        <v>3.08168</v>
      </c>
      <c r="T2868">
        <v>2.976668E-2</v>
      </c>
      <c r="U2868">
        <v>-0.29626459999999999</v>
      </c>
      <c r="V2868">
        <v>-2.9226289999999999E-2</v>
      </c>
      <c r="W2868">
        <v>0.23742250000000001</v>
      </c>
      <c r="X2868">
        <v>0.97096680000000002</v>
      </c>
      <c r="Y2868">
        <v>9.5548649999999999E-2</v>
      </c>
      <c r="Z2868">
        <v>-2.3808419999999999E-4</v>
      </c>
      <c r="AA2868">
        <v>0.99542470000000005</v>
      </c>
      <c r="AB2868">
        <v>33</v>
      </c>
      <c r="AC2868">
        <v>76.844499999999996</v>
      </c>
      <c r="AD2868">
        <v>0.74537699999999996</v>
      </c>
      <c r="AE2868">
        <v>-7.4188999999999998</v>
      </c>
      <c r="AF2868">
        <v>7.4066451102850701</v>
      </c>
      <c r="AG2868">
        <v>0.74537699999999996</v>
      </c>
      <c r="AH2868">
        <v>76.838452920903293</v>
      </c>
      <c r="AI2868">
        <v>89.446779578238093</v>
      </c>
      <c r="AJ2868">
        <v>84.4941311933827</v>
      </c>
      <c r="AK2868">
        <v>77.1981983335085</v>
      </c>
      <c r="AL2868">
        <v>76.265537021646495</v>
      </c>
      <c r="AM2868">
        <v>91.724093571917805</v>
      </c>
      <c r="AN2868">
        <v>1.00000007311782</v>
      </c>
    </row>
    <row r="2869" spans="1:40" x14ac:dyDescent="0.25">
      <c r="A2869" t="str">
        <f>"20190304155424553"</f>
        <v>20190304155424553</v>
      </c>
      <c r="B2869" t="str">
        <f>"1551686064540064"</f>
        <v>1551686064540064</v>
      </c>
      <c r="C2869" t="s">
        <v>40</v>
      </c>
      <c r="D2869">
        <v>4.2201430000000002</v>
      </c>
      <c r="E2869">
        <v>0.54690810000000001</v>
      </c>
      <c r="F2869" t="s">
        <v>70</v>
      </c>
      <c r="G2869">
        <v>-168.41069999999999</v>
      </c>
      <c r="H2869">
        <v>1.832403</v>
      </c>
      <c r="I2869">
        <v>207.68180000000001</v>
      </c>
      <c r="J2869">
        <v>-244.79329999999999</v>
      </c>
      <c r="K2869">
        <v>1.1105780000000001</v>
      </c>
      <c r="L2869">
        <v>215.10210000000001</v>
      </c>
      <c r="M2869">
        <v>0.99989490000000003</v>
      </c>
      <c r="N2869">
        <v>-1.4505489999999999E-2</v>
      </c>
      <c r="O2869">
        <v>-1.7499549999999901E-4</v>
      </c>
      <c r="P2869">
        <v>0.97443469999999999</v>
      </c>
      <c r="Q2869">
        <v>0.22272939999999999</v>
      </c>
      <c r="R2869">
        <v>2.9476329999999999E-2</v>
      </c>
      <c r="S2869">
        <v>3.0813449999999998</v>
      </c>
      <c r="T2869">
        <v>2.8945329999999998E-2</v>
      </c>
      <c r="U2869">
        <v>-0.29754639999999999</v>
      </c>
      <c r="V2869">
        <v>-2.9628310000000001E-2</v>
      </c>
      <c r="W2869">
        <v>0.2368429</v>
      </c>
      <c r="X2869">
        <v>0.97109610000000002</v>
      </c>
      <c r="Y2869">
        <v>9.59449E-2</v>
      </c>
      <c r="Z2869">
        <v>-2.520941E-4</v>
      </c>
      <c r="AA2869">
        <v>0.99538660000000001</v>
      </c>
      <c r="AB2869">
        <v>33</v>
      </c>
      <c r="AC2869">
        <v>76.382599999999996</v>
      </c>
      <c r="AD2869">
        <v>0.72182499999999905</v>
      </c>
      <c r="AE2869">
        <v>-7.4202999999999903</v>
      </c>
      <c r="AF2869">
        <v>7.40627663772164</v>
      </c>
      <c r="AG2869">
        <v>0.72182499999999905</v>
      </c>
      <c r="AH2869">
        <v>76.377140407485498</v>
      </c>
      <c r="AI2869">
        <v>89.461053045449205</v>
      </c>
      <c r="AJ2869">
        <v>84.461356167267397</v>
      </c>
      <c r="AK2869">
        <v>76.738787726871394</v>
      </c>
      <c r="AL2869">
        <v>76.299719862831907</v>
      </c>
      <c r="AM2869">
        <v>91.747562027622095</v>
      </c>
      <c r="AN2869">
        <v>1.0000000157345299</v>
      </c>
    </row>
    <row r="2870" spans="1:40" x14ac:dyDescent="0.25">
      <c r="A2870" t="str">
        <f>"20190304155424589"</f>
        <v>20190304155424589</v>
      </c>
      <c r="B2870" t="str">
        <f>"1551686064580079"</f>
        <v>1551686064580079</v>
      </c>
      <c r="C2870" t="s">
        <v>40</v>
      </c>
      <c r="D2870">
        <v>4.2318730000000002</v>
      </c>
      <c r="E2870">
        <v>0.54713990000000001</v>
      </c>
      <c r="F2870" t="s">
        <v>70</v>
      </c>
      <c r="G2870">
        <v>-168.41069999999999</v>
      </c>
      <c r="H2870">
        <v>1.813723</v>
      </c>
      <c r="I2870">
        <v>207.73660000000001</v>
      </c>
      <c r="J2870">
        <v>-244.26730000000001</v>
      </c>
      <c r="K2870">
        <v>1.1105700000000001</v>
      </c>
      <c r="L2870">
        <v>215.102</v>
      </c>
      <c r="M2870">
        <v>0.99989490000000003</v>
      </c>
      <c r="N2870">
        <v>-1.449989E-2</v>
      </c>
      <c r="O2870">
        <v>-2.0261049999999999E-4</v>
      </c>
      <c r="P2870">
        <v>0.97468619999999995</v>
      </c>
      <c r="Q2870">
        <v>0.22158439999999999</v>
      </c>
      <c r="R2870">
        <v>2.9786389999999999E-2</v>
      </c>
      <c r="S2870">
        <v>3.081223</v>
      </c>
      <c r="T2870">
        <v>2.8365850000000001E-2</v>
      </c>
      <c r="U2870">
        <v>-0.29711910000000002</v>
      </c>
      <c r="V2870">
        <v>-2.9965680000000001E-2</v>
      </c>
      <c r="W2870">
        <v>0.23569619999999999</v>
      </c>
      <c r="X2870">
        <v>0.97136469999999997</v>
      </c>
      <c r="Y2870">
        <v>9.5784449999999993E-2</v>
      </c>
      <c r="Z2870">
        <v>-2.6099069999999997E-4</v>
      </c>
      <c r="AA2870">
        <v>0.99540200000000001</v>
      </c>
      <c r="AB2870">
        <v>33</v>
      </c>
      <c r="AC2870">
        <v>75.8566</v>
      </c>
      <c r="AD2870">
        <v>0.70315299999999903</v>
      </c>
      <c r="AE2870">
        <v>-7.3653999999999904</v>
      </c>
      <c r="AF2870">
        <v>7.3494032999859904</v>
      </c>
      <c r="AG2870">
        <v>0.70315299999999903</v>
      </c>
      <c r="AH2870">
        <v>75.851634325272897</v>
      </c>
      <c r="AI2870">
        <v>89.471352569911204</v>
      </c>
      <c r="AJ2870">
        <v>84.465782656360105</v>
      </c>
      <c r="AK2870">
        <v>76.2100950191126</v>
      </c>
      <c r="AL2870">
        <v>76.367335222769796</v>
      </c>
      <c r="AM2870">
        <v>91.766960097984295</v>
      </c>
      <c r="AN2870">
        <v>1.00000001053919</v>
      </c>
    </row>
    <row r="2871" spans="1:40" x14ac:dyDescent="0.25">
      <c r="A2871" t="str">
        <f>"20190304155424611"</f>
        <v>20190304155424611</v>
      </c>
      <c r="B2871" t="str">
        <f>"1551686064599599"</f>
        <v>1551686064599599</v>
      </c>
      <c r="C2871" t="s">
        <v>40</v>
      </c>
      <c r="D2871">
        <v>4.2312250000000002</v>
      </c>
      <c r="E2871">
        <v>0.54733869999999996</v>
      </c>
      <c r="F2871" t="s">
        <v>70</v>
      </c>
      <c r="G2871">
        <v>-168.41069999999999</v>
      </c>
      <c r="H2871">
        <v>1.7995190000000001</v>
      </c>
      <c r="I2871">
        <v>207.76150000000001</v>
      </c>
      <c r="J2871">
        <v>-243.93559999999999</v>
      </c>
      <c r="K2871">
        <v>1.1105750000000001</v>
      </c>
      <c r="L2871">
        <v>215.1019</v>
      </c>
      <c r="M2871">
        <v>0.99989499999999998</v>
      </c>
      <c r="N2871">
        <v>-1.449633E-2</v>
      </c>
      <c r="O2871">
        <v>-2.2034640000000001E-4</v>
      </c>
      <c r="P2871">
        <v>0.97481079999999998</v>
      </c>
      <c r="Q2871">
        <v>0.22106020000000001</v>
      </c>
      <c r="R2871">
        <v>2.9606469999999999E-2</v>
      </c>
      <c r="S2871">
        <v>3.080673</v>
      </c>
      <c r="T2871">
        <v>2.7980689999999999E-2</v>
      </c>
      <c r="U2871">
        <v>-0.29811100000000001</v>
      </c>
      <c r="V2871">
        <v>-2.9802840000000001E-2</v>
      </c>
      <c r="W2871">
        <v>0.2351702</v>
      </c>
      <c r="X2871">
        <v>0.97149719999999995</v>
      </c>
      <c r="Y2871">
        <v>9.6101300000000001E-2</v>
      </c>
      <c r="Z2871">
        <v>-2.6799110000000001E-4</v>
      </c>
      <c r="AA2871">
        <v>0.99537149999999996</v>
      </c>
      <c r="AB2871">
        <v>33</v>
      </c>
      <c r="AC2871">
        <v>75.524900000000002</v>
      </c>
      <c r="AD2871">
        <v>0.688943999999999</v>
      </c>
      <c r="AE2871">
        <v>-7.3403999999999803</v>
      </c>
      <c r="AF2871">
        <v>7.3231527608539198</v>
      </c>
      <c r="AG2871">
        <v>0.688943999999999</v>
      </c>
      <c r="AH2871">
        <v>75.520290356352803</v>
      </c>
      <c r="AI2871">
        <v>89.479766084581897</v>
      </c>
      <c r="AJ2871">
        <v>84.461382693167494</v>
      </c>
      <c r="AK2871">
        <v>75.877647997956402</v>
      </c>
      <c r="AL2871">
        <v>76.398344599867002</v>
      </c>
      <c r="AM2871">
        <v>91.757124559173704</v>
      </c>
      <c r="AN2871">
        <v>1.0000000209239699</v>
      </c>
    </row>
    <row r="2872" spans="1:40" x14ac:dyDescent="0.25">
      <c r="A2872" t="str">
        <f>"20190304155424635"</f>
        <v>20190304155424635</v>
      </c>
      <c r="B2872" t="str">
        <f>"1551686064629856"</f>
        <v>1551686064629856</v>
      </c>
      <c r="C2872" t="s">
        <v>40</v>
      </c>
      <c r="D2872">
        <v>4.2233510000000001</v>
      </c>
      <c r="E2872">
        <v>0.54765620000000004</v>
      </c>
      <c r="F2872" t="s">
        <v>70</v>
      </c>
      <c r="G2872">
        <v>-168.41069999999999</v>
      </c>
      <c r="H2872">
        <v>1.790913</v>
      </c>
      <c r="I2872">
        <v>207.74359999999999</v>
      </c>
      <c r="J2872">
        <v>-243.58709999999999</v>
      </c>
      <c r="K2872">
        <v>1.1105750000000001</v>
      </c>
      <c r="L2872">
        <v>215.1018</v>
      </c>
      <c r="M2872">
        <v>0.99989499999999998</v>
      </c>
      <c r="N2872">
        <v>-1.449259E-2</v>
      </c>
      <c r="O2872">
        <v>-2.384396E-4</v>
      </c>
      <c r="P2872">
        <v>0.97489060000000005</v>
      </c>
      <c r="Q2872">
        <v>0.22075310000000001</v>
      </c>
      <c r="R2872">
        <v>2.926631E-2</v>
      </c>
      <c r="S2872">
        <v>3.0803219999999998</v>
      </c>
      <c r="T2872">
        <v>2.7749300000000001E-2</v>
      </c>
      <c r="U2872">
        <v>-0.30010989999999999</v>
      </c>
      <c r="V2872">
        <v>-2.9480369999999999E-2</v>
      </c>
      <c r="W2872">
        <v>0.2348606</v>
      </c>
      <c r="X2872">
        <v>0.9715819</v>
      </c>
      <c r="Y2872">
        <v>9.6734050000000002E-2</v>
      </c>
      <c r="Z2872">
        <v>-2.735573E-4</v>
      </c>
      <c r="AA2872">
        <v>0.99531020000000003</v>
      </c>
      <c r="AB2872">
        <v>33</v>
      </c>
      <c r="AC2872">
        <v>75.176400000000001</v>
      </c>
      <c r="AD2872">
        <v>0.680338</v>
      </c>
      <c r="AE2872">
        <v>-7.3582000000000098</v>
      </c>
      <c r="AF2872">
        <v>7.3396774594748102</v>
      </c>
      <c r="AG2872">
        <v>0.680338</v>
      </c>
      <c r="AH2872">
        <v>75.172054328961394</v>
      </c>
      <c r="AI2872">
        <v>89.483917796963595</v>
      </c>
      <c r="AJ2872">
        <v>84.423409209067998</v>
      </c>
      <c r="AK2872">
        <v>75.532585531277107</v>
      </c>
      <c r="AL2872">
        <v>76.416594109317998</v>
      </c>
      <c r="AM2872">
        <v>91.737972572239698</v>
      </c>
      <c r="AN2872">
        <v>0.99999999102765302</v>
      </c>
    </row>
    <row r="2873" spans="1:40" x14ac:dyDescent="0.25">
      <c r="A2873" t="str">
        <f>"20190304155424657"</f>
        <v>20190304155424657</v>
      </c>
      <c r="B2873" t="str">
        <f>"1551686064649376"</f>
        <v>1551686064649376</v>
      </c>
      <c r="C2873" t="s">
        <v>40</v>
      </c>
      <c r="D2873">
        <v>4.2539309999999997</v>
      </c>
      <c r="E2873">
        <v>0.54787629999999998</v>
      </c>
      <c r="F2873" t="s">
        <v>70</v>
      </c>
      <c r="G2873">
        <v>-168.41069999999999</v>
      </c>
      <c r="H2873">
        <v>1.7756000000000001</v>
      </c>
      <c r="I2873">
        <v>207.679</v>
      </c>
      <c r="J2873">
        <v>-243.2663</v>
      </c>
      <c r="K2873">
        <v>1.1105769999999999</v>
      </c>
      <c r="L2873">
        <v>215.10169999999999</v>
      </c>
      <c r="M2873">
        <v>0.99989499999999998</v>
      </c>
      <c r="N2873">
        <v>-1.4489129999999999E-2</v>
      </c>
      <c r="O2873">
        <v>-2.55698E-4</v>
      </c>
      <c r="P2873">
        <v>0.97492219999999996</v>
      </c>
      <c r="Q2873">
        <v>0.22067000000000001</v>
      </c>
      <c r="R2873">
        <v>2.8835570000000001E-2</v>
      </c>
      <c r="S2873">
        <v>3.0802459999999998</v>
      </c>
      <c r="T2873">
        <v>2.7249929999999999E-2</v>
      </c>
      <c r="U2873">
        <v>-0.30413820000000003</v>
      </c>
      <c r="V2873">
        <v>-2.9066809999999998E-2</v>
      </c>
      <c r="W2873">
        <v>0.23477490000000001</v>
      </c>
      <c r="X2873">
        <v>0.97161509999999995</v>
      </c>
      <c r="Y2873">
        <v>9.8008490000000004E-2</v>
      </c>
      <c r="Z2873">
        <v>-2.8526689999999998E-4</v>
      </c>
      <c r="AA2873">
        <v>0.9951856</v>
      </c>
      <c r="AB2873">
        <v>33</v>
      </c>
      <c r="AC2873">
        <v>74.855599999999995</v>
      </c>
      <c r="AD2873">
        <v>0.66502299999999903</v>
      </c>
      <c r="AE2873">
        <v>-7.4226999999999901</v>
      </c>
      <c r="AF2873">
        <v>7.4029787162829601</v>
      </c>
      <c r="AG2873">
        <v>0.66502299999999903</v>
      </c>
      <c r="AH2873">
        <v>74.851645441381393</v>
      </c>
      <c r="AI2873">
        <v>89.493437656787705</v>
      </c>
      <c r="AJ2873">
        <v>84.351700527805093</v>
      </c>
      <c r="AK2873">
        <v>75.219779145824006</v>
      </c>
      <c r="AL2873">
        <v>76.421645971226795</v>
      </c>
      <c r="AM2873">
        <v>91.713547861453904</v>
      </c>
      <c r="AN2873">
        <v>1.00000001783079</v>
      </c>
    </row>
    <row r="2874" spans="1:40" x14ac:dyDescent="0.25">
      <c r="A2874" t="str">
        <f>"20190304155424677"</f>
        <v>20190304155424677</v>
      </c>
      <c r="B2874" t="str">
        <f>"1551686064669872"</f>
        <v>1551686064669872</v>
      </c>
      <c r="C2874" t="s">
        <v>40</v>
      </c>
      <c r="D2874">
        <v>4.2538669999999996</v>
      </c>
      <c r="E2874">
        <v>0.54812939999999999</v>
      </c>
      <c r="F2874" t="s">
        <v>70</v>
      </c>
      <c r="G2874">
        <v>-168.41069999999999</v>
      </c>
      <c r="H2874">
        <v>1.806705</v>
      </c>
      <c r="I2874">
        <v>207.6353</v>
      </c>
      <c r="J2874">
        <v>-242.9607</v>
      </c>
      <c r="K2874">
        <v>1.110571</v>
      </c>
      <c r="L2874">
        <v>215.10159999999999</v>
      </c>
      <c r="M2874">
        <v>0.99989519999999998</v>
      </c>
      <c r="N2874">
        <v>-1.448581E-2</v>
      </c>
      <c r="O2874">
        <v>-2.7200409999999999E-4</v>
      </c>
      <c r="P2874">
        <v>0.97490189999999999</v>
      </c>
      <c r="Q2874">
        <v>0.2208051</v>
      </c>
      <c r="R2874">
        <v>2.849403E-2</v>
      </c>
      <c r="S2874">
        <v>3.0797729999999999</v>
      </c>
      <c r="T2874">
        <v>2.864206E-2</v>
      </c>
      <c r="U2874">
        <v>-0.30718990000000002</v>
      </c>
      <c r="V2874">
        <v>-2.8741099999999999E-2</v>
      </c>
      <c r="W2874">
        <v>0.234906</v>
      </c>
      <c r="X2874">
        <v>0.97159309999999999</v>
      </c>
      <c r="Y2874">
        <v>9.8983619999999994E-2</v>
      </c>
      <c r="Z2874">
        <v>-2.6605859999999999E-4</v>
      </c>
      <c r="AA2874">
        <v>0.99508909999999995</v>
      </c>
      <c r="AB2874">
        <v>33</v>
      </c>
      <c r="AC2874">
        <v>74.55</v>
      </c>
      <c r="AD2874">
        <v>0.69613400000000003</v>
      </c>
      <c r="AE2874">
        <v>-7.4662999999999897</v>
      </c>
      <c r="AF2874">
        <v>7.4453769426276004</v>
      </c>
      <c r="AG2874">
        <v>0.69613400000000003</v>
      </c>
      <c r="AH2874">
        <v>74.545592882955702</v>
      </c>
      <c r="AI2874">
        <v>89.467615243092496</v>
      </c>
      <c r="AJ2874">
        <v>84.296394626316896</v>
      </c>
      <c r="AK2874">
        <v>74.919714752761493</v>
      </c>
      <c r="AL2874">
        <v>76.413918356550198</v>
      </c>
      <c r="AM2874">
        <v>91.6943961904459</v>
      </c>
      <c r="AN2874">
        <v>1.0000000158164</v>
      </c>
    </row>
    <row r="2875" spans="1:40" x14ac:dyDescent="0.25">
      <c r="A2875" t="str">
        <f>"20190304155424705"</f>
        <v>20190304155424705</v>
      </c>
      <c r="B2875" t="str">
        <f>"1551686064700127"</f>
        <v>1551686064700127</v>
      </c>
      <c r="C2875" t="s">
        <v>40</v>
      </c>
      <c r="D2875">
        <v>4.369014</v>
      </c>
      <c r="E2875">
        <v>0.54802220000000001</v>
      </c>
      <c r="F2875" t="s">
        <v>70</v>
      </c>
      <c r="G2875">
        <v>-168.41069999999999</v>
      </c>
      <c r="H2875">
        <v>1.847507</v>
      </c>
      <c r="I2875">
        <v>207.5986</v>
      </c>
      <c r="J2875">
        <v>-242.56819999999999</v>
      </c>
      <c r="K2875">
        <v>1.1105750000000001</v>
      </c>
      <c r="L2875">
        <v>215.10149999999999</v>
      </c>
      <c r="M2875">
        <v>0.99989519999999998</v>
      </c>
      <c r="N2875">
        <v>-1.4481549999999999E-2</v>
      </c>
      <c r="O2875">
        <v>-2.9283389999999997E-4</v>
      </c>
      <c r="P2875">
        <v>0.97494910000000001</v>
      </c>
      <c r="Q2875">
        <v>0.2207036</v>
      </c>
      <c r="R2875">
        <v>2.7650689999999999E-2</v>
      </c>
      <c r="S2875">
        <v>3.0794069999999998</v>
      </c>
      <c r="T2875">
        <v>3.0441759999999998E-2</v>
      </c>
      <c r="U2875">
        <v>-0.30992130000000001</v>
      </c>
      <c r="V2875">
        <v>-2.7918080000000001E-2</v>
      </c>
      <c r="W2875">
        <v>0.23480129999999999</v>
      </c>
      <c r="X2875">
        <v>0.97164240000000002</v>
      </c>
      <c r="Y2875">
        <v>9.9848290000000006E-2</v>
      </c>
      <c r="Z2875">
        <v>-2.396733E-4</v>
      </c>
      <c r="AA2875">
        <v>0.99500259999999996</v>
      </c>
      <c r="AB2875">
        <v>33</v>
      </c>
      <c r="AC2875">
        <v>74.157499999999999</v>
      </c>
      <c r="AD2875">
        <v>0.73693199999999903</v>
      </c>
      <c r="AE2875">
        <v>-7.5028999999999799</v>
      </c>
      <c r="AF2875">
        <v>7.4804503509322098</v>
      </c>
      <c r="AG2875">
        <v>0.73693199999999903</v>
      </c>
      <c r="AH2875">
        <v>74.152445670375101</v>
      </c>
      <c r="AI2875">
        <v>89.433484555650693</v>
      </c>
      <c r="AJ2875">
        <v>84.239527145585299</v>
      </c>
      <c r="AK2875">
        <v>74.532445318286193</v>
      </c>
      <c r="AL2875">
        <v>76.420089777578994</v>
      </c>
      <c r="AM2875">
        <v>91.645819675047903</v>
      </c>
      <c r="AN2875">
        <v>1.0000000115751599</v>
      </c>
    </row>
    <row r="2876" spans="1:40" x14ac:dyDescent="0.25">
      <c r="A2876" t="str">
        <f>"20190304155424727"</f>
        <v>20190304155424727</v>
      </c>
      <c r="B2876" t="str">
        <f>"1551686064719648"</f>
        <v>1551686064719648</v>
      </c>
      <c r="C2876" t="s">
        <v>40</v>
      </c>
      <c r="D2876">
        <v>4.4992039999999998</v>
      </c>
      <c r="E2876">
        <v>0.56624699999999994</v>
      </c>
      <c r="F2876" t="s">
        <v>70</v>
      </c>
      <c r="G2876">
        <v>-168.41069999999999</v>
      </c>
      <c r="H2876">
        <v>1.837091</v>
      </c>
      <c r="I2876">
        <v>207.6053</v>
      </c>
      <c r="J2876">
        <v>-242.2439</v>
      </c>
      <c r="K2876">
        <v>1.110573</v>
      </c>
      <c r="L2876">
        <v>215.10130000000001</v>
      </c>
      <c r="M2876">
        <v>0.99989530000000004</v>
      </c>
      <c r="N2876">
        <v>-1.4478049999999999E-2</v>
      </c>
      <c r="O2876">
        <v>-3.1009210000000002E-4</v>
      </c>
      <c r="P2876">
        <v>0.97513910000000004</v>
      </c>
      <c r="Q2876">
        <v>0.21995700000000001</v>
      </c>
      <c r="R2876">
        <v>2.6892599999999999E-2</v>
      </c>
      <c r="S2876">
        <v>3.0791019999999998</v>
      </c>
      <c r="T2876">
        <v>3.0167099999999999E-2</v>
      </c>
      <c r="U2876">
        <v>-0.31124879999999999</v>
      </c>
      <c r="V2876">
        <v>-2.717671E-2</v>
      </c>
      <c r="W2876">
        <v>0.23405400000000001</v>
      </c>
      <c r="X2876">
        <v>0.97184369999999998</v>
      </c>
      <c r="Y2876">
        <v>0.1002656</v>
      </c>
      <c r="Z2876">
        <v>-2.4529830000000002E-4</v>
      </c>
      <c r="AA2876">
        <v>0.99496070000000003</v>
      </c>
      <c r="AB2876">
        <v>33</v>
      </c>
      <c r="AC2876">
        <v>73.833200000000005</v>
      </c>
      <c r="AD2876">
        <v>0.726518</v>
      </c>
      <c r="AE2876">
        <v>-7.4960000000000004</v>
      </c>
      <c r="AF2876">
        <v>7.4723860159405602</v>
      </c>
      <c r="AG2876">
        <v>0.726518</v>
      </c>
      <c r="AH2876">
        <v>73.828445604645495</v>
      </c>
      <c r="AI2876">
        <v>89.439057607585994</v>
      </c>
      <c r="AJ2876">
        <v>84.220613058199504</v>
      </c>
      <c r="AK2876">
        <v>74.209189199004499</v>
      </c>
      <c r="AL2876">
        <v>76.464134294982301</v>
      </c>
      <c r="AM2876">
        <v>91.601806023913198</v>
      </c>
      <c r="AN2876">
        <v>1.00000001285605</v>
      </c>
    </row>
    <row r="2877" spans="1:40" x14ac:dyDescent="0.25">
      <c r="A2877" t="str">
        <f>"20190304155424751"</f>
        <v>20190304155424751</v>
      </c>
      <c r="B2877" t="str">
        <f>"1551686064740144"</f>
        <v>1551686064740144</v>
      </c>
      <c r="C2877" t="s">
        <v>40</v>
      </c>
      <c r="D2877">
        <v>4.5667949999999999</v>
      </c>
      <c r="E2877">
        <v>0.56874690000000006</v>
      </c>
      <c r="F2877" t="s">
        <v>44</v>
      </c>
      <c r="G2877">
        <v>-177.715</v>
      </c>
      <c r="H2877">
        <v>0.78018639999999995</v>
      </c>
      <c r="I2877">
        <v>205.4984</v>
      </c>
      <c r="J2877">
        <v>-241.88480000000001</v>
      </c>
      <c r="K2877">
        <v>1.1105640000000001</v>
      </c>
      <c r="L2877">
        <v>215.10120000000001</v>
      </c>
      <c r="M2877">
        <v>0.99989510000000004</v>
      </c>
      <c r="N2877">
        <v>-1.447416E-2</v>
      </c>
      <c r="O2877">
        <v>-3.2889710000000001E-4</v>
      </c>
      <c r="P2877">
        <v>0.97530099999999997</v>
      </c>
      <c r="Q2877">
        <v>0.2193119</v>
      </c>
      <c r="R2877">
        <v>2.62762E-2</v>
      </c>
      <c r="S2877">
        <v>3.092743</v>
      </c>
      <c r="T2877">
        <v>-1.5834810000000001E-2</v>
      </c>
      <c r="U2877">
        <v>-0.46025090000000002</v>
      </c>
      <c r="V2877">
        <v>-2.6578979999999999E-2</v>
      </c>
      <c r="W2877">
        <v>0.2334078</v>
      </c>
      <c r="X2877">
        <v>0.97201559999999998</v>
      </c>
      <c r="Y2877">
        <v>0.14686270000000001</v>
      </c>
      <c r="Z2877">
        <v>-1.4457269999999999E-3</v>
      </c>
      <c r="AA2877">
        <v>0.98915580000000003</v>
      </c>
      <c r="AB2877">
        <v>33</v>
      </c>
      <c r="AC2877">
        <v>64.169799999999995</v>
      </c>
      <c r="AD2877">
        <v>-0.33037759999999899</v>
      </c>
      <c r="AE2877">
        <v>-9.6028000000000002</v>
      </c>
      <c r="AF2877">
        <v>9.5814435944390706</v>
      </c>
      <c r="AG2877">
        <v>-0.33037759999999899</v>
      </c>
      <c r="AH2877">
        <v>64.171291465098705</v>
      </c>
      <c r="AI2877">
        <v>90.291743286453695</v>
      </c>
      <c r="AJ2877">
        <v>81.507877930604394</v>
      </c>
      <c r="AK2877">
        <v>64.883494503692205</v>
      </c>
      <c r="AL2877">
        <v>76.502213189920695</v>
      </c>
      <c r="AM2877">
        <v>91.566316422504102</v>
      </c>
      <c r="AN2877">
        <v>0.99999998496102005</v>
      </c>
    </row>
    <row r="2878" spans="1:40" x14ac:dyDescent="0.25">
      <c r="A2878" t="str">
        <f>"20190304155424790"</f>
        <v>20190304155424790</v>
      </c>
      <c r="B2878" t="str">
        <f>"1551686064780160"</f>
        <v>1551686064780160</v>
      </c>
      <c r="C2878" t="s">
        <v>40</v>
      </c>
      <c r="D2878">
        <v>4.5012019999999904</v>
      </c>
      <c r="E2878">
        <v>0.57179749999999996</v>
      </c>
      <c r="F2878" t="s">
        <v>70</v>
      </c>
      <c r="G2878">
        <v>-168.41159999999999</v>
      </c>
      <c r="H2878">
        <v>0.53153609999999996</v>
      </c>
      <c r="I2878">
        <v>203.64789999999999</v>
      </c>
      <c r="J2878">
        <v>-241.3263</v>
      </c>
      <c r="K2878">
        <v>1.110562</v>
      </c>
      <c r="L2878">
        <v>215.101</v>
      </c>
      <c r="M2878">
        <v>0.99989550000000005</v>
      </c>
      <c r="N2878">
        <v>-1.4468089999999999E-2</v>
      </c>
      <c r="O2878">
        <v>-3.5889E-4</v>
      </c>
      <c r="P2878">
        <v>0.97561140000000002</v>
      </c>
      <c r="Q2878">
        <v>0.21798809999999999</v>
      </c>
      <c r="R2878">
        <v>2.5764550000000001E-2</v>
      </c>
      <c r="S2878">
        <v>3.0944370000000001</v>
      </c>
      <c r="T2878">
        <v>-2.4385210000000001E-2</v>
      </c>
      <c r="U2878">
        <v>-0.48237609999999997</v>
      </c>
      <c r="V2878">
        <v>-2.6096649999999999E-2</v>
      </c>
      <c r="W2878">
        <v>0.23208239999999999</v>
      </c>
      <c r="X2878">
        <v>0.97234600000000004</v>
      </c>
      <c r="Y2878">
        <v>0.15365670000000001</v>
      </c>
      <c r="Z2878">
        <v>-1.72248E-3</v>
      </c>
      <c r="AA2878">
        <v>0.98812279999999997</v>
      </c>
      <c r="AB2878">
        <v>33</v>
      </c>
      <c r="AC2878">
        <v>72.914699999999996</v>
      </c>
      <c r="AD2878">
        <v>-0.57902589999999998</v>
      </c>
      <c r="AE2878">
        <v>-11.453099999999999</v>
      </c>
      <c r="AF2878">
        <v>11.426224965002801</v>
      </c>
      <c r="AG2878">
        <v>-0.57902589999999998</v>
      </c>
      <c r="AH2878">
        <v>72.914318749195999</v>
      </c>
      <c r="AI2878">
        <v>90.449501114307694</v>
      </c>
      <c r="AJ2878">
        <v>81.093751183533101</v>
      </c>
      <c r="AK2878">
        <v>73.806448001533596</v>
      </c>
      <c r="AL2878">
        <v>76.580297727427094</v>
      </c>
      <c r="AM2878">
        <v>91.537383856523903</v>
      </c>
      <c r="AN2878">
        <v>1.00000000962349</v>
      </c>
    </row>
    <row r="2879" spans="1:40" x14ac:dyDescent="0.25">
      <c r="A2879" t="str">
        <f>"20190304155424812"</f>
        <v>20190304155424812</v>
      </c>
      <c r="B2879" t="str">
        <f>"1551686064799680"</f>
        <v>1551686064799680</v>
      </c>
      <c r="C2879" t="s">
        <v>40</v>
      </c>
      <c r="D2879">
        <v>4.5107689999999998</v>
      </c>
      <c r="E2879">
        <v>0.57191809999999998</v>
      </c>
      <c r="F2879" t="s">
        <v>70</v>
      </c>
      <c r="G2879">
        <v>-168.4119</v>
      </c>
      <c r="H2879">
        <v>0.78026580000000001</v>
      </c>
      <c r="I2879">
        <v>203.09899999999999</v>
      </c>
      <c r="J2879">
        <v>-241.0172</v>
      </c>
      <c r="K2879">
        <v>1.110554</v>
      </c>
      <c r="L2879">
        <v>215.1009</v>
      </c>
      <c r="M2879">
        <v>0.99989539999999999</v>
      </c>
      <c r="N2879">
        <v>-1.4464879999999999E-2</v>
      </c>
      <c r="O2879">
        <v>-3.748391E-4</v>
      </c>
      <c r="P2879">
        <v>0.97580210000000001</v>
      </c>
      <c r="Q2879">
        <v>0.21716460000000001</v>
      </c>
      <c r="R2879">
        <v>2.5493080000000001E-2</v>
      </c>
      <c r="S2879">
        <v>3.0915530000000002</v>
      </c>
      <c r="T2879">
        <v>-1.400304E-2</v>
      </c>
      <c r="U2879">
        <v>-0.50888059999999902</v>
      </c>
      <c r="V2879">
        <v>-2.584082E-2</v>
      </c>
      <c r="W2879">
        <v>0.23125850000000001</v>
      </c>
      <c r="X2879">
        <v>0.97254910000000006</v>
      </c>
      <c r="Y2879">
        <v>0.16204109999999999</v>
      </c>
      <c r="Z2879">
        <v>-1.5480960000000001E-3</v>
      </c>
      <c r="AA2879">
        <v>0.98678279999999996</v>
      </c>
      <c r="AB2879">
        <v>33</v>
      </c>
      <c r="AC2879">
        <v>72.6053</v>
      </c>
      <c r="AD2879">
        <v>-0.33028819999999998</v>
      </c>
      <c r="AE2879">
        <v>-12.0018999999999</v>
      </c>
      <c r="AF2879">
        <v>11.974439795460601</v>
      </c>
      <c r="AG2879">
        <v>-0.33028819999999998</v>
      </c>
      <c r="AH2879">
        <v>72.608331541821499</v>
      </c>
      <c r="AI2879">
        <v>90.257157519281805</v>
      </c>
      <c r="AJ2879">
        <v>80.635174121482706</v>
      </c>
      <c r="AK2879">
        <v>73.589850577353602</v>
      </c>
      <c r="AL2879">
        <v>76.6288237348721</v>
      </c>
      <c r="AM2879">
        <v>91.522001981595196</v>
      </c>
      <c r="AN2879">
        <v>0.99999999685566598</v>
      </c>
    </row>
    <row r="2880" spans="1:40" x14ac:dyDescent="0.25">
      <c r="A2880" t="str">
        <f>"20190304155424836"</f>
        <v>20190304155424836</v>
      </c>
      <c r="B2880" t="str">
        <f>"1551686064829936"</f>
        <v>1551686064829936</v>
      </c>
      <c r="C2880" t="s">
        <v>40</v>
      </c>
      <c r="D2880">
        <v>4.470688</v>
      </c>
      <c r="E2880">
        <v>0.57036779999999998</v>
      </c>
      <c r="F2880" t="s">
        <v>70</v>
      </c>
      <c r="G2880">
        <v>-168.4118</v>
      </c>
      <c r="H2880">
        <v>0.67865750000000002</v>
      </c>
      <c r="I2880">
        <v>203.1046</v>
      </c>
      <c r="J2880">
        <v>-240.65090000000001</v>
      </c>
      <c r="K2880">
        <v>1.110555</v>
      </c>
      <c r="L2880">
        <v>215.10069999999999</v>
      </c>
      <c r="M2880">
        <v>0.99989550000000005</v>
      </c>
      <c r="N2880">
        <v>-1.4461089999999999E-2</v>
      </c>
      <c r="O2880">
        <v>-3.9424289999999998E-4</v>
      </c>
      <c r="P2880">
        <v>0.97591320000000004</v>
      </c>
      <c r="Q2880">
        <v>0.2166824</v>
      </c>
      <c r="R2880">
        <v>2.534817E-2</v>
      </c>
      <c r="S2880">
        <v>3.0918269999999999</v>
      </c>
      <c r="T2880">
        <v>-1.839054E-2</v>
      </c>
      <c r="U2880">
        <v>-0.510849</v>
      </c>
      <c r="V2880">
        <v>-2.571493E-2</v>
      </c>
      <c r="W2880">
        <v>0.2307747</v>
      </c>
      <c r="X2880">
        <v>0.97266730000000001</v>
      </c>
      <c r="Y2880">
        <v>0.1626166</v>
      </c>
      <c r="Z2880">
        <v>-1.667525E-3</v>
      </c>
      <c r="AA2880">
        <v>0.98668789999999995</v>
      </c>
      <c r="AB2880">
        <v>32</v>
      </c>
      <c r="AC2880">
        <v>72.239099999999993</v>
      </c>
      <c r="AD2880">
        <v>-0.43189749999999899</v>
      </c>
      <c r="AE2880">
        <v>-11.996099999999901</v>
      </c>
      <c r="AF2880">
        <v>11.967200051769399</v>
      </c>
      <c r="AG2880">
        <v>-0.43189749999999899</v>
      </c>
      <c r="AH2880">
        <v>72.241311280356697</v>
      </c>
      <c r="AI2880">
        <v>90.337935669134893</v>
      </c>
      <c r="AJ2880">
        <v>80.594033993745995</v>
      </c>
      <c r="AK2880">
        <v>73.227095176819404</v>
      </c>
      <c r="AL2880">
        <v>76.657313441292601</v>
      </c>
      <c r="AM2880">
        <v>91.514406661907401</v>
      </c>
      <c r="AN2880">
        <v>0.99999994813714099</v>
      </c>
    </row>
    <row r="2881" spans="1:40" x14ac:dyDescent="0.25">
      <c r="A2881" t="str">
        <f>"20190304155424857"</f>
        <v>20190304155424857</v>
      </c>
      <c r="B2881" t="str">
        <f>"1551686064849455"</f>
        <v>1551686064849455</v>
      </c>
      <c r="C2881" t="s">
        <v>40</v>
      </c>
      <c r="D2881">
        <v>4.4861259999999996</v>
      </c>
      <c r="E2881">
        <v>0.56909449999999995</v>
      </c>
      <c r="F2881" t="s">
        <v>70</v>
      </c>
      <c r="G2881">
        <v>-168.4117</v>
      </c>
      <c r="H2881">
        <v>0.66252519999999904</v>
      </c>
      <c r="I2881">
        <v>203.4367</v>
      </c>
      <c r="J2881">
        <v>-240.35679999999999</v>
      </c>
      <c r="K2881">
        <v>1.110552</v>
      </c>
      <c r="L2881">
        <v>215.10059999999999</v>
      </c>
      <c r="M2881">
        <v>0.99989539999999999</v>
      </c>
      <c r="N2881">
        <v>-1.445774E-2</v>
      </c>
      <c r="O2881">
        <v>-4.0971330000000002E-4</v>
      </c>
      <c r="P2881">
        <v>0.9760084</v>
      </c>
      <c r="Q2881">
        <v>0.21627830000000001</v>
      </c>
      <c r="R2881">
        <v>2.5129039999999998E-2</v>
      </c>
      <c r="S2881">
        <v>3.091278</v>
      </c>
      <c r="T2881">
        <v>-1.9170759999999998E-2</v>
      </c>
      <c r="U2881">
        <v>-0.49913020000000002</v>
      </c>
      <c r="V2881">
        <v>-2.551107E-2</v>
      </c>
      <c r="W2881">
        <v>0.2303682</v>
      </c>
      <c r="X2881">
        <v>0.97276910000000005</v>
      </c>
      <c r="Y2881">
        <v>0.15898489999999901</v>
      </c>
      <c r="Z2881">
        <v>-1.6499360000000001E-3</v>
      </c>
      <c r="AA2881">
        <v>0.98727969999999998</v>
      </c>
      <c r="AB2881">
        <v>32</v>
      </c>
      <c r="AC2881">
        <v>71.945099999999996</v>
      </c>
      <c r="AD2881">
        <v>-0.4480268</v>
      </c>
      <c r="AE2881">
        <v>-11.6638999999999</v>
      </c>
      <c r="AF2881">
        <v>11.6339794664819</v>
      </c>
      <c r="AG2881">
        <v>-0.4480268</v>
      </c>
      <c r="AH2881">
        <v>71.947154674245397</v>
      </c>
      <c r="AI2881">
        <v>90.352210782131394</v>
      </c>
      <c r="AJ2881">
        <v>80.814680129901504</v>
      </c>
      <c r="AK2881">
        <v>72.883079462655999</v>
      </c>
      <c r="AL2881">
        <v>76.681250117419196</v>
      </c>
      <c r="AM2881">
        <v>91.502249285196299</v>
      </c>
      <c r="AN2881">
        <v>1.00000002208929</v>
      </c>
    </row>
    <row r="2882" spans="1:40" x14ac:dyDescent="0.25">
      <c r="A2882" t="str">
        <f>"20190304155424891"</f>
        <v>20190304155424891</v>
      </c>
      <c r="B2882" t="str">
        <f>"1551686064879715"</f>
        <v>1551686064879715</v>
      </c>
      <c r="C2882" t="s">
        <v>40</v>
      </c>
      <c r="D2882">
        <v>4.4055470000000003</v>
      </c>
      <c r="E2882">
        <v>0.56909949999999998</v>
      </c>
      <c r="F2882" t="s">
        <v>70</v>
      </c>
      <c r="G2882">
        <v>-168.41159999999999</v>
      </c>
      <c r="H2882">
        <v>0.63702959999999997</v>
      </c>
      <c r="I2882">
        <v>203.6962</v>
      </c>
      <c r="J2882">
        <v>-239.8724</v>
      </c>
      <c r="K2882">
        <v>1.1105609999999999</v>
      </c>
      <c r="L2882">
        <v>215.10040000000001</v>
      </c>
      <c r="M2882">
        <v>0.99989550000000005</v>
      </c>
      <c r="N2882">
        <v>-1.4452080000000001E-2</v>
      </c>
      <c r="O2882">
        <v>-4.3541890000000001E-4</v>
      </c>
      <c r="P2882">
        <v>0.97594729999999996</v>
      </c>
      <c r="Q2882">
        <v>0.21662899999999999</v>
      </c>
      <c r="R2882">
        <v>2.4468750000000001E-2</v>
      </c>
      <c r="S2882">
        <v>3.0908509999999998</v>
      </c>
      <c r="T2882">
        <v>-2.0341629999999999E-2</v>
      </c>
      <c r="U2882">
        <v>-0.48994450000000001</v>
      </c>
      <c r="V2882">
        <v>-2.487582E-2</v>
      </c>
      <c r="W2882">
        <v>0.23071249999999999</v>
      </c>
      <c r="X2882">
        <v>0.97270389999999995</v>
      </c>
      <c r="Y2882">
        <v>0.156118799999999</v>
      </c>
      <c r="Z2882">
        <v>-1.64916E-3</v>
      </c>
      <c r="AA2882">
        <v>0.98773690000000003</v>
      </c>
      <c r="AB2882">
        <v>32</v>
      </c>
      <c r="AC2882">
        <v>71.460800000000006</v>
      </c>
      <c r="AD2882">
        <v>-0.47353139999999999</v>
      </c>
      <c r="AE2882">
        <v>-11.404199999999999</v>
      </c>
      <c r="AF2882">
        <v>11.372593320169299</v>
      </c>
      <c r="AG2882">
        <v>-0.47353139999999999</v>
      </c>
      <c r="AH2882">
        <v>71.462699363256604</v>
      </c>
      <c r="AI2882">
        <v>90.374934058623097</v>
      </c>
      <c r="AJ2882">
        <v>80.957758821840102</v>
      </c>
      <c r="AK2882">
        <v>72.363509527219193</v>
      </c>
      <c r="AL2882">
        <v>76.660976381535505</v>
      </c>
      <c r="AM2882">
        <v>91.4649564966318</v>
      </c>
      <c r="AN2882">
        <v>0.99999997057606504</v>
      </c>
    </row>
    <row r="2883" spans="1:40" x14ac:dyDescent="0.25">
      <c r="A2883" t="str">
        <f>"20190304155424911"</f>
        <v>20190304155424911</v>
      </c>
      <c r="B2883" t="str">
        <f>"1551686064900208"</f>
        <v>1551686064900208</v>
      </c>
      <c r="C2883" t="s">
        <v>40</v>
      </c>
      <c r="D2883">
        <v>4.5111860000000004</v>
      </c>
      <c r="E2883">
        <v>0.56956059999999997</v>
      </c>
      <c r="F2883" t="s">
        <v>70</v>
      </c>
      <c r="G2883">
        <v>-168.41159999999999</v>
      </c>
      <c r="H2883">
        <v>0.69701190000000002</v>
      </c>
      <c r="I2883">
        <v>203.72749999999999</v>
      </c>
      <c r="J2883">
        <v>-239.5652</v>
      </c>
      <c r="K2883">
        <v>1.110563</v>
      </c>
      <c r="L2883">
        <v>215.1002</v>
      </c>
      <c r="M2883">
        <v>0.9998956</v>
      </c>
      <c r="N2883">
        <v>-1.4448529999999999E-2</v>
      </c>
      <c r="O2883">
        <v>-4.5172460000000002E-4</v>
      </c>
      <c r="P2883">
        <v>0.97604310000000005</v>
      </c>
      <c r="Q2883">
        <v>0.21625169999999999</v>
      </c>
      <c r="R2883">
        <v>2.3990439999999998E-2</v>
      </c>
      <c r="S2883">
        <v>3.0902400000000001</v>
      </c>
      <c r="T2883">
        <v>-1.788199E-2</v>
      </c>
      <c r="U2883">
        <v>-0.49180600000000002</v>
      </c>
      <c r="V2883">
        <v>-2.4414249999999998E-2</v>
      </c>
      <c r="W2883">
        <v>0.23033290000000001</v>
      </c>
      <c r="X2883">
        <v>0.97280560000000005</v>
      </c>
      <c r="Y2883">
        <v>0.15671489999999999</v>
      </c>
      <c r="Z2883">
        <v>-1.5937950000000001E-3</v>
      </c>
      <c r="AA2883">
        <v>0.98764260000000004</v>
      </c>
      <c r="AB2883">
        <v>32</v>
      </c>
      <c r="AC2883">
        <v>71.153599999999997</v>
      </c>
      <c r="AD2883">
        <v>-0.4135511</v>
      </c>
      <c r="AE2883">
        <v>-11.3727</v>
      </c>
      <c r="AF2883">
        <v>11.3401801221029</v>
      </c>
      <c r="AG2883">
        <v>-0.4135511</v>
      </c>
      <c r="AH2883">
        <v>71.156386789401907</v>
      </c>
      <c r="AI2883">
        <v>90.328841611427805</v>
      </c>
      <c r="AJ2883">
        <v>80.944932271918802</v>
      </c>
      <c r="AK2883">
        <v>72.055548645729004</v>
      </c>
      <c r="AL2883">
        <v>76.683328495551706</v>
      </c>
      <c r="AM2883">
        <v>91.437635548665995</v>
      </c>
      <c r="AN2883">
        <v>1.0000000179084101</v>
      </c>
    </row>
    <row r="2884" spans="1:40" x14ac:dyDescent="0.25">
      <c r="A2884" t="str">
        <f>"20190304155424935"</f>
        <v>20190304155424935</v>
      </c>
      <c r="B2884" t="str">
        <f>"1551686064930465"</f>
        <v>1551686064930465</v>
      </c>
      <c r="C2884" t="s">
        <v>40</v>
      </c>
      <c r="D2884">
        <v>4.5819669999999997</v>
      </c>
      <c r="E2884">
        <v>0.57041560000000002</v>
      </c>
      <c r="F2884" t="s">
        <v>70</v>
      </c>
      <c r="G2884">
        <v>-168.4117</v>
      </c>
      <c r="H2884">
        <v>0.71089360000000001</v>
      </c>
      <c r="I2884">
        <v>203.66</v>
      </c>
      <c r="J2884">
        <v>-239.23009999999999</v>
      </c>
      <c r="K2884">
        <v>1.110563</v>
      </c>
      <c r="L2884">
        <v>215.1</v>
      </c>
      <c r="M2884">
        <v>0.99989570000000005</v>
      </c>
      <c r="N2884">
        <v>-1.444466E-2</v>
      </c>
      <c r="O2884">
        <v>-4.6945649999999999E-4</v>
      </c>
      <c r="P2884">
        <v>0.97599009999999997</v>
      </c>
      <c r="Q2884">
        <v>0.2165502</v>
      </c>
      <c r="R2884">
        <v>2.343864E-2</v>
      </c>
      <c r="S2884">
        <v>3.0896910000000002</v>
      </c>
      <c r="T2884">
        <v>-1.7353420000000001E-2</v>
      </c>
      <c r="U2884">
        <v>-0.49676510000000001</v>
      </c>
      <c r="V2884">
        <v>-2.3879089999999999E-2</v>
      </c>
      <c r="W2884">
        <v>0.2306271</v>
      </c>
      <c r="X2884">
        <v>0.97274919999999998</v>
      </c>
      <c r="Y2884">
        <v>0.1582703</v>
      </c>
      <c r="Z2884">
        <v>-1.5962120000000001E-3</v>
      </c>
      <c r="AA2884">
        <v>0.98739449999999995</v>
      </c>
      <c r="AB2884">
        <v>32</v>
      </c>
      <c r="AC2884">
        <v>70.818399999999997</v>
      </c>
      <c r="AD2884">
        <v>-0.39966940000000001</v>
      </c>
      <c r="AE2884">
        <v>-11.4399999999999</v>
      </c>
      <c r="AF2884">
        <v>11.4063950619504</v>
      </c>
      <c r="AG2884">
        <v>-0.39966940000000001</v>
      </c>
      <c r="AH2884">
        <v>70.821565034007094</v>
      </c>
      <c r="AI2884">
        <v>90.319221834584098</v>
      </c>
      <c r="AJ2884">
        <v>80.850614852686704</v>
      </c>
      <c r="AK2884">
        <v>71.735344550679301</v>
      </c>
      <c r="AL2884">
        <v>76.6660059716787</v>
      </c>
      <c r="AM2884">
        <v>91.406216887177706</v>
      </c>
      <c r="AN2884">
        <v>1.0000000381471299</v>
      </c>
    </row>
    <row r="2885" spans="1:40" x14ac:dyDescent="0.25">
      <c r="A2885" t="str">
        <f>"20190304155424963"</f>
        <v>20190304155424963</v>
      </c>
      <c r="B2885" t="str">
        <f>"1551686064959744"</f>
        <v>1551686064959744</v>
      </c>
      <c r="C2885" t="s">
        <v>40</v>
      </c>
      <c r="D2885">
        <v>4.5574370000000002</v>
      </c>
      <c r="E2885">
        <v>0.57093389999999999</v>
      </c>
      <c r="F2885" t="s">
        <v>70</v>
      </c>
      <c r="G2885">
        <v>-168.4117</v>
      </c>
      <c r="H2885">
        <v>0.77065850000000002</v>
      </c>
      <c r="I2885">
        <v>203.53210000000001</v>
      </c>
      <c r="J2885">
        <v>-238.83160000000001</v>
      </c>
      <c r="K2885">
        <v>1.110565</v>
      </c>
      <c r="L2885">
        <v>215.09979999999999</v>
      </c>
      <c r="M2885">
        <v>0.9998958</v>
      </c>
      <c r="N2885">
        <v>-1.4440089999999999E-2</v>
      </c>
      <c r="O2885">
        <v>-4.9063950000000002E-4</v>
      </c>
      <c r="P2885">
        <v>0.97602469999999997</v>
      </c>
      <c r="Q2885">
        <v>0.2164885</v>
      </c>
      <c r="R2885">
        <v>2.2555499999999999E-2</v>
      </c>
      <c r="S2885">
        <v>3.0892029999999999</v>
      </c>
      <c r="T2885">
        <v>-1.4825700000000001E-2</v>
      </c>
      <c r="U2885">
        <v>-0.50460819999999995</v>
      </c>
      <c r="V2885">
        <v>-2.3016700000000001E-2</v>
      </c>
      <c r="W2885">
        <v>0.23056170000000001</v>
      </c>
      <c r="X2885">
        <v>0.97278549999999997</v>
      </c>
      <c r="Y2885">
        <v>0.16071750000000001</v>
      </c>
      <c r="Z2885">
        <v>-1.5559300000000001E-3</v>
      </c>
      <c r="AA2885">
        <v>0.98699919999999997</v>
      </c>
      <c r="AB2885">
        <v>32</v>
      </c>
      <c r="AC2885">
        <v>70.419899999999998</v>
      </c>
      <c r="AD2885">
        <v>-0.3399065</v>
      </c>
      <c r="AE2885">
        <v>-11.567699999999901</v>
      </c>
      <c r="AF2885">
        <v>11.5328825874924</v>
      </c>
      <c r="AG2885">
        <v>-0.3399065</v>
      </c>
      <c r="AH2885">
        <v>70.423970021070801</v>
      </c>
      <c r="AI2885">
        <v>90.272904984633797</v>
      </c>
      <c r="AJ2885">
        <v>80.699591766930297</v>
      </c>
      <c r="AK2885">
        <v>71.362864787887503</v>
      </c>
      <c r="AL2885">
        <v>76.669857025081896</v>
      </c>
      <c r="AM2885">
        <v>91.355400301076898</v>
      </c>
      <c r="AN2885">
        <v>1.00000004749801</v>
      </c>
    </row>
    <row r="2886" spans="1:40" x14ac:dyDescent="0.25">
      <c r="A2886" t="str">
        <f>"20190304155424984"</f>
        <v>20190304155424984</v>
      </c>
      <c r="B2886" t="str">
        <f>"1551686064979264"</f>
        <v>1551686064979264</v>
      </c>
      <c r="C2886" t="s">
        <v>40</v>
      </c>
      <c r="D2886">
        <v>4.616333</v>
      </c>
      <c r="E2886">
        <v>0.57126960000000004</v>
      </c>
      <c r="F2886" t="s">
        <v>70</v>
      </c>
      <c r="G2886">
        <v>-168.4117</v>
      </c>
      <c r="H2886">
        <v>0.77765459999999997</v>
      </c>
      <c r="I2886">
        <v>203.4547</v>
      </c>
      <c r="J2886">
        <v>-238.52510000000001</v>
      </c>
      <c r="K2886">
        <v>1.1105700000000001</v>
      </c>
      <c r="L2886">
        <v>215.09960000000001</v>
      </c>
      <c r="M2886">
        <v>0.99989570000000005</v>
      </c>
      <c r="N2886">
        <v>-1.4436610000000001E-2</v>
      </c>
      <c r="O2886">
        <v>-5.0694390000000002E-4</v>
      </c>
      <c r="P2886">
        <v>0.97619029999999996</v>
      </c>
      <c r="Q2886">
        <v>0.21579499999999999</v>
      </c>
      <c r="R2886">
        <v>2.202525E-2</v>
      </c>
      <c r="S2886">
        <v>3.08873</v>
      </c>
      <c r="T2886">
        <v>-1.4600520000000001E-2</v>
      </c>
      <c r="U2886">
        <v>-0.51077269999999997</v>
      </c>
      <c r="V2886">
        <v>-2.2502359999999999E-2</v>
      </c>
      <c r="W2886">
        <v>0.22986699999999999</v>
      </c>
      <c r="X2886">
        <v>0.97296179999999999</v>
      </c>
      <c r="Y2886">
        <v>0.16264329999999999</v>
      </c>
      <c r="Z2886">
        <v>-1.56872E-3</v>
      </c>
      <c r="AA2886">
        <v>0.98668370000000005</v>
      </c>
      <c r="AB2886">
        <v>32</v>
      </c>
      <c r="AC2886">
        <v>70.113399999999999</v>
      </c>
      <c r="AD2886">
        <v>-0.33291539999999997</v>
      </c>
      <c r="AE2886">
        <v>-11.6449</v>
      </c>
      <c r="AF2886">
        <v>11.6090965296333</v>
      </c>
      <c r="AG2886">
        <v>-0.33291539999999997</v>
      </c>
      <c r="AH2886">
        <v>70.117756490802805</v>
      </c>
      <c r="AI2886">
        <v>90.268381769031706</v>
      </c>
      <c r="AJ2886">
        <v>80.599063716677307</v>
      </c>
      <c r="AK2886">
        <v>71.073073172625797</v>
      </c>
      <c r="AL2886">
        <v>76.710757429684094</v>
      </c>
      <c r="AM2886">
        <v>91.324882903556798</v>
      </c>
      <c r="AN2886">
        <v>0.99999992907690205</v>
      </c>
    </row>
    <row r="2887" spans="1:40" x14ac:dyDescent="0.25">
      <c r="A2887" t="str">
        <f>"20190304155425002"</f>
        <v>20190304155425002</v>
      </c>
      <c r="B2887" t="str">
        <f>"1551686064999760"</f>
        <v>1551686064999760</v>
      </c>
      <c r="C2887" t="s">
        <v>40</v>
      </c>
      <c r="D2887">
        <v>4.5800369999999999</v>
      </c>
      <c r="E2887">
        <v>0.57177609999999901</v>
      </c>
      <c r="F2887" t="s">
        <v>70</v>
      </c>
      <c r="G2887">
        <v>-168.4118</v>
      </c>
      <c r="H2887">
        <v>0.76219369999999997</v>
      </c>
      <c r="I2887">
        <v>203.4058</v>
      </c>
      <c r="J2887">
        <v>-238.25559999999999</v>
      </c>
      <c r="K2887">
        <v>1.1105700000000001</v>
      </c>
      <c r="L2887">
        <v>215.09950000000001</v>
      </c>
      <c r="M2887">
        <v>0.9998956</v>
      </c>
      <c r="N2887">
        <v>-1.4433720000000001E-2</v>
      </c>
      <c r="O2887">
        <v>-5.2134600000000001E-4</v>
      </c>
      <c r="P2887">
        <v>0.97622929999999997</v>
      </c>
      <c r="Q2887">
        <v>0.21572469999999999</v>
      </c>
      <c r="R2887">
        <v>2.095969E-2</v>
      </c>
      <c r="S2887">
        <v>3.0881810000000001</v>
      </c>
      <c r="T2887">
        <v>-1.5342949999999999E-2</v>
      </c>
      <c r="U2887">
        <v>-0.51506039999999997</v>
      </c>
      <c r="V2887">
        <v>-2.145143E-2</v>
      </c>
      <c r="W2887">
        <v>0.22979459999999999</v>
      </c>
      <c r="X2887">
        <v>0.9730027</v>
      </c>
      <c r="Y2887">
        <v>0.16398979999999999</v>
      </c>
      <c r="Z2887">
        <v>-1.6011790000000001E-3</v>
      </c>
      <c r="AA2887">
        <v>0.98646069999999997</v>
      </c>
      <c r="AB2887">
        <v>32</v>
      </c>
      <c r="AC2887">
        <v>69.843799999999902</v>
      </c>
      <c r="AD2887">
        <v>-0.34837630000000003</v>
      </c>
      <c r="AE2887">
        <v>-11.6937</v>
      </c>
      <c r="AF2887">
        <v>11.656999715633599</v>
      </c>
      <c r="AG2887">
        <v>-0.34837630000000003</v>
      </c>
      <c r="AH2887">
        <v>69.848197202778195</v>
      </c>
      <c r="AI2887">
        <v>90.281868890014294</v>
      </c>
      <c r="AJ2887">
        <v>80.525200823501095</v>
      </c>
      <c r="AK2887">
        <v>70.815094866100907</v>
      </c>
      <c r="AL2887">
        <v>76.715020542813704</v>
      </c>
      <c r="AM2887">
        <v>91.2629742231195</v>
      </c>
      <c r="AN2887">
        <v>0.99999998812274704</v>
      </c>
    </row>
    <row r="2888" spans="1:40" x14ac:dyDescent="0.25">
      <c r="A2888" t="str">
        <f>"20190304155425027"</f>
        <v>20190304155425027</v>
      </c>
      <c r="B2888" t="str">
        <f>"1551686065019280"</f>
        <v>1551686065019280</v>
      </c>
      <c r="C2888" t="s">
        <v>40</v>
      </c>
      <c r="D2888">
        <v>4.6077940000000002</v>
      </c>
      <c r="E2888">
        <v>0.57233769999999995</v>
      </c>
      <c r="F2888" t="s">
        <v>70</v>
      </c>
      <c r="G2888">
        <v>-168.4118</v>
      </c>
      <c r="H2888">
        <v>0.75570680000000001</v>
      </c>
      <c r="I2888">
        <v>203.28049999999999</v>
      </c>
      <c r="J2888">
        <v>-237.9066</v>
      </c>
      <c r="K2888">
        <v>1.110571</v>
      </c>
      <c r="L2888">
        <v>215.0992</v>
      </c>
      <c r="M2888">
        <v>0.99989589999999995</v>
      </c>
      <c r="N2888">
        <v>-1.442999E-2</v>
      </c>
      <c r="O2888">
        <v>-5.4003180000000001E-4</v>
      </c>
      <c r="P2888">
        <v>0.97634759999999998</v>
      </c>
      <c r="Q2888">
        <v>0.21526909999999999</v>
      </c>
      <c r="R2888">
        <v>2.0129009999999999E-2</v>
      </c>
      <c r="S2888">
        <v>3.0877379999999999</v>
      </c>
      <c r="T2888">
        <v>-1.5686749999999999E-2</v>
      </c>
      <c r="U2888">
        <v>-0.52250669999999999</v>
      </c>
      <c r="V2888">
        <v>-2.0638989999999999E-2</v>
      </c>
      <c r="W2888">
        <v>0.2293366</v>
      </c>
      <c r="X2888">
        <v>0.97312829999999995</v>
      </c>
      <c r="Y2888">
        <v>0.16630710000000001</v>
      </c>
      <c r="Z2888">
        <v>-1.6329440000000001E-3</v>
      </c>
      <c r="AA2888">
        <v>0.98607270000000002</v>
      </c>
      <c r="AB2888">
        <v>32</v>
      </c>
      <c r="AC2888">
        <v>69.494799999999998</v>
      </c>
      <c r="AD2888">
        <v>-0.35486420000000002</v>
      </c>
      <c r="AE2888">
        <v>-11.8187</v>
      </c>
      <c r="AF2888">
        <v>11.780866424464699</v>
      </c>
      <c r="AG2888">
        <v>-0.35486420000000002</v>
      </c>
      <c r="AH2888">
        <v>69.499411762916907</v>
      </c>
      <c r="AI2888">
        <v>90.288435379972</v>
      </c>
      <c r="AJ2888">
        <v>80.379226308996707</v>
      </c>
      <c r="AK2888">
        <v>70.491722760214799</v>
      </c>
      <c r="AL2888">
        <v>76.741981769876503</v>
      </c>
      <c r="AM2888">
        <v>91.214998845476799</v>
      </c>
      <c r="AN2888">
        <v>0.99999996613433395</v>
      </c>
    </row>
    <row r="2889" spans="1:40" x14ac:dyDescent="0.25">
      <c r="A2889" t="str">
        <f>"20190304155425047"</f>
        <v>20190304155425047</v>
      </c>
      <c r="B2889" t="str">
        <f>"1551686065039307"</f>
        <v>1551686065039307</v>
      </c>
      <c r="C2889" t="s">
        <v>40</v>
      </c>
      <c r="D2889">
        <v>4.6214199999999996</v>
      </c>
      <c r="E2889">
        <v>0.5727873</v>
      </c>
      <c r="F2889" t="s">
        <v>70</v>
      </c>
      <c r="G2889">
        <v>-168.4118</v>
      </c>
      <c r="H2889">
        <v>0.75086980000000003</v>
      </c>
      <c r="I2889">
        <v>203.1927</v>
      </c>
      <c r="J2889">
        <v>-237.62129999999999</v>
      </c>
      <c r="K2889">
        <v>1.110568</v>
      </c>
      <c r="L2889">
        <v>215.09909999999999</v>
      </c>
      <c r="M2889">
        <v>0.99989589999999995</v>
      </c>
      <c r="N2889">
        <v>-1.442682E-2</v>
      </c>
      <c r="O2889">
        <v>-5.5514959999999999E-4</v>
      </c>
      <c r="P2889">
        <v>0.97663670000000002</v>
      </c>
      <c r="Q2889">
        <v>0.21405370000000001</v>
      </c>
      <c r="R2889">
        <v>1.9028159999999999E-2</v>
      </c>
      <c r="S2889">
        <v>3.0871119999999999</v>
      </c>
      <c r="T2889">
        <v>-1.597726E-2</v>
      </c>
      <c r="U2889">
        <v>-0.52891540000000004</v>
      </c>
      <c r="V2889">
        <v>-1.9552389999999999E-2</v>
      </c>
      <c r="W2889">
        <v>0.2281222</v>
      </c>
      <c r="X2889">
        <v>0.97343619999999997</v>
      </c>
      <c r="Y2889">
        <v>0.16831380000000001</v>
      </c>
      <c r="Z2889">
        <v>-1.6604899999999999E-3</v>
      </c>
      <c r="AA2889">
        <v>0.9857321</v>
      </c>
      <c r="AB2889">
        <v>32</v>
      </c>
      <c r="AC2889">
        <v>69.209499999999906</v>
      </c>
      <c r="AD2889">
        <v>-0.35969820000000002</v>
      </c>
      <c r="AE2889">
        <v>-11.9063999999999</v>
      </c>
      <c r="AF2889">
        <v>11.867661198319199</v>
      </c>
      <c r="AG2889">
        <v>-0.35969820000000002</v>
      </c>
      <c r="AH2889">
        <v>69.214284027824704</v>
      </c>
      <c r="AI2889">
        <v>90.293473848811701</v>
      </c>
      <c r="AJ2889">
        <v>80.2705273453209</v>
      </c>
      <c r="AK2889">
        <v>70.225265244052807</v>
      </c>
      <c r="AL2889">
        <v>76.813457487633698</v>
      </c>
      <c r="AM2889">
        <v>91.1506853834086</v>
      </c>
      <c r="AN2889">
        <v>1.0000000347789899</v>
      </c>
    </row>
    <row r="2890" spans="1:40" x14ac:dyDescent="0.25">
      <c r="A2890" t="str">
        <f>"20190304155425072"</f>
        <v>20190304155425072</v>
      </c>
      <c r="B2890" t="str">
        <f>"1551686065059804"</f>
        <v>1551686065059804</v>
      </c>
      <c r="C2890" t="s">
        <v>40</v>
      </c>
      <c r="D2890">
        <v>4.6257849999999996</v>
      </c>
      <c r="E2890">
        <v>0.57308890000000001</v>
      </c>
      <c r="F2890" t="s">
        <v>70</v>
      </c>
      <c r="G2890">
        <v>-168.4118</v>
      </c>
      <c r="H2890">
        <v>0.67766949999999904</v>
      </c>
      <c r="I2890">
        <v>203.08179999999999</v>
      </c>
      <c r="J2890">
        <v>-237.26240000000001</v>
      </c>
      <c r="K2890">
        <v>1.1105609999999999</v>
      </c>
      <c r="L2890">
        <v>215.09880000000001</v>
      </c>
      <c r="M2890">
        <v>0.9998958</v>
      </c>
      <c r="N2890">
        <v>-1.4422859999999999E-2</v>
      </c>
      <c r="O2890">
        <v>-5.7395500000000002E-4</v>
      </c>
      <c r="P2890">
        <v>0.97688379999999997</v>
      </c>
      <c r="Q2890">
        <v>0.2130021</v>
      </c>
      <c r="R2890">
        <v>1.812128E-2</v>
      </c>
      <c r="S2890">
        <v>3.0864560000000001</v>
      </c>
      <c r="T2890">
        <v>-1.9304040000000001E-2</v>
      </c>
      <c r="U2890">
        <v>-0.53591919999999904</v>
      </c>
      <c r="V2890">
        <v>-1.8664500000000001E-2</v>
      </c>
      <c r="W2890">
        <v>0.22707050000000001</v>
      </c>
      <c r="X2890">
        <v>0.97369950000000005</v>
      </c>
      <c r="Y2890">
        <v>0.1704994</v>
      </c>
      <c r="Z2890">
        <v>-1.7726580000000001E-3</v>
      </c>
      <c r="AA2890">
        <v>0.98535620000000002</v>
      </c>
      <c r="AB2890">
        <v>32</v>
      </c>
      <c r="AC2890">
        <v>68.8506</v>
      </c>
      <c r="AD2890">
        <v>-0.43289149999999998</v>
      </c>
      <c r="AE2890">
        <v>-12.016999999999999</v>
      </c>
      <c r="AF2890">
        <v>11.977017290764501</v>
      </c>
      <c r="AG2890">
        <v>-0.43289149999999998</v>
      </c>
      <c r="AH2890">
        <v>68.854845128291899</v>
      </c>
      <c r="AI2890">
        <v>90.354885951477002</v>
      </c>
      <c r="AJ2890">
        <v>80.132366371296499</v>
      </c>
      <c r="AK2890">
        <v>69.890099698563205</v>
      </c>
      <c r="AL2890">
        <v>76.875339667835306</v>
      </c>
      <c r="AM2890">
        <v>91.098147967544094</v>
      </c>
      <c r="AN2890">
        <v>1.00000004591537</v>
      </c>
    </row>
    <row r="2891" spans="1:40" x14ac:dyDescent="0.25">
      <c r="A2891" t="str">
        <f>"20190304155425093"</f>
        <v>20190304155425093</v>
      </c>
      <c r="B2891" t="str">
        <f>"1551686065090059"</f>
        <v>1551686065090059</v>
      </c>
      <c r="C2891" t="s">
        <v>40</v>
      </c>
      <c r="D2891">
        <v>4.5889850000000001</v>
      </c>
      <c r="E2891">
        <v>0.57337579999999999</v>
      </c>
      <c r="F2891" t="s">
        <v>70</v>
      </c>
      <c r="G2891">
        <v>-168.4118</v>
      </c>
      <c r="H2891">
        <v>0.60404009999999997</v>
      </c>
      <c r="I2891">
        <v>203.0342</v>
      </c>
      <c r="J2891">
        <v>-236.95480000000001</v>
      </c>
      <c r="K2891">
        <v>1.110554</v>
      </c>
      <c r="L2891">
        <v>215.09870000000001</v>
      </c>
      <c r="M2891">
        <v>0.99989589999999995</v>
      </c>
      <c r="N2891">
        <v>-1.441951E-2</v>
      </c>
      <c r="O2891">
        <v>-5.9037879999999997E-4</v>
      </c>
      <c r="P2891">
        <v>0.97713559999999999</v>
      </c>
      <c r="Q2891">
        <v>0.21189250000000001</v>
      </c>
      <c r="R2891">
        <v>1.75359E-2</v>
      </c>
      <c r="S2891">
        <v>3.0859830000000001</v>
      </c>
      <c r="T2891">
        <v>-2.2701499999999999E-2</v>
      </c>
      <c r="U2891">
        <v>-0.54075620000000002</v>
      </c>
      <c r="V2891">
        <v>-1.8094949999999999E-2</v>
      </c>
      <c r="W2891">
        <v>0.22596150000000001</v>
      </c>
      <c r="X2891">
        <v>0.9739681</v>
      </c>
      <c r="Y2891">
        <v>0.17200470000000001</v>
      </c>
      <c r="Z2891">
        <v>-1.881611E-3</v>
      </c>
      <c r="AA2891">
        <v>0.98509440000000004</v>
      </c>
      <c r="AB2891">
        <v>32</v>
      </c>
      <c r="AC2891">
        <v>68.543000000000006</v>
      </c>
      <c r="AD2891">
        <v>-0.50651389999999996</v>
      </c>
      <c r="AE2891">
        <v>-12.064500000000001</v>
      </c>
      <c r="AF2891">
        <v>12.0233905132587</v>
      </c>
      <c r="AG2891">
        <v>-0.50651389999999996</v>
      </c>
      <c r="AH2891">
        <v>68.546480711398502</v>
      </c>
      <c r="AI2891">
        <v>90.417004690546605</v>
      </c>
      <c r="AJ2891">
        <v>80.051244784542106</v>
      </c>
      <c r="AK2891">
        <v>69.594816571949707</v>
      </c>
      <c r="AL2891">
        <v>76.9405749921265</v>
      </c>
      <c r="AM2891">
        <v>91.064352113463798</v>
      </c>
      <c r="AN2891">
        <v>0.99999994325767905</v>
      </c>
    </row>
    <row r="2892" spans="1:40" x14ac:dyDescent="0.25">
      <c r="A2892" t="str">
        <f>"20190304155425115"</f>
        <v>20190304155425115</v>
      </c>
      <c r="B2892" t="str">
        <f>"1551686065109578"</f>
        <v>1551686065109578</v>
      </c>
      <c r="C2892" t="s">
        <v>40</v>
      </c>
      <c r="D2892">
        <v>4.6634140000000004</v>
      </c>
      <c r="E2892">
        <v>0.5735574</v>
      </c>
      <c r="F2892" t="s">
        <v>70</v>
      </c>
      <c r="G2892">
        <v>-168.4118</v>
      </c>
      <c r="H2892">
        <v>0.55753330000000001</v>
      </c>
      <c r="I2892">
        <v>202.98009999999999</v>
      </c>
      <c r="J2892">
        <v>-236.65299999999999</v>
      </c>
      <c r="K2892">
        <v>1.1105449999999999</v>
      </c>
      <c r="L2892">
        <v>215.0985</v>
      </c>
      <c r="M2892">
        <v>0.9998958</v>
      </c>
      <c r="N2892">
        <v>-1.441628E-2</v>
      </c>
      <c r="O2892">
        <v>-6.0632830000000005E-4</v>
      </c>
      <c r="P2892">
        <v>0.9773963</v>
      </c>
      <c r="Q2892">
        <v>0.21077509999999999</v>
      </c>
      <c r="R2892">
        <v>1.6447719999999999E-2</v>
      </c>
      <c r="S2892">
        <v>3.0853730000000001</v>
      </c>
      <c r="T2892">
        <v>-2.4892089999999999E-2</v>
      </c>
      <c r="U2892">
        <v>-0.54550169999999998</v>
      </c>
      <c r="V2892">
        <v>-1.7023380000000001E-2</v>
      </c>
      <c r="W2892">
        <v>0.22484470000000001</v>
      </c>
      <c r="X2892">
        <v>0.9742459</v>
      </c>
      <c r="Y2892">
        <v>0.17348949999999999</v>
      </c>
      <c r="Z2892">
        <v>-1.9585430000000001E-3</v>
      </c>
      <c r="AA2892">
        <v>0.98483379999999998</v>
      </c>
      <c r="AB2892">
        <v>32</v>
      </c>
      <c r="AC2892">
        <v>68.241199999999907</v>
      </c>
      <c r="AD2892">
        <v>-0.55301169999999999</v>
      </c>
      <c r="AE2892">
        <v>-12.118399999999999</v>
      </c>
      <c r="AF2892">
        <v>12.0762480794174</v>
      </c>
      <c r="AG2892">
        <v>-0.55301169999999999</v>
      </c>
      <c r="AH2892">
        <v>68.244191275506395</v>
      </c>
      <c r="AI2892">
        <v>90.457179423860495</v>
      </c>
      <c r="AJ2892">
        <v>79.9650267744194</v>
      </c>
      <c r="AK2892">
        <v>69.3066463801552</v>
      </c>
      <c r="AL2892">
        <v>77.006253918958393</v>
      </c>
      <c r="AM2892">
        <v>91.001049713409301</v>
      </c>
      <c r="AN2892">
        <v>1.00000000412576</v>
      </c>
    </row>
    <row r="2893" spans="1:40" x14ac:dyDescent="0.25">
      <c r="A2893" t="str">
        <f>"20190304155425137"</f>
        <v>20190304155425137</v>
      </c>
      <c r="B2893" t="str">
        <f>"1551686065130074"</f>
        <v>1551686065130074</v>
      </c>
      <c r="C2893" t="s">
        <v>40</v>
      </c>
      <c r="D2893">
        <v>4.6440449999999904</v>
      </c>
      <c r="E2893">
        <v>0.57373209999999997</v>
      </c>
      <c r="F2893" t="s">
        <v>70</v>
      </c>
      <c r="G2893">
        <v>-168.4118</v>
      </c>
      <c r="H2893">
        <v>0.4832554</v>
      </c>
      <c r="I2893">
        <v>202.92449999999999</v>
      </c>
      <c r="J2893">
        <v>-236.32990000000001</v>
      </c>
      <c r="K2893">
        <v>1.110535</v>
      </c>
      <c r="L2893">
        <v>215.09819999999999</v>
      </c>
      <c r="M2893">
        <v>0.99989609999999995</v>
      </c>
      <c r="N2893">
        <v>-1.4412899999999999E-2</v>
      </c>
      <c r="O2893">
        <v>-6.2382469999999995E-4</v>
      </c>
      <c r="P2893">
        <v>0.97748369999999996</v>
      </c>
      <c r="Q2893">
        <v>0.21042130000000001</v>
      </c>
      <c r="R2893">
        <v>1.5771199999999999E-2</v>
      </c>
      <c r="S2893">
        <v>3.0847470000000001</v>
      </c>
      <c r="T2893">
        <v>-2.8354290000000001E-2</v>
      </c>
      <c r="U2893">
        <v>-0.55030819999999903</v>
      </c>
      <c r="V2893">
        <v>-1.6364159999999999E-2</v>
      </c>
      <c r="W2893">
        <v>0.22448870000000001</v>
      </c>
      <c r="X2893">
        <v>0.97433930000000002</v>
      </c>
      <c r="Y2893">
        <v>0.1749908</v>
      </c>
      <c r="Z2893">
        <v>-2.0722269999999998E-3</v>
      </c>
      <c r="AA2893">
        <v>0.98456790000000005</v>
      </c>
      <c r="AB2893">
        <v>32</v>
      </c>
      <c r="AC2893">
        <v>67.918099999999995</v>
      </c>
      <c r="AD2893">
        <v>-0.62727959999999905</v>
      </c>
      <c r="AE2893">
        <v>-12.173699999999901</v>
      </c>
      <c r="AF2893">
        <v>12.130321734331099</v>
      </c>
      <c r="AG2893">
        <v>-0.62727959999999905</v>
      </c>
      <c r="AH2893">
        <v>67.920068551757296</v>
      </c>
      <c r="AI2893">
        <v>90.520901445076404</v>
      </c>
      <c r="AJ2893">
        <v>79.873907469211503</v>
      </c>
      <c r="AK2893">
        <v>68.9976368954066</v>
      </c>
      <c r="AL2893">
        <v>77.027186507682202</v>
      </c>
      <c r="AM2893">
        <v>90.962199882649799</v>
      </c>
      <c r="AN2893">
        <v>1.00000001684234</v>
      </c>
    </row>
    <row r="2894" spans="1:40" x14ac:dyDescent="0.25">
      <c r="A2894" t="str">
        <f>"20190304155425165"</f>
        <v>20190304155425165</v>
      </c>
      <c r="B2894" t="str">
        <f>"1551686065159354"</f>
        <v>1551686065159354</v>
      </c>
      <c r="C2894" t="s">
        <v>40</v>
      </c>
      <c r="D2894">
        <v>4.3196760000000003</v>
      </c>
      <c r="E2894">
        <v>0.57359599999999999</v>
      </c>
      <c r="F2894" t="s">
        <v>70</v>
      </c>
      <c r="G2894">
        <v>-168.4118</v>
      </c>
      <c r="H2894">
        <v>0.4623661</v>
      </c>
      <c r="I2894">
        <v>202.90940000000001</v>
      </c>
      <c r="J2894">
        <v>-235.95240000000001</v>
      </c>
      <c r="K2894">
        <v>1.110535</v>
      </c>
      <c r="L2894">
        <v>215.09800000000001</v>
      </c>
      <c r="M2894">
        <v>0.99989609999999995</v>
      </c>
      <c r="N2894">
        <v>-1.440899E-2</v>
      </c>
      <c r="O2894">
        <v>-6.4405949999999995E-4</v>
      </c>
      <c r="P2894">
        <v>0.97762559999999998</v>
      </c>
      <c r="Q2894">
        <v>0.20983859999999999</v>
      </c>
      <c r="R2894">
        <v>1.4711439999999999E-2</v>
      </c>
      <c r="S2894">
        <v>3.0843509999999998</v>
      </c>
      <c r="T2894">
        <v>-2.9433730000000002E-2</v>
      </c>
      <c r="U2894">
        <v>-0.55352780000000001</v>
      </c>
      <c r="V2894">
        <v>-1.532416E-2</v>
      </c>
      <c r="W2894">
        <v>0.22390409999999999</v>
      </c>
      <c r="X2894">
        <v>0.97449070000000004</v>
      </c>
      <c r="Y2894">
        <v>0.17598739999999999</v>
      </c>
      <c r="Z2894">
        <v>-2.1142399999999999E-3</v>
      </c>
      <c r="AA2894">
        <v>0.98439010000000005</v>
      </c>
      <c r="AB2894">
        <v>32</v>
      </c>
      <c r="AC2894">
        <v>67.540599999999998</v>
      </c>
      <c r="AD2894">
        <v>-0.64816890000000005</v>
      </c>
      <c r="AE2894">
        <v>-12.1885999999999</v>
      </c>
      <c r="AF2894">
        <v>12.144009640802199</v>
      </c>
      <c r="AG2894">
        <v>-0.64816890000000005</v>
      </c>
      <c r="AH2894">
        <v>67.542412710239404</v>
      </c>
      <c r="AI2894">
        <v>90.541143698891801</v>
      </c>
      <c r="AJ2894">
        <v>79.807221651986396</v>
      </c>
      <c r="AK2894">
        <v>68.628526195738303</v>
      </c>
      <c r="AL2894">
        <v>77.061556324664394</v>
      </c>
      <c r="AM2894">
        <v>90.900919147215006</v>
      </c>
      <c r="AN2894">
        <v>1.0000000001314999</v>
      </c>
    </row>
    <row r="2895" spans="1:40" x14ac:dyDescent="0.25">
      <c r="A2895" t="str">
        <f>"20190304155425186"</f>
        <v>20190304155425186</v>
      </c>
      <c r="B2895" t="str">
        <f>"1551686065179850"</f>
        <v>1551686065179850</v>
      </c>
      <c r="C2895" t="s">
        <v>40</v>
      </c>
      <c r="D2895">
        <v>4.3725129999999996</v>
      </c>
      <c r="E2895">
        <v>0.57365880000000002</v>
      </c>
      <c r="F2895" t="s">
        <v>70</v>
      </c>
      <c r="G2895">
        <v>-168.4118</v>
      </c>
      <c r="H2895">
        <v>0.30027389999999998</v>
      </c>
      <c r="I2895">
        <v>202.92189999999999</v>
      </c>
      <c r="J2895">
        <v>-235.63560000000001</v>
      </c>
      <c r="K2895">
        <v>1.1105430000000001</v>
      </c>
      <c r="L2895">
        <v>215.09780000000001</v>
      </c>
      <c r="M2895">
        <v>0.99989600000000001</v>
      </c>
      <c r="N2895">
        <v>-1.4405690000000001E-2</v>
      </c>
      <c r="O2895">
        <v>-6.6072440000000004E-4</v>
      </c>
      <c r="P2895">
        <v>0.97767910000000002</v>
      </c>
      <c r="Q2895">
        <v>0.20959469999999999</v>
      </c>
      <c r="R2895">
        <v>1.4612429999999999E-2</v>
      </c>
      <c r="S2895">
        <v>3.0849760000000002</v>
      </c>
      <c r="T2895">
        <v>-3.7007930000000001E-2</v>
      </c>
      <c r="U2895">
        <v>-0.55615230000000004</v>
      </c>
      <c r="V2895">
        <v>-1.52414E-2</v>
      </c>
      <c r="W2895">
        <v>0.2236583</v>
      </c>
      <c r="X2895">
        <v>0.97454850000000004</v>
      </c>
      <c r="Y2895">
        <v>0.1767397</v>
      </c>
      <c r="Z2895">
        <v>-2.336542E-3</v>
      </c>
      <c r="AA2895">
        <v>0.98425479999999999</v>
      </c>
      <c r="AB2895">
        <v>32</v>
      </c>
      <c r="AC2895">
        <v>67.223799999999997</v>
      </c>
      <c r="AD2895">
        <v>-0.81026909999999996</v>
      </c>
      <c r="AE2895">
        <v>-12.1759</v>
      </c>
      <c r="AF2895">
        <v>12.1297700629452</v>
      </c>
      <c r="AG2895">
        <v>-0.81026909999999996</v>
      </c>
      <c r="AH2895">
        <v>67.222375072954804</v>
      </c>
      <c r="AI2895">
        <v>90.679610609358605</v>
      </c>
      <c r="AJ2895">
        <v>79.7714732279439</v>
      </c>
      <c r="AK2895">
        <v>68.312777488866303</v>
      </c>
      <c r="AL2895">
        <v>77.076006831277496</v>
      </c>
      <c r="AM2895">
        <v>90.896001282760494</v>
      </c>
      <c r="AN2895">
        <v>1.00000005714254</v>
      </c>
    </row>
    <row r="2896" spans="1:40" x14ac:dyDescent="0.25">
      <c r="A2896" t="str">
        <f>"20190304155425225"</f>
        <v>20190304155425225</v>
      </c>
      <c r="B2896" t="str">
        <f>"1551686065219867"</f>
        <v>1551686065219867</v>
      </c>
      <c r="C2896" t="s">
        <v>40</v>
      </c>
      <c r="D2896">
        <v>4.305339</v>
      </c>
      <c r="E2896">
        <v>0.57342409999999999</v>
      </c>
      <c r="F2896" t="s">
        <v>70</v>
      </c>
      <c r="G2896">
        <v>-168.4117</v>
      </c>
      <c r="H2896">
        <v>8.5290909999999998E-2</v>
      </c>
      <c r="I2896">
        <v>202.96719999999999</v>
      </c>
      <c r="J2896">
        <v>-235.0874</v>
      </c>
      <c r="K2896">
        <v>1.1105480000000001</v>
      </c>
      <c r="L2896">
        <v>215.09739999999999</v>
      </c>
      <c r="M2896">
        <v>0.99989620000000001</v>
      </c>
      <c r="N2896">
        <v>-1.4400039999999999E-2</v>
      </c>
      <c r="O2896">
        <v>-6.9024500000000003E-4</v>
      </c>
      <c r="P2896">
        <v>0.97770480000000004</v>
      </c>
      <c r="Q2896">
        <v>0.20951600000000001</v>
      </c>
      <c r="R2896">
        <v>1.401057E-2</v>
      </c>
      <c r="S2896">
        <v>3.086929</v>
      </c>
      <c r="T2896">
        <v>-4.7078130000000003E-2</v>
      </c>
      <c r="U2896">
        <v>-0.55703740000000002</v>
      </c>
      <c r="V2896">
        <v>-1.466872E-2</v>
      </c>
      <c r="W2896">
        <v>0.2235742</v>
      </c>
      <c r="X2896">
        <v>0.97457649999999996</v>
      </c>
      <c r="Y2896">
        <v>0.17686350000000001</v>
      </c>
      <c r="Z2896">
        <v>-2.621024E-3</v>
      </c>
      <c r="AA2896">
        <v>0.98423190000000005</v>
      </c>
      <c r="AB2896">
        <v>32</v>
      </c>
      <c r="AC2896">
        <v>66.675700000000006</v>
      </c>
      <c r="AD2896">
        <v>-1.02525708999999</v>
      </c>
      <c r="AE2896">
        <v>-12.1302</v>
      </c>
      <c r="AF2896">
        <v>12.081404703212</v>
      </c>
      <c r="AG2896">
        <v>-1.02525708999999</v>
      </c>
      <c r="AH2896">
        <v>66.668799301003105</v>
      </c>
      <c r="AI2896">
        <v>90.866928592437205</v>
      </c>
      <c r="AJ2896">
        <v>79.728595763555106</v>
      </c>
      <c r="AK2896">
        <v>67.762381097042507</v>
      </c>
      <c r="AL2896">
        <v>77.080949506944904</v>
      </c>
      <c r="AM2896">
        <v>90.862315363389598</v>
      </c>
      <c r="AN2896">
        <v>0.99999997430216303</v>
      </c>
    </row>
    <row r="2897" spans="1:40" x14ac:dyDescent="0.25">
      <c r="A2897" t="str">
        <f>"20190304155425249"</f>
        <v>20190304155425249</v>
      </c>
      <c r="B2897" t="str">
        <f>"1551686065239895"</f>
        <v>1551686065239895</v>
      </c>
      <c r="C2897" t="s">
        <v>40</v>
      </c>
      <c r="D2897">
        <v>4.5643960000000003</v>
      </c>
      <c r="E2897">
        <v>0.57329819999999998</v>
      </c>
      <c r="F2897" t="s">
        <v>51</v>
      </c>
      <c r="G2897">
        <v>-181.54759999999999</v>
      </c>
      <c r="H2897" s="1">
        <v>4.0934350000000004E-6</v>
      </c>
      <c r="I2897">
        <v>205.44139999999999</v>
      </c>
      <c r="J2897">
        <v>-234.73429999999999</v>
      </c>
      <c r="K2897">
        <v>1.110549</v>
      </c>
      <c r="L2897">
        <v>215.09710000000001</v>
      </c>
      <c r="M2897">
        <v>0.99989629999999996</v>
      </c>
      <c r="N2897">
        <v>-1.439636E-2</v>
      </c>
      <c r="O2897">
        <v>-7.0893300000000002E-4</v>
      </c>
      <c r="P2897">
        <v>0.97775690000000004</v>
      </c>
      <c r="Q2897">
        <v>0.2092936</v>
      </c>
      <c r="R2897">
        <v>1.3715379999999999E-2</v>
      </c>
      <c r="S2897">
        <v>3.0901489999999998</v>
      </c>
      <c r="T2897">
        <v>-6.4097050000000003E-2</v>
      </c>
      <c r="U2897">
        <v>-0.55731200000000003</v>
      </c>
      <c r="V2897">
        <v>-1.4391579999999999E-2</v>
      </c>
      <c r="W2897">
        <v>0.2233492</v>
      </c>
      <c r="X2897">
        <v>0.97463230000000001</v>
      </c>
      <c r="Y2897">
        <v>0.17672679999999999</v>
      </c>
      <c r="Z2897">
        <v>-3.096134E-3</v>
      </c>
      <c r="AA2897">
        <v>0.98425510000000005</v>
      </c>
      <c r="AB2897">
        <v>32</v>
      </c>
      <c r="AC2897">
        <v>53.186700000000002</v>
      </c>
      <c r="AD2897">
        <v>-1.1105449065649999</v>
      </c>
      <c r="AE2897">
        <v>-9.6557000000000208</v>
      </c>
      <c r="AF2897">
        <v>9.6139301232046694</v>
      </c>
      <c r="AG2897">
        <v>-1.1105449065649999</v>
      </c>
      <c r="AH2897">
        <v>53.171090714171001</v>
      </c>
      <c r="AI2897">
        <v>91.177433785013406</v>
      </c>
      <c r="AJ2897">
        <v>79.751011488836795</v>
      </c>
      <c r="AK2897">
        <v>54.044665325432099</v>
      </c>
      <c r="AL2897">
        <v>77.094176520383598</v>
      </c>
      <c r="AM2897">
        <v>90.845977372426304</v>
      </c>
      <c r="AN2897">
        <v>1.0000000514594101</v>
      </c>
    </row>
    <row r="2898" spans="1:40" x14ac:dyDescent="0.25">
      <c r="A2898" t="str">
        <f>"20190304155425272"</f>
        <v>20190304155425272</v>
      </c>
      <c r="B2898" t="str">
        <f>"1551686065259415"</f>
        <v>1551686065259415</v>
      </c>
      <c r="C2898" t="s">
        <v>40</v>
      </c>
      <c r="D2898">
        <v>4.3486739999999999</v>
      </c>
      <c r="E2898">
        <v>0.57301539999999995</v>
      </c>
      <c r="F2898" t="s">
        <v>51</v>
      </c>
      <c r="G2898">
        <v>-187.86529999999999</v>
      </c>
      <c r="H2898" s="1">
        <v>5.0895509999999996E-6</v>
      </c>
      <c r="I2898">
        <v>206.64169999999999</v>
      </c>
      <c r="J2898">
        <v>-234.42779999999999</v>
      </c>
      <c r="K2898">
        <v>1.1105529999999999</v>
      </c>
      <c r="L2898">
        <v>215.09690000000001</v>
      </c>
      <c r="M2898">
        <v>0.99989609999999995</v>
      </c>
      <c r="N2898">
        <v>-1.439317E-2</v>
      </c>
      <c r="O2898">
        <v>-7.248841E-4</v>
      </c>
      <c r="P2898">
        <v>0.97780829999999996</v>
      </c>
      <c r="Q2898">
        <v>0.2090497</v>
      </c>
      <c r="R2898">
        <v>1.3743460000000001E-2</v>
      </c>
      <c r="S2898">
        <v>3.0917659999999998</v>
      </c>
      <c r="T2898">
        <v>-7.3258279999999995E-2</v>
      </c>
      <c r="U2898">
        <v>-0.55776979999999998</v>
      </c>
      <c r="V2898">
        <v>-1.443563E-2</v>
      </c>
      <c r="W2898">
        <v>0.22310240000000001</v>
      </c>
      <c r="X2898">
        <v>0.97468809999999995</v>
      </c>
      <c r="Y2898">
        <v>0.1767474</v>
      </c>
      <c r="Z2898">
        <v>-3.352757E-3</v>
      </c>
      <c r="AA2898">
        <v>0.98425050000000003</v>
      </c>
      <c r="AB2898">
        <v>32</v>
      </c>
      <c r="AC2898">
        <v>46.5625</v>
      </c>
      <c r="AD2898">
        <v>-1.1105479104489999</v>
      </c>
      <c r="AE2898">
        <v>-8.4552000000000191</v>
      </c>
      <c r="AF2898">
        <v>8.4168067557046093</v>
      </c>
      <c r="AG2898">
        <v>-1.1105479104489999</v>
      </c>
      <c r="AH2898">
        <v>46.5429863680843</v>
      </c>
      <c r="AI2898">
        <v>91.345049285405096</v>
      </c>
      <c r="AJ2898">
        <v>79.7494471493482</v>
      </c>
      <c r="AK2898">
        <v>47.310945167941497</v>
      </c>
      <c r="AL2898">
        <v>77.108682234452203</v>
      </c>
      <c r="AM2898">
        <v>90.848517804183203</v>
      </c>
      <c r="AN2898">
        <v>0.99999998029043302</v>
      </c>
    </row>
    <row r="2899" spans="1:40" x14ac:dyDescent="0.25">
      <c r="A2899" t="str">
        <f>"20190304155425295"</f>
        <v>20190304155425295</v>
      </c>
      <c r="B2899" t="str">
        <f>"1551686065289671"</f>
        <v>1551686065289671</v>
      </c>
      <c r="C2899" t="s">
        <v>40</v>
      </c>
      <c r="D2899">
        <v>4.2522510000000002</v>
      </c>
      <c r="E2899">
        <v>0.57262119999999905</v>
      </c>
      <c r="F2899" t="s">
        <v>51</v>
      </c>
      <c r="G2899">
        <v>-192.84780000000001</v>
      </c>
      <c r="H2899" s="1">
        <v>4.4698040000000001E-6</v>
      </c>
      <c r="I2899">
        <v>207.63220000000001</v>
      </c>
      <c r="J2899">
        <v>-234.1003</v>
      </c>
      <c r="K2899">
        <v>1.1105560000000001</v>
      </c>
      <c r="L2899">
        <v>215.0966</v>
      </c>
      <c r="M2899">
        <v>0.99989629999999996</v>
      </c>
      <c r="N2899">
        <v>-1.438976E-2</v>
      </c>
      <c r="O2899">
        <v>-7.4261970000000005E-4</v>
      </c>
      <c r="P2899">
        <v>0.97787849999999998</v>
      </c>
      <c r="Q2899">
        <v>0.20872170000000001</v>
      </c>
      <c r="R2899">
        <v>1.3762730000000001E-2</v>
      </c>
      <c r="S2899">
        <v>3.0935519999999999</v>
      </c>
      <c r="T2899">
        <v>-8.2624669999999997E-2</v>
      </c>
      <c r="U2899">
        <v>-0.55537409999999998</v>
      </c>
      <c r="V2899">
        <v>-1.4472540000000001E-2</v>
      </c>
      <c r="W2899">
        <v>0.22277240000000001</v>
      </c>
      <c r="X2899">
        <v>0.97476300000000005</v>
      </c>
      <c r="Y2899">
        <v>0.175876</v>
      </c>
      <c r="Z2899">
        <v>-3.5964529999999999E-3</v>
      </c>
      <c r="AA2899">
        <v>0.9844058</v>
      </c>
      <c r="AB2899">
        <v>32</v>
      </c>
      <c r="AC2899">
        <v>41.252499999999998</v>
      </c>
      <c r="AD2899">
        <v>-1.1105515301959901</v>
      </c>
      <c r="AE2899">
        <v>-7.4643999999999799</v>
      </c>
      <c r="AF2899">
        <v>7.42854683313863</v>
      </c>
      <c r="AG2899">
        <v>-1.1105515301959901</v>
      </c>
      <c r="AH2899">
        <v>41.229099677335</v>
      </c>
      <c r="AI2899">
        <v>91.518512487232996</v>
      </c>
      <c r="AJ2899">
        <v>79.786188232102205</v>
      </c>
      <c r="AK2899">
        <v>41.9076996858212</v>
      </c>
      <c r="AL2899">
        <v>77.128077601141797</v>
      </c>
      <c r="AM2899">
        <v>90.850621677262595</v>
      </c>
      <c r="AN2899">
        <v>0.99999995139240405</v>
      </c>
    </row>
    <row r="2900" spans="1:40" x14ac:dyDescent="0.25">
      <c r="A2900" t="str">
        <f>"20190304155425316"</f>
        <v>20190304155425316</v>
      </c>
      <c r="B2900" t="str">
        <f>"1551686065310167"</f>
        <v>1551686065310167</v>
      </c>
      <c r="C2900" t="s">
        <v>40</v>
      </c>
      <c r="D2900">
        <v>4.3721750000000004</v>
      </c>
      <c r="E2900">
        <v>0.57228749999999995</v>
      </c>
      <c r="F2900" t="s">
        <v>51</v>
      </c>
      <c r="G2900">
        <v>-198.3817</v>
      </c>
      <c r="H2900" s="1">
        <v>3.151938E-6</v>
      </c>
      <c r="I2900">
        <v>208.72139999999999</v>
      </c>
      <c r="J2900">
        <v>-233.7868</v>
      </c>
      <c r="K2900">
        <v>1.110554</v>
      </c>
      <c r="L2900">
        <v>215.09630000000001</v>
      </c>
      <c r="M2900">
        <v>0.99989620000000001</v>
      </c>
      <c r="N2900">
        <v>-1.438649E-2</v>
      </c>
      <c r="O2900">
        <v>-7.5928300000000003E-4</v>
      </c>
      <c r="P2900">
        <v>0.97787559999999996</v>
      </c>
      <c r="Q2900">
        <v>0.20874680000000001</v>
      </c>
      <c r="R2900">
        <v>1.356774E-2</v>
      </c>
      <c r="S2900">
        <v>3.0962070000000002</v>
      </c>
      <c r="T2900">
        <v>-9.6266389999999993E-2</v>
      </c>
      <c r="U2900">
        <v>-0.5526276</v>
      </c>
      <c r="V2900">
        <v>-1.4293520000000001E-2</v>
      </c>
      <c r="W2900">
        <v>0.2227942</v>
      </c>
      <c r="X2900">
        <v>0.97476070000000004</v>
      </c>
      <c r="Y2900">
        <v>0.1748402</v>
      </c>
      <c r="Z2900">
        <v>-3.9515469999999997E-3</v>
      </c>
      <c r="AA2900">
        <v>0.98458889999999999</v>
      </c>
      <c r="AB2900">
        <v>32</v>
      </c>
      <c r="AC2900">
        <v>35.405099999999997</v>
      </c>
      <c r="AD2900">
        <v>-1.1105508480619899</v>
      </c>
      <c r="AE2900">
        <v>-6.3749000000000198</v>
      </c>
      <c r="AF2900">
        <v>6.3419690495068002</v>
      </c>
      <c r="AG2900">
        <v>-1.1105508480619899</v>
      </c>
      <c r="AH2900">
        <v>35.376217431846001</v>
      </c>
      <c r="AI2900">
        <v>91.769874751878106</v>
      </c>
      <c r="AJ2900">
        <v>79.836427733715993</v>
      </c>
      <c r="AK2900">
        <v>35.957344929739698</v>
      </c>
      <c r="AL2900">
        <v>77.126796874856097</v>
      </c>
      <c r="AM2900">
        <v>90.840103299206802</v>
      </c>
      <c r="AN2900">
        <v>0.99999999126605998</v>
      </c>
    </row>
    <row r="2901" spans="1:40" x14ac:dyDescent="0.25">
      <c r="A2901" t="str">
        <f>"20190304155425345"</f>
        <v>20190304155425345</v>
      </c>
      <c r="B2901" t="str">
        <f>"1551686065339447"</f>
        <v>1551686065339447</v>
      </c>
      <c r="C2901" t="s">
        <v>40</v>
      </c>
      <c r="D2901">
        <v>4.7045599999999999</v>
      </c>
      <c r="E2901">
        <v>0.61750569999999905</v>
      </c>
      <c r="F2901" t="s">
        <v>51</v>
      </c>
      <c r="G2901">
        <v>-201.10570000000001</v>
      </c>
      <c r="H2901" s="1">
        <v>3.202743E-6</v>
      </c>
      <c r="I2901">
        <v>209.2851</v>
      </c>
      <c r="J2901">
        <v>-233.4119</v>
      </c>
      <c r="K2901">
        <v>1.1105560000000001</v>
      </c>
      <c r="L2901">
        <v>215.09610000000001</v>
      </c>
      <c r="M2901">
        <v>0.99989629999999996</v>
      </c>
      <c r="N2901">
        <v>-1.4382560000000001E-2</v>
      </c>
      <c r="O2901">
        <v>-7.7927960000000001E-4</v>
      </c>
      <c r="P2901">
        <v>0.97793810000000003</v>
      </c>
      <c r="Q2901">
        <v>0.20844179999999901</v>
      </c>
      <c r="R2901">
        <v>1.376285E-2</v>
      </c>
      <c r="S2901">
        <v>3.0979920000000001</v>
      </c>
      <c r="T2901">
        <v>-0.1052742</v>
      </c>
      <c r="U2901">
        <v>-0.55087280000000005</v>
      </c>
      <c r="V2901">
        <v>-1.450837E-2</v>
      </c>
      <c r="W2901">
        <v>0.2224864</v>
      </c>
      <c r="X2901">
        <v>0.97482780000000002</v>
      </c>
      <c r="Y2901">
        <v>0.17416280000000001</v>
      </c>
      <c r="Z2901">
        <v>-4.1829170000000004E-3</v>
      </c>
      <c r="AA2901">
        <v>0.98470800000000003</v>
      </c>
      <c r="AB2901">
        <v>32</v>
      </c>
      <c r="AC2901">
        <v>32.306199999999897</v>
      </c>
      <c r="AD2901">
        <v>-1.110552797257</v>
      </c>
      <c r="AE2901">
        <v>-5.8109999999999999</v>
      </c>
      <c r="AF2901">
        <v>5.7792048225508497</v>
      </c>
      <c r="AG2901">
        <v>-1.110552797257</v>
      </c>
      <c r="AH2901">
        <v>32.273776426218298</v>
      </c>
      <c r="AI2901">
        <v>91.939958520762602</v>
      </c>
      <c r="AJ2901">
        <v>79.847751216934199</v>
      </c>
      <c r="AK2901">
        <v>32.805932096284302</v>
      </c>
      <c r="AL2901">
        <v>77.144886215806395</v>
      </c>
      <c r="AM2901">
        <v>90.852670595121296</v>
      </c>
      <c r="AN2901">
        <v>0.99999996531892799</v>
      </c>
    </row>
    <row r="2902" spans="1:40" x14ac:dyDescent="0.25">
      <c r="A2902" t="str">
        <f>"20190304155425368"</f>
        <v>20190304155425368</v>
      </c>
      <c r="B2902" t="str">
        <f>"1551686065359943"</f>
        <v>1551686065359943</v>
      </c>
      <c r="C2902" t="s">
        <v>40</v>
      </c>
      <c r="D2902">
        <v>4.5982180000000001</v>
      </c>
      <c r="E2902">
        <v>0.61930719999999995</v>
      </c>
      <c r="F2902" t="s">
        <v>63</v>
      </c>
      <c r="G2902">
        <v>-224.25800000000001</v>
      </c>
      <c r="H2902" s="1">
        <v>8.2404380000000003E-7</v>
      </c>
      <c r="I2902">
        <v>212.4444</v>
      </c>
      <c r="J2902">
        <v>-233.07329999999999</v>
      </c>
      <c r="K2902">
        <v>1.110554</v>
      </c>
      <c r="L2902">
        <v>215.0958</v>
      </c>
      <c r="M2902">
        <v>0.99989649999999997</v>
      </c>
      <c r="N2902">
        <v>-1.437898E-2</v>
      </c>
      <c r="O2902">
        <v>-7.9749259999999903E-4</v>
      </c>
      <c r="P2902">
        <v>0.97799610000000003</v>
      </c>
      <c r="Q2902">
        <v>0.2081691</v>
      </c>
      <c r="R2902">
        <v>1.3770309999999999E-2</v>
      </c>
      <c r="S2902">
        <v>3.1623230000000002</v>
      </c>
      <c r="T2902">
        <v>-0.38365329999999997</v>
      </c>
      <c r="U2902">
        <v>-0.91604609999999997</v>
      </c>
      <c r="V2902">
        <v>-1.453348E-2</v>
      </c>
      <c r="W2902">
        <v>0.2222113</v>
      </c>
      <c r="X2902">
        <v>0.97489020000000004</v>
      </c>
      <c r="Y2902">
        <v>0.27537450000000002</v>
      </c>
      <c r="Z2902">
        <v>-1.8255540000000001E-2</v>
      </c>
      <c r="AA2902">
        <v>0.96116369999999896</v>
      </c>
      <c r="AB2902">
        <v>31</v>
      </c>
      <c r="AC2902">
        <v>8.8153000000000006</v>
      </c>
      <c r="AD2902">
        <v>-1.1105531759562</v>
      </c>
      <c r="AE2902">
        <v>-2.65139999999999</v>
      </c>
      <c r="AF2902">
        <v>2.60643332279788</v>
      </c>
      <c r="AG2902">
        <v>-1.1105531759562</v>
      </c>
      <c r="AH2902">
        <v>8.6909210820310001</v>
      </c>
      <c r="AI2902">
        <v>96.978141031975895</v>
      </c>
      <c r="AJ2902">
        <v>73.305854594794695</v>
      </c>
      <c r="AK2902">
        <v>9.14105750320544</v>
      </c>
      <c r="AL2902">
        <v>77.161053346431402</v>
      </c>
      <c r="AM2902">
        <v>90.854091451660807</v>
      </c>
      <c r="AN2902">
        <v>0.99999999297232001</v>
      </c>
    </row>
    <row r="2903" spans="1:40" x14ac:dyDescent="0.25">
      <c r="A2903" t="str">
        <f>"20190304155425391"</f>
        <v>20190304155425391</v>
      </c>
      <c r="B2903" t="str">
        <f>"1551686065379462"</f>
        <v>1551686065379462</v>
      </c>
      <c r="C2903" t="s">
        <v>40</v>
      </c>
      <c r="D2903">
        <v>4.6043620000000001</v>
      </c>
      <c r="E2903">
        <v>0.61929330000000005</v>
      </c>
      <c r="F2903" t="s">
        <v>63</v>
      </c>
      <c r="G2903">
        <v>-223.86510000000001</v>
      </c>
      <c r="H2903" s="1">
        <v>6.1747510000000001E-7</v>
      </c>
      <c r="I2903">
        <v>212.38669999999999</v>
      </c>
      <c r="J2903">
        <v>-232.75309999999999</v>
      </c>
      <c r="K2903">
        <v>1.110555</v>
      </c>
      <c r="L2903">
        <v>215.09549999999999</v>
      </c>
      <c r="M2903">
        <v>0.99989629999999996</v>
      </c>
      <c r="N2903">
        <v>-1.4375590000000001E-2</v>
      </c>
      <c r="O2903">
        <v>-8.1451189999999995E-4</v>
      </c>
      <c r="P2903">
        <v>0.9779523</v>
      </c>
      <c r="Q2903">
        <v>0.20835500000000001</v>
      </c>
      <c r="R2903">
        <v>1.4050699999999999E-2</v>
      </c>
      <c r="S2903">
        <v>3.1617579999999998</v>
      </c>
      <c r="T2903">
        <v>-0.38132369999999999</v>
      </c>
      <c r="U2903">
        <v>-0.93020630000000004</v>
      </c>
      <c r="V2903">
        <v>-1.4830360000000001E-2</v>
      </c>
      <c r="W2903">
        <v>0.22239349999999999</v>
      </c>
      <c r="X2903">
        <v>0.97484420000000005</v>
      </c>
      <c r="Y2903">
        <v>0.27936420000000001</v>
      </c>
      <c r="Z2903">
        <v>-1.8413700000000002E-2</v>
      </c>
      <c r="AA2903">
        <v>0.96000859999999999</v>
      </c>
      <c r="AB2903">
        <v>31</v>
      </c>
      <c r="AC2903">
        <v>8.8879999999999697</v>
      </c>
      <c r="AD2903">
        <v>-1.11055438252489</v>
      </c>
      <c r="AE2903">
        <v>-2.7087999999999899</v>
      </c>
      <c r="AF2903">
        <v>2.66350926574661</v>
      </c>
      <c r="AG2903">
        <v>-1.11055438252489</v>
      </c>
      <c r="AH2903">
        <v>8.7649908788329007</v>
      </c>
      <c r="AI2903">
        <v>96.912215825135405</v>
      </c>
      <c r="AJ2903">
        <v>73.096999276865404</v>
      </c>
      <c r="AK2903">
        <v>9.2278208560465291</v>
      </c>
      <c r="AL2903">
        <v>77.150346377148296</v>
      </c>
      <c r="AM2903">
        <v>90.871576702972305</v>
      </c>
      <c r="AN2903">
        <v>1.0000000113467999</v>
      </c>
    </row>
    <row r="2904" spans="1:40" x14ac:dyDescent="0.25">
      <c r="A2904" t="str">
        <f>"20190304155425410"</f>
        <v>20190304155425410</v>
      </c>
      <c r="B2904" t="str">
        <f>"1551686065399959"</f>
        <v>1551686065399959</v>
      </c>
      <c r="C2904" t="s">
        <v>40</v>
      </c>
      <c r="D2904">
        <v>4.6164990000000001</v>
      </c>
      <c r="E2904">
        <v>0.61931979999999998</v>
      </c>
      <c r="F2904" t="s">
        <v>63</v>
      </c>
      <c r="G2904">
        <v>-223.4597</v>
      </c>
      <c r="H2904" s="1">
        <v>4.0273330000000001E-7</v>
      </c>
      <c r="I2904">
        <v>212.3638</v>
      </c>
      <c r="J2904">
        <v>-232.4804</v>
      </c>
      <c r="K2904">
        <v>1.1105480000000001</v>
      </c>
      <c r="L2904">
        <v>215.09530000000001</v>
      </c>
      <c r="M2904">
        <v>0.99989640000000002</v>
      </c>
      <c r="N2904">
        <v>-1.437269E-2</v>
      </c>
      <c r="O2904">
        <v>-8.2915270000000001E-4</v>
      </c>
      <c r="P2904">
        <v>0.97793379999999996</v>
      </c>
      <c r="Q2904">
        <v>0.2084415</v>
      </c>
      <c r="R2904">
        <v>1.406341E-2</v>
      </c>
      <c r="S2904">
        <v>3.1614689999999999</v>
      </c>
      <c r="T2904">
        <v>-0.37779380000000001</v>
      </c>
      <c r="U2904">
        <v>-0.92926030000000004</v>
      </c>
      <c r="V2904">
        <v>-1.4857499999999999E-2</v>
      </c>
      <c r="W2904">
        <v>0.22247629999999999</v>
      </c>
      <c r="X2904">
        <v>0.97482489999999999</v>
      </c>
      <c r="Y2904">
        <v>0.27914719999999998</v>
      </c>
      <c r="Z2904">
        <v>-1.8249109999999999E-2</v>
      </c>
      <c r="AA2904">
        <v>0.96007489999999995</v>
      </c>
      <c r="AB2904">
        <v>31</v>
      </c>
      <c r="AC2904">
        <v>9.0206999999999997</v>
      </c>
      <c r="AD2904">
        <v>-1.1105475972666901</v>
      </c>
      <c r="AE2904">
        <v>-2.7315000000000098</v>
      </c>
      <c r="AF2904">
        <v>2.6867180798000998</v>
      </c>
      <c r="AG2904">
        <v>-1.1105475972666901</v>
      </c>
      <c r="AH2904">
        <v>8.8994082852825294</v>
      </c>
      <c r="AI2904">
        <v>96.812469183213693</v>
      </c>
      <c r="AJ2904">
        <v>73.201013055949204</v>
      </c>
      <c r="AK2904">
        <v>9.3622239790700892</v>
      </c>
      <c r="AL2904">
        <v>77.145480462155902</v>
      </c>
      <c r="AM2904">
        <v>90.873188752290304</v>
      </c>
      <c r="AN2904">
        <v>1.0000000175139701</v>
      </c>
    </row>
    <row r="2905" spans="1:40" x14ac:dyDescent="0.25">
      <c r="A2905" t="str">
        <f>"20190304155425430"</f>
        <v>20190304155425430</v>
      </c>
      <c r="B2905" t="str">
        <f>"1551686065419479"</f>
        <v>1551686065419479</v>
      </c>
      <c r="C2905" t="s">
        <v>40</v>
      </c>
      <c r="D2905">
        <v>4.6194839999999999</v>
      </c>
      <c r="E2905">
        <v>0.61932030000000005</v>
      </c>
      <c r="F2905" t="s">
        <v>63</v>
      </c>
      <c r="G2905">
        <v>-223.17410000000001</v>
      </c>
      <c r="H2905" s="1">
        <v>2.5095909999999998E-7</v>
      </c>
      <c r="I2905">
        <v>212.3596</v>
      </c>
      <c r="J2905">
        <v>-232.20400000000001</v>
      </c>
      <c r="K2905">
        <v>1.110552</v>
      </c>
      <c r="L2905">
        <v>215.095</v>
      </c>
      <c r="M2905">
        <v>0.99989640000000002</v>
      </c>
      <c r="N2905">
        <v>-1.4369730000000001E-2</v>
      </c>
      <c r="O2905">
        <v>-8.4379429999999905E-4</v>
      </c>
      <c r="P2905">
        <v>0.97787000000000002</v>
      </c>
      <c r="Q2905">
        <v>0.2087543</v>
      </c>
      <c r="R2905">
        <v>1.385024E-2</v>
      </c>
      <c r="S2905">
        <v>3.1614689999999999</v>
      </c>
      <c r="T2905">
        <v>-0.37726579999999998</v>
      </c>
      <c r="U2905">
        <v>-0.92935179999999995</v>
      </c>
      <c r="V2905">
        <v>-1.4658879999999999E-2</v>
      </c>
      <c r="W2905">
        <v>0.22278539999999999</v>
      </c>
      <c r="X2905">
        <v>0.97475730000000005</v>
      </c>
      <c r="Y2905">
        <v>0.27916410000000003</v>
      </c>
      <c r="Z2905">
        <v>-1.8225760000000001E-2</v>
      </c>
      <c r="AA2905">
        <v>0.96007039999999999</v>
      </c>
      <c r="AB2905">
        <v>31</v>
      </c>
      <c r="AC2905">
        <v>9.0298999999999907</v>
      </c>
      <c r="AD2905">
        <v>-1.11055174904089</v>
      </c>
      <c r="AE2905">
        <v>-2.7353999999999901</v>
      </c>
      <c r="AF2905">
        <v>2.6905039774777801</v>
      </c>
      <c r="AG2905">
        <v>-1.11055174904089</v>
      </c>
      <c r="AH2905">
        <v>8.9087807649977293</v>
      </c>
      <c r="AI2905">
        <v>96.805194319540703</v>
      </c>
      <c r="AJ2905">
        <v>73.1953762728144</v>
      </c>
      <c r="AK2905">
        <v>9.3722202043547291</v>
      </c>
      <c r="AL2905">
        <v>77.127314263969197</v>
      </c>
      <c r="AM2905">
        <v>90.861577183751194</v>
      </c>
      <c r="AN2905">
        <v>1.0000000055596501</v>
      </c>
    </row>
    <row r="2906" spans="1:40" x14ac:dyDescent="0.25">
      <c r="A2906" t="str">
        <f>"20190304155425452"</f>
        <v>20190304155425452</v>
      </c>
      <c r="B2906" t="str">
        <f>"1551686065449735"</f>
        <v>1551686065449735</v>
      </c>
      <c r="C2906" t="s">
        <v>40</v>
      </c>
      <c r="D2906">
        <v>4.7000279999999997</v>
      </c>
      <c r="E2906">
        <v>0.60815140000000001</v>
      </c>
      <c r="F2906" t="s">
        <v>63</v>
      </c>
      <c r="G2906">
        <v>-222.82300000000001</v>
      </c>
      <c r="H2906" s="1">
        <v>6.5093790000000006E-8</v>
      </c>
      <c r="I2906">
        <v>212.33690000000001</v>
      </c>
      <c r="J2906">
        <v>-231.88900000000001</v>
      </c>
      <c r="K2906">
        <v>1.1105529999999999</v>
      </c>
      <c r="L2906">
        <v>215.09469999999999</v>
      </c>
      <c r="M2906">
        <v>0.99989649999999997</v>
      </c>
      <c r="N2906">
        <v>-1.436636E-2</v>
      </c>
      <c r="O2906">
        <v>-8.6057739999999998E-4</v>
      </c>
      <c r="P2906">
        <v>0.97798719999999995</v>
      </c>
      <c r="Q2906">
        <v>0.2082417</v>
      </c>
      <c r="R2906">
        <v>1.329492E-2</v>
      </c>
      <c r="S2906">
        <v>3.1609340000000001</v>
      </c>
      <c r="T2906">
        <v>-0.37419859999999999</v>
      </c>
      <c r="U2906">
        <v>-0.92935179999999995</v>
      </c>
      <c r="V2906">
        <v>-1.412002E-2</v>
      </c>
      <c r="W2906">
        <v>0.2222712</v>
      </c>
      <c r="X2906">
        <v>0.97488260000000004</v>
      </c>
      <c r="Y2906">
        <v>0.27922229999999998</v>
      </c>
      <c r="Z2906">
        <v>-1.8099319999999999E-2</v>
      </c>
      <c r="AA2906">
        <v>0.96005589999999996</v>
      </c>
      <c r="AB2906">
        <v>31</v>
      </c>
      <c r="AC2906">
        <v>9.0660000000000291</v>
      </c>
      <c r="AD2906">
        <v>-1.11055293490621</v>
      </c>
      <c r="AE2906">
        <v>-2.7577999999999698</v>
      </c>
      <c r="AF2906">
        <v>2.71273808680942</v>
      </c>
      <c r="AG2906">
        <v>-1.11055293490621</v>
      </c>
      <c r="AH2906">
        <v>8.9455081351547996</v>
      </c>
      <c r="AI2906">
        <v>96.7752037468574</v>
      </c>
      <c r="AJ2906">
        <v>73.129998150857304</v>
      </c>
      <c r="AK2906">
        <v>9.4135217397622206</v>
      </c>
      <c r="AL2906">
        <v>77.157533032052299</v>
      </c>
      <c r="AM2906">
        <v>90.829803493888406</v>
      </c>
      <c r="AN2906">
        <v>0.99999997254849904</v>
      </c>
    </row>
    <row r="2907" spans="1:40" x14ac:dyDescent="0.25">
      <c r="A2907" t="str">
        <f>"20190304155425475"</f>
        <v>20190304155425475</v>
      </c>
      <c r="B2907" t="str">
        <f>"1551686065470231"</f>
        <v>1551686065470231</v>
      </c>
      <c r="C2907" t="s">
        <v>40</v>
      </c>
      <c r="D2907">
        <v>4.5700200000000004</v>
      </c>
      <c r="E2907">
        <v>0.62409559999999997</v>
      </c>
      <c r="F2907" t="s">
        <v>63</v>
      </c>
      <c r="G2907">
        <v>-219.19239999999999</v>
      </c>
      <c r="H2907" s="1">
        <v>3.4826509999999998E-6</v>
      </c>
      <c r="I2907">
        <v>211.6953</v>
      </c>
      <c r="J2907">
        <v>-231.57300000000001</v>
      </c>
      <c r="K2907">
        <v>1.110554</v>
      </c>
      <c r="L2907">
        <v>215.09440000000001</v>
      </c>
      <c r="M2907">
        <v>0.99989649999999997</v>
      </c>
      <c r="N2907">
        <v>-1.4362990000000001E-2</v>
      </c>
      <c r="O2907">
        <v>-8.7747809999999895E-4</v>
      </c>
      <c r="P2907">
        <v>0.9779795</v>
      </c>
      <c r="Q2907">
        <v>0.2082879</v>
      </c>
      <c r="R2907">
        <v>1.312141E-2</v>
      </c>
      <c r="S2907">
        <v>3.1373899999999999</v>
      </c>
      <c r="T2907">
        <v>-0.27442230000000001</v>
      </c>
      <c r="U2907">
        <v>-0.84002690000000002</v>
      </c>
      <c r="V2907">
        <v>-1.396322E-2</v>
      </c>
      <c r="W2907">
        <v>0.22231390000000001</v>
      </c>
      <c r="X2907">
        <v>0.97487520000000005</v>
      </c>
      <c r="Y2907">
        <v>0.25671739999999998</v>
      </c>
      <c r="Z2907">
        <v>-1.282961E-2</v>
      </c>
      <c r="AA2907">
        <v>0.96640139999999997</v>
      </c>
      <c r="AB2907">
        <v>31</v>
      </c>
      <c r="AC2907">
        <v>12.3805999999999</v>
      </c>
      <c r="AD2907">
        <v>-1.110550517349</v>
      </c>
      <c r="AE2907">
        <v>-3.3990999999999998</v>
      </c>
      <c r="AF2907">
        <v>3.3630705368124199</v>
      </c>
      <c r="AG2907">
        <v>-1.110550517349</v>
      </c>
      <c r="AH2907">
        <v>12.2916093039169</v>
      </c>
      <c r="AI2907">
        <v>94.980583862342201</v>
      </c>
      <c r="AJ2907">
        <v>74.697975851512297</v>
      </c>
      <c r="AK2907">
        <v>12.791685782855099</v>
      </c>
      <c r="AL2907">
        <v>77.155024712935898</v>
      </c>
      <c r="AM2907">
        <v>90.820596187063003</v>
      </c>
      <c r="AN2907">
        <v>1.0000000486105001</v>
      </c>
    </row>
    <row r="2908" spans="1:40" x14ac:dyDescent="0.25">
      <c r="A2908" t="str">
        <f>"20190304155425497"</f>
        <v>20190304155425497</v>
      </c>
      <c r="B2908" t="str">
        <f>"1551686065489750"</f>
        <v>1551686065489750</v>
      </c>
      <c r="C2908" t="s">
        <v>40</v>
      </c>
      <c r="D2908">
        <v>4.6205829999999999</v>
      </c>
      <c r="E2908">
        <v>0.62243559999999998</v>
      </c>
      <c r="F2908" t="s">
        <v>63</v>
      </c>
      <c r="G2908">
        <v>-222.19880000000001</v>
      </c>
      <c r="H2908" s="1">
        <v>-2.6175989999999999E-7</v>
      </c>
      <c r="I2908">
        <v>212.21530000000001</v>
      </c>
      <c r="J2908">
        <v>-231.26750000000001</v>
      </c>
      <c r="K2908">
        <v>1.110555</v>
      </c>
      <c r="L2908">
        <v>215.0941</v>
      </c>
      <c r="M2908">
        <v>0.99989660000000002</v>
      </c>
      <c r="N2908">
        <v>-1.4359729999999999E-2</v>
      </c>
      <c r="O2908">
        <v>-8.9390369999999995E-4</v>
      </c>
      <c r="P2908">
        <v>0.97793039999999998</v>
      </c>
      <c r="Q2908">
        <v>0.2085465</v>
      </c>
      <c r="R2908">
        <v>1.268846E-2</v>
      </c>
      <c r="S2908">
        <v>3.160339</v>
      </c>
      <c r="T2908">
        <v>-0.37440059999999997</v>
      </c>
      <c r="U2908">
        <v>-0.97064209999999995</v>
      </c>
      <c r="V2908">
        <v>-1.354636E-2</v>
      </c>
      <c r="W2908">
        <v>0.22256870000000001</v>
      </c>
      <c r="X2908">
        <v>0.97482290000000005</v>
      </c>
      <c r="Y2908">
        <v>0.2906455</v>
      </c>
      <c r="Z2908">
        <v>-1.8824239999999999E-2</v>
      </c>
      <c r="AA2908">
        <v>0.95664559999999998</v>
      </c>
      <c r="AB2908">
        <v>31</v>
      </c>
      <c r="AC2908">
        <v>9.0686999999999998</v>
      </c>
      <c r="AD2908">
        <v>-1.1105552617598999</v>
      </c>
      <c r="AE2908">
        <v>-2.87879999999998</v>
      </c>
      <c r="AF2908">
        <v>2.83210781876021</v>
      </c>
      <c r="AG2908">
        <v>-1.1105552617598999</v>
      </c>
      <c r="AH2908">
        <v>8.9493472191454302</v>
      </c>
      <c r="AI2908">
        <v>96.7473306876945</v>
      </c>
      <c r="AJ2908">
        <v>72.439518949039694</v>
      </c>
      <c r="AK2908">
        <v>9.4522475282512293</v>
      </c>
      <c r="AL2908">
        <v>77.140050060336605</v>
      </c>
      <c r="AM2908">
        <v>90.796143896587196</v>
      </c>
      <c r="AN2908">
        <v>1.00000000822667</v>
      </c>
    </row>
    <row r="2909" spans="1:40" x14ac:dyDescent="0.25">
      <c r="A2909" t="str">
        <f>"20190304155425518"</f>
        <v>20190304155425518</v>
      </c>
      <c r="B2909" t="str">
        <f>"1551686065510248"</f>
        <v>1551686065510248</v>
      </c>
      <c r="C2909" t="s">
        <v>40</v>
      </c>
      <c r="D2909">
        <v>4.5755819999999998</v>
      </c>
      <c r="E2909">
        <v>0.59923040000000005</v>
      </c>
      <c r="F2909" t="s">
        <v>63</v>
      </c>
      <c r="G2909">
        <v>-221.92859999999999</v>
      </c>
      <c r="H2909" s="1">
        <v>-4.0758930000000001E-7</v>
      </c>
      <c r="I2909">
        <v>212.262</v>
      </c>
      <c r="J2909">
        <v>-230.98140000000001</v>
      </c>
      <c r="K2909">
        <v>1.110554</v>
      </c>
      <c r="L2909">
        <v>215.09389999999999</v>
      </c>
      <c r="M2909">
        <v>0.99989660000000002</v>
      </c>
      <c r="N2909">
        <v>-1.435693E-2</v>
      </c>
      <c r="O2909">
        <v>-9.0914279999999999E-4</v>
      </c>
      <c r="P2909">
        <v>0.97793609999999997</v>
      </c>
      <c r="Q2909">
        <v>0.2085214</v>
      </c>
      <c r="R2909">
        <v>1.2650750000000001E-2</v>
      </c>
      <c r="S2909">
        <v>3.1602779999999999</v>
      </c>
      <c r="T2909">
        <v>-0.37580940000000002</v>
      </c>
      <c r="U2909">
        <v>-0.95840449999999999</v>
      </c>
      <c r="V2909">
        <v>-1.3523210000000001E-2</v>
      </c>
      <c r="W2909">
        <v>0.22254080000000001</v>
      </c>
      <c r="X2909">
        <v>0.97482959999999996</v>
      </c>
      <c r="Y2909">
        <v>0.28725289999999998</v>
      </c>
      <c r="Z2909">
        <v>-1.867139E-2</v>
      </c>
      <c r="AA2909">
        <v>0.95767279999999999</v>
      </c>
      <c r="AB2909">
        <v>31</v>
      </c>
      <c r="AC2909">
        <v>9.0528000000000102</v>
      </c>
      <c r="AD2909">
        <v>-1.1105544075892999</v>
      </c>
      <c r="AE2909">
        <v>-2.8318999999999899</v>
      </c>
      <c r="AF2909">
        <v>2.7854847845435402</v>
      </c>
      <c r="AG2909">
        <v>-1.1105544075892999</v>
      </c>
      <c r="AH2909">
        <v>8.9329203084527293</v>
      </c>
      <c r="AI2909">
        <v>96.768504062267496</v>
      </c>
      <c r="AJ2909">
        <v>72.681350956316095</v>
      </c>
      <c r="AK2909">
        <v>9.4228085948037208</v>
      </c>
      <c r="AL2909">
        <v>77.141689849453599</v>
      </c>
      <c r="AM2909">
        <v>90.794778042360505</v>
      </c>
      <c r="AN2909">
        <v>1.00000001695475</v>
      </c>
    </row>
    <row r="2910" spans="1:40" x14ac:dyDescent="0.25">
      <c r="A2910" t="str">
        <f>"20190304155425544"</f>
        <v>20190304155425544</v>
      </c>
      <c r="B2910" t="str">
        <f>"1551686065539527"</f>
        <v>1551686065539527</v>
      </c>
      <c r="C2910" t="s">
        <v>40</v>
      </c>
      <c r="D2910">
        <v>4.6695129999999896</v>
      </c>
      <c r="E2910">
        <v>0.60877380000000003</v>
      </c>
      <c r="F2910" t="s">
        <v>63</v>
      </c>
      <c r="G2910">
        <v>-219.84610000000001</v>
      </c>
      <c r="H2910" s="1">
        <v>3.8014519999999999E-6</v>
      </c>
      <c r="I2910">
        <v>212.35939999999999</v>
      </c>
      <c r="J2910">
        <v>-230.62100000000001</v>
      </c>
      <c r="K2910">
        <v>1.110557</v>
      </c>
      <c r="L2910">
        <v>215.09350000000001</v>
      </c>
      <c r="M2910">
        <v>0.99989680000000003</v>
      </c>
      <c r="N2910">
        <v>-1.435316E-2</v>
      </c>
      <c r="O2910">
        <v>-9.2842399999999996E-4</v>
      </c>
      <c r="P2910">
        <v>0.97806179999999998</v>
      </c>
      <c r="Q2910">
        <v>0.20794019999999999</v>
      </c>
      <c r="R2910">
        <v>1.250362E-2</v>
      </c>
      <c r="S2910">
        <v>3.1445620000000001</v>
      </c>
      <c r="T2910">
        <v>-0.31361250000000002</v>
      </c>
      <c r="U2910">
        <v>-0.77220149999999999</v>
      </c>
      <c r="V2910">
        <v>-1.339535E-2</v>
      </c>
      <c r="W2910">
        <v>0.2219583</v>
      </c>
      <c r="X2910">
        <v>0.9749641</v>
      </c>
      <c r="Y2910">
        <v>0.2363101</v>
      </c>
      <c r="Z2910">
        <v>-1.323128E-2</v>
      </c>
      <c r="AA2910">
        <v>0.9715876</v>
      </c>
      <c r="AB2910">
        <v>31</v>
      </c>
      <c r="AC2910">
        <v>10.774899999999899</v>
      </c>
      <c r="AD2910">
        <v>-1.1105531985479999</v>
      </c>
      <c r="AE2910">
        <v>-2.73410000000001</v>
      </c>
      <c r="AF2910">
        <v>2.6971749548184798</v>
      </c>
      <c r="AG2910">
        <v>-1.1105531985479999</v>
      </c>
      <c r="AH2910">
        <v>10.6709327442122</v>
      </c>
      <c r="AI2910">
        <v>95.761618365788806</v>
      </c>
      <c r="AJ2910">
        <v>75.815069742306505</v>
      </c>
      <c r="AK2910">
        <v>11.062408723926501</v>
      </c>
      <c r="AL2910">
        <v>77.175920010721498</v>
      </c>
      <c r="AM2910">
        <v>90.787155888438903</v>
      </c>
      <c r="AN2910">
        <v>0.99999995931466001</v>
      </c>
    </row>
    <row r="2911" spans="1:40" x14ac:dyDescent="0.25">
      <c r="A2911" t="str">
        <f>"20190304155425568"</f>
        <v>20190304155425568</v>
      </c>
      <c r="B2911" t="str">
        <f>"1551686065560023"</f>
        <v>1551686065560023</v>
      </c>
      <c r="C2911" t="s">
        <v>40</v>
      </c>
      <c r="D2911">
        <v>4.5594700000000001</v>
      </c>
      <c r="E2911">
        <v>0.60680540000000005</v>
      </c>
      <c r="F2911" t="s">
        <v>63</v>
      </c>
      <c r="G2911">
        <v>-221.2413</v>
      </c>
      <c r="H2911" s="1">
        <v>-7.8673780000000003E-7</v>
      </c>
      <c r="I2911">
        <v>212.56909999999999</v>
      </c>
      <c r="J2911">
        <v>-230.2791</v>
      </c>
      <c r="K2911">
        <v>1.110555</v>
      </c>
      <c r="L2911">
        <v>215.0932</v>
      </c>
      <c r="M2911">
        <v>0.99989660000000002</v>
      </c>
      <c r="N2911">
        <v>-1.4349229999999999E-2</v>
      </c>
      <c r="O2911">
        <v>-9.4663270000000001E-4</v>
      </c>
      <c r="P2911">
        <v>0.97812619999999895</v>
      </c>
      <c r="Q2911">
        <v>0.20765900000000001</v>
      </c>
      <c r="R2911">
        <v>1.211655E-2</v>
      </c>
      <c r="S2911">
        <v>3.1576390000000001</v>
      </c>
      <c r="T2911">
        <v>-0.37386449999999999</v>
      </c>
      <c r="U2911">
        <v>-0.84983829999999905</v>
      </c>
      <c r="V2911">
        <v>-1.302568E-2</v>
      </c>
      <c r="W2911">
        <v>0.22167419999999999</v>
      </c>
      <c r="X2911">
        <v>0.97503379999999995</v>
      </c>
      <c r="Y2911">
        <v>0.25708920000000002</v>
      </c>
      <c r="Z2911">
        <v>-1.6691419999999998E-2</v>
      </c>
      <c r="AA2911">
        <v>0.96624350000000003</v>
      </c>
      <c r="AB2911">
        <v>31</v>
      </c>
      <c r="AC2911">
        <v>9.0378000000000007</v>
      </c>
      <c r="AD2911">
        <v>-1.1105557867378</v>
      </c>
      <c r="AE2911">
        <v>-2.5240999999999998</v>
      </c>
      <c r="AF2911">
        <v>2.4807946666137601</v>
      </c>
      <c r="AG2911">
        <v>-1.1105557867378</v>
      </c>
      <c r="AH2911">
        <v>8.9153111517088508</v>
      </c>
      <c r="AI2911">
        <v>96.843212271425898</v>
      </c>
      <c r="AJ2911">
        <v>74.450121669139193</v>
      </c>
      <c r="AK2911">
        <v>9.3204318175254208</v>
      </c>
      <c r="AL2911">
        <v>77.192614333282094</v>
      </c>
      <c r="AM2911">
        <v>90.765380744808596</v>
      </c>
      <c r="AN2911">
        <v>1.00000001521377</v>
      </c>
    </row>
    <row r="2912" spans="1:40" x14ac:dyDescent="0.25">
      <c r="A2912" t="str">
        <f>"20190304155425605"</f>
        <v>20190304155425605</v>
      </c>
      <c r="B2912" t="str">
        <f>"1551686065600039"</f>
        <v>1551686065600039</v>
      </c>
      <c r="C2912" t="s">
        <v>40</v>
      </c>
      <c r="D2912">
        <v>4.6347239999999896</v>
      </c>
      <c r="E2912">
        <v>0.58525990000000006</v>
      </c>
      <c r="F2912" t="s">
        <v>63</v>
      </c>
      <c r="G2912">
        <v>-220.29640000000001</v>
      </c>
      <c r="H2912" s="1">
        <v>-1.2843219999999999E-6</v>
      </c>
      <c r="I2912">
        <v>212.44909999999999</v>
      </c>
      <c r="J2912">
        <v>-229.76840000000001</v>
      </c>
      <c r="K2912">
        <v>1.110557</v>
      </c>
      <c r="L2912">
        <v>215.09270000000001</v>
      </c>
      <c r="M2912">
        <v>0.99989680000000003</v>
      </c>
      <c r="N2912">
        <v>-1.4343359999999999E-2</v>
      </c>
      <c r="O2912">
        <v>-9.7388840000000004E-4</v>
      </c>
      <c r="P2912">
        <v>0.97802230000000001</v>
      </c>
      <c r="Q2912">
        <v>0.20818239999999999</v>
      </c>
      <c r="R2912">
        <v>1.1514949999999999E-2</v>
      </c>
      <c r="S2912">
        <v>3.1518709999999999</v>
      </c>
      <c r="T2912">
        <v>-0.35064070000000003</v>
      </c>
      <c r="U2912">
        <v>-0.83480829999999995</v>
      </c>
      <c r="V2912">
        <v>-1.2450920000000001E-2</v>
      </c>
      <c r="W2912">
        <v>0.2221899</v>
      </c>
      <c r="X2912">
        <v>0.97492389999999995</v>
      </c>
      <c r="Y2912">
        <v>0.25343450000000001</v>
      </c>
      <c r="Z2912">
        <v>-1.5579569999999999E-2</v>
      </c>
      <c r="AA2912">
        <v>0.96722710000000001</v>
      </c>
      <c r="AB2912">
        <v>31</v>
      </c>
      <c r="AC2912">
        <v>9.4719999999999995</v>
      </c>
      <c r="AD2912">
        <v>-1.1105582843220001</v>
      </c>
      <c r="AE2912">
        <v>-2.6436000000000202</v>
      </c>
      <c r="AF2912">
        <v>2.6011992223222098</v>
      </c>
      <c r="AG2912">
        <v>-1.1105582843220001</v>
      </c>
      <c r="AH2912">
        <v>9.3552597965373891</v>
      </c>
      <c r="AI2912">
        <v>96.524613971647895</v>
      </c>
      <c r="AJ2912">
        <v>74.461585004407397</v>
      </c>
      <c r="AK2912">
        <v>9.7734570627692801</v>
      </c>
      <c r="AL2912">
        <v>77.162310926610402</v>
      </c>
      <c r="AM2912">
        <v>90.731694428465303</v>
      </c>
      <c r="AN2912">
        <v>0.999999993931033</v>
      </c>
    </row>
    <row r="2913" spans="1:40" x14ac:dyDescent="0.25">
      <c r="A2913" t="str">
        <f>"20190304155425631"</f>
        <v>20190304155425631</v>
      </c>
      <c r="B2913" t="str">
        <f>"1551686065619559"</f>
        <v>1551686065619559</v>
      </c>
      <c r="C2913" t="s">
        <v>40</v>
      </c>
      <c r="D2913">
        <v>4.6556639999999998</v>
      </c>
      <c r="E2913">
        <v>0.58741069999999995</v>
      </c>
      <c r="F2913" t="s">
        <v>70</v>
      </c>
      <c r="G2913">
        <v>-168.41229999999999</v>
      </c>
      <c r="H2913">
        <v>0.91850089999999995</v>
      </c>
      <c r="I2913">
        <v>201.9649</v>
      </c>
      <c r="J2913">
        <v>-229.41249999999999</v>
      </c>
      <c r="K2913">
        <v>1.1105579999999999</v>
      </c>
      <c r="L2913">
        <v>215.09229999999999</v>
      </c>
      <c r="M2913">
        <v>0.99989660000000002</v>
      </c>
      <c r="N2913">
        <v>-1.4339309999999999E-2</v>
      </c>
      <c r="O2913">
        <v>-9.9280989999999997E-4</v>
      </c>
      <c r="P2913">
        <v>0.9779525</v>
      </c>
      <c r="Q2913">
        <v>0.2085284</v>
      </c>
      <c r="R2913">
        <v>1.1172909999999999E-2</v>
      </c>
      <c r="S2913">
        <v>3.0772089999999999</v>
      </c>
      <c r="T2913">
        <v>-9.6306800000000008E-3</v>
      </c>
      <c r="U2913">
        <v>-0.65840149999999997</v>
      </c>
      <c r="V2913">
        <v>-1.212733E-2</v>
      </c>
      <c r="W2913">
        <v>0.22253110000000001</v>
      </c>
      <c r="X2913">
        <v>0.9748502</v>
      </c>
      <c r="Y2913">
        <v>0.2082483</v>
      </c>
      <c r="Z2913">
        <v>-1.843108E-3</v>
      </c>
      <c r="AA2913">
        <v>0.97807429999999995</v>
      </c>
      <c r="AB2913">
        <v>31</v>
      </c>
      <c r="AC2913">
        <v>61.0002</v>
      </c>
      <c r="AD2913">
        <v>-0.19205710000000001</v>
      </c>
      <c r="AE2913">
        <v>-13.1273999999999</v>
      </c>
      <c r="AF2913">
        <v>13.0667018987407</v>
      </c>
      <c r="AG2913">
        <v>-0.19205710000000001</v>
      </c>
      <c r="AH2913">
        <v>61.012626246363901</v>
      </c>
      <c r="AI2913">
        <v>90.176357465842798</v>
      </c>
      <c r="AJ2913">
        <v>77.911916197819195</v>
      </c>
      <c r="AK2913">
        <v>62.396443375553901</v>
      </c>
      <c r="AL2913">
        <v>77.142260182099605</v>
      </c>
      <c r="AM2913">
        <v>90.712734104891496</v>
      </c>
      <c r="AN2913">
        <v>1.0000000375200799</v>
      </c>
    </row>
    <row r="2914" spans="1:40" x14ac:dyDescent="0.25">
      <c r="A2914" t="str">
        <f>"20190304155425653"</f>
        <v>20190304155425653</v>
      </c>
      <c r="B2914" t="str">
        <f>"1551686065649815"</f>
        <v>1551686065649815</v>
      </c>
      <c r="C2914" t="s">
        <v>40</v>
      </c>
      <c r="D2914">
        <v>4.5595160000000003</v>
      </c>
      <c r="E2914">
        <v>0.58696559999999998</v>
      </c>
      <c r="F2914" t="s">
        <v>70</v>
      </c>
      <c r="G2914">
        <v>-168.41249999999999</v>
      </c>
      <c r="H2914">
        <v>1.3104690000000001</v>
      </c>
      <c r="I2914">
        <v>201.66419999999999</v>
      </c>
      <c r="J2914">
        <v>-229.10509999999999</v>
      </c>
      <c r="K2914">
        <v>1.1105609999999999</v>
      </c>
      <c r="L2914">
        <v>215.09200000000001</v>
      </c>
      <c r="M2914">
        <v>0.99989680000000003</v>
      </c>
      <c r="N2914">
        <v>-1.4335799999999999E-2</v>
      </c>
      <c r="O2914">
        <v>-1.0093540000000001E-3</v>
      </c>
      <c r="P2914">
        <v>0.97798200000000002</v>
      </c>
      <c r="Q2914">
        <v>0.20840639999999999</v>
      </c>
      <c r="R2914">
        <v>1.086555E-2</v>
      </c>
      <c r="S2914">
        <v>3.0732119999999998</v>
      </c>
      <c r="T2914">
        <v>1.0073179999999999E-2</v>
      </c>
      <c r="U2914">
        <v>-0.6765137</v>
      </c>
      <c r="V2914">
        <v>-1.1835750000000001E-2</v>
      </c>
      <c r="W2914">
        <v>0.22240560000000001</v>
      </c>
      <c r="X2914">
        <v>0.97488240000000004</v>
      </c>
      <c r="Y2914">
        <v>0.214003</v>
      </c>
      <c r="Z2914">
        <v>-1.22316E-3</v>
      </c>
      <c r="AA2914">
        <v>0.97683220000000004</v>
      </c>
      <c r="AB2914">
        <v>31</v>
      </c>
      <c r="AC2914">
        <v>60.692599999999999</v>
      </c>
      <c r="AD2914">
        <v>0.199908</v>
      </c>
      <c r="AE2914">
        <v>-13.4278</v>
      </c>
      <c r="AF2914">
        <v>13.366388303613601</v>
      </c>
      <c r="AG2914">
        <v>0.199908</v>
      </c>
      <c r="AH2914">
        <v>60.705496012635102</v>
      </c>
      <c r="AI2914">
        <v>89.815734936079295</v>
      </c>
      <c r="AJ2914">
        <v>77.582517700284399</v>
      </c>
      <c r="AK2914">
        <v>62.159935212574801</v>
      </c>
      <c r="AL2914">
        <v>77.149635335379699</v>
      </c>
      <c r="AM2914">
        <v>90.695576417122993</v>
      </c>
      <c r="AN2914">
        <v>1.00000001485959</v>
      </c>
    </row>
    <row r="2915" spans="1:40" x14ac:dyDescent="0.25">
      <c r="A2915" t="str">
        <f>"20190304155425675"</f>
        <v>20190304155425675</v>
      </c>
      <c r="B2915" t="str">
        <f>"1551686065669335"</f>
        <v>1551686065669335</v>
      </c>
      <c r="C2915" t="s">
        <v>40</v>
      </c>
      <c r="D2915">
        <v>4.6312030000000002</v>
      </c>
      <c r="E2915">
        <v>0.58819469999999996</v>
      </c>
      <c r="F2915" t="s">
        <v>70</v>
      </c>
      <c r="G2915">
        <v>-168.41249999999999</v>
      </c>
      <c r="H2915">
        <v>1.383823</v>
      </c>
      <c r="I2915">
        <v>201.7809</v>
      </c>
      <c r="J2915">
        <v>-228.81030000000001</v>
      </c>
      <c r="K2915">
        <v>1.1105590000000001</v>
      </c>
      <c r="L2915">
        <v>215.0917</v>
      </c>
      <c r="M2915">
        <v>0.99989680000000003</v>
      </c>
      <c r="N2915">
        <v>-1.433244E-2</v>
      </c>
      <c r="O2915">
        <v>-1.0249460000000001E-3</v>
      </c>
      <c r="P2915">
        <v>0.97784660000000001</v>
      </c>
      <c r="Q2915">
        <v>0.20904710000000001</v>
      </c>
      <c r="R2915">
        <v>1.075983E-2</v>
      </c>
      <c r="S2915">
        <v>3.0720670000000001</v>
      </c>
      <c r="T2915">
        <v>1.383328E-2</v>
      </c>
      <c r="U2915">
        <v>-0.67376709999999995</v>
      </c>
      <c r="V2915">
        <v>-1.174614E-2</v>
      </c>
      <c r="W2915">
        <v>0.2230415</v>
      </c>
      <c r="X2915">
        <v>0.9747382</v>
      </c>
      <c r="Y2915">
        <v>0.2132319</v>
      </c>
      <c r="Z2915">
        <v>-1.090712E-3</v>
      </c>
      <c r="AA2915">
        <v>0.97700100000000001</v>
      </c>
      <c r="AB2915">
        <v>31</v>
      </c>
      <c r="AC2915">
        <v>60.397799999999997</v>
      </c>
      <c r="AD2915">
        <v>0.27326399999999901</v>
      </c>
      <c r="AE2915">
        <v>-13.3108</v>
      </c>
      <c r="AF2915">
        <v>13.248623526573899</v>
      </c>
      <c r="AG2915">
        <v>0.27326399999999901</v>
      </c>
      <c r="AH2915">
        <v>60.410233190055898</v>
      </c>
      <c r="AI2915">
        <v>89.746842429723202</v>
      </c>
      <c r="AJ2915">
        <v>77.630245872296697</v>
      </c>
      <c r="AK2915">
        <v>61.846559909501103</v>
      </c>
      <c r="AL2915">
        <v>77.1122622716086</v>
      </c>
      <c r="AM2915">
        <v>90.690412742026794</v>
      </c>
      <c r="AN2915">
        <v>1.00000002053319</v>
      </c>
    </row>
    <row r="2916" spans="1:40" x14ac:dyDescent="0.25">
      <c r="A2916" t="str">
        <f>"20190304155425696"</f>
        <v>20190304155425696</v>
      </c>
      <c r="B2916" t="str">
        <f>"1551686065689832"</f>
        <v>1551686065689832</v>
      </c>
      <c r="C2916" t="s">
        <v>40</v>
      </c>
      <c r="D2916">
        <v>4.5992480000000002</v>
      </c>
      <c r="E2916">
        <v>0.58885379999999998</v>
      </c>
      <c r="F2916" t="s">
        <v>70</v>
      </c>
      <c r="G2916">
        <v>-168.4126</v>
      </c>
      <c r="H2916">
        <v>1.461306</v>
      </c>
      <c r="I2916">
        <v>201.6447</v>
      </c>
      <c r="J2916">
        <v>-228.50200000000001</v>
      </c>
      <c r="K2916">
        <v>1.110562</v>
      </c>
      <c r="L2916">
        <v>215.09129999999999</v>
      </c>
      <c r="M2916">
        <v>0.99989689999999998</v>
      </c>
      <c r="N2916">
        <v>-1.4329110000000001E-2</v>
      </c>
      <c r="O2916">
        <v>-1.0412520000000001E-3</v>
      </c>
      <c r="P2916">
        <v>0.97783039999999999</v>
      </c>
      <c r="Q2916">
        <v>0.20915300000000001</v>
      </c>
      <c r="R2916">
        <v>1.015337E-2</v>
      </c>
      <c r="S2916">
        <v>3.0716860000000001</v>
      </c>
      <c r="T2916">
        <v>1.7839790000000001E-2</v>
      </c>
      <c r="U2916">
        <v>-0.68388369999999998</v>
      </c>
      <c r="V2916">
        <v>-1.115559E-2</v>
      </c>
      <c r="W2916">
        <v>0.2231438</v>
      </c>
      <c r="X2916">
        <v>0.97472170000000002</v>
      </c>
      <c r="Y2916">
        <v>0.2163089</v>
      </c>
      <c r="Z2916">
        <v>-9.6873710000000004E-4</v>
      </c>
      <c r="AA2916">
        <v>0.97632450000000004</v>
      </c>
      <c r="AB2916">
        <v>31</v>
      </c>
      <c r="AC2916">
        <v>60.089399999999998</v>
      </c>
      <c r="AD2916">
        <v>0.350743999999999</v>
      </c>
      <c r="AE2916">
        <v>-13.446599999999901</v>
      </c>
      <c r="AF2916">
        <v>13.3835838369658</v>
      </c>
      <c r="AG2916">
        <v>0.350743999999999</v>
      </c>
      <c r="AH2916">
        <v>60.101420090261101</v>
      </c>
      <c r="AI2916">
        <v>89.673627128776403</v>
      </c>
      <c r="AJ2916">
        <v>77.446018971184898</v>
      </c>
      <c r="AK2916">
        <v>61.574540473646003</v>
      </c>
      <c r="AL2916">
        <v>77.106249070520306</v>
      </c>
      <c r="AM2916">
        <v>90.655715698005395</v>
      </c>
      <c r="AN2916">
        <v>0.99999999755878899</v>
      </c>
    </row>
    <row r="2917" spans="1:40" x14ac:dyDescent="0.25">
      <c r="A2917" t="str">
        <f>"20190304155425719"</f>
        <v>20190304155425719</v>
      </c>
      <c r="B2917" t="str">
        <f>"1551686065710327"</f>
        <v>1551686065710327</v>
      </c>
      <c r="C2917" t="s">
        <v>40</v>
      </c>
      <c r="D2917">
        <v>4.6293569999999997</v>
      </c>
      <c r="E2917">
        <v>0.58931319999999998</v>
      </c>
      <c r="F2917" t="s">
        <v>70</v>
      </c>
      <c r="G2917">
        <v>-168.4126</v>
      </c>
      <c r="H2917">
        <v>1.4998</v>
      </c>
      <c r="I2917">
        <v>201.57</v>
      </c>
      <c r="J2917">
        <v>-228.20060000000001</v>
      </c>
      <c r="K2917">
        <v>1.110557</v>
      </c>
      <c r="L2917">
        <v>215.09100000000001</v>
      </c>
      <c r="M2917">
        <v>0.99989689999999998</v>
      </c>
      <c r="N2917">
        <v>-1.4325900000000001E-2</v>
      </c>
      <c r="O2917">
        <v>-1.057678E-3</v>
      </c>
      <c r="P2917">
        <v>0.97782950000000002</v>
      </c>
      <c r="Q2917">
        <v>0.20918600000000001</v>
      </c>
      <c r="R2917">
        <v>9.5534529999999999E-3</v>
      </c>
      <c r="S2917">
        <v>3.0709379999999999</v>
      </c>
      <c r="T2917">
        <v>1.9894120000000001E-2</v>
      </c>
      <c r="U2917">
        <v>-0.69102479999999999</v>
      </c>
      <c r="V2917">
        <v>-1.0571280000000001E-2</v>
      </c>
      <c r="W2917">
        <v>0.22317390000000001</v>
      </c>
      <c r="X2917">
        <v>0.97472130000000001</v>
      </c>
      <c r="Y2917">
        <v>0.218505</v>
      </c>
      <c r="Z2917">
        <v>-9.072479E-4</v>
      </c>
      <c r="AA2917">
        <v>0.97583540000000002</v>
      </c>
      <c r="AB2917">
        <v>31</v>
      </c>
      <c r="AC2917">
        <v>59.787999999999997</v>
      </c>
      <c r="AD2917">
        <v>0.38924300000000001</v>
      </c>
      <c r="AE2917">
        <v>-13.5209999999999</v>
      </c>
      <c r="AF2917">
        <v>13.457206864945899</v>
      </c>
      <c r="AG2917">
        <v>0.38924300000000001</v>
      </c>
      <c r="AH2917">
        <v>59.799857579219498</v>
      </c>
      <c r="AI2917">
        <v>89.636160280413094</v>
      </c>
      <c r="AJ2917">
        <v>77.317574733413494</v>
      </c>
      <c r="AK2917">
        <v>61.296581415393298</v>
      </c>
      <c r="AL2917">
        <v>77.104479583675001</v>
      </c>
      <c r="AM2917">
        <v>90.621373496133998</v>
      </c>
      <c r="AN2917">
        <v>0.99999997713786803</v>
      </c>
    </row>
    <row r="2918" spans="1:40" x14ac:dyDescent="0.25">
      <c r="A2918" t="str">
        <f>"20190304155425740"</f>
        <v>20190304155425740</v>
      </c>
      <c r="B2918" t="str">
        <f>"1551686065729847"</f>
        <v>1551686065729847</v>
      </c>
      <c r="C2918" t="s">
        <v>40</v>
      </c>
      <c r="D2918">
        <v>4.6151200000000001</v>
      </c>
      <c r="E2918">
        <v>0.58955170000000001</v>
      </c>
      <c r="F2918" t="s">
        <v>70</v>
      </c>
      <c r="G2918">
        <v>-168.4126</v>
      </c>
      <c r="H2918">
        <v>1.5139579999999999</v>
      </c>
      <c r="I2918">
        <v>201.5189</v>
      </c>
      <c r="J2918">
        <v>-227.90020000000001</v>
      </c>
      <c r="K2918">
        <v>1.110565</v>
      </c>
      <c r="L2918">
        <v>215.0907</v>
      </c>
      <c r="M2918">
        <v>0.99989700000000004</v>
      </c>
      <c r="N2918">
        <v>-1.432259E-2</v>
      </c>
      <c r="O2918">
        <v>-1.0737450000000001E-3</v>
      </c>
      <c r="P2918">
        <v>0.97789499999999996</v>
      </c>
      <c r="Q2918">
        <v>0.2088952</v>
      </c>
      <c r="R2918">
        <v>9.1957489999999996E-3</v>
      </c>
      <c r="S2918">
        <v>3.070389</v>
      </c>
      <c r="T2918">
        <v>2.07181E-2</v>
      </c>
      <c r="U2918">
        <v>-0.69699100000000003</v>
      </c>
      <c r="V2918">
        <v>-1.0229439999999999E-2</v>
      </c>
      <c r="W2918">
        <v>0.2228802</v>
      </c>
      <c r="X2918">
        <v>0.9747922</v>
      </c>
      <c r="Y2918">
        <v>0.22033040000000001</v>
      </c>
      <c r="Z2918">
        <v>-8.8605520000000003E-4</v>
      </c>
      <c r="AA2918">
        <v>0.97542490000000004</v>
      </c>
      <c r="AB2918">
        <v>31</v>
      </c>
      <c r="AC2918">
        <v>59.4876</v>
      </c>
      <c r="AD2918">
        <v>0.403392999999999</v>
      </c>
      <c r="AE2918">
        <v>-13.5717999999999</v>
      </c>
      <c r="AF2918">
        <v>13.507320732025301</v>
      </c>
      <c r="AG2918">
        <v>0.403392999999999</v>
      </c>
      <c r="AH2918">
        <v>59.499539201187403</v>
      </c>
      <c r="AI2918">
        <v>89.621192146283505</v>
      </c>
      <c r="AJ2918">
        <v>77.209746048287101</v>
      </c>
      <c r="AK2918">
        <v>61.0147982412782</v>
      </c>
      <c r="AL2918">
        <v>77.121742840467206</v>
      </c>
      <c r="AM2918">
        <v>90.601238115799504</v>
      </c>
      <c r="AN2918">
        <v>1.00000002908779</v>
      </c>
    </row>
    <row r="2919" spans="1:40" x14ac:dyDescent="0.25">
      <c r="A2919" t="str">
        <f>"20190304155425767"</f>
        <v>20190304155425767</v>
      </c>
      <c r="B2919" t="str">
        <f>"1551686065760104"</f>
        <v>1551686065760104</v>
      </c>
      <c r="C2919" t="s">
        <v>40</v>
      </c>
      <c r="D2919">
        <v>4.5602869999999998</v>
      </c>
      <c r="E2919">
        <v>0.58958509999999997</v>
      </c>
      <c r="F2919" t="s">
        <v>70</v>
      </c>
      <c r="G2919">
        <v>-168.4126</v>
      </c>
      <c r="H2919">
        <v>1.5089300000000001</v>
      </c>
      <c r="I2919">
        <v>201.523</v>
      </c>
      <c r="J2919">
        <v>-227.53729999999999</v>
      </c>
      <c r="K2919">
        <v>1.110562</v>
      </c>
      <c r="L2919">
        <v>215.09030000000001</v>
      </c>
      <c r="M2919">
        <v>0.99989700000000004</v>
      </c>
      <c r="N2919">
        <v>-1.4318579999999999E-2</v>
      </c>
      <c r="O2919">
        <v>-1.09279E-3</v>
      </c>
      <c r="P2919">
        <v>0.97794910000000002</v>
      </c>
      <c r="Q2919">
        <v>0.20864540000000001</v>
      </c>
      <c r="R2919">
        <v>9.1103350000000007E-3</v>
      </c>
      <c r="S2919">
        <v>3.0700069999999999</v>
      </c>
      <c r="T2919">
        <v>2.056026E-2</v>
      </c>
      <c r="U2919">
        <v>-0.70019529999999996</v>
      </c>
      <c r="V2919">
        <v>-1.016311E-2</v>
      </c>
      <c r="W2919">
        <v>0.2226273</v>
      </c>
      <c r="X2919">
        <v>0.97485069999999996</v>
      </c>
      <c r="Y2919">
        <v>0.2213059</v>
      </c>
      <c r="Z2919">
        <v>-8.9555979999999895E-4</v>
      </c>
      <c r="AA2919">
        <v>0.97520410000000002</v>
      </c>
      <c r="AB2919">
        <v>31</v>
      </c>
      <c r="AC2919">
        <v>59.124699999999898</v>
      </c>
      <c r="AD2919">
        <v>0.398367999999999</v>
      </c>
      <c r="AE2919">
        <v>-13.567299999999999</v>
      </c>
      <c r="AF2919">
        <v>13.5020921011302</v>
      </c>
      <c r="AG2919">
        <v>0.398367999999999</v>
      </c>
      <c r="AH2919">
        <v>59.136942047054802</v>
      </c>
      <c r="AI2919">
        <v>89.623723279060698</v>
      </c>
      <c r="AJ2919">
        <v>77.1387399167197</v>
      </c>
      <c r="AK2919">
        <v>60.660061843420102</v>
      </c>
      <c r="AL2919">
        <v>77.136606606708696</v>
      </c>
      <c r="AM2919">
        <v>90.597303992153499</v>
      </c>
      <c r="AN2919">
        <v>1.0000000454003199</v>
      </c>
    </row>
    <row r="2920" spans="1:40" x14ac:dyDescent="0.25">
      <c r="A2920" t="str">
        <f>"20190304155425805"</f>
        <v>20190304155425805</v>
      </c>
      <c r="B2920" t="str">
        <f>"1551686065800123"</f>
        <v>1551686065800123</v>
      </c>
      <c r="C2920" t="s">
        <v>40</v>
      </c>
      <c r="D2920">
        <v>4.5939069999999997</v>
      </c>
      <c r="E2920">
        <v>0.58909509999999998</v>
      </c>
      <c r="F2920" t="s">
        <v>70</v>
      </c>
      <c r="G2920">
        <v>-168.4126</v>
      </c>
      <c r="H2920">
        <v>1.4909920000000001</v>
      </c>
      <c r="I2920">
        <v>201.59479999999999</v>
      </c>
      <c r="J2920">
        <v>-227.00229999999999</v>
      </c>
      <c r="K2920">
        <v>1.1105689999999999</v>
      </c>
      <c r="L2920">
        <v>215.08959999999999</v>
      </c>
      <c r="M2920">
        <v>0.99989700000000004</v>
      </c>
      <c r="N2920">
        <v>-1.4312790000000001E-2</v>
      </c>
      <c r="O2920">
        <v>-1.121592E-3</v>
      </c>
      <c r="P2920">
        <v>0.97812030000000005</v>
      </c>
      <c r="Q2920">
        <v>0.20788480000000001</v>
      </c>
      <c r="R2920">
        <v>8.0602279999999991E-3</v>
      </c>
      <c r="S2920">
        <v>3.0699619999999999</v>
      </c>
      <c r="T2920">
        <v>1.9754890000000001E-2</v>
      </c>
      <c r="U2920">
        <v>-0.70072939999999995</v>
      </c>
      <c r="V2920">
        <v>-9.1411419999999997E-3</v>
      </c>
      <c r="W2920">
        <v>0.22186349999999999</v>
      </c>
      <c r="X2920">
        <v>0.97503490000000004</v>
      </c>
      <c r="Y2920">
        <v>0.2214421</v>
      </c>
      <c r="Z2920">
        <v>-9.2445920000000005E-4</v>
      </c>
      <c r="AA2920">
        <v>0.97517310000000001</v>
      </c>
      <c r="AB2920">
        <v>31</v>
      </c>
      <c r="AC2920">
        <v>58.589699999999901</v>
      </c>
      <c r="AD2920">
        <v>0.38042300000000001</v>
      </c>
      <c r="AE2920">
        <v>-13.4947999999999</v>
      </c>
      <c r="AF2920">
        <v>13.4285334298749</v>
      </c>
      <c r="AG2920">
        <v>0.38042300000000001</v>
      </c>
      <c r="AH2920">
        <v>58.602454190211297</v>
      </c>
      <c r="AI2920">
        <v>89.637460698639302</v>
      </c>
      <c r="AJ2920">
        <v>77.093701999938702</v>
      </c>
      <c r="AK2920">
        <v>60.122523806407301</v>
      </c>
      <c r="AL2920">
        <v>77.181491262752601</v>
      </c>
      <c r="AM2920">
        <v>90.537143349942497</v>
      </c>
      <c r="AN2920">
        <v>1.0000000146636601</v>
      </c>
    </row>
    <row r="2921" spans="1:40" x14ac:dyDescent="0.25">
      <c r="A2921" t="str">
        <f>"20190304155425832"</f>
        <v>20190304155425832</v>
      </c>
      <c r="B2921" t="str">
        <f>"1551686065819640"</f>
        <v>1551686065819640</v>
      </c>
      <c r="C2921" t="s">
        <v>40</v>
      </c>
      <c r="D2921">
        <v>4.6064069999999999</v>
      </c>
      <c r="E2921">
        <v>0.58911530000000001</v>
      </c>
      <c r="F2921" t="s">
        <v>70</v>
      </c>
      <c r="G2921">
        <v>-168.41249999999999</v>
      </c>
      <c r="H2921">
        <v>1.426615</v>
      </c>
      <c r="I2921">
        <v>201.7236</v>
      </c>
      <c r="J2921">
        <v>-226.64269999999999</v>
      </c>
      <c r="K2921">
        <v>1.1105700000000001</v>
      </c>
      <c r="L2921">
        <v>215.08920000000001</v>
      </c>
      <c r="M2921">
        <v>0.99989689999999998</v>
      </c>
      <c r="N2921">
        <v>-1.4308929999999999E-2</v>
      </c>
      <c r="O2921">
        <v>-1.1405180000000001E-3</v>
      </c>
      <c r="P2921">
        <v>0.97818260000000001</v>
      </c>
      <c r="Q2921">
        <v>0.2076115</v>
      </c>
      <c r="R2921">
        <v>7.4988590000000001E-3</v>
      </c>
      <c r="S2921">
        <v>3.069366</v>
      </c>
      <c r="T2921">
        <v>1.6558529999999998E-2</v>
      </c>
      <c r="U2921">
        <v>-0.70021060000000002</v>
      </c>
      <c r="V2921">
        <v>-8.5986529999999995E-3</v>
      </c>
      <c r="W2921">
        <v>0.2215877</v>
      </c>
      <c r="X2921">
        <v>0.97510249999999998</v>
      </c>
      <c r="Y2921">
        <v>0.2213077</v>
      </c>
      <c r="Z2921">
        <v>-1.0362940000000001E-3</v>
      </c>
      <c r="AA2921">
        <v>0.9752035</v>
      </c>
      <c r="AB2921">
        <v>31</v>
      </c>
      <c r="AC2921">
        <v>58.230200000000004</v>
      </c>
      <c r="AD2921">
        <v>0.31604499999999902</v>
      </c>
      <c r="AE2921">
        <v>-13.365600000000001</v>
      </c>
      <c r="AF2921">
        <v>13.298799761526199</v>
      </c>
      <c r="AG2921">
        <v>0.31604499999999902</v>
      </c>
      <c r="AH2921">
        <v>58.243777520039302</v>
      </c>
      <c r="AI2921">
        <v>89.696902520478403</v>
      </c>
      <c r="AJ2921">
        <v>77.138146987266296</v>
      </c>
      <c r="AK2921">
        <v>59.743581909214498</v>
      </c>
      <c r="AL2921">
        <v>77.197696169939604</v>
      </c>
      <c r="AM2921">
        <v>90.505232790355507</v>
      </c>
      <c r="AN2921">
        <v>0.99999996556547599</v>
      </c>
    </row>
    <row r="2922" spans="1:40" x14ac:dyDescent="0.25">
      <c r="A2922" t="str">
        <f>"20190304155425860"</f>
        <v>20190304155425860</v>
      </c>
      <c r="B2922" t="str">
        <f>"1551686065849895"</f>
        <v>1551686065849895</v>
      </c>
      <c r="C2922" t="s">
        <v>40</v>
      </c>
      <c r="D2922">
        <v>4.618843</v>
      </c>
      <c r="E2922">
        <v>0.58941909999999997</v>
      </c>
      <c r="F2922" t="s">
        <v>70</v>
      </c>
      <c r="G2922">
        <v>-168.41249999999999</v>
      </c>
      <c r="H2922">
        <v>1.401993</v>
      </c>
      <c r="I2922">
        <v>201.77189999999999</v>
      </c>
      <c r="J2922">
        <v>-226.25049999999999</v>
      </c>
      <c r="K2922">
        <v>1.1105670000000001</v>
      </c>
      <c r="L2922">
        <v>215.08869999999999</v>
      </c>
      <c r="M2922">
        <v>0.99989709999999998</v>
      </c>
      <c r="N2922">
        <v>-1.430475E-2</v>
      </c>
      <c r="O2922">
        <v>-1.161703E-3</v>
      </c>
      <c r="P2922">
        <v>0.97838409999999998</v>
      </c>
      <c r="Q2922">
        <v>0.20671500000000001</v>
      </c>
      <c r="R2922">
        <v>5.8154969999999898E-3</v>
      </c>
      <c r="S2922">
        <v>3.069016</v>
      </c>
      <c r="T2922">
        <v>1.536119E-2</v>
      </c>
      <c r="U2922">
        <v>-0.70188899999999999</v>
      </c>
      <c r="V2922">
        <v>-6.9364439999999999E-3</v>
      </c>
      <c r="W2922">
        <v>0.22068979999999999</v>
      </c>
      <c r="X2922">
        <v>0.97531939999999995</v>
      </c>
      <c r="Y2922">
        <v>0.22181790000000001</v>
      </c>
      <c r="Z2922">
        <v>-1.0809070000000001E-3</v>
      </c>
      <c r="AA2922">
        <v>0.9750875</v>
      </c>
      <c r="AB2922">
        <v>31</v>
      </c>
      <c r="AC2922">
        <v>57.838000000000001</v>
      </c>
      <c r="AD2922">
        <v>0.29142600000000002</v>
      </c>
      <c r="AE2922">
        <v>-13.316800000000001</v>
      </c>
      <c r="AF2922">
        <v>13.2492741252202</v>
      </c>
      <c r="AG2922">
        <v>0.29142600000000002</v>
      </c>
      <c r="AH2922">
        <v>57.852037901101902</v>
      </c>
      <c r="AI2922">
        <v>89.718662252924403</v>
      </c>
      <c r="AJ2922">
        <v>77.1005752807081</v>
      </c>
      <c r="AK2922">
        <v>59.350539030991399</v>
      </c>
      <c r="AL2922">
        <v>77.250448734434102</v>
      </c>
      <c r="AM2922">
        <v>90.407479094090604</v>
      </c>
      <c r="AN2922">
        <v>1.00000001704788</v>
      </c>
    </row>
    <row r="2923" spans="1:40" x14ac:dyDescent="0.25">
      <c r="A2923" t="str">
        <f>"20190304155425889"</f>
        <v>20190304155425889</v>
      </c>
      <c r="B2923" t="str">
        <f>"1551686065880151"</f>
        <v>1551686065880151</v>
      </c>
      <c r="C2923" t="s">
        <v>40</v>
      </c>
      <c r="D2923">
        <v>4.6413599999999997</v>
      </c>
      <c r="E2923">
        <v>0.58972409999999997</v>
      </c>
      <c r="F2923" t="s">
        <v>70</v>
      </c>
      <c r="G2923">
        <v>-168.41249999999999</v>
      </c>
      <c r="H2923">
        <v>1.343855</v>
      </c>
      <c r="I2923">
        <v>201.70920000000001</v>
      </c>
      <c r="J2923">
        <v>-225.85769999999999</v>
      </c>
      <c r="K2923">
        <v>1.110562</v>
      </c>
      <c r="L2923">
        <v>215.0883</v>
      </c>
      <c r="M2923">
        <v>0.99989709999999998</v>
      </c>
      <c r="N2923">
        <v>-1.430059E-2</v>
      </c>
      <c r="O2923">
        <v>-1.1828909999999999E-3</v>
      </c>
      <c r="P2923">
        <v>0.97849600000000003</v>
      </c>
      <c r="Q2923">
        <v>0.20621510000000001</v>
      </c>
      <c r="R2923">
        <v>4.6203980000000004E-3</v>
      </c>
      <c r="S2923">
        <v>3.0678860000000001</v>
      </c>
      <c r="T2923">
        <v>1.237595E-2</v>
      </c>
      <c r="U2923">
        <v>-0.70968629999999999</v>
      </c>
      <c r="V2923">
        <v>-5.7618819999999899E-3</v>
      </c>
      <c r="W2923">
        <v>0.22018750000000001</v>
      </c>
      <c r="X2923">
        <v>0.97544059999999999</v>
      </c>
      <c r="Y2923">
        <v>0.2242277</v>
      </c>
      <c r="Z2923">
        <v>-1.199285E-3</v>
      </c>
      <c r="AA2923">
        <v>0.97453610000000002</v>
      </c>
      <c r="AB2923">
        <v>31</v>
      </c>
      <c r="AC2923">
        <v>57.4452</v>
      </c>
      <c r="AD2923">
        <v>0.233293</v>
      </c>
      <c r="AE2923">
        <v>-13.3790999999999</v>
      </c>
      <c r="AF2923">
        <v>13.310924042843</v>
      </c>
      <c r="AG2923">
        <v>0.233293</v>
      </c>
      <c r="AH2923">
        <v>57.460088516136601</v>
      </c>
      <c r="AI2923">
        <v>89.773376629819495</v>
      </c>
      <c r="AJ2923">
        <v>76.9572009347022</v>
      </c>
      <c r="AK2923">
        <v>58.982174398545503</v>
      </c>
      <c r="AL2923">
        <v>77.279954631232897</v>
      </c>
      <c r="AM2923">
        <v>90.338439553441205</v>
      </c>
      <c r="AN2923">
        <v>1.0000000492843899</v>
      </c>
    </row>
    <row r="2924" spans="1:40" x14ac:dyDescent="0.25">
      <c r="A2924" t="str">
        <f>"20190304155425906"</f>
        <v>20190304155425906</v>
      </c>
      <c r="B2924" t="str">
        <f>"1551686065899671"</f>
        <v>1551686065899671</v>
      </c>
      <c r="C2924" t="s">
        <v>40</v>
      </c>
      <c r="D2924">
        <v>4.6039149999999998</v>
      </c>
      <c r="E2924">
        <v>0.58998430000000002</v>
      </c>
      <c r="F2924" t="s">
        <v>70</v>
      </c>
      <c r="G2924">
        <v>-168.41249999999999</v>
      </c>
      <c r="H2924">
        <v>1.302168</v>
      </c>
      <c r="I2924">
        <v>201.67269999999999</v>
      </c>
      <c r="J2924">
        <v>-225.6311</v>
      </c>
      <c r="K2924">
        <v>1.110562</v>
      </c>
      <c r="L2924">
        <v>215.08799999999999</v>
      </c>
      <c r="M2924">
        <v>0.99989709999999998</v>
      </c>
      <c r="N2924">
        <v>-1.4298180000000001E-2</v>
      </c>
      <c r="O2924">
        <v>-1.195032E-3</v>
      </c>
      <c r="P2924">
        <v>0.97854470000000005</v>
      </c>
      <c r="Q2924">
        <v>0.20599619999999999</v>
      </c>
      <c r="R2924">
        <v>3.9928339999999998E-3</v>
      </c>
      <c r="S2924">
        <v>3.0671689999999998</v>
      </c>
      <c r="T2924">
        <v>1.023221E-2</v>
      </c>
      <c r="U2924">
        <v>-0.71629330000000002</v>
      </c>
      <c r="V2924">
        <v>-5.1458500000000004E-3</v>
      </c>
      <c r="W2924">
        <v>0.219967</v>
      </c>
      <c r="X2924">
        <v>0.97549370000000002</v>
      </c>
      <c r="Y2924">
        <v>0.2262565</v>
      </c>
      <c r="Z2924">
        <v>-1.2874749999999999E-3</v>
      </c>
      <c r="AA2924">
        <v>0.97406689999999996</v>
      </c>
      <c r="AB2924">
        <v>30</v>
      </c>
      <c r="AC2924">
        <v>57.218600000000002</v>
      </c>
      <c r="AD2924">
        <v>0.191605999999999</v>
      </c>
      <c r="AE2924">
        <v>-13.4153</v>
      </c>
      <c r="AF2924">
        <v>13.3467635064425</v>
      </c>
      <c r="AG2924">
        <v>0.191605999999999</v>
      </c>
      <c r="AH2924">
        <v>57.233984130106599</v>
      </c>
      <c r="AI2924">
        <v>89.813199722633399</v>
      </c>
      <c r="AJ2924">
        <v>76.873414296921993</v>
      </c>
      <c r="AK2924">
        <v>58.769905124659097</v>
      </c>
      <c r="AL2924">
        <v>77.292904726898001</v>
      </c>
      <c r="AM2924">
        <v>90.302239524729004</v>
      </c>
      <c r="AN2924">
        <v>0.99999995980045497</v>
      </c>
    </row>
    <row r="2925" spans="1:40" x14ac:dyDescent="0.25">
      <c r="A2925" t="str">
        <f>"20190304155425927"</f>
        <v>20190304155425927</v>
      </c>
      <c r="B2925" t="str">
        <f>"1551686065920167"</f>
        <v>1551686065920167</v>
      </c>
      <c r="C2925" t="s">
        <v>40</v>
      </c>
      <c r="D2925">
        <v>4.5169600000000001</v>
      </c>
      <c r="E2925">
        <v>0.59015779999999995</v>
      </c>
      <c r="F2925" t="s">
        <v>70</v>
      </c>
      <c r="G2925">
        <v>-168.41249999999999</v>
      </c>
      <c r="H2925">
        <v>1.291023</v>
      </c>
      <c r="I2925">
        <v>201.6508</v>
      </c>
      <c r="J2925">
        <v>-225.33340000000001</v>
      </c>
      <c r="K2925">
        <v>1.1105609999999999</v>
      </c>
      <c r="L2925">
        <v>215.08760000000001</v>
      </c>
      <c r="M2925">
        <v>0.99989720000000004</v>
      </c>
      <c r="N2925">
        <v>-1.429504E-2</v>
      </c>
      <c r="O2925">
        <v>-1.210863E-3</v>
      </c>
      <c r="P2925">
        <v>0.9786165</v>
      </c>
      <c r="Q2925">
        <v>0.20567340000000001</v>
      </c>
      <c r="R2925">
        <v>2.880578E-3</v>
      </c>
      <c r="S2925">
        <v>3.0666660000000001</v>
      </c>
      <c r="T2925">
        <v>9.6737149999999994E-3</v>
      </c>
      <c r="U2925">
        <v>-0.72016910000000001</v>
      </c>
      <c r="V2925">
        <v>-4.0493229999999996E-3</v>
      </c>
      <c r="W2925">
        <v>0.21964230000000001</v>
      </c>
      <c r="X2925">
        <v>0.97557199999999999</v>
      </c>
      <c r="Y2925">
        <v>0.22744320000000001</v>
      </c>
      <c r="Z2925">
        <v>-1.3144700000000001E-3</v>
      </c>
      <c r="AA2925">
        <v>0.9737905</v>
      </c>
      <c r="AB2925">
        <v>30</v>
      </c>
      <c r="AC2925">
        <v>56.920900000000003</v>
      </c>
      <c r="AD2925">
        <v>0.18046199999999901</v>
      </c>
      <c r="AE2925">
        <v>-13.4368</v>
      </c>
      <c r="AF2925">
        <v>13.3677324276505</v>
      </c>
      <c r="AG2925">
        <v>0.18046199999999901</v>
      </c>
      <c r="AH2925">
        <v>56.936587961134698</v>
      </c>
      <c r="AI2925">
        <v>89.823207415914794</v>
      </c>
      <c r="AJ2925">
        <v>76.787241890560395</v>
      </c>
      <c r="AK2925">
        <v>58.485074039849898</v>
      </c>
      <c r="AL2925">
        <v>77.311974695400906</v>
      </c>
      <c r="AM2925">
        <v>90.237817183573597</v>
      </c>
      <c r="AN2925">
        <v>0.99999993207502103</v>
      </c>
    </row>
    <row r="2926" spans="1:40" x14ac:dyDescent="0.25">
      <c r="A2926" t="str">
        <f>"20190304155425953"</f>
        <v>20190304155425953</v>
      </c>
      <c r="B2926" t="str">
        <f>"1551686065949448"</f>
        <v>1551686065949448</v>
      </c>
      <c r="C2926" t="s">
        <v>40</v>
      </c>
      <c r="D2926">
        <v>4.5678650000000003</v>
      </c>
      <c r="E2926">
        <v>0.59062590000000004</v>
      </c>
      <c r="F2926" t="s">
        <v>70</v>
      </c>
      <c r="G2926">
        <v>-168.41249999999999</v>
      </c>
      <c r="H2926">
        <v>1.2863709999999999</v>
      </c>
      <c r="I2926">
        <v>201.62200000000001</v>
      </c>
      <c r="J2926">
        <v>-225.00239999999999</v>
      </c>
      <c r="K2926">
        <v>1.110557</v>
      </c>
      <c r="L2926">
        <v>215.0872</v>
      </c>
      <c r="M2926">
        <v>0.99989709999999998</v>
      </c>
      <c r="N2926">
        <v>-1.429153E-2</v>
      </c>
      <c r="O2926">
        <v>-1.228718E-3</v>
      </c>
      <c r="P2926">
        <v>0.97860939999999996</v>
      </c>
      <c r="Q2926">
        <v>0.2057195</v>
      </c>
      <c r="R2926">
        <v>1.7774259999999999E-3</v>
      </c>
      <c r="S2926">
        <v>3.065674</v>
      </c>
      <c r="T2926">
        <v>9.470582E-3</v>
      </c>
      <c r="U2926">
        <v>-0.72523499999999996</v>
      </c>
      <c r="V2926">
        <v>-2.9640059999999999E-3</v>
      </c>
      <c r="W2926">
        <v>0.2196842</v>
      </c>
      <c r="X2926">
        <v>0.97556659999999995</v>
      </c>
      <c r="Y2926">
        <v>0.22902</v>
      </c>
      <c r="Z2926">
        <v>-1.3310069999999999E-3</v>
      </c>
      <c r="AA2926">
        <v>0.97342079999999997</v>
      </c>
      <c r="AB2926">
        <v>30</v>
      </c>
      <c r="AC2926">
        <v>56.5899</v>
      </c>
      <c r="AD2926">
        <v>0.175813999999999</v>
      </c>
      <c r="AE2926">
        <v>-13.4651999999999</v>
      </c>
      <c r="AF2926">
        <v>13.3955273325133</v>
      </c>
      <c r="AG2926">
        <v>0.175813999999999</v>
      </c>
      <c r="AH2926">
        <v>56.605886798598902</v>
      </c>
      <c r="AI2926">
        <v>89.826826679544197</v>
      </c>
      <c r="AJ2926">
        <v>76.686136549137501</v>
      </c>
      <c r="AK2926">
        <v>58.169558046580498</v>
      </c>
      <c r="AL2926">
        <v>77.309515575914205</v>
      </c>
      <c r="AM2926">
        <v>90.174077824833304</v>
      </c>
      <c r="AN2926">
        <v>1.00000006204838</v>
      </c>
    </row>
    <row r="2927" spans="1:40" x14ac:dyDescent="0.25">
      <c r="A2927" t="str">
        <f>"20190304155425979"</f>
        <v>20190304155425979</v>
      </c>
      <c r="B2927" t="str">
        <f>"1551686065969944"</f>
        <v>1551686065969944</v>
      </c>
      <c r="C2927" t="s">
        <v>40</v>
      </c>
      <c r="D2927">
        <v>4.608047</v>
      </c>
      <c r="E2927">
        <v>0.59094449999999998</v>
      </c>
      <c r="F2927" t="s">
        <v>70</v>
      </c>
      <c r="G2927">
        <v>-168.41249999999999</v>
      </c>
      <c r="H2927">
        <v>1.2893730000000001</v>
      </c>
      <c r="I2927">
        <v>201.56110000000001</v>
      </c>
      <c r="J2927">
        <v>-224.64230000000001</v>
      </c>
      <c r="K2927">
        <v>1.11056</v>
      </c>
      <c r="L2927">
        <v>215.08670000000001</v>
      </c>
      <c r="M2927">
        <v>0.99989729999999999</v>
      </c>
      <c r="N2927">
        <v>-1.42877E-2</v>
      </c>
      <c r="O2927">
        <v>-1.248238E-3</v>
      </c>
      <c r="P2927">
        <v>0.9786705</v>
      </c>
      <c r="Q2927">
        <v>0.20543420000000001</v>
      </c>
      <c r="R2927">
        <v>1.125923E-3</v>
      </c>
      <c r="S2927">
        <v>3.0648650000000002</v>
      </c>
      <c r="T2927">
        <v>9.6863509999999993E-3</v>
      </c>
      <c r="U2927">
        <v>-0.73255919999999997</v>
      </c>
      <c r="V2927">
        <v>-2.331507E-3</v>
      </c>
      <c r="W2927">
        <v>0.2193967</v>
      </c>
      <c r="X2927">
        <v>0.97563299999999997</v>
      </c>
      <c r="Y2927">
        <v>0.23125970000000001</v>
      </c>
      <c r="Z2927">
        <v>-1.3362129999999999E-3</v>
      </c>
      <c r="AA2927">
        <v>0.97289119999999996</v>
      </c>
      <c r="AB2927">
        <v>30</v>
      </c>
      <c r="AC2927">
        <v>56.229799999999997</v>
      </c>
      <c r="AD2927">
        <v>0.178812999999999</v>
      </c>
      <c r="AE2927">
        <v>-13.525599999999899</v>
      </c>
      <c r="AF2927">
        <v>13.455265507183499</v>
      </c>
      <c r="AG2927">
        <v>0.178812999999999</v>
      </c>
      <c r="AH2927">
        <v>56.246103387436698</v>
      </c>
      <c r="AI2927">
        <v>89.822848917710999</v>
      </c>
      <c r="AJ2927">
        <v>76.546460908770996</v>
      </c>
      <c r="AK2927">
        <v>57.833383873226602</v>
      </c>
      <c r="AL2927">
        <v>77.326399870586897</v>
      </c>
      <c r="AM2927">
        <v>90.136921625970601</v>
      </c>
      <c r="AN2927">
        <v>1.00000004929238</v>
      </c>
    </row>
    <row r="2928" spans="1:40" x14ac:dyDescent="0.25">
      <c r="A2928" t="str">
        <f>"20190304155426003"</f>
        <v>20190304155426003</v>
      </c>
      <c r="B2928" t="str">
        <f>"1551686066000199"</f>
        <v>1551686066000199</v>
      </c>
      <c r="C2928" t="s">
        <v>40</v>
      </c>
      <c r="D2928">
        <v>4.5524719999999999</v>
      </c>
      <c r="E2928">
        <v>0.59152289999999996</v>
      </c>
      <c r="F2928" t="s">
        <v>70</v>
      </c>
      <c r="G2928">
        <v>-168.41249999999999</v>
      </c>
      <c r="H2928">
        <v>1.266529</v>
      </c>
      <c r="I2928">
        <v>201.56899999999999</v>
      </c>
      <c r="J2928">
        <v>-224.3297</v>
      </c>
      <c r="K2928">
        <v>1.1105590000000001</v>
      </c>
      <c r="L2928">
        <v>215.08629999999999</v>
      </c>
      <c r="M2928">
        <v>0.99989729999999999</v>
      </c>
      <c r="N2928">
        <v>-1.4284379999999999E-2</v>
      </c>
      <c r="O2928">
        <v>-1.2649029999999999E-3</v>
      </c>
      <c r="P2928">
        <v>0.97876949999999996</v>
      </c>
      <c r="Q2928">
        <v>0.20496500000000001</v>
      </c>
      <c r="R2928">
        <v>1.2017789999999999E-4</v>
      </c>
      <c r="S2928">
        <v>3.0644529999999999</v>
      </c>
      <c r="T2928">
        <v>8.5018869999999996E-3</v>
      </c>
      <c r="U2928">
        <v>-0.73669430000000002</v>
      </c>
      <c r="V2928">
        <v>-1.342598E-3</v>
      </c>
      <c r="W2928">
        <v>0.21892490000000001</v>
      </c>
      <c r="X2928">
        <v>0.97574079999999996</v>
      </c>
      <c r="Y2928">
        <v>0.232514</v>
      </c>
      <c r="Z2928">
        <v>-1.3873239999999999E-3</v>
      </c>
      <c r="AA2928">
        <v>0.97259209999999996</v>
      </c>
      <c r="AB2928">
        <v>30</v>
      </c>
      <c r="AC2928">
        <v>55.917200000000001</v>
      </c>
      <c r="AD2928">
        <v>0.155969999999999</v>
      </c>
      <c r="AE2928">
        <v>-13.517299999999899</v>
      </c>
      <c r="AF2928">
        <v>13.446453301674699</v>
      </c>
      <c r="AG2928">
        <v>0.155969999999999</v>
      </c>
      <c r="AH2928">
        <v>55.933843922892699</v>
      </c>
      <c r="AI2928">
        <v>89.844658362893099</v>
      </c>
      <c r="AJ2928">
        <v>76.482639998755801</v>
      </c>
      <c r="AK2928">
        <v>57.527613621855899</v>
      </c>
      <c r="AL2928">
        <v>77.354105093974098</v>
      </c>
      <c r="AM2928">
        <v>90.078837689717204</v>
      </c>
      <c r="AN2928">
        <v>1.00000001159701</v>
      </c>
    </row>
    <row r="2929" spans="1:40" x14ac:dyDescent="0.25">
      <c r="A2929" t="str">
        <f>"20190304155426022"</f>
        <v>20190304155426022</v>
      </c>
      <c r="B2929" t="str">
        <f>"1551686066019719"</f>
        <v>1551686066019719</v>
      </c>
      <c r="C2929" t="s">
        <v>40</v>
      </c>
      <c r="D2929">
        <v>4.5973059999999997</v>
      </c>
      <c r="E2929">
        <v>0.59186519999999898</v>
      </c>
      <c r="F2929" t="s">
        <v>70</v>
      </c>
      <c r="G2929">
        <v>-168.4126</v>
      </c>
      <c r="H2929">
        <v>1.2566619999999999</v>
      </c>
      <c r="I2929">
        <v>201.5042</v>
      </c>
      <c r="J2929">
        <v>-224.0609</v>
      </c>
      <c r="K2929">
        <v>1.110552</v>
      </c>
      <c r="L2929">
        <v>215.08600000000001</v>
      </c>
      <c r="M2929">
        <v>0.99989729999999999</v>
      </c>
      <c r="N2929">
        <v>-1.4281520000000001E-2</v>
      </c>
      <c r="O2929">
        <v>-1.2790690000000001E-3</v>
      </c>
      <c r="P2929">
        <v>0.9789253</v>
      </c>
      <c r="Q2929">
        <v>0.20421919999999999</v>
      </c>
      <c r="R2929">
        <v>-3.8812779999999999E-4</v>
      </c>
      <c r="S2929">
        <v>3.0634769999999998</v>
      </c>
      <c r="T2929">
        <v>8.0062150000000006E-3</v>
      </c>
      <c r="U2929">
        <v>-0.7441101</v>
      </c>
      <c r="V2929">
        <v>-8.4816199999999996E-4</v>
      </c>
      <c r="W2929">
        <v>0.2181786</v>
      </c>
      <c r="X2929">
        <v>0.97590849999999996</v>
      </c>
      <c r="Y2929">
        <v>0.23479430000000001</v>
      </c>
      <c r="Z2929">
        <v>-1.41959799999999E-3</v>
      </c>
      <c r="AA2929">
        <v>0.97204409999999997</v>
      </c>
      <c r="AB2929">
        <v>30</v>
      </c>
      <c r="AC2929">
        <v>55.648299999999999</v>
      </c>
      <c r="AD2929">
        <v>0.14610999999999999</v>
      </c>
      <c r="AE2929">
        <v>-13.5817999999999</v>
      </c>
      <c r="AF2929">
        <v>13.510515717667801</v>
      </c>
      <c r="AG2929">
        <v>0.14610999999999999</v>
      </c>
      <c r="AH2929">
        <v>55.665266130012597</v>
      </c>
      <c r="AI2929">
        <v>89.853853574013399</v>
      </c>
      <c r="AJ2929">
        <v>76.357543250961598</v>
      </c>
      <c r="AK2929">
        <v>57.281561050782997</v>
      </c>
      <c r="AL2929">
        <v>77.397924234713599</v>
      </c>
      <c r="AM2929">
        <v>90.049795744896102</v>
      </c>
      <c r="AN2929">
        <v>1.00000001062449</v>
      </c>
    </row>
    <row r="2930" spans="1:40" x14ac:dyDescent="0.25">
      <c r="A2930" t="str">
        <f>"20190304155426043"</f>
        <v>20190304155426043</v>
      </c>
      <c r="B2930" t="str">
        <f>"1551686066040216"</f>
        <v>1551686066040216</v>
      </c>
      <c r="C2930" t="s">
        <v>40</v>
      </c>
      <c r="D2930">
        <v>4.5615449999999997</v>
      </c>
      <c r="E2930">
        <v>0.5921708</v>
      </c>
      <c r="F2930" t="s">
        <v>70</v>
      </c>
      <c r="G2930">
        <v>-168.4126</v>
      </c>
      <c r="H2930">
        <v>1.2474209999999999</v>
      </c>
      <c r="I2930">
        <v>201.47540000000001</v>
      </c>
      <c r="J2930">
        <v>-223.7816</v>
      </c>
      <c r="K2930">
        <v>1.1105449999999999</v>
      </c>
      <c r="L2930">
        <v>215.0856</v>
      </c>
      <c r="M2930">
        <v>0.99989720000000004</v>
      </c>
      <c r="N2930">
        <v>-1.4278549999999999E-2</v>
      </c>
      <c r="O2930">
        <v>-1.2940650000000001E-3</v>
      </c>
      <c r="P2930">
        <v>0.97904250000000004</v>
      </c>
      <c r="Q2930">
        <v>0.20365269999999999</v>
      </c>
      <c r="R2930">
        <v>-1.225016E-3</v>
      </c>
      <c r="S2930">
        <v>3.0627140000000002</v>
      </c>
      <c r="T2930">
        <v>7.5346229999999998E-3</v>
      </c>
      <c r="U2930">
        <v>-0.74908450000000004</v>
      </c>
      <c r="V2930" s="1">
        <v>-2.6366670000000001E-5</v>
      </c>
      <c r="W2930">
        <v>0.21761130000000001</v>
      </c>
      <c r="X2930">
        <v>0.97603549999999994</v>
      </c>
      <c r="Y2930">
        <v>0.23632500000000001</v>
      </c>
      <c r="Z2930">
        <v>-1.4466469999999999E-3</v>
      </c>
      <c r="AA2930">
        <v>0.97167300000000001</v>
      </c>
      <c r="AB2930">
        <v>30</v>
      </c>
      <c r="AC2930">
        <v>55.369</v>
      </c>
      <c r="AD2930">
        <v>0.136875999999999</v>
      </c>
      <c r="AE2930">
        <v>-13.610199999999899</v>
      </c>
      <c r="AF2930">
        <v>13.538452189361299</v>
      </c>
      <c r="AG2930">
        <v>0.136875999999999</v>
      </c>
      <c r="AH2930">
        <v>55.386248722959401</v>
      </c>
      <c r="AI2930">
        <v>89.862454766291194</v>
      </c>
      <c r="AJ2930">
        <v>76.264130558780295</v>
      </c>
      <c r="AK2930">
        <v>57.017058590605302</v>
      </c>
      <c r="AL2930">
        <v>77.431228064357896</v>
      </c>
      <c r="AM2930">
        <v>90.001547790946503</v>
      </c>
      <c r="AN2930">
        <v>0.99999998792156997</v>
      </c>
    </row>
    <row r="2931" spans="1:40" x14ac:dyDescent="0.25">
      <c r="A2931" t="str">
        <f>"20190304155426064"</f>
        <v>20190304155426064</v>
      </c>
      <c r="B2931" t="str">
        <f>"1551686066059736"</f>
        <v>1551686066059736</v>
      </c>
      <c r="C2931" t="s">
        <v>40</v>
      </c>
      <c r="D2931">
        <v>4.5824170000000004</v>
      </c>
      <c r="E2931">
        <v>0.59250819999999904</v>
      </c>
      <c r="F2931" t="s">
        <v>70</v>
      </c>
      <c r="G2931">
        <v>-168.4126</v>
      </c>
      <c r="H2931">
        <v>1.230728</v>
      </c>
      <c r="I2931">
        <v>201.44970000000001</v>
      </c>
      <c r="J2931">
        <v>-223.50110000000001</v>
      </c>
      <c r="K2931">
        <v>1.1105430000000001</v>
      </c>
      <c r="L2931">
        <v>215.08519999999999</v>
      </c>
      <c r="M2931">
        <v>0.99989720000000004</v>
      </c>
      <c r="N2931">
        <v>-1.427556E-2</v>
      </c>
      <c r="O2931">
        <v>-1.3090619999999999E-3</v>
      </c>
      <c r="P2931">
        <v>0.97919270000000003</v>
      </c>
      <c r="Q2931">
        <v>0.20291960000000001</v>
      </c>
      <c r="R2931">
        <v>-2.3027579999999998E-3</v>
      </c>
      <c r="S2931">
        <v>3.06189</v>
      </c>
      <c r="T2931">
        <v>6.6478249999999996E-3</v>
      </c>
      <c r="U2931">
        <v>-0.75405880000000003</v>
      </c>
      <c r="V2931">
        <v>1.0365870000000001E-3</v>
      </c>
      <c r="W2931">
        <v>0.21687770000000001</v>
      </c>
      <c r="X2931">
        <v>0.97619829999999996</v>
      </c>
      <c r="Y2931">
        <v>0.23785899999999999</v>
      </c>
      <c r="Z2931">
        <v>-1.4896550000000001E-3</v>
      </c>
      <c r="AA2931">
        <v>0.97129849999999995</v>
      </c>
      <c r="AB2931">
        <v>30</v>
      </c>
      <c r="AC2931">
        <v>55.088500000000003</v>
      </c>
      <c r="AD2931">
        <v>0.120185</v>
      </c>
      <c r="AE2931">
        <v>-13.635499999999899</v>
      </c>
      <c r="AF2931">
        <v>13.563305869841001</v>
      </c>
      <c r="AG2931">
        <v>0.120185</v>
      </c>
      <c r="AH2931">
        <v>55.106057178018297</v>
      </c>
      <c r="AI2931">
        <v>89.878660806086202</v>
      </c>
      <c r="AJ2931">
        <v>76.172586268548599</v>
      </c>
      <c r="AK2931">
        <v>56.7508171594041</v>
      </c>
      <c r="AL2931">
        <v>77.4742896516249</v>
      </c>
      <c r="AM2931">
        <v>89.939159863446093</v>
      </c>
      <c r="AN2931">
        <v>1.0000000660963899</v>
      </c>
    </row>
    <row r="2932" spans="1:40" x14ac:dyDescent="0.25">
      <c r="A2932" t="str">
        <f>"20190304155426087"</f>
        <v>20190304155426087</v>
      </c>
      <c r="B2932" t="str">
        <f>"1551686066080231"</f>
        <v>1551686066080231</v>
      </c>
      <c r="C2932" t="s">
        <v>40</v>
      </c>
      <c r="D2932">
        <v>4.5502409999999998</v>
      </c>
      <c r="E2932">
        <v>0.59267259999999999</v>
      </c>
      <c r="F2932" t="s">
        <v>70</v>
      </c>
      <c r="G2932">
        <v>-168.4126</v>
      </c>
      <c r="H2932">
        <v>1.2050379999999901</v>
      </c>
      <c r="I2932">
        <v>201.4092</v>
      </c>
      <c r="J2932">
        <v>-223.1935</v>
      </c>
      <c r="K2932">
        <v>1.1105510000000001</v>
      </c>
      <c r="L2932">
        <v>215.0848</v>
      </c>
      <c r="M2932">
        <v>0.99989740000000005</v>
      </c>
      <c r="N2932">
        <v>-1.427231E-2</v>
      </c>
      <c r="O2932">
        <v>-1.3257290000000001E-3</v>
      </c>
      <c r="P2932">
        <v>0.97923579999999999</v>
      </c>
      <c r="Q2932">
        <v>0.20269670000000001</v>
      </c>
      <c r="R2932">
        <v>-3.3670530000000001E-3</v>
      </c>
      <c r="S2932">
        <v>3.060867</v>
      </c>
      <c r="T2932">
        <v>5.252123E-3</v>
      </c>
      <c r="U2932">
        <v>-0.7598724</v>
      </c>
      <c r="V2932">
        <v>2.0844969999999998E-3</v>
      </c>
      <c r="W2932">
        <v>0.21665190000000001</v>
      </c>
      <c r="X2932">
        <v>0.97624670000000002</v>
      </c>
      <c r="Y2932">
        <v>0.2396557</v>
      </c>
      <c r="Z2932">
        <v>-1.554211E-3</v>
      </c>
      <c r="AA2932">
        <v>0.97085670000000002</v>
      </c>
      <c r="AB2932">
        <v>30</v>
      </c>
      <c r="AC2932">
        <v>54.780900000000003</v>
      </c>
      <c r="AD2932">
        <v>9.4486999999999696E-2</v>
      </c>
      <c r="AE2932">
        <v>-13.675599999999999</v>
      </c>
      <c r="AF2932">
        <v>13.602917869252</v>
      </c>
      <c r="AG2932">
        <v>9.4486999999999696E-2</v>
      </c>
      <c r="AH2932">
        <v>54.798830371651597</v>
      </c>
      <c r="AI2932">
        <v>89.904117697213493</v>
      </c>
      <c r="AJ2932">
        <v>76.059043121330504</v>
      </c>
      <c r="AK2932">
        <v>56.462023630506103</v>
      </c>
      <c r="AL2932">
        <v>77.487541354769107</v>
      </c>
      <c r="AM2932">
        <v>89.877661354446303</v>
      </c>
      <c r="AN2932">
        <v>1.00000000508112</v>
      </c>
    </row>
    <row r="2933" spans="1:40" x14ac:dyDescent="0.25">
      <c r="A2933" t="str">
        <f>"20190304155426107"</f>
        <v>20190304155426107</v>
      </c>
      <c r="B2933" t="str">
        <f>"1551686066099752"</f>
        <v>1551686066099752</v>
      </c>
      <c r="C2933" t="s">
        <v>40</v>
      </c>
      <c r="D2933">
        <v>4.524483</v>
      </c>
      <c r="E2933">
        <v>0.59283680000000005</v>
      </c>
      <c r="F2933" t="s">
        <v>70</v>
      </c>
      <c r="G2933">
        <v>-168.4126</v>
      </c>
      <c r="H2933">
        <v>1.2144790000000001</v>
      </c>
      <c r="I2933">
        <v>201.39699999999999</v>
      </c>
      <c r="J2933">
        <v>-222.91059999999999</v>
      </c>
      <c r="K2933">
        <v>1.110555</v>
      </c>
      <c r="L2933">
        <v>215.08439999999999</v>
      </c>
      <c r="M2933">
        <v>0.99989740000000005</v>
      </c>
      <c r="N2933">
        <v>-1.426929E-2</v>
      </c>
      <c r="O2933">
        <v>-1.34241E-3</v>
      </c>
      <c r="P2933">
        <v>0.97924259999999996</v>
      </c>
      <c r="Q2933">
        <v>0.20264119999999999</v>
      </c>
      <c r="R2933">
        <v>-4.5605259999999996E-3</v>
      </c>
      <c r="S2933">
        <v>3.0597690000000002</v>
      </c>
      <c r="T2933">
        <v>5.8066840000000003E-3</v>
      </c>
      <c r="U2933">
        <v>-0.76452640000000005</v>
      </c>
      <c r="V2933">
        <v>3.2619559999999999E-3</v>
      </c>
      <c r="W2933">
        <v>0.2165937</v>
      </c>
      <c r="X2933">
        <v>0.97625640000000002</v>
      </c>
      <c r="Y2933">
        <v>0.24111150000000001</v>
      </c>
      <c r="Z2933">
        <v>-1.5424220000000001E-3</v>
      </c>
      <c r="AA2933">
        <v>0.97049620000000003</v>
      </c>
      <c r="AB2933">
        <v>30</v>
      </c>
      <c r="AC2933">
        <v>54.497999999999898</v>
      </c>
      <c r="AD2933">
        <v>0.103924</v>
      </c>
      <c r="AE2933">
        <v>-13.687399999999901</v>
      </c>
      <c r="AF2933">
        <v>13.6141749946385</v>
      </c>
      <c r="AG2933">
        <v>0.103924</v>
      </c>
      <c r="AH2933">
        <v>54.516140377787501</v>
      </c>
      <c r="AI2933">
        <v>89.894031628114803</v>
      </c>
      <c r="AJ2933">
        <v>75.978456560161007</v>
      </c>
      <c r="AK2933">
        <v>56.190445119015102</v>
      </c>
      <c r="AL2933">
        <v>77.490957198756306</v>
      </c>
      <c r="AM2933">
        <v>89.808558882436202</v>
      </c>
      <c r="AN2933">
        <v>1.00000001488879</v>
      </c>
    </row>
    <row r="2934" spans="1:40" x14ac:dyDescent="0.25">
      <c r="A2934" t="str">
        <f>"20190304155426130"</f>
        <v>20190304155426130</v>
      </c>
      <c r="B2934" t="str">
        <f>"1551686066120248"</f>
        <v>1551686066120248</v>
      </c>
      <c r="C2934" t="s">
        <v>40</v>
      </c>
      <c r="D2934">
        <v>4.6121299999999996</v>
      </c>
      <c r="E2934">
        <v>0.59304789999999996</v>
      </c>
      <c r="F2934" t="s">
        <v>70</v>
      </c>
      <c r="G2934">
        <v>-168.4126</v>
      </c>
      <c r="H2934">
        <v>1.2430099999999999</v>
      </c>
      <c r="I2934">
        <v>201.3655</v>
      </c>
      <c r="J2934">
        <v>-222.59950000000001</v>
      </c>
      <c r="K2934">
        <v>1.1105560000000001</v>
      </c>
      <c r="L2934">
        <v>215.0839</v>
      </c>
      <c r="M2934">
        <v>0.99989740000000005</v>
      </c>
      <c r="N2934">
        <v>-1.4265959999999999E-2</v>
      </c>
      <c r="O2934">
        <v>-1.3675989999999999E-3</v>
      </c>
      <c r="P2934">
        <v>0.97913110000000003</v>
      </c>
      <c r="Q2934">
        <v>0.20313419999999999</v>
      </c>
      <c r="R2934">
        <v>-6.2436159999999996E-3</v>
      </c>
      <c r="S2934">
        <v>3.0584560000000001</v>
      </c>
      <c r="T2934">
        <v>7.4353219999999899E-3</v>
      </c>
      <c r="U2934">
        <v>-0.76991269999999901</v>
      </c>
      <c r="V2934">
        <v>4.9223799999999996E-3</v>
      </c>
      <c r="W2934">
        <v>0.2170811</v>
      </c>
      <c r="X2934">
        <v>0.97614120000000004</v>
      </c>
      <c r="Y2934">
        <v>0.24279319999999999</v>
      </c>
      <c r="Z2934">
        <v>-1.4904129999999999E-3</v>
      </c>
      <c r="AA2934">
        <v>0.97007690000000002</v>
      </c>
      <c r="AB2934">
        <v>30</v>
      </c>
      <c r="AC2934">
        <v>54.186900000000001</v>
      </c>
      <c r="AD2934">
        <v>0.13245399999999999</v>
      </c>
      <c r="AE2934">
        <v>-13.718400000000001</v>
      </c>
      <c r="AF2934">
        <v>13.644197069220199</v>
      </c>
      <c r="AG2934">
        <v>0.13245399999999999</v>
      </c>
      <c r="AH2934">
        <v>54.205308122706803</v>
      </c>
      <c r="AI2934">
        <v>89.864229628936101</v>
      </c>
      <c r="AJ2934">
        <v>75.871403303154594</v>
      </c>
      <c r="AK2934">
        <v>55.8963065542207</v>
      </c>
      <c r="AL2934">
        <v>77.462350916003103</v>
      </c>
      <c r="AM2934">
        <v>89.711077445941299</v>
      </c>
      <c r="AN2934">
        <v>1.00000003806975</v>
      </c>
    </row>
    <row r="2935" spans="1:40" x14ac:dyDescent="0.25">
      <c r="A2935" t="str">
        <f>"20190304155426152"</f>
        <v>20190304155426152</v>
      </c>
      <c r="B2935" t="str">
        <f>"1551686066149530"</f>
        <v>1551686066149530</v>
      </c>
      <c r="C2935" t="s">
        <v>40</v>
      </c>
      <c r="D2935">
        <v>4.3696679999999999</v>
      </c>
      <c r="E2935">
        <v>0.59307330000000003</v>
      </c>
      <c r="F2935" t="s">
        <v>70</v>
      </c>
      <c r="G2935">
        <v>-168.4126</v>
      </c>
      <c r="H2935">
        <v>1.278051</v>
      </c>
      <c r="I2935">
        <v>201.30279999999999</v>
      </c>
      <c r="J2935">
        <v>-222.30699999999999</v>
      </c>
      <c r="K2935">
        <v>1.110549</v>
      </c>
      <c r="L2935">
        <v>215.08349999999999</v>
      </c>
      <c r="M2935">
        <v>0.99989740000000005</v>
      </c>
      <c r="N2935">
        <v>-1.4262840000000001E-2</v>
      </c>
      <c r="O2935">
        <v>-1.402155E-3</v>
      </c>
      <c r="P2935">
        <v>0.97900799999999999</v>
      </c>
      <c r="Q2935">
        <v>0.20360130000000001</v>
      </c>
      <c r="R2935">
        <v>-9.4983499999999992E-3</v>
      </c>
      <c r="S2935">
        <v>3.0570219999999999</v>
      </c>
      <c r="T2935">
        <v>9.4512699999999995E-3</v>
      </c>
      <c r="U2935">
        <v>-0.77748109999999904</v>
      </c>
      <c r="V2935">
        <v>8.1473980000000001E-3</v>
      </c>
      <c r="W2935">
        <v>0.2175433</v>
      </c>
      <c r="X2935">
        <v>0.97601660000000001</v>
      </c>
      <c r="Y2935">
        <v>0.2451245</v>
      </c>
      <c r="Z2935">
        <v>-1.426521E-3</v>
      </c>
      <c r="AA2935">
        <v>0.96949050000000003</v>
      </c>
      <c r="AB2935">
        <v>30</v>
      </c>
      <c r="AC2935">
        <v>53.894399999999997</v>
      </c>
      <c r="AD2935">
        <v>0.16750200000000001</v>
      </c>
      <c r="AE2935">
        <v>-13.7806999999999</v>
      </c>
      <c r="AF2935">
        <v>13.704986209808601</v>
      </c>
      <c r="AG2935">
        <v>0.16750200000000001</v>
      </c>
      <c r="AH2935">
        <v>53.913182838356697</v>
      </c>
      <c r="AI2935">
        <v>89.827476196001598</v>
      </c>
      <c r="AJ2935">
        <v>75.737239781084597</v>
      </c>
      <c r="AK2935">
        <v>55.628104297136801</v>
      </c>
      <c r="AL2935">
        <v>77.435219137444605</v>
      </c>
      <c r="AM2935">
        <v>89.521728752350299</v>
      </c>
      <c r="AN2935">
        <v>0.99999993547230803</v>
      </c>
    </row>
    <row r="2936" spans="1:40" x14ac:dyDescent="0.25">
      <c r="A2936" t="str">
        <f>"20190304155426177"</f>
        <v>20190304155426177</v>
      </c>
      <c r="B2936" t="str">
        <f>"1551686066170025"</f>
        <v>1551686066170025</v>
      </c>
      <c r="C2936" t="s">
        <v>40</v>
      </c>
      <c r="D2936">
        <v>4.6470760000000002</v>
      </c>
      <c r="E2936">
        <v>0.59308240000000001</v>
      </c>
      <c r="F2936" t="s">
        <v>70</v>
      </c>
      <c r="G2936">
        <v>-168.4127</v>
      </c>
      <c r="H2936">
        <v>1.325779</v>
      </c>
      <c r="I2936">
        <v>201.16909999999999</v>
      </c>
      <c r="J2936">
        <v>-221.97120000000001</v>
      </c>
      <c r="K2936">
        <v>1.1105339999999999</v>
      </c>
      <c r="L2936">
        <v>215.083</v>
      </c>
      <c r="M2936">
        <v>0.99989740000000005</v>
      </c>
      <c r="N2936">
        <v>-1.4259330000000001E-2</v>
      </c>
      <c r="O2936">
        <v>-1.46257299999999E-3</v>
      </c>
      <c r="P2936">
        <v>0.9791067</v>
      </c>
      <c r="Q2936">
        <v>0.20294570000000001</v>
      </c>
      <c r="R2936">
        <v>-1.2793290000000001E-2</v>
      </c>
      <c r="S2936">
        <v>3.0541230000000001</v>
      </c>
      <c r="T2936">
        <v>1.219869E-2</v>
      </c>
      <c r="U2936">
        <v>-0.78851319999999903</v>
      </c>
      <c r="V2936">
        <v>1.1390310000000001E-2</v>
      </c>
      <c r="W2936">
        <v>0.2168851</v>
      </c>
      <c r="X2936">
        <v>0.97613070000000002</v>
      </c>
      <c r="Y2936">
        <v>0.24857119999999999</v>
      </c>
      <c r="Z2936">
        <v>-1.3387500000000001E-3</v>
      </c>
      <c r="AA2936">
        <v>0.96861269999999999</v>
      </c>
      <c r="AB2936">
        <v>30</v>
      </c>
      <c r="AC2936">
        <v>53.558500000000002</v>
      </c>
      <c r="AD2936">
        <v>0.21524499999999999</v>
      </c>
      <c r="AE2936">
        <v>-13.9139</v>
      </c>
      <c r="AF2936">
        <v>13.835334613452099</v>
      </c>
      <c r="AG2936">
        <v>0.21524499999999999</v>
      </c>
      <c r="AH2936">
        <v>53.577984218116001</v>
      </c>
      <c r="AI2936">
        <v>89.777130969487402</v>
      </c>
      <c r="AJ2936">
        <v>75.520925271879193</v>
      </c>
      <c r="AK2936">
        <v>55.335912454326603</v>
      </c>
      <c r="AL2936">
        <v>77.473854669793894</v>
      </c>
      <c r="AM2936">
        <v>89.331455232084096</v>
      </c>
      <c r="AN2936">
        <v>1.00000001462319</v>
      </c>
    </row>
    <row r="2937" spans="1:40" x14ac:dyDescent="0.25">
      <c r="A2937" t="str">
        <f>"20190304155426206"</f>
        <v>20190304155426206</v>
      </c>
      <c r="B2937" t="str">
        <f>"1551686066200279"</f>
        <v>1551686066200279</v>
      </c>
      <c r="C2937" t="s">
        <v>40</v>
      </c>
      <c r="D2937">
        <v>4.5951820000000003</v>
      </c>
      <c r="E2937">
        <v>0.59295920000000002</v>
      </c>
      <c r="F2937" t="s">
        <v>70</v>
      </c>
      <c r="G2937">
        <v>-168.4127</v>
      </c>
      <c r="H2937">
        <v>1.3186199999999999</v>
      </c>
      <c r="I2937">
        <v>201.03970000000001</v>
      </c>
      <c r="J2937">
        <v>-221.61060000000001</v>
      </c>
      <c r="K2937">
        <v>1.110509</v>
      </c>
      <c r="L2937">
        <v>215.0823</v>
      </c>
      <c r="M2937">
        <v>0.99989720000000004</v>
      </c>
      <c r="N2937">
        <v>-1.425561E-2</v>
      </c>
      <c r="O2937">
        <v>-1.5641470000000001E-3</v>
      </c>
      <c r="P2937">
        <v>0.97926100000000005</v>
      </c>
      <c r="Q2937">
        <v>0.20196230000000001</v>
      </c>
      <c r="R2937">
        <v>-1.610025E-2</v>
      </c>
      <c r="S2937">
        <v>3.0511170000000001</v>
      </c>
      <c r="T2937">
        <v>1.185608E-2</v>
      </c>
      <c r="U2937">
        <v>-0.80001829999999996</v>
      </c>
      <c r="V2937">
        <v>1.460944E-2</v>
      </c>
      <c r="W2937">
        <v>0.21589910000000001</v>
      </c>
      <c r="X2937">
        <v>0.97630640000000002</v>
      </c>
      <c r="Y2937">
        <v>0.25212269999999998</v>
      </c>
      <c r="Z2937">
        <v>-1.3732239999999999E-3</v>
      </c>
      <c r="AA2937">
        <v>0.96769430000000001</v>
      </c>
      <c r="AB2937">
        <v>30</v>
      </c>
      <c r="AC2937">
        <v>53.197899999999997</v>
      </c>
      <c r="AD2937">
        <v>0.20811099999999999</v>
      </c>
      <c r="AE2937">
        <v>-14.042599999999901</v>
      </c>
      <c r="AF2937">
        <v>13.959165316609999</v>
      </c>
      <c r="AG2937">
        <v>0.20811099999999999</v>
      </c>
      <c r="AH2937">
        <v>53.219040430242501</v>
      </c>
      <c r="AI2937">
        <v>89.783279271742899</v>
      </c>
      <c r="AJ2937">
        <v>75.302607444591501</v>
      </c>
      <c r="AK2937">
        <v>55.019704387069801</v>
      </c>
      <c r="AL2937">
        <v>77.531719416367395</v>
      </c>
      <c r="AM2937">
        <v>89.142690467813296</v>
      </c>
      <c r="AN2937">
        <v>1.00000002189944</v>
      </c>
    </row>
    <row r="2938" spans="1:40" x14ac:dyDescent="0.25">
      <c r="A2938" t="str">
        <f>"20190304155426226"</f>
        <v>20190304155426226</v>
      </c>
      <c r="B2938" t="str">
        <f>"1551686066219800"</f>
        <v>1551686066219800</v>
      </c>
      <c r="C2938" t="s">
        <v>40</v>
      </c>
      <c r="D2938">
        <v>4.8475960000000002</v>
      </c>
      <c r="E2938">
        <v>0.60573559999999904</v>
      </c>
      <c r="F2938" t="s">
        <v>70</v>
      </c>
      <c r="G2938">
        <v>-168.4128</v>
      </c>
      <c r="H2938">
        <v>1.3081290000000001</v>
      </c>
      <c r="I2938">
        <v>200.92080000000001</v>
      </c>
      <c r="J2938">
        <v>-221.3201</v>
      </c>
      <c r="K2938">
        <v>1.110479</v>
      </c>
      <c r="L2938">
        <v>215.08179999999999</v>
      </c>
      <c r="M2938">
        <v>0.99989709999999998</v>
      </c>
      <c r="N2938">
        <v>-1.4252630000000001E-2</v>
      </c>
      <c r="O2938">
        <v>-1.6817100000000001E-3</v>
      </c>
      <c r="P2938">
        <v>0.97937300000000005</v>
      </c>
      <c r="Q2938">
        <v>0.20111799999999999</v>
      </c>
      <c r="R2938">
        <v>-1.9501000000000001E-2</v>
      </c>
      <c r="S2938">
        <v>3.0478670000000001</v>
      </c>
      <c r="T2938">
        <v>1.132417E-2</v>
      </c>
      <c r="U2938">
        <v>-0.81135559999999995</v>
      </c>
      <c r="V2938">
        <v>1.7907059999999999E-2</v>
      </c>
      <c r="W2938">
        <v>0.2150521</v>
      </c>
      <c r="X2938">
        <v>0.97643840000000004</v>
      </c>
      <c r="Y2938">
        <v>0.25562479999999999</v>
      </c>
      <c r="Z2938">
        <v>-1.4158689999999999E-3</v>
      </c>
      <c r="AA2938">
        <v>0.96677500000000005</v>
      </c>
      <c r="AB2938">
        <v>30</v>
      </c>
      <c r="AC2938">
        <v>52.9072999999999</v>
      </c>
      <c r="AD2938">
        <v>0.19764999999999999</v>
      </c>
      <c r="AE2938">
        <v>-14.1609999999999</v>
      </c>
      <c r="AF2938">
        <v>14.0718129469074</v>
      </c>
      <c r="AG2938">
        <v>0.19764999999999999</v>
      </c>
      <c r="AH2938">
        <v>52.9303529665019</v>
      </c>
      <c r="AI2938">
        <v>89.793232094236998</v>
      </c>
      <c r="AJ2938">
        <v>75.111995076684295</v>
      </c>
      <c r="AK2938">
        <v>54.769309383027</v>
      </c>
      <c r="AL2938">
        <v>77.581416196169997</v>
      </c>
      <c r="AM2938">
        <v>88.949361309702596</v>
      </c>
      <c r="AN2938">
        <v>1.0000000087534</v>
      </c>
    </row>
    <row r="2939" spans="1:40" x14ac:dyDescent="0.25">
      <c r="A2939" t="str">
        <f>"20190304155426245"</f>
        <v>20190304155426245</v>
      </c>
      <c r="B2939" t="str">
        <f>"1551686066240296"</f>
        <v>1551686066240296</v>
      </c>
      <c r="C2939" t="s">
        <v>40</v>
      </c>
      <c r="D2939">
        <v>4.8136269999999897</v>
      </c>
      <c r="E2939">
        <v>0.61111199999999999</v>
      </c>
      <c r="F2939" t="s">
        <v>70</v>
      </c>
      <c r="G2939">
        <v>-168.41380000000001</v>
      </c>
      <c r="H2939">
        <v>2.4133610000000001</v>
      </c>
      <c r="I2939">
        <v>198.97120000000001</v>
      </c>
      <c r="J2939">
        <v>-221.07169999999999</v>
      </c>
      <c r="K2939">
        <v>1.1104510000000001</v>
      </c>
      <c r="L2939">
        <v>215.0812</v>
      </c>
      <c r="M2939">
        <v>0.99989680000000003</v>
      </c>
      <c r="N2939">
        <v>-1.425016E-2</v>
      </c>
      <c r="O2939">
        <v>-1.803638E-3</v>
      </c>
      <c r="P2939">
        <v>0.97953520000000005</v>
      </c>
      <c r="Q2939">
        <v>0.19996149999999999</v>
      </c>
      <c r="R2939">
        <v>-2.2939629999999999E-2</v>
      </c>
      <c r="S2939">
        <v>3.0294949999999998</v>
      </c>
      <c r="T2939">
        <v>7.4606779999999998E-2</v>
      </c>
      <c r="U2939">
        <v>-0.92251590000000006</v>
      </c>
      <c r="V2939">
        <v>2.1235939999999998E-2</v>
      </c>
      <c r="W2939">
        <v>0.2138938</v>
      </c>
      <c r="X2939">
        <v>0.97662599999999999</v>
      </c>
      <c r="Y2939">
        <v>0.28954869999999999</v>
      </c>
      <c r="Z2939">
        <v>1.308254E-3</v>
      </c>
      <c r="AA2939">
        <v>0.95716239999999997</v>
      </c>
      <c r="AB2939">
        <v>30</v>
      </c>
      <c r="AC2939">
        <v>52.657899999999898</v>
      </c>
      <c r="AD2939">
        <v>1.30291</v>
      </c>
      <c r="AE2939">
        <v>-16.1099999999999</v>
      </c>
      <c r="AF2939">
        <v>16.006027944167901</v>
      </c>
      <c r="AG2939">
        <v>1.30291</v>
      </c>
      <c r="AH2939">
        <v>52.6573955088841</v>
      </c>
      <c r="AI2939">
        <v>88.643853167157104</v>
      </c>
      <c r="AJ2939">
        <v>73.092541282510496</v>
      </c>
      <c r="AK2939">
        <v>55.051719380929697</v>
      </c>
      <c r="AL2939">
        <v>77.649362083100797</v>
      </c>
      <c r="AM2939">
        <v>88.754346054869004</v>
      </c>
      <c r="AN2939">
        <v>0.99999993335105897</v>
      </c>
    </row>
    <row r="2940" spans="1:40" x14ac:dyDescent="0.25">
      <c r="A2940" t="str">
        <f>"20190304155426268"</f>
        <v>20190304155426268</v>
      </c>
      <c r="B2940" t="str">
        <f>"1551686066259816"</f>
        <v>1551686066259816</v>
      </c>
      <c r="C2940" t="s">
        <v>40</v>
      </c>
      <c r="D2940">
        <v>4.8178340000000004</v>
      </c>
      <c r="E2940">
        <v>0.61031999999999997</v>
      </c>
      <c r="F2940" t="s">
        <v>70</v>
      </c>
      <c r="G2940">
        <v>-168.41370000000001</v>
      </c>
      <c r="H2940">
        <v>1.4399979999999999</v>
      </c>
      <c r="I2940">
        <v>198.11340000000001</v>
      </c>
      <c r="J2940">
        <v>-220.76079999999999</v>
      </c>
      <c r="K2940">
        <v>1.1104149999999999</v>
      </c>
      <c r="L2940">
        <v>215.0805</v>
      </c>
      <c r="M2940">
        <v>0.99989660000000002</v>
      </c>
      <c r="N2940">
        <v>-1.424724E-2</v>
      </c>
      <c r="O2940">
        <v>-1.995302E-3</v>
      </c>
      <c r="P2940">
        <v>0.97970520000000005</v>
      </c>
      <c r="Q2940">
        <v>0.19877</v>
      </c>
      <c r="R2940">
        <v>-2.5853040000000001E-2</v>
      </c>
      <c r="S2940">
        <v>3.035873</v>
      </c>
      <c r="T2940">
        <v>1.9001250000000001E-2</v>
      </c>
      <c r="U2940">
        <v>-0.97824100000000003</v>
      </c>
      <c r="V2940">
        <v>2.397498E-2</v>
      </c>
      <c r="W2940">
        <v>0.21270030000000001</v>
      </c>
      <c r="X2940">
        <v>0.97682329999999995</v>
      </c>
      <c r="Y2940">
        <v>0.30480559999999901</v>
      </c>
      <c r="Z2940">
        <v>-1.3346129999999999E-3</v>
      </c>
      <c r="AA2940">
        <v>0.95241370000000003</v>
      </c>
      <c r="AB2940">
        <v>30</v>
      </c>
      <c r="AC2940">
        <v>52.347099999999898</v>
      </c>
      <c r="AD2940">
        <v>0.32958300000000001</v>
      </c>
      <c r="AE2940">
        <v>-16.967099999999899</v>
      </c>
      <c r="AF2940">
        <v>16.862002472963599</v>
      </c>
      <c r="AG2940">
        <v>0.32958300000000001</v>
      </c>
      <c r="AH2940">
        <v>52.378974743720399</v>
      </c>
      <c r="AI2940">
        <v>89.656827391154707</v>
      </c>
      <c r="AJ2940">
        <v>72.155433121855296</v>
      </c>
      <c r="AK2940">
        <v>55.0272000701056</v>
      </c>
      <c r="AL2940">
        <v>77.7193560186589</v>
      </c>
      <c r="AM2940">
        <v>88.594024696277103</v>
      </c>
      <c r="AN2940">
        <v>0.99999998835449</v>
      </c>
    </row>
    <row r="2941" spans="1:40" x14ac:dyDescent="0.25">
      <c r="A2941" t="str">
        <f>"20190304155426287"</f>
        <v>20190304155426287</v>
      </c>
      <c r="B2941" t="str">
        <f>"1551686066280312"</f>
        <v>1551686066280312</v>
      </c>
      <c r="C2941" t="s">
        <v>40</v>
      </c>
      <c r="D2941">
        <v>4.8361939999999999</v>
      </c>
      <c r="E2941">
        <v>0.61030469999999903</v>
      </c>
      <c r="F2941" t="s">
        <v>70</v>
      </c>
      <c r="G2941">
        <v>-168.4135</v>
      </c>
      <c r="H2941">
        <v>0.92318060000000002</v>
      </c>
      <c r="I2941">
        <v>198.16059999999999</v>
      </c>
      <c r="J2941">
        <v>-220.50909999999999</v>
      </c>
      <c r="K2941">
        <v>1.11039</v>
      </c>
      <c r="L2941">
        <v>215.07980000000001</v>
      </c>
      <c r="M2941">
        <v>0.99989629999999996</v>
      </c>
      <c r="N2941">
        <v>-1.4244649999999999E-2</v>
      </c>
      <c r="O2941">
        <v>-2.1817859999999998E-3</v>
      </c>
      <c r="P2941">
        <v>0.97996280000000002</v>
      </c>
      <c r="Q2941">
        <v>0.19713449999999999</v>
      </c>
      <c r="R2941">
        <v>-2.8485E-2</v>
      </c>
      <c r="S2941">
        <v>3.0384220000000002</v>
      </c>
      <c r="T2941">
        <v>-1.086581E-2</v>
      </c>
      <c r="U2941">
        <v>-0.98208620000000002</v>
      </c>
      <c r="V2941">
        <v>2.643533E-2</v>
      </c>
      <c r="W2941">
        <v>0.21106369999999999</v>
      </c>
      <c r="X2941">
        <v>0.97711479999999995</v>
      </c>
      <c r="Y2941">
        <v>0.30546899999999999</v>
      </c>
      <c r="Z2941">
        <v>-2.78517E-3</v>
      </c>
      <c r="AA2941">
        <v>0.95219799999999999</v>
      </c>
      <c r="AB2941">
        <v>30</v>
      </c>
      <c r="AC2941">
        <v>52.095599999999898</v>
      </c>
      <c r="AD2941">
        <v>-0.1872094</v>
      </c>
      <c r="AE2941">
        <v>-16.9192</v>
      </c>
      <c r="AF2941">
        <v>16.8052904412184</v>
      </c>
      <c r="AG2941">
        <v>-0.1872094</v>
      </c>
      <c r="AH2941">
        <v>52.131784812104797</v>
      </c>
      <c r="AI2941">
        <v>90.195829347089798</v>
      </c>
      <c r="AJ2941">
        <v>72.132666757376697</v>
      </c>
      <c r="AK2941">
        <v>54.773860753727703</v>
      </c>
      <c r="AL2941">
        <v>77.815305216885093</v>
      </c>
      <c r="AM2941">
        <v>88.450270675735993</v>
      </c>
      <c r="AN2941">
        <v>1.0000000222544601</v>
      </c>
    </row>
    <row r="2942" spans="1:40" x14ac:dyDescent="0.25">
      <c r="A2942" t="str">
        <f>"20190304155426310"</f>
        <v>20190304155426310</v>
      </c>
      <c r="B2942" t="str">
        <f>"1551686066299832"</f>
        <v>1551686066299832</v>
      </c>
      <c r="C2942" t="s">
        <v>40</v>
      </c>
      <c r="D2942">
        <v>4.7515299999999998</v>
      </c>
      <c r="E2942">
        <v>0.61131259999999998</v>
      </c>
      <c r="F2942" t="s">
        <v>70</v>
      </c>
      <c r="G2942">
        <v>-168.4135</v>
      </c>
      <c r="H2942">
        <v>0.73195459999999901</v>
      </c>
      <c r="I2942">
        <v>198.0984</v>
      </c>
      <c r="J2942">
        <v>-220.20429999999999</v>
      </c>
      <c r="K2942">
        <v>1.1103499999999999</v>
      </c>
      <c r="L2942">
        <v>215.0788</v>
      </c>
      <c r="M2942">
        <v>0.99989570000000005</v>
      </c>
      <c r="N2942">
        <v>-1.424131E-2</v>
      </c>
      <c r="O2942">
        <v>-2.449709E-3</v>
      </c>
      <c r="P2942">
        <v>0.9800295</v>
      </c>
      <c r="Q2942">
        <v>0.19650909999999999</v>
      </c>
      <c r="R2942">
        <v>-3.0446819999999999E-2</v>
      </c>
      <c r="S2942">
        <v>3.0370180000000002</v>
      </c>
      <c r="T2942">
        <v>-2.2059680000000002E-2</v>
      </c>
      <c r="U2942">
        <v>-0.9899597</v>
      </c>
      <c r="V2942">
        <v>2.8150620000000001E-2</v>
      </c>
      <c r="W2942">
        <v>0.21043300000000001</v>
      </c>
      <c r="X2942">
        <v>0.97720289999999999</v>
      </c>
      <c r="Y2942">
        <v>0.30756139999999998</v>
      </c>
      <c r="Z2942">
        <v>-3.3509780000000001E-3</v>
      </c>
      <c r="AA2942">
        <v>0.95152239999999999</v>
      </c>
      <c r="AB2942">
        <v>30</v>
      </c>
      <c r="AC2942">
        <v>51.790799999999898</v>
      </c>
      <c r="AD2942">
        <v>-0.37839539999999999</v>
      </c>
      <c r="AE2942">
        <v>-16.980399999999999</v>
      </c>
      <c r="AF2942">
        <v>16.8526515040597</v>
      </c>
      <c r="AG2942">
        <v>-0.37839539999999999</v>
      </c>
      <c r="AH2942">
        <v>51.829747641948302</v>
      </c>
      <c r="AI2942">
        <v>90.397794537542197</v>
      </c>
      <c r="AJ2942">
        <v>71.987856417267693</v>
      </c>
      <c r="AK2942">
        <v>54.5020897436426</v>
      </c>
      <c r="AL2942">
        <v>77.852271727886503</v>
      </c>
      <c r="AM2942">
        <v>88.349917122213796</v>
      </c>
      <c r="AN2942">
        <v>1.0000000063318899</v>
      </c>
    </row>
    <row r="2943" spans="1:40" x14ac:dyDescent="0.25">
      <c r="A2943" t="str">
        <f>"20190304155426332"</f>
        <v>20190304155426332</v>
      </c>
      <c r="B2943" t="str">
        <f>"1551686066330088"</f>
        <v>1551686066330088</v>
      </c>
      <c r="C2943" t="s">
        <v>40</v>
      </c>
      <c r="D2943">
        <v>4.6397680000000001</v>
      </c>
      <c r="E2943">
        <v>0.61259449999999904</v>
      </c>
      <c r="F2943" t="s">
        <v>70</v>
      </c>
      <c r="G2943">
        <v>-168.4135</v>
      </c>
      <c r="H2943">
        <v>0.63439659999999998</v>
      </c>
      <c r="I2943">
        <v>197.95410000000001</v>
      </c>
      <c r="J2943">
        <v>-219.90020000000001</v>
      </c>
      <c r="K2943">
        <v>1.1103209999999999</v>
      </c>
      <c r="L2943">
        <v>215.0778</v>
      </c>
      <c r="M2943">
        <v>0.99989490000000003</v>
      </c>
      <c r="N2943">
        <v>-1.4237990000000001E-2</v>
      </c>
      <c r="O2943">
        <v>-2.763227E-3</v>
      </c>
      <c r="P2943">
        <v>0.97991810000000001</v>
      </c>
      <c r="Q2943">
        <v>0.19675300000000001</v>
      </c>
      <c r="R2943">
        <v>-3.2390580000000002E-2</v>
      </c>
      <c r="S2943">
        <v>3.0355379999999998</v>
      </c>
      <c r="T2943">
        <v>-2.789438E-2</v>
      </c>
      <c r="U2943">
        <v>-1.003708</v>
      </c>
      <c r="V2943">
        <v>2.980553E-2</v>
      </c>
      <c r="W2943">
        <v>0.21066889999999999</v>
      </c>
      <c r="X2943">
        <v>0.97710300000000005</v>
      </c>
      <c r="Y2943">
        <v>0.31127850000000001</v>
      </c>
      <c r="Z2943">
        <v>-3.6803840000000001E-3</v>
      </c>
      <c r="AA2943">
        <v>0.95031160000000003</v>
      </c>
      <c r="AB2943">
        <v>30</v>
      </c>
      <c r="AC2943">
        <v>51.486699999999999</v>
      </c>
      <c r="AD2943">
        <v>-0.47592439999999903</v>
      </c>
      <c r="AE2943">
        <v>-17.1236999999999</v>
      </c>
      <c r="AF2943">
        <v>16.980044405541499</v>
      </c>
      <c r="AG2943">
        <v>-0.47592439999999903</v>
      </c>
      <c r="AH2943">
        <v>51.529860418689402</v>
      </c>
      <c r="AI2943">
        <v>90.502581496830103</v>
      </c>
      <c r="AJ2943">
        <v>71.761990154737305</v>
      </c>
      <c r="AK2943">
        <v>54.257487288099597</v>
      </c>
      <c r="AL2943">
        <v>77.838445806766998</v>
      </c>
      <c r="AM2943">
        <v>88.2527924962572</v>
      </c>
      <c r="AN2943">
        <v>1.0000000138273899</v>
      </c>
    </row>
    <row r="2944" spans="1:40" x14ac:dyDescent="0.25">
      <c r="A2944" t="str">
        <f>"20190304155426356"</f>
        <v>20190304155426356</v>
      </c>
      <c r="B2944" t="str">
        <f>"1551686066350333"</f>
        <v>1551686066350333</v>
      </c>
      <c r="C2944" t="s">
        <v>40</v>
      </c>
      <c r="D2944">
        <v>4.7246230000000002</v>
      </c>
      <c r="E2944">
        <v>0.61392519999999995</v>
      </c>
      <c r="F2944" t="s">
        <v>70</v>
      </c>
      <c r="G2944">
        <v>-168.4136</v>
      </c>
      <c r="H2944">
        <v>0.66288380000000002</v>
      </c>
      <c r="I2944">
        <v>197.7713</v>
      </c>
      <c r="J2944">
        <v>-219.5916</v>
      </c>
      <c r="K2944">
        <v>1.1102860000000001</v>
      </c>
      <c r="L2944">
        <v>215.07650000000001</v>
      </c>
      <c r="M2944">
        <v>0.99989380000000005</v>
      </c>
      <c r="N2944">
        <v>-1.4234709999999999E-2</v>
      </c>
      <c r="O2944">
        <v>-3.132129E-3</v>
      </c>
      <c r="P2944">
        <v>0.97975800000000002</v>
      </c>
      <c r="Q2944">
        <v>0.19722010000000001</v>
      </c>
      <c r="R2944">
        <v>-3.4329869999999998E-2</v>
      </c>
      <c r="S2944">
        <v>3.0330509999999999</v>
      </c>
      <c r="T2944">
        <v>-2.6356339999999999E-2</v>
      </c>
      <c r="U2944">
        <v>-1.0195160000000001</v>
      </c>
      <c r="V2944">
        <v>3.1404189999999998E-2</v>
      </c>
      <c r="W2944">
        <v>0.2111266</v>
      </c>
      <c r="X2944">
        <v>0.97695410000000005</v>
      </c>
      <c r="Y2944">
        <v>0.31561600000000001</v>
      </c>
      <c r="Z2944">
        <v>-3.6581890000000001E-3</v>
      </c>
      <c r="AA2944">
        <v>0.94887999999999995</v>
      </c>
      <c r="AB2944">
        <v>30</v>
      </c>
      <c r="AC2944">
        <v>51.177999999999997</v>
      </c>
      <c r="AD2944">
        <v>-0.44740220000000003</v>
      </c>
      <c r="AE2944">
        <v>-17.305199999999999</v>
      </c>
      <c r="AF2944">
        <v>17.143627009715999</v>
      </c>
      <c r="AG2944">
        <v>-0.44740220000000003</v>
      </c>
      <c r="AH2944">
        <v>51.228443151388397</v>
      </c>
      <c r="AI2944">
        <v>90.474513994676101</v>
      </c>
      <c r="AJ2944">
        <v>71.497153843863003</v>
      </c>
      <c r="AK2944">
        <v>54.022749869771197</v>
      </c>
      <c r="AL2944">
        <v>77.811617815787997</v>
      </c>
      <c r="AM2944">
        <v>88.158861116444598</v>
      </c>
      <c r="AN2944">
        <v>0.99999998894196296</v>
      </c>
    </row>
    <row r="2945" spans="1:40" x14ac:dyDescent="0.25">
      <c r="A2945" t="str">
        <f>"20190304155426379"</f>
        <v>20190304155426379</v>
      </c>
      <c r="B2945" t="str">
        <f>"1551686066369854"</f>
        <v>1551686066369854</v>
      </c>
      <c r="C2945" t="s">
        <v>40</v>
      </c>
      <c r="D2945">
        <v>4.7375119999999997</v>
      </c>
      <c r="E2945">
        <v>0.61411490000000002</v>
      </c>
      <c r="F2945" t="s">
        <v>70</v>
      </c>
      <c r="G2945">
        <v>-168.4136</v>
      </c>
      <c r="H2945">
        <v>0.63060380000000005</v>
      </c>
      <c r="I2945">
        <v>197.58750000000001</v>
      </c>
      <c r="J2945">
        <v>-219.28149999999999</v>
      </c>
      <c r="K2945">
        <v>1.1102449999999999</v>
      </c>
      <c r="L2945">
        <v>215.07509999999999</v>
      </c>
      <c r="M2945">
        <v>0.99989249999999996</v>
      </c>
      <c r="N2945">
        <v>-1.4231540000000001E-2</v>
      </c>
      <c r="O2945">
        <v>-3.5621429999999998E-3</v>
      </c>
      <c r="P2945">
        <v>0.97961909999999996</v>
      </c>
      <c r="Q2945">
        <v>0.19767750000000001</v>
      </c>
      <c r="R2945">
        <v>-3.5640789999999999E-2</v>
      </c>
      <c r="S2945">
        <v>3.0314030000000001</v>
      </c>
      <c r="T2945">
        <v>-2.8410789999999998E-2</v>
      </c>
      <c r="U2945">
        <v>-1.035919</v>
      </c>
      <c r="V2945">
        <v>3.2316690000000002E-2</v>
      </c>
      <c r="W2945">
        <v>0.2115754</v>
      </c>
      <c r="X2945">
        <v>0.97682729999999995</v>
      </c>
      <c r="Y2945">
        <v>0.31996190000000002</v>
      </c>
      <c r="Z2945">
        <v>-3.8146640000000002E-3</v>
      </c>
      <c r="AA2945">
        <v>0.94742269999999895</v>
      </c>
      <c r="AB2945">
        <v>30</v>
      </c>
      <c r="AC2945">
        <v>50.867899999999899</v>
      </c>
      <c r="AD2945">
        <v>-0.47964119999999999</v>
      </c>
      <c r="AE2945">
        <v>-17.487599999999901</v>
      </c>
      <c r="AF2945">
        <v>17.304896023174699</v>
      </c>
      <c r="AG2945">
        <v>-0.47964119999999999</v>
      </c>
      <c r="AH2945">
        <v>50.9258276447827</v>
      </c>
      <c r="AI2945">
        <v>90.510929454013393</v>
      </c>
      <c r="AJ2945">
        <v>71.231936771970297</v>
      </c>
      <c r="AK2945">
        <v>53.787818354714297</v>
      </c>
      <c r="AL2945">
        <v>77.785309872882493</v>
      </c>
      <c r="AM2945">
        <v>88.105156504791196</v>
      </c>
      <c r="AN2945">
        <v>1.0000000461815</v>
      </c>
    </row>
    <row r="2946" spans="1:40" x14ac:dyDescent="0.25">
      <c r="A2946" t="str">
        <f>"20190304155426406"</f>
        <v>20190304155426406</v>
      </c>
      <c r="B2946" t="str">
        <f>"1551686066400109"</f>
        <v>1551686066400109</v>
      </c>
      <c r="C2946" t="s">
        <v>40</v>
      </c>
      <c r="D2946">
        <v>4.5706059999999997</v>
      </c>
      <c r="E2946">
        <v>0.61401909999999904</v>
      </c>
      <c r="F2946" t="s">
        <v>70</v>
      </c>
      <c r="G2946">
        <v>-168.41370000000001</v>
      </c>
      <c r="H2946">
        <v>0.70068929999999996</v>
      </c>
      <c r="I2946">
        <v>197.58449999999999</v>
      </c>
      <c r="J2946">
        <v>-218.9298</v>
      </c>
      <c r="K2946">
        <v>1.110195</v>
      </c>
      <c r="L2946">
        <v>215.07329999999999</v>
      </c>
      <c r="M2946">
        <v>0.99989030000000001</v>
      </c>
      <c r="N2946">
        <v>-1.422797E-2</v>
      </c>
      <c r="O2946">
        <v>-4.1397350000000003E-3</v>
      </c>
      <c r="P2946">
        <v>0.97943000000000002</v>
      </c>
      <c r="Q2946">
        <v>0.1983007</v>
      </c>
      <c r="R2946">
        <v>-3.7337740000000001E-2</v>
      </c>
      <c r="S2946">
        <v>3.0294340000000002</v>
      </c>
      <c r="T2946">
        <v>-2.4389149999999998E-2</v>
      </c>
      <c r="U2946">
        <v>-1.0416559999999999</v>
      </c>
      <c r="V2946">
        <v>3.3477920000000001E-2</v>
      </c>
      <c r="W2946">
        <v>0.2121873</v>
      </c>
      <c r="X2946">
        <v>0.97665539999999995</v>
      </c>
      <c r="Y2946">
        <v>0.32121430000000001</v>
      </c>
      <c r="Z2946">
        <v>-3.630908E-3</v>
      </c>
      <c r="AA2946">
        <v>0.94699949999999999</v>
      </c>
      <c r="AB2946">
        <v>30</v>
      </c>
      <c r="AC2946">
        <v>50.516100000000002</v>
      </c>
      <c r="AD2946">
        <v>-0.40950569999999997</v>
      </c>
      <c r="AE2946">
        <v>-17.488799999999902</v>
      </c>
      <c r="AF2946">
        <v>17.2784917742289</v>
      </c>
      <c r="AG2946">
        <v>-0.40950569999999997</v>
      </c>
      <c r="AH2946">
        <v>50.5851049849704</v>
      </c>
      <c r="AI2946">
        <v>90.438923298446099</v>
      </c>
      <c r="AJ2946">
        <v>71.141232782842394</v>
      </c>
      <c r="AK2946">
        <v>53.456214037760901</v>
      </c>
      <c r="AL2946">
        <v>77.749435460569302</v>
      </c>
      <c r="AM2946">
        <v>88.036776548315899</v>
      </c>
      <c r="AN2946">
        <v>0.99999999587898802</v>
      </c>
    </row>
    <row r="2947" spans="1:40" x14ac:dyDescent="0.25">
      <c r="A2947" t="str">
        <f>"20190304155426427"</f>
        <v>20190304155426427</v>
      </c>
      <c r="B2947" t="str">
        <f>"1551686066419630"</f>
        <v>1551686066419630</v>
      </c>
      <c r="C2947" t="s">
        <v>40</v>
      </c>
      <c r="D2947">
        <v>4.827083</v>
      </c>
      <c r="E2947">
        <v>0.61273469999999997</v>
      </c>
      <c r="F2947" t="s">
        <v>70</v>
      </c>
      <c r="G2947">
        <v>-168.41370000000001</v>
      </c>
      <c r="H2947">
        <v>0.71834849999999995</v>
      </c>
      <c r="I2947">
        <v>197.6165</v>
      </c>
      <c r="J2947">
        <v>-218.64760000000001</v>
      </c>
      <c r="K2947">
        <v>1.1101559999999999</v>
      </c>
      <c r="L2947">
        <v>215.07149999999999</v>
      </c>
      <c r="M2947">
        <v>0.99988790000000005</v>
      </c>
      <c r="N2947">
        <v>-1.422525E-2</v>
      </c>
      <c r="O2947">
        <v>-4.674086E-3</v>
      </c>
      <c r="P2947">
        <v>0.97924299999999997</v>
      </c>
      <c r="Q2947">
        <v>0.1988895</v>
      </c>
      <c r="R2947">
        <v>-3.9070889999999997E-2</v>
      </c>
      <c r="S2947">
        <v>3.0278930000000002</v>
      </c>
      <c r="T2947">
        <v>-2.3484950000000001E-2</v>
      </c>
      <c r="U2947">
        <v>-1.046341</v>
      </c>
      <c r="V2947">
        <v>3.4715250000000003E-2</v>
      </c>
      <c r="W2947">
        <v>0.21276600000000001</v>
      </c>
      <c r="X2947">
        <v>0.97648630000000003</v>
      </c>
      <c r="Y2947">
        <v>0.32216699999999998</v>
      </c>
      <c r="Z2947">
        <v>-3.5998390000000001E-3</v>
      </c>
      <c r="AA2947">
        <v>0.94667599999999996</v>
      </c>
      <c r="AB2947">
        <v>30</v>
      </c>
      <c r="AC2947">
        <v>50.233899999999998</v>
      </c>
      <c r="AD2947">
        <v>-0.39180749999999998</v>
      </c>
      <c r="AE2947">
        <v>-17.454999999999899</v>
      </c>
      <c r="AF2947">
        <v>17.219053296682301</v>
      </c>
      <c r="AG2947">
        <v>-0.39180749999999998</v>
      </c>
      <c r="AH2947">
        <v>50.312214585909402</v>
      </c>
      <c r="AI2947">
        <v>90.4221453816577</v>
      </c>
      <c r="AJ2947">
        <v>71.106797024470097</v>
      </c>
      <c r="AK2947">
        <v>53.178644643217801</v>
      </c>
      <c r="AL2947">
        <v>77.715503732155199</v>
      </c>
      <c r="AM2947">
        <v>87.963924356381796</v>
      </c>
      <c r="AN2947">
        <v>1.0000000067131201</v>
      </c>
    </row>
    <row r="2948" spans="1:40" x14ac:dyDescent="0.25">
      <c r="A2948" t="str">
        <f>"20190304155426449"</f>
        <v>20190304155426449</v>
      </c>
      <c r="B2948" t="str">
        <f>"1551686066440125"</f>
        <v>1551686066440125</v>
      </c>
      <c r="C2948" t="s">
        <v>40</v>
      </c>
      <c r="D2948">
        <v>4.749282</v>
      </c>
      <c r="E2948">
        <v>0.61174549999999905</v>
      </c>
      <c r="F2948" t="s">
        <v>70</v>
      </c>
      <c r="G2948">
        <v>-168.4136</v>
      </c>
      <c r="H2948">
        <v>0.647887199999999</v>
      </c>
      <c r="I2948">
        <v>197.7894</v>
      </c>
      <c r="J2948">
        <v>-218.3544</v>
      </c>
      <c r="K2948">
        <v>1.110101</v>
      </c>
      <c r="L2948">
        <v>215.06950000000001</v>
      </c>
      <c r="M2948">
        <v>0.99988489999999997</v>
      </c>
      <c r="N2948">
        <v>-1.422262E-2</v>
      </c>
      <c r="O2948">
        <v>-5.2925230000000004E-3</v>
      </c>
      <c r="P2948">
        <v>0.97903969999999996</v>
      </c>
      <c r="Q2948">
        <v>0.1995449</v>
      </c>
      <c r="R2948">
        <v>-4.0781100000000001E-2</v>
      </c>
      <c r="S2948">
        <v>3.027695</v>
      </c>
      <c r="T2948">
        <v>-2.7859809999999999E-2</v>
      </c>
      <c r="U2948">
        <v>-1.0416259999999999</v>
      </c>
      <c r="V2948">
        <v>3.5848869999999998E-2</v>
      </c>
      <c r="W2948">
        <v>0.2134103</v>
      </c>
      <c r="X2948">
        <v>0.97630470000000003</v>
      </c>
      <c r="Y2948">
        <v>0.3202758</v>
      </c>
      <c r="Z2948">
        <v>-3.7996699999999998E-3</v>
      </c>
      <c r="AA2948">
        <v>0.94731670000000001</v>
      </c>
      <c r="AB2948">
        <v>30</v>
      </c>
      <c r="AC2948">
        <v>49.940800000000003</v>
      </c>
      <c r="AD2948">
        <v>-0.46221380000000001</v>
      </c>
      <c r="AE2948">
        <v>-17.280100000000001</v>
      </c>
      <c r="AF2948">
        <v>17.014216784422398</v>
      </c>
      <c r="AG2948">
        <v>-0.46221380000000001</v>
      </c>
      <c r="AH2948">
        <v>50.027737843069303</v>
      </c>
      <c r="AI2948">
        <v>90.501160325339995</v>
      </c>
      <c r="AJ2948">
        <v>71.217053674976597</v>
      </c>
      <c r="AK2948">
        <v>52.843843237212603</v>
      </c>
      <c r="AL2948">
        <v>77.677719983844099</v>
      </c>
      <c r="AM2948">
        <v>87.897104684868793</v>
      </c>
      <c r="AN2948">
        <v>0.99999998243422805</v>
      </c>
    </row>
    <row r="2949" spans="1:40" x14ac:dyDescent="0.25">
      <c r="A2949" t="str">
        <f>"20190304155426468"</f>
        <v>20190304155426468</v>
      </c>
      <c r="B2949" t="str">
        <f>"1551686066459645"</f>
        <v>1551686066459645</v>
      </c>
      <c r="C2949" t="s">
        <v>40</v>
      </c>
      <c r="D2949">
        <v>4.7844319999999998</v>
      </c>
      <c r="E2949">
        <v>0.61069189999999995</v>
      </c>
      <c r="F2949" t="s">
        <v>70</v>
      </c>
      <c r="G2949">
        <v>-168.4135</v>
      </c>
      <c r="H2949">
        <v>0.5722294</v>
      </c>
      <c r="I2949">
        <v>197.9228</v>
      </c>
      <c r="J2949">
        <v>-218.108</v>
      </c>
      <c r="K2949">
        <v>1.110058</v>
      </c>
      <c r="L2949">
        <v>215.0676</v>
      </c>
      <c r="M2949">
        <v>0.99988169999999998</v>
      </c>
      <c r="N2949">
        <v>-1.4220440000000001E-2</v>
      </c>
      <c r="O2949">
        <v>-5.8700879999999999E-3</v>
      </c>
      <c r="P2949">
        <v>0.97895100000000002</v>
      </c>
      <c r="Q2949">
        <v>0.1998016</v>
      </c>
      <c r="R2949">
        <v>-4.1644019999999997E-2</v>
      </c>
      <c r="S2949">
        <v>3.0275729999999998</v>
      </c>
      <c r="T2949">
        <v>-3.2605410000000001E-2</v>
      </c>
      <c r="U2949">
        <v>-1.03949</v>
      </c>
      <c r="V2949">
        <v>3.6171080000000001E-2</v>
      </c>
      <c r="W2949">
        <v>0.2136595</v>
      </c>
      <c r="X2949">
        <v>0.9762383</v>
      </c>
      <c r="Y2949">
        <v>0.31913449999999999</v>
      </c>
      <c r="Z2949">
        <v>-4.0228699999999996E-3</v>
      </c>
      <c r="AA2949">
        <v>0.94770089999999996</v>
      </c>
      <c r="AB2949">
        <v>29</v>
      </c>
      <c r="AC2949">
        <v>49.694499999999998</v>
      </c>
      <c r="AD2949">
        <v>-0.53782859999999999</v>
      </c>
      <c r="AE2949">
        <v>-17.1448</v>
      </c>
      <c r="AF2949">
        <v>16.851000149554299</v>
      </c>
      <c r="AG2949">
        <v>-0.53782859999999999</v>
      </c>
      <c r="AH2949">
        <v>49.789083772079799</v>
      </c>
      <c r="AI2949">
        <v>90.586230046676405</v>
      </c>
      <c r="AJ2949">
        <v>71.301729352177304</v>
      </c>
      <c r="AK2949">
        <v>52.566132904241996</v>
      </c>
      <c r="AL2949">
        <v>77.663104672298701</v>
      </c>
      <c r="AM2949">
        <v>87.878076855962107</v>
      </c>
      <c r="AN2949">
        <v>0.99999997367775195</v>
      </c>
    </row>
    <row r="2950" spans="1:40" x14ac:dyDescent="0.25">
      <c r="A2950" t="str">
        <f>"20190304155426489"</f>
        <v>20190304155426489</v>
      </c>
      <c r="B2950" t="str">
        <f>"1551686066480142"</f>
        <v>1551686066480142</v>
      </c>
      <c r="C2950" t="s">
        <v>40</v>
      </c>
      <c r="D2950">
        <v>4.8332870000000003</v>
      </c>
      <c r="E2950">
        <v>0.61030390000000001</v>
      </c>
      <c r="F2950" t="s">
        <v>70</v>
      </c>
      <c r="G2950">
        <v>-168.4134</v>
      </c>
      <c r="H2950">
        <v>0.51001640000000004</v>
      </c>
      <c r="I2950">
        <v>198.08670000000001</v>
      </c>
      <c r="J2950">
        <v>-217.82769999999999</v>
      </c>
      <c r="K2950">
        <v>1.1099950000000001</v>
      </c>
      <c r="L2950">
        <v>215.0652</v>
      </c>
      <c r="M2950">
        <v>0.99987720000000002</v>
      </c>
      <c r="N2950">
        <v>-1.421801E-2</v>
      </c>
      <c r="O2950">
        <v>-6.6039289999999997E-3</v>
      </c>
      <c r="P2950">
        <v>0.97895739999999998</v>
      </c>
      <c r="Q2950">
        <v>0.19956109999999999</v>
      </c>
      <c r="R2950">
        <v>-4.2634140000000001E-2</v>
      </c>
      <c r="S2950">
        <v>3.0279539999999998</v>
      </c>
      <c r="T2950">
        <v>-3.6559220000000003E-2</v>
      </c>
      <c r="U2950">
        <v>-1.0346679999999999</v>
      </c>
      <c r="V2950">
        <v>3.6472909999999997E-2</v>
      </c>
      <c r="W2950">
        <v>0.21341170000000001</v>
      </c>
      <c r="X2950">
        <v>0.97628130000000002</v>
      </c>
      <c r="Y2950">
        <v>0.31704399999999999</v>
      </c>
      <c r="Z2950">
        <v>-4.1912809999999998E-3</v>
      </c>
      <c r="AA2950">
        <v>0.94840159999999996</v>
      </c>
      <c r="AB2950">
        <v>29</v>
      </c>
      <c r="AC2950">
        <v>49.414299999999997</v>
      </c>
      <c r="AD2950">
        <v>-0.59997860000000003</v>
      </c>
      <c r="AE2950">
        <v>-16.978499999999901</v>
      </c>
      <c r="AF2950">
        <v>16.649572843199898</v>
      </c>
      <c r="AG2950">
        <v>-0.59997860000000003</v>
      </c>
      <c r="AH2950">
        <v>49.518828990678699</v>
      </c>
      <c r="AI2950">
        <v>90.657978733230706</v>
      </c>
      <c r="AJ2950">
        <v>71.415959789802102</v>
      </c>
      <c r="AK2950">
        <v>52.246365182561298</v>
      </c>
      <c r="AL2950">
        <v>77.677638120565206</v>
      </c>
      <c r="AM2950">
        <v>87.860480983210195</v>
      </c>
      <c r="AN2950">
        <v>1.00000000179522</v>
      </c>
    </row>
    <row r="2951" spans="1:40" x14ac:dyDescent="0.25">
      <c r="A2951" t="str">
        <f>"20190304155426513"</f>
        <v>20190304155426513</v>
      </c>
      <c r="B2951" t="str">
        <f>"1551686066510397"</f>
        <v>1551686066510397</v>
      </c>
      <c r="C2951" t="s">
        <v>40</v>
      </c>
      <c r="D2951">
        <v>4.8064770000000001</v>
      </c>
      <c r="E2951">
        <v>0.6096454</v>
      </c>
      <c r="F2951" t="s">
        <v>70</v>
      </c>
      <c r="G2951">
        <v>-168.4134</v>
      </c>
      <c r="H2951">
        <v>0.4127808</v>
      </c>
      <c r="I2951">
        <v>198.1746</v>
      </c>
      <c r="J2951">
        <v>-217.5256</v>
      </c>
      <c r="K2951">
        <v>1.109923</v>
      </c>
      <c r="L2951">
        <v>215.06229999999999</v>
      </c>
      <c r="M2951">
        <v>0.99987099999999995</v>
      </c>
      <c r="N2951">
        <v>-1.421564E-2</v>
      </c>
      <c r="O2951">
        <v>-7.4928909999999998E-3</v>
      </c>
      <c r="P2951">
        <v>0.97911040000000005</v>
      </c>
      <c r="Q2951">
        <v>0.1984436</v>
      </c>
      <c r="R2951">
        <v>-4.4309349999999997E-2</v>
      </c>
      <c r="S2951">
        <v>3.0281370000000001</v>
      </c>
      <c r="T2951">
        <v>-4.2723659999999997E-2</v>
      </c>
      <c r="U2951">
        <v>-1.0350649999999999</v>
      </c>
      <c r="V2951">
        <v>3.7312100000000001E-2</v>
      </c>
      <c r="W2951">
        <v>0.212287</v>
      </c>
      <c r="X2951">
        <v>0.9764948</v>
      </c>
      <c r="Y2951">
        <v>0.31628260000000002</v>
      </c>
      <c r="Z2951">
        <v>-4.480833E-3</v>
      </c>
      <c r="AA2951">
        <v>0.94865449999999996</v>
      </c>
      <c r="AB2951">
        <v>29</v>
      </c>
      <c r="AC2951">
        <v>49.112200000000001</v>
      </c>
      <c r="AD2951">
        <v>-0.69714219999999905</v>
      </c>
      <c r="AE2951">
        <v>-16.887699999999899</v>
      </c>
      <c r="AF2951">
        <v>16.5162202789007</v>
      </c>
      <c r="AG2951">
        <v>-0.69714219999999905</v>
      </c>
      <c r="AH2951">
        <v>49.228501053675203</v>
      </c>
      <c r="AI2951">
        <v>90.7692001777786</v>
      </c>
      <c r="AJ2951">
        <v>71.453336265034693</v>
      </c>
      <c r="AK2951">
        <v>51.929922545098201</v>
      </c>
      <c r="AL2951">
        <v>77.743590308629805</v>
      </c>
      <c r="AM2951">
        <v>87.811779089136394</v>
      </c>
      <c r="AN2951">
        <v>1.0000000288012201</v>
      </c>
    </row>
    <row r="2952" spans="1:40" x14ac:dyDescent="0.25">
      <c r="A2952" t="str">
        <f>"20190304155426537"</f>
        <v>20190304155426537</v>
      </c>
      <c r="B2952" t="str">
        <f>"1551686066529918"</f>
        <v>1551686066529918</v>
      </c>
      <c r="C2952" t="s">
        <v>40</v>
      </c>
      <c r="D2952">
        <v>4.805987</v>
      </c>
      <c r="E2952">
        <v>0.60940269999999996</v>
      </c>
      <c r="F2952" t="s">
        <v>70</v>
      </c>
      <c r="G2952">
        <v>-168.41329999999999</v>
      </c>
      <c r="H2952">
        <v>0.2497673</v>
      </c>
      <c r="I2952">
        <v>198.26740000000001</v>
      </c>
      <c r="J2952">
        <v>-217.20359999999999</v>
      </c>
      <c r="K2952">
        <v>1.1098330000000001</v>
      </c>
      <c r="L2952">
        <v>215.05879999999999</v>
      </c>
      <c r="M2952">
        <v>0.99986249999999999</v>
      </c>
      <c r="N2952">
        <v>-1.4213430000000001E-2</v>
      </c>
      <c r="O2952">
        <v>-8.5559329999999999E-3</v>
      </c>
      <c r="P2952">
        <v>0.97914970000000001</v>
      </c>
      <c r="Q2952">
        <v>0.19787930000000001</v>
      </c>
      <c r="R2952">
        <v>-4.5935160000000003E-2</v>
      </c>
      <c r="S2952">
        <v>3.0278930000000002</v>
      </c>
      <c r="T2952">
        <v>-5.3028579999999999E-2</v>
      </c>
      <c r="U2952">
        <v>-1.0354460000000001</v>
      </c>
      <c r="V2952">
        <v>3.7939649999999998E-2</v>
      </c>
      <c r="W2952">
        <v>0.21171290000000001</v>
      </c>
      <c r="X2952">
        <v>0.9765952</v>
      </c>
      <c r="Y2952">
        <v>0.31538179999999999</v>
      </c>
      <c r="Z2952">
        <v>-4.9615249999999996E-3</v>
      </c>
      <c r="AA2952">
        <v>0.94895189999999996</v>
      </c>
      <c r="AB2952">
        <v>29</v>
      </c>
      <c r="AC2952">
        <v>48.790300000000002</v>
      </c>
      <c r="AD2952">
        <v>-0.86006569999999904</v>
      </c>
      <c r="AE2952">
        <v>-16.7913999999999</v>
      </c>
      <c r="AF2952">
        <v>16.368748839450699</v>
      </c>
      <c r="AG2952">
        <v>-0.86006569999999904</v>
      </c>
      <c r="AH2952">
        <v>48.918603207619</v>
      </c>
      <c r="AI2952">
        <v>90.955200159117993</v>
      </c>
      <c r="AJ2952">
        <v>71.499143473675005</v>
      </c>
      <c r="AK2952">
        <v>51.591718243937201</v>
      </c>
      <c r="AL2952">
        <v>77.777248240925204</v>
      </c>
      <c r="AM2952">
        <v>87.775240727812303</v>
      </c>
      <c r="AN2952">
        <v>0.99999997686578601</v>
      </c>
    </row>
    <row r="2953" spans="1:40" x14ac:dyDescent="0.25">
      <c r="A2953" t="str">
        <f>"20190304155426563"</f>
        <v>20190304155426563</v>
      </c>
      <c r="B2953" t="str">
        <f>"1551686066549438"</f>
        <v>1551686066549438</v>
      </c>
      <c r="C2953" t="s">
        <v>40</v>
      </c>
      <c r="D2953">
        <v>4.8470810000000002</v>
      </c>
      <c r="E2953">
        <v>0.60919669999999904</v>
      </c>
      <c r="F2953" t="s">
        <v>70</v>
      </c>
      <c r="G2953">
        <v>-168.41319999999999</v>
      </c>
      <c r="H2953">
        <v>0.16100410000000001</v>
      </c>
      <c r="I2953">
        <v>198.31649999999999</v>
      </c>
      <c r="J2953">
        <v>-216.8732</v>
      </c>
      <c r="K2953">
        <v>1.1097360000000001</v>
      </c>
      <c r="L2953">
        <v>215.05459999999999</v>
      </c>
      <c r="M2953">
        <v>0.99985119999999905</v>
      </c>
      <c r="N2953">
        <v>-1.421151E-2</v>
      </c>
      <c r="O2953">
        <v>-9.7835760000000004E-3</v>
      </c>
      <c r="P2953">
        <v>0.97915609999999997</v>
      </c>
      <c r="Q2953">
        <v>0.1973384</v>
      </c>
      <c r="R2953">
        <v>-4.8070630000000003E-2</v>
      </c>
      <c r="S2953">
        <v>3.0270540000000001</v>
      </c>
      <c r="T2953">
        <v>-5.8865309999999997E-2</v>
      </c>
      <c r="U2953">
        <v>-1.038727</v>
      </c>
      <c r="V2953">
        <v>3.8920879999999998E-2</v>
      </c>
      <c r="W2953">
        <v>0.2111606</v>
      </c>
      <c r="X2953">
        <v>0.97667619999999999</v>
      </c>
      <c r="Y2953">
        <v>0.31520350000000003</v>
      </c>
      <c r="Z2953">
        <v>-5.2321640000000001E-3</v>
      </c>
      <c r="AA2953">
        <v>0.94900969999999996</v>
      </c>
      <c r="AB2953">
        <v>29</v>
      </c>
      <c r="AC2953">
        <v>48.46</v>
      </c>
      <c r="AD2953">
        <v>-0.94873189999999996</v>
      </c>
      <c r="AE2953">
        <v>-16.738099999999999</v>
      </c>
      <c r="AF2953">
        <v>16.257571697686899</v>
      </c>
      <c r="AG2953">
        <v>-0.94873189999999996</v>
      </c>
      <c r="AH2953">
        <v>48.6048114275223</v>
      </c>
      <c r="AI2953">
        <v>91.060494197961404</v>
      </c>
      <c r="AJ2953">
        <v>71.505693807492094</v>
      </c>
      <c r="AK2953">
        <v>51.2604762329468</v>
      </c>
      <c r="AL2953">
        <v>77.809625171884704</v>
      </c>
      <c r="AM2953">
        <v>87.717951117265301</v>
      </c>
      <c r="AN2953">
        <v>1.0000000167693801</v>
      </c>
    </row>
    <row r="2954" spans="1:40" x14ac:dyDescent="0.25">
      <c r="A2954" t="str">
        <f>"20190304155426586"</f>
        <v>20190304155426586</v>
      </c>
      <c r="B2954" t="str">
        <f>"1551686066579693"</f>
        <v>1551686066579693</v>
      </c>
      <c r="C2954" t="s">
        <v>40</v>
      </c>
      <c r="D2954">
        <v>4.9294609999999999</v>
      </c>
      <c r="E2954">
        <v>0.60859960000000002</v>
      </c>
      <c r="F2954" t="s">
        <v>70</v>
      </c>
      <c r="G2954">
        <v>-168.41319999999999</v>
      </c>
      <c r="H2954">
        <v>7.8339580000000006E-2</v>
      </c>
      <c r="I2954">
        <v>198.33539999999999</v>
      </c>
      <c r="J2954">
        <v>-216.56010000000001</v>
      </c>
      <c r="K2954">
        <v>1.109642</v>
      </c>
      <c r="L2954">
        <v>215.05019999999999</v>
      </c>
      <c r="M2954">
        <v>0.99983750000000005</v>
      </c>
      <c r="N2954">
        <v>-1.4209970000000001E-2</v>
      </c>
      <c r="O2954">
        <v>-1.1097289999999999E-2</v>
      </c>
      <c r="P2954">
        <v>0.97920269999999998</v>
      </c>
      <c r="Q2954">
        <v>0.19662170000000001</v>
      </c>
      <c r="R2954">
        <v>-5.0018649999999998E-2</v>
      </c>
      <c r="S2954">
        <v>3.0255740000000002</v>
      </c>
      <c r="T2954">
        <v>-6.4392569999999996E-2</v>
      </c>
      <c r="U2954">
        <v>-1.0438540000000001</v>
      </c>
      <c r="V2954">
        <v>3.9628139999999999E-2</v>
      </c>
      <c r="W2954">
        <v>0.21043390000000001</v>
      </c>
      <c r="X2954">
        <v>0.97680460000000002</v>
      </c>
      <c r="Y2954">
        <v>0.31552249999999998</v>
      </c>
      <c r="Z2954">
        <v>-5.4921229999999998E-3</v>
      </c>
      <c r="AA2954">
        <v>0.94890220000000003</v>
      </c>
      <c r="AB2954">
        <v>29</v>
      </c>
      <c r="AC2954">
        <v>48.146900000000002</v>
      </c>
      <c r="AD2954">
        <v>-1.0313024200000001</v>
      </c>
      <c r="AE2954">
        <v>-16.714799999999901</v>
      </c>
      <c r="AF2954">
        <v>16.172794343296498</v>
      </c>
      <c r="AG2954">
        <v>-1.0313024200000001</v>
      </c>
      <c r="AH2954">
        <v>48.309661333945698</v>
      </c>
      <c r="AI2954">
        <v>91.159708008844206</v>
      </c>
      <c r="AJ2954">
        <v>71.490819435491602</v>
      </c>
      <c r="AK2954">
        <v>50.955335733881597</v>
      </c>
      <c r="AL2954">
        <v>77.852219163517304</v>
      </c>
      <c r="AM2954">
        <v>87.676832451765193</v>
      </c>
      <c r="AN2954">
        <v>1.0000000211651101</v>
      </c>
    </row>
    <row r="2955" spans="1:40" x14ac:dyDescent="0.25">
      <c r="A2955" t="str">
        <f>"20190304155426609"</f>
        <v>20190304155426609</v>
      </c>
      <c r="B2955" t="str">
        <f>"1551686066600189"</f>
        <v>1551686066600189</v>
      </c>
      <c r="C2955" t="s">
        <v>40</v>
      </c>
      <c r="D2955">
        <v>5.0114989999999997</v>
      </c>
      <c r="E2955">
        <v>0.60851999999999995</v>
      </c>
      <c r="F2955" t="s">
        <v>70</v>
      </c>
      <c r="G2955">
        <v>-168.41309999999999</v>
      </c>
      <c r="H2955">
        <v>-4.4948580000000002E-2</v>
      </c>
      <c r="I2955">
        <v>198.4144</v>
      </c>
      <c r="J2955">
        <v>-216.26140000000001</v>
      </c>
      <c r="K2955">
        <v>1.1095549999999901</v>
      </c>
      <c r="L2955">
        <v>215.0454</v>
      </c>
      <c r="M2955">
        <v>0.99982150000000003</v>
      </c>
      <c r="N2955">
        <v>-1.420865E-2</v>
      </c>
      <c r="O2955">
        <v>-1.2454649999999999E-2</v>
      </c>
      <c r="P2955">
        <v>0.97913740000000005</v>
      </c>
      <c r="Q2955">
        <v>0.1963423</v>
      </c>
      <c r="R2955">
        <v>-5.2343630000000002E-2</v>
      </c>
      <c r="S2955">
        <v>3.024902</v>
      </c>
      <c r="T2955">
        <v>-7.2536710000000004E-2</v>
      </c>
      <c r="U2955">
        <v>-1.045166</v>
      </c>
      <c r="V2955">
        <v>4.0665350000000003E-2</v>
      </c>
      <c r="W2955">
        <v>0.21014260000000001</v>
      </c>
      <c r="X2955">
        <v>0.97682460000000004</v>
      </c>
      <c r="Y2955">
        <v>0.31464449999999999</v>
      </c>
      <c r="Z2955">
        <v>-5.8467099999999998E-3</v>
      </c>
      <c r="AA2955">
        <v>0.94919160000000002</v>
      </c>
      <c r="AB2955">
        <v>29</v>
      </c>
      <c r="AC2955">
        <v>47.848300000000002</v>
      </c>
      <c r="AD2955">
        <v>-1.1545035800000001</v>
      </c>
      <c r="AE2955">
        <v>-16.631</v>
      </c>
      <c r="AF2955">
        <v>16.025391780846501</v>
      </c>
      <c r="AG2955">
        <v>-1.1545035800000001</v>
      </c>
      <c r="AH2955">
        <v>48.026795757099102</v>
      </c>
      <c r="AI2955">
        <v>91.306278056608406</v>
      </c>
      <c r="AJ2955">
        <v>71.547380098826494</v>
      </c>
      <c r="AK2955">
        <v>50.643056492869498</v>
      </c>
      <c r="AL2955">
        <v>77.869290177385693</v>
      </c>
      <c r="AM2955">
        <v>87.616144868196599</v>
      </c>
      <c r="AN2955">
        <v>0.99999994109526902</v>
      </c>
    </row>
    <row r="2956" spans="1:40" x14ac:dyDescent="0.25">
      <c r="A2956" t="str">
        <f>"20190304155426632"</f>
        <v>20190304155426632</v>
      </c>
      <c r="B2956" t="str">
        <f>"1551686066619710"</f>
        <v>1551686066619710</v>
      </c>
      <c r="C2956" t="s">
        <v>40</v>
      </c>
      <c r="D2956">
        <v>4.7928100000000002</v>
      </c>
      <c r="E2956">
        <v>0.60846880000000003</v>
      </c>
      <c r="F2956" t="s">
        <v>51</v>
      </c>
      <c r="G2956">
        <v>-175.63069999999999</v>
      </c>
      <c r="H2956">
        <v>8.0001180000000005E-2</v>
      </c>
      <c r="I2956">
        <v>200.90700000000001</v>
      </c>
      <c r="J2956">
        <v>-215.96289999999999</v>
      </c>
      <c r="K2956">
        <v>1.1094809999999999</v>
      </c>
      <c r="L2956">
        <v>215.0401</v>
      </c>
      <c r="M2956">
        <v>0.99980239999999998</v>
      </c>
      <c r="N2956">
        <v>-1.4207279999999999E-2</v>
      </c>
      <c r="O2956">
        <v>-1.3917290000000001E-2</v>
      </c>
      <c r="P2956">
        <v>0.97903300000000004</v>
      </c>
      <c r="Q2956">
        <v>0.196265</v>
      </c>
      <c r="R2956">
        <v>-5.4542269999999997E-2</v>
      </c>
      <c r="S2956">
        <v>3.023056</v>
      </c>
      <c r="T2956">
        <v>-7.6602100000000006E-2</v>
      </c>
      <c r="U2956">
        <v>-1.051941</v>
      </c>
      <c r="V2956">
        <v>4.1470849999999997E-2</v>
      </c>
      <c r="W2956">
        <v>0.21005399999999999</v>
      </c>
      <c r="X2956">
        <v>0.97680990000000001</v>
      </c>
      <c r="Y2956">
        <v>0.31532130000000003</v>
      </c>
      <c r="Z2956">
        <v>-6.0347519999999896E-3</v>
      </c>
      <c r="AA2956">
        <v>0.94896579999999997</v>
      </c>
      <c r="AB2956">
        <v>29</v>
      </c>
      <c r="AC2956">
        <v>40.3322</v>
      </c>
      <c r="AD2956">
        <v>-1.0294798199999999</v>
      </c>
      <c r="AE2956">
        <v>-14.133099999999899</v>
      </c>
      <c r="AF2956">
        <v>13.5624895068795</v>
      </c>
      <c r="AG2956">
        <v>-1.0294798199999999</v>
      </c>
      <c r="AH2956">
        <v>40.501505366714902</v>
      </c>
      <c r="AI2956">
        <v>91.380723470740193</v>
      </c>
      <c r="AJ2956">
        <v>71.486165167246895</v>
      </c>
      <c r="AK2956">
        <v>42.724382819346197</v>
      </c>
      <c r="AL2956">
        <v>77.874483784606099</v>
      </c>
      <c r="AM2956">
        <v>87.568944982935193</v>
      </c>
      <c r="AN2956">
        <v>1.00000004752686</v>
      </c>
    </row>
    <row r="2957" spans="1:40" x14ac:dyDescent="0.25">
      <c r="A2957" t="str">
        <f>"20190304155426651"</f>
        <v>20190304155426651</v>
      </c>
      <c r="B2957" t="str">
        <f>"1551686066639917"</f>
        <v>1551686066639917</v>
      </c>
      <c r="C2957" t="s">
        <v>40</v>
      </c>
      <c r="D2957">
        <v>4.5739130000000001</v>
      </c>
      <c r="E2957">
        <v>0.54324110000000003</v>
      </c>
      <c r="F2957" t="s">
        <v>70</v>
      </c>
      <c r="G2957">
        <v>-168.41309999999999</v>
      </c>
      <c r="H2957">
        <v>-4.5926090000000003E-2</v>
      </c>
      <c r="I2957">
        <v>198.38659999999999</v>
      </c>
      <c r="J2957">
        <v>-215.70310000000001</v>
      </c>
      <c r="K2957">
        <v>1.1094139999999999</v>
      </c>
      <c r="L2957">
        <v>215.0351</v>
      </c>
      <c r="M2957">
        <v>0.99978230000000001</v>
      </c>
      <c r="N2957">
        <v>-1.4206119999999999E-2</v>
      </c>
      <c r="O2957">
        <v>-1.5277550000000001E-2</v>
      </c>
      <c r="P2957">
        <v>0.97897429999999996</v>
      </c>
      <c r="Q2957">
        <v>0.19588810000000001</v>
      </c>
      <c r="R2957">
        <v>-5.6895519999999998E-2</v>
      </c>
      <c r="S2957">
        <v>3.0200200000000001</v>
      </c>
      <c r="T2957">
        <v>-7.3381070000000007E-2</v>
      </c>
      <c r="U2957">
        <v>-1.057709</v>
      </c>
      <c r="V2957">
        <v>4.2524279999999998E-2</v>
      </c>
      <c r="W2957">
        <v>0.20966699999999999</v>
      </c>
      <c r="X2957">
        <v>0.97684769999999999</v>
      </c>
      <c r="Y2957">
        <v>0.31595079999999998</v>
      </c>
      <c r="Z2957">
        <v>-5.8874599999999997E-3</v>
      </c>
      <c r="AA2957">
        <v>0.94875730000000003</v>
      </c>
      <c r="AB2957">
        <v>29</v>
      </c>
      <c r="AC2957">
        <v>47.29</v>
      </c>
      <c r="AD2957">
        <v>-1.1553400899999999</v>
      </c>
      <c r="AE2957">
        <v>-16.648499999999999</v>
      </c>
      <c r="AF2957">
        <v>15.915556277639199</v>
      </c>
      <c r="AG2957">
        <v>-1.1553400899999999</v>
      </c>
      <c r="AH2957">
        <v>47.5136214599287</v>
      </c>
      <c r="AI2957">
        <v>91.320824825083605</v>
      </c>
      <c r="AJ2957">
        <v>71.480784340707601</v>
      </c>
      <c r="AK2957">
        <v>50.121691577476298</v>
      </c>
      <c r="AL2957">
        <v>77.897161650751201</v>
      </c>
      <c r="AM2957">
        <v>87.507365326506701</v>
      </c>
      <c r="AN2957">
        <v>0.99999999713690402</v>
      </c>
    </row>
    <row r="2958" spans="1:40" x14ac:dyDescent="0.25">
      <c r="A2958" t="str">
        <f>"20190304155426673"</f>
        <v>20190304155426673</v>
      </c>
      <c r="B2958" t="str">
        <f>"1551686066670173"</f>
        <v>1551686066670173</v>
      </c>
      <c r="C2958" t="s">
        <v>40</v>
      </c>
      <c r="D2958">
        <v>4.5674299999999999</v>
      </c>
      <c r="E2958">
        <v>0.533501</v>
      </c>
      <c r="F2958" t="s">
        <v>70</v>
      </c>
      <c r="G2958">
        <v>-168.41079999999999</v>
      </c>
      <c r="H2958">
        <v>0.89532469999999997</v>
      </c>
      <c r="I2958">
        <v>206.57660000000001</v>
      </c>
      <c r="J2958">
        <v>-215.43279999999999</v>
      </c>
      <c r="K2958">
        <v>1.1093390000000001</v>
      </c>
      <c r="L2958">
        <v>215.02940000000001</v>
      </c>
      <c r="M2958">
        <v>0.99975849999999999</v>
      </c>
      <c r="N2958">
        <v>-1.420506E-2</v>
      </c>
      <c r="O2958">
        <v>-1.6777E-2</v>
      </c>
      <c r="P2958">
        <v>0.97876960000000002</v>
      </c>
      <c r="Q2958">
        <v>0.19619890000000001</v>
      </c>
      <c r="R2958">
        <v>-5.929802E-2</v>
      </c>
      <c r="S2958">
        <v>3.0356290000000001</v>
      </c>
      <c r="T2958">
        <v>-1.373982E-2</v>
      </c>
      <c r="U2958">
        <v>-0.54293819999999904</v>
      </c>
      <c r="V2958">
        <v>4.3496369999999999E-2</v>
      </c>
      <c r="W2958">
        <v>0.2099654</v>
      </c>
      <c r="X2958">
        <v>0.97674079999999996</v>
      </c>
      <c r="Y2958">
        <v>0.15951399999999999</v>
      </c>
      <c r="Z2958">
        <v>-1.6613520000000001E-3</v>
      </c>
      <c r="AA2958">
        <v>0.98719429999999997</v>
      </c>
      <c r="AB2958">
        <v>29</v>
      </c>
      <c r="AC2958">
        <v>47.021999999999899</v>
      </c>
      <c r="AD2958">
        <v>-0.21401429999999899</v>
      </c>
      <c r="AE2958">
        <v>-8.4527999999999892</v>
      </c>
      <c r="AF2958">
        <v>7.6624887458863</v>
      </c>
      <c r="AG2958">
        <v>-0.21401429999999899</v>
      </c>
      <c r="AH2958">
        <v>47.156261265871599</v>
      </c>
      <c r="AI2958">
        <v>90.256663492682407</v>
      </c>
      <c r="AJ2958">
        <v>80.770591652804399</v>
      </c>
      <c r="AK2958">
        <v>47.7752290677562</v>
      </c>
      <c r="AL2958">
        <v>77.879675356973806</v>
      </c>
      <c r="AM2958">
        <v>87.450180260389004</v>
      </c>
      <c r="AN2958">
        <v>0.99999999689248797</v>
      </c>
    </row>
    <row r="2959" spans="1:40" x14ac:dyDescent="0.25">
      <c r="A2959" t="str">
        <f>"20190304155426692"</f>
        <v>20190304155426692</v>
      </c>
      <c r="B2959" t="str">
        <f>"1551686066689693"</f>
        <v>1551686066689693</v>
      </c>
      <c r="C2959" t="s">
        <v>40</v>
      </c>
      <c r="D2959">
        <v>4.5616599999999998</v>
      </c>
      <c r="E2959">
        <v>0.530636</v>
      </c>
      <c r="F2959" t="s">
        <v>70</v>
      </c>
      <c r="G2959">
        <v>-168.41030000000001</v>
      </c>
      <c r="H2959">
        <v>0.70890240000000004</v>
      </c>
      <c r="I2959">
        <v>207.71129999999999</v>
      </c>
      <c r="J2959">
        <v>-215.1738</v>
      </c>
      <c r="K2959">
        <v>1.1092740000000001</v>
      </c>
      <c r="L2959">
        <v>215.02350000000001</v>
      </c>
      <c r="M2959">
        <v>0.99973199999999995</v>
      </c>
      <c r="N2959">
        <v>-1.420425E-2</v>
      </c>
      <c r="O2959">
        <v>-1.828784E-2</v>
      </c>
      <c r="P2959">
        <v>0.97867230000000005</v>
      </c>
      <c r="Q2959">
        <v>0.19587979999999999</v>
      </c>
      <c r="R2959">
        <v>-6.1900879999999998E-2</v>
      </c>
      <c r="S2959">
        <v>3.0415800000000002</v>
      </c>
      <c r="T2959">
        <v>-2.5899410000000001E-2</v>
      </c>
      <c r="U2959">
        <v>-0.47335820000000001</v>
      </c>
      <c r="V2959">
        <v>4.465218E-2</v>
      </c>
      <c r="W2959">
        <v>0.2096353</v>
      </c>
      <c r="X2959">
        <v>0.97675959999999995</v>
      </c>
      <c r="Y2959">
        <v>0.13566729999999999</v>
      </c>
      <c r="Z2959">
        <v>-1.647134E-3</v>
      </c>
      <c r="AA2959">
        <v>0.99075310000000005</v>
      </c>
      <c r="AB2959">
        <v>29</v>
      </c>
      <c r="AC2959">
        <v>46.763499999999901</v>
      </c>
      <c r="AD2959">
        <v>-0.40037159999999899</v>
      </c>
      <c r="AE2959">
        <v>-7.3122000000000096</v>
      </c>
      <c r="AF2959">
        <v>6.4552254290456297</v>
      </c>
      <c r="AG2959">
        <v>-0.40037159999999899</v>
      </c>
      <c r="AH2959">
        <v>46.8860608850811</v>
      </c>
      <c r="AI2959">
        <v>90.484678973839607</v>
      </c>
      <c r="AJ2959">
        <v>82.160858748846294</v>
      </c>
      <c r="AK2959">
        <v>47.330042658732303</v>
      </c>
      <c r="AL2959">
        <v>77.899019811432893</v>
      </c>
      <c r="AM2959">
        <v>87.382568339833</v>
      </c>
      <c r="AN2959">
        <v>1.0000000461884999</v>
      </c>
    </row>
    <row r="2960" spans="1:40" x14ac:dyDescent="0.25">
      <c r="A2960" t="str">
        <f>"20190304155426722"</f>
        <v>20190304155426722</v>
      </c>
      <c r="B2960" t="str">
        <f>"1551686066719948"</f>
        <v>1551686066719948</v>
      </c>
      <c r="C2960" t="s">
        <v>40</v>
      </c>
      <c r="D2960">
        <v>4.5220820000000002</v>
      </c>
      <c r="E2960">
        <v>0.52760289999999999</v>
      </c>
      <c r="F2960" t="s">
        <v>70</v>
      </c>
      <c r="G2960">
        <v>-168.4102</v>
      </c>
      <c r="H2960">
        <v>0.59778399999999998</v>
      </c>
      <c r="I2960">
        <v>207.97280000000001</v>
      </c>
      <c r="J2960">
        <v>-214.79239999999999</v>
      </c>
      <c r="K2960">
        <v>1.1091819999999999</v>
      </c>
      <c r="L2960">
        <v>215.01390000000001</v>
      </c>
      <c r="M2960">
        <v>0.99968639999999998</v>
      </c>
      <c r="N2960">
        <v>-1.420309E-2</v>
      </c>
      <c r="O2960">
        <v>-2.0630969999999998E-2</v>
      </c>
      <c r="P2960">
        <v>0.97857229999999995</v>
      </c>
      <c r="Q2960">
        <v>0.19513710000000001</v>
      </c>
      <c r="R2960">
        <v>-6.571138E-2</v>
      </c>
      <c r="S2960">
        <v>3.0430299999999999</v>
      </c>
      <c r="T2960">
        <v>-3.32818E-2</v>
      </c>
      <c r="U2960">
        <v>-0.45880130000000002</v>
      </c>
      <c r="V2960">
        <v>4.6212639999999999E-2</v>
      </c>
      <c r="W2960">
        <v>0.2088776</v>
      </c>
      <c r="X2960">
        <v>0.97684930000000003</v>
      </c>
      <c r="Y2960">
        <v>0.12863459999999999</v>
      </c>
      <c r="Z2960">
        <v>-1.6854699999999999E-3</v>
      </c>
      <c r="AA2960">
        <v>0.99169059999999998</v>
      </c>
      <c r="AB2960">
        <v>29</v>
      </c>
      <c r="AC2960">
        <v>46.382199999999898</v>
      </c>
      <c r="AD2960">
        <v>-0.51139799999999902</v>
      </c>
      <c r="AE2960">
        <v>-7.0411000000000001</v>
      </c>
      <c r="AF2960">
        <v>6.0818721796386299</v>
      </c>
      <c r="AG2960">
        <v>-0.51139799999999902</v>
      </c>
      <c r="AH2960">
        <v>46.5120783692565</v>
      </c>
      <c r="AI2960">
        <v>90.624622069120804</v>
      </c>
      <c r="AJ2960">
        <v>82.550328075056399</v>
      </c>
      <c r="AK2960">
        <v>46.910810388989503</v>
      </c>
      <c r="AL2960">
        <v>77.943415237822904</v>
      </c>
      <c r="AM2960">
        <v>87.291479247843895</v>
      </c>
      <c r="AN2960">
        <v>1.0000000073940001</v>
      </c>
    </row>
    <row r="2961" spans="1:40" x14ac:dyDescent="0.25">
      <c r="A2961" t="str">
        <f>"20190304155426746"</f>
        <v>20190304155426746</v>
      </c>
      <c r="B2961" t="str">
        <f>"1551686066739468"</f>
        <v>1551686066739468</v>
      </c>
      <c r="C2961" t="s">
        <v>40</v>
      </c>
      <c r="D2961">
        <v>4.5427089999999897</v>
      </c>
      <c r="E2961">
        <v>0.52640959999999903</v>
      </c>
      <c r="F2961" t="s">
        <v>70</v>
      </c>
      <c r="G2961">
        <v>-169.39259999999999</v>
      </c>
      <c r="H2961">
        <v>0.24796299999999999</v>
      </c>
      <c r="I2961">
        <v>208.3467</v>
      </c>
      <c r="J2961">
        <v>-214.47649999999999</v>
      </c>
      <c r="K2961">
        <v>1.10911</v>
      </c>
      <c r="L2961">
        <v>215.0051</v>
      </c>
      <c r="M2961">
        <v>0.99964169999999997</v>
      </c>
      <c r="N2961">
        <v>-1.4202090000000001E-2</v>
      </c>
      <c r="O2961">
        <v>-2.2690999999999999E-2</v>
      </c>
      <c r="P2961">
        <v>0.97844929999999997</v>
      </c>
      <c r="Q2961">
        <v>0.19456380000000001</v>
      </c>
      <c r="R2961">
        <v>-6.9151850000000001E-2</v>
      </c>
      <c r="S2961">
        <v>3.04718</v>
      </c>
      <c r="T2961">
        <v>-5.7801600000000002E-2</v>
      </c>
      <c r="U2961">
        <v>-0.44749450000000002</v>
      </c>
      <c r="V2961">
        <v>4.7669679999999999E-2</v>
      </c>
      <c r="W2961">
        <v>0.2082909</v>
      </c>
      <c r="X2961">
        <v>0.97690449999999995</v>
      </c>
      <c r="Y2961">
        <v>0.12276910000000001</v>
      </c>
      <c r="Z2961">
        <v>-1.927523E-3</v>
      </c>
      <c r="AA2961">
        <v>0.99243340000000002</v>
      </c>
      <c r="AB2961">
        <v>29</v>
      </c>
      <c r="AC2961">
        <v>45.0839</v>
      </c>
      <c r="AD2961">
        <v>-0.861146999999999</v>
      </c>
      <c r="AE2961">
        <v>-6.6584000000000003</v>
      </c>
      <c r="AF2961">
        <v>5.6315725798920502</v>
      </c>
      <c r="AG2961">
        <v>-0.861146999999999</v>
      </c>
      <c r="AH2961">
        <v>45.207249039468103</v>
      </c>
      <c r="AI2961">
        <v>91.082919706494195</v>
      </c>
      <c r="AJ2961">
        <v>82.8991113336849</v>
      </c>
      <c r="AK2961">
        <v>45.564806041447099</v>
      </c>
      <c r="AL2961">
        <v>77.977785989522303</v>
      </c>
      <c r="AM2961">
        <v>87.206373045322593</v>
      </c>
      <c r="AN2961">
        <v>0.99999994976717999</v>
      </c>
    </row>
    <row r="2962" spans="1:40" x14ac:dyDescent="0.25">
      <c r="A2962" t="str">
        <f>"20190304155426768"</f>
        <v>20190304155426768</v>
      </c>
      <c r="B2962" t="str">
        <f>"1551686066759965"</f>
        <v>1551686066759965</v>
      </c>
      <c r="C2962" t="s">
        <v>40</v>
      </c>
      <c r="D2962">
        <v>4.5353899999999996</v>
      </c>
      <c r="E2962">
        <v>0.52604439999999997</v>
      </c>
      <c r="F2962" t="s">
        <v>70</v>
      </c>
      <c r="G2962">
        <v>-169.39250000000001</v>
      </c>
      <c r="H2962">
        <v>9.6263890000000005E-2</v>
      </c>
      <c r="I2962">
        <v>208.3552</v>
      </c>
      <c r="J2962">
        <v>-214.18870000000001</v>
      </c>
      <c r="K2962">
        <v>1.109054</v>
      </c>
      <c r="L2962">
        <v>214.9965</v>
      </c>
      <c r="M2962">
        <v>0.99959569999999998</v>
      </c>
      <c r="N2962">
        <v>-1.420105E-2</v>
      </c>
      <c r="O2962">
        <v>-2.463543E-2</v>
      </c>
      <c r="P2962">
        <v>0.9783944</v>
      </c>
      <c r="Q2962">
        <v>0.1937431</v>
      </c>
      <c r="R2962">
        <v>-7.2169029999999995E-2</v>
      </c>
      <c r="S2962">
        <v>3.0478969999999999</v>
      </c>
      <c r="T2962">
        <v>-6.8470950000000003E-2</v>
      </c>
      <c r="U2962">
        <v>-0.44956970000000002</v>
      </c>
      <c r="V2962">
        <v>4.8805920000000003E-2</v>
      </c>
      <c r="W2962">
        <v>0.2074607</v>
      </c>
      <c r="X2962">
        <v>0.97702509999999998</v>
      </c>
      <c r="Y2962">
        <v>0.1214558</v>
      </c>
      <c r="Z2962">
        <v>-2.0220569999999998E-3</v>
      </c>
      <c r="AA2962">
        <v>0.9925948</v>
      </c>
      <c r="AB2962">
        <v>29</v>
      </c>
      <c r="AC2962">
        <v>44.796199999999999</v>
      </c>
      <c r="AD2962">
        <v>-1.0127901100000001</v>
      </c>
      <c r="AE2962">
        <v>-6.6413000000000002</v>
      </c>
      <c r="AF2962">
        <v>5.5328317668898102</v>
      </c>
      <c r="AG2962">
        <v>-1.0127901100000001</v>
      </c>
      <c r="AH2962">
        <v>44.923760119300702</v>
      </c>
      <c r="AI2962">
        <v>91.2818123570555</v>
      </c>
      <c r="AJ2962">
        <v>82.978782398572804</v>
      </c>
      <c r="AK2962">
        <v>45.274520366582401</v>
      </c>
      <c r="AL2962">
        <v>78.026415890976097</v>
      </c>
      <c r="AM2962">
        <v>87.140246735022302</v>
      </c>
      <c r="AN2962">
        <v>1.0000000029507701</v>
      </c>
    </row>
    <row r="2963" spans="1:40" x14ac:dyDescent="0.25">
      <c r="A2963" t="str">
        <f>"20190304155426795"</f>
        <v>20190304155426795</v>
      </c>
      <c r="B2963" t="str">
        <f>"1551686066790221"</f>
        <v>1551686066790221</v>
      </c>
      <c r="C2963" t="s">
        <v>40</v>
      </c>
      <c r="D2963">
        <v>4.550783</v>
      </c>
      <c r="E2963">
        <v>0.52455369999999901</v>
      </c>
      <c r="F2963" t="s">
        <v>47</v>
      </c>
      <c r="G2963">
        <v>-169.99590000000001</v>
      </c>
      <c r="H2963">
        <v>-0.05</v>
      </c>
      <c r="I2963">
        <v>208.36410000000001</v>
      </c>
      <c r="J2963">
        <v>-213.85220000000001</v>
      </c>
      <c r="K2963">
        <v>1.1089899999999999</v>
      </c>
      <c r="L2963">
        <v>214.98560000000001</v>
      </c>
      <c r="M2963">
        <v>0.9995347</v>
      </c>
      <c r="N2963">
        <v>-1.4199740000000001E-2</v>
      </c>
      <c r="O2963">
        <v>-2.6999579999999999E-2</v>
      </c>
      <c r="P2963">
        <v>0.97844620000000004</v>
      </c>
      <c r="Q2963">
        <v>0.19238830000000001</v>
      </c>
      <c r="R2963">
        <v>-7.5035619999999997E-2</v>
      </c>
      <c r="S2963">
        <v>3.04834</v>
      </c>
      <c r="T2963">
        <v>-7.994938E-2</v>
      </c>
      <c r="U2963">
        <v>-0.45748899999999998</v>
      </c>
      <c r="V2963">
        <v>4.9377089999999998E-2</v>
      </c>
      <c r="W2963">
        <v>0.2060989</v>
      </c>
      <c r="X2963">
        <v>0.97728459999999995</v>
      </c>
      <c r="Y2963">
        <v>0.1215971</v>
      </c>
      <c r="Z2963">
        <v>-2.131656E-3</v>
      </c>
      <c r="AA2963">
        <v>0.9925773</v>
      </c>
      <c r="AB2963">
        <v>29</v>
      </c>
      <c r="AC2963">
        <v>43.856299999999997</v>
      </c>
      <c r="AD2963">
        <v>-1.15899</v>
      </c>
      <c r="AE2963">
        <v>-6.6214999999999904</v>
      </c>
      <c r="AF2963">
        <v>5.4311561657395497</v>
      </c>
      <c r="AG2963">
        <v>-1.15899</v>
      </c>
      <c r="AH2963">
        <v>43.989067824999097</v>
      </c>
      <c r="AI2963">
        <v>91.497867581895605</v>
      </c>
      <c r="AJ2963">
        <v>82.961537012134301</v>
      </c>
      <c r="AK2963">
        <v>44.338231845994002</v>
      </c>
      <c r="AL2963">
        <v>78.106165088350295</v>
      </c>
      <c r="AM2963">
        <v>87.107602829830995</v>
      </c>
      <c r="AN2963">
        <v>1.0000000214976099</v>
      </c>
    </row>
    <row r="2964" spans="1:40" x14ac:dyDescent="0.25">
      <c r="A2964" t="str">
        <f>"20190304155426820"</f>
        <v>20190304155426820</v>
      </c>
      <c r="B2964" t="str">
        <f>"1551686066809740"</f>
        <v>1551686066809740</v>
      </c>
      <c r="C2964" t="s">
        <v>40</v>
      </c>
      <c r="D2964">
        <v>4.5332869999999996</v>
      </c>
      <c r="E2964">
        <v>0.52415469999999997</v>
      </c>
      <c r="F2964" t="s">
        <v>51</v>
      </c>
      <c r="G2964">
        <v>-179.50380000000001</v>
      </c>
      <c r="H2964">
        <v>7.9981529999999995E-2</v>
      </c>
      <c r="I2964">
        <v>209.85560000000001</v>
      </c>
      <c r="J2964">
        <v>-213.52250000000001</v>
      </c>
      <c r="K2964">
        <v>1.1089290000000001</v>
      </c>
      <c r="L2964">
        <v>214.97409999999999</v>
      </c>
      <c r="M2964">
        <v>0.99946650000000004</v>
      </c>
      <c r="N2964">
        <v>-1.419862E-2</v>
      </c>
      <c r="O2964">
        <v>-2.941411E-2</v>
      </c>
      <c r="P2964">
        <v>0.97833409999999998</v>
      </c>
      <c r="Q2964">
        <v>0.1915037</v>
      </c>
      <c r="R2964">
        <v>-7.8670409999999996E-2</v>
      </c>
      <c r="S2964">
        <v>3.049118</v>
      </c>
      <c r="T2964">
        <v>-9.1345549999999998E-2</v>
      </c>
      <c r="U2964">
        <v>-0.45539859999999999</v>
      </c>
      <c r="V2964">
        <v>5.0673469999999998E-2</v>
      </c>
      <c r="W2964">
        <v>0.20520250000000001</v>
      </c>
      <c r="X2964">
        <v>0.97740689999999997</v>
      </c>
      <c r="Y2964">
        <v>0.11848400000000001</v>
      </c>
      <c r="Z2964">
        <v>-2.1507269999999998E-3</v>
      </c>
      <c r="AA2964">
        <v>0.99295370000000005</v>
      </c>
      <c r="AB2964">
        <v>29</v>
      </c>
      <c r="AC2964">
        <v>34.018699999999903</v>
      </c>
      <c r="AD2964">
        <v>-1.0289474700000001</v>
      </c>
      <c r="AE2964">
        <v>-5.1184999999999796</v>
      </c>
      <c r="AF2964">
        <v>4.1118757287234597</v>
      </c>
      <c r="AG2964">
        <v>-1.0289474700000001</v>
      </c>
      <c r="AH2964">
        <v>34.124021483123798</v>
      </c>
      <c r="AI2964">
        <v>91.714729760269705</v>
      </c>
      <c r="AJ2964">
        <v>83.129101008021706</v>
      </c>
      <c r="AK2964">
        <v>34.386263203279</v>
      </c>
      <c r="AL2964">
        <v>78.158647229339095</v>
      </c>
      <c r="AM2964">
        <v>87.032168650474503</v>
      </c>
      <c r="AN2964">
        <v>1.00000005736784</v>
      </c>
    </row>
    <row r="2965" spans="1:40" x14ac:dyDescent="0.25">
      <c r="A2965" t="str">
        <f>"20190304155426842"</f>
        <v>20190304155426842</v>
      </c>
      <c r="B2965" t="str">
        <f>"1551686066839998"</f>
        <v>1551686066839998</v>
      </c>
      <c r="C2965" t="s">
        <v>40</v>
      </c>
      <c r="D2965">
        <v>4.7384019999999998</v>
      </c>
      <c r="E2965">
        <v>0.52353070000000002</v>
      </c>
      <c r="F2965" t="s">
        <v>51</v>
      </c>
      <c r="G2965">
        <v>-180.05260000000001</v>
      </c>
      <c r="H2965" s="1">
        <v>2.6291579999999999E-6</v>
      </c>
      <c r="I2965">
        <v>209.87970000000001</v>
      </c>
      <c r="J2965">
        <v>-213.23609999999999</v>
      </c>
      <c r="K2965">
        <v>1.1088639999999901</v>
      </c>
      <c r="L2965">
        <v>214.9633</v>
      </c>
      <c r="M2965">
        <v>0.99939979999999995</v>
      </c>
      <c r="N2965">
        <v>-1.419811E-2</v>
      </c>
      <c r="O2965">
        <v>-3.160263E-2</v>
      </c>
      <c r="P2965">
        <v>0.97823899999999997</v>
      </c>
      <c r="Q2965">
        <v>0.1908745</v>
      </c>
      <c r="R2965">
        <v>-8.1338800000000003E-2</v>
      </c>
      <c r="S2965">
        <v>3.0489039999999998</v>
      </c>
      <c r="T2965">
        <v>-0.1010163</v>
      </c>
      <c r="U2965">
        <v>-0.46406560000000002</v>
      </c>
      <c r="V2965">
        <v>5.1225159999999999E-2</v>
      </c>
      <c r="W2965">
        <v>0.204564</v>
      </c>
      <c r="X2965">
        <v>0.97751189999999999</v>
      </c>
      <c r="Y2965">
        <v>0.1190669</v>
      </c>
      <c r="Z2965">
        <v>-2.217489E-3</v>
      </c>
      <c r="AA2965">
        <v>0.99288370000000004</v>
      </c>
      <c r="AB2965">
        <v>29</v>
      </c>
      <c r="AC2965">
        <v>33.183499999999903</v>
      </c>
      <c r="AD2965">
        <v>-1.1088613708420001</v>
      </c>
      <c r="AE2965">
        <v>-5.0835999999999899</v>
      </c>
      <c r="AF2965">
        <v>4.0278743281385303</v>
      </c>
      <c r="AG2965">
        <v>-1.1088613708420001</v>
      </c>
      <c r="AH2965">
        <v>33.291271546355098</v>
      </c>
      <c r="AI2965">
        <v>91.893893975317596</v>
      </c>
      <c r="AJ2965">
        <v>83.101377653945093</v>
      </c>
      <c r="AK2965">
        <v>33.552378549309701</v>
      </c>
      <c r="AL2965">
        <v>78.196022551061205</v>
      </c>
      <c r="AM2965">
        <v>87.000237782528501</v>
      </c>
      <c r="AN2965">
        <v>0.99999998087731701</v>
      </c>
    </row>
    <row r="2966" spans="1:40" x14ac:dyDescent="0.25">
      <c r="A2966" t="str">
        <f>"20190304155426860"</f>
        <v>20190304155426860</v>
      </c>
      <c r="B2966" t="str">
        <f>"1551686066849757"</f>
        <v>1551686066849757</v>
      </c>
      <c r="C2966" t="s">
        <v>40</v>
      </c>
      <c r="D2966">
        <v>4.5557619999999996</v>
      </c>
      <c r="E2966">
        <v>0.52317599999999997</v>
      </c>
      <c r="F2966" t="s">
        <v>51</v>
      </c>
      <c r="G2966">
        <v>-182.19749999999999</v>
      </c>
      <c r="H2966" s="1">
        <v>2.981618E-6</v>
      </c>
      <c r="I2966">
        <v>210.20009999999999</v>
      </c>
      <c r="J2966">
        <v>-212.99430000000001</v>
      </c>
      <c r="K2966">
        <v>1.108803</v>
      </c>
      <c r="L2966">
        <v>214.95359999999999</v>
      </c>
      <c r="M2966">
        <v>0.99933729999999998</v>
      </c>
      <c r="N2966">
        <v>-1.4197889999999999E-2</v>
      </c>
      <c r="O2966">
        <v>-3.351904E-2</v>
      </c>
      <c r="P2966">
        <v>0.9780702</v>
      </c>
      <c r="Q2966">
        <v>0.19079960000000001</v>
      </c>
      <c r="R2966">
        <v>-8.3513420000000005E-2</v>
      </c>
      <c r="S2966">
        <v>3.0490879999999998</v>
      </c>
      <c r="T2966">
        <v>-0.108929</v>
      </c>
      <c r="U2966">
        <v>-0.46791080000000002</v>
      </c>
      <c r="V2966">
        <v>5.1552199999999902E-2</v>
      </c>
      <c r="W2966">
        <v>0.20448089999999999</v>
      </c>
      <c r="X2966">
        <v>0.97751209999999999</v>
      </c>
      <c r="Y2966">
        <v>0.1183678</v>
      </c>
      <c r="Z2966">
        <v>-2.2312120000000002E-3</v>
      </c>
      <c r="AA2966">
        <v>0.9929673</v>
      </c>
      <c r="AB2966">
        <v>29</v>
      </c>
      <c r="AC2966">
        <v>30.796800000000001</v>
      </c>
      <c r="AD2966">
        <v>-1.1088000183819999</v>
      </c>
      <c r="AE2966">
        <v>-4.7534999999999998</v>
      </c>
      <c r="AF2966">
        <v>3.71374322433577</v>
      </c>
      <c r="AG2966">
        <v>-1.1088000183819999</v>
      </c>
      <c r="AH2966">
        <v>30.899717647810601</v>
      </c>
      <c r="AI2966">
        <v>92.040438277369702</v>
      </c>
      <c r="AJ2966">
        <v>83.146666691104699</v>
      </c>
      <c r="AK2966">
        <v>31.141834835659299</v>
      </c>
      <c r="AL2966">
        <v>78.200886718245101</v>
      </c>
      <c r="AM2966">
        <v>86.981122142713801</v>
      </c>
      <c r="AN2966">
        <v>0.99999998671802903</v>
      </c>
    </row>
    <row r="2967" spans="1:40" x14ac:dyDescent="0.25">
      <c r="A2967" t="str">
        <f>"20190304155426881"</f>
        <v>20190304155426881</v>
      </c>
      <c r="B2967" t="str">
        <f>"1551686066870253"</f>
        <v>1551686066870253</v>
      </c>
      <c r="C2967" t="s">
        <v>40</v>
      </c>
      <c r="D2967">
        <v>4.824681</v>
      </c>
      <c r="E2967">
        <v>0.52348490000000003</v>
      </c>
      <c r="F2967" t="s">
        <v>51</v>
      </c>
      <c r="G2967">
        <v>-182.34829999999999</v>
      </c>
      <c r="H2967" s="1">
        <v>3.0075480000000001E-6</v>
      </c>
      <c r="I2967">
        <v>210.2097</v>
      </c>
      <c r="J2967">
        <v>-212.72900000000001</v>
      </c>
      <c r="K2967">
        <v>1.108741</v>
      </c>
      <c r="L2967">
        <v>214.94239999999999</v>
      </c>
      <c r="M2967">
        <v>0.9992626</v>
      </c>
      <c r="N2967">
        <v>-1.419772E-2</v>
      </c>
      <c r="O2967">
        <v>-3.5679250000000003E-2</v>
      </c>
      <c r="P2967">
        <v>0.97790679999999996</v>
      </c>
      <c r="Q2967">
        <v>0.1905191</v>
      </c>
      <c r="R2967">
        <v>-8.6027629999999994E-2</v>
      </c>
      <c r="S2967">
        <v>3.048508</v>
      </c>
      <c r="T2967">
        <v>-0.1102979</v>
      </c>
      <c r="U2967">
        <v>-0.47190860000000001</v>
      </c>
      <c r="V2967">
        <v>5.1979199999999899E-2</v>
      </c>
      <c r="W2967">
        <v>0.2041915</v>
      </c>
      <c r="X2967">
        <v>0.97755000000000003</v>
      </c>
      <c r="Y2967">
        <v>0.11752079999999999</v>
      </c>
      <c r="Z2967">
        <v>-2.1745139999999998E-3</v>
      </c>
      <c r="AA2967">
        <v>0.99306799999999995</v>
      </c>
      <c r="AB2967">
        <v>29</v>
      </c>
      <c r="AC2967">
        <v>30.380700000000001</v>
      </c>
      <c r="AD2967">
        <v>-1.108737992452</v>
      </c>
      <c r="AE2967">
        <v>-4.7326999999999897</v>
      </c>
      <c r="AF2967">
        <v>3.6408820723646702</v>
      </c>
      <c r="AG2967">
        <v>-1.108737992452</v>
      </c>
      <c r="AH2967">
        <v>30.490581279775501</v>
      </c>
      <c r="AI2967">
        <v>92.067868180450503</v>
      </c>
      <c r="AJ2967">
        <v>83.190550280819394</v>
      </c>
      <c r="AK2967">
        <v>30.727200799607001</v>
      </c>
      <c r="AL2967">
        <v>78.217825721612797</v>
      </c>
      <c r="AM2967">
        <v>86.956281796625802</v>
      </c>
      <c r="AN2967">
        <v>1.00000000420244</v>
      </c>
    </row>
    <row r="2968" spans="1:40" x14ac:dyDescent="0.25">
      <c r="A2968" t="str">
        <f>"20190304155426925"</f>
        <v>20190304155426925</v>
      </c>
      <c r="B2968" t="str">
        <f>"1551686066920028"</f>
        <v>1551686066920028</v>
      </c>
      <c r="C2968" t="s">
        <v>40</v>
      </c>
      <c r="D2968">
        <v>4.7014860000000001</v>
      </c>
      <c r="E2968">
        <v>0.68969139999999995</v>
      </c>
      <c r="F2968" t="s">
        <v>51</v>
      </c>
      <c r="G2968">
        <v>-181.24449999999999</v>
      </c>
      <c r="H2968" s="1">
        <v>2.8336759999999998E-6</v>
      </c>
      <c r="I2968">
        <v>209.9589</v>
      </c>
      <c r="J2968">
        <v>-212.16919999999999</v>
      </c>
      <c r="K2968">
        <v>1.108625</v>
      </c>
      <c r="L2968">
        <v>214.91650000000001</v>
      </c>
      <c r="M2968">
        <v>0.99907900000000005</v>
      </c>
      <c r="N2968">
        <v>-1.419729E-2</v>
      </c>
      <c r="O2968">
        <v>-4.048968E-2</v>
      </c>
      <c r="P2968">
        <v>0.97751100000000002</v>
      </c>
      <c r="Q2968">
        <v>0.18940100000000001</v>
      </c>
      <c r="R2968">
        <v>-9.2733369999999996E-2</v>
      </c>
      <c r="S2968">
        <v>3.046249</v>
      </c>
      <c r="T2968">
        <v>-0.10727490000000001</v>
      </c>
      <c r="U2968">
        <v>-0.48217769999999999</v>
      </c>
      <c r="V2968">
        <v>5.4028079999999999E-2</v>
      </c>
      <c r="W2968">
        <v>0.2030506</v>
      </c>
      <c r="X2968">
        <v>0.97767660000000001</v>
      </c>
      <c r="Y2968">
        <v>0.1161249</v>
      </c>
      <c r="Z2968">
        <v>-2.0178489999999999E-3</v>
      </c>
      <c r="AA2968">
        <v>0.99323249999999996</v>
      </c>
      <c r="AB2968">
        <v>29</v>
      </c>
      <c r="AC2968">
        <v>30.924700000000001</v>
      </c>
      <c r="AD2968">
        <v>-1.1086221663239999</v>
      </c>
      <c r="AE2968">
        <v>-4.95760000000001</v>
      </c>
      <c r="AF2968">
        <v>3.6966444727334302</v>
      </c>
      <c r="AG2968">
        <v>-1.1086221663239999</v>
      </c>
      <c r="AH2968">
        <v>31.061168899151699</v>
      </c>
      <c r="AI2968">
        <v>92.029796984576393</v>
      </c>
      <c r="AJ2968">
        <v>83.213051123315296</v>
      </c>
      <c r="AK2968">
        <v>31.300006978387199</v>
      </c>
      <c r="AL2968">
        <v>78.284593901402701</v>
      </c>
      <c r="AM2968">
        <v>86.836954502972105</v>
      </c>
      <c r="AN2968">
        <v>1.0000000568881999</v>
      </c>
    </row>
    <row r="2969" spans="1:40" x14ac:dyDescent="0.25">
      <c r="A2969" t="str">
        <f>"20190304155426947"</f>
        <v>20190304155426947</v>
      </c>
      <c r="B2969" t="str">
        <f>"1551686066940056"</f>
        <v>1551686066940056</v>
      </c>
      <c r="C2969" t="s">
        <v>40</v>
      </c>
      <c r="D2969">
        <v>4.6257650000000003</v>
      </c>
      <c r="E2969">
        <v>0.69230190000000003</v>
      </c>
      <c r="F2969" t="s">
        <v>70</v>
      </c>
      <c r="G2969">
        <v>-168.41749999999999</v>
      </c>
      <c r="H2969">
        <v>2.200882</v>
      </c>
      <c r="I2969">
        <v>187.40880000000001</v>
      </c>
      <c r="J2969">
        <v>-211.8767</v>
      </c>
      <c r="K2969">
        <v>1.1085750000000001</v>
      </c>
      <c r="L2969">
        <v>214.90180000000001</v>
      </c>
      <c r="M2969">
        <v>0.99896910000000005</v>
      </c>
      <c r="N2969">
        <v>-1.419723E-2</v>
      </c>
      <c r="O2969">
        <v>-4.3117929999999999E-2</v>
      </c>
      <c r="P2969">
        <v>0.97725890000000004</v>
      </c>
      <c r="Q2969">
        <v>0.188947</v>
      </c>
      <c r="R2969">
        <v>-9.6249920000000003E-2</v>
      </c>
      <c r="S2969">
        <v>2.8831180000000001</v>
      </c>
      <c r="T2969">
        <v>7.1978929999999997E-2</v>
      </c>
      <c r="U2969">
        <v>-1.812683</v>
      </c>
      <c r="V2969">
        <v>5.4996679999999999E-2</v>
      </c>
      <c r="W2969">
        <v>0.20258499999999999</v>
      </c>
      <c r="X2969">
        <v>0.97771909999999895</v>
      </c>
      <c r="Y2969">
        <v>0.49525190000000002</v>
      </c>
      <c r="Z2969">
        <v>3.1279590000000003E-4</v>
      </c>
      <c r="AA2969">
        <v>0.8687494</v>
      </c>
      <c r="AB2969">
        <v>29</v>
      </c>
      <c r="AC2969">
        <v>43.459200000000003</v>
      </c>
      <c r="AD2969">
        <v>1.0923069999999999</v>
      </c>
      <c r="AE2969">
        <v>-27.492999999999899</v>
      </c>
      <c r="AF2969">
        <v>25.581824816531199</v>
      </c>
      <c r="AG2969">
        <v>1.0923069999999999</v>
      </c>
      <c r="AH2969">
        <v>44.584220274223902</v>
      </c>
      <c r="AI2969">
        <v>88.782635626473606</v>
      </c>
      <c r="AJ2969">
        <v>60.153376947592697</v>
      </c>
      <c r="AK2969">
        <v>51.413768515704596</v>
      </c>
      <c r="AL2969">
        <v>78.311836084861795</v>
      </c>
      <c r="AM2969">
        <v>86.780506234969494</v>
      </c>
      <c r="AN2969">
        <v>0.99999997777041505</v>
      </c>
    </row>
    <row r="2970" spans="1:40" x14ac:dyDescent="0.25">
      <c r="A2970" t="str">
        <f>"20190304155426974"</f>
        <v>20190304155426974</v>
      </c>
      <c r="B2970" t="str">
        <f>"1551686066970313"</f>
        <v>1551686066970313</v>
      </c>
      <c r="C2970" t="s">
        <v>40</v>
      </c>
      <c r="D2970">
        <v>4.6322890000000001</v>
      </c>
      <c r="E2970">
        <v>0.69037939999999998</v>
      </c>
      <c r="F2970" t="s">
        <v>70</v>
      </c>
      <c r="G2970">
        <v>-168.41759999999999</v>
      </c>
      <c r="H2970">
        <v>2.141381</v>
      </c>
      <c r="I2970">
        <v>187.0205</v>
      </c>
      <c r="J2970">
        <v>-211.54130000000001</v>
      </c>
      <c r="K2970">
        <v>1.1085130000000001</v>
      </c>
      <c r="L2970">
        <v>214.88390000000001</v>
      </c>
      <c r="M2970">
        <v>0.99883089999999997</v>
      </c>
      <c r="N2970">
        <v>-1.41969E-2</v>
      </c>
      <c r="O2970">
        <v>-4.621024E-2</v>
      </c>
      <c r="P2970">
        <v>0.97692140000000005</v>
      </c>
      <c r="Q2970">
        <v>0.18854170000000001</v>
      </c>
      <c r="R2970">
        <v>-0.10038370000000001</v>
      </c>
      <c r="S2970">
        <v>2.8749389999999999</v>
      </c>
      <c r="T2970">
        <v>6.8325159999999996E-2</v>
      </c>
      <c r="U2970">
        <v>-1.8444210000000001</v>
      </c>
      <c r="V2970">
        <v>5.6130010000000001E-2</v>
      </c>
      <c r="W2970">
        <v>0.2021676</v>
      </c>
      <c r="X2970">
        <v>0.97774110000000003</v>
      </c>
      <c r="Y2970">
        <v>0.50050119999999998</v>
      </c>
      <c r="Z2970" s="1">
        <v>-2.5143850000000002E-5</v>
      </c>
      <c r="AA2970">
        <v>0.86573580000000006</v>
      </c>
      <c r="AB2970">
        <v>29</v>
      </c>
      <c r="AC2970">
        <v>43.123699999999999</v>
      </c>
      <c r="AD2970">
        <v>1.0328679999999999</v>
      </c>
      <c r="AE2970">
        <v>-27.863399999999999</v>
      </c>
      <c r="AF2970">
        <v>25.8302176001418</v>
      </c>
      <c r="AG2970">
        <v>1.0328679999999999</v>
      </c>
      <c r="AH2970">
        <v>44.347379651039198</v>
      </c>
      <c r="AI2970">
        <v>88.847051269909699</v>
      </c>
      <c r="AJ2970">
        <v>59.781255856913198</v>
      </c>
      <c r="AK2970">
        <v>51.331832613783597</v>
      </c>
      <c r="AL2970">
        <v>78.336256774475203</v>
      </c>
      <c r="AM2970">
        <v>86.714379006397493</v>
      </c>
      <c r="AN2970">
        <v>0.99999998757078401</v>
      </c>
    </row>
    <row r="2971" spans="1:40" x14ac:dyDescent="0.25">
      <c r="A2971" t="str">
        <f>"20190304155427000"</f>
        <v>20190304155427000</v>
      </c>
      <c r="B2971" t="str">
        <f>"1551686066989832"</f>
        <v>1551686066989832</v>
      </c>
      <c r="C2971" t="s">
        <v>40</v>
      </c>
      <c r="D2971">
        <v>4.5402019999999998</v>
      </c>
      <c r="E2971">
        <v>0.69135239999999998</v>
      </c>
      <c r="F2971" t="s">
        <v>70</v>
      </c>
      <c r="G2971">
        <v>-168.41759999999999</v>
      </c>
      <c r="H2971">
        <v>2.0775229999999998</v>
      </c>
      <c r="I2971">
        <v>187.2106</v>
      </c>
      <c r="J2971">
        <v>-211.2115</v>
      </c>
      <c r="K2971">
        <v>1.10846</v>
      </c>
      <c r="L2971">
        <v>214.86519999999999</v>
      </c>
      <c r="M2971">
        <v>0.99868199999999996</v>
      </c>
      <c r="N2971">
        <v>-1.419632E-2</v>
      </c>
      <c r="O2971">
        <v>-4.9325399999999998E-2</v>
      </c>
      <c r="P2971">
        <v>0.97665599999999997</v>
      </c>
      <c r="Q2971">
        <v>0.18757099999999999</v>
      </c>
      <c r="R2971">
        <v>-0.1046919</v>
      </c>
      <c r="S2971">
        <v>2.8692470000000001</v>
      </c>
      <c r="T2971">
        <v>6.4475420000000006E-2</v>
      </c>
      <c r="U2971">
        <v>-1.841248</v>
      </c>
      <c r="V2971">
        <v>5.7405289999999998E-2</v>
      </c>
      <c r="W2971">
        <v>0.2011849</v>
      </c>
      <c r="X2971">
        <v>0.97786969999999995</v>
      </c>
      <c r="Y2971">
        <v>0.49790719999999999</v>
      </c>
      <c r="Z2971">
        <v>-3.7769879999999999E-4</v>
      </c>
      <c r="AA2971">
        <v>0.86723019999999995</v>
      </c>
      <c r="AB2971">
        <v>29</v>
      </c>
      <c r="AC2971">
        <v>42.793900000000001</v>
      </c>
      <c r="AD2971">
        <v>0.96906299999999901</v>
      </c>
      <c r="AE2971">
        <v>-27.654599999999899</v>
      </c>
      <c r="AF2971">
        <v>25.500667956797901</v>
      </c>
      <c r="AG2971">
        <v>0.96906299999999901</v>
      </c>
      <c r="AH2971">
        <v>44.090061970029502</v>
      </c>
      <c r="AI2971">
        <v>88.910018703344406</v>
      </c>
      <c r="AJ2971">
        <v>59.955908666618399</v>
      </c>
      <c r="AK2971">
        <v>50.942680670159703</v>
      </c>
      <c r="AL2971">
        <v>78.393741993148595</v>
      </c>
      <c r="AM2971">
        <v>86.640339358845694</v>
      </c>
      <c r="AN2971">
        <v>0.99999994074303999</v>
      </c>
    </row>
    <row r="2972" spans="1:40" x14ac:dyDescent="0.25">
      <c r="A2972" t="str">
        <f>"20190304155427057"</f>
        <v>20190304155427057</v>
      </c>
      <c r="B2972" t="str">
        <f>"1551686067050344"</f>
        <v>1551686067050344</v>
      </c>
      <c r="C2972" t="s">
        <v>40</v>
      </c>
      <c r="D2972">
        <v>4.348325</v>
      </c>
      <c r="E2972">
        <v>0.69855429999999996</v>
      </c>
      <c r="F2972" t="s">
        <v>70</v>
      </c>
      <c r="G2972">
        <v>-168.41759999999999</v>
      </c>
      <c r="H2972">
        <v>2.0485099999999998</v>
      </c>
      <c r="I2972">
        <v>187.01560000000001</v>
      </c>
      <c r="J2972">
        <v>-210.48220000000001</v>
      </c>
      <c r="K2972">
        <v>1.1083480000000001</v>
      </c>
      <c r="L2972">
        <v>214.81979999999999</v>
      </c>
      <c r="M2972">
        <v>0.99830260000000004</v>
      </c>
      <c r="N2972">
        <v>-1.4195350000000001E-2</v>
      </c>
      <c r="O2972">
        <v>-5.6481990000000003E-2</v>
      </c>
      <c r="P2972">
        <v>0.97587880000000005</v>
      </c>
      <c r="Q2972">
        <v>0.1832965</v>
      </c>
      <c r="R2972">
        <v>-0.1185865</v>
      </c>
      <c r="S2972">
        <v>2.8601070000000002</v>
      </c>
      <c r="T2972">
        <v>6.2829969999999999E-2</v>
      </c>
      <c r="U2972">
        <v>-1.861313</v>
      </c>
      <c r="V2972">
        <v>6.4317079999999999E-2</v>
      </c>
      <c r="W2972">
        <v>0.1968657</v>
      </c>
      <c r="X2972">
        <v>0.97831860000000004</v>
      </c>
      <c r="Y2972">
        <v>0.49724269999999998</v>
      </c>
      <c r="Z2972">
        <v>-7.2135220000000004E-4</v>
      </c>
      <c r="AA2972">
        <v>0.86761119999999903</v>
      </c>
      <c r="AB2972">
        <v>28</v>
      </c>
      <c r="AC2972">
        <v>42.064599999999999</v>
      </c>
      <c r="AD2972">
        <v>0.94016200000000005</v>
      </c>
      <c r="AE2972">
        <v>-27.804199999999899</v>
      </c>
      <c r="AF2972">
        <v>25.374851355734901</v>
      </c>
      <c r="AG2972">
        <v>0.94016200000000005</v>
      </c>
      <c r="AH2972">
        <v>43.552889017218803</v>
      </c>
      <c r="AI2972">
        <v>88.931449391778202</v>
      </c>
      <c r="AJ2972">
        <v>59.774000762838099</v>
      </c>
      <c r="AK2972">
        <v>50.414493230201899</v>
      </c>
      <c r="AL2972">
        <v>78.646267178019002</v>
      </c>
      <c r="AM2972">
        <v>86.238646720446397</v>
      </c>
      <c r="AN2972">
        <v>1.00000003686108</v>
      </c>
    </row>
    <row r="2973" spans="1:40" x14ac:dyDescent="0.25">
      <c r="A2973" t="str">
        <f>"20190304155427083"</f>
        <v>20190304155427083</v>
      </c>
      <c r="B2973" t="str">
        <f>"1551686067079624"</f>
        <v>1551686067079624</v>
      </c>
      <c r="C2973" t="s">
        <v>40</v>
      </c>
      <c r="D2973">
        <v>4.2671609999999998</v>
      </c>
      <c r="E2973">
        <v>0.70309069999999996</v>
      </c>
      <c r="F2973" t="s">
        <v>70</v>
      </c>
      <c r="G2973">
        <v>-169.40049999999999</v>
      </c>
      <c r="H2973">
        <v>2.0357270000000001</v>
      </c>
      <c r="I2973">
        <v>186.3622</v>
      </c>
      <c r="J2973">
        <v>-210.15860000000001</v>
      </c>
      <c r="K2973">
        <v>1.1083050000000001</v>
      </c>
      <c r="L2973">
        <v>214.7979</v>
      </c>
      <c r="M2973">
        <v>0.998112</v>
      </c>
      <c r="N2973">
        <v>-1.419423E-2</v>
      </c>
      <c r="O2973">
        <v>-5.9757240000000003E-2</v>
      </c>
      <c r="P2973">
        <v>0.97537830000000003</v>
      </c>
      <c r="Q2973">
        <v>0.18234529999999999</v>
      </c>
      <c r="R2973">
        <v>-0.1240464</v>
      </c>
      <c r="S2973">
        <v>2.8244319999999998</v>
      </c>
      <c r="T2973">
        <v>6.3761120000000004E-2</v>
      </c>
      <c r="U2973">
        <v>-1.9564969999999999</v>
      </c>
      <c r="V2973">
        <v>6.6591880000000006E-2</v>
      </c>
      <c r="W2973">
        <v>0.1958955</v>
      </c>
      <c r="X2973">
        <v>0.97836109999999998</v>
      </c>
      <c r="Y2973">
        <v>0.51929289999999995</v>
      </c>
      <c r="Z2973">
        <v>-7.3817190000000001E-4</v>
      </c>
      <c r="AA2973">
        <v>0.85459599999999902</v>
      </c>
      <c r="AB2973">
        <v>28</v>
      </c>
      <c r="AC2973">
        <v>40.758099999999999</v>
      </c>
      <c r="AD2973">
        <v>0.92742199999999997</v>
      </c>
      <c r="AE2973">
        <v>-28.435700000000001</v>
      </c>
      <c r="AF2973">
        <v>25.9400028300706</v>
      </c>
      <c r="AG2973">
        <v>0.92742199999999997</v>
      </c>
      <c r="AH2973">
        <v>42.369902977560102</v>
      </c>
      <c r="AI2973">
        <v>88.9305293392447</v>
      </c>
      <c r="AJ2973">
        <v>58.523902372623901</v>
      </c>
      <c r="AK2973">
        <v>49.688555389727398</v>
      </c>
      <c r="AL2973">
        <v>78.702958861956304</v>
      </c>
      <c r="AM2973">
        <v>86.106184166480901</v>
      </c>
      <c r="AN2973">
        <v>0.99999998369769705</v>
      </c>
    </row>
    <row r="2974" spans="1:40" x14ac:dyDescent="0.25">
      <c r="A2974" t="str">
        <f>"20190304155427105"</f>
        <v>20190304155427105</v>
      </c>
      <c r="B2974" t="str">
        <f>"1551686067100120"</f>
        <v>1551686067100120</v>
      </c>
      <c r="C2974" t="s">
        <v>40</v>
      </c>
      <c r="D2974">
        <v>4.2944570000000004</v>
      </c>
      <c r="E2974">
        <v>0.70472230000000002</v>
      </c>
      <c r="F2974" t="s">
        <v>70</v>
      </c>
      <c r="G2974">
        <v>-169.4008</v>
      </c>
      <c r="H2974">
        <v>2.1840250000000001</v>
      </c>
      <c r="I2974">
        <v>185.65010000000001</v>
      </c>
      <c r="J2974">
        <v>-209.881</v>
      </c>
      <c r="K2974">
        <v>1.1082639999999999</v>
      </c>
      <c r="L2974">
        <v>214.77799999999999</v>
      </c>
      <c r="M2974">
        <v>0.99793540000000003</v>
      </c>
      <c r="N2974">
        <v>-1.419337E-2</v>
      </c>
      <c r="O2974">
        <v>-6.2637929999999994E-2</v>
      </c>
      <c r="P2974">
        <v>0.97484599999999999</v>
      </c>
      <c r="Q2974">
        <v>0.18135509999999999</v>
      </c>
      <c r="R2974">
        <v>-0.1295598</v>
      </c>
      <c r="S2974">
        <v>2.8066249999999999</v>
      </c>
      <c r="T2974">
        <v>7.4077489999999996E-2</v>
      </c>
      <c r="U2974">
        <v>-2.0071409999999998</v>
      </c>
      <c r="V2974">
        <v>6.9309159999999995E-2</v>
      </c>
      <c r="W2974">
        <v>0.194883</v>
      </c>
      <c r="X2974">
        <v>0.97837459999999998</v>
      </c>
      <c r="Y2974">
        <v>0.52959869999999898</v>
      </c>
      <c r="Z2974">
        <v>-1.539821E-4</v>
      </c>
      <c r="AA2974">
        <v>0.84824829999999996</v>
      </c>
      <c r="AB2974">
        <v>28</v>
      </c>
      <c r="AC2974">
        <v>40.480199999999897</v>
      </c>
      <c r="AD2974">
        <v>1.075761</v>
      </c>
      <c r="AE2974">
        <v>-29.127899999999901</v>
      </c>
      <c r="AF2974">
        <v>26.522497994601</v>
      </c>
      <c r="AG2974">
        <v>1.075761</v>
      </c>
      <c r="AH2974">
        <v>42.205750100786503</v>
      </c>
      <c r="AI2974">
        <v>88.763688028341093</v>
      </c>
      <c r="AJ2974">
        <v>57.854352048998798</v>
      </c>
      <c r="AK2974">
        <v>49.859056380689601</v>
      </c>
      <c r="AL2974">
        <v>78.762111146285505</v>
      </c>
      <c r="AM2974">
        <v>85.947871806252195</v>
      </c>
      <c r="AN2974">
        <v>1.00000000063703</v>
      </c>
    </row>
    <row r="2975" spans="1:40" x14ac:dyDescent="0.25">
      <c r="A2975" t="str">
        <f>"20190304155427127"</f>
        <v>20190304155427127</v>
      </c>
      <c r="B2975" t="str">
        <f>"1551686067119641"</f>
        <v>1551686067119641</v>
      </c>
      <c r="C2975" t="s">
        <v>40</v>
      </c>
      <c r="D2975">
        <v>4.263649</v>
      </c>
      <c r="E2975">
        <v>0.705932</v>
      </c>
      <c r="F2975" t="s">
        <v>70</v>
      </c>
      <c r="G2975">
        <v>-169.40090000000001</v>
      </c>
      <c r="H2975">
        <v>2.2149000000000001</v>
      </c>
      <c r="I2975">
        <v>185.26660000000001</v>
      </c>
      <c r="J2975">
        <v>-209.58699999999999</v>
      </c>
      <c r="K2975">
        <v>1.1082190000000001</v>
      </c>
      <c r="L2975">
        <v>214.7561</v>
      </c>
      <c r="M2975">
        <v>0.99773480000000003</v>
      </c>
      <c r="N2975">
        <v>-1.4192939999999999E-2</v>
      </c>
      <c r="O2975">
        <v>-6.5755960000000002E-2</v>
      </c>
      <c r="P2975">
        <v>0.9742999</v>
      </c>
      <c r="Q2975">
        <v>0.1797936</v>
      </c>
      <c r="R2975">
        <v>-0.1356975</v>
      </c>
      <c r="S2975">
        <v>2.792618</v>
      </c>
      <c r="T2975">
        <v>7.6346280000000002E-2</v>
      </c>
      <c r="U2975">
        <v>-2.0359189999999998</v>
      </c>
      <c r="V2975">
        <v>7.2416099999999997E-2</v>
      </c>
      <c r="W2975">
        <v>0.19329779999999999</v>
      </c>
      <c r="X2975">
        <v>0.978464</v>
      </c>
      <c r="Y2975">
        <v>0.53468199999999999</v>
      </c>
      <c r="Z2975">
        <v>-1.028478E-4</v>
      </c>
      <c r="AA2975">
        <v>0.84505330000000001</v>
      </c>
      <c r="AB2975">
        <v>28</v>
      </c>
      <c r="AC2975">
        <v>40.186100000000003</v>
      </c>
      <c r="AD2975">
        <v>1.106681</v>
      </c>
      <c r="AE2975">
        <v>-29.4894999999999</v>
      </c>
      <c r="AF2975">
        <v>26.769726333073699</v>
      </c>
      <c r="AG2975">
        <v>1.106681</v>
      </c>
      <c r="AH2975">
        <v>42.017702457844102</v>
      </c>
      <c r="AI2975">
        <v>88.727483137604295</v>
      </c>
      <c r="AJ2975">
        <v>57.498547360831502</v>
      </c>
      <c r="AK2975">
        <v>49.8330242973406</v>
      </c>
      <c r="AL2975">
        <v>78.854696673117701</v>
      </c>
      <c r="AM2975">
        <v>85.767257560529202</v>
      </c>
      <c r="AN2975">
        <v>0.99999996516002398</v>
      </c>
    </row>
    <row r="2976" spans="1:40" x14ac:dyDescent="0.25">
      <c r="A2976" t="str">
        <f>"20190304155427147"</f>
        <v>20190304155427147</v>
      </c>
      <c r="B2976" t="str">
        <f>"1551686067140136"</f>
        <v>1551686067140136</v>
      </c>
      <c r="C2976" t="s">
        <v>40</v>
      </c>
      <c r="D2976">
        <v>4.2608980000000001</v>
      </c>
      <c r="E2976">
        <v>0.706839</v>
      </c>
      <c r="F2976" t="s">
        <v>70</v>
      </c>
      <c r="G2976">
        <v>-169.40099999999899</v>
      </c>
      <c r="H2976">
        <v>2.2119780000000002</v>
      </c>
      <c r="I2976">
        <v>184.91489999999999</v>
      </c>
      <c r="J2976">
        <v>-209.3228</v>
      </c>
      <c r="K2976">
        <v>1.1081700000000001</v>
      </c>
      <c r="L2976">
        <v>214.73560000000001</v>
      </c>
      <c r="M2976">
        <v>0.99754129999999996</v>
      </c>
      <c r="N2976">
        <v>-1.419287E-2</v>
      </c>
      <c r="O2976">
        <v>-6.8628410000000001E-2</v>
      </c>
      <c r="P2976">
        <v>0.97346290000000002</v>
      </c>
      <c r="Q2976">
        <v>0.17918999999999999</v>
      </c>
      <c r="R2976">
        <v>-0.142342</v>
      </c>
      <c r="S2976">
        <v>2.7777560000000001</v>
      </c>
      <c r="T2976">
        <v>7.6296929999999999E-2</v>
      </c>
      <c r="U2976">
        <v>-2.0626980000000001</v>
      </c>
      <c r="V2976">
        <v>7.6296349999999999E-2</v>
      </c>
      <c r="W2976">
        <v>0.19266050000000001</v>
      </c>
      <c r="X2976">
        <v>0.97829480000000002</v>
      </c>
      <c r="Y2976">
        <v>0.5396647</v>
      </c>
      <c r="Z2976">
        <v>-1.909984E-4</v>
      </c>
      <c r="AA2976">
        <v>0.84188009999999902</v>
      </c>
      <c r="AB2976">
        <v>28</v>
      </c>
      <c r="AC2976">
        <v>39.921799999999998</v>
      </c>
      <c r="AD2976">
        <v>1.1038079999999899</v>
      </c>
      <c r="AE2976">
        <v>-29.820699999999999</v>
      </c>
      <c r="AF2976">
        <v>26.9970843964675</v>
      </c>
      <c r="AG2976">
        <v>1.1038079999999899</v>
      </c>
      <c r="AH2976">
        <v>41.853873249670599</v>
      </c>
      <c r="AI2976">
        <v>88.730397847302996</v>
      </c>
      <c r="AJ2976">
        <v>57.176692213541301</v>
      </c>
      <c r="AK2976">
        <v>49.817744469318903</v>
      </c>
      <c r="AL2976">
        <v>78.891910719607395</v>
      </c>
      <c r="AM2976">
        <v>85.540579173157397</v>
      </c>
      <c r="AN2976">
        <v>0.99999995849530499</v>
      </c>
    </row>
    <row r="2977" spans="1:40" x14ac:dyDescent="0.25">
      <c r="A2977" t="str">
        <f>"20190304155427175"</f>
        <v>20190304155427175</v>
      </c>
      <c r="B2977" t="str">
        <f>"1551686067169417"</f>
        <v>1551686067169417</v>
      </c>
      <c r="C2977" t="s">
        <v>40</v>
      </c>
      <c r="D2977">
        <v>4.2209500000000002</v>
      </c>
      <c r="E2977">
        <v>0.70771329999999999</v>
      </c>
      <c r="F2977" t="s">
        <v>70</v>
      </c>
      <c r="G2977">
        <v>-169.40119999999999</v>
      </c>
      <c r="H2977">
        <v>2.2311830000000001</v>
      </c>
      <c r="I2977">
        <v>184.55289999999999</v>
      </c>
      <c r="J2977">
        <v>-208.9931</v>
      </c>
      <c r="K2977">
        <v>1.1080909999999999</v>
      </c>
      <c r="L2977">
        <v>214.7088</v>
      </c>
      <c r="M2977">
        <v>0.99727889999999997</v>
      </c>
      <c r="N2977">
        <v>-1.4193509999999999E-2</v>
      </c>
      <c r="O2977">
        <v>-7.2341900000000001E-2</v>
      </c>
      <c r="P2977">
        <v>0.97242720000000005</v>
      </c>
      <c r="Q2977">
        <v>0.17825070000000001</v>
      </c>
      <c r="R2977">
        <v>-0.150372799999999</v>
      </c>
      <c r="S2977">
        <v>2.7621310000000001</v>
      </c>
      <c r="T2977">
        <v>7.7702049999999995E-2</v>
      </c>
      <c r="U2977">
        <v>-2.0883029999999998</v>
      </c>
      <c r="V2977">
        <v>8.075947E-2</v>
      </c>
      <c r="W2977">
        <v>0.19167880000000001</v>
      </c>
      <c r="X2977">
        <v>0.97812940000000004</v>
      </c>
      <c r="Y2977">
        <v>0.54378609999999905</v>
      </c>
      <c r="Z2977">
        <v>-2.1931340000000001E-4</v>
      </c>
      <c r="AA2977">
        <v>0.83922379999999996</v>
      </c>
      <c r="AB2977">
        <v>28</v>
      </c>
      <c r="AC2977">
        <v>39.591900000000003</v>
      </c>
      <c r="AD2977">
        <v>1.123092</v>
      </c>
      <c r="AE2977">
        <v>-30.155899999999999</v>
      </c>
      <c r="AF2977">
        <v>27.198579941199402</v>
      </c>
      <c r="AG2977">
        <v>1.123092</v>
      </c>
      <c r="AH2977">
        <v>41.648689703067902</v>
      </c>
      <c r="AI2977">
        <v>88.706604544368602</v>
      </c>
      <c r="AJ2977">
        <v>56.853548429351598</v>
      </c>
      <c r="AK2977">
        <v>49.755777960360703</v>
      </c>
      <c r="AL2977">
        <v>78.949226592969495</v>
      </c>
      <c r="AM2977">
        <v>85.280067164235007</v>
      </c>
      <c r="AN2977">
        <v>0.99999998875424001</v>
      </c>
    </row>
    <row r="2978" spans="1:40" x14ac:dyDescent="0.25">
      <c r="A2978" t="str">
        <f>"20190304155427199"</f>
        <v>20190304155427199</v>
      </c>
      <c r="B2978" t="str">
        <f>"1551686067189912"</f>
        <v>1551686067189912</v>
      </c>
      <c r="C2978" t="s">
        <v>40</v>
      </c>
      <c r="D2978">
        <v>4.1882010000000003</v>
      </c>
      <c r="E2978">
        <v>0.70884809999999998</v>
      </c>
      <c r="F2978" t="s">
        <v>70</v>
      </c>
      <c r="G2978">
        <v>-168.41890000000001</v>
      </c>
      <c r="H2978">
        <v>2.2509570000000001</v>
      </c>
      <c r="I2978">
        <v>183.39519999999999</v>
      </c>
      <c r="J2978">
        <v>-208.6765</v>
      </c>
      <c r="K2978">
        <v>1.1079909999999999</v>
      </c>
      <c r="L2978">
        <v>214.68170000000001</v>
      </c>
      <c r="M2978">
        <v>0.99700169999999999</v>
      </c>
      <c r="N2978">
        <v>-1.419539E-2</v>
      </c>
      <c r="O2978">
        <v>-7.6067140000000005E-2</v>
      </c>
      <c r="P2978">
        <v>0.97135199999999999</v>
      </c>
      <c r="Q2978">
        <v>0.1772193</v>
      </c>
      <c r="R2978">
        <v>-0.15833120000000001</v>
      </c>
      <c r="S2978">
        <v>2.743484</v>
      </c>
      <c r="T2978">
        <v>7.7278849999999996E-2</v>
      </c>
      <c r="U2978">
        <v>-2.1173099999999998</v>
      </c>
      <c r="V2978">
        <v>8.51518E-2</v>
      </c>
      <c r="W2978">
        <v>0.1906004</v>
      </c>
      <c r="X2978">
        <v>0.97796760000000005</v>
      </c>
      <c r="Y2978">
        <v>0.54896929999999999</v>
      </c>
      <c r="Z2978">
        <v>-3.6058569999999999E-4</v>
      </c>
      <c r="AA2978">
        <v>0.83584249999999904</v>
      </c>
      <c r="AB2978">
        <v>28</v>
      </c>
      <c r="AC2978">
        <v>40.257599999999996</v>
      </c>
      <c r="AD2978">
        <v>1.1429659999999999</v>
      </c>
      <c r="AE2978">
        <v>-31.2865</v>
      </c>
      <c r="AF2978">
        <v>28.119115282965701</v>
      </c>
      <c r="AG2978">
        <v>1.1429659999999999</v>
      </c>
      <c r="AH2978">
        <v>42.499694367898698</v>
      </c>
      <c r="AI2978">
        <v>88.715142990030998</v>
      </c>
      <c r="AJ2978">
        <v>56.510143292528703</v>
      </c>
      <c r="AK2978">
        <v>50.972689127989597</v>
      </c>
      <c r="AL2978">
        <v>79.012174901419897</v>
      </c>
      <c r="AM2978">
        <v>85.023796938464997</v>
      </c>
      <c r="AN2978">
        <v>0.99999998408657997</v>
      </c>
    </row>
    <row r="2979" spans="1:40" x14ac:dyDescent="0.25">
      <c r="A2979" t="str">
        <f>"20190304155427873"</f>
        <v>20190304155427873</v>
      </c>
      <c r="B2979" t="str">
        <f>"1551686067870186"</f>
        <v>1551686067870186</v>
      </c>
      <c r="C2979" t="s">
        <v>40</v>
      </c>
      <c r="D2979">
        <v>5.6164870000000002</v>
      </c>
      <c r="E2979">
        <v>0.7296551</v>
      </c>
      <c r="F2979" t="s">
        <v>70</v>
      </c>
      <c r="G2979">
        <v>-168.41909999999999</v>
      </c>
      <c r="H2979">
        <v>2.2842190000000002</v>
      </c>
      <c r="I2979">
        <v>182.93039999999999</v>
      </c>
      <c r="J2979">
        <v>-200.45689999999999</v>
      </c>
      <c r="K2979">
        <v>1.102649</v>
      </c>
      <c r="L2979">
        <v>213.15600000000001</v>
      </c>
      <c r="M2979">
        <v>0.95967250000000004</v>
      </c>
      <c r="N2979">
        <v>-1.486872E-2</v>
      </c>
      <c r="O2979">
        <v>-0.28072740000000002</v>
      </c>
      <c r="P2979">
        <v>0.86304429999999999</v>
      </c>
      <c r="Q2979">
        <v>0.1761469</v>
      </c>
      <c r="R2979">
        <v>-0.47342070000000003</v>
      </c>
      <c r="S2979">
        <v>2.7237849999999999</v>
      </c>
      <c r="T2979">
        <v>7.9584719999999998E-2</v>
      </c>
      <c r="U2979">
        <v>-2.1482700000000001</v>
      </c>
      <c r="V2979">
        <v>0.21567169999999999</v>
      </c>
      <c r="W2979">
        <v>0.1863329</v>
      </c>
      <c r="X2979">
        <v>0.95852269999999995</v>
      </c>
      <c r="Y2979">
        <v>0.37405470000000002</v>
      </c>
      <c r="Z2979">
        <v>-9.1099159999999992E-3</v>
      </c>
      <c r="AA2979">
        <v>0.92736189999999996</v>
      </c>
      <c r="AB2979">
        <v>27</v>
      </c>
      <c r="AC2979">
        <v>32.037799999999997</v>
      </c>
      <c r="AD2979">
        <v>1.18156999999999</v>
      </c>
      <c r="AE2979">
        <v>-30.225599999999901</v>
      </c>
      <c r="AF2979">
        <v>20.000605552149501</v>
      </c>
      <c r="AG2979">
        <v>1.18156999999999</v>
      </c>
      <c r="AH2979">
        <v>39.2070669346</v>
      </c>
      <c r="AI2979">
        <v>88.462240182499102</v>
      </c>
      <c r="AJ2979">
        <v>62.972618465099501</v>
      </c>
      <c r="AK2979">
        <v>44.029699382709602</v>
      </c>
      <c r="AL2979">
        <v>79.261146694993698</v>
      </c>
      <c r="AM2979">
        <v>77.319383666464702</v>
      </c>
      <c r="AN2979">
        <v>0.99999999910929405</v>
      </c>
    </row>
    <row r="2980" spans="1:40" x14ac:dyDescent="0.25">
      <c r="A2980" t="str">
        <f>"20190304155428945"</f>
        <v>20190304155428945</v>
      </c>
      <c r="B2980" t="str">
        <f>"1551686068939575"</f>
        <v>1551686068939575</v>
      </c>
      <c r="C2980" t="s">
        <v>40</v>
      </c>
      <c r="D2980">
        <v>4.196377</v>
      </c>
      <c r="E2980">
        <v>0.74000869999999996</v>
      </c>
      <c r="F2980" t="s">
        <v>44</v>
      </c>
      <c r="G2980">
        <v>-198.3389</v>
      </c>
      <c r="H2980">
        <v>8.7662460000000006</v>
      </c>
      <c r="I2980">
        <v>163.43190000000001</v>
      </c>
      <c r="J2980">
        <v>-190.6833</v>
      </c>
      <c r="K2980">
        <v>1.1019829999999999</v>
      </c>
      <c r="L2980">
        <v>205.52809999999999</v>
      </c>
      <c r="M2980">
        <v>0.56688909999999904</v>
      </c>
      <c r="N2980">
        <v>-1.5520829999999999E-2</v>
      </c>
      <c r="O2980">
        <v>-0.82364809999999999</v>
      </c>
      <c r="P2980">
        <v>0.36184349999999998</v>
      </c>
      <c r="Q2980">
        <v>0.169984</v>
      </c>
      <c r="R2980">
        <v>-0.91661060000000005</v>
      </c>
      <c r="S2980">
        <v>-0.60792539999999995</v>
      </c>
      <c r="T2980">
        <v>0.61931800000000004</v>
      </c>
      <c r="U2980">
        <v>-3.4185180000000002</v>
      </c>
      <c r="V2980">
        <v>0.2253677</v>
      </c>
      <c r="W2980">
        <v>0.1802686</v>
      </c>
      <c r="X2980">
        <v>0.9574511</v>
      </c>
      <c r="Y2980">
        <v>0.70053859999999901</v>
      </c>
      <c r="Z2980">
        <v>-0.12022529999999999</v>
      </c>
      <c r="AA2980">
        <v>0.70341430000000005</v>
      </c>
      <c r="AB2980">
        <v>25</v>
      </c>
      <c r="AC2980">
        <v>-7.65559999999999</v>
      </c>
      <c r="AD2980">
        <v>7.664263</v>
      </c>
      <c r="AE2980">
        <v>-42.096199999999897</v>
      </c>
      <c r="AF2980">
        <v>29.2349750321203</v>
      </c>
      <c r="AG2980">
        <v>7.664263</v>
      </c>
      <c r="AH2980">
        <v>29.393102513208699</v>
      </c>
      <c r="AI2980">
        <v>79.525707523894496</v>
      </c>
      <c r="AJ2980">
        <v>45.154533726871598</v>
      </c>
      <c r="AK2980">
        <v>42.158974937892701</v>
      </c>
      <c r="AL2980">
        <v>79.614594498655407</v>
      </c>
      <c r="AM2980">
        <v>76.754655444468597</v>
      </c>
      <c r="AN2980">
        <v>0.99999998862022899</v>
      </c>
    </row>
    <row r="2981" spans="1:40" x14ac:dyDescent="0.25">
      <c r="A2981" t="str">
        <f>"20190304155428968"</f>
        <v>20190304155428968</v>
      </c>
      <c r="B2981" t="str">
        <f>"1551686068960071"</f>
        <v>1551686068960071</v>
      </c>
      <c r="C2981" t="s">
        <v>40</v>
      </c>
      <c r="D2981">
        <v>4.218604</v>
      </c>
      <c r="E2981">
        <v>0.74416879999999996</v>
      </c>
      <c r="F2981" t="s">
        <v>53</v>
      </c>
      <c r="G2981">
        <v>-212.30029999999999</v>
      </c>
      <c r="H2981">
        <v>16.41743</v>
      </c>
      <c r="I2981">
        <v>98.375470000000007</v>
      </c>
      <c r="J2981">
        <v>-190.54689999999999</v>
      </c>
      <c r="K2981">
        <v>1.1022860000000001</v>
      </c>
      <c r="L2981">
        <v>205.30500000000001</v>
      </c>
      <c r="M2981">
        <v>0.55660880000000001</v>
      </c>
      <c r="N2981">
        <v>-1.5440219999999999E-2</v>
      </c>
      <c r="O2981">
        <v>-0.83063159999999903</v>
      </c>
      <c r="P2981">
        <v>0.35319800000000001</v>
      </c>
      <c r="Q2981">
        <v>0.16909830000000001</v>
      </c>
      <c r="R2981">
        <v>-0.92013999999999996</v>
      </c>
      <c r="S2981">
        <v>-0.69732669999999997</v>
      </c>
      <c r="T2981">
        <v>0.4940503</v>
      </c>
      <c r="U2981">
        <v>-3.4565579999999998</v>
      </c>
      <c r="V2981">
        <v>0.22241259999999999</v>
      </c>
      <c r="W2981">
        <v>0.1795387</v>
      </c>
      <c r="X2981">
        <v>0.95827890000000004</v>
      </c>
      <c r="Y2981">
        <v>0.70871340000000005</v>
      </c>
      <c r="Z2981">
        <v>-9.9467349999999996E-2</v>
      </c>
      <c r="AA2981">
        <v>0.6984494</v>
      </c>
      <c r="AB2981">
        <v>25</v>
      </c>
      <c r="AC2981">
        <v>-21.753399999999999</v>
      </c>
      <c r="AD2981">
        <v>15.315144</v>
      </c>
      <c r="AE2981">
        <v>-106.92953</v>
      </c>
      <c r="AF2981">
        <v>76.097198452668394</v>
      </c>
      <c r="AG2981">
        <v>15.315144</v>
      </c>
      <c r="AH2981">
        <v>75.237954064126995</v>
      </c>
      <c r="AI2981">
        <v>81.855343505905296</v>
      </c>
      <c r="AJ2981">
        <v>44.674691919190501</v>
      </c>
      <c r="AK2981">
        <v>108.102206174717</v>
      </c>
      <c r="AL2981">
        <v>79.657108243266705</v>
      </c>
      <c r="AM2981">
        <v>76.933235213775305</v>
      </c>
      <c r="AN2981">
        <v>0.999999979810829</v>
      </c>
    </row>
    <row r="2982" spans="1:40" x14ac:dyDescent="0.25">
      <c r="A2982" t="str">
        <f>"20190304155428992"</f>
        <v>20190304155428992</v>
      </c>
      <c r="B2982" t="str">
        <f>"1551686068979591"</f>
        <v>1551686068979591</v>
      </c>
      <c r="C2982" t="s">
        <v>40</v>
      </c>
      <c r="D2982">
        <v>4.7919780000000003</v>
      </c>
      <c r="E2982">
        <v>0.72929390000000005</v>
      </c>
      <c r="F2982" t="s">
        <v>53</v>
      </c>
      <c r="G2982">
        <v>-213.96350000000001</v>
      </c>
      <c r="H2982">
        <v>14.477270000000001</v>
      </c>
      <c r="I2982">
        <v>98.375470000000007</v>
      </c>
      <c r="J2982">
        <v>-190.41300000000001</v>
      </c>
      <c r="K2982">
        <v>1.102576</v>
      </c>
      <c r="L2982">
        <v>205.08070000000001</v>
      </c>
      <c r="M2982">
        <v>0.54661009999999999</v>
      </c>
      <c r="N2982">
        <v>-1.535955E-2</v>
      </c>
      <c r="O2982">
        <v>-0.8372465</v>
      </c>
      <c r="P2982">
        <v>0.34509210000000001</v>
      </c>
      <c r="Q2982">
        <v>0.16885829999999999</v>
      </c>
      <c r="R2982">
        <v>-0.92325409999999997</v>
      </c>
      <c r="S2982">
        <v>-0.76043700000000003</v>
      </c>
      <c r="T2982">
        <v>0.4343419</v>
      </c>
      <c r="U2982">
        <v>-3.4724430000000002</v>
      </c>
      <c r="V2982">
        <v>0.21923219999999999</v>
      </c>
      <c r="W2982">
        <v>0.1794482</v>
      </c>
      <c r="X2982">
        <v>0.95902849999999995</v>
      </c>
      <c r="Y2982">
        <v>0.71213110000000002</v>
      </c>
      <c r="Z2982">
        <v>-9.0099670000000007E-2</v>
      </c>
      <c r="AA2982">
        <v>0.69624079999999999</v>
      </c>
      <c r="AB2982">
        <v>25</v>
      </c>
      <c r="AC2982">
        <v>-23.5505</v>
      </c>
      <c r="AD2982">
        <v>13.374694</v>
      </c>
      <c r="AE2982">
        <v>-106.70523</v>
      </c>
      <c r="AF2982">
        <v>76.900878139097102</v>
      </c>
      <c r="AG2982">
        <v>13.374694</v>
      </c>
      <c r="AH2982">
        <v>75.345896340859397</v>
      </c>
      <c r="AI2982">
        <v>82.918400694727595</v>
      </c>
      <c r="AJ2982">
        <v>44.414826378035997</v>
      </c>
      <c r="AK2982">
        <v>108.487932939868</v>
      </c>
      <c r="AL2982">
        <v>79.6623797323807</v>
      </c>
      <c r="AM2982">
        <v>77.123540084864104</v>
      </c>
      <c r="AN2982">
        <v>1.0000000389061601</v>
      </c>
    </row>
    <row r="2983" spans="1:40" x14ac:dyDescent="0.25">
      <c r="A2983" t="str">
        <f>"20190304155429013"</f>
        <v>20190304155429013</v>
      </c>
      <c r="B2983" t="str">
        <f>"1551686069009847"</f>
        <v>1551686069009847</v>
      </c>
      <c r="C2983" t="s">
        <v>40</v>
      </c>
      <c r="D2983">
        <v>4.7703480000000003</v>
      </c>
      <c r="E2983">
        <v>0.71430799999999905</v>
      </c>
      <c r="F2983" t="s">
        <v>53</v>
      </c>
      <c r="G2983">
        <v>-211.4862</v>
      </c>
      <c r="H2983">
        <v>12.184279999999999</v>
      </c>
      <c r="I2983">
        <v>98.375470000000007</v>
      </c>
      <c r="J2983">
        <v>-190.28829999999999</v>
      </c>
      <c r="K2983">
        <v>1.102857</v>
      </c>
      <c r="L2983">
        <v>204.86689999999999</v>
      </c>
      <c r="M2983">
        <v>0.53739919999999997</v>
      </c>
      <c r="N2983">
        <v>-1.5282159999999999E-2</v>
      </c>
      <c r="O2983">
        <v>-0.84318950000000004</v>
      </c>
      <c r="P2983">
        <v>0.33786739999999998</v>
      </c>
      <c r="Q2983">
        <v>0.16970589999999999</v>
      </c>
      <c r="R2983">
        <v>-0.92576760000000002</v>
      </c>
      <c r="S2983">
        <v>-0.67893979999999998</v>
      </c>
      <c r="T2983">
        <v>0.35703179999999901</v>
      </c>
      <c r="U2983">
        <v>-3.4378359999999999</v>
      </c>
      <c r="V2983">
        <v>0.21601339999999999</v>
      </c>
      <c r="W2983">
        <v>0.1804346</v>
      </c>
      <c r="X2983">
        <v>0.95957360000000003</v>
      </c>
      <c r="Y2983">
        <v>0.69003700000000001</v>
      </c>
      <c r="Z2983">
        <v>-7.9774689999999995E-2</v>
      </c>
      <c r="AA2983">
        <v>0.71936429999999996</v>
      </c>
      <c r="AB2983">
        <v>25</v>
      </c>
      <c r="AC2983">
        <v>-21.197900000000001</v>
      </c>
      <c r="AD2983">
        <v>11.081422999999999</v>
      </c>
      <c r="AE2983">
        <v>-106.49142999999999</v>
      </c>
      <c r="AF2983">
        <v>74.336764031355401</v>
      </c>
      <c r="AG2983">
        <v>11.081422999999999</v>
      </c>
      <c r="AH2983">
        <v>77.601609012489604</v>
      </c>
      <c r="AI2983">
        <v>84.112470335596498</v>
      </c>
      <c r="AJ2983">
        <v>46.230979716208303</v>
      </c>
      <c r="AK2983">
        <v>108.031301684676</v>
      </c>
      <c r="AL2983">
        <v>79.604924577542903</v>
      </c>
      <c r="AM2983">
        <v>77.313402596436703</v>
      </c>
      <c r="AN2983">
        <v>0.99999996383683898</v>
      </c>
    </row>
    <row r="2984" spans="1:40" x14ac:dyDescent="0.25">
      <c r="A2984" t="str">
        <f>"20190304155429041"</f>
        <v>20190304155429041</v>
      </c>
      <c r="B2984" t="str">
        <f>"1551686069030343"</f>
        <v>1551686069030343</v>
      </c>
      <c r="C2984" t="s">
        <v>40</v>
      </c>
      <c r="D2984">
        <v>4.7204930000000003</v>
      </c>
      <c r="E2984">
        <v>0.7108333</v>
      </c>
      <c r="F2984" t="s">
        <v>53</v>
      </c>
      <c r="G2984">
        <v>-212.22909999999999</v>
      </c>
      <c r="H2984">
        <v>11.74503</v>
      </c>
      <c r="I2984">
        <v>78.707819999999998</v>
      </c>
      <c r="J2984">
        <v>-190.13810000000001</v>
      </c>
      <c r="K2984">
        <v>1.1032150000000001</v>
      </c>
      <c r="L2984">
        <v>204.60329999999999</v>
      </c>
      <c r="M2984">
        <v>0.52643700000000004</v>
      </c>
      <c r="N2984">
        <v>-1.518648E-2</v>
      </c>
      <c r="O2984">
        <v>-0.85007849999999996</v>
      </c>
      <c r="P2984">
        <v>0.32861020000000002</v>
      </c>
      <c r="Q2984">
        <v>0.16957510000000001</v>
      </c>
      <c r="R2984">
        <v>-0.92911790000000005</v>
      </c>
      <c r="S2984">
        <v>-0.59199519999999906</v>
      </c>
      <c r="T2984">
        <v>0.28714230000000002</v>
      </c>
      <c r="U2984">
        <v>-3.4039609999999998</v>
      </c>
      <c r="V2984">
        <v>0.21301349999999999</v>
      </c>
      <c r="W2984">
        <v>0.1804548</v>
      </c>
      <c r="X2984">
        <v>0.96024019999999999</v>
      </c>
      <c r="Y2984">
        <v>0.66403029999999996</v>
      </c>
      <c r="Z2984">
        <v>-6.9744829999999994E-2</v>
      </c>
      <c r="AA2984">
        <v>0.74444580000000005</v>
      </c>
      <c r="AB2984">
        <v>25</v>
      </c>
      <c r="AC2984">
        <v>-22.090999999999902</v>
      </c>
      <c r="AD2984">
        <v>10.641814999999999</v>
      </c>
      <c r="AE2984">
        <v>-125.89548000000001</v>
      </c>
      <c r="AF2984">
        <v>84.479345690704903</v>
      </c>
      <c r="AG2984">
        <v>10.641814999999999</v>
      </c>
      <c r="AH2984">
        <v>94.745771936675794</v>
      </c>
      <c r="AI2984">
        <v>85.207868057525403</v>
      </c>
      <c r="AJ2984">
        <v>48.2784511177952</v>
      </c>
      <c r="AK2984">
        <v>127.384337242458</v>
      </c>
      <c r="AL2984">
        <v>79.603747887791897</v>
      </c>
      <c r="AM2984">
        <v>77.492414917466604</v>
      </c>
      <c r="AN2984">
        <v>0.99999996386066403</v>
      </c>
    </row>
    <row r="2985" spans="1:40" x14ac:dyDescent="0.25">
      <c r="A2985" t="str">
        <f>"20190304155429061"</f>
        <v>20190304155429061</v>
      </c>
      <c r="B2985" t="str">
        <f>"1551686069049863"</f>
        <v>1551686069049863</v>
      </c>
      <c r="C2985" t="s">
        <v>40</v>
      </c>
      <c r="D2985">
        <v>4.5232010000000002</v>
      </c>
      <c r="E2985">
        <v>0.64187309999999997</v>
      </c>
      <c r="F2985" t="s">
        <v>53</v>
      </c>
      <c r="G2985">
        <v>-212.22890000000001</v>
      </c>
      <c r="H2985">
        <v>11.05406</v>
      </c>
      <c r="I2985">
        <v>79.60275</v>
      </c>
      <c r="J2985">
        <v>-190.02600000000001</v>
      </c>
      <c r="K2985">
        <v>1.1034889999999999</v>
      </c>
      <c r="L2985">
        <v>204.40199999999999</v>
      </c>
      <c r="M2985">
        <v>0.51838229999999996</v>
      </c>
      <c r="N2985">
        <v>-1.511418E-2</v>
      </c>
      <c r="O2985">
        <v>-0.85501539999999998</v>
      </c>
      <c r="P2985">
        <v>0.32393460000000002</v>
      </c>
      <c r="Q2985">
        <v>0.17011419999999999</v>
      </c>
      <c r="R2985">
        <v>-0.93065989999999998</v>
      </c>
      <c r="S2985">
        <v>-0.59938049999999998</v>
      </c>
      <c r="T2985">
        <v>0.26999220000000002</v>
      </c>
      <c r="U2985">
        <v>-3.3915860000000002</v>
      </c>
      <c r="V2985">
        <v>0.20859539999999999</v>
      </c>
      <c r="W2985">
        <v>0.18114839999999999</v>
      </c>
      <c r="X2985">
        <v>0.96107920000000002</v>
      </c>
      <c r="Y2985">
        <v>0.65902289999999997</v>
      </c>
      <c r="Z2985">
        <v>-6.7414520000000006E-2</v>
      </c>
      <c r="AA2985">
        <v>0.74909550000000003</v>
      </c>
      <c r="AB2985">
        <v>25</v>
      </c>
      <c r="AC2985">
        <v>-22.2029</v>
      </c>
      <c r="AD2985">
        <v>9.9505710000000001</v>
      </c>
      <c r="AE2985">
        <v>-124.79925</v>
      </c>
      <c r="AF2985">
        <v>83.174561589754603</v>
      </c>
      <c r="AG2985">
        <v>9.9505710000000001</v>
      </c>
      <c r="AH2985">
        <v>94.6234731215512</v>
      </c>
      <c r="AI2985">
        <v>85.483942324885405</v>
      </c>
      <c r="AJ2985">
        <v>48.684348423669398</v>
      </c>
      <c r="AK2985">
        <v>126.37493115511</v>
      </c>
      <c r="AL2985">
        <v>79.563342067647895</v>
      </c>
      <c r="AM2985">
        <v>77.754289882690799</v>
      </c>
      <c r="AN2985">
        <v>1.00000000619818</v>
      </c>
    </row>
    <row r="2986" spans="1:40" x14ac:dyDescent="0.25">
      <c r="A2986" t="str">
        <f>"20190304155429082"</f>
        <v>20190304155429082</v>
      </c>
      <c r="B2986" t="str">
        <f>"1551686069070359"</f>
        <v>1551686069070359</v>
      </c>
      <c r="C2986" t="s">
        <v>40</v>
      </c>
      <c r="D2986">
        <v>4.5792599999999997</v>
      </c>
      <c r="E2986">
        <v>0.58918909999999902</v>
      </c>
      <c r="F2986" t="s">
        <v>52</v>
      </c>
      <c r="G2986">
        <v>-198.33070000000001</v>
      </c>
      <c r="H2986">
        <v>6.4797830000000003</v>
      </c>
      <c r="I2986">
        <v>-80.065869999999904</v>
      </c>
      <c r="J2986">
        <v>-189.91579999999999</v>
      </c>
      <c r="K2986">
        <v>1.1037669999999999</v>
      </c>
      <c r="L2986">
        <v>204.2004</v>
      </c>
      <c r="M2986">
        <v>0.51057429999999904</v>
      </c>
      <c r="N2986">
        <v>-1.504401E-2</v>
      </c>
      <c r="O2986">
        <v>-0.85970219999999897</v>
      </c>
      <c r="P2986">
        <v>0.31920110000000002</v>
      </c>
      <c r="Q2986">
        <v>0.17174700000000001</v>
      </c>
      <c r="R2986">
        <v>-0.93199469999999995</v>
      </c>
      <c r="S2986">
        <v>-9.4741820000000004E-2</v>
      </c>
      <c r="T2986">
        <v>6.1333659999999998E-2</v>
      </c>
      <c r="U2986">
        <v>-3.2452549999999998</v>
      </c>
      <c r="V2986">
        <v>0.20447029999999999</v>
      </c>
      <c r="W2986">
        <v>0.1829221</v>
      </c>
      <c r="X2986">
        <v>0.96162959999999997</v>
      </c>
      <c r="Y2986">
        <v>0.5355048</v>
      </c>
      <c r="Z2986">
        <v>-2.86007E-2</v>
      </c>
      <c r="AA2986">
        <v>0.84404780000000001</v>
      </c>
      <c r="AB2986">
        <v>25</v>
      </c>
      <c r="AC2986">
        <v>-8.41490000000001</v>
      </c>
      <c r="AD2986">
        <v>5.3760159999999999</v>
      </c>
      <c r="AE2986">
        <v>-284.26627000000002</v>
      </c>
      <c r="AF2986">
        <v>152.33614499424399</v>
      </c>
      <c r="AG2986">
        <v>5.3760159999999999</v>
      </c>
      <c r="AH2986">
        <v>240.02926822125701</v>
      </c>
      <c r="AI2986">
        <v>88.916644332799194</v>
      </c>
      <c r="AJ2986">
        <v>57.598478814892502</v>
      </c>
      <c r="AK2986">
        <v>284.34002923009598</v>
      </c>
      <c r="AL2986">
        <v>79.459990109993797</v>
      </c>
      <c r="AM2986">
        <v>77.996031351484504</v>
      </c>
      <c r="AN2986">
        <v>1.00000004292332</v>
      </c>
    </row>
    <row r="2987" spans="1:40" x14ac:dyDescent="0.25">
      <c r="A2987" t="str">
        <f>"20190304155429103"</f>
        <v>20190304155429103</v>
      </c>
      <c r="B2987" t="str">
        <f>"1551686069099640"</f>
        <v>1551686069099640</v>
      </c>
      <c r="C2987" t="s">
        <v>40</v>
      </c>
      <c r="D2987">
        <v>4.6027779999999998</v>
      </c>
      <c r="E2987">
        <v>0.58538029999999996</v>
      </c>
      <c r="F2987" t="s">
        <v>61</v>
      </c>
      <c r="G2987">
        <v>-167.59049999999999</v>
      </c>
      <c r="H2987">
        <v>4.2757430000000003</v>
      </c>
      <c r="I2987">
        <v>-37.694769999999998</v>
      </c>
      <c r="J2987">
        <v>-189.80430000000001</v>
      </c>
      <c r="K2987">
        <v>1.104039</v>
      </c>
      <c r="L2987">
        <v>203.9922</v>
      </c>
      <c r="M2987">
        <v>0.50277890000000003</v>
      </c>
      <c r="N2987">
        <v>-1.497447E-2</v>
      </c>
      <c r="O2987">
        <v>-0.86428539999999998</v>
      </c>
      <c r="P2987">
        <v>0.31443259999999901</v>
      </c>
      <c r="Q2987">
        <v>0.17338919999999999</v>
      </c>
      <c r="R2987">
        <v>-0.93331039999999998</v>
      </c>
      <c r="S2987">
        <v>0.2873077</v>
      </c>
      <c r="T2987">
        <v>4.0820240000000001E-2</v>
      </c>
      <c r="U2987">
        <v>-3.1129760000000002</v>
      </c>
      <c r="V2987">
        <v>0.20043369999999999</v>
      </c>
      <c r="W2987">
        <v>0.18469569999999999</v>
      </c>
      <c r="X2987">
        <v>0.96214029999999995</v>
      </c>
      <c r="Y2987">
        <v>0.4212939</v>
      </c>
      <c r="Z2987">
        <v>-2.444004E-2</v>
      </c>
      <c r="AA2987">
        <v>0.90659480000000003</v>
      </c>
      <c r="AB2987">
        <v>25</v>
      </c>
      <c r="AC2987">
        <v>22.213799999999999</v>
      </c>
      <c r="AD2987">
        <v>3.1717040000000001</v>
      </c>
      <c r="AE2987">
        <v>-241.68697</v>
      </c>
      <c r="AF2987">
        <v>102.31004158171</v>
      </c>
      <c r="AG2987">
        <v>3.1717040000000001</v>
      </c>
      <c r="AH2987">
        <v>220.04223574105399</v>
      </c>
      <c r="AI2987">
        <v>89.251167329479998</v>
      </c>
      <c r="AJ2987">
        <v>65.063627252431104</v>
      </c>
      <c r="AK2987">
        <v>242.68496002974001</v>
      </c>
      <c r="AL2987">
        <v>79.356609114615097</v>
      </c>
      <c r="AM2987">
        <v>78.232407124999398</v>
      </c>
      <c r="AN2987">
        <v>1.0000000632891299</v>
      </c>
    </row>
    <row r="2988" spans="1:40" x14ac:dyDescent="0.25">
      <c r="A2988" t="str">
        <f>"20190304155429125"</f>
        <v>20190304155429125</v>
      </c>
      <c r="B2988" t="str">
        <f>"1551686069120136"</f>
        <v>1551686069120136</v>
      </c>
      <c r="C2988" t="s">
        <v>40</v>
      </c>
      <c r="D2988">
        <v>4.6285020000000001</v>
      </c>
      <c r="E2988">
        <v>0.58288680000000004</v>
      </c>
      <c r="F2988" t="s">
        <v>73</v>
      </c>
      <c r="G2988">
        <v>-168.39250000000001</v>
      </c>
      <c r="H2988">
        <v>3.3174579999999998</v>
      </c>
      <c r="I2988">
        <v>-17.389949999999999</v>
      </c>
      <c r="J2988">
        <v>-189.69030000000001</v>
      </c>
      <c r="K2988">
        <v>1.1042799999999999</v>
      </c>
      <c r="L2988">
        <v>203.77539999999999</v>
      </c>
      <c r="M2988">
        <v>0.49487940000000002</v>
      </c>
      <c r="N2988">
        <v>-1.490694E-2</v>
      </c>
      <c r="O2988">
        <v>-0.86883369999999904</v>
      </c>
      <c r="P2988">
        <v>0.30872060000000001</v>
      </c>
      <c r="Q2988">
        <v>0.17434069999999999</v>
      </c>
      <c r="R2988">
        <v>-0.93503849999999999</v>
      </c>
      <c r="S2988">
        <v>0.300537099999999</v>
      </c>
      <c r="T2988">
        <v>3.1067609999999999E-2</v>
      </c>
      <c r="U2988">
        <v>-3.1073300000000001</v>
      </c>
      <c r="V2988">
        <v>0.19735910000000001</v>
      </c>
      <c r="W2988">
        <v>0.18574579999999999</v>
      </c>
      <c r="X2988">
        <v>0.96257360000000003</v>
      </c>
      <c r="Y2988">
        <v>0.40899659999999999</v>
      </c>
      <c r="Z2988">
        <v>-2.2122969999999999E-2</v>
      </c>
      <c r="AA2988">
        <v>0.91226770000000001</v>
      </c>
      <c r="AB2988">
        <v>25</v>
      </c>
      <c r="AC2988">
        <v>21.297799999999899</v>
      </c>
      <c r="AD2988">
        <v>2.2131780000000001</v>
      </c>
      <c r="AE2988">
        <v>-221.16534999999999</v>
      </c>
      <c r="AF2988">
        <v>90.947019786396496</v>
      </c>
      <c r="AG2988">
        <v>2.2131780000000001</v>
      </c>
      <c r="AH2988">
        <v>202.69818218591999</v>
      </c>
      <c r="AI2988">
        <v>89.429249612176307</v>
      </c>
      <c r="AJ2988">
        <v>65.835086089385499</v>
      </c>
      <c r="AK2988">
        <v>222.17743275671199</v>
      </c>
      <c r="AL2988">
        <v>79.295383021541198</v>
      </c>
      <c r="AM2988">
        <v>78.413073728670298</v>
      </c>
      <c r="AN2988">
        <v>1.0000000259937001</v>
      </c>
    </row>
    <row r="2989" spans="1:40" x14ac:dyDescent="0.25">
      <c r="A2989" t="str">
        <f>"20190304155429147"</f>
        <v>20190304155429147</v>
      </c>
      <c r="B2989" t="str">
        <f>"1551686069139655"</f>
        <v>1551686069139655</v>
      </c>
      <c r="C2989" t="s">
        <v>40</v>
      </c>
      <c r="D2989">
        <v>4.588241</v>
      </c>
      <c r="E2989">
        <v>0.58156160000000001</v>
      </c>
      <c r="F2989" t="s">
        <v>73</v>
      </c>
      <c r="G2989">
        <v>-168.24959999999999</v>
      </c>
      <c r="H2989">
        <v>2.9665189999999999</v>
      </c>
      <c r="I2989">
        <v>-17.389949999999999</v>
      </c>
      <c r="J2989">
        <v>-189.5761</v>
      </c>
      <c r="K2989">
        <v>1.1044849999999999</v>
      </c>
      <c r="L2989">
        <v>203.5538</v>
      </c>
      <c r="M2989">
        <v>0.4870218</v>
      </c>
      <c r="N2989">
        <v>-1.4844400000000001E-2</v>
      </c>
      <c r="O2989">
        <v>-0.87326369999999898</v>
      </c>
      <c r="P2989">
        <v>0.30293619999999999</v>
      </c>
      <c r="Q2989">
        <v>0.1747447</v>
      </c>
      <c r="R2989">
        <v>-0.93685320000000005</v>
      </c>
      <c r="S2989">
        <v>0.30093379999999997</v>
      </c>
      <c r="T2989">
        <v>2.6137589999999999E-2</v>
      </c>
      <c r="U2989">
        <v>-3.104187</v>
      </c>
      <c r="V2989">
        <v>0.1944968</v>
      </c>
      <c r="W2989">
        <v>0.1862307</v>
      </c>
      <c r="X2989">
        <v>0.96306230000000004</v>
      </c>
      <c r="Y2989">
        <v>0.40053569999999999</v>
      </c>
      <c r="Z2989">
        <v>-2.0940569999999999E-2</v>
      </c>
      <c r="AA2989">
        <v>0.91604189999999996</v>
      </c>
      <c r="AB2989">
        <v>25</v>
      </c>
      <c r="AC2989">
        <v>21.326499999999999</v>
      </c>
      <c r="AD2989">
        <v>1.862034</v>
      </c>
      <c r="AE2989">
        <v>-220.94374999999999</v>
      </c>
      <c r="AF2989">
        <v>88.9843045576159</v>
      </c>
      <c r="AG2989">
        <v>1.862034</v>
      </c>
      <c r="AH2989">
        <v>203.33671630907099</v>
      </c>
      <c r="AI2989">
        <v>89.519343192299203</v>
      </c>
      <c r="AJ2989">
        <v>66.364830152446302</v>
      </c>
      <c r="AK2989">
        <v>221.96282082271199</v>
      </c>
      <c r="AL2989">
        <v>79.267105961908499</v>
      </c>
      <c r="AM2989">
        <v>78.582314299291397</v>
      </c>
      <c r="AN2989">
        <v>0.999999936257008</v>
      </c>
    </row>
    <row r="2990" spans="1:40" x14ac:dyDescent="0.25">
      <c r="A2990" t="str">
        <f>"20190304155429169"</f>
        <v>20190304155429169</v>
      </c>
      <c r="B2990" t="str">
        <f>"1551686069160151"</f>
        <v>1551686069160151</v>
      </c>
      <c r="C2990" t="s">
        <v>40</v>
      </c>
      <c r="D2990">
        <v>4.6323449999999999</v>
      </c>
      <c r="E2990">
        <v>0.58077140000000005</v>
      </c>
      <c r="F2990" t="s">
        <v>61</v>
      </c>
      <c r="G2990">
        <v>-166.87020000000001</v>
      </c>
      <c r="H2990">
        <v>2.8116859999999999</v>
      </c>
      <c r="I2990">
        <v>-37.694769999999998</v>
      </c>
      <c r="J2990">
        <v>-189.46119999999999</v>
      </c>
      <c r="K2990">
        <v>1.104678</v>
      </c>
      <c r="L2990">
        <v>203.32650000000001</v>
      </c>
      <c r="M2990">
        <v>0.47918070000000001</v>
      </c>
      <c r="N2990">
        <v>-1.4785019999999999E-2</v>
      </c>
      <c r="O2990">
        <v>-0.87759169999999997</v>
      </c>
      <c r="P2990">
        <v>0.2966104</v>
      </c>
      <c r="Q2990">
        <v>0.1764725</v>
      </c>
      <c r="R2990">
        <v>-0.93855180000000005</v>
      </c>
      <c r="S2990">
        <v>0.29211429999999999</v>
      </c>
      <c r="T2990">
        <v>2.1963119999999999E-2</v>
      </c>
      <c r="U2990">
        <v>-3.1036990000000002</v>
      </c>
      <c r="V2990">
        <v>0.1921485</v>
      </c>
      <c r="W2990">
        <v>0.18801960000000001</v>
      </c>
      <c r="X2990">
        <v>0.96318610000000005</v>
      </c>
      <c r="Y2990">
        <v>0.39488060000000003</v>
      </c>
      <c r="Z2990">
        <v>-1.9922470000000001E-2</v>
      </c>
      <c r="AA2990">
        <v>0.91851649999999996</v>
      </c>
      <c r="AB2990">
        <v>25</v>
      </c>
      <c r="AC2990">
        <v>22.590999999999902</v>
      </c>
      <c r="AD2990">
        <v>1.7070080000000001</v>
      </c>
      <c r="AE2990">
        <v>-241.02126999999999</v>
      </c>
      <c r="AF2990">
        <v>95.672770822327394</v>
      </c>
      <c r="AG2990">
        <v>1.7070080000000001</v>
      </c>
      <c r="AH2990">
        <v>222.35669425183201</v>
      </c>
      <c r="AI2990">
        <v>89.595966081432195</v>
      </c>
      <c r="AJ2990">
        <v>66.719380656473604</v>
      </c>
      <c r="AK2990">
        <v>242.07166796578301</v>
      </c>
      <c r="AL2990">
        <v>79.162766512389098</v>
      </c>
      <c r="AM2990">
        <v>78.718023945139095</v>
      </c>
      <c r="AN2990">
        <v>0.99999993963480804</v>
      </c>
    </row>
    <row r="2991" spans="1:40" x14ac:dyDescent="0.25">
      <c r="A2991" t="str">
        <f>"20190304155429192"</f>
        <v>20190304155429192</v>
      </c>
      <c r="B2991" t="str">
        <f>"1551686069190408"</f>
        <v>1551686069190408</v>
      </c>
      <c r="C2991" t="s">
        <v>40</v>
      </c>
      <c r="D2991">
        <v>4.6407259999999999</v>
      </c>
      <c r="E2991">
        <v>0.57822719999999905</v>
      </c>
      <c r="F2991" t="s">
        <v>61</v>
      </c>
      <c r="G2991">
        <v>-167.8819</v>
      </c>
      <c r="H2991">
        <v>2.8465039999999999</v>
      </c>
      <c r="I2991">
        <v>-37.694769999999998</v>
      </c>
      <c r="J2991">
        <v>-189.3492</v>
      </c>
      <c r="K2991">
        <v>1.1048659999999999</v>
      </c>
      <c r="L2991">
        <v>203.10059999999999</v>
      </c>
      <c r="M2991">
        <v>0.47160800000000003</v>
      </c>
      <c r="N2991">
        <v>-1.472767E-2</v>
      </c>
      <c r="O2991">
        <v>-0.88168550000000001</v>
      </c>
      <c r="P2991">
        <v>0.29091539999999999</v>
      </c>
      <c r="Q2991">
        <v>0.17729779999999901</v>
      </c>
      <c r="R2991">
        <v>-0.94017759999999995</v>
      </c>
      <c r="S2991">
        <v>0.27793879999999999</v>
      </c>
      <c r="T2991">
        <v>2.2434229999999999E-2</v>
      </c>
      <c r="U2991">
        <v>-3.1043240000000001</v>
      </c>
      <c r="V2991">
        <v>0.1895443</v>
      </c>
      <c r="W2991">
        <v>0.18891169999999999</v>
      </c>
      <c r="X2991">
        <v>0.96352760000000004</v>
      </c>
      <c r="Y2991">
        <v>0.39114520000000003</v>
      </c>
      <c r="Z2991">
        <v>-2.0055880000000002E-2</v>
      </c>
      <c r="AA2991">
        <v>0.92011050000000005</v>
      </c>
      <c r="AB2991">
        <v>25</v>
      </c>
      <c r="AC2991">
        <v>21.467299999999899</v>
      </c>
      <c r="AD2991">
        <v>1.741638</v>
      </c>
      <c r="AE2991">
        <v>-240.79536999999999</v>
      </c>
      <c r="AF2991">
        <v>94.638953028474006</v>
      </c>
      <c r="AG2991">
        <v>1.741638</v>
      </c>
      <c r="AH2991">
        <v>222.44248159653</v>
      </c>
      <c r="AI2991">
        <v>89.587210775945195</v>
      </c>
      <c r="AJ2991">
        <v>66.952498700052999</v>
      </c>
      <c r="AK2991">
        <v>241.74412578606999</v>
      </c>
      <c r="AL2991">
        <v>79.1107215228852</v>
      </c>
      <c r="AM2991">
        <v>78.870931684351604</v>
      </c>
      <c r="AN2991">
        <v>1.00000005401056</v>
      </c>
    </row>
    <row r="2992" spans="1:40" x14ac:dyDescent="0.25">
      <c r="A2992" t="str">
        <f>"20190304155429214"</f>
        <v>20190304155429214</v>
      </c>
      <c r="B2992" t="str">
        <f>"1551686069209928"</f>
        <v>1551686069209928</v>
      </c>
      <c r="C2992" t="s">
        <v>40</v>
      </c>
      <c r="D2992">
        <v>4.6457110000000004</v>
      </c>
      <c r="E2992">
        <v>0.57723859999999905</v>
      </c>
      <c r="F2992" t="s">
        <v>61</v>
      </c>
      <c r="G2992">
        <v>-167.6995</v>
      </c>
      <c r="H2992">
        <v>2.3030680000000001</v>
      </c>
      <c r="I2992">
        <v>-37.694769999999998</v>
      </c>
      <c r="J2992">
        <v>-189.2432</v>
      </c>
      <c r="K2992">
        <v>1.105062</v>
      </c>
      <c r="L2992">
        <v>202.8828</v>
      </c>
      <c r="M2992">
        <v>0.46451589999999998</v>
      </c>
      <c r="N2992">
        <v>-1.467309E-2</v>
      </c>
      <c r="O2992">
        <v>-0.88544339999999999</v>
      </c>
      <c r="P2992">
        <v>0.285230599999999</v>
      </c>
      <c r="Q2992">
        <v>0.17818609999999999</v>
      </c>
      <c r="R2992">
        <v>-0.94175050000000005</v>
      </c>
      <c r="S2992">
        <v>0.2788696</v>
      </c>
      <c r="T2992">
        <v>1.5433789999999999E-2</v>
      </c>
      <c r="U2992">
        <v>-3.1016849999999998</v>
      </c>
      <c r="V2992">
        <v>0.18747340000000001</v>
      </c>
      <c r="W2992">
        <v>0.18986259999999999</v>
      </c>
      <c r="X2992">
        <v>0.96374579999999999</v>
      </c>
      <c r="Y2992">
        <v>0.38339109999999998</v>
      </c>
      <c r="Z2992">
        <v>-1.82814E-2</v>
      </c>
      <c r="AA2992">
        <v>0.92340520000000004</v>
      </c>
      <c r="AB2992">
        <v>25</v>
      </c>
      <c r="AC2992">
        <v>21.543700000000001</v>
      </c>
      <c r="AD2992">
        <v>1.1980059999999999</v>
      </c>
      <c r="AE2992">
        <v>-240.57757000000001</v>
      </c>
      <c r="AF2992">
        <v>92.684062074716095</v>
      </c>
      <c r="AG2992">
        <v>1.1980059999999999</v>
      </c>
      <c r="AH2992">
        <v>223.04370088233699</v>
      </c>
      <c r="AI2992">
        <v>89.715816267112501</v>
      </c>
      <c r="AJ2992">
        <v>67.435055275108198</v>
      </c>
      <c r="AK2992">
        <v>241.537291291294</v>
      </c>
      <c r="AL2992">
        <v>79.055234471813094</v>
      </c>
      <c r="AM2992">
        <v>78.991969007438897</v>
      </c>
      <c r="AN2992">
        <v>1.00000002480197</v>
      </c>
    </row>
    <row r="2993" spans="1:40" x14ac:dyDescent="0.25">
      <c r="A2993" t="str">
        <f>"20190304155429259"</f>
        <v>20190304155429259</v>
      </c>
      <c r="B2993" t="str">
        <f>"1551686069249947"</f>
        <v>1551686069249947</v>
      </c>
      <c r="C2993" t="s">
        <v>40</v>
      </c>
      <c r="D2993">
        <v>4.5890309999999896</v>
      </c>
      <c r="E2993">
        <v>0.57540380000000002</v>
      </c>
      <c r="F2993" t="s">
        <v>61</v>
      </c>
      <c r="G2993">
        <v>-168.45060000000001</v>
      </c>
      <c r="H2993">
        <v>2.0424630000000001</v>
      </c>
      <c r="I2993">
        <v>-38.351610000000001</v>
      </c>
      <c r="J2993">
        <v>-189.0291</v>
      </c>
      <c r="K2993">
        <v>1.105502</v>
      </c>
      <c r="L2993">
        <v>202.43119999999999</v>
      </c>
      <c r="M2993">
        <v>0.45049860000000003</v>
      </c>
      <c r="N2993">
        <v>-1.4564830000000001E-2</v>
      </c>
      <c r="O2993">
        <v>-0.89265849999999902</v>
      </c>
      <c r="P2993">
        <v>0.27444380000000002</v>
      </c>
      <c r="Q2993">
        <v>0.17945269999999999</v>
      </c>
      <c r="R2993">
        <v>-0.94471020000000006</v>
      </c>
      <c r="S2993">
        <v>0.26739499999999999</v>
      </c>
      <c r="T2993">
        <v>1.2054799999999999E-2</v>
      </c>
      <c r="U2993">
        <v>-3.1022949999999998</v>
      </c>
      <c r="V2993">
        <v>0.18298919999999999</v>
      </c>
      <c r="W2993">
        <v>0.1912847</v>
      </c>
      <c r="X2993">
        <v>0.96432629999999997</v>
      </c>
      <c r="Y2993">
        <v>0.37220310000000001</v>
      </c>
      <c r="Z2993">
        <v>-1.7388629999999999E-2</v>
      </c>
      <c r="AA2993">
        <v>0.92798840000000005</v>
      </c>
      <c r="AB2993">
        <v>24</v>
      </c>
      <c r="AC2993">
        <v>20.578499999999899</v>
      </c>
      <c r="AD2993">
        <v>0.93696100000000004</v>
      </c>
      <c r="AE2993">
        <v>-240.78281000000001</v>
      </c>
      <c r="AF2993">
        <v>90.110935291197606</v>
      </c>
      <c r="AG2993">
        <v>0.93696100000000004</v>
      </c>
      <c r="AH2993">
        <v>224.22778561643599</v>
      </c>
      <c r="AI2993">
        <v>89.777851858542803</v>
      </c>
      <c r="AJ2993">
        <v>68.106172049947602</v>
      </c>
      <c r="AK2993">
        <v>241.65876437121099</v>
      </c>
      <c r="AL2993">
        <v>78.972233223617195</v>
      </c>
      <c r="AM2993">
        <v>79.255383289082999</v>
      </c>
      <c r="AN2993">
        <v>1.0000000483211999</v>
      </c>
    </row>
    <row r="2994" spans="1:40" x14ac:dyDescent="0.25">
      <c r="A2994" t="str">
        <f>"20190304155429282"</f>
        <v>20190304155429282</v>
      </c>
      <c r="B2994" t="str">
        <f>"1551686069270440"</f>
        <v>1551686069270440</v>
      </c>
      <c r="C2994" t="s">
        <v>40</v>
      </c>
      <c r="D2994">
        <v>4.6029780000000002</v>
      </c>
      <c r="E2994">
        <v>0.55891469999999999</v>
      </c>
      <c r="F2994" t="s">
        <v>61</v>
      </c>
      <c r="G2994">
        <v>-167.69649999999999</v>
      </c>
      <c r="H2994">
        <v>1.8066329999999999</v>
      </c>
      <c r="I2994">
        <v>-65.389949999999999</v>
      </c>
      <c r="J2994">
        <v>-188.92750000000001</v>
      </c>
      <c r="K2994">
        <v>1.10571</v>
      </c>
      <c r="L2994">
        <v>202.2114</v>
      </c>
      <c r="M2994">
        <v>0.44400390000000001</v>
      </c>
      <c r="N2994">
        <v>-1.4516029999999999E-2</v>
      </c>
      <c r="O2994">
        <v>-0.89590759999999903</v>
      </c>
      <c r="P2994">
        <v>0.26923180000000002</v>
      </c>
      <c r="Q2994">
        <v>0.1787482</v>
      </c>
      <c r="R2994">
        <v>-0.94634249999999998</v>
      </c>
      <c r="S2994">
        <v>0.24710080000000001</v>
      </c>
      <c r="T2994">
        <v>8.1211330000000009E-3</v>
      </c>
      <c r="U2994">
        <v>-3.1022340000000002</v>
      </c>
      <c r="V2994">
        <v>0.1812522</v>
      </c>
      <c r="W2994">
        <v>0.1906496</v>
      </c>
      <c r="X2994">
        <v>0.96477999999999997</v>
      </c>
      <c r="Y2994">
        <v>0.37148490000000001</v>
      </c>
      <c r="Z2994">
        <v>-1.6362829999999998E-2</v>
      </c>
      <c r="AA2994">
        <v>0.92829479999999998</v>
      </c>
      <c r="AB2994">
        <v>24</v>
      </c>
      <c r="AC2994">
        <v>21.231000000000002</v>
      </c>
      <c r="AD2994">
        <v>0.70092299999999996</v>
      </c>
      <c r="AE2994">
        <v>-267.60135000000002</v>
      </c>
      <c r="AF2994">
        <v>99.804833920218101</v>
      </c>
      <c r="AG2994">
        <v>0.70092299999999996</v>
      </c>
      <c r="AH2994">
        <v>249.19721192847399</v>
      </c>
      <c r="AI2994">
        <v>89.850395706240505</v>
      </c>
      <c r="AJ2994">
        <v>68.173630720023098</v>
      </c>
      <c r="AK2994">
        <v>268.44132803988799</v>
      </c>
      <c r="AL2994">
        <v>79.009303905314098</v>
      </c>
      <c r="AM2994">
        <v>79.359925069378207</v>
      </c>
      <c r="AN2994">
        <v>1.0000000391924899</v>
      </c>
    </row>
    <row r="2995" spans="1:40" x14ac:dyDescent="0.25">
      <c r="A2995" t="str">
        <f>"20190304155429303"</f>
        <v>20190304155429303</v>
      </c>
      <c r="B2995" t="str">
        <f>"1551686069299720"</f>
        <v>1551686069299720</v>
      </c>
      <c r="C2995" t="s">
        <v>40</v>
      </c>
      <c r="D2995">
        <v>4.6191639999999996</v>
      </c>
      <c r="E2995">
        <v>0.55750809999999995</v>
      </c>
      <c r="F2995" t="s">
        <v>62</v>
      </c>
      <c r="G2995">
        <v>-182.6147</v>
      </c>
      <c r="H2995" s="1">
        <v>-1.0893170000000001E-5</v>
      </c>
      <c r="I2995">
        <v>147.7414</v>
      </c>
      <c r="J2995">
        <v>-188.82910000000001</v>
      </c>
      <c r="K2995">
        <v>1.105909</v>
      </c>
      <c r="L2995">
        <v>201.99510000000001</v>
      </c>
      <c r="M2995">
        <v>0.4378687</v>
      </c>
      <c r="N2995">
        <v>-1.447068E-2</v>
      </c>
      <c r="O2995">
        <v>-0.89892269999999896</v>
      </c>
      <c r="P2995">
        <v>0.26466469999999997</v>
      </c>
      <c r="Q2995">
        <v>0.177897</v>
      </c>
      <c r="R2995">
        <v>-0.94779000000000002</v>
      </c>
      <c r="S2995">
        <v>0.3569946</v>
      </c>
      <c r="T2995">
        <v>-6.2530039999999995E-2</v>
      </c>
      <c r="U2995">
        <v>-3.0803530000000001</v>
      </c>
      <c r="V2995">
        <v>0.17927319999999999</v>
      </c>
      <c r="W2995">
        <v>0.1898687</v>
      </c>
      <c r="X2995">
        <v>0.96530349999999998</v>
      </c>
      <c r="Y2995">
        <v>0.33141659999999901</v>
      </c>
      <c r="Z2995">
        <v>2.529945E-3</v>
      </c>
      <c r="AA2995">
        <v>0.94348109999999996</v>
      </c>
      <c r="AB2995">
        <v>24</v>
      </c>
      <c r="AC2995">
        <v>6.2144000000000101</v>
      </c>
      <c r="AD2995">
        <v>-1.1059198931700001</v>
      </c>
      <c r="AE2995">
        <v>-54.253700000000002</v>
      </c>
      <c r="AF2995">
        <v>18.164180943748701</v>
      </c>
      <c r="AG2995">
        <v>-1.1059198931700001</v>
      </c>
      <c r="AH2995">
        <v>51.475243060237602</v>
      </c>
      <c r="AI2995">
        <v>91.160660301870493</v>
      </c>
      <c r="AJ2995">
        <v>70.563480848844407</v>
      </c>
      <c r="AK2995">
        <v>54.597263450450498</v>
      </c>
      <c r="AL2995">
        <v>79.0548773897697</v>
      </c>
      <c r="AM2995">
        <v>79.479069376629397</v>
      </c>
      <c r="AN2995">
        <v>0.99999992529508697</v>
      </c>
    </row>
    <row r="2996" spans="1:40" x14ac:dyDescent="0.25">
      <c r="A2996" t="str">
        <f>"20190304155429326"</f>
        <v>20190304155429326</v>
      </c>
      <c r="B2996" t="str">
        <f>"1551686069320217"</f>
        <v>1551686069320217</v>
      </c>
      <c r="C2996" t="s">
        <v>40</v>
      </c>
      <c r="D2996">
        <v>4.6270910000000001</v>
      </c>
      <c r="E2996">
        <v>0.55577959999999904</v>
      </c>
      <c r="F2996" t="s">
        <v>62</v>
      </c>
      <c r="G2996">
        <v>-182.6259</v>
      </c>
      <c r="H2996" s="1">
        <v>-1.09360199999999E-5</v>
      </c>
      <c r="I2996">
        <v>147.90190000000001</v>
      </c>
      <c r="J2996">
        <v>-188.7251</v>
      </c>
      <c r="K2996">
        <v>1.1060970000000001</v>
      </c>
      <c r="L2996">
        <v>201.7627</v>
      </c>
      <c r="M2996">
        <v>0.43151919999999999</v>
      </c>
      <c r="N2996">
        <v>-1.442418E-2</v>
      </c>
      <c r="O2996">
        <v>-0.90198860000000003</v>
      </c>
      <c r="P2996">
        <v>0.25842080000000001</v>
      </c>
      <c r="Q2996">
        <v>0.1777648</v>
      </c>
      <c r="R2996">
        <v>-0.94953600000000005</v>
      </c>
      <c r="S2996">
        <v>0.35302729999999999</v>
      </c>
      <c r="T2996">
        <v>-6.2938569999999999E-2</v>
      </c>
      <c r="U2996">
        <v>-3.0784760000000002</v>
      </c>
      <c r="V2996">
        <v>0.17874079999999901</v>
      </c>
      <c r="W2996">
        <v>0.1897798</v>
      </c>
      <c r="X2996">
        <v>0.96541980000000005</v>
      </c>
      <c r="Y2996">
        <v>0.32589390000000001</v>
      </c>
      <c r="Z2996">
        <v>2.7970349999999998E-3</v>
      </c>
      <c r="AA2996">
        <v>0.94540219999999997</v>
      </c>
      <c r="AB2996">
        <v>24</v>
      </c>
      <c r="AC2996">
        <v>6.09919999999999</v>
      </c>
      <c r="AD2996">
        <v>-1.1061079360199999</v>
      </c>
      <c r="AE2996">
        <v>-53.860799999999898</v>
      </c>
      <c r="AF2996">
        <v>17.735018559334598</v>
      </c>
      <c r="AG2996">
        <v>-1.1061079360199999</v>
      </c>
      <c r="AH2996">
        <v>51.197751044181302</v>
      </c>
      <c r="AI2996">
        <v>91.169502033965202</v>
      </c>
      <c r="AJ2996">
        <v>70.893796978217097</v>
      </c>
      <c r="AK2996">
        <v>54.193764125109801</v>
      </c>
      <c r="AL2996">
        <v>79.060066339688305</v>
      </c>
      <c r="AM2996">
        <v>79.510855194581595</v>
      </c>
      <c r="AN2996">
        <v>1.0000000181523501</v>
      </c>
    </row>
    <row r="2997" spans="1:40" x14ac:dyDescent="0.25">
      <c r="A2997" t="str">
        <f>"20190304155429350"</f>
        <v>20190304155429350</v>
      </c>
      <c r="B2997" t="str">
        <f>"1551686069339745"</f>
        <v>1551686069339745</v>
      </c>
      <c r="C2997" t="s">
        <v>40</v>
      </c>
      <c r="D2997">
        <v>4.7871480000000002</v>
      </c>
      <c r="E2997">
        <v>0.55575450000000004</v>
      </c>
      <c r="F2997" t="s">
        <v>62</v>
      </c>
      <c r="G2997">
        <v>-182.92869999999999</v>
      </c>
      <c r="H2997" s="1">
        <v>-1.153393E-5</v>
      </c>
      <c r="I2997">
        <v>150.34209999999999</v>
      </c>
      <c r="J2997">
        <v>-188.61859999999999</v>
      </c>
      <c r="K2997">
        <v>1.1062650000000001</v>
      </c>
      <c r="L2997">
        <v>201.52080000000001</v>
      </c>
      <c r="M2997">
        <v>0.42514760000000001</v>
      </c>
      <c r="N2997">
        <v>-1.4378480000000001E-2</v>
      </c>
      <c r="O2997">
        <v>-0.90500979999999998</v>
      </c>
      <c r="P2997">
        <v>0.2523454</v>
      </c>
      <c r="Q2997">
        <v>0.1774269</v>
      </c>
      <c r="R2997">
        <v>-0.95123139999999995</v>
      </c>
      <c r="S2997">
        <v>0.34690860000000001</v>
      </c>
      <c r="T2997">
        <v>-6.619883E-2</v>
      </c>
      <c r="U2997">
        <v>-3.0774379999999999</v>
      </c>
      <c r="V2997">
        <v>0.1780436</v>
      </c>
      <c r="W2997">
        <v>0.1894834</v>
      </c>
      <c r="X2997">
        <v>0.96560679999999999</v>
      </c>
      <c r="Y2997">
        <v>0.32104149999999998</v>
      </c>
      <c r="Z2997">
        <v>3.8234739999999999E-3</v>
      </c>
      <c r="AA2997">
        <v>0.94705740000000005</v>
      </c>
      <c r="AB2997">
        <v>24</v>
      </c>
      <c r="AC2997">
        <v>5.68989999999999</v>
      </c>
      <c r="AD2997">
        <v>-1.10627653393</v>
      </c>
      <c r="AE2997">
        <v>-51.178699999999999</v>
      </c>
      <c r="AF2997">
        <v>16.603140604228699</v>
      </c>
      <c r="AG2997">
        <v>-1.10627653393</v>
      </c>
      <c r="AH2997">
        <v>48.718826091936002</v>
      </c>
      <c r="AI2997">
        <v>91.231297663471096</v>
      </c>
      <c r="AJ2997">
        <v>71.181137788609007</v>
      </c>
      <c r="AK2997">
        <v>51.482153621129903</v>
      </c>
      <c r="AL2997">
        <v>79.077362303292901</v>
      </c>
      <c r="AM2997">
        <v>79.552845516927107</v>
      </c>
      <c r="AN2997">
        <v>0.99999998729137995</v>
      </c>
    </row>
    <row r="2998" spans="1:40" x14ac:dyDescent="0.25">
      <c r="A2998" t="str">
        <f>"20190304155429370"</f>
        <v>20190304155429370</v>
      </c>
      <c r="B2998" t="str">
        <f>"1551686069360232"</f>
        <v>1551686069360232</v>
      </c>
      <c r="C2998" t="s">
        <v>40</v>
      </c>
      <c r="D2998">
        <v>4.7970870000000003</v>
      </c>
      <c r="E2998">
        <v>0.55593340000000002</v>
      </c>
      <c r="F2998" t="s">
        <v>62</v>
      </c>
      <c r="G2998">
        <v>-183.3477</v>
      </c>
      <c r="H2998" s="1">
        <v>-1.18633199999999E-5</v>
      </c>
      <c r="I2998">
        <v>152.042</v>
      </c>
      <c r="J2998">
        <v>-188.52930000000001</v>
      </c>
      <c r="K2998">
        <v>1.106406</v>
      </c>
      <c r="L2998">
        <v>201.31489999999999</v>
      </c>
      <c r="M2998">
        <v>0.41990630000000001</v>
      </c>
      <c r="N2998">
        <v>-1.434181E-2</v>
      </c>
      <c r="O2998">
        <v>-0.90745450000000005</v>
      </c>
      <c r="P2998">
        <v>0.247277</v>
      </c>
      <c r="Q2998">
        <v>0.17691370000000001</v>
      </c>
      <c r="R2998">
        <v>-0.95265750000000005</v>
      </c>
      <c r="S2998">
        <v>0.32806400000000002</v>
      </c>
      <c r="T2998">
        <v>-6.8856000000000001E-2</v>
      </c>
      <c r="U2998">
        <v>-3.0796199999999998</v>
      </c>
      <c r="V2998">
        <v>0.177568</v>
      </c>
      <c r="W2998">
        <v>0.189003</v>
      </c>
      <c r="X2998">
        <v>0.96578850000000005</v>
      </c>
      <c r="Y2998">
        <v>0.32136320000000002</v>
      </c>
      <c r="Z2998">
        <v>4.6228770000000001E-3</v>
      </c>
      <c r="AA2998">
        <v>0.94694469999999997</v>
      </c>
      <c r="AB2998">
        <v>24</v>
      </c>
      <c r="AC2998">
        <v>5.1816000000000004</v>
      </c>
      <c r="AD2998">
        <v>-1.1064178633199999</v>
      </c>
      <c r="AE2998">
        <v>-49.2728999999999</v>
      </c>
      <c r="AF2998">
        <v>15.981604003144501</v>
      </c>
      <c r="AG2998">
        <v>-1.1064178633199999</v>
      </c>
      <c r="AH2998">
        <v>46.870134368871597</v>
      </c>
      <c r="AI2998">
        <v>91.279940383279893</v>
      </c>
      <c r="AJ2998">
        <v>71.171841283459003</v>
      </c>
      <c r="AK2998">
        <v>49.532265471686998</v>
      </c>
      <c r="AL2998">
        <v>79.105393611181398</v>
      </c>
      <c r="AM2998">
        <v>79.582057915062805</v>
      </c>
      <c r="AN2998">
        <v>0.99999997768262405</v>
      </c>
    </row>
    <row r="2999" spans="1:40" x14ac:dyDescent="0.25">
      <c r="A2999" t="str">
        <f>"20190304155429393"</f>
        <v>20190304155429393</v>
      </c>
      <c r="B2999" t="str">
        <f>"1551686069390487"</f>
        <v>1551686069390487</v>
      </c>
      <c r="C2999" t="s">
        <v>40</v>
      </c>
      <c r="D2999">
        <v>4.7135699999999998</v>
      </c>
      <c r="E2999">
        <v>0.56696689999999905</v>
      </c>
      <c r="F2999" t="s">
        <v>62</v>
      </c>
      <c r="G2999">
        <v>-182.65209999999999</v>
      </c>
      <c r="H2999" s="1">
        <v>-9.6145200000000006E-6</v>
      </c>
      <c r="I2999">
        <v>143.08449999999999</v>
      </c>
      <c r="J2999">
        <v>-188.4325</v>
      </c>
      <c r="K2999">
        <v>1.106554</v>
      </c>
      <c r="L2999">
        <v>201.08879999999999</v>
      </c>
      <c r="M2999">
        <v>0.414331</v>
      </c>
      <c r="N2999">
        <v>-1.430389E-2</v>
      </c>
      <c r="O2999">
        <v>-0.91001390000000004</v>
      </c>
      <c r="P2999">
        <v>0.2408257</v>
      </c>
      <c r="Q2999">
        <v>0.17627770000000001</v>
      </c>
      <c r="R2999">
        <v>-0.95442610000000005</v>
      </c>
      <c r="S2999">
        <v>0.31079099999999998</v>
      </c>
      <c r="T2999">
        <v>-5.8508400000000002E-2</v>
      </c>
      <c r="U2999">
        <v>-3.079285</v>
      </c>
      <c r="V2999">
        <v>0.1781517</v>
      </c>
      <c r="W2999">
        <v>0.18838859999999999</v>
      </c>
      <c r="X2999">
        <v>0.96580109999999997</v>
      </c>
      <c r="Y2999">
        <v>0.32080599999999998</v>
      </c>
      <c r="Z2999">
        <v>1.9176880000000001E-3</v>
      </c>
      <c r="AA2999">
        <v>0.94714299999999996</v>
      </c>
      <c r="AB2999">
        <v>24</v>
      </c>
      <c r="AC2999">
        <v>5.78040000000001</v>
      </c>
      <c r="AD2999">
        <v>-1.10656361452</v>
      </c>
      <c r="AE2999">
        <v>-58.004300000000001</v>
      </c>
      <c r="AF2999">
        <v>18.7678920488116</v>
      </c>
      <c r="AG2999">
        <v>-1.10656361452</v>
      </c>
      <c r="AH2999">
        <v>55.165482212783999</v>
      </c>
      <c r="AI2999">
        <v>91.087920706899993</v>
      </c>
      <c r="AJ2999">
        <v>71.211141789388506</v>
      </c>
      <c r="AK2999">
        <v>58.281117720560403</v>
      </c>
      <c r="AL2999">
        <v>79.141240662418099</v>
      </c>
      <c r="AM2999">
        <v>79.548698924866102</v>
      </c>
      <c r="AN2999">
        <v>1.0000000287920201</v>
      </c>
    </row>
    <row r="3000" spans="1:40" x14ac:dyDescent="0.25">
      <c r="A3000" t="str">
        <f>"20190304155429414"</f>
        <v>20190304155429414</v>
      </c>
      <c r="B3000" t="str">
        <f>"1551686069410008"</f>
        <v>1551686069410008</v>
      </c>
      <c r="C3000" t="s">
        <v>40</v>
      </c>
      <c r="D3000">
        <v>4.7893589999999904</v>
      </c>
      <c r="E3000">
        <v>0.57216020000000001</v>
      </c>
      <c r="F3000" t="s">
        <v>46</v>
      </c>
      <c r="G3000">
        <v>-182.01509999999999</v>
      </c>
      <c r="H3000" s="1">
        <v>-3.6640139999999999E-6</v>
      </c>
      <c r="I3000">
        <v>104.1718</v>
      </c>
      <c r="J3000">
        <v>-188.3425</v>
      </c>
      <c r="K3000">
        <v>1.106689</v>
      </c>
      <c r="L3000">
        <v>200.87540000000001</v>
      </c>
      <c r="M3000">
        <v>0.40921829999999998</v>
      </c>
      <c r="N3000">
        <v>-1.427079E-2</v>
      </c>
      <c r="O3000">
        <v>-0.91232500000000005</v>
      </c>
      <c r="P3000">
        <v>0.23494370000000001</v>
      </c>
      <c r="Q3000">
        <v>0.17553279999999999</v>
      </c>
      <c r="R3000">
        <v>-0.95602819999999999</v>
      </c>
      <c r="S3000">
        <v>0.20513919999999999</v>
      </c>
      <c r="T3000">
        <v>-3.5372260000000003E-2</v>
      </c>
      <c r="U3000">
        <v>-3.0980530000000002</v>
      </c>
      <c r="V3000">
        <v>0.17867</v>
      </c>
      <c r="W3000">
        <v>0.18766369999999999</v>
      </c>
      <c r="X3000">
        <v>0.96584650000000005</v>
      </c>
      <c r="Y3000">
        <v>0.348016099999999</v>
      </c>
      <c r="Z3000">
        <v>-4.5136009999999999E-3</v>
      </c>
      <c r="AA3000">
        <v>0.93747760000000002</v>
      </c>
      <c r="AB3000">
        <v>24</v>
      </c>
      <c r="AC3000">
        <v>6.3274000000000097</v>
      </c>
      <c r="AD3000">
        <v>-1.106692664014</v>
      </c>
      <c r="AE3000">
        <v>-96.703599999999994</v>
      </c>
      <c r="AF3000">
        <v>33.799269118055598</v>
      </c>
      <c r="AG3000">
        <v>-1.106692664014</v>
      </c>
      <c r="AH3000">
        <v>90.811797650887996</v>
      </c>
      <c r="AI3000">
        <v>90.654360545665895</v>
      </c>
      <c r="AJ3000">
        <v>69.585222208793894</v>
      </c>
      <c r="AK3000">
        <v>96.904065725609101</v>
      </c>
      <c r="AL3000">
        <v>79.183528823334001</v>
      </c>
      <c r="AM3000">
        <v>79.519447361907993</v>
      </c>
      <c r="AN3000">
        <v>1.00000004737996</v>
      </c>
    </row>
    <row r="3001" spans="1:40" x14ac:dyDescent="0.25">
      <c r="A3001" t="str">
        <f>"20190304155429440"</f>
        <v>20190304155429440</v>
      </c>
      <c r="B3001" t="str">
        <f>"1551686069430503"</f>
        <v>1551686069430503</v>
      </c>
      <c r="C3001" t="s">
        <v>40</v>
      </c>
      <c r="D3001">
        <v>4.5927699999999998</v>
      </c>
      <c r="E3001">
        <v>0.57682849999999997</v>
      </c>
      <c r="F3001" t="s">
        <v>46</v>
      </c>
      <c r="G3001">
        <v>-182.5523</v>
      </c>
      <c r="H3001" s="1">
        <v>-4.672639E-6</v>
      </c>
      <c r="I3001">
        <v>77.445279999999997</v>
      </c>
      <c r="J3001">
        <v>-188.23929999999999</v>
      </c>
      <c r="K3001">
        <v>1.1068199999999999</v>
      </c>
      <c r="L3001">
        <v>200.62719999999999</v>
      </c>
      <c r="M3001">
        <v>0.4034044</v>
      </c>
      <c r="N3001">
        <v>-1.4236270000000001E-2</v>
      </c>
      <c r="O3001">
        <v>-0.91491109999999998</v>
      </c>
      <c r="P3001">
        <v>0.228351</v>
      </c>
      <c r="Q3001">
        <v>0.17470060000000001</v>
      </c>
      <c r="R3001">
        <v>-0.95777639999999997</v>
      </c>
      <c r="S3001">
        <v>0.14576720000000001</v>
      </c>
      <c r="T3001">
        <v>-2.786052E-2</v>
      </c>
      <c r="U3001">
        <v>-3.1073</v>
      </c>
      <c r="V3001">
        <v>0.17917529999999901</v>
      </c>
      <c r="W3001">
        <v>0.1868486</v>
      </c>
      <c r="X3001">
        <v>0.96591090000000002</v>
      </c>
      <c r="Y3001">
        <v>0.36006519999999997</v>
      </c>
      <c r="Z3001">
        <v>-6.5749320000000003E-3</v>
      </c>
      <c r="AA3001">
        <v>0.93290390000000001</v>
      </c>
      <c r="AB3001">
        <v>24</v>
      </c>
      <c r="AC3001">
        <v>5.6869999999999798</v>
      </c>
      <c r="AD3001">
        <v>-1.1068246726389901</v>
      </c>
      <c r="AE3001">
        <v>-123.181919999999</v>
      </c>
      <c r="AF3001">
        <v>44.489951567922901</v>
      </c>
      <c r="AG3001">
        <v>-1.1068246726389901</v>
      </c>
      <c r="AH3001">
        <v>114.99705112615899</v>
      </c>
      <c r="AI3001">
        <v>90.514298756816402</v>
      </c>
      <c r="AJ3001">
        <v>68.849589270289897</v>
      </c>
      <c r="AK3001">
        <v>123.308161202268</v>
      </c>
      <c r="AL3001">
        <v>79.231071369716901</v>
      </c>
      <c r="AM3001">
        <v>79.4911516783243</v>
      </c>
      <c r="AN3001">
        <v>1.0000000270954199</v>
      </c>
    </row>
    <row r="3002" spans="1:40" x14ac:dyDescent="0.25">
      <c r="A3002" t="str">
        <f>"20190304155429464"</f>
        <v>20190304155429464</v>
      </c>
      <c r="B3002" t="str">
        <f>"1551686069459783"</f>
        <v>1551686069459783</v>
      </c>
      <c r="C3002" t="s">
        <v>40</v>
      </c>
      <c r="D3002">
        <v>4.6423620000000003</v>
      </c>
      <c r="E3002">
        <v>0.58096199999999998</v>
      </c>
      <c r="F3002" t="s">
        <v>46</v>
      </c>
      <c r="G3002">
        <v>-184.35489999999999</v>
      </c>
      <c r="H3002" s="1">
        <v>-3.021292E-6</v>
      </c>
      <c r="I3002">
        <v>64.112549999999999</v>
      </c>
      <c r="J3002">
        <v>-188.14</v>
      </c>
      <c r="K3002">
        <v>1.1069089999999999</v>
      </c>
      <c r="L3002">
        <v>200.3844</v>
      </c>
      <c r="M3002">
        <v>0.39781420000000001</v>
      </c>
      <c r="N3002">
        <v>-1.4207289999999999E-2</v>
      </c>
      <c r="O3002">
        <v>-0.91735610000000001</v>
      </c>
      <c r="P3002">
        <v>0.22225719999999999</v>
      </c>
      <c r="Q3002">
        <v>0.17566619999999999</v>
      </c>
      <c r="R3002">
        <v>-0.95903260000000001</v>
      </c>
      <c r="S3002">
        <v>8.8653560000000006E-2</v>
      </c>
      <c r="T3002">
        <v>-2.5261160000000001E-2</v>
      </c>
      <c r="U3002">
        <v>-3.1156920000000001</v>
      </c>
      <c r="V3002">
        <v>0.17932439999999999</v>
      </c>
      <c r="W3002">
        <v>0.18781629999999999</v>
      </c>
      <c r="X3002">
        <v>0.96569550000000004</v>
      </c>
      <c r="Y3002">
        <v>0.37153940000000002</v>
      </c>
      <c r="Z3002">
        <v>-7.309978E-3</v>
      </c>
      <c r="AA3002">
        <v>0.9283884</v>
      </c>
      <c r="AB3002">
        <v>24</v>
      </c>
      <c r="AC3002">
        <v>3.7850999999999999</v>
      </c>
      <c r="AD3002">
        <v>-1.1069120212919901</v>
      </c>
      <c r="AE3002">
        <v>-136.27185</v>
      </c>
      <c r="AF3002">
        <v>50.740363579063398</v>
      </c>
      <c r="AG3002">
        <v>-1.1069120212919901</v>
      </c>
      <c r="AH3002">
        <v>126.519995740478</v>
      </c>
      <c r="AI3002">
        <v>90.465244453306099</v>
      </c>
      <c r="AJ3002">
        <v>68.146934272397999</v>
      </c>
      <c r="AK3002">
        <v>136.319914438533</v>
      </c>
      <c r="AL3002">
        <v>79.174626696227705</v>
      </c>
      <c r="AM3002">
        <v>79.480308264830398</v>
      </c>
      <c r="AN3002">
        <v>1.00000000085065</v>
      </c>
    </row>
    <row r="3003" spans="1:40" x14ac:dyDescent="0.25">
      <c r="A3003" t="str">
        <f>"20190304155429483"</f>
        <v>20190304155429483</v>
      </c>
      <c r="B3003" t="str">
        <f>"1551686069480281"</f>
        <v>1551686069480281</v>
      </c>
      <c r="C3003" t="s">
        <v>40</v>
      </c>
      <c r="D3003">
        <v>4.6617360000000003</v>
      </c>
      <c r="E3003">
        <v>0.58312140000000001</v>
      </c>
      <c r="F3003" t="s">
        <v>74</v>
      </c>
      <c r="G3003">
        <v>-184.92670000000001</v>
      </c>
      <c r="H3003">
        <v>1.436755E-2</v>
      </c>
      <c r="I3003">
        <v>-70.38355</v>
      </c>
      <c r="J3003">
        <v>-188.05869999999999</v>
      </c>
      <c r="K3003">
        <v>1.1069530000000001</v>
      </c>
      <c r="L3003">
        <v>200.18260000000001</v>
      </c>
      <c r="M3003">
        <v>0.39320719999999998</v>
      </c>
      <c r="N3003">
        <v>-1.4187200000000001E-2</v>
      </c>
      <c r="O3003">
        <v>-0.9193405</v>
      </c>
      <c r="P3003">
        <v>0.21807950000000001</v>
      </c>
      <c r="Q3003">
        <v>0.1776356</v>
      </c>
      <c r="R3003">
        <v>-0.9596285</v>
      </c>
      <c r="S3003">
        <v>3.7048339999999999E-2</v>
      </c>
      <c r="T3003">
        <v>-1.2596609999999999E-2</v>
      </c>
      <c r="U3003">
        <v>-3.1218569999999999</v>
      </c>
      <c r="V3003">
        <v>0.1785427</v>
      </c>
      <c r="W3003">
        <v>0.18978400000000001</v>
      </c>
      <c r="X3003">
        <v>0.96545559999999997</v>
      </c>
      <c r="Y3003">
        <v>0.38225930000000002</v>
      </c>
      <c r="Z3003">
        <v>-1.075862E-2</v>
      </c>
      <c r="AA3003">
        <v>0.92399249999999999</v>
      </c>
      <c r="AB3003">
        <v>24</v>
      </c>
      <c r="AC3003">
        <v>3.1319999999999699</v>
      </c>
      <c r="AD3003">
        <v>-1.0925854500000001</v>
      </c>
      <c r="AE3003">
        <v>-270.56614999999999</v>
      </c>
      <c r="AF3003">
        <v>103.51790765029401</v>
      </c>
      <c r="AG3003">
        <v>-1.0925854500000001</v>
      </c>
      <c r="AH3003">
        <v>249.99501258622101</v>
      </c>
      <c r="AI3003">
        <v>90.231355702450699</v>
      </c>
      <c r="AJ3003">
        <v>67.506537491127503</v>
      </c>
      <c r="AK3003">
        <v>270.58207121915001</v>
      </c>
      <c r="AL3003">
        <v>79.059820919961695</v>
      </c>
      <c r="AM3003">
        <v>79.522602737454704</v>
      </c>
      <c r="AN3003">
        <v>0.99999998897532405</v>
      </c>
    </row>
    <row r="3004" spans="1:40" x14ac:dyDescent="0.25">
      <c r="A3004" t="str">
        <f>"20190304155429504"</f>
        <v>20190304155429504</v>
      </c>
      <c r="B3004" t="str">
        <f>"1551686069499800"</f>
        <v>1551686069499800</v>
      </c>
      <c r="C3004" t="s">
        <v>40</v>
      </c>
      <c r="D3004">
        <v>4.6345640000000001</v>
      </c>
      <c r="E3004">
        <v>0.58495710000000001</v>
      </c>
      <c r="F3004" t="s">
        <v>52</v>
      </c>
      <c r="G3004">
        <v>-187.417</v>
      </c>
      <c r="H3004">
        <v>1.0624209999999901</v>
      </c>
      <c r="I3004">
        <v>-81.815510000000003</v>
      </c>
      <c r="J3004">
        <v>-187.97319999999999</v>
      </c>
      <c r="K3004">
        <v>1.106967</v>
      </c>
      <c r="L3004">
        <v>199.96690000000001</v>
      </c>
      <c r="M3004">
        <v>0.38829029999999998</v>
      </c>
      <c r="N3004">
        <v>-1.4169599999999999E-2</v>
      </c>
      <c r="O3004">
        <v>-0.92142820000000003</v>
      </c>
      <c r="P3004">
        <v>0.21472579999999999</v>
      </c>
      <c r="Q3004">
        <v>0.17936350000000001</v>
      </c>
      <c r="R3004">
        <v>-0.96006349999999996</v>
      </c>
      <c r="S3004">
        <v>7.1105959999999899E-3</v>
      </c>
      <c r="T3004">
        <v>-4.9340720000000003E-4</v>
      </c>
      <c r="U3004">
        <v>-3.1246800000000001</v>
      </c>
      <c r="V3004">
        <v>0.176640299999999</v>
      </c>
      <c r="W3004">
        <v>0.19151499999999999</v>
      </c>
      <c r="X3004">
        <v>0.96546379999999998</v>
      </c>
      <c r="Y3004">
        <v>0.38619219999999999</v>
      </c>
      <c r="Z3004">
        <v>-1.40299E-2</v>
      </c>
      <c r="AA3004">
        <v>0.92231160000000001</v>
      </c>
      <c r="AB3004">
        <v>24</v>
      </c>
      <c r="AC3004">
        <v>0.55619999999998904</v>
      </c>
      <c r="AD3004">
        <v>-4.4546000000000197E-2</v>
      </c>
      <c r="AE3004">
        <v>-281.78241000000003</v>
      </c>
      <c r="AF3004">
        <v>108.911806101604</v>
      </c>
      <c r="AG3004">
        <v>-4.4546000000000197E-2</v>
      </c>
      <c r="AH3004">
        <v>259.88430207852599</v>
      </c>
      <c r="AI3004">
        <v>90.009057672778994</v>
      </c>
      <c r="AJ3004">
        <v>67.262512089109094</v>
      </c>
      <c r="AK3004">
        <v>281.78295540983697</v>
      </c>
      <c r="AL3004">
        <v>78.958789701832799</v>
      </c>
      <c r="AM3004">
        <v>79.631893346865397</v>
      </c>
      <c r="AN3004">
        <v>1.00000006995976</v>
      </c>
    </row>
    <row r="3005" spans="1:40" x14ac:dyDescent="0.25">
      <c r="A3005" t="str">
        <f>"20190304155429529"</f>
        <v>20190304155429529</v>
      </c>
      <c r="B3005" t="str">
        <f>"1551686069520296"</f>
        <v>1551686069520296</v>
      </c>
      <c r="C3005" t="s">
        <v>40</v>
      </c>
      <c r="D3005">
        <v>4.656129</v>
      </c>
      <c r="E3005">
        <v>0.58621140000000005</v>
      </c>
      <c r="F3005" t="s">
        <v>52</v>
      </c>
      <c r="G3005">
        <v>-189.6576</v>
      </c>
      <c r="H3005">
        <v>2.085477</v>
      </c>
      <c r="I3005">
        <v>-81.815860000000001</v>
      </c>
      <c r="J3005">
        <v>-187.88079999999999</v>
      </c>
      <c r="K3005">
        <v>1.1069560000000001</v>
      </c>
      <c r="L3005">
        <v>199.73009999999999</v>
      </c>
      <c r="M3005">
        <v>0.38286039999999999</v>
      </c>
      <c r="N3005">
        <v>-1.415401E-2</v>
      </c>
      <c r="O3005">
        <v>-0.92369809999999997</v>
      </c>
      <c r="P3005">
        <v>0.21081739999999999</v>
      </c>
      <c r="Q3005">
        <v>0.18082019999999999</v>
      </c>
      <c r="R3005">
        <v>-0.96065619999999996</v>
      </c>
      <c r="S3005">
        <v>-1.869202E-2</v>
      </c>
      <c r="T3005">
        <v>1.085854E-2</v>
      </c>
      <c r="U3005">
        <v>-3.126938</v>
      </c>
      <c r="V3005">
        <v>0.17479900000000001</v>
      </c>
      <c r="W3005">
        <v>0.19296469999999999</v>
      </c>
      <c r="X3005">
        <v>0.96551019999999999</v>
      </c>
      <c r="Y3005">
        <v>0.3883839</v>
      </c>
      <c r="Z3005">
        <v>-1.7109570000000001E-2</v>
      </c>
      <c r="AA3005">
        <v>0.92133880000000001</v>
      </c>
      <c r="AB3005">
        <v>24</v>
      </c>
      <c r="AC3005">
        <v>-1.7767999999999999</v>
      </c>
      <c r="AD3005">
        <v>0.97852099999999897</v>
      </c>
      <c r="AE3005">
        <v>-281.54595999999998</v>
      </c>
      <c r="AF3005">
        <v>109.443634192891</v>
      </c>
      <c r="AG3005">
        <v>0.97852099999999897</v>
      </c>
      <c r="AH3005">
        <v>259.40597636372001</v>
      </c>
      <c r="AI3005">
        <v>89.800869248862497</v>
      </c>
      <c r="AJ3005">
        <v>67.125071450492399</v>
      </c>
      <c r="AK3005">
        <v>281.54986617277899</v>
      </c>
      <c r="AL3005">
        <v>78.874148572673903</v>
      </c>
      <c r="AM3005">
        <v>79.738144903539094</v>
      </c>
      <c r="AN3005">
        <v>1.0000000060755601</v>
      </c>
    </row>
    <row r="3006" spans="1:40" x14ac:dyDescent="0.25">
      <c r="A3006" t="str">
        <f>"20190304155429550"</f>
        <v>20190304155429550</v>
      </c>
      <c r="B3006" t="str">
        <f>"1551686069539815"</f>
        <v>1551686069539815</v>
      </c>
      <c r="C3006" t="s">
        <v>40</v>
      </c>
      <c r="D3006">
        <v>4.6975980000000002</v>
      </c>
      <c r="E3006">
        <v>0.58761759999999996</v>
      </c>
      <c r="F3006" t="s">
        <v>52</v>
      </c>
      <c r="G3006">
        <v>-191.5804</v>
      </c>
      <c r="H3006">
        <v>2.8257059999999998</v>
      </c>
      <c r="I3006">
        <v>-81.816100000000006</v>
      </c>
      <c r="J3006">
        <v>-187.79490000000001</v>
      </c>
      <c r="K3006">
        <v>1.106916</v>
      </c>
      <c r="L3006">
        <v>199.50620000000001</v>
      </c>
      <c r="M3006">
        <v>0.37766</v>
      </c>
      <c r="N3006">
        <v>-1.414258E-2</v>
      </c>
      <c r="O3006">
        <v>-0.9258364</v>
      </c>
      <c r="P3006">
        <v>0.2067843</v>
      </c>
      <c r="Q3006">
        <v>0.18148619999999999</v>
      </c>
      <c r="R3006">
        <v>-0.96140700000000001</v>
      </c>
      <c r="S3006">
        <v>-4.110718E-2</v>
      </c>
      <c r="T3006">
        <v>1.909721E-2</v>
      </c>
      <c r="U3006">
        <v>-3.1282809999999999</v>
      </c>
      <c r="V3006">
        <v>0.1733941</v>
      </c>
      <c r="W3006">
        <v>0.19361729999999999</v>
      </c>
      <c r="X3006">
        <v>0.96563290000000002</v>
      </c>
      <c r="Y3006">
        <v>0.38980700000000001</v>
      </c>
      <c r="Z3006">
        <v>-1.9362339999999999E-2</v>
      </c>
      <c r="AA3006">
        <v>0.92069299999999998</v>
      </c>
      <c r="AB3006">
        <v>24</v>
      </c>
      <c r="AC3006">
        <v>-3.7854999999999799</v>
      </c>
      <c r="AD3006">
        <v>1.71879</v>
      </c>
      <c r="AE3006">
        <v>-281.32229999999998</v>
      </c>
      <c r="AF3006">
        <v>109.75580748096699</v>
      </c>
      <c r="AG3006">
        <v>1.71879</v>
      </c>
      <c r="AH3006">
        <v>259.04501744748097</v>
      </c>
      <c r="AI3006">
        <v>89.649963944026197</v>
      </c>
      <c r="AJ3006">
        <v>67.037920286822498</v>
      </c>
      <c r="AK3006">
        <v>281.34251825706798</v>
      </c>
      <c r="AL3006">
        <v>78.836038978362396</v>
      </c>
      <c r="AM3006">
        <v>79.820156464369305</v>
      </c>
      <c r="AN3006">
        <v>1.0000000351682501</v>
      </c>
    </row>
    <row r="3007" spans="1:40" x14ac:dyDescent="0.25">
      <c r="A3007" t="str">
        <f>"20190304155429572"</f>
        <v>20190304155429572</v>
      </c>
      <c r="B3007" t="str">
        <f>"1551686069570072"</f>
        <v>1551686069570072</v>
      </c>
      <c r="C3007" t="s">
        <v>40</v>
      </c>
      <c r="D3007">
        <v>4.6440599999999996</v>
      </c>
      <c r="E3007">
        <v>0.58900209999999997</v>
      </c>
      <c r="F3007" t="s">
        <v>52</v>
      </c>
      <c r="G3007">
        <v>-193.60640000000001</v>
      </c>
      <c r="H3007">
        <v>3.3341910000000001</v>
      </c>
      <c r="I3007">
        <v>-81.816269999999903</v>
      </c>
      <c r="J3007">
        <v>-187.71</v>
      </c>
      <c r="K3007">
        <v>1.106854</v>
      </c>
      <c r="L3007">
        <v>199.28059999999999</v>
      </c>
      <c r="M3007">
        <v>0.37231829999999999</v>
      </c>
      <c r="N3007">
        <v>-1.413474E-2</v>
      </c>
      <c r="O3007">
        <v>-0.92799759999999998</v>
      </c>
      <c r="P3007">
        <v>0.2034397</v>
      </c>
      <c r="Q3007">
        <v>0.181393</v>
      </c>
      <c r="R3007">
        <v>-0.96213780000000004</v>
      </c>
      <c r="S3007">
        <v>-6.4651490000000006E-2</v>
      </c>
      <c r="T3007">
        <v>2.4778129999999999E-2</v>
      </c>
      <c r="U3007">
        <v>-3.1296689999999998</v>
      </c>
      <c r="V3007">
        <v>0.17121430000000001</v>
      </c>
      <c r="W3007">
        <v>0.19351769999999999</v>
      </c>
      <c r="X3007">
        <v>0.9660417</v>
      </c>
      <c r="Y3007">
        <v>0.39142250000000001</v>
      </c>
      <c r="Z3007">
        <v>-2.0935349999999998E-2</v>
      </c>
      <c r="AA3007">
        <v>0.91997300000000004</v>
      </c>
      <c r="AB3007">
        <v>24</v>
      </c>
      <c r="AC3007">
        <v>-5.8963999999999999</v>
      </c>
      <c r="AD3007">
        <v>2.2273369999999999</v>
      </c>
      <c r="AE3007">
        <v>-281.09687000000002</v>
      </c>
      <c r="AF3007">
        <v>110.133431206753</v>
      </c>
      <c r="AG3007">
        <v>2.2273369999999999</v>
      </c>
      <c r="AH3007">
        <v>258.67145969572101</v>
      </c>
      <c r="AI3007">
        <v>89.546084307785705</v>
      </c>
      <c r="AJ3007">
        <v>66.937359515430501</v>
      </c>
      <c r="AK3007">
        <v>281.14988486677203</v>
      </c>
      <c r="AL3007">
        <v>78.841855267520998</v>
      </c>
      <c r="AM3007">
        <v>79.949671737342896</v>
      </c>
      <c r="AN3007">
        <v>1.0000000014383299</v>
      </c>
    </row>
    <row r="3008" spans="1:40" x14ac:dyDescent="0.25">
      <c r="A3008" t="str">
        <f>"20190304155429597"</f>
        <v>20190304155429597</v>
      </c>
      <c r="B3008" t="str">
        <f>"1551686069589592"</f>
        <v>1551686069589592</v>
      </c>
      <c r="C3008" t="s">
        <v>40</v>
      </c>
      <c r="D3008">
        <v>4.6396850000000001</v>
      </c>
      <c r="E3008">
        <v>0.59006459999999905</v>
      </c>
      <c r="F3008" t="s">
        <v>52</v>
      </c>
      <c r="G3008">
        <v>-195.54589999999999</v>
      </c>
      <c r="H3008">
        <v>3.7183039999999998</v>
      </c>
      <c r="I3008">
        <v>-81.816400000000002</v>
      </c>
      <c r="J3008">
        <v>-187.6183</v>
      </c>
      <c r="K3008">
        <v>1.106765</v>
      </c>
      <c r="L3008">
        <v>199.03219999999999</v>
      </c>
      <c r="M3008">
        <v>0.36628680000000002</v>
      </c>
      <c r="N3008">
        <v>-1.4130510000000001E-2</v>
      </c>
      <c r="O3008">
        <v>-0.93039479999999997</v>
      </c>
      <c r="P3008">
        <v>0.1990606</v>
      </c>
      <c r="Q3008">
        <v>0.18154290000000001</v>
      </c>
      <c r="R3008">
        <v>-0.96302509999999997</v>
      </c>
      <c r="S3008">
        <v>-8.7280269999999993E-2</v>
      </c>
      <c r="T3008">
        <v>2.9087780000000001E-2</v>
      </c>
      <c r="U3008">
        <v>-3.1310120000000001</v>
      </c>
      <c r="V3008">
        <v>0.16936609999999999</v>
      </c>
      <c r="W3008">
        <v>0.19364819999999999</v>
      </c>
      <c r="X3008">
        <v>0.96634129999999996</v>
      </c>
      <c r="Y3008">
        <v>0.39208900000000002</v>
      </c>
      <c r="Z3008">
        <v>-2.2149990000000001E-2</v>
      </c>
      <c r="AA3008">
        <v>0.91966060000000005</v>
      </c>
      <c r="AB3008">
        <v>24</v>
      </c>
      <c r="AC3008">
        <v>-7.9275999999999804</v>
      </c>
      <c r="AD3008">
        <v>2.6115390000000001</v>
      </c>
      <c r="AE3008">
        <v>-280.84859999999998</v>
      </c>
      <c r="AF3008">
        <v>110.24840614901299</v>
      </c>
      <c r="AG3008">
        <v>2.6115390000000001</v>
      </c>
      <c r="AH3008">
        <v>258.39975503269198</v>
      </c>
      <c r="AI3008">
        <v>89.467402717141695</v>
      </c>
      <c r="AJ3008">
        <v>66.894077574597503</v>
      </c>
      <c r="AK3008">
        <v>280.94833082846702</v>
      </c>
      <c r="AL3008">
        <v>78.834234039998805</v>
      </c>
      <c r="AM3008">
        <v>80.059006148513205</v>
      </c>
      <c r="AN3008">
        <v>1.00000000463906</v>
      </c>
    </row>
    <row r="3009" spans="1:40" x14ac:dyDescent="0.25">
      <c r="A3009" t="str">
        <f>"20190304155429616"</f>
        <v>20190304155429616</v>
      </c>
      <c r="B3009" t="str">
        <f>"1551686069610088"</f>
        <v>1551686069610088</v>
      </c>
      <c r="C3009" t="s">
        <v>40</v>
      </c>
      <c r="D3009">
        <v>4.6202360000000002</v>
      </c>
      <c r="E3009">
        <v>0.59106700000000001</v>
      </c>
      <c r="F3009" t="s">
        <v>52</v>
      </c>
      <c r="G3009">
        <v>-197.5625</v>
      </c>
      <c r="H3009">
        <v>4.1598810000000004</v>
      </c>
      <c r="I3009">
        <v>-81.816540000000003</v>
      </c>
      <c r="J3009">
        <v>-187.5461</v>
      </c>
      <c r="K3009">
        <v>1.106676</v>
      </c>
      <c r="L3009">
        <v>198.83240000000001</v>
      </c>
      <c r="M3009">
        <v>0.36129539999999999</v>
      </c>
      <c r="N3009">
        <v>-1.413063E-2</v>
      </c>
      <c r="O3009">
        <v>-0.93234439999999996</v>
      </c>
      <c r="P3009">
        <v>0.19457969999999999</v>
      </c>
      <c r="Q3009">
        <v>0.18172749999999999</v>
      </c>
      <c r="R3009">
        <v>-0.96390549999999997</v>
      </c>
      <c r="S3009">
        <v>-0.1108856</v>
      </c>
      <c r="T3009">
        <v>3.4044499999999998E-2</v>
      </c>
      <c r="U3009">
        <v>-3.1316679999999999</v>
      </c>
      <c r="V3009">
        <v>0.1687119</v>
      </c>
      <c r="W3009">
        <v>0.19380310000000001</v>
      </c>
      <c r="X3009">
        <v>0.96642470000000003</v>
      </c>
      <c r="Y3009">
        <v>0.39408070000000001</v>
      </c>
      <c r="Z3009">
        <v>-2.35462E-2</v>
      </c>
      <c r="AA3009">
        <v>0.91877419999999999</v>
      </c>
      <c r="AB3009">
        <v>24</v>
      </c>
      <c r="AC3009">
        <v>-10.016400000000001</v>
      </c>
      <c r="AD3009">
        <v>3.05320499999999</v>
      </c>
      <c r="AE3009">
        <v>-280.64893999999998</v>
      </c>
      <c r="AF3009">
        <v>110.733866831353</v>
      </c>
      <c r="AG3009">
        <v>3.05320499999999</v>
      </c>
      <c r="AH3009">
        <v>258.037837753129</v>
      </c>
      <c r="AI3009">
        <v>89.377021605260893</v>
      </c>
      <c r="AJ3009">
        <v>66.773985464099297</v>
      </c>
      <c r="AK3009">
        <v>280.81103439235699</v>
      </c>
      <c r="AL3009">
        <v>78.825187761204305</v>
      </c>
      <c r="AM3009">
        <v>80.097480668657298</v>
      </c>
      <c r="AN3009">
        <v>1.0000000237706499</v>
      </c>
    </row>
    <row r="3010" spans="1:40" x14ac:dyDescent="0.25">
      <c r="A3010" t="str">
        <f>"20190304155429641"</f>
        <v>20190304155429641</v>
      </c>
      <c r="B3010" t="str">
        <f>"1551686069629608"</f>
        <v>1551686069629608</v>
      </c>
      <c r="C3010" t="s">
        <v>40</v>
      </c>
      <c r="D3010">
        <v>4.6034629999999996</v>
      </c>
      <c r="E3010">
        <v>0.59211650000000005</v>
      </c>
      <c r="F3010" t="s">
        <v>52</v>
      </c>
      <c r="G3010">
        <v>-199.5299</v>
      </c>
      <c r="H3010">
        <v>4.5423309999999999</v>
      </c>
      <c r="I3010">
        <v>-81.816670000000002</v>
      </c>
      <c r="J3010">
        <v>-187.46129999999999</v>
      </c>
      <c r="K3010">
        <v>1.1065499999999999</v>
      </c>
      <c r="L3010">
        <v>198.5932</v>
      </c>
      <c r="M3010">
        <v>0.35515419999999998</v>
      </c>
      <c r="N3010">
        <v>-1.4133939999999999E-2</v>
      </c>
      <c r="O3010">
        <v>-0.93470109999999995</v>
      </c>
      <c r="P3010">
        <v>0.18961529999999999</v>
      </c>
      <c r="Q3010">
        <v>0.1811373</v>
      </c>
      <c r="R3010">
        <v>-0.96500580000000002</v>
      </c>
      <c r="S3010">
        <v>-0.13374330000000001</v>
      </c>
      <c r="T3010">
        <v>3.8342950000000001E-2</v>
      </c>
      <c r="U3010">
        <v>-3.132126</v>
      </c>
      <c r="V3010">
        <v>0.16741809999999999</v>
      </c>
      <c r="W3010">
        <v>0.19318270000000001</v>
      </c>
      <c r="X3010">
        <v>0.96677380000000002</v>
      </c>
      <c r="Y3010">
        <v>0.39472689999999999</v>
      </c>
      <c r="Z3010">
        <v>-2.478166E-2</v>
      </c>
      <c r="AA3010">
        <v>0.91846419999999995</v>
      </c>
      <c r="AB3010">
        <v>24</v>
      </c>
      <c r="AC3010">
        <v>-12.0686</v>
      </c>
      <c r="AD3010">
        <v>3.435781</v>
      </c>
      <c r="AE3010">
        <v>-280.40987000000001</v>
      </c>
      <c r="AF3010">
        <v>110.86371610135799</v>
      </c>
      <c r="AG3010">
        <v>3.435781</v>
      </c>
      <c r="AH3010">
        <v>257.80026934655302</v>
      </c>
      <c r="AI3010">
        <v>89.298550642072797</v>
      </c>
      <c r="AJ3010">
        <v>66.730494513418705</v>
      </c>
      <c r="AK3010">
        <v>280.64844024871701</v>
      </c>
      <c r="AL3010">
        <v>78.861418252443499</v>
      </c>
      <c r="AM3010">
        <v>80.175413397138598</v>
      </c>
      <c r="AN3010">
        <v>0.99999997807666896</v>
      </c>
    </row>
    <row r="3011" spans="1:40" x14ac:dyDescent="0.25">
      <c r="A3011" t="str">
        <f>"20190304155429664"</f>
        <v>20190304155429664</v>
      </c>
      <c r="B3011" t="str">
        <f>"1551686069659864"</f>
        <v>1551686069659864</v>
      </c>
      <c r="C3011" t="s">
        <v>40</v>
      </c>
      <c r="D3011">
        <v>4.6611630000000002</v>
      </c>
      <c r="E3011">
        <v>0.59275310000000003</v>
      </c>
      <c r="F3011" t="s">
        <v>52</v>
      </c>
      <c r="G3011">
        <v>-201.69</v>
      </c>
      <c r="H3011">
        <v>4.4081070000000002</v>
      </c>
      <c r="I3011">
        <v>-81.816630000000004</v>
      </c>
      <c r="J3011">
        <v>-187.37880000000001</v>
      </c>
      <c r="K3011">
        <v>1.1064130000000001</v>
      </c>
      <c r="L3011">
        <v>198.3544</v>
      </c>
      <c r="M3011">
        <v>0.34880719999999998</v>
      </c>
      <c r="N3011">
        <v>-1.41405E-2</v>
      </c>
      <c r="O3011">
        <v>-0.93708780000000003</v>
      </c>
      <c r="P3011">
        <v>0.18451210000000001</v>
      </c>
      <c r="Q3011">
        <v>0.18065729999999999</v>
      </c>
      <c r="R3011">
        <v>-0.9660841</v>
      </c>
      <c r="S3011">
        <v>-0.15898129999999999</v>
      </c>
      <c r="T3011">
        <v>3.6889310000000002E-2</v>
      </c>
      <c r="U3011">
        <v>-3.1331020000000001</v>
      </c>
      <c r="V3011">
        <v>0.16605829999999999</v>
      </c>
      <c r="W3011">
        <v>0.1926727</v>
      </c>
      <c r="X3011">
        <v>0.96711000000000003</v>
      </c>
      <c r="Y3011">
        <v>0.39586510000000003</v>
      </c>
      <c r="Z3011">
        <v>-2.4441210000000001E-2</v>
      </c>
      <c r="AA3011">
        <v>0.9179834</v>
      </c>
      <c r="AB3011">
        <v>24</v>
      </c>
      <c r="AC3011">
        <v>-14.3111999999999</v>
      </c>
      <c r="AD3011">
        <v>3.3016939999999999</v>
      </c>
      <c r="AE3011">
        <v>-280.17102999999997</v>
      </c>
      <c r="AF3011">
        <v>111.132244874683</v>
      </c>
      <c r="AG3011">
        <v>3.3016939999999999</v>
      </c>
      <c r="AH3011">
        <v>257.543089226554</v>
      </c>
      <c r="AI3011">
        <v>89.325610994695893</v>
      </c>
      <c r="AJ3011">
        <v>66.659351795654999</v>
      </c>
      <c r="AK3011">
        <v>280.51687978179399</v>
      </c>
      <c r="AL3011">
        <v>78.891198158892195</v>
      </c>
      <c r="AM3011">
        <v>80.256997141955694</v>
      </c>
      <c r="AN3011">
        <v>0.99999994021208805</v>
      </c>
    </row>
    <row r="3012" spans="1:40" x14ac:dyDescent="0.25">
      <c r="A3012" t="str">
        <f>"20190304155429684"</f>
        <v>20190304155429684</v>
      </c>
      <c r="B3012" t="str">
        <f>"1551686069680359"</f>
        <v>1551686069680359</v>
      </c>
      <c r="C3012" t="s">
        <v>40</v>
      </c>
      <c r="D3012">
        <v>4.6252740000000001</v>
      </c>
      <c r="E3012">
        <v>0.59338049999999998</v>
      </c>
      <c r="F3012" t="s">
        <v>52</v>
      </c>
      <c r="G3012">
        <v>-203.55250000000001</v>
      </c>
      <c r="H3012">
        <v>4.6474869999999999</v>
      </c>
      <c r="I3012">
        <v>-80.95017</v>
      </c>
      <c r="J3012">
        <v>-187.31209999999999</v>
      </c>
      <c r="K3012">
        <v>1.106293</v>
      </c>
      <c r="L3012">
        <v>198.15690000000001</v>
      </c>
      <c r="M3012">
        <v>0.34340530000000002</v>
      </c>
      <c r="N3012">
        <v>-1.414585E-2</v>
      </c>
      <c r="O3012">
        <v>-0.93908080000000005</v>
      </c>
      <c r="P3012">
        <v>0.18063979999999999</v>
      </c>
      <c r="Q3012">
        <v>0.18093429999999999</v>
      </c>
      <c r="R3012">
        <v>-0.96676410000000002</v>
      </c>
      <c r="S3012">
        <v>-0.18139649999999999</v>
      </c>
      <c r="T3012">
        <v>3.9714930000000002E-2</v>
      </c>
      <c r="U3012">
        <v>-3.1325379999999998</v>
      </c>
      <c r="V3012">
        <v>0.16439779999999901</v>
      </c>
      <c r="W3012">
        <v>0.1929305</v>
      </c>
      <c r="X3012">
        <v>0.96734229999999999</v>
      </c>
      <c r="Y3012">
        <v>0.39713569999999998</v>
      </c>
      <c r="Z3012">
        <v>-2.527532E-2</v>
      </c>
      <c r="AA3012">
        <v>0.9174118</v>
      </c>
      <c r="AB3012">
        <v>24</v>
      </c>
      <c r="AC3012">
        <v>-16.240400000000001</v>
      </c>
      <c r="AD3012">
        <v>3.541194</v>
      </c>
      <c r="AE3012">
        <v>-279.10707000000002</v>
      </c>
      <c r="AF3012">
        <v>111.091186686066</v>
      </c>
      <c r="AG3012">
        <v>3.541194</v>
      </c>
      <c r="AH3012">
        <v>256.51156169090399</v>
      </c>
      <c r="AI3012">
        <v>89.274204964035604</v>
      </c>
      <c r="AJ3012">
        <v>66.5833104649776</v>
      </c>
      <c r="AK3012">
        <v>279.556743963315</v>
      </c>
      <c r="AL3012">
        <v>78.876145207316597</v>
      </c>
      <c r="AM3012">
        <v>80.354855538765904</v>
      </c>
      <c r="AN3012">
        <v>0.99999996992218898</v>
      </c>
    </row>
    <row r="3013" spans="1:40" x14ac:dyDescent="0.25">
      <c r="A3013" t="str">
        <f>"20190304155429706"</f>
        <v>20190304155429706</v>
      </c>
      <c r="B3013" t="str">
        <f>"1551686069699880"</f>
        <v>1551686069699880</v>
      </c>
      <c r="C3013" t="s">
        <v>40</v>
      </c>
      <c r="D3013">
        <v>4.6711010000000002</v>
      </c>
      <c r="E3013">
        <v>0.59378359999999997</v>
      </c>
      <c r="F3013" t="s">
        <v>52</v>
      </c>
      <c r="G3013">
        <v>-205.07149999999999</v>
      </c>
      <c r="H3013">
        <v>4.9310729999999996</v>
      </c>
      <c r="I3013">
        <v>-80.950269999999904</v>
      </c>
      <c r="J3013">
        <v>-187.23609999999999</v>
      </c>
      <c r="K3013">
        <v>1.1061829999999999</v>
      </c>
      <c r="L3013">
        <v>197.92619999999999</v>
      </c>
      <c r="M3013">
        <v>0.33693410000000001</v>
      </c>
      <c r="N3013">
        <v>-1.4151469999999999E-2</v>
      </c>
      <c r="O3013">
        <v>-0.94142199999999998</v>
      </c>
      <c r="P3013">
        <v>0.17610680000000001</v>
      </c>
      <c r="Q3013">
        <v>0.180199</v>
      </c>
      <c r="R3013">
        <v>-0.96773730000000002</v>
      </c>
      <c r="S3013">
        <v>-0.1993103</v>
      </c>
      <c r="T3013">
        <v>4.292464E-2</v>
      </c>
      <c r="U3013">
        <v>-3.132355</v>
      </c>
      <c r="V3013">
        <v>0.1623609</v>
      </c>
      <c r="W3013">
        <v>0.19218279999999999</v>
      </c>
      <c r="X3013">
        <v>0.96783509999999995</v>
      </c>
      <c r="Y3013">
        <v>0.39605069999999998</v>
      </c>
      <c r="Z3013">
        <v>-2.6229430000000001E-2</v>
      </c>
      <c r="AA3013">
        <v>0.91785399999999995</v>
      </c>
      <c r="AB3013">
        <v>24</v>
      </c>
      <c r="AC3013">
        <v>-17.8353999999999</v>
      </c>
      <c r="AD3013">
        <v>3.8248899999999999</v>
      </c>
      <c r="AE3013">
        <v>-278.87646999999998</v>
      </c>
      <c r="AF3013">
        <v>110.743961769937</v>
      </c>
      <c r="AG3013">
        <v>3.8248899999999999</v>
      </c>
      <c r="AH3013">
        <v>256.50869497480898</v>
      </c>
      <c r="AI3013">
        <v>89.215672256972795</v>
      </c>
      <c r="AJ3013">
        <v>66.6484182484933</v>
      </c>
      <c r="AK3013">
        <v>279.42005198212399</v>
      </c>
      <c r="AL3013">
        <v>78.919803005815098</v>
      </c>
      <c r="AM3013">
        <v>80.476917737571597</v>
      </c>
      <c r="AN3013">
        <v>1.0000000356283201</v>
      </c>
    </row>
    <row r="3014" spans="1:40" x14ac:dyDescent="0.25">
      <c r="A3014" t="str">
        <f>"20190304155429729"</f>
        <v>20190304155429729</v>
      </c>
      <c r="B3014" t="str">
        <f>"1551686069720376"</f>
        <v>1551686069720376</v>
      </c>
      <c r="C3014" t="s">
        <v>40</v>
      </c>
      <c r="D3014">
        <v>4.6664669999999999</v>
      </c>
      <c r="E3014">
        <v>0.59399469999999899</v>
      </c>
      <c r="F3014" t="s">
        <v>52</v>
      </c>
      <c r="G3014">
        <v>-206.70699999999999</v>
      </c>
      <c r="H3014">
        <v>5.0426380000000002</v>
      </c>
      <c r="I3014">
        <v>-80.950299999999999</v>
      </c>
      <c r="J3014">
        <v>-187.1618</v>
      </c>
      <c r="K3014">
        <v>1.106082</v>
      </c>
      <c r="L3014">
        <v>197.69479999999999</v>
      </c>
      <c r="M3014">
        <v>0.33028269999999998</v>
      </c>
      <c r="N3014">
        <v>-1.4155040000000001E-2</v>
      </c>
      <c r="O3014">
        <v>-0.94377599999999995</v>
      </c>
      <c r="P3014">
        <v>0.17119980000000001</v>
      </c>
      <c r="Q3014">
        <v>0.1793382</v>
      </c>
      <c r="R3014">
        <v>-0.9687772</v>
      </c>
      <c r="S3014">
        <v>-0.21864320000000001</v>
      </c>
      <c r="T3014">
        <v>4.4203279999999998E-2</v>
      </c>
      <c r="U3014">
        <v>-3.131561</v>
      </c>
      <c r="V3014">
        <v>0.16052169999999999</v>
      </c>
      <c r="W3014">
        <v>0.1913137</v>
      </c>
      <c r="X3014">
        <v>0.96831389999999995</v>
      </c>
      <c r="Y3014">
        <v>0.39522760000000001</v>
      </c>
      <c r="Z3014">
        <v>-2.6652439999999999E-2</v>
      </c>
      <c r="AA3014">
        <v>0.91819649999999997</v>
      </c>
      <c r="AB3014">
        <v>24</v>
      </c>
      <c r="AC3014">
        <v>-19.545199999999902</v>
      </c>
      <c r="AD3014">
        <v>3.9365559999999999</v>
      </c>
      <c r="AE3014">
        <v>-278.64510000000001</v>
      </c>
      <c r="AF3014">
        <v>110.467067410732</v>
      </c>
      <c r="AG3014">
        <v>3.9365559999999999</v>
      </c>
      <c r="AH3014">
        <v>256.49785554503899</v>
      </c>
      <c r="AI3014">
        <v>89.192431507214806</v>
      </c>
      <c r="AJ3014">
        <v>66.699691205553705</v>
      </c>
      <c r="AK3014">
        <v>279.30202175185201</v>
      </c>
      <c r="AL3014">
        <v>78.970539602074396</v>
      </c>
      <c r="AM3014">
        <v>80.587423839798106</v>
      </c>
      <c r="AN3014">
        <v>0.99999997845589395</v>
      </c>
    </row>
    <row r="3015" spans="1:40" x14ac:dyDescent="0.25">
      <c r="A3015" t="str">
        <f>"20190304155429750"</f>
        <v>20190304155429750</v>
      </c>
      <c r="B3015" t="str">
        <f>"1551686069739896"</f>
        <v>1551686069739896</v>
      </c>
      <c r="C3015" t="s">
        <v>40</v>
      </c>
      <c r="D3015">
        <v>4.6436289999999998</v>
      </c>
      <c r="E3015">
        <v>0.59403229999999996</v>
      </c>
      <c r="F3015" t="s">
        <v>52</v>
      </c>
      <c r="G3015">
        <v>-208.38040000000001</v>
      </c>
      <c r="H3015">
        <v>5.0882059999999996</v>
      </c>
      <c r="I3015">
        <v>-81.816850000000002</v>
      </c>
      <c r="J3015">
        <v>-187.09200000000001</v>
      </c>
      <c r="K3015">
        <v>1.1059870000000001</v>
      </c>
      <c r="L3015">
        <v>197.4717</v>
      </c>
      <c r="M3015">
        <v>0.32371899999999998</v>
      </c>
      <c r="N3015">
        <v>-1.415373E-2</v>
      </c>
      <c r="O3015">
        <v>-0.94604739999999998</v>
      </c>
      <c r="P3015">
        <v>0.16533129999999999</v>
      </c>
      <c r="Q3015">
        <v>0.1798884</v>
      </c>
      <c r="R3015">
        <v>-0.96969380000000005</v>
      </c>
      <c r="S3015">
        <v>-0.2376404</v>
      </c>
      <c r="T3015">
        <v>4.4598220000000001E-2</v>
      </c>
      <c r="U3015">
        <v>-3.130417</v>
      </c>
      <c r="V3015">
        <v>0.15967010000000001</v>
      </c>
      <c r="W3015">
        <v>0.19183839999999999</v>
      </c>
      <c r="X3015">
        <v>0.96835090000000001</v>
      </c>
      <c r="Y3015">
        <v>0.3944127</v>
      </c>
      <c r="Z3015">
        <v>-2.6824790000000001E-2</v>
      </c>
      <c r="AA3015">
        <v>0.91854179999999996</v>
      </c>
      <c r="AB3015">
        <v>24</v>
      </c>
      <c r="AC3015">
        <v>-21.288399999999999</v>
      </c>
      <c r="AD3015">
        <v>3.9822190000000002</v>
      </c>
      <c r="AE3015">
        <v>-279.28854999999999</v>
      </c>
      <c r="AF3015">
        <v>110.539577131128</v>
      </c>
      <c r="AG3015">
        <v>3.9822190000000002</v>
      </c>
      <c r="AH3015">
        <v>257.30251747802299</v>
      </c>
      <c r="AI3015">
        <v>89.185304794902194</v>
      </c>
      <c r="AJ3015">
        <v>66.751185878049895</v>
      </c>
      <c r="AK3015">
        <v>280.070422717253</v>
      </c>
      <c r="AL3015">
        <v>78.939909280024196</v>
      </c>
      <c r="AM3015">
        <v>80.636824233968198</v>
      </c>
      <c r="AN3015">
        <v>0.99999998903969001</v>
      </c>
    </row>
    <row r="3016" spans="1:40" x14ac:dyDescent="0.25">
      <c r="A3016" t="str">
        <f>"20190304155429773"</f>
        <v>20190304155429773</v>
      </c>
      <c r="B3016" t="str">
        <f>"1551686069770152"</f>
        <v>1551686069770152</v>
      </c>
      <c r="C3016" t="s">
        <v>40</v>
      </c>
      <c r="D3016">
        <v>4.735284</v>
      </c>
      <c r="E3016">
        <v>0.59406159999999997</v>
      </c>
      <c r="F3016" t="s">
        <v>52</v>
      </c>
      <c r="G3016">
        <v>-209.99969999999999</v>
      </c>
      <c r="H3016">
        <v>5.2598310000000001</v>
      </c>
      <c r="I3016">
        <v>-81.816909999999993</v>
      </c>
      <c r="J3016">
        <v>-187.024</v>
      </c>
      <c r="K3016">
        <v>1.105901</v>
      </c>
      <c r="L3016">
        <v>197.2484</v>
      </c>
      <c r="M3016">
        <v>0.31700099999999998</v>
      </c>
      <c r="N3016">
        <v>-1.4150950000000001E-2</v>
      </c>
      <c r="O3016">
        <v>-0.94831989999999999</v>
      </c>
      <c r="P3016">
        <v>0.16018479999999999</v>
      </c>
      <c r="Q3016">
        <v>0.17929990000000001</v>
      </c>
      <c r="R3016">
        <v>-0.97066609999999998</v>
      </c>
      <c r="S3016">
        <v>-0.25663760000000002</v>
      </c>
      <c r="T3016">
        <v>4.6535849999999997E-2</v>
      </c>
      <c r="U3016">
        <v>-3.1288909999999999</v>
      </c>
      <c r="V3016">
        <v>0.15800349999999999</v>
      </c>
      <c r="W3016">
        <v>0.19123789999999999</v>
      </c>
      <c r="X3016">
        <v>0.96874300000000002</v>
      </c>
      <c r="Y3016">
        <v>0.39347140000000003</v>
      </c>
      <c r="Z3016">
        <v>-2.7431469999999999E-2</v>
      </c>
      <c r="AA3016">
        <v>0.91892750000000001</v>
      </c>
      <c r="AB3016">
        <v>24</v>
      </c>
      <c r="AC3016">
        <v>-22.9756999999999</v>
      </c>
      <c r="AD3016">
        <v>4.1539299999999999</v>
      </c>
      <c r="AE3016">
        <v>-279.06531000000001</v>
      </c>
      <c r="AF3016">
        <v>110.23904706400801</v>
      </c>
      <c r="AG3016">
        <v>4.1539299999999999</v>
      </c>
      <c r="AH3016">
        <v>257.32894057683899</v>
      </c>
      <c r="AI3016">
        <v>89.149894727876998</v>
      </c>
      <c r="AJ3016">
        <v>66.809834260453499</v>
      </c>
      <c r="AK3016">
        <v>279.97872471033202</v>
      </c>
      <c r="AL3016">
        <v>78.9749647850836</v>
      </c>
      <c r="AM3016">
        <v>80.7365365193467</v>
      </c>
      <c r="AN3016">
        <v>1.00000002022882</v>
      </c>
    </row>
    <row r="3017" spans="1:40" x14ac:dyDescent="0.25">
      <c r="A3017" t="str">
        <f>"20190304155429795"</f>
        <v>20190304155429795</v>
      </c>
      <c r="B3017" t="str">
        <f>"1551686069789672"</f>
        <v>1551686069789672</v>
      </c>
      <c r="C3017" t="s">
        <v>40</v>
      </c>
      <c r="D3017">
        <v>4.6914699999999998</v>
      </c>
      <c r="E3017">
        <v>0.59411029999999998</v>
      </c>
      <c r="F3017" t="s">
        <v>52</v>
      </c>
      <c r="G3017">
        <v>-211.49979999999999</v>
      </c>
      <c r="H3017">
        <v>5.2344720000000002</v>
      </c>
      <c r="I3017">
        <v>-81.816890000000001</v>
      </c>
      <c r="J3017">
        <v>-186.9562</v>
      </c>
      <c r="K3017">
        <v>1.1057999999999999</v>
      </c>
      <c r="L3017">
        <v>197.01929999999999</v>
      </c>
      <c r="M3017">
        <v>0.30996020000000002</v>
      </c>
      <c r="N3017">
        <v>-1.415042E-2</v>
      </c>
      <c r="O3017">
        <v>-0.95064420000000005</v>
      </c>
      <c r="P3017">
        <v>0.15528610000000001</v>
      </c>
      <c r="Q3017">
        <v>0.1791326</v>
      </c>
      <c r="R3017">
        <v>-0.97149260000000004</v>
      </c>
      <c r="S3017">
        <v>-0.27429199999999998</v>
      </c>
      <c r="T3017">
        <v>4.6267389999999999E-2</v>
      </c>
      <c r="U3017">
        <v>-3.12738</v>
      </c>
      <c r="V3017">
        <v>0.15575310000000001</v>
      </c>
      <c r="W3017">
        <v>0.19106519999999999</v>
      </c>
      <c r="X3017">
        <v>0.96914140000000004</v>
      </c>
      <c r="Y3017">
        <v>0.39184010000000002</v>
      </c>
      <c r="Z3017">
        <v>-2.7423650000000001E-2</v>
      </c>
      <c r="AA3017">
        <v>0.91962449999999996</v>
      </c>
      <c r="AB3017">
        <v>24</v>
      </c>
      <c r="AC3017">
        <v>-24.543600000000001</v>
      </c>
      <c r="AD3017">
        <v>4.1286719999999999</v>
      </c>
      <c r="AE3017">
        <v>-278.83618999999999</v>
      </c>
      <c r="AF3017">
        <v>109.747469031756</v>
      </c>
      <c r="AG3017">
        <v>4.1286719999999999</v>
      </c>
      <c r="AH3017">
        <v>257.43624735636899</v>
      </c>
      <c r="AI3017">
        <v>89.1547777647544</v>
      </c>
      <c r="AJ3017">
        <v>66.910997074034995</v>
      </c>
      <c r="AK3017">
        <v>279.88385867050198</v>
      </c>
      <c r="AL3017">
        <v>78.985045381604493</v>
      </c>
      <c r="AM3017">
        <v>80.8699254021397</v>
      </c>
      <c r="AN3017">
        <v>0.99999999600230405</v>
      </c>
    </row>
    <row r="3018" spans="1:40" x14ac:dyDescent="0.25">
      <c r="A3018" t="str">
        <f>"20190304155429818"</f>
        <v>20190304155429818</v>
      </c>
      <c r="B3018" t="str">
        <f>"1551686069810171"</f>
        <v>1551686069810171</v>
      </c>
      <c r="C3018" t="s">
        <v>40</v>
      </c>
      <c r="D3018">
        <v>4.7364610000000003</v>
      </c>
      <c r="E3018">
        <v>0.59410350000000001</v>
      </c>
      <c r="F3018" t="s">
        <v>52</v>
      </c>
      <c r="G3018">
        <v>-212.9479</v>
      </c>
      <c r="H3018">
        <v>5.3141040000000004</v>
      </c>
      <c r="I3018">
        <v>-81.816929999999999</v>
      </c>
      <c r="J3018">
        <v>-186.8871</v>
      </c>
      <c r="K3018">
        <v>1.105693</v>
      </c>
      <c r="L3018">
        <v>196.77860000000001</v>
      </c>
      <c r="M3018">
        <v>0.30239460000000001</v>
      </c>
      <c r="N3018">
        <v>-1.414894E-2</v>
      </c>
      <c r="O3018">
        <v>-0.95307799999999998</v>
      </c>
      <c r="P3018">
        <v>0.14883869999999999</v>
      </c>
      <c r="Q3018">
        <v>0.1795397</v>
      </c>
      <c r="R3018">
        <v>-0.97242649999999997</v>
      </c>
      <c r="S3018">
        <v>-0.29138180000000002</v>
      </c>
      <c r="T3018">
        <v>4.7177549999999999E-2</v>
      </c>
      <c r="U3018">
        <v>-3.1259160000000001</v>
      </c>
      <c r="V3018">
        <v>0.15450729999999999</v>
      </c>
      <c r="W3018">
        <v>0.1914467</v>
      </c>
      <c r="X3018">
        <v>0.9692655</v>
      </c>
      <c r="Y3018">
        <v>0.38955070000000003</v>
      </c>
      <c r="Z3018">
        <v>-2.7751620000000001E-2</v>
      </c>
      <c r="AA3018">
        <v>0.92058680000000004</v>
      </c>
      <c r="AB3018">
        <v>24</v>
      </c>
      <c r="AC3018">
        <v>-26.0608</v>
      </c>
      <c r="AD3018">
        <v>4.2084109999999999</v>
      </c>
      <c r="AE3018">
        <v>-278.59553</v>
      </c>
      <c r="AF3018">
        <v>109.069987539259</v>
      </c>
      <c r="AG3018">
        <v>4.2084109999999999</v>
      </c>
      <c r="AH3018">
        <v>257.61009883099098</v>
      </c>
      <c r="AI3018">
        <v>89.138133006098201</v>
      </c>
      <c r="AJ3018">
        <v>67.052602162625604</v>
      </c>
      <c r="AK3018">
        <v>279.78015641691297</v>
      </c>
      <c r="AL3018">
        <v>78.962775740898607</v>
      </c>
      <c r="AM3018">
        <v>80.942877832498695</v>
      </c>
      <c r="AN3018">
        <v>0.999999977092214</v>
      </c>
    </row>
    <row r="3019" spans="1:40" x14ac:dyDescent="0.25">
      <c r="A3019" t="str">
        <f>"20190304155429842"</f>
        <v>20190304155429842</v>
      </c>
      <c r="B3019" t="str">
        <f>"1551686069829688"</f>
        <v>1551686069829688</v>
      </c>
      <c r="C3019" t="s">
        <v>40</v>
      </c>
      <c r="D3019">
        <v>4.7727919999999999</v>
      </c>
      <c r="E3019">
        <v>0.59403379999999995</v>
      </c>
      <c r="F3019" t="s">
        <v>75</v>
      </c>
      <c r="G3019">
        <v>-210.1061</v>
      </c>
      <c r="H3019">
        <v>4.7115689999999999</v>
      </c>
      <c r="I3019">
        <v>-35.88447</v>
      </c>
      <c r="J3019">
        <v>-186.822</v>
      </c>
      <c r="K3019">
        <v>1.1055680000000001</v>
      </c>
      <c r="L3019">
        <v>196.5438</v>
      </c>
      <c r="M3019">
        <v>0.29483979999999999</v>
      </c>
      <c r="N3019">
        <v>-1.4139000000000001E-2</v>
      </c>
      <c r="O3019">
        <v>-0.95544200000000001</v>
      </c>
      <c r="P3019">
        <v>0.14227699999999999</v>
      </c>
      <c r="Q3019">
        <v>0.17955019999999999</v>
      </c>
      <c r="R3019">
        <v>-0.97340590000000005</v>
      </c>
      <c r="S3019">
        <v>-0.31175229999999998</v>
      </c>
      <c r="T3019">
        <v>4.841459E-2</v>
      </c>
      <c r="U3019">
        <v>-3.1238709999999998</v>
      </c>
      <c r="V3019">
        <v>0.1534189</v>
      </c>
      <c r="W3019">
        <v>0.19142229999999999</v>
      </c>
      <c r="X3019">
        <v>0.96944319999999895</v>
      </c>
      <c r="Y3019">
        <v>0.3882622</v>
      </c>
      <c r="Z3019">
        <v>-2.816517E-2</v>
      </c>
      <c r="AA3019">
        <v>0.9211184</v>
      </c>
      <c r="AB3019">
        <v>24</v>
      </c>
      <c r="AC3019">
        <v>-23.284099999999899</v>
      </c>
      <c r="AD3019">
        <v>3.606001</v>
      </c>
      <c r="AE3019">
        <v>-232.42827</v>
      </c>
      <c r="AF3019">
        <v>90.763164627180501</v>
      </c>
      <c r="AG3019">
        <v>3.606001</v>
      </c>
      <c r="AH3019">
        <v>215.17690573522</v>
      </c>
      <c r="AI3019">
        <v>89.115373045316602</v>
      </c>
      <c r="AJ3019">
        <v>67.129633406337305</v>
      </c>
      <c r="AK3019">
        <v>233.563815815157</v>
      </c>
      <c r="AL3019">
        <v>78.964200210757298</v>
      </c>
      <c r="AM3019">
        <v>81.007254272652105</v>
      </c>
      <c r="AN3019">
        <v>0.99999998692036896</v>
      </c>
    </row>
    <row r="3020" spans="1:40" x14ac:dyDescent="0.25">
      <c r="A3020" t="str">
        <f>"20190304155429864"</f>
        <v>20190304155429864</v>
      </c>
      <c r="B3020" t="str">
        <f>"1551686069859944"</f>
        <v>1551686069859944</v>
      </c>
      <c r="C3020" t="s">
        <v>40</v>
      </c>
      <c r="D3020">
        <v>4.8527060000000004</v>
      </c>
      <c r="E3020">
        <v>0.5936574</v>
      </c>
      <c r="F3020" t="s">
        <v>75</v>
      </c>
      <c r="G3020">
        <v>-210.84039999999999</v>
      </c>
      <c r="H3020">
        <v>4.566147</v>
      </c>
      <c r="I3020">
        <v>-29.19107</v>
      </c>
      <c r="J3020">
        <v>-186.76</v>
      </c>
      <c r="K3020">
        <v>1.1054459999999999</v>
      </c>
      <c r="L3020">
        <v>196.31200000000001</v>
      </c>
      <c r="M3020">
        <v>0.28719090000000003</v>
      </c>
      <c r="N3020">
        <v>-1.411863E-2</v>
      </c>
      <c r="O3020">
        <v>-0.95776950000000005</v>
      </c>
      <c r="P3020">
        <v>0.1361272</v>
      </c>
      <c r="Q3020">
        <v>0.17947729999999901</v>
      </c>
      <c r="R3020">
        <v>-0.97429869999999996</v>
      </c>
      <c r="S3020">
        <v>-0.33215329999999998</v>
      </c>
      <c r="T3020">
        <v>4.7856570000000001E-2</v>
      </c>
      <c r="U3020">
        <v>-3.1217039999999998</v>
      </c>
      <c r="V3020">
        <v>0.15184020000000001</v>
      </c>
      <c r="W3020">
        <v>0.19131139999999999</v>
      </c>
      <c r="X3020">
        <v>0.96971359999999995</v>
      </c>
      <c r="Y3020">
        <v>0.3869128</v>
      </c>
      <c r="Z3020">
        <v>-2.805593E-2</v>
      </c>
      <c r="AA3020">
        <v>0.92168939999999999</v>
      </c>
      <c r="AB3020">
        <v>24</v>
      </c>
      <c r="AC3020">
        <v>-24.080400000000001</v>
      </c>
      <c r="AD3020">
        <v>3.4607009999999998</v>
      </c>
      <c r="AE3020">
        <v>-225.50307000000001</v>
      </c>
      <c r="AF3020">
        <v>87.814192433542601</v>
      </c>
      <c r="AG3020">
        <v>3.4607009999999998</v>
      </c>
      <c r="AH3020">
        <v>209.036416234104</v>
      </c>
      <c r="AI3020">
        <v>89.125540881191299</v>
      </c>
      <c r="AJ3020">
        <v>67.213191371265097</v>
      </c>
      <c r="AK3020">
        <v>226.758753207377</v>
      </c>
      <c r="AL3020">
        <v>78.970673902578099</v>
      </c>
      <c r="AM3020">
        <v>81.100743803951104</v>
      </c>
      <c r="AN3020">
        <v>0.99999998206547902</v>
      </c>
    </row>
    <row r="3021" spans="1:40" x14ac:dyDescent="0.25">
      <c r="A3021" t="str">
        <f>"20190304155429885"</f>
        <v>20190304155429885</v>
      </c>
      <c r="B3021" t="str">
        <f>"1551686069880440"</f>
        <v>1551686069880440</v>
      </c>
      <c r="C3021" t="s">
        <v>40</v>
      </c>
      <c r="D3021">
        <v>4.862908</v>
      </c>
      <c r="E3021">
        <v>0.59326800000000002</v>
      </c>
      <c r="F3021" t="s">
        <v>75</v>
      </c>
      <c r="G3021">
        <v>-211.0566</v>
      </c>
      <c r="H3021">
        <v>4.406828</v>
      </c>
      <c r="I3021">
        <v>-20.633009999999999</v>
      </c>
      <c r="J3021">
        <v>-186.70359999999999</v>
      </c>
      <c r="K3021">
        <v>1.105342</v>
      </c>
      <c r="L3021">
        <v>196.09389999999999</v>
      </c>
      <c r="M3021">
        <v>0.27983439999999998</v>
      </c>
      <c r="N3021">
        <v>-1.409788E-2</v>
      </c>
      <c r="O3021">
        <v>-0.95994480000000004</v>
      </c>
      <c r="P3021">
        <v>0.1301725</v>
      </c>
      <c r="Q3021">
        <v>0.18074190000000001</v>
      </c>
      <c r="R3021">
        <v>-0.97487829999999998</v>
      </c>
      <c r="S3021">
        <v>-0.3493347</v>
      </c>
      <c r="T3021">
        <v>4.7466990000000001E-2</v>
      </c>
      <c r="U3021">
        <v>-3.1192169999999999</v>
      </c>
      <c r="V3021">
        <v>0.1503196</v>
      </c>
      <c r="W3021">
        <v>0.1925375</v>
      </c>
      <c r="X3021">
        <v>0.96970780000000001</v>
      </c>
      <c r="Y3021">
        <v>0.38493179999999999</v>
      </c>
      <c r="Z3021">
        <v>-2.7991269999999999E-2</v>
      </c>
      <c r="AA3021">
        <v>0.92252049999999997</v>
      </c>
      <c r="AB3021">
        <v>23</v>
      </c>
      <c r="AC3021">
        <v>-24.353000000000002</v>
      </c>
      <c r="AD3021">
        <v>3.3014860000000001</v>
      </c>
      <c r="AE3021">
        <v>-216.72691</v>
      </c>
      <c r="AF3021">
        <v>84.014276302553696</v>
      </c>
      <c r="AG3021">
        <v>3.3014860000000001</v>
      </c>
      <c r="AH3021">
        <v>201.20494868688399</v>
      </c>
      <c r="AI3021">
        <v>89.132517028577098</v>
      </c>
      <c r="AJ3021">
        <v>67.336745329315306</v>
      </c>
      <c r="AK3021">
        <v>218.06588410052001</v>
      </c>
      <c r="AL3021">
        <v>78.899092401977995</v>
      </c>
      <c r="AM3021">
        <v>81.188407814470395</v>
      </c>
      <c r="AN3021">
        <v>0.99999994421562299</v>
      </c>
    </row>
    <row r="3022" spans="1:40" x14ac:dyDescent="0.25">
      <c r="A3022" t="str">
        <f>"20190304155429908"</f>
        <v>20190304155429908</v>
      </c>
      <c r="B3022" t="str">
        <f>"1551686069899960"</f>
        <v>1551686069899960</v>
      </c>
      <c r="C3022" t="s">
        <v>40</v>
      </c>
      <c r="D3022">
        <v>4.931622</v>
      </c>
      <c r="E3022">
        <v>0.59291340000000003</v>
      </c>
      <c r="F3022" t="s">
        <v>58</v>
      </c>
      <c r="G3022">
        <v>-210.78919999999999</v>
      </c>
      <c r="H3022">
        <v>4.4211919999999996</v>
      </c>
      <c r="I3022">
        <v>-9.6628609999999995</v>
      </c>
      <c r="J3022">
        <v>-186.64439999999999</v>
      </c>
      <c r="K3022">
        <v>1.1052420000000001</v>
      </c>
      <c r="L3022">
        <v>195.85589999999999</v>
      </c>
      <c r="M3022">
        <v>0.27165080000000003</v>
      </c>
      <c r="N3022">
        <v>-1.407688E-2</v>
      </c>
      <c r="O3022">
        <v>-0.96229299999999995</v>
      </c>
      <c r="P3022">
        <v>0.12281209999999999</v>
      </c>
      <c r="Q3022">
        <v>0.1804432</v>
      </c>
      <c r="R3022">
        <v>-0.97588830000000004</v>
      </c>
      <c r="S3022">
        <v>-0.36483759999999998</v>
      </c>
      <c r="T3022">
        <v>5.0227170000000002E-2</v>
      </c>
      <c r="U3022">
        <v>-3.116714</v>
      </c>
      <c r="V3022">
        <v>0.1494345</v>
      </c>
      <c r="W3022">
        <v>0.1921978</v>
      </c>
      <c r="X3022">
        <v>0.96991210000000005</v>
      </c>
      <c r="Y3022">
        <v>0.38168160000000001</v>
      </c>
      <c r="Z3022">
        <v>-2.8842420000000001E-2</v>
      </c>
      <c r="AA3022">
        <v>0.92384370000000005</v>
      </c>
      <c r="AB3022">
        <v>23</v>
      </c>
      <c r="AC3022">
        <v>-24.1448</v>
      </c>
      <c r="AD3022">
        <v>3.3159499999999902</v>
      </c>
      <c r="AE3022">
        <v>-205.51876100000001</v>
      </c>
      <c r="AF3022">
        <v>79.051238612586005</v>
      </c>
      <c r="AG3022">
        <v>3.3159499999999902</v>
      </c>
      <c r="AH3022">
        <v>191.18015478179899</v>
      </c>
      <c r="AI3022">
        <v>89.081716329570597</v>
      </c>
      <c r="AJ3022">
        <v>67.535354841444004</v>
      </c>
      <c r="AK3022">
        <v>206.90564379199299</v>
      </c>
      <c r="AL3022">
        <v>78.918927661368798</v>
      </c>
      <c r="AM3022">
        <v>81.241301023872197</v>
      </c>
      <c r="AN3022">
        <v>1.0000000729207399</v>
      </c>
    </row>
    <row r="3023" spans="1:40" x14ac:dyDescent="0.25">
      <c r="A3023" t="str">
        <f>"20190304155429930"</f>
        <v>20190304155429930</v>
      </c>
      <c r="B3023" t="str">
        <f>"1551686069920456"</f>
        <v>1551686069920456</v>
      </c>
      <c r="C3023" t="s">
        <v>40</v>
      </c>
      <c r="D3023">
        <v>4.8352069999999996</v>
      </c>
      <c r="E3023">
        <v>0.59256070000000005</v>
      </c>
      <c r="F3023" t="s">
        <v>58</v>
      </c>
      <c r="G3023">
        <v>-211.07</v>
      </c>
      <c r="H3023">
        <v>4.1605819999999998</v>
      </c>
      <c r="I3023">
        <v>-1.5250060000000001</v>
      </c>
      <c r="J3023">
        <v>-186.59030000000001</v>
      </c>
      <c r="K3023">
        <v>1.105159</v>
      </c>
      <c r="L3023">
        <v>195.62960000000001</v>
      </c>
      <c r="M3023">
        <v>0.26372400000000001</v>
      </c>
      <c r="N3023">
        <v>-1.4053650000000001E-2</v>
      </c>
      <c r="O3023">
        <v>-0.96449589999999996</v>
      </c>
      <c r="P3023">
        <v>0.1161581</v>
      </c>
      <c r="Q3023">
        <v>0.18007400000000001</v>
      </c>
      <c r="R3023">
        <v>-0.97677080000000005</v>
      </c>
      <c r="S3023">
        <v>-0.38531490000000002</v>
      </c>
      <c r="T3023">
        <v>4.8197980000000001E-2</v>
      </c>
      <c r="U3023">
        <v>-3.113693</v>
      </c>
      <c r="V3023">
        <v>0.14811099999999999</v>
      </c>
      <c r="W3023">
        <v>0.19179860000000001</v>
      </c>
      <c r="X3023">
        <v>0.970194</v>
      </c>
      <c r="Y3023">
        <v>0.38016899999999998</v>
      </c>
      <c r="Z3023">
        <v>-2.8301360000000001E-2</v>
      </c>
      <c r="AA3023">
        <v>0.92448399999999997</v>
      </c>
      <c r="AB3023">
        <v>23</v>
      </c>
      <c r="AC3023">
        <v>-24.479699999999902</v>
      </c>
      <c r="AD3023">
        <v>3.0554230000000002</v>
      </c>
      <c r="AE3023">
        <v>-197.154606</v>
      </c>
      <c r="AF3023">
        <v>75.594551230325095</v>
      </c>
      <c r="AG3023">
        <v>3.0554230000000002</v>
      </c>
      <c r="AH3023">
        <v>183.67360617767599</v>
      </c>
      <c r="AI3023">
        <v>89.118680656502406</v>
      </c>
      <c r="AJ3023">
        <v>67.629402792551005</v>
      </c>
      <c r="AK3023">
        <v>198.645073917616</v>
      </c>
      <c r="AL3023">
        <v>78.942232747565797</v>
      </c>
      <c r="AM3023">
        <v>81.320171459938905</v>
      </c>
      <c r="AN3023">
        <v>0.99999998445947902</v>
      </c>
    </row>
    <row r="3024" spans="1:40" x14ac:dyDescent="0.25">
      <c r="A3024" t="str">
        <f>"20190304155429951"</f>
        <v>20190304155429951</v>
      </c>
      <c r="B3024" t="str">
        <f>"1551686069939976"</f>
        <v>1551686069939976</v>
      </c>
      <c r="C3024" t="s">
        <v>40</v>
      </c>
      <c r="D3024">
        <v>4.9082249999999998</v>
      </c>
      <c r="E3024">
        <v>0.59204469999999898</v>
      </c>
      <c r="F3024" t="s">
        <v>58</v>
      </c>
      <c r="G3024">
        <v>-211.07</v>
      </c>
      <c r="H3024">
        <v>3.9355959999999999</v>
      </c>
      <c r="I3024">
        <v>7.1339050000000004</v>
      </c>
      <c r="J3024">
        <v>-186.5385</v>
      </c>
      <c r="K3024">
        <v>1.1050799999999901</v>
      </c>
      <c r="L3024">
        <v>195.40479999999999</v>
      </c>
      <c r="M3024">
        <v>0.25570219999999999</v>
      </c>
      <c r="N3024">
        <v>-1.40292E-2</v>
      </c>
      <c r="O3024">
        <v>-0.96665380000000001</v>
      </c>
      <c r="P3024">
        <v>0.11009480000000001</v>
      </c>
      <c r="Q3024">
        <v>0.1822008</v>
      </c>
      <c r="R3024">
        <v>-0.97707860000000002</v>
      </c>
      <c r="S3024">
        <v>-0.40399170000000001</v>
      </c>
      <c r="T3024">
        <v>4.6710849999999998E-2</v>
      </c>
      <c r="U3024">
        <v>-3.1107640000000001</v>
      </c>
      <c r="V3024">
        <v>0.1460274</v>
      </c>
      <c r="W3024">
        <v>0.19390170000000001</v>
      </c>
      <c r="X3024">
        <v>0.97009179999999995</v>
      </c>
      <c r="Y3024">
        <v>0.37805319999999998</v>
      </c>
      <c r="Z3024">
        <v>-2.7910709999999998E-2</v>
      </c>
      <c r="AA3024">
        <v>0.92536309999999999</v>
      </c>
      <c r="AB3024">
        <v>23</v>
      </c>
      <c r="AC3024">
        <v>-24.531499999999902</v>
      </c>
      <c r="AD3024">
        <v>2.8305159999999998</v>
      </c>
      <c r="AE3024">
        <v>-188.270895</v>
      </c>
      <c r="AF3024">
        <v>71.845853695664005</v>
      </c>
      <c r="AG3024">
        <v>2.8305159999999998</v>
      </c>
      <c r="AH3024">
        <v>175.698262375816</v>
      </c>
      <c r="AI3024">
        <v>89.1456936246758</v>
      </c>
      <c r="AJ3024">
        <v>67.759555266996998</v>
      </c>
      <c r="AK3024">
        <v>189.84129665582799</v>
      </c>
      <c r="AL3024">
        <v>78.819428728862704</v>
      </c>
      <c r="AM3024">
        <v>81.439568109873903</v>
      </c>
      <c r="AN3024">
        <v>0.99999998562044401</v>
      </c>
    </row>
    <row r="3025" spans="1:40" x14ac:dyDescent="0.25">
      <c r="A3025" t="str">
        <f>"20190304155429974"</f>
        <v>20190304155429974</v>
      </c>
      <c r="B3025" t="str">
        <f>"1551686069970231"</f>
        <v>1551686069970231</v>
      </c>
      <c r="C3025" t="s">
        <v>40</v>
      </c>
      <c r="D3025">
        <v>4.8900059999999996</v>
      </c>
      <c r="E3025">
        <v>0.59142169999999905</v>
      </c>
      <c r="F3025" t="s">
        <v>58</v>
      </c>
      <c r="G3025">
        <v>-210.9743</v>
      </c>
      <c r="H3025">
        <v>4.1541399999999999</v>
      </c>
      <c r="I3025">
        <v>14.21311</v>
      </c>
      <c r="J3025">
        <v>-186.48820000000001</v>
      </c>
      <c r="K3025">
        <v>1.105008</v>
      </c>
      <c r="L3025">
        <v>195.1765</v>
      </c>
      <c r="M3025">
        <v>0.24742159999999999</v>
      </c>
      <c r="N3025">
        <v>-1.4007769999999999E-2</v>
      </c>
      <c r="O3025">
        <v>-0.96880679999999997</v>
      </c>
      <c r="P3025">
        <v>0.1031801</v>
      </c>
      <c r="Q3025">
        <v>0.1842425</v>
      </c>
      <c r="R3025">
        <v>-0.97745029999999999</v>
      </c>
      <c r="S3025">
        <v>-0.41912840000000001</v>
      </c>
      <c r="T3025">
        <v>5.2298310000000001E-2</v>
      </c>
      <c r="U3025">
        <v>-3.107834</v>
      </c>
      <c r="V3025">
        <v>0.14455370000000001</v>
      </c>
      <c r="W3025">
        <v>0.1959137</v>
      </c>
      <c r="X3025">
        <v>0.96990829999999995</v>
      </c>
      <c r="Y3025">
        <v>0.3746678</v>
      </c>
      <c r="Z3025">
        <v>-2.959641E-2</v>
      </c>
      <c r="AA3025">
        <v>0.92668660000000003</v>
      </c>
      <c r="AB3025">
        <v>23</v>
      </c>
      <c r="AC3025">
        <v>-24.4861</v>
      </c>
      <c r="AD3025">
        <v>3.0491320000000002</v>
      </c>
      <c r="AE3025">
        <v>-180.96339</v>
      </c>
      <c r="AF3025">
        <v>68.484169808772293</v>
      </c>
      <c r="AG3025">
        <v>3.0491320000000002</v>
      </c>
      <c r="AH3025">
        <v>169.229576198931</v>
      </c>
      <c r="AI3025">
        <v>89.043138476632805</v>
      </c>
      <c r="AJ3025">
        <v>67.967705025127501</v>
      </c>
      <c r="AK3025">
        <v>182.587042751724</v>
      </c>
      <c r="AL3025">
        <v>78.701896005963903</v>
      </c>
      <c r="AM3025">
        <v>81.523118358164595</v>
      </c>
      <c r="AN3025">
        <v>1.00000003022013</v>
      </c>
    </row>
    <row r="3026" spans="1:40" x14ac:dyDescent="0.25">
      <c r="A3026" t="str">
        <f>"20190304155429996"</f>
        <v>20190304155429996</v>
      </c>
      <c r="B3026" t="str">
        <f>"1551686069989753"</f>
        <v>1551686069989753</v>
      </c>
      <c r="C3026" t="s">
        <v>40</v>
      </c>
      <c r="D3026">
        <v>4.9212099999999896</v>
      </c>
      <c r="E3026">
        <v>0.59096210000000005</v>
      </c>
      <c r="F3026" t="s">
        <v>44</v>
      </c>
      <c r="G3026">
        <v>-203.173</v>
      </c>
      <c r="H3026">
        <v>3.2570399999999999</v>
      </c>
      <c r="I3026">
        <v>76.320809999999994</v>
      </c>
      <c r="J3026">
        <v>-186.43879999999999</v>
      </c>
      <c r="K3026">
        <v>1.1049249999999999</v>
      </c>
      <c r="L3026">
        <v>194.94280000000001</v>
      </c>
      <c r="M3026">
        <v>0.23880219999999999</v>
      </c>
      <c r="N3026">
        <v>-1.399073E-2</v>
      </c>
      <c r="O3026">
        <v>-0.97096749999999998</v>
      </c>
      <c r="P3026">
        <v>9.6007270000000006E-2</v>
      </c>
      <c r="Q3026">
        <v>0.18485579999999999</v>
      </c>
      <c r="R3026">
        <v>-0.97806530000000003</v>
      </c>
      <c r="S3026">
        <v>-0.43582149999999997</v>
      </c>
      <c r="T3026">
        <v>5.6212900000000003E-2</v>
      </c>
      <c r="U3026">
        <v>-3.1046140000000002</v>
      </c>
      <c r="V3026">
        <v>0.1430632</v>
      </c>
      <c r="W3026">
        <v>0.19650519999999999</v>
      </c>
      <c r="X3026">
        <v>0.97000960000000003</v>
      </c>
      <c r="Y3026">
        <v>0.37144129999999997</v>
      </c>
      <c r="Z3026">
        <v>-3.0809619999999999E-2</v>
      </c>
      <c r="AA3026">
        <v>0.92794509999999997</v>
      </c>
      <c r="AB3026">
        <v>23</v>
      </c>
      <c r="AC3026">
        <v>-16.734200000000001</v>
      </c>
      <c r="AD3026">
        <v>2.1521149999999998</v>
      </c>
      <c r="AE3026">
        <v>-118.62199</v>
      </c>
      <c r="AF3026">
        <v>44.565534428248597</v>
      </c>
      <c r="AG3026">
        <v>2.1521149999999998</v>
      </c>
      <c r="AH3026">
        <v>111.156935846347</v>
      </c>
      <c r="AI3026">
        <v>88.970474182126097</v>
      </c>
      <c r="AJ3026">
        <v>68.152943324736199</v>
      </c>
      <c r="AK3026">
        <v>119.777221726828</v>
      </c>
      <c r="AL3026">
        <v>78.667333366930706</v>
      </c>
      <c r="AM3026">
        <v>81.610136998749596</v>
      </c>
      <c r="AN3026">
        <v>0.99999999845672005</v>
      </c>
    </row>
    <row r="3027" spans="1:40" x14ac:dyDescent="0.25">
      <c r="A3027" t="str">
        <f>"20190304155430020"</f>
        <v>20190304155430020</v>
      </c>
      <c r="B3027" t="str">
        <f>"1551686070010258"</f>
        <v>1551686070010258</v>
      </c>
      <c r="C3027" t="s">
        <v>40</v>
      </c>
      <c r="D3027">
        <v>4.9265049999999997</v>
      </c>
      <c r="E3027">
        <v>0.57223279999999999</v>
      </c>
      <c r="F3027" t="s">
        <v>58</v>
      </c>
      <c r="G3027">
        <v>-210.77770000000001</v>
      </c>
      <c r="H3027">
        <v>4.1041179999999997</v>
      </c>
      <c r="I3027">
        <v>28.79354</v>
      </c>
      <c r="J3027">
        <v>-186.38919999999999</v>
      </c>
      <c r="K3027">
        <v>1.104841</v>
      </c>
      <c r="L3027">
        <v>194.6962</v>
      </c>
      <c r="M3027">
        <v>0.22957060000000001</v>
      </c>
      <c r="N3027">
        <v>-1.397203E-2</v>
      </c>
      <c r="O3027">
        <v>-0.97319180000000005</v>
      </c>
      <c r="P3027">
        <v>8.7585430000000006E-2</v>
      </c>
      <c r="Q3027">
        <v>0.185584</v>
      </c>
      <c r="R3027">
        <v>-0.97871770000000002</v>
      </c>
      <c r="S3027">
        <v>-0.45429989999999998</v>
      </c>
      <c r="T3027">
        <v>5.5981639999999999E-2</v>
      </c>
      <c r="U3027">
        <v>-3.1012729999999999</v>
      </c>
      <c r="V3027">
        <v>0.14221600000000001</v>
      </c>
      <c r="W3027">
        <v>0.1971985</v>
      </c>
      <c r="X3027">
        <v>0.96999349999999995</v>
      </c>
      <c r="Y3027">
        <v>0.36817689999999997</v>
      </c>
      <c r="Z3027">
        <v>-3.0805349999999999E-2</v>
      </c>
      <c r="AA3027">
        <v>0.92924530000000005</v>
      </c>
      <c r="AB3027">
        <v>23</v>
      </c>
      <c r="AC3027">
        <v>-24.388500000000001</v>
      </c>
      <c r="AD3027">
        <v>2.9992770000000002</v>
      </c>
      <c r="AE3027">
        <v>-165.90266</v>
      </c>
      <c r="AF3027">
        <v>61.807318317653802</v>
      </c>
      <c r="AG3027">
        <v>2.9992770000000002</v>
      </c>
      <c r="AH3027">
        <v>155.821578206136</v>
      </c>
      <c r="AI3027">
        <v>88.974971876526695</v>
      </c>
      <c r="AJ3027">
        <v>68.364028667476902</v>
      </c>
      <c r="AK3027">
        <v>167.65889327677601</v>
      </c>
      <c r="AL3027">
        <v>78.626817622226298</v>
      </c>
      <c r="AM3027">
        <v>81.658983077999096</v>
      </c>
      <c r="AN3027">
        <v>1.0000000145502499</v>
      </c>
    </row>
    <row r="3028" spans="1:40" x14ac:dyDescent="0.25">
      <c r="A3028" t="str">
        <f>"20190304155430043"</f>
        <v>20190304155430043</v>
      </c>
      <c r="B3028" t="str">
        <f>"1551686070040504"</f>
        <v>1551686070040504</v>
      </c>
      <c r="C3028" t="s">
        <v>40</v>
      </c>
      <c r="D3028">
        <v>4.8939349999999999</v>
      </c>
      <c r="E3028">
        <v>0.56999750000000005</v>
      </c>
      <c r="F3028" t="s">
        <v>75</v>
      </c>
      <c r="G3028">
        <v>-210.9025</v>
      </c>
      <c r="H3028">
        <v>1.0245679999999999</v>
      </c>
      <c r="I3028">
        <v>-33.296759999999999</v>
      </c>
      <c r="J3028">
        <v>-186.345</v>
      </c>
      <c r="K3028">
        <v>1.1047689999999999</v>
      </c>
      <c r="L3028">
        <v>194.46360000000001</v>
      </c>
      <c r="M3028">
        <v>0.22073329999999999</v>
      </c>
      <c r="N3028">
        <v>-1.394606E-2</v>
      </c>
      <c r="O3028">
        <v>-0.9752345</v>
      </c>
      <c r="P3028">
        <v>7.8936110000000004E-2</v>
      </c>
      <c r="Q3028">
        <v>0.18611710000000001</v>
      </c>
      <c r="R3028">
        <v>-0.97935179999999999</v>
      </c>
      <c r="S3028">
        <v>-0.33279419999999998</v>
      </c>
      <c r="T3028">
        <v>-1.089811E-3</v>
      </c>
      <c r="U3028">
        <v>-3.0952449999999998</v>
      </c>
      <c r="V3028">
        <v>0.1420053</v>
      </c>
      <c r="W3028">
        <v>0.19768330000000001</v>
      </c>
      <c r="X3028">
        <v>0.96992560000000005</v>
      </c>
      <c r="Y3028">
        <v>0.32371169999999999</v>
      </c>
      <c r="Z3028">
        <v>-1.37856E-2</v>
      </c>
      <c r="AA3028">
        <v>0.94605539999999999</v>
      </c>
      <c r="AB3028">
        <v>23</v>
      </c>
      <c r="AC3028">
        <v>-24.557500000000001</v>
      </c>
      <c r="AD3028">
        <v>-8.0201000000000106E-2</v>
      </c>
      <c r="AE3028">
        <v>-227.76035999999999</v>
      </c>
      <c r="AF3028">
        <v>74.230826575149095</v>
      </c>
      <c r="AG3028">
        <v>-8.0201000000000106E-2</v>
      </c>
      <c r="AH3028">
        <v>216.72015115155099</v>
      </c>
      <c r="AI3028">
        <v>90.020059237687093</v>
      </c>
      <c r="AJ3028">
        <v>71.0926801289867</v>
      </c>
      <c r="AK3028">
        <v>229.08043557096099</v>
      </c>
      <c r="AL3028">
        <v>78.598481886410198</v>
      </c>
      <c r="AM3028">
        <v>81.670592343258903</v>
      </c>
      <c r="AN3028">
        <v>0.99999993093116701</v>
      </c>
    </row>
    <row r="3029" spans="1:40" x14ac:dyDescent="0.25">
      <c r="A3029" t="str">
        <f>"20190304155430064"</f>
        <v>20190304155430064</v>
      </c>
      <c r="B3029" t="str">
        <f>"1551686070059717"</f>
        <v>1551686070059717</v>
      </c>
      <c r="C3029" t="s">
        <v>40</v>
      </c>
      <c r="D3029">
        <v>4.9273629999999997</v>
      </c>
      <c r="E3029">
        <v>0.56933929999999999</v>
      </c>
      <c r="F3029" t="s">
        <v>75</v>
      </c>
      <c r="G3029">
        <v>-211.0027</v>
      </c>
      <c r="H3029">
        <v>0.5037741</v>
      </c>
      <c r="I3029">
        <v>-29.189730000000001</v>
      </c>
      <c r="J3029">
        <v>-186.3038</v>
      </c>
      <c r="K3029">
        <v>1.1047100000000001</v>
      </c>
      <c r="L3029">
        <v>194.23509999999999</v>
      </c>
      <c r="M3029">
        <v>0.21194499999999999</v>
      </c>
      <c r="N3029">
        <v>-1.3916299999999901E-2</v>
      </c>
      <c r="O3029">
        <v>-0.97718249999999995</v>
      </c>
      <c r="P3029">
        <v>7.1393869999999998E-2</v>
      </c>
      <c r="Q3029">
        <v>0.1865098</v>
      </c>
      <c r="R3029">
        <v>-0.97985560000000005</v>
      </c>
      <c r="S3029">
        <v>-0.34092709999999998</v>
      </c>
      <c r="T3029">
        <v>-8.3096030000000005E-3</v>
      </c>
      <c r="U3029">
        <v>-3.0923159999999998</v>
      </c>
      <c r="V3029">
        <v>0.1407553</v>
      </c>
      <c r="W3029">
        <v>0.19804649999999999</v>
      </c>
      <c r="X3029">
        <v>0.97003379999999995</v>
      </c>
      <c r="Y3029">
        <v>0.31774059999999998</v>
      </c>
      <c r="Z3029">
        <v>-1.1563479999999999E-2</v>
      </c>
      <c r="AA3029">
        <v>0.94810720000000004</v>
      </c>
      <c r="AB3029">
        <v>23</v>
      </c>
      <c r="AC3029">
        <v>-24.698899999999998</v>
      </c>
      <c r="AD3029">
        <v>-0.60093589999999997</v>
      </c>
      <c r="AE3029">
        <v>-223.42482999999999</v>
      </c>
      <c r="AF3029">
        <v>71.495521435069193</v>
      </c>
      <c r="AG3029">
        <v>-0.60093589999999997</v>
      </c>
      <c r="AH3029">
        <v>213.111141182945</v>
      </c>
      <c r="AI3029">
        <v>90.153173568539401</v>
      </c>
      <c r="AJ3029">
        <v>71.454186471644405</v>
      </c>
      <c r="AK3029">
        <v>224.785073360144</v>
      </c>
      <c r="AL3029">
        <v>78.577253387572995</v>
      </c>
      <c r="AM3029">
        <v>81.743804827479494</v>
      </c>
      <c r="AN3029">
        <v>1.00000002189138</v>
      </c>
    </row>
    <row r="3030" spans="1:40" x14ac:dyDescent="0.25">
      <c r="A3030" t="str">
        <f>"20190304155430086"</f>
        <v>20190304155430086</v>
      </c>
      <c r="B3030" t="str">
        <f>"1551686070080213"</f>
        <v>1551686070080213</v>
      </c>
      <c r="C3030" t="s">
        <v>40</v>
      </c>
      <c r="D3030">
        <v>4.7898350000000001</v>
      </c>
      <c r="E3030">
        <v>0.56993309999999997</v>
      </c>
      <c r="F3030" t="s">
        <v>75</v>
      </c>
      <c r="G3030">
        <v>-211.28559999999999</v>
      </c>
      <c r="H3030">
        <v>0.1137085</v>
      </c>
      <c r="I3030">
        <v>-20.631589999999999</v>
      </c>
      <c r="J3030">
        <v>-186.2653</v>
      </c>
      <c r="K3030">
        <v>1.104665</v>
      </c>
      <c r="L3030">
        <v>194.0095</v>
      </c>
      <c r="M3030">
        <v>0.2032011</v>
      </c>
      <c r="N3030">
        <v>-1.388851E-2</v>
      </c>
      <c r="O3030">
        <v>-0.97903870000000004</v>
      </c>
      <c r="P3030">
        <v>6.4679459999999994E-2</v>
      </c>
      <c r="Q3030">
        <v>0.187331</v>
      </c>
      <c r="R3030">
        <v>-0.98016539999999996</v>
      </c>
      <c r="S3030">
        <v>-0.35932920000000002</v>
      </c>
      <c r="T3030">
        <v>-1.425421E-2</v>
      </c>
      <c r="U3030">
        <v>-3.0905610000000001</v>
      </c>
      <c r="V3030">
        <v>0.1387217</v>
      </c>
      <c r="W3030">
        <v>0.1988587</v>
      </c>
      <c r="X3030">
        <v>0.97016049999999998</v>
      </c>
      <c r="Y3030">
        <v>0.3148939</v>
      </c>
      <c r="Z3030">
        <v>-9.7197450000000001E-3</v>
      </c>
      <c r="AA3030">
        <v>0.94907710000000001</v>
      </c>
      <c r="AB3030">
        <v>23</v>
      </c>
      <c r="AC3030">
        <v>-25.020299999999899</v>
      </c>
      <c r="AD3030">
        <v>-0.99095650000000002</v>
      </c>
      <c r="AE3030">
        <v>-214.64108999999999</v>
      </c>
      <c r="AF3030">
        <v>68.116273051028003</v>
      </c>
      <c r="AG3030">
        <v>-0.99095650000000002</v>
      </c>
      <c r="AH3030">
        <v>205.07321216213401</v>
      </c>
      <c r="AI3030">
        <v>90.2627481646295</v>
      </c>
      <c r="AJ3030">
        <v>71.625789455281705</v>
      </c>
      <c r="AK3030">
        <v>216.09218170873899</v>
      </c>
      <c r="AL3030">
        <v>78.529772497811294</v>
      </c>
      <c r="AM3030">
        <v>81.862527573915699</v>
      </c>
      <c r="AN3030">
        <v>0.99999994418841298</v>
      </c>
    </row>
    <row r="3031" spans="1:40" x14ac:dyDescent="0.25">
      <c r="A3031" t="str">
        <f>"20190304155430108"</f>
        <v>20190304155430108</v>
      </c>
      <c r="B3031" t="str">
        <f>"1551686070099736"</f>
        <v>1551686070099736</v>
      </c>
      <c r="C3031" t="s">
        <v>40</v>
      </c>
      <c r="D3031">
        <v>4.7686029999999997</v>
      </c>
      <c r="E3031">
        <v>0.56925389999999998</v>
      </c>
      <c r="F3031" t="s">
        <v>58</v>
      </c>
      <c r="G3031">
        <v>-211.07</v>
      </c>
      <c r="H3031">
        <v>0.58854960000000001</v>
      </c>
      <c r="I3031">
        <v>-4.9314689999999999</v>
      </c>
      <c r="J3031">
        <v>-186.22739999999999</v>
      </c>
      <c r="K3031">
        <v>1.104649</v>
      </c>
      <c r="L3031">
        <v>193.7741</v>
      </c>
      <c r="M3031">
        <v>0.19401089999999999</v>
      </c>
      <c r="N3031">
        <v>-1.386038E-2</v>
      </c>
      <c r="O3031">
        <v>-0.98090149999999998</v>
      </c>
      <c r="P3031">
        <v>5.7074550000000002E-2</v>
      </c>
      <c r="Q3031">
        <v>0.18853039999999999</v>
      </c>
      <c r="R3031">
        <v>-0.98040780000000005</v>
      </c>
      <c r="S3031">
        <v>-0.38497920000000002</v>
      </c>
      <c r="T3031">
        <v>-8.0103869999999903E-3</v>
      </c>
      <c r="U3031">
        <v>-3.0876459999999999</v>
      </c>
      <c r="V3031">
        <v>0.13712669999999999</v>
      </c>
      <c r="W3031">
        <v>0.20004649999999999</v>
      </c>
      <c r="X3031">
        <v>0.97014310000000004</v>
      </c>
      <c r="Y3031">
        <v>0.31386920000000001</v>
      </c>
      <c r="Z3031">
        <v>-1.1585160000000001E-2</v>
      </c>
      <c r="AA3031">
        <v>0.94939549999999995</v>
      </c>
      <c r="AB3031">
        <v>23</v>
      </c>
      <c r="AC3031">
        <v>-24.842600000000001</v>
      </c>
      <c r="AD3031">
        <v>-0.51609939999999999</v>
      </c>
      <c r="AE3031">
        <v>-198.705569</v>
      </c>
      <c r="AF3031">
        <v>62.924813600370697</v>
      </c>
      <c r="AG3031">
        <v>-0.51609939999999999</v>
      </c>
      <c r="AH3031">
        <v>190.10784583456399</v>
      </c>
      <c r="AI3031">
        <v>90.147665824489806</v>
      </c>
      <c r="AJ3031">
        <v>71.685696367473795</v>
      </c>
      <c r="AK3031">
        <v>200.25182039894301</v>
      </c>
      <c r="AL3031">
        <v>78.460321577127502</v>
      </c>
      <c r="AM3031">
        <v>81.954716591256997</v>
      </c>
      <c r="AN3031">
        <v>0.99999998424637404</v>
      </c>
    </row>
    <row r="3032" spans="1:40" x14ac:dyDescent="0.25">
      <c r="A3032" t="str">
        <f>"20190304155430129"</f>
        <v>20190304155430129</v>
      </c>
      <c r="B3032" t="str">
        <f>"1551686070120229"</f>
        <v>1551686070120229</v>
      </c>
      <c r="C3032" t="s">
        <v>40</v>
      </c>
      <c r="D3032">
        <v>4.7984349999999996</v>
      </c>
      <c r="E3032">
        <v>0.56819830000000004</v>
      </c>
      <c r="F3032" t="s">
        <v>58</v>
      </c>
      <c r="G3032">
        <v>-210.89699999999999</v>
      </c>
      <c r="H3032">
        <v>0.82656759999999996</v>
      </c>
      <c r="I3032">
        <v>4.9903420000000001</v>
      </c>
      <c r="J3032">
        <v>-186.19300000000001</v>
      </c>
      <c r="K3032">
        <v>1.104643</v>
      </c>
      <c r="L3032">
        <v>193.5463</v>
      </c>
      <c r="M3032">
        <v>0.1850774</v>
      </c>
      <c r="N3032">
        <v>-1.3828979999999999E-2</v>
      </c>
      <c r="O3032">
        <v>-0.98262680000000002</v>
      </c>
      <c r="P3032">
        <v>4.9182440000000001E-2</v>
      </c>
      <c r="Q3032">
        <v>0.1902027</v>
      </c>
      <c r="R3032">
        <v>-0.98051239999999995</v>
      </c>
      <c r="S3032">
        <v>-0.40304570000000001</v>
      </c>
      <c r="T3032">
        <v>-4.5435429999999997E-3</v>
      </c>
      <c r="U3032">
        <v>-3.0843050000000001</v>
      </c>
      <c r="V3032">
        <v>0.13606979999999999</v>
      </c>
      <c r="W3032">
        <v>0.20170009999999999</v>
      </c>
      <c r="X3032">
        <v>0.96994950000000002</v>
      </c>
      <c r="Y3032">
        <v>0.31082739999999998</v>
      </c>
      <c r="Z3032">
        <v>-1.2605730000000001E-2</v>
      </c>
      <c r="AA3032">
        <v>0.95038279999999997</v>
      </c>
      <c r="AB3032">
        <v>23</v>
      </c>
      <c r="AC3032">
        <v>-24.704000000000001</v>
      </c>
      <c r="AD3032">
        <v>-0.27807539999999997</v>
      </c>
      <c r="AE3032">
        <v>-188.555958</v>
      </c>
      <c r="AF3032">
        <v>59.177782020543297</v>
      </c>
      <c r="AG3032">
        <v>-0.27807539999999997</v>
      </c>
      <c r="AH3032">
        <v>180.724852682376</v>
      </c>
      <c r="AI3032">
        <v>90.083781816456806</v>
      </c>
      <c r="AJ3032">
        <v>71.8691293865718</v>
      </c>
      <c r="AK3032">
        <v>190.16718851543601</v>
      </c>
      <c r="AL3032">
        <v>78.363605839832005</v>
      </c>
      <c r="AM3032">
        <v>82.014349672679202</v>
      </c>
      <c r="AN3032">
        <v>0.99999997668114904</v>
      </c>
    </row>
    <row r="3033" spans="1:40" x14ac:dyDescent="0.25">
      <c r="A3033" t="str">
        <f>"20190304155430153"</f>
        <v>20190304155430153</v>
      </c>
      <c r="B3033" t="str">
        <f>"1551686070150485"</f>
        <v>1551686070150485</v>
      </c>
      <c r="C3033" t="s">
        <v>40</v>
      </c>
      <c r="D3033">
        <v>4.6945420000000002</v>
      </c>
      <c r="E3033">
        <v>0.56771329999999998</v>
      </c>
      <c r="F3033" t="s">
        <v>58</v>
      </c>
      <c r="G3033">
        <v>-211.07</v>
      </c>
      <c r="H3033">
        <v>1.0155259999999999</v>
      </c>
      <c r="I3033">
        <v>10.306340000000001</v>
      </c>
      <c r="J3033">
        <v>-186.15960000000001</v>
      </c>
      <c r="K3033">
        <v>1.104657</v>
      </c>
      <c r="L3033">
        <v>193.31139999999999</v>
      </c>
      <c r="M3033">
        <v>0.17583959999999901</v>
      </c>
      <c r="N3033">
        <v>-1.379416E-2</v>
      </c>
      <c r="O3033">
        <v>-0.98432229999999998</v>
      </c>
      <c r="P3033">
        <v>4.1755309999999997E-2</v>
      </c>
      <c r="Q3033">
        <v>0.19136049999999999</v>
      </c>
      <c r="R3033">
        <v>-0.98063160000000005</v>
      </c>
      <c r="S3033">
        <v>-0.41827389999999998</v>
      </c>
      <c r="T3033">
        <v>-1.498461E-3</v>
      </c>
      <c r="U3033">
        <v>-3.0809329999999999</v>
      </c>
      <c r="V3033">
        <v>0.13427339999999999</v>
      </c>
      <c r="W3033">
        <v>0.20285159999999999</v>
      </c>
      <c r="X3033">
        <v>0.96995969999999998</v>
      </c>
      <c r="Y3033">
        <v>0.3066469</v>
      </c>
      <c r="Z3033">
        <v>-1.3499260000000001E-2</v>
      </c>
      <c r="AA3033">
        <v>0.95172760000000001</v>
      </c>
      <c r="AB3033">
        <v>23</v>
      </c>
      <c r="AC3033">
        <v>-24.9103999999999</v>
      </c>
      <c r="AD3033">
        <v>-8.9131000000000002E-2</v>
      </c>
      <c r="AE3033">
        <v>-183.00505999999999</v>
      </c>
      <c r="AF3033">
        <v>56.704774044942198</v>
      </c>
      <c r="AG3033">
        <v>-8.9131000000000002E-2</v>
      </c>
      <c r="AH3033">
        <v>175.77238897395301</v>
      </c>
      <c r="AI3033">
        <v>90.027650426471595</v>
      </c>
      <c r="AJ3033">
        <v>72.120121432771995</v>
      </c>
      <c r="AK3033">
        <v>184.692642163768</v>
      </c>
      <c r="AL3033">
        <v>78.296237041583296</v>
      </c>
      <c r="AM3033">
        <v>82.118524829462103</v>
      </c>
      <c r="AN3033">
        <v>0.99999996859710405</v>
      </c>
    </row>
    <row r="3034" spans="1:40" x14ac:dyDescent="0.25">
      <c r="A3034" t="str">
        <f>"20190304155430176"</f>
        <v>20190304155430176</v>
      </c>
      <c r="B3034" t="str">
        <f>"1551686070170595"</f>
        <v>1551686070170595</v>
      </c>
      <c r="C3034" t="s">
        <v>40</v>
      </c>
      <c r="D3034">
        <v>4.7042679999999999</v>
      </c>
      <c r="E3034">
        <v>0.56636609999999998</v>
      </c>
      <c r="F3034" t="s">
        <v>58</v>
      </c>
      <c r="G3034">
        <v>-211.07</v>
      </c>
      <c r="H3034">
        <v>0.89572879999999999</v>
      </c>
      <c r="I3034">
        <v>17.758659999999999</v>
      </c>
      <c r="J3034">
        <v>-186.12819999999999</v>
      </c>
      <c r="K3034">
        <v>1.104673</v>
      </c>
      <c r="L3034">
        <v>193.07380000000001</v>
      </c>
      <c r="M3034">
        <v>0.16649529999999901</v>
      </c>
      <c r="N3034">
        <v>-1.375735E-2</v>
      </c>
      <c r="O3034">
        <v>-0.9859464</v>
      </c>
      <c r="P3034">
        <v>3.5068559999999999E-2</v>
      </c>
      <c r="Q3034">
        <v>0.1919217</v>
      </c>
      <c r="R3034">
        <v>-0.98078359999999998</v>
      </c>
      <c r="S3034">
        <v>-0.43684390000000001</v>
      </c>
      <c r="T3034">
        <v>-3.6640169999999999E-3</v>
      </c>
      <c r="U3034">
        <v>-3.0785979999999999</v>
      </c>
      <c r="V3034">
        <v>0.1316611</v>
      </c>
      <c r="W3034">
        <v>0.20342270000000001</v>
      </c>
      <c r="X3034">
        <v>0.97019820000000001</v>
      </c>
      <c r="Y3034">
        <v>0.30334549999999999</v>
      </c>
      <c r="Z3034">
        <v>-1.278983E-2</v>
      </c>
      <c r="AA3034">
        <v>0.95279480000000005</v>
      </c>
      <c r="AB3034">
        <v>23</v>
      </c>
      <c r="AC3034">
        <v>-24.941800000000001</v>
      </c>
      <c r="AD3034">
        <v>-0.2089442</v>
      </c>
      <c r="AE3034">
        <v>-175.31513999999899</v>
      </c>
      <c r="AF3034">
        <v>53.785433142660601</v>
      </c>
      <c r="AG3034">
        <v>-0.2089442</v>
      </c>
      <c r="AH3034">
        <v>168.71434902503299</v>
      </c>
      <c r="AI3034">
        <v>90.067605604084406</v>
      </c>
      <c r="AJ3034">
        <v>72.317934692210301</v>
      </c>
      <c r="AK3034">
        <v>177.08034346861601</v>
      </c>
      <c r="AL3034">
        <v>78.262818955710102</v>
      </c>
      <c r="AM3034">
        <v>82.271864929678998</v>
      </c>
      <c r="AN3034">
        <v>0.99999999370587001</v>
      </c>
    </row>
    <row r="3035" spans="1:40" x14ac:dyDescent="0.25">
      <c r="A3035" t="str">
        <f>"20190304155430197"</f>
        <v>20190304155430197</v>
      </c>
      <c r="B3035" t="str">
        <f>"1551686070190116"</f>
        <v>1551686070190116</v>
      </c>
      <c r="C3035" t="s">
        <v>40</v>
      </c>
      <c r="D3035">
        <v>4.6737929999999999</v>
      </c>
      <c r="E3035">
        <v>0.56503800000000004</v>
      </c>
      <c r="F3035" t="s">
        <v>44</v>
      </c>
      <c r="G3035">
        <v>-203.084</v>
      </c>
      <c r="H3035">
        <v>0.98862620000000001</v>
      </c>
      <c r="I3035">
        <v>76.411799999999999</v>
      </c>
      <c r="J3035">
        <v>-186.0994</v>
      </c>
      <c r="K3035">
        <v>1.1046940000000001</v>
      </c>
      <c r="L3035">
        <v>192.8398</v>
      </c>
      <c r="M3035">
        <v>0.15730089999999999</v>
      </c>
      <c r="N3035">
        <v>-1.371812E-2</v>
      </c>
      <c r="O3035">
        <v>-0.98745550000000004</v>
      </c>
      <c r="P3035">
        <v>2.9752589999999999E-2</v>
      </c>
      <c r="Q3035">
        <v>0.19308500000000001</v>
      </c>
      <c r="R3035">
        <v>-0.98073080000000001</v>
      </c>
      <c r="S3035">
        <v>-0.44697569999999998</v>
      </c>
      <c r="T3035">
        <v>-3.0591490000000002E-3</v>
      </c>
      <c r="U3035">
        <v>-3.075348</v>
      </c>
      <c r="V3035">
        <v>0.1278378</v>
      </c>
      <c r="W3035">
        <v>0.20461209999999999</v>
      </c>
      <c r="X3035">
        <v>0.97045939999999997</v>
      </c>
      <c r="Y3035">
        <v>0.29767749999999998</v>
      </c>
      <c r="Z3035">
        <v>-1.292753E-2</v>
      </c>
      <c r="AA3035">
        <v>0.95457890000000001</v>
      </c>
      <c r="AB3035">
        <v>23</v>
      </c>
      <c r="AC3035">
        <v>-16.9846</v>
      </c>
      <c r="AD3035">
        <v>-0.1160678</v>
      </c>
      <c r="AE3035">
        <v>-116.428</v>
      </c>
      <c r="AF3035">
        <v>35.089031346611897</v>
      </c>
      <c r="AG3035">
        <v>-0.1160678</v>
      </c>
      <c r="AH3035">
        <v>112.30622759619</v>
      </c>
      <c r="AI3035">
        <v>90.056520313817202</v>
      </c>
      <c r="AJ3035">
        <v>72.6490731069307</v>
      </c>
      <c r="AK3035">
        <v>117.660283653682</v>
      </c>
      <c r="AL3035">
        <v>78.193207669506094</v>
      </c>
      <c r="AM3035">
        <v>82.495682535875503</v>
      </c>
      <c r="AN3035">
        <v>1.0000000308118</v>
      </c>
    </row>
    <row r="3036" spans="1:40" x14ac:dyDescent="0.25">
      <c r="A3036" t="str">
        <f>"20190304155430220"</f>
        <v>20190304155430220</v>
      </c>
      <c r="B3036" t="str">
        <f>"1551686070209636"</f>
        <v>1551686070209636</v>
      </c>
      <c r="C3036" t="s">
        <v>40</v>
      </c>
      <c r="D3036">
        <v>4.6103589999999999</v>
      </c>
      <c r="E3036">
        <v>0.5643705</v>
      </c>
      <c r="F3036" t="s">
        <v>44</v>
      </c>
      <c r="G3036">
        <v>-203.31440000000001</v>
      </c>
      <c r="H3036">
        <v>1.087059</v>
      </c>
      <c r="I3036">
        <v>76.306089999999998</v>
      </c>
      <c r="J3036">
        <v>-186.07320000000001</v>
      </c>
      <c r="K3036">
        <v>1.104727</v>
      </c>
      <c r="L3036">
        <v>192.60929999999999</v>
      </c>
      <c r="M3036">
        <v>0.14827479999999901</v>
      </c>
      <c r="N3036">
        <v>-1.3674449999999999E-2</v>
      </c>
      <c r="O3036">
        <v>-0.9888517</v>
      </c>
      <c r="P3036">
        <v>2.527542E-2</v>
      </c>
      <c r="Q3036">
        <v>0.19462740000000001</v>
      </c>
      <c r="R3036">
        <v>-0.98055170000000003</v>
      </c>
      <c r="S3036">
        <v>-0.4539337</v>
      </c>
      <c r="T3036">
        <v>-4.6503540000000001E-4</v>
      </c>
      <c r="U3036">
        <v>-3.0728149999999999</v>
      </c>
      <c r="V3036">
        <v>0.1233522</v>
      </c>
      <c r="W3036">
        <v>0.20618800000000001</v>
      </c>
      <c r="X3036">
        <v>0.97070630000000002</v>
      </c>
      <c r="Y3036">
        <v>0.29117949999999998</v>
      </c>
      <c r="Z3036">
        <v>-1.3680319999999999E-2</v>
      </c>
      <c r="AA3036">
        <v>0.95657060000000005</v>
      </c>
      <c r="AB3036">
        <v>23</v>
      </c>
      <c r="AC3036">
        <v>-17.2411999999999</v>
      </c>
      <c r="AD3036">
        <v>-1.7668E-2</v>
      </c>
      <c r="AE3036">
        <v>-116.30321000000001</v>
      </c>
      <c r="AF3036">
        <v>34.297029549356402</v>
      </c>
      <c r="AG3036">
        <v>-1.7668E-2</v>
      </c>
      <c r="AH3036">
        <v>112.46069879526</v>
      </c>
      <c r="AI3036">
        <v>90.008609896840795</v>
      </c>
      <c r="AJ3036">
        <v>73.039917872949303</v>
      </c>
      <c r="AK3036">
        <v>117.57421197518499</v>
      </c>
      <c r="AL3036">
        <v>78.100947584648495</v>
      </c>
      <c r="AM3036">
        <v>82.757971621071604</v>
      </c>
      <c r="AN3036">
        <v>0.99999998872426399</v>
      </c>
    </row>
    <row r="3037" spans="1:40" x14ac:dyDescent="0.25">
      <c r="A3037" t="str">
        <f>"20190304155430255"</f>
        <v>20190304155430255</v>
      </c>
      <c r="B3037" t="str">
        <f>"1551686070249648"</f>
        <v>1551686070249648</v>
      </c>
      <c r="C3037" t="s">
        <v>40</v>
      </c>
      <c r="D3037">
        <v>4.4937399999999998</v>
      </c>
      <c r="E3037">
        <v>0.54972749999999904</v>
      </c>
      <c r="F3037" t="s">
        <v>58</v>
      </c>
      <c r="G3037">
        <v>-210.7938</v>
      </c>
      <c r="H3037">
        <v>1.340287</v>
      </c>
      <c r="I3037">
        <v>28.793530000000001</v>
      </c>
      <c r="J3037">
        <v>-186.03700000000001</v>
      </c>
      <c r="K3037">
        <v>1.1047929999999999</v>
      </c>
      <c r="L3037">
        <v>192.25280000000001</v>
      </c>
      <c r="M3037">
        <v>0.13443469999999999</v>
      </c>
      <c r="N3037">
        <v>-1.359718E-2</v>
      </c>
      <c r="O3037">
        <v>-0.99082919999999997</v>
      </c>
      <c r="P3037">
        <v>1.649314E-2</v>
      </c>
      <c r="Q3037">
        <v>0.19742009999999999</v>
      </c>
      <c r="R3037">
        <v>-0.98018050000000001</v>
      </c>
      <c r="S3037">
        <v>-0.46336359999999899</v>
      </c>
      <c r="T3037">
        <v>4.4151540000000001E-3</v>
      </c>
      <c r="U3037">
        <v>-3.0705719999999999</v>
      </c>
      <c r="V3037">
        <v>0.1183826</v>
      </c>
      <c r="W3037">
        <v>0.2089984</v>
      </c>
      <c r="X3037">
        <v>0.97072400000000003</v>
      </c>
      <c r="Y3037">
        <v>0.28076230000000002</v>
      </c>
      <c r="Z3037">
        <v>-1.511701E-2</v>
      </c>
      <c r="AA3037">
        <v>0.95965829999999996</v>
      </c>
      <c r="AB3037">
        <v>23</v>
      </c>
      <c r="AC3037">
        <v>-24.756799999999998</v>
      </c>
      <c r="AD3037">
        <v>0.23549399999999901</v>
      </c>
      <c r="AE3037">
        <v>-163.45927</v>
      </c>
      <c r="AF3037">
        <v>46.508561676671697</v>
      </c>
      <c r="AG3037">
        <v>0.23549399999999901</v>
      </c>
      <c r="AH3037">
        <v>158.64638310226101</v>
      </c>
      <c r="AI3037">
        <v>89.918385242544005</v>
      </c>
      <c r="AJ3037">
        <v>73.661043824002405</v>
      </c>
      <c r="AK3037">
        <v>165.32324893397899</v>
      </c>
      <c r="AL3037">
        <v>77.936336722450307</v>
      </c>
      <c r="AM3037">
        <v>83.046948059232705</v>
      </c>
      <c r="AN3037">
        <v>0.99999992768065704</v>
      </c>
    </row>
    <row r="3038" spans="1:40" x14ac:dyDescent="0.25">
      <c r="A3038" t="str">
        <f>"20190304155430276"</f>
        <v>20190304155430276</v>
      </c>
      <c r="B3038" t="str">
        <f>"1551686070270020"</f>
        <v>1551686070270020</v>
      </c>
      <c r="C3038" t="s">
        <v>40</v>
      </c>
      <c r="D3038">
        <v>4.4859080000000002</v>
      </c>
      <c r="E3038">
        <v>0.53563359999999904</v>
      </c>
      <c r="F3038" t="s">
        <v>75</v>
      </c>
      <c r="G3038">
        <v>-211.86789999999999</v>
      </c>
      <c r="H3038">
        <v>1.330972</v>
      </c>
      <c r="I3038">
        <v>-20.631989999999998</v>
      </c>
      <c r="J3038">
        <v>-186.01519999999999</v>
      </c>
      <c r="K3038">
        <v>1.1048610000000001</v>
      </c>
      <c r="L3038">
        <v>192.0128</v>
      </c>
      <c r="M3038">
        <v>0.12521769999999999</v>
      </c>
      <c r="N3038">
        <v>-1.353919E-2</v>
      </c>
      <c r="O3038">
        <v>-0.9920369</v>
      </c>
      <c r="P3038">
        <v>9.5895679999999997E-3</v>
      </c>
      <c r="Q3038">
        <v>0.1985362</v>
      </c>
      <c r="R3038">
        <v>-0.98004669999999905</v>
      </c>
      <c r="S3038">
        <v>-0.37205510000000003</v>
      </c>
      <c r="T3038">
        <v>3.2577510000000001E-3</v>
      </c>
      <c r="U3038">
        <v>-3.066284</v>
      </c>
      <c r="V3038">
        <v>0.1161379</v>
      </c>
      <c r="W3038">
        <v>0.2101104</v>
      </c>
      <c r="X3038">
        <v>0.97075520000000004</v>
      </c>
      <c r="Y3038">
        <v>0.2437896</v>
      </c>
      <c r="Z3038">
        <v>-1.467242E-2</v>
      </c>
      <c r="AA3038">
        <v>0.9697171</v>
      </c>
      <c r="AB3038">
        <v>23</v>
      </c>
      <c r="AC3038">
        <v>-25.852699999999999</v>
      </c>
      <c r="AD3038">
        <v>0.22611099999999901</v>
      </c>
      <c r="AE3038">
        <v>-212.64479</v>
      </c>
      <c r="AF3038">
        <v>52.278457617658397</v>
      </c>
      <c r="AG3038">
        <v>0.22611099999999901</v>
      </c>
      <c r="AH3038">
        <v>207.73307254348001</v>
      </c>
      <c r="AI3038">
        <v>89.939521119091694</v>
      </c>
      <c r="AJ3038">
        <v>75.874183870619007</v>
      </c>
      <c r="AK3038">
        <v>214.21045185849499</v>
      </c>
      <c r="AL3038">
        <v>77.871178266767998</v>
      </c>
      <c r="AM3038">
        <v>83.177750366216202</v>
      </c>
      <c r="AN3038">
        <v>1.0000000251658001</v>
      </c>
    </row>
    <row r="3039" spans="1:40" x14ac:dyDescent="0.25">
      <c r="A3039" t="str">
        <f>"20190304155430299"</f>
        <v>20190304155430299</v>
      </c>
      <c r="B3039" t="str">
        <f>"1551686070290513"</f>
        <v>1551686070290513</v>
      </c>
      <c r="C3039" t="s">
        <v>40</v>
      </c>
      <c r="D3039">
        <v>4.4499630000000003</v>
      </c>
      <c r="E3039">
        <v>0.53663590000000005</v>
      </c>
      <c r="F3039" t="s">
        <v>62</v>
      </c>
      <c r="G3039">
        <v>-189.41589999999999</v>
      </c>
      <c r="H3039" s="1">
        <v>-1.2934109999999999E-5</v>
      </c>
      <c r="I3039">
        <v>154.85429999999999</v>
      </c>
      <c r="J3039">
        <v>-185.9967</v>
      </c>
      <c r="K3039">
        <v>1.10494</v>
      </c>
      <c r="L3039">
        <v>191.78809999999999</v>
      </c>
      <c r="M3039">
        <v>0.1167031</v>
      </c>
      <c r="N3039">
        <v>-1.348003E-2</v>
      </c>
      <c r="O3039">
        <v>-0.99307540000000005</v>
      </c>
      <c r="P3039">
        <v>3.6446740000000001E-3</v>
      </c>
      <c r="Q3039">
        <v>0.19778989999999999</v>
      </c>
      <c r="R3039">
        <v>-0.98023769999999999</v>
      </c>
      <c r="S3039">
        <v>-0.28210449999999998</v>
      </c>
      <c r="T3039">
        <v>-9.1652869999999997E-2</v>
      </c>
      <c r="U3039">
        <v>-3.0824129999999998</v>
      </c>
      <c r="V3039">
        <v>0.1136532</v>
      </c>
      <c r="W3039">
        <v>0.209371</v>
      </c>
      <c r="X3039">
        <v>0.97120890000000004</v>
      </c>
      <c r="Y3039">
        <v>0.2066733</v>
      </c>
      <c r="Z3039">
        <v>1.548535E-2</v>
      </c>
      <c r="AA3039">
        <v>0.97828749999999998</v>
      </c>
      <c r="AB3039">
        <v>23</v>
      </c>
      <c r="AC3039">
        <v>-3.41919999999998</v>
      </c>
      <c r="AD3039">
        <v>-1.10495293411</v>
      </c>
      <c r="AE3039">
        <v>-36.933799999999898</v>
      </c>
      <c r="AF3039">
        <v>7.6996793710356997</v>
      </c>
      <c r="AG3039">
        <v>-1.10495293411</v>
      </c>
      <c r="AH3039">
        <v>36.250142803696299</v>
      </c>
      <c r="AI3039">
        <v>91.707834951768206</v>
      </c>
      <c r="AJ3039">
        <v>78.008357435348003</v>
      </c>
      <c r="AK3039">
        <v>37.075313035653899</v>
      </c>
      <c r="AL3039">
        <v>77.914506162467703</v>
      </c>
      <c r="AM3039">
        <v>83.325467245380395</v>
      </c>
      <c r="AN3039">
        <v>0.99999999647522497</v>
      </c>
    </row>
    <row r="3040" spans="1:40" x14ac:dyDescent="0.25">
      <c r="A3040" t="str">
        <f>"20190304155430320"</f>
        <v>20190304155430320</v>
      </c>
      <c r="B3040" t="str">
        <f>"1551686070310037"</f>
        <v>1551686070310037</v>
      </c>
      <c r="C3040" t="s">
        <v>40</v>
      </c>
      <c r="D3040">
        <v>4.4008440000000002</v>
      </c>
      <c r="E3040">
        <v>0.53721929999999996</v>
      </c>
      <c r="F3040" t="s">
        <v>62</v>
      </c>
      <c r="G3040">
        <v>-189.42920000000001</v>
      </c>
      <c r="H3040" s="1">
        <v>-1.399841E-5</v>
      </c>
      <c r="I3040">
        <v>157.334</v>
      </c>
      <c r="J3040">
        <v>-185.97970000000001</v>
      </c>
      <c r="K3040">
        <v>1.105054</v>
      </c>
      <c r="L3040">
        <v>191.56030000000001</v>
      </c>
      <c r="M3040">
        <v>0.1082335</v>
      </c>
      <c r="N3040">
        <v>-1.341526E-2</v>
      </c>
      <c r="O3040">
        <v>-0.99403490000000005</v>
      </c>
      <c r="P3040">
        <v>-1.4561999999999999E-3</v>
      </c>
      <c r="Q3040">
        <v>0.19631219999999999</v>
      </c>
      <c r="R3040">
        <v>-0.98054030000000003</v>
      </c>
      <c r="S3040">
        <v>-0.30700680000000002</v>
      </c>
      <c r="T3040">
        <v>-9.8826650000000002E-2</v>
      </c>
      <c r="U3040">
        <v>-3.0815579999999998</v>
      </c>
      <c r="V3040">
        <v>0.1103686</v>
      </c>
      <c r="W3040">
        <v>0.2079155</v>
      </c>
      <c r="X3040">
        <v>0.97190019999999999</v>
      </c>
      <c r="Y3040">
        <v>0.2061848</v>
      </c>
      <c r="Z3040">
        <v>1.7865260000000001E-2</v>
      </c>
      <c r="AA3040">
        <v>0.97835000000000005</v>
      </c>
      <c r="AB3040">
        <v>23</v>
      </c>
      <c r="AC3040">
        <v>-3.4495</v>
      </c>
      <c r="AD3040">
        <v>-1.10506799841</v>
      </c>
      <c r="AE3040">
        <v>-34.226300000000002</v>
      </c>
      <c r="AF3040">
        <v>7.1266436563277402</v>
      </c>
      <c r="AG3040">
        <v>-1.10506799841</v>
      </c>
      <c r="AH3040">
        <v>33.617124163783799</v>
      </c>
      <c r="AI3040">
        <v>91.8418549367248</v>
      </c>
      <c r="AJ3040">
        <v>78.030818090747303</v>
      </c>
      <c r="AK3040">
        <v>34.381990374738898</v>
      </c>
      <c r="AL3040">
        <v>77.999777371914007</v>
      </c>
      <c r="AM3040">
        <v>83.521268386375894</v>
      </c>
      <c r="AN3040">
        <v>1.00000004088312</v>
      </c>
    </row>
    <row r="3041" spans="1:40" x14ac:dyDescent="0.25">
      <c r="A3041" t="str">
        <f>"20190304155430343"</f>
        <v>20190304155430343</v>
      </c>
      <c r="B3041" t="str">
        <f>"1551686070340289"</f>
        <v>1551686070340289</v>
      </c>
      <c r="C3041" t="s">
        <v>40</v>
      </c>
      <c r="D3041">
        <v>4.3876480000000004</v>
      </c>
      <c r="E3041">
        <v>0.53704249999999998</v>
      </c>
      <c r="F3041" t="s">
        <v>62</v>
      </c>
      <c r="G3041">
        <v>-189.8775</v>
      </c>
      <c r="H3041" s="1">
        <v>-1.2944279999999999E-5</v>
      </c>
      <c r="I3041">
        <v>154.8768</v>
      </c>
      <c r="J3041">
        <v>-185.964</v>
      </c>
      <c r="K3041">
        <v>1.105197</v>
      </c>
      <c r="L3041">
        <v>191.3237</v>
      </c>
      <c r="M3041">
        <v>9.9679539999999997E-2</v>
      </c>
      <c r="N3041">
        <v>-1.333938E-2</v>
      </c>
      <c r="O3041">
        <v>-0.99493030000000005</v>
      </c>
      <c r="P3041">
        <v>-7.0565929999999999E-3</v>
      </c>
      <c r="Q3041">
        <v>0.19462589999999999</v>
      </c>
      <c r="R3041">
        <v>-0.98085219999999995</v>
      </c>
      <c r="S3041">
        <v>-0.3270111</v>
      </c>
      <c r="T3041">
        <v>-9.2711089999999996E-2</v>
      </c>
      <c r="U3041">
        <v>-3.0776059999999998</v>
      </c>
      <c r="V3041">
        <v>0.1074788</v>
      </c>
      <c r="W3041">
        <v>0.20624500000000001</v>
      </c>
      <c r="X3041">
        <v>0.97257969999999905</v>
      </c>
      <c r="Y3041">
        <v>0.20419119999999999</v>
      </c>
      <c r="Z3041">
        <v>1.6078510000000001E-2</v>
      </c>
      <c r="AA3041">
        <v>0.97879899999999997</v>
      </c>
      <c r="AB3041">
        <v>23</v>
      </c>
      <c r="AC3041">
        <v>-3.9134999999999698</v>
      </c>
      <c r="AD3041">
        <v>-1.1052099442799901</v>
      </c>
      <c r="AE3041">
        <v>-36.446899999999999</v>
      </c>
      <c r="AF3041">
        <v>7.5205021969677004</v>
      </c>
      <c r="AG3041">
        <v>-1.1052099442799901</v>
      </c>
      <c r="AH3041">
        <v>35.842633799570002</v>
      </c>
      <c r="AI3041">
        <v>91.728543772184096</v>
      </c>
      <c r="AJ3041">
        <v>78.150097689331503</v>
      </c>
      <c r="AK3041">
        <v>36.639784933943197</v>
      </c>
      <c r="AL3041">
        <v>78.097609914983806</v>
      </c>
      <c r="AM3041">
        <v>83.693888801137604</v>
      </c>
      <c r="AN3041">
        <v>0.99999998266326395</v>
      </c>
    </row>
    <row r="3042" spans="1:40" x14ac:dyDescent="0.25">
      <c r="A3042" t="str">
        <f>"20190304155430365"</f>
        <v>20190304155430365</v>
      </c>
      <c r="B3042" t="str">
        <f>"1551686070360317"</f>
        <v>1551686070360317</v>
      </c>
      <c r="C3042" t="s">
        <v>40</v>
      </c>
      <c r="D3042">
        <v>4.419899</v>
      </c>
      <c r="E3042">
        <v>0.53652500000000003</v>
      </c>
      <c r="F3042" t="s">
        <v>62</v>
      </c>
      <c r="G3042">
        <v>-190.19739999999999</v>
      </c>
      <c r="H3042" s="1">
        <v>-1.2333349999999999E-5</v>
      </c>
      <c r="I3042">
        <v>153.3537</v>
      </c>
      <c r="J3042">
        <v>-185.95009999999999</v>
      </c>
      <c r="K3042">
        <v>1.1053789999999999</v>
      </c>
      <c r="L3042">
        <v>191.0883</v>
      </c>
      <c r="M3042">
        <v>9.1453880000000001E-2</v>
      </c>
      <c r="N3042">
        <v>-1.3258610000000001E-2</v>
      </c>
      <c r="O3042">
        <v>-0.99572110000000003</v>
      </c>
      <c r="P3042">
        <v>-1.263588E-2</v>
      </c>
      <c r="Q3042">
        <v>0.19381010000000001</v>
      </c>
      <c r="R3042">
        <v>-0.98095779999999999</v>
      </c>
      <c r="S3042">
        <v>-0.34271239999999997</v>
      </c>
      <c r="T3042">
        <v>-8.9472410000000002E-2</v>
      </c>
      <c r="U3042">
        <v>-3.073868</v>
      </c>
      <c r="V3042">
        <v>0.10487009999999999</v>
      </c>
      <c r="W3042">
        <v>0.20543910000000001</v>
      </c>
      <c r="X3042">
        <v>0.97303499999999998</v>
      </c>
      <c r="Y3042">
        <v>0.2011706</v>
      </c>
      <c r="Z3042">
        <v>1.520298E-2</v>
      </c>
      <c r="AA3042">
        <v>0.97943820000000004</v>
      </c>
      <c r="AB3042">
        <v>23</v>
      </c>
      <c r="AC3042">
        <v>-4.2472999999999903</v>
      </c>
      <c r="AD3042">
        <v>-1.1053913333499901</v>
      </c>
      <c r="AE3042">
        <v>-37.7346</v>
      </c>
      <c r="AF3042">
        <v>7.6742733847890898</v>
      </c>
      <c r="AG3042">
        <v>-1.1053913333499901</v>
      </c>
      <c r="AH3042">
        <v>37.156485910594697</v>
      </c>
      <c r="AI3042">
        <v>91.668822631764897</v>
      </c>
      <c r="AJ3042">
        <v>78.330262780986104</v>
      </c>
      <c r="AK3042">
        <v>37.956828202690303</v>
      </c>
      <c r="AL3042">
        <v>78.144795691713497</v>
      </c>
      <c r="AM3042">
        <v>83.848617853384695</v>
      </c>
      <c r="AN3042">
        <v>1.0000000364538999</v>
      </c>
    </row>
    <row r="3043" spans="1:40" x14ac:dyDescent="0.25">
      <c r="A3043" t="str">
        <f>"20190304155430388"</f>
        <v>20190304155430388</v>
      </c>
      <c r="B3043" t="str">
        <f>"1551686070379846"</f>
        <v>1551686070379846</v>
      </c>
      <c r="C3043" t="s">
        <v>40</v>
      </c>
      <c r="D3043">
        <v>4.42645</v>
      </c>
      <c r="E3043">
        <v>0.53617890000000001</v>
      </c>
      <c r="F3043" t="s">
        <v>62</v>
      </c>
      <c r="G3043">
        <v>-190.30879999999999</v>
      </c>
      <c r="H3043" s="1">
        <v>-1.23311E-5</v>
      </c>
      <c r="I3043">
        <v>153.30240000000001</v>
      </c>
      <c r="J3043">
        <v>-185.93780000000001</v>
      </c>
      <c r="K3043">
        <v>1.105566</v>
      </c>
      <c r="L3043">
        <v>190.85140000000001</v>
      </c>
      <c r="M3043">
        <v>8.3428269999999999E-2</v>
      </c>
      <c r="N3043">
        <v>-1.3178769999999999E-2</v>
      </c>
      <c r="O3043">
        <v>-0.99642660000000005</v>
      </c>
      <c r="P3043">
        <v>-1.859098E-2</v>
      </c>
      <c r="Q3043">
        <v>0.19382240000000001</v>
      </c>
      <c r="R3043">
        <v>-0.98086039999999997</v>
      </c>
      <c r="S3043">
        <v>-0.35429379999999999</v>
      </c>
      <c r="T3043">
        <v>-8.9851739999999999E-2</v>
      </c>
      <c r="U3043">
        <v>-3.0714260000000002</v>
      </c>
      <c r="V3043">
        <v>0.1028317</v>
      </c>
      <c r="W3043">
        <v>0.2054503</v>
      </c>
      <c r="X3043">
        <v>0.97325019999999995</v>
      </c>
      <c r="Y3043">
        <v>0.1970093</v>
      </c>
      <c r="Z3043">
        <v>1.5467649999999999E-2</v>
      </c>
      <c r="AA3043">
        <v>0.98027960000000003</v>
      </c>
      <c r="AB3043">
        <v>23</v>
      </c>
      <c r="AC3043">
        <v>-4.37099999999998</v>
      </c>
      <c r="AD3043">
        <v>-1.1055783311</v>
      </c>
      <c r="AE3043">
        <v>-37.548999999999999</v>
      </c>
      <c r="AF3043">
        <v>7.4822795399923496</v>
      </c>
      <c r="AG3043">
        <v>-1.1055783311</v>
      </c>
      <c r="AH3043">
        <v>37.021710669017097</v>
      </c>
      <c r="AI3043">
        <v>91.676634258050896</v>
      </c>
      <c r="AJ3043">
        <v>78.574135778869405</v>
      </c>
      <c r="AK3043">
        <v>37.7864244328727</v>
      </c>
      <c r="AL3043">
        <v>78.144140372107699</v>
      </c>
      <c r="AM3043">
        <v>83.9686183300376</v>
      </c>
      <c r="AN3043">
        <v>1.0000000680475001</v>
      </c>
    </row>
    <row r="3044" spans="1:40" x14ac:dyDescent="0.25">
      <c r="A3044" t="str">
        <f>"20190304155430410"</f>
        <v>20190304155430410</v>
      </c>
      <c r="B3044" t="str">
        <f>"1551686070400337"</f>
        <v>1551686070400337</v>
      </c>
      <c r="C3044" t="s">
        <v>40</v>
      </c>
      <c r="D3044">
        <v>4.393624</v>
      </c>
      <c r="E3044">
        <v>0.53586069999999997</v>
      </c>
      <c r="F3044" t="s">
        <v>62</v>
      </c>
      <c r="G3044">
        <v>-190.51320000000001</v>
      </c>
      <c r="H3044" s="1">
        <v>-1.2131119999999999E-5</v>
      </c>
      <c r="I3044">
        <v>152.7517</v>
      </c>
      <c r="J3044">
        <v>-185.9271</v>
      </c>
      <c r="K3044">
        <v>1.1057509999999999</v>
      </c>
      <c r="L3044">
        <v>190.61660000000001</v>
      </c>
      <c r="M3044">
        <v>7.5746789999999994E-2</v>
      </c>
      <c r="N3044">
        <v>-1.309947E-2</v>
      </c>
      <c r="O3044">
        <v>-0.99704090000000001</v>
      </c>
      <c r="P3044">
        <v>-2.3302059999999999E-2</v>
      </c>
      <c r="Q3044">
        <v>0.1932246</v>
      </c>
      <c r="R3044">
        <v>-0.98087769999999996</v>
      </c>
      <c r="S3044">
        <v>-0.36857600000000001</v>
      </c>
      <c r="T3044">
        <v>-8.9060780000000006E-2</v>
      </c>
      <c r="U3044">
        <v>-3.069153</v>
      </c>
      <c r="V3044">
        <v>9.9904110000000004E-2</v>
      </c>
      <c r="W3044">
        <v>0.20486090000000001</v>
      </c>
      <c r="X3044">
        <v>0.97367919999999997</v>
      </c>
      <c r="Y3044">
        <v>0.1940366</v>
      </c>
      <c r="Z3044">
        <v>1.534667E-2</v>
      </c>
      <c r="AA3044">
        <v>0.98087420000000003</v>
      </c>
      <c r="AB3044">
        <v>23</v>
      </c>
      <c r="AC3044">
        <v>-4.5861000000000098</v>
      </c>
      <c r="AD3044">
        <v>-1.10576313112</v>
      </c>
      <c r="AE3044">
        <v>-37.864899999999999</v>
      </c>
      <c r="AF3044">
        <v>7.4350643846605404</v>
      </c>
      <c r="AG3044">
        <v>-1.10576313112</v>
      </c>
      <c r="AH3044">
        <v>37.377271678732697</v>
      </c>
      <c r="AI3044">
        <v>91.661990985634105</v>
      </c>
      <c r="AJ3044">
        <v>78.749612502177897</v>
      </c>
      <c r="AK3044">
        <v>38.125625668990402</v>
      </c>
      <c r="AL3044">
        <v>78.178643633982901</v>
      </c>
      <c r="AM3044">
        <v>84.141681793610104</v>
      </c>
      <c r="AN3044">
        <v>1.0000000020281701</v>
      </c>
    </row>
    <row r="3045" spans="1:40" x14ac:dyDescent="0.25">
      <c r="A3045" t="str">
        <f>"20190304155430432"</f>
        <v>20190304155430432</v>
      </c>
      <c r="B3045" t="str">
        <f>"1551686070419864"</f>
        <v>1551686070419864</v>
      </c>
      <c r="C3045" t="s">
        <v>40</v>
      </c>
      <c r="D3045">
        <v>4.4558660000000003</v>
      </c>
      <c r="E3045">
        <v>0.53537049999999997</v>
      </c>
      <c r="F3045" t="s">
        <v>62</v>
      </c>
      <c r="G3045">
        <v>-190.49260000000001</v>
      </c>
      <c r="H3045" s="1">
        <v>-1.256768E-5</v>
      </c>
      <c r="I3045">
        <v>153.77780000000001</v>
      </c>
      <c r="J3045">
        <v>-185.91820000000001</v>
      </c>
      <c r="K3045">
        <v>1.1059319999999999</v>
      </c>
      <c r="L3045">
        <v>190.39070000000001</v>
      </c>
      <c r="M3045">
        <v>6.8652350000000001E-2</v>
      </c>
      <c r="N3045">
        <v>-1.302059E-2</v>
      </c>
      <c r="O3045">
        <v>-0.99755570000000005</v>
      </c>
      <c r="P3045">
        <v>-2.6696270000000001E-2</v>
      </c>
      <c r="Q3045">
        <v>0.19355459999999999</v>
      </c>
      <c r="R3045">
        <v>-0.98072619999999999</v>
      </c>
      <c r="S3045">
        <v>-0.38017269999999997</v>
      </c>
      <c r="T3045">
        <v>-9.2077969999999995E-2</v>
      </c>
      <c r="U3045">
        <v>-3.067596</v>
      </c>
      <c r="V3045">
        <v>9.6243789999999996E-2</v>
      </c>
      <c r="W3045">
        <v>0.20520150000000001</v>
      </c>
      <c r="X3045">
        <v>0.97397610000000001</v>
      </c>
      <c r="Y3045">
        <v>0.19076770000000001</v>
      </c>
      <c r="Z3045">
        <v>1.643559E-2</v>
      </c>
      <c r="AA3045">
        <v>0.98149759999999997</v>
      </c>
      <c r="AB3045">
        <v>23</v>
      </c>
      <c r="AC3045">
        <v>-4.57439999999999</v>
      </c>
      <c r="AD3045">
        <v>-1.1059445676799999</v>
      </c>
      <c r="AE3045">
        <v>-36.612900000000003</v>
      </c>
      <c r="AF3045">
        <v>7.07102754546505</v>
      </c>
      <c r="AG3045">
        <v>-1.1059445676799999</v>
      </c>
      <c r="AH3045">
        <v>36.179928372677999</v>
      </c>
      <c r="AI3045">
        <v>91.718375836294499</v>
      </c>
      <c r="AJ3045">
        <v>78.941472278788794</v>
      </c>
      <c r="AK3045">
        <v>36.881021691211501</v>
      </c>
      <c r="AL3045">
        <v>78.158704878056</v>
      </c>
      <c r="AM3045">
        <v>84.356618080272</v>
      </c>
      <c r="AN3045">
        <v>0.99999998304351101</v>
      </c>
    </row>
    <row r="3046" spans="1:40" x14ac:dyDescent="0.25">
      <c r="A3046" t="str">
        <f>"20190304155430455"</f>
        <v>20190304155430455</v>
      </c>
      <c r="B3046" t="str">
        <f>"1551686070450111"</f>
        <v>1551686070450111</v>
      </c>
      <c r="C3046" t="s">
        <v>40</v>
      </c>
      <c r="D3046">
        <v>4.4550479999999997</v>
      </c>
      <c r="E3046">
        <v>0.534508599999999</v>
      </c>
      <c r="F3046" t="s">
        <v>62</v>
      </c>
      <c r="G3046">
        <v>-190.68129999999999</v>
      </c>
      <c r="H3046" s="1">
        <v>-1.214173E-5</v>
      </c>
      <c r="I3046">
        <v>152.70689999999999</v>
      </c>
      <c r="J3046">
        <v>-185.9101</v>
      </c>
      <c r="K3046">
        <v>1.1061449999999999</v>
      </c>
      <c r="L3046">
        <v>190.1508</v>
      </c>
      <c r="M3046">
        <v>6.1459729999999997E-2</v>
      </c>
      <c r="N3046">
        <v>-1.293236E-2</v>
      </c>
      <c r="O3046">
        <v>-0.99802570000000002</v>
      </c>
      <c r="P3046">
        <v>-3.0249169999999999E-2</v>
      </c>
      <c r="Q3046">
        <v>0.19348360000000001</v>
      </c>
      <c r="R3046">
        <v>-0.98063730000000005</v>
      </c>
      <c r="S3046">
        <v>-0.38755800000000001</v>
      </c>
      <c r="T3046">
        <v>-8.9986209999999997E-2</v>
      </c>
      <c r="U3046">
        <v>-3.0661770000000002</v>
      </c>
      <c r="V3046">
        <v>9.2636990000000002E-2</v>
      </c>
      <c r="W3046">
        <v>0.20513529999999999</v>
      </c>
      <c r="X3046">
        <v>0.97433970000000003</v>
      </c>
      <c r="Y3046">
        <v>0.18607609999999999</v>
      </c>
      <c r="Z3046">
        <v>1.5901709999999999E-2</v>
      </c>
      <c r="AA3046">
        <v>0.98240669999999997</v>
      </c>
      <c r="AB3046">
        <v>23</v>
      </c>
      <c r="AC3046">
        <v>-4.7711999999999897</v>
      </c>
      <c r="AD3046">
        <v>-1.10615714173</v>
      </c>
      <c r="AE3046">
        <v>-37.443899999999999</v>
      </c>
      <c r="AF3046">
        <v>7.0576026154053499</v>
      </c>
      <c r="AG3046">
        <v>-1.10615714173</v>
      </c>
      <c r="AH3046">
        <v>37.048025904932203</v>
      </c>
      <c r="AI3046">
        <v>91.6800000525065</v>
      </c>
      <c r="AJ3046">
        <v>79.214454840147695</v>
      </c>
      <c r="AK3046">
        <v>37.7304858403878</v>
      </c>
      <c r="AL3046">
        <v>78.162580230567599</v>
      </c>
      <c r="AM3046">
        <v>84.568833031299505</v>
      </c>
      <c r="AN3046">
        <v>0.99999997710921895</v>
      </c>
    </row>
    <row r="3047" spans="1:40" x14ac:dyDescent="0.25">
      <c r="A3047" t="str">
        <f>"20190304155430478"</f>
        <v>20190304155430478</v>
      </c>
      <c r="B3047" t="str">
        <f>"1551686070469629"</f>
        <v>1551686070469629</v>
      </c>
      <c r="C3047" t="s">
        <v>40</v>
      </c>
      <c r="D3047">
        <v>4.483479</v>
      </c>
      <c r="E3047">
        <v>0.53391189999999999</v>
      </c>
      <c r="F3047" t="s">
        <v>62</v>
      </c>
      <c r="G3047">
        <v>-190.74459999999999</v>
      </c>
      <c r="H3047" s="1">
        <v>-1.198082E-5</v>
      </c>
      <c r="I3047">
        <v>152.3056</v>
      </c>
      <c r="J3047">
        <v>-185.9034</v>
      </c>
      <c r="K3047">
        <v>1.106368</v>
      </c>
      <c r="L3047">
        <v>189.90960000000001</v>
      </c>
      <c r="M3047">
        <v>5.4587879999999998E-2</v>
      </c>
      <c r="N3047">
        <v>-1.2839929999999999E-2</v>
      </c>
      <c r="O3047">
        <v>-0.99842640000000005</v>
      </c>
      <c r="P3047">
        <v>-3.3461869999999998E-2</v>
      </c>
      <c r="Q3047">
        <v>0.19429569999999999</v>
      </c>
      <c r="R3047">
        <v>-0.98037209999999997</v>
      </c>
      <c r="S3047">
        <v>-0.39151000000000002</v>
      </c>
      <c r="T3047">
        <v>-8.9579699999999998E-2</v>
      </c>
      <c r="U3047">
        <v>-3.0648040000000001</v>
      </c>
      <c r="V3047">
        <v>8.8996649999999997E-2</v>
      </c>
      <c r="W3047">
        <v>0.2059454</v>
      </c>
      <c r="X3047">
        <v>0.97450809999999999</v>
      </c>
      <c r="Y3047">
        <v>0.180613</v>
      </c>
      <c r="Z3047">
        <v>1.5911950000000001E-2</v>
      </c>
      <c r="AA3047">
        <v>0.98342549999999995</v>
      </c>
      <c r="AB3047">
        <v>23</v>
      </c>
      <c r="AC3047">
        <v>-4.8411999999999802</v>
      </c>
      <c r="AD3047">
        <v>-1.1063799808200001</v>
      </c>
      <c r="AE3047">
        <v>-37.603999999999999</v>
      </c>
      <c r="AF3047">
        <v>6.8810129210524096</v>
      </c>
      <c r="AG3047">
        <v>-1.1063799808200001</v>
      </c>
      <c r="AH3047">
        <v>37.251908203123399</v>
      </c>
      <c r="AI3047">
        <v>91.672898277215097</v>
      </c>
      <c r="AJ3047">
        <v>79.534531874419699</v>
      </c>
      <c r="AK3047">
        <v>37.898246400797802</v>
      </c>
      <c r="AL3047">
        <v>78.115152230783295</v>
      </c>
      <c r="AM3047">
        <v>84.781955093468596</v>
      </c>
      <c r="AN3047">
        <v>0.999999974228996</v>
      </c>
    </row>
    <row r="3048" spans="1:40" x14ac:dyDescent="0.25">
      <c r="A3048" t="str">
        <f>"20190304155430499"</f>
        <v>20190304155430499</v>
      </c>
      <c r="B3048" t="str">
        <f>"1551686070490129"</f>
        <v>1551686070490129</v>
      </c>
      <c r="C3048" t="s">
        <v>40</v>
      </c>
      <c r="D3048">
        <v>4.4737869999999997</v>
      </c>
      <c r="E3048">
        <v>0.53338390000000002</v>
      </c>
      <c r="F3048" t="s">
        <v>62</v>
      </c>
      <c r="G3048">
        <v>-190.95830000000001</v>
      </c>
      <c r="H3048" s="1">
        <v>-1.1370649999999999E-5</v>
      </c>
      <c r="I3048">
        <v>150.79499999999999</v>
      </c>
      <c r="J3048">
        <v>-185.8982</v>
      </c>
      <c r="K3048">
        <v>1.10659</v>
      </c>
      <c r="L3048">
        <v>189.68709999999999</v>
      </c>
      <c r="M3048">
        <v>4.8580239999999997E-2</v>
      </c>
      <c r="N3048">
        <v>-1.275387E-2</v>
      </c>
      <c r="O3048">
        <v>-0.99873789999999996</v>
      </c>
      <c r="P3048">
        <v>-3.6293289999999999E-2</v>
      </c>
      <c r="Q3048">
        <v>0.19487399999999999</v>
      </c>
      <c r="R3048">
        <v>-0.98015680000000005</v>
      </c>
      <c r="S3048">
        <v>-0.39593509999999998</v>
      </c>
      <c r="T3048">
        <v>-8.6659189999999997E-2</v>
      </c>
      <c r="U3048">
        <v>-3.0637210000000001</v>
      </c>
      <c r="V3048">
        <v>8.5825399999999996E-2</v>
      </c>
      <c r="W3048">
        <v>0.2065198</v>
      </c>
      <c r="X3048">
        <v>0.97467099999999995</v>
      </c>
      <c r="Y3048">
        <v>0.176139299999999</v>
      </c>
      <c r="Z3048">
        <v>1.509625E-2</v>
      </c>
      <c r="AA3048">
        <v>0.9842495</v>
      </c>
      <c r="AB3048">
        <v>23</v>
      </c>
      <c r="AC3048">
        <v>-5.0601000000000003</v>
      </c>
      <c r="AD3048">
        <v>-1.10660137065</v>
      </c>
      <c r="AE3048">
        <v>-38.892099999999999</v>
      </c>
      <c r="AF3048">
        <v>6.9381421497070397</v>
      </c>
      <c r="AG3048">
        <v>-1.10660137065</v>
      </c>
      <c r="AH3048">
        <v>38.569625695457098</v>
      </c>
      <c r="AI3048">
        <v>91.617475232793296</v>
      </c>
      <c r="AJ3048">
        <v>79.802343838418494</v>
      </c>
      <c r="AK3048">
        <v>39.204316208432097</v>
      </c>
      <c r="AL3048">
        <v>78.081518732275399</v>
      </c>
      <c r="AM3048">
        <v>84.967755918041902</v>
      </c>
      <c r="AN3048">
        <v>0.9999999926591</v>
      </c>
    </row>
    <row r="3049" spans="1:40" x14ac:dyDescent="0.25">
      <c r="A3049" t="str">
        <f>"20190304155430523"</f>
        <v>20190304155430523</v>
      </c>
      <c r="B3049" t="str">
        <f>"1551686070520383"</f>
        <v>1551686070520383</v>
      </c>
      <c r="C3049" t="s">
        <v>40</v>
      </c>
      <c r="D3049">
        <v>4.5448879999999896</v>
      </c>
      <c r="E3049">
        <v>0.53258809999999901</v>
      </c>
      <c r="F3049" t="s">
        <v>62</v>
      </c>
      <c r="G3049">
        <v>-191.11529999999999</v>
      </c>
      <c r="H3049" s="1">
        <v>-1.0895159999999999E-5</v>
      </c>
      <c r="I3049">
        <v>149.6217</v>
      </c>
      <c r="J3049">
        <v>-185.8937</v>
      </c>
      <c r="K3049">
        <v>1.106849</v>
      </c>
      <c r="L3049">
        <v>189.44460000000001</v>
      </c>
      <c r="M3049">
        <v>4.2411850000000001E-2</v>
      </c>
      <c r="N3049">
        <v>-1.2664299999999899E-2</v>
      </c>
      <c r="O3049">
        <v>-0.99902000000000002</v>
      </c>
      <c r="P3049">
        <v>-3.8447629999999997E-2</v>
      </c>
      <c r="Q3049">
        <v>0.19482679999999999</v>
      </c>
      <c r="R3049">
        <v>-0.98008379999999995</v>
      </c>
      <c r="S3049">
        <v>-0.39881899999999998</v>
      </c>
      <c r="T3049">
        <v>-8.4593890000000005E-2</v>
      </c>
      <c r="U3049">
        <v>-3.0627900000000001</v>
      </c>
      <c r="V3049">
        <v>8.1806820000000002E-2</v>
      </c>
      <c r="W3049">
        <v>0.2064782</v>
      </c>
      <c r="X3049">
        <v>0.97502540000000004</v>
      </c>
      <c r="Y3049">
        <v>0.1710111</v>
      </c>
      <c r="Z3049">
        <v>1.4557169999999999E-2</v>
      </c>
      <c r="AA3049">
        <v>0.98516150000000002</v>
      </c>
      <c r="AB3049">
        <v>23</v>
      </c>
      <c r="AC3049">
        <v>-5.2215999999999898</v>
      </c>
      <c r="AD3049">
        <v>-1.1068598951599999</v>
      </c>
      <c r="AE3049">
        <v>-39.822899999999997</v>
      </c>
      <c r="AF3049">
        <v>6.9007581557223396</v>
      </c>
      <c r="AG3049">
        <v>-1.1068598951599999</v>
      </c>
      <c r="AH3049">
        <v>39.535560180330599</v>
      </c>
      <c r="AI3049">
        <v>91.579793934964897</v>
      </c>
      <c r="AJ3049">
        <v>80.0990178913775</v>
      </c>
      <c r="AK3049">
        <v>40.148550667786502</v>
      </c>
      <c r="AL3049">
        <v>78.083955636403203</v>
      </c>
      <c r="AM3049">
        <v>85.203988400525205</v>
      </c>
      <c r="AN3049">
        <v>1.00000006675945</v>
      </c>
    </row>
    <row r="3050" spans="1:40" x14ac:dyDescent="0.25">
      <c r="A3050" t="str">
        <f>"20190304155430545"</f>
        <v>20190304155430545</v>
      </c>
      <c r="B3050" t="str">
        <f>"1551686070539901"</f>
        <v>1551686070539901</v>
      </c>
      <c r="C3050" t="s">
        <v>40</v>
      </c>
      <c r="D3050">
        <v>4.5840519999999998</v>
      </c>
      <c r="E3050">
        <v>0.53200939999999997</v>
      </c>
      <c r="F3050" t="s">
        <v>62</v>
      </c>
      <c r="G3050">
        <v>-191.13059999999999</v>
      </c>
      <c r="H3050" s="1">
        <v>-1.082695E-5</v>
      </c>
      <c r="I3050">
        <v>149.35599999999999</v>
      </c>
      <c r="J3050">
        <v>-185.8903</v>
      </c>
      <c r="K3050">
        <v>1.107105</v>
      </c>
      <c r="L3050">
        <v>189.2056</v>
      </c>
      <c r="M3050">
        <v>3.6745340000000001E-2</v>
      </c>
      <c r="N3050">
        <v>-1.258223E-2</v>
      </c>
      <c r="O3050">
        <v>-0.99924539999999995</v>
      </c>
      <c r="P3050">
        <v>-3.9442499999999998E-2</v>
      </c>
      <c r="Q3050">
        <v>0.19544259999999999</v>
      </c>
      <c r="R3050">
        <v>-0.97992179999999995</v>
      </c>
      <c r="S3050">
        <v>-0.40000920000000001</v>
      </c>
      <c r="T3050">
        <v>-8.4544899999999895E-2</v>
      </c>
      <c r="U3050">
        <v>-3.0620729999999998</v>
      </c>
      <c r="V3050">
        <v>7.7124699999999893E-2</v>
      </c>
      <c r="W3050">
        <v>0.2071057</v>
      </c>
      <c r="X3050">
        <v>0.97527379999999997</v>
      </c>
      <c r="Y3050">
        <v>0.16582849999999999</v>
      </c>
      <c r="Z3050">
        <v>1.465531E-2</v>
      </c>
      <c r="AA3050">
        <v>0.98604570000000002</v>
      </c>
      <c r="AB3050">
        <v>23</v>
      </c>
      <c r="AC3050">
        <v>-5.2402999999999897</v>
      </c>
      <c r="AD3050">
        <v>-1.1071158269499899</v>
      </c>
      <c r="AE3050">
        <v>-39.849600000000002</v>
      </c>
      <c r="AF3050">
        <v>6.6960829818255796</v>
      </c>
      <c r="AG3050">
        <v>-1.1071158269499899</v>
      </c>
      <c r="AH3050">
        <v>39.600065823084002</v>
      </c>
      <c r="AI3050">
        <v>91.579021959911799</v>
      </c>
      <c r="AJ3050">
        <v>80.402485243750903</v>
      </c>
      <c r="AK3050">
        <v>40.177461915187799</v>
      </c>
      <c r="AL3050">
        <v>78.047207279743006</v>
      </c>
      <c r="AM3050">
        <v>85.478456664845595</v>
      </c>
      <c r="AN3050">
        <v>0.99999998764450904</v>
      </c>
    </row>
    <row r="3051" spans="1:40" x14ac:dyDescent="0.25">
      <c r="A3051" t="str">
        <f>"20190304155430567"</f>
        <v>20190304155430567</v>
      </c>
      <c r="B3051" t="str">
        <f>"1551686070559930"</f>
        <v>1551686070559930</v>
      </c>
      <c r="C3051" t="s">
        <v>40</v>
      </c>
      <c r="D3051">
        <v>4.5992110000000004</v>
      </c>
      <c r="E3051">
        <v>0.52273139999999996</v>
      </c>
      <c r="F3051" t="s">
        <v>62</v>
      </c>
      <c r="G3051">
        <v>-191.2577</v>
      </c>
      <c r="H3051" s="1">
        <v>-1.052848E-5</v>
      </c>
      <c r="I3051">
        <v>148.1388</v>
      </c>
      <c r="J3051">
        <v>-185.88800000000001</v>
      </c>
      <c r="K3051">
        <v>1.1073200000000001</v>
      </c>
      <c r="L3051">
        <v>188.9802</v>
      </c>
      <c r="M3051">
        <v>3.169632E-2</v>
      </c>
      <c r="N3051">
        <v>-1.25098E-2</v>
      </c>
      <c r="O3051">
        <v>-0.99941919999999995</v>
      </c>
      <c r="P3051">
        <v>-4.0266379999999997E-2</v>
      </c>
      <c r="Q3051">
        <v>0.1967373</v>
      </c>
      <c r="R3051">
        <v>-0.97962910000000003</v>
      </c>
      <c r="S3051">
        <v>-0.400177</v>
      </c>
      <c r="T3051">
        <v>-8.2543969999999994E-2</v>
      </c>
      <c r="U3051">
        <v>-3.0618439999999998</v>
      </c>
      <c r="V3051">
        <v>7.290104E-2</v>
      </c>
      <c r="W3051">
        <v>0.20840149999999999</v>
      </c>
      <c r="X3051">
        <v>0.97532269999999999</v>
      </c>
      <c r="Y3051">
        <v>0.16090989999999999</v>
      </c>
      <c r="Z3051">
        <v>1.4106799999999999E-2</v>
      </c>
      <c r="AA3051">
        <v>0.98686830000000003</v>
      </c>
      <c r="AB3051">
        <v>23</v>
      </c>
      <c r="AC3051">
        <v>-5.3696999999999901</v>
      </c>
      <c r="AD3051">
        <v>-1.1073305284799999</v>
      </c>
      <c r="AE3051">
        <v>-40.841399999999901</v>
      </c>
      <c r="AF3051">
        <v>6.6568146579560503</v>
      </c>
      <c r="AG3051">
        <v>-1.1073305284799999</v>
      </c>
      <c r="AH3051">
        <v>40.621308995302499</v>
      </c>
      <c r="AI3051">
        <v>91.540943455985101</v>
      </c>
      <c r="AJ3051">
        <v>80.693378852126301</v>
      </c>
      <c r="AK3051">
        <v>41.1780294183867</v>
      </c>
      <c r="AL3051">
        <v>77.971308214311904</v>
      </c>
      <c r="AM3051">
        <v>85.725343820978296</v>
      </c>
      <c r="AN3051">
        <v>1.0000000579852999</v>
      </c>
    </row>
    <row r="3052" spans="1:40" x14ac:dyDescent="0.25">
      <c r="A3052" t="str">
        <f>"20190304155430590"</f>
        <v>20190304155430590</v>
      </c>
      <c r="B3052" t="str">
        <f>"1551686070580425"</f>
        <v>1551686070580425</v>
      </c>
      <c r="C3052" t="s">
        <v>40</v>
      </c>
      <c r="D3052">
        <v>4.5869410000000004</v>
      </c>
      <c r="E3052">
        <v>0.52254480000000003</v>
      </c>
      <c r="F3052" t="s">
        <v>62</v>
      </c>
      <c r="G3052">
        <v>-189.13990000000001</v>
      </c>
      <c r="H3052" s="1">
        <v>-1.4659350000000001E-5</v>
      </c>
      <c r="I3052">
        <v>158.87469999999999</v>
      </c>
      <c r="J3052">
        <v>-185.88640000000001</v>
      </c>
      <c r="K3052">
        <v>1.1075140000000001</v>
      </c>
      <c r="L3052">
        <v>188.74420000000001</v>
      </c>
      <c r="M3052">
        <v>2.672805E-2</v>
      </c>
      <c r="N3052">
        <v>-1.2434250000000001E-2</v>
      </c>
      <c r="O3052">
        <v>-0.9995655</v>
      </c>
      <c r="P3052">
        <v>-4.1390740000000002E-2</v>
      </c>
      <c r="Q3052">
        <v>0.1987062</v>
      </c>
      <c r="R3052">
        <v>-0.97918479999999997</v>
      </c>
      <c r="S3052">
        <v>-0.33177190000000001</v>
      </c>
      <c r="T3052">
        <v>-0.11297310000000001</v>
      </c>
      <c r="U3052">
        <v>-3.0714419999999998</v>
      </c>
      <c r="V3052">
        <v>6.9065680000000004E-2</v>
      </c>
      <c r="W3052">
        <v>0.2103566</v>
      </c>
      <c r="X3052">
        <v>0.97518210000000005</v>
      </c>
      <c r="Y3052">
        <v>0.13385899999999901</v>
      </c>
      <c r="Z3052">
        <v>2.4019289999999999E-2</v>
      </c>
      <c r="AA3052">
        <v>0.99070919999999896</v>
      </c>
      <c r="AB3052">
        <v>23</v>
      </c>
      <c r="AC3052">
        <v>-3.2534999999999998</v>
      </c>
      <c r="AD3052">
        <v>-1.10752865934999</v>
      </c>
      <c r="AE3052">
        <v>-29.869499999999999</v>
      </c>
      <c r="AF3052">
        <v>4.0452562268058996</v>
      </c>
      <c r="AG3052">
        <v>-1.10752865934999</v>
      </c>
      <c r="AH3052">
        <v>29.731463905646599</v>
      </c>
      <c r="AI3052">
        <v>92.113883589147804</v>
      </c>
      <c r="AJ3052">
        <v>82.251926939426397</v>
      </c>
      <c r="AK3052">
        <v>30.025833271444199</v>
      </c>
      <c r="AL3052">
        <v>77.856749860739797</v>
      </c>
      <c r="AM3052">
        <v>85.948884326630306</v>
      </c>
      <c r="AN3052">
        <v>1.0000000477389099</v>
      </c>
    </row>
    <row r="3053" spans="1:40" x14ac:dyDescent="0.25">
      <c r="A3053" t="str">
        <f>"20190304155430611"</f>
        <v>20190304155430611</v>
      </c>
      <c r="B3053" t="str">
        <f>"1551686070599945"</f>
        <v>1551686070599945</v>
      </c>
      <c r="C3053" t="s">
        <v>40</v>
      </c>
      <c r="D3053">
        <v>4.6409000000000002</v>
      </c>
      <c r="E3053">
        <v>0.52159339999999998</v>
      </c>
      <c r="F3053" t="s">
        <v>62</v>
      </c>
      <c r="G3053">
        <v>-189.93170000000001</v>
      </c>
      <c r="H3053" s="1">
        <v>-1.1494390000000001E-5</v>
      </c>
      <c r="I3053">
        <v>151.49760000000001</v>
      </c>
      <c r="J3053">
        <v>-185.88560000000001</v>
      </c>
      <c r="K3053">
        <v>1.1076889999999999</v>
      </c>
      <c r="L3053">
        <v>188.5204</v>
      </c>
      <c r="M3053">
        <v>2.2333240000000001E-2</v>
      </c>
      <c r="N3053">
        <v>-1.236399E-2</v>
      </c>
      <c r="O3053">
        <v>-0.99967430000000002</v>
      </c>
      <c r="P3053">
        <v>-4.2283540000000001E-2</v>
      </c>
      <c r="Q3053">
        <v>0.19865160000000001</v>
      </c>
      <c r="R3053">
        <v>-0.97915770000000002</v>
      </c>
      <c r="S3053">
        <v>-0.3332367</v>
      </c>
      <c r="T3053">
        <v>-9.1233250000000002E-2</v>
      </c>
      <c r="U3053">
        <v>-3.068222</v>
      </c>
      <c r="V3053">
        <v>6.5564620000000004E-2</v>
      </c>
      <c r="W3053">
        <v>0.2102899</v>
      </c>
      <c r="X3053">
        <v>0.97543809999999997</v>
      </c>
      <c r="Y3053">
        <v>0.130102</v>
      </c>
      <c r="Z3053">
        <v>1.7121910000000001E-2</v>
      </c>
      <c r="AA3053">
        <v>0.99135269999999998</v>
      </c>
      <c r="AB3053">
        <v>23</v>
      </c>
      <c r="AC3053">
        <v>-4.0460999999999903</v>
      </c>
      <c r="AD3053">
        <v>-1.10770049439</v>
      </c>
      <c r="AE3053">
        <v>-37.022799999999897</v>
      </c>
      <c r="AF3053">
        <v>4.8676868312724801</v>
      </c>
      <c r="AG3053">
        <v>-1.10770049439</v>
      </c>
      <c r="AH3053">
        <v>36.890561416050197</v>
      </c>
      <c r="AI3053">
        <v>91.705113695296006</v>
      </c>
      <c r="AJ3053">
        <v>82.483280146122596</v>
      </c>
      <c r="AK3053">
        <v>37.226803476312497</v>
      </c>
      <c r="AL3053">
        <v>77.860658637151403</v>
      </c>
      <c r="AM3053">
        <v>86.154616085160399</v>
      </c>
      <c r="AN3053">
        <v>1.00000002418468</v>
      </c>
    </row>
    <row r="3054" spans="1:40" x14ac:dyDescent="0.25">
      <c r="A3054" t="str">
        <f>"20190304155430633"</f>
        <v>20190304155430633</v>
      </c>
      <c r="B3054" t="str">
        <f>"1551686070630201"</f>
        <v>1551686070630201</v>
      </c>
      <c r="C3054" t="s">
        <v>40</v>
      </c>
      <c r="D3054">
        <v>4.6690449999999997</v>
      </c>
      <c r="E3054">
        <v>0.52041380000000004</v>
      </c>
      <c r="F3054" t="s">
        <v>62</v>
      </c>
      <c r="G3054">
        <v>-189.84</v>
      </c>
      <c r="H3054" s="1">
        <v>-1.15395899999999E-5</v>
      </c>
      <c r="I3054">
        <v>151.6046</v>
      </c>
      <c r="J3054">
        <v>-185.88560000000001</v>
      </c>
      <c r="K3054">
        <v>1.1078779999999999</v>
      </c>
      <c r="L3054">
        <v>188.29390000000001</v>
      </c>
      <c r="M3054">
        <v>1.8207810000000001E-2</v>
      </c>
      <c r="N3054">
        <v>-1.229448E-2</v>
      </c>
      <c r="O3054">
        <v>-0.9997587</v>
      </c>
      <c r="P3054">
        <v>-4.37274E-2</v>
      </c>
      <c r="Q3054">
        <v>0.1970961</v>
      </c>
      <c r="R3054">
        <v>-0.97940870000000002</v>
      </c>
      <c r="S3054">
        <v>-0.32867429999999997</v>
      </c>
      <c r="T3054">
        <v>-9.206963E-2</v>
      </c>
      <c r="U3054">
        <v>-3.0683590000000001</v>
      </c>
      <c r="V3054">
        <v>6.2866480000000002E-2</v>
      </c>
      <c r="W3054">
        <v>0.2087205</v>
      </c>
      <c r="X3054">
        <v>0.97595259999999995</v>
      </c>
      <c r="Y3054">
        <v>0.12454750000000001</v>
      </c>
      <c r="Z3054">
        <v>1.7480119999999998E-2</v>
      </c>
      <c r="AA3054">
        <v>0.99205960000000004</v>
      </c>
      <c r="AB3054">
        <v>23</v>
      </c>
      <c r="AC3054">
        <v>-3.9543999999999899</v>
      </c>
      <c r="AD3054">
        <v>-1.1078895395899999</v>
      </c>
      <c r="AE3054">
        <v>-36.689300000000003</v>
      </c>
      <c r="AF3054">
        <v>4.6176644319279196</v>
      </c>
      <c r="AG3054">
        <v>-1.1078895395899999</v>
      </c>
      <c r="AH3054">
        <v>36.5782403299308</v>
      </c>
      <c r="AI3054">
        <v>91.721203757974905</v>
      </c>
      <c r="AJ3054">
        <v>82.804998417115399</v>
      </c>
      <c r="AK3054">
        <v>36.885199059677099</v>
      </c>
      <c r="AL3054">
        <v>77.952618688481493</v>
      </c>
      <c r="AM3054">
        <v>86.3143554610038</v>
      </c>
      <c r="AN3054">
        <v>0.99999995943729902</v>
      </c>
    </row>
    <row r="3055" spans="1:40" x14ac:dyDescent="0.25">
      <c r="A3055" t="str">
        <f>"20190304155430656"</f>
        <v>20190304155430656</v>
      </c>
      <c r="B3055" t="str">
        <f>"1551686070649721"</f>
        <v>1551686070649721</v>
      </c>
      <c r="C3055" t="s">
        <v>40</v>
      </c>
      <c r="D3055">
        <v>4.6501999999999999</v>
      </c>
      <c r="E3055">
        <v>0.51983100000000004</v>
      </c>
      <c r="F3055" t="s">
        <v>62</v>
      </c>
      <c r="G3055">
        <v>-189.5249</v>
      </c>
      <c r="H3055" s="1">
        <v>-1.25222699999999E-5</v>
      </c>
      <c r="I3055">
        <v>153.9008</v>
      </c>
      <c r="J3055">
        <v>-185.8861</v>
      </c>
      <c r="K3055">
        <v>1.108098</v>
      </c>
      <c r="L3055">
        <v>188.04929999999999</v>
      </c>
      <c r="M3055">
        <v>1.410165E-2</v>
      </c>
      <c r="N3055">
        <v>-1.221949E-2</v>
      </c>
      <c r="O3055">
        <v>-0.99982610000000005</v>
      </c>
      <c r="P3055">
        <v>-4.3464419999999997E-2</v>
      </c>
      <c r="Q3055">
        <v>0.19603319999999999</v>
      </c>
      <c r="R3055">
        <v>-0.9796338</v>
      </c>
      <c r="S3055">
        <v>-0.32469179999999997</v>
      </c>
      <c r="T3055">
        <v>-9.8843689999999998E-2</v>
      </c>
      <c r="U3055">
        <v>-3.0684809999999998</v>
      </c>
      <c r="V3055">
        <v>5.846382E-2</v>
      </c>
      <c r="W3055">
        <v>0.20764959999999999</v>
      </c>
      <c r="X3055">
        <v>0.97645459999999995</v>
      </c>
      <c r="Y3055">
        <v>0.1191889</v>
      </c>
      <c r="Z3055">
        <v>1.9762459999999999E-2</v>
      </c>
      <c r="AA3055">
        <v>0.99267490000000003</v>
      </c>
      <c r="AB3055">
        <v>23</v>
      </c>
      <c r="AC3055">
        <v>-3.6387999999999998</v>
      </c>
      <c r="AD3055">
        <v>-1.1081105222700001</v>
      </c>
      <c r="AE3055">
        <v>-34.148499999999899</v>
      </c>
      <c r="AF3055">
        <v>4.1157390200826702</v>
      </c>
      <c r="AG3055">
        <v>-1.1081105222700001</v>
      </c>
      <c r="AH3055">
        <v>34.058326767447603</v>
      </c>
      <c r="AI3055">
        <v>91.850049345862004</v>
      </c>
      <c r="AJ3055">
        <v>83.109569170888093</v>
      </c>
      <c r="AK3055">
        <v>34.3239980015329</v>
      </c>
      <c r="AL3055">
        <v>78.015351502423997</v>
      </c>
      <c r="AM3055">
        <v>86.573587779293803</v>
      </c>
      <c r="AN3055">
        <v>0.99999998024515502</v>
      </c>
    </row>
    <row r="3056" spans="1:40" x14ac:dyDescent="0.25">
      <c r="A3056" t="str">
        <f>"20190304155430680"</f>
        <v>20190304155430680</v>
      </c>
      <c r="B3056" t="str">
        <f>"1551686070669747"</f>
        <v>1551686070669747</v>
      </c>
      <c r="C3056" t="s">
        <v>40</v>
      </c>
      <c r="D3056">
        <v>4.9275469999999997</v>
      </c>
      <c r="E3056">
        <v>0.51944899999999905</v>
      </c>
      <c r="F3056" t="s">
        <v>62</v>
      </c>
      <c r="G3056">
        <v>-189.35679999999999</v>
      </c>
      <c r="H3056" s="1">
        <v>-1.2932870000000001E-5</v>
      </c>
      <c r="I3056">
        <v>154.85249999999999</v>
      </c>
      <c r="J3056">
        <v>-185.8871</v>
      </c>
      <c r="K3056">
        <v>1.108341</v>
      </c>
      <c r="L3056">
        <v>187.80600000000001</v>
      </c>
      <c r="M3056">
        <v>1.038123E-2</v>
      </c>
      <c r="N3056">
        <v>-1.214851E-2</v>
      </c>
      <c r="O3056">
        <v>-0.99987250000000005</v>
      </c>
      <c r="P3056">
        <v>-4.3560359999999999E-2</v>
      </c>
      <c r="Q3056">
        <v>0.19540270000000001</v>
      </c>
      <c r="R3056">
        <v>-0.97975559999999995</v>
      </c>
      <c r="S3056">
        <v>-0.32083129999999999</v>
      </c>
      <c r="T3056">
        <v>-0.1024323</v>
      </c>
      <c r="U3056">
        <v>-3.0686650000000002</v>
      </c>
      <c r="V3056">
        <v>5.479034E-2</v>
      </c>
      <c r="W3056">
        <v>0.20700730000000001</v>
      </c>
      <c r="X3056">
        <v>0.97680400000000001</v>
      </c>
      <c r="Y3056">
        <v>0.1142498</v>
      </c>
      <c r="Z3056">
        <v>2.1008510000000001E-2</v>
      </c>
      <c r="AA3056">
        <v>0.9932299</v>
      </c>
      <c r="AB3056">
        <v>23</v>
      </c>
      <c r="AC3056">
        <v>-3.46969999999998</v>
      </c>
      <c r="AD3056">
        <v>-1.1083539328700001</v>
      </c>
      <c r="AE3056">
        <v>-32.953499999999899</v>
      </c>
      <c r="AF3056">
        <v>3.8073762269349798</v>
      </c>
      <c r="AG3056">
        <v>-1.1083539328700001</v>
      </c>
      <c r="AH3056">
        <v>32.878915536753098</v>
      </c>
      <c r="AI3056">
        <v>91.917912769190593</v>
      </c>
      <c r="AJ3056">
        <v>83.394573139260004</v>
      </c>
      <c r="AK3056">
        <v>33.117180572127303</v>
      </c>
      <c r="AL3056">
        <v>78.052970571552507</v>
      </c>
      <c r="AM3056">
        <v>86.789561521065906</v>
      </c>
      <c r="AN3056">
        <v>1.0000000290133</v>
      </c>
    </row>
    <row r="3057" spans="1:40" x14ac:dyDescent="0.25">
      <c r="A3057" t="str">
        <f>"20190304155430702"</f>
        <v>20190304155430702</v>
      </c>
      <c r="B3057" t="str">
        <f>"1551686070700003"</f>
        <v>1551686070700003</v>
      </c>
      <c r="C3057" t="s">
        <v>40</v>
      </c>
      <c r="D3057">
        <v>4.6875030000000004</v>
      </c>
      <c r="E3057">
        <v>0.51907349999999997</v>
      </c>
      <c r="F3057" t="s">
        <v>62</v>
      </c>
      <c r="G3057">
        <v>-189.18299999999999</v>
      </c>
      <c r="H3057" s="1">
        <v>-1.344622E-5</v>
      </c>
      <c r="I3057">
        <v>156.04689999999999</v>
      </c>
      <c r="J3057">
        <v>-185.8886</v>
      </c>
      <c r="K3057">
        <v>1.108584</v>
      </c>
      <c r="L3057">
        <v>187.56800000000001</v>
      </c>
      <c r="M3057">
        <v>7.1250239999999998E-3</v>
      </c>
      <c r="N3057">
        <v>-1.208564E-2</v>
      </c>
      <c r="O3057">
        <v>-0.9999017</v>
      </c>
      <c r="P3057">
        <v>-4.369199E-2</v>
      </c>
      <c r="Q3057">
        <v>0.19443550000000001</v>
      </c>
      <c r="R3057">
        <v>-0.97994210000000004</v>
      </c>
      <c r="S3057">
        <v>-0.31851200000000002</v>
      </c>
      <c r="T3057">
        <v>-0.1071106</v>
      </c>
      <c r="U3057">
        <v>-3.0691830000000002</v>
      </c>
      <c r="V3057">
        <v>5.1604900000000002E-2</v>
      </c>
      <c r="W3057">
        <v>0.2060294</v>
      </c>
      <c r="X3057">
        <v>0.9771841</v>
      </c>
      <c r="Y3057">
        <v>0.1102505</v>
      </c>
      <c r="Z3057">
        <v>2.259156E-2</v>
      </c>
      <c r="AA3057">
        <v>0.99364699999999995</v>
      </c>
      <c r="AB3057">
        <v>23</v>
      </c>
      <c r="AC3057">
        <v>-3.2943999999999898</v>
      </c>
      <c r="AD3057">
        <v>-1.1085974462199999</v>
      </c>
      <c r="AE3057">
        <v>-31.521099999999901</v>
      </c>
      <c r="AF3057">
        <v>3.5146209707708</v>
      </c>
      <c r="AG3057">
        <v>-1.1085974462199999</v>
      </c>
      <c r="AH3057">
        <v>31.4583340833079</v>
      </c>
      <c r="AI3057">
        <v>92.005809359365401</v>
      </c>
      <c r="AJ3057">
        <v>83.625176757726393</v>
      </c>
      <c r="AK3057">
        <v>31.673464164233099</v>
      </c>
      <c r="AL3057">
        <v>78.110233887131699</v>
      </c>
      <c r="AM3057">
        <v>86.977029302907596</v>
      </c>
      <c r="AN3057">
        <v>0.99999997233058902</v>
      </c>
    </row>
    <row r="3058" spans="1:40" x14ac:dyDescent="0.25">
      <c r="A3058" t="str">
        <f>"20190304155430723"</f>
        <v>20190304155430723</v>
      </c>
      <c r="B3058" t="str">
        <f>"1551686070720500"</f>
        <v>1551686070720500</v>
      </c>
      <c r="C3058" t="s">
        <v>40</v>
      </c>
      <c r="D3058">
        <v>4.7212449999999997</v>
      </c>
      <c r="E3058">
        <v>0.518740799999999</v>
      </c>
      <c r="F3058" t="s">
        <v>62</v>
      </c>
      <c r="G3058">
        <v>-189.11080000000001</v>
      </c>
      <c r="H3058" s="1">
        <v>-1.3556879999999999E-5</v>
      </c>
      <c r="I3058">
        <v>156.3048</v>
      </c>
      <c r="J3058">
        <v>-185.8903</v>
      </c>
      <c r="K3058">
        <v>1.108795</v>
      </c>
      <c r="L3058">
        <v>187.34880000000001</v>
      </c>
      <c r="M3058">
        <v>4.4729469999999997E-3</v>
      </c>
      <c r="N3058">
        <v>-1.2033469999999999E-2</v>
      </c>
      <c r="O3058">
        <v>-0.99991790000000003</v>
      </c>
      <c r="P3058">
        <v>-4.299393E-2</v>
      </c>
      <c r="Q3058">
        <v>0.1936312</v>
      </c>
      <c r="R3058">
        <v>-0.98013220000000001</v>
      </c>
      <c r="S3058">
        <v>-0.31629940000000001</v>
      </c>
      <c r="T3058">
        <v>-0.10882410000000001</v>
      </c>
      <c r="U3058">
        <v>-3.0689090000000001</v>
      </c>
      <c r="V3058">
        <v>4.819499E-2</v>
      </c>
      <c r="W3058">
        <v>0.20521880000000001</v>
      </c>
      <c r="X3058">
        <v>0.97752879999999998</v>
      </c>
      <c r="Y3058">
        <v>0.10691340000000001</v>
      </c>
      <c r="Z3058">
        <v>2.3211349999999999E-2</v>
      </c>
      <c r="AA3058">
        <v>0.99399740000000003</v>
      </c>
      <c r="AB3058">
        <v>23</v>
      </c>
      <c r="AC3058">
        <v>-3.2205000000000101</v>
      </c>
      <c r="AD3058">
        <v>-1.1088085568799999</v>
      </c>
      <c r="AE3058">
        <v>-31.044</v>
      </c>
      <c r="AF3058">
        <v>3.35510133600775</v>
      </c>
      <c r="AG3058">
        <v>-1.1088085568799999</v>
      </c>
      <c r="AH3058">
        <v>30.990169181125001</v>
      </c>
      <c r="AI3058">
        <v>92.037238167044606</v>
      </c>
      <c r="AJ3058">
        <v>83.821029804842993</v>
      </c>
      <c r="AK3058">
        <v>31.190972207762901</v>
      </c>
      <c r="AL3058">
        <v>78.157692717963599</v>
      </c>
      <c r="AM3058">
        <v>87.177438295377797</v>
      </c>
      <c r="AN3058">
        <v>1.0000000338819801</v>
      </c>
    </row>
    <row r="3059" spans="1:40" x14ac:dyDescent="0.25">
      <c r="A3059" t="str">
        <f>"20190304155430744"</f>
        <v>20190304155430744</v>
      </c>
      <c r="B3059" t="str">
        <f>"1551686070740020"</f>
        <v>1551686070740020</v>
      </c>
      <c r="C3059" t="s">
        <v>40</v>
      </c>
      <c r="D3059">
        <v>4.6969979999999998</v>
      </c>
      <c r="E3059">
        <v>0.51833240000000003</v>
      </c>
      <c r="F3059" t="s">
        <v>62</v>
      </c>
      <c r="G3059">
        <v>-188.99850000000001</v>
      </c>
      <c r="H3059" s="1">
        <v>-1.3758459999999999E-5</v>
      </c>
      <c r="I3059">
        <v>156.7747</v>
      </c>
      <c r="J3059">
        <v>-185.8922</v>
      </c>
      <c r="K3059">
        <v>1.108976</v>
      </c>
      <c r="L3059">
        <v>187.12979999999999</v>
      </c>
      <c r="M3059">
        <v>2.0860710000000001E-3</v>
      </c>
      <c r="N3059">
        <v>-1.1985930000000001E-2</v>
      </c>
      <c r="O3059">
        <v>-0.99992610000000004</v>
      </c>
      <c r="P3059">
        <v>-4.2468789999999999E-2</v>
      </c>
      <c r="Q3059">
        <v>0.1927989</v>
      </c>
      <c r="R3059">
        <v>-0.9803191</v>
      </c>
      <c r="S3059">
        <v>-0.3120117</v>
      </c>
      <c r="T3059">
        <v>-0.11130569999999999</v>
      </c>
      <c r="U3059">
        <v>-3.0691220000000001</v>
      </c>
      <c r="V3059">
        <v>4.5235070000000002E-2</v>
      </c>
      <c r="W3059">
        <v>0.2043759</v>
      </c>
      <c r="X3059">
        <v>0.97784669999999896</v>
      </c>
      <c r="Y3059">
        <v>0.1031566</v>
      </c>
      <c r="Z3059">
        <v>2.4070950000000001E-2</v>
      </c>
      <c r="AA3059">
        <v>0.99437379999999997</v>
      </c>
      <c r="AB3059">
        <v>23</v>
      </c>
      <c r="AC3059">
        <v>-3.1063000000000001</v>
      </c>
      <c r="AD3059">
        <v>-1.1089897584599999</v>
      </c>
      <c r="AE3059">
        <v>-30.3551</v>
      </c>
      <c r="AF3059">
        <v>3.1654394704506998</v>
      </c>
      <c r="AG3059">
        <v>-1.1089897584599999</v>
      </c>
      <c r="AH3059">
        <v>30.308519215780201</v>
      </c>
      <c r="AI3059">
        <v>92.084193578775</v>
      </c>
      <c r="AJ3059">
        <v>84.037611499939501</v>
      </c>
      <c r="AK3059">
        <v>30.493543617932801</v>
      </c>
      <c r="AL3059">
        <v>78.207032059683897</v>
      </c>
      <c r="AM3059">
        <v>87.351392416126004</v>
      </c>
      <c r="AN3059">
        <v>0.9999999443798</v>
      </c>
    </row>
    <row r="3060" spans="1:40" x14ac:dyDescent="0.25">
      <c r="A3060" t="str">
        <f>"20190304155430768"</f>
        <v>20190304155430768</v>
      </c>
      <c r="B3060" t="str">
        <f>"1551686070760044"</f>
        <v>1551686070760044</v>
      </c>
      <c r="C3060" t="s">
        <v>40</v>
      </c>
      <c r="D3060">
        <v>4.7230080000000001</v>
      </c>
      <c r="E3060">
        <v>0.51812009999999997</v>
      </c>
      <c r="F3060" t="s">
        <v>62</v>
      </c>
      <c r="G3060">
        <v>-188.8519</v>
      </c>
      <c r="H3060" s="1">
        <v>-1.411678E-5</v>
      </c>
      <c r="I3060">
        <v>157.61000000000001</v>
      </c>
      <c r="J3060">
        <v>-185.8946</v>
      </c>
      <c r="K3060">
        <v>1.109143</v>
      </c>
      <c r="L3060">
        <v>186.88460000000001</v>
      </c>
      <c r="M3060">
        <v>-2.7777100000000001E-4</v>
      </c>
      <c r="N3060">
        <v>-1.1937990000000001E-2</v>
      </c>
      <c r="O3060">
        <v>-0.99992899999999996</v>
      </c>
      <c r="P3060">
        <v>-4.278129E-2</v>
      </c>
      <c r="Q3060">
        <v>0.19231280000000001</v>
      </c>
      <c r="R3060">
        <v>-0.98040099999999997</v>
      </c>
      <c r="S3060">
        <v>-0.30775449999999999</v>
      </c>
      <c r="T3060">
        <v>-0.11531619999999999</v>
      </c>
      <c r="U3060">
        <v>-3.0695649999999999</v>
      </c>
      <c r="V3060">
        <v>4.314192E-2</v>
      </c>
      <c r="W3060">
        <v>0.20387040000000001</v>
      </c>
      <c r="X3060">
        <v>0.97804679999999999</v>
      </c>
      <c r="Y3060">
        <v>9.9421999999999996E-2</v>
      </c>
      <c r="Z3060">
        <v>2.5422509999999999E-2</v>
      </c>
      <c r="AA3060">
        <v>0.99472050000000001</v>
      </c>
      <c r="AB3060">
        <v>23</v>
      </c>
      <c r="AC3060">
        <v>-2.9573</v>
      </c>
      <c r="AD3060">
        <v>-1.1091571167799901</v>
      </c>
      <c r="AE3060">
        <v>-29.2745999999999</v>
      </c>
      <c r="AF3060">
        <v>2.9449828470028199</v>
      </c>
      <c r="AG3060">
        <v>-1.1091571167799901</v>
      </c>
      <c r="AH3060">
        <v>29.233878976604998</v>
      </c>
      <c r="AI3060">
        <v>92.161874722181295</v>
      </c>
      <c r="AJ3060">
        <v>84.247504822825803</v>
      </c>
      <c r="AK3060">
        <v>29.4027691467595</v>
      </c>
      <c r="AL3060">
        <v>78.236618120141998</v>
      </c>
      <c r="AM3060">
        <v>87.474304264748895</v>
      </c>
      <c r="AN3060">
        <v>0.99999995412384202</v>
      </c>
    </row>
    <row r="3061" spans="1:40" x14ac:dyDescent="0.25">
      <c r="A3061" t="str">
        <f>"20190304155430789"</f>
        <v>20190304155430789</v>
      </c>
      <c r="B3061" t="str">
        <f>"1551686070780540"</f>
        <v>1551686070780540</v>
      </c>
      <c r="C3061" t="s">
        <v>40</v>
      </c>
      <c r="D3061">
        <v>4.697527</v>
      </c>
      <c r="E3061">
        <v>0.51794050000000003</v>
      </c>
      <c r="F3061" t="s">
        <v>62</v>
      </c>
      <c r="G3061">
        <v>-188.79499999999999</v>
      </c>
      <c r="H3061" s="1">
        <v>-1.4234380000000001E-5</v>
      </c>
      <c r="I3061">
        <v>157.88409999999999</v>
      </c>
      <c r="J3061">
        <v>-185.89699999999999</v>
      </c>
      <c r="K3061">
        <v>1.1092869999999999</v>
      </c>
      <c r="L3061">
        <v>186.65989999999999</v>
      </c>
      <c r="M3061">
        <v>-2.1726760000000001E-3</v>
      </c>
      <c r="N3061">
        <v>-1.189668E-2</v>
      </c>
      <c r="O3061">
        <v>-0.99992720000000002</v>
      </c>
      <c r="P3061">
        <v>-4.3233769999999998E-2</v>
      </c>
      <c r="Q3061">
        <v>0.19240099999999999</v>
      </c>
      <c r="R3061">
        <v>-0.98036400000000001</v>
      </c>
      <c r="S3061">
        <v>-0.30699159999999998</v>
      </c>
      <c r="T3061">
        <v>-0.11740009999999999</v>
      </c>
      <c r="U3061">
        <v>-3.0695950000000001</v>
      </c>
      <c r="V3061">
        <v>4.1664350000000003E-2</v>
      </c>
      <c r="W3061">
        <v>0.20393810000000001</v>
      </c>
      <c r="X3061">
        <v>0.97809679999999999</v>
      </c>
      <c r="Y3061">
        <v>9.7288879999999994E-2</v>
      </c>
      <c r="Z3061">
        <v>2.614323E-2</v>
      </c>
      <c r="AA3061">
        <v>0.99491269999999998</v>
      </c>
      <c r="AB3061">
        <v>23</v>
      </c>
      <c r="AC3061">
        <v>-2.8979999999999602</v>
      </c>
      <c r="AD3061">
        <v>-1.1093012343799999</v>
      </c>
      <c r="AE3061">
        <v>-28.7758</v>
      </c>
      <c r="AF3061">
        <v>2.8313029491700901</v>
      </c>
      <c r="AG3061">
        <v>-1.1093012343799999</v>
      </c>
      <c r="AH3061">
        <v>28.7397480014053</v>
      </c>
      <c r="AI3061">
        <v>92.199775707620503</v>
      </c>
      <c r="AJ3061">
        <v>84.373647825023198</v>
      </c>
      <c r="AK3061">
        <v>28.9001719856969</v>
      </c>
      <c r="AL3061">
        <v>78.232656602076403</v>
      </c>
      <c r="AM3061">
        <v>87.560825166113005</v>
      </c>
      <c r="AN3061">
        <v>1.00000000843138</v>
      </c>
    </row>
    <row r="3062" spans="1:40" x14ac:dyDescent="0.25">
      <c r="A3062" t="str">
        <f>"20190304155430813"</f>
        <v>20190304155430813</v>
      </c>
      <c r="B3062" t="str">
        <f>"1551686070800064"</f>
        <v>1551686070800064</v>
      </c>
      <c r="C3062" t="s">
        <v>40</v>
      </c>
      <c r="D3062">
        <v>4.6967449999999999</v>
      </c>
      <c r="E3062">
        <v>0.51820310000000003</v>
      </c>
      <c r="F3062" t="s">
        <v>62</v>
      </c>
      <c r="G3062">
        <v>-188.82679999999999</v>
      </c>
      <c r="H3062" s="1">
        <v>-1.3991390000000001E-5</v>
      </c>
      <c r="I3062">
        <v>157.3177</v>
      </c>
      <c r="J3062">
        <v>-185.8998</v>
      </c>
      <c r="K3062">
        <v>1.1094409999999999</v>
      </c>
      <c r="L3062">
        <v>186.41759999999999</v>
      </c>
      <c r="M3062">
        <v>-3.9253500000000002E-3</v>
      </c>
      <c r="N3062">
        <v>-1.1850899999999999E-2</v>
      </c>
      <c r="O3062">
        <v>-0.99992219999999998</v>
      </c>
      <c r="P3062">
        <v>-4.4148590000000001E-2</v>
      </c>
      <c r="Q3062">
        <v>0.19212270000000001</v>
      </c>
      <c r="R3062">
        <v>-0.98037779999999997</v>
      </c>
      <c r="S3062">
        <v>-0.30647279999999999</v>
      </c>
      <c r="T3062">
        <v>-0.1160388</v>
      </c>
      <c r="U3062">
        <v>-3.0693510000000002</v>
      </c>
      <c r="V3062">
        <v>4.0779599999999999E-2</v>
      </c>
      <c r="W3062">
        <v>0.20363410000000001</v>
      </c>
      <c r="X3062">
        <v>0.97819739999999999</v>
      </c>
      <c r="Y3062">
        <v>9.5387520000000003E-2</v>
      </c>
      <c r="Z3062">
        <v>2.575595E-2</v>
      </c>
      <c r="AA3062">
        <v>0.99510690000000002</v>
      </c>
      <c r="AB3062">
        <v>23</v>
      </c>
      <c r="AC3062">
        <v>-2.9269999999999898</v>
      </c>
      <c r="AD3062">
        <v>-1.10945499138999</v>
      </c>
      <c r="AE3062">
        <v>-29.099899999999899</v>
      </c>
      <c r="AF3062">
        <v>2.8087003915328901</v>
      </c>
      <c r="AG3062">
        <v>-1.10945499138999</v>
      </c>
      <c r="AH3062">
        <v>29.0693349423039</v>
      </c>
      <c r="AI3062">
        <v>92.175557913154194</v>
      </c>
      <c r="AJ3062">
        <v>84.481171151050006</v>
      </c>
      <c r="AK3062">
        <v>29.225774964150499</v>
      </c>
      <c r="AL3062">
        <v>78.250447616246305</v>
      </c>
      <c r="AM3062">
        <v>87.612806146569199</v>
      </c>
      <c r="AN3062">
        <v>0.99999998791286404</v>
      </c>
    </row>
    <row r="3063" spans="1:40" x14ac:dyDescent="0.25">
      <c r="A3063" t="str">
        <f>"20190304155430834"</f>
        <v>20190304155430834</v>
      </c>
      <c r="B3063" t="str">
        <f>"1551686070830317"</f>
        <v>1551686070830317</v>
      </c>
      <c r="C3063" t="s">
        <v>40</v>
      </c>
      <c r="D3063">
        <v>4.676069</v>
      </c>
      <c r="E3063">
        <v>0.51848450000000001</v>
      </c>
      <c r="F3063" t="s">
        <v>62</v>
      </c>
      <c r="G3063">
        <v>-188.93029999999999</v>
      </c>
      <c r="H3063" s="1">
        <v>-1.364356E-5</v>
      </c>
      <c r="I3063">
        <v>156.5069</v>
      </c>
      <c r="J3063">
        <v>-185.9024</v>
      </c>
      <c r="K3063">
        <v>1.109594</v>
      </c>
      <c r="L3063">
        <v>186.20330000000001</v>
      </c>
      <c r="M3063">
        <v>-5.2388879999999997E-3</v>
      </c>
      <c r="N3063">
        <v>-1.1811550000000001E-2</v>
      </c>
      <c r="O3063">
        <v>-0.99991660000000004</v>
      </c>
      <c r="P3063">
        <v>-4.4442200000000001E-2</v>
      </c>
      <c r="Q3063">
        <v>0.1915666</v>
      </c>
      <c r="R3063">
        <v>-0.98047300000000004</v>
      </c>
      <c r="S3063">
        <v>-0.31088259999999901</v>
      </c>
      <c r="T3063">
        <v>-0.1138126</v>
      </c>
      <c r="U3063">
        <v>-3.0683750000000001</v>
      </c>
      <c r="V3063">
        <v>3.9707069999999997E-2</v>
      </c>
      <c r="W3063">
        <v>0.20305899999999999</v>
      </c>
      <c r="X3063">
        <v>0.97836109999999998</v>
      </c>
      <c r="Y3063">
        <v>9.5529180000000005E-2</v>
      </c>
      <c r="Z3063">
        <v>2.5083919999999999E-2</v>
      </c>
      <c r="AA3063">
        <v>0.99511050000000001</v>
      </c>
      <c r="AB3063">
        <v>23</v>
      </c>
      <c r="AC3063">
        <v>-3.0278999999999798</v>
      </c>
      <c r="AD3063">
        <v>-1.10960764356</v>
      </c>
      <c r="AE3063">
        <v>-29.696400000000001</v>
      </c>
      <c r="AF3063">
        <v>2.8683081110902799</v>
      </c>
      <c r="AG3063">
        <v>-1.10960764356</v>
      </c>
      <c r="AH3063">
        <v>29.6708576921625</v>
      </c>
      <c r="AI3063">
        <v>92.131776307906193</v>
      </c>
      <c r="AJ3063">
        <v>84.478324055178305</v>
      </c>
      <c r="AK3063">
        <v>29.829820930259601</v>
      </c>
      <c r="AL3063">
        <v>78.284102003489295</v>
      </c>
      <c r="AM3063">
        <v>87.675909606354494</v>
      </c>
      <c r="AN3063">
        <v>1.0000000254410899</v>
      </c>
    </row>
    <row r="3064" spans="1:40" x14ac:dyDescent="0.25">
      <c r="A3064" t="str">
        <f>"20190304155430857"</f>
        <v>20190304155430857</v>
      </c>
      <c r="B3064" t="str">
        <f>"1551686070849837"</f>
        <v>1551686070849837</v>
      </c>
      <c r="C3064" t="s">
        <v>40</v>
      </c>
      <c r="D3064">
        <v>4.8504180000000003</v>
      </c>
      <c r="E3064">
        <v>0.51840220000000004</v>
      </c>
      <c r="F3064" t="s">
        <v>62</v>
      </c>
      <c r="G3064">
        <v>-189.05940000000001</v>
      </c>
      <c r="H3064" s="1">
        <v>-1.316544E-5</v>
      </c>
      <c r="I3064">
        <v>155.39240000000001</v>
      </c>
      <c r="J3064">
        <v>-185.90539999999999</v>
      </c>
      <c r="K3064">
        <v>1.1097809999999999</v>
      </c>
      <c r="L3064">
        <v>185.95580000000001</v>
      </c>
      <c r="M3064">
        <v>-6.4980089999999999E-3</v>
      </c>
      <c r="N3064">
        <v>-1.1767379999999999E-2</v>
      </c>
      <c r="O3064">
        <v>-0.99990979999999996</v>
      </c>
      <c r="P3064">
        <v>-4.4574969999999998E-2</v>
      </c>
      <c r="Q3064">
        <v>0.19212000000000001</v>
      </c>
      <c r="R3064">
        <v>-0.98035879999999997</v>
      </c>
      <c r="S3064">
        <v>-0.31426999999999999</v>
      </c>
      <c r="T3064">
        <v>-0.11045720000000001</v>
      </c>
      <c r="U3064">
        <v>-3.0671080000000002</v>
      </c>
      <c r="V3064">
        <v>3.8514600000000003E-2</v>
      </c>
      <c r="W3064">
        <v>0.2035875</v>
      </c>
      <c r="X3064">
        <v>0.97829889999999997</v>
      </c>
      <c r="Y3064">
        <v>9.5408010000000001E-2</v>
      </c>
      <c r="Z3064">
        <v>2.4054909999999999E-2</v>
      </c>
      <c r="AA3064">
        <v>0.99514760000000002</v>
      </c>
      <c r="AB3064">
        <v>23</v>
      </c>
      <c r="AC3064">
        <v>-3.1540000000000199</v>
      </c>
      <c r="AD3064">
        <v>-1.1097941654400001</v>
      </c>
      <c r="AE3064">
        <v>-30.563400000000001</v>
      </c>
      <c r="AF3064">
        <v>2.9514679149671199</v>
      </c>
      <c r="AG3064">
        <v>-1.1097941654400001</v>
      </c>
      <c r="AH3064">
        <v>30.543403520269401</v>
      </c>
      <c r="AI3064">
        <v>92.071286327405602</v>
      </c>
      <c r="AJ3064">
        <v>84.480535646093301</v>
      </c>
      <c r="AK3064">
        <v>30.705737322929298</v>
      </c>
      <c r="AL3064">
        <v>78.253174766006694</v>
      </c>
      <c r="AM3064">
        <v>87.745489634047402</v>
      </c>
      <c r="AN3064">
        <v>0.99999999115531002</v>
      </c>
    </row>
    <row r="3065" spans="1:40" x14ac:dyDescent="0.25">
      <c r="A3065" t="str">
        <f>"20190304155430881"</f>
        <v>20190304155430881</v>
      </c>
      <c r="B3065" t="str">
        <f>"1551686070870332"</f>
        <v>1551686070870332</v>
      </c>
      <c r="C3065" t="s">
        <v>40</v>
      </c>
      <c r="D3065">
        <v>4.7219600000000002</v>
      </c>
      <c r="E3065">
        <v>0.5185729</v>
      </c>
      <c r="F3065" t="s">
        <v>62</v>
      </c>
      <c r="G3065">
        <v>-189.215</v>
      </c>
      <c r="H3065" s="1">
        <v>-1.242792E-5</v>
      </c>
      <c r="I3065">
        <v>153.68639999999999</v>
      </c>
      <c r="J3065">
        <v>-185.9083</v>
      </c>
      <c r="K3065">
        <v>1.109952</v>
      </c>
      <c r="L3065">
        <v>185.71250000000001</v>
      </c>
      <c r="M3065">
        <v>-7.4748080000000003E-3</v>
      </c>
      <c r="N3065">
        <v>-1.1718900000000001E-2</v>
      </c>
      <c r="O3065">
        <v>-0.99990349999999995</v>
      </c>
      <c r="P3065">
        <v>-4.4688190000000003E-2</v>
      </c>
      <c r="Q3065">
        <v>0.1935981</v>
      </c>
      <c r="R3065">
        <v>-0.98006289999999996</v>
      </c>
      <c r="S3065">
        <v>-0.31449890000000003</v>
      </c>
      <c r="T3065">
        <v>-0.1054604</v>
      </c>
      <c r="U3065">
        <v>-3.0664669999999998</v>
      </c>
      <c r="V3065">
        <v>3.7585979999999998E-2</v>
      </c>
      <c r="W3065">
        <v>0.2050322</v>
      </c>
      <c r="X3065">
        <v>0.97803329999999999</v>
      </c>
      <c r="Y3065">
        <v>9.453512E-2</v>
      </c>
      <c r="Z3065">
        <v>2.2493289999999999E-2</v>
      </c>
      <c r="AA3065">
        <v>0.99526740000000002</v>
      </c>
      <c r="AB3065">
        <v>23</v>
      </c>
      <c r="AC3065">
        <v>-3.3067000000000002</v>
      </c>
      <c r="AD3065">
        <v>-1.1099644279200001</v>
      </c>
      <c r="AE3065">
        <v>-32.0261</v>
      </c>
      <c r="AF3065">
        <v>3.0635611579130502</v>
      </c>
      <c r="AG3065">
        <v>-1.1099644279200001</v>
      </c>
      <c r="AH3065">
        <v>32.011877216821098</v>
      </c>
      <c r="AI3065">
        <v>91.9768260463172</v>
      </c>
      <c r="AJ3065">
        <v>84.533398342658103</v>
      </c>
      <c r="AK3065">
        <v>32.177285636677802</v>
      </c>
      <c r="AL3065">
        <v>78.168616257046196</v>
      </c>
      <c r="AM3065">
        <v>87.799196816160006</v>
      </c>
      <c r="AN3065">
        <v>1.0000000224191401</v>
      </c>
    </row>
    <row r="3066" spans="1:40" x14ac:dyDescent="0.25">
      <c r="A3066" t="str">
        <f>"20190304155430903"</f>
        <v>20190304155430903</v>
      </c>
      <c r="B3066" t="str">
        <f>"1551686070900589"</f>
        <v>1551686070900589</v>
      </c>
      <c r="C3066" t="s">
        <v>40</v>
      </c>
      <c r="D3066">
        <v>4.6531570000000002</v>
      </c>
      <c r="E3066">
        <v>0.51871999999999996</v>
      </c>
      <c r="F3066" t="s">
        <v>62</v>
      </c>
      <c r="G3066">
        <v>-189.40969999999999</v>
      </c>
      <c r="H3066" s="1">
        <v>-1.1593439999999999E-5</v>
      </c>
      <c r="I3066">
        <v>151.73769999999999</v>
      </c>
      <c r="J3066">
        <v>-185.9109</v>
      </c>
      <c r="K3066">
        <v>1.1100969999999999</v>
      </c>
      <c r="L3066">
        <v>185.48599999999999</v>
      </c>
      <c r="M3066">
        <v>-8.1424619999999996E-3</v>
      </c>
      <c r="N3066">
        <v>-1.1664809999999999E-2</v>
      </c>
      <c r="O3066">
        <v>-0.99989910000000004</v>
      </c>
      <c r="P3066">
        <v>-4.4708459999999998E-2</v>
      </c>
      <c r="Q3066">
        <v>0.19509989999999999</v>
      </c>
      <c r="R3066">
        <v>-0.97976419999999997</v>
      </c>
      <c r="S3066">
        <v>-0.31602479999999999</v>
      </c>
      <c r="T3066">
        <v>-0.1001803</v>
      </c>
      <c r="U3066">
        <v>-3.0664060000000002</v>
      </c>
      <c r="V3066">
        <v>3.6882659999999998E-2</v>
      </c>
      <c r="W3066">
        <v>0.2064918</v>
      </c>
      <c r="X3066">
        <v>0.97775290000000004</v>
      </c>
      <c r="Y3066">
        <v>9.4367309999999996E-2</v>
      </c>
      <c r="Z3066">
        <v>2.0836460000000001E-2</v>
      </c>
      <c r="AA3066">
        <v>0.99531939999999997</v>
      </c>
      <c r="AB3066">
        <v>23</v>
      </c>
      <c r="AC3066">
        <v>-3.4987999999999801</v>
      </c>
      <c r="AD3066">
        <v>-1.1101085934399999</v>
      </c>
      <c r="AE3066">
        <v>-33.7483</v>
      </c>
      <c r="AF3066">
        <v>3.2204236858729001</v>
      </c>
      <c r="AG3066">
        <v>-1.1101085934399999</v>
      </c>
      <c r="AH3066">
        <v>33.739553871298803</v>
      </c>
      <c r="AI3066">
        <v>91.8759624702639</v>
      </c>
      <c r="AJ3066">
        <v>84.547664252055796</v>
      </c>
      <c r="AK3066">
        <v>33.911074374605697</v>
      </c>
      <c r="AL3066">
        <v>78.083158006224494</v>
      </c>
      <c r="AM3066">
        <v>87.839720769828801</v>
      </c>
      <c r="AN3066">
        <v>0.99999996376716205</v>
      </c>
    </row>
    <row r="3067" spans="1:40" x14ac:dyDescent="0.25">
      <c r="A3067" t="str">
        <f>"20190304155430924"</f>
        <v>20190304155430924</v>
      </c>
      <c r="B3067" t="str">
        <f>"1551686070920109"</f>
        <v>1551686070920109</v>
      </c>
      <c r="C3067" t="s">
        <v>40</v>
      </c>
      <c r="D3067">
        <v>4.6979430000000004</v>
      </c>
      <c r="E3067">
        <v>0.51859149999999998</v>
      </c>
      <c r="F3067" t="s">
        <v>62</v>
      </c>
      <c r="G3067">
        <v>-189.70269999999999</v>
      </c>
      <c r="H3067" s="1">
        <v>-1.04882399999999E-5</v>
      </c>
      <c r="I3067">
        <v>148.7756</v>
      </c>
      <c r="J3067">
        <v>-185.91329999999999</v>
      </c>
      <c r="K3067">
        <v>1.1102050000000001</v>
      </c>
      <c r="L3067">
        <v>185.2654</v>
      </c>
      <c r="M3067">
        <v>-8.5965450000000006E-3</v>
      </c>
      <c r="N3067">
        <v>-1.16004E-2</v>
      </c>
      <c r="O3067">
        <v>-0.9998956</v>
      </c>
      <c r="P3067">
        <v>-4.4840770000000002E-2</v>
      </c>
      <c r="Q3067">
        <v>0.19603670000000001</v>
      </c>
      <c r="R3067">
        <v>-0.97957079999999996</v>
      </c>
      <c r="S3067">
        <v>-0.31668089999999999</v>
      </c>
      <c r="T3067">
        <v>-9.2713829999999997E-2</v>
      </c>
      <c r="U3067">
        <v>-3.065979</v>
      </c>
      <c r="V3067">
        <v>3.6512820000000001E-2</v>
      </c>
      <c r="W3067">
        <v>0.20737439999999999</v>
      </c>
      <c r="X3067">
        <v>0.97758</v>
      </c>
      <c r="Y3067">
        <v>9.4146400000000005E-2</v>
      </c>
      <c r="Z3067">
        <v>1.848499E-2</v>
      </c>
      <c r="AA3067">
        <v>0.99538669999999996</v>
      </c>
      <c r="AB3067">
        <v>23</v>
      </c>
      <c r="AC3067">
        <v>-3.7894000000000001</v>
      </c>
      <c r="AD3067">
        <v>-1.1102154882399999</v>
      </c>
      <c r="AE3067">
        <v>-36.489800000000002</v>
      </c>
      <c r="AF3067">
        <v>3.4723725032820201</v>
      </c>
      <c r="AG3067">
        <v>-1.1102154882399999</v>
      </c>
      <c r="AH3067">
        <v>36.487613118563999</v>
      </c>
      <c r="AI3067">
        <v>91.734977879753799</v>
      </c>
      <c r="AJ3067">
        <v>84.563773581377504</v>
      </c>
      <c r="AK3067">
        <v>36.669276790276101</v>
      </c>
      <c r="AL3067">
        <v>78.031470308743096</v>
      </c>
      <c r="AM3067">
        <v>87.860984802585705</v>
      </c>
      <c r="AN3067">
        <v>0.99999999209985602</v>
      </c>
    </row>
    <row r="3068" spans="1:40" x14ac:dyDescent="0.25">
      <c r="A3068" t="str">
        <f>"20190304155430946"</f>
        <v>20190304155430946</v>
      </c>
      <c r="B3068" t="str">
        <f>"1551686070939629"</f>
        <v>1551686070939629</v>
      </c>
      <c r="C3068" t="s">
        <v>40</v>
      </c>
      <c r="D3068">
        <v>4.6665320000000001</v>
      </c>
      <c r="E3068">
        <v>0.5185149</v>
      </c>
      <c r="F3068" t="s">
        <v>62</v>
      </c>
      <c r="G3068">
        <v>-189.87180000000001</v>
      </c>
      <c r="H3068" s="1">
        <v>-9.9601850000000006E-6</v>
      </c>
      <c r="I3068">
        <v>146.8296</v>
      </c>
      <c r="J3068">
        <v>-185.91579999999999</v>
      </c>
      <c r="K3068">
        <v>1.110285</v>
      </c>
      <c r="L3068">
        <v>185.02979999999999</v>
      </c>
      <c r="M3068">
        <v>-8.9250530000000005E-3</v>
      </c>
      <c r="N3068">
        <v>-1.152574E-2</v>
      </c>
      <c r="O3068">
        <v>-0.9998939</v>
      </c>
      <c r="P3068">
        <v>-4.4344509999999997E-2</v>
      </c>
      <c r="Q3068">
        <v>0.19640289999999999</v>
      </c>
      <c r="R3068">
        <v>-0.97952030000000001</v>
      </c>
      <c r="S3068">
        <v>-0.31575009999999998</v>
      </c>
      <c r="T3068">
        <v>-8.8556650000000001E-2</v>
      </c>
      <c r="U3068">
        <v>-3.065842</v>
      </c>
      <c r="V3068">
        <v>3.5649809999999997E-2</v>
      </c>
      <c r="W3068">
        <v>0.20767530000000001</v>
      </c>
      <c r="X3068">
        <v>0.97754799999999997</v>
      </c>
      <c r="Y3068">
        <v>9.3528230000000004E-2</v>
      </c>
      <c r="Z3068">
        <v>1.7214380000000001E-2</v>
      </c>
      <c r="AA3068">
        <v>0.99546780000000001</v>
      </c>
      <c r="AB3068">
        <v>23</v>
      </c>
      <c r="AC3068">
        <v>-3.9560000000000102</v>
      </c>
      <c r="AD3068">
        <v>-1.1102949601850001</v>
      </c>
      <c r="AE3068">
        <v>-38.200200000000002</v>
      </c>
      <c r="AF3068">
        <v>3.61186214505241</v>
      </c>
      <c r="AG3068">
        <v>-1.1102949601850001</v>
      </c>
      <c r="AH3068">
        <v>38.202058134730997</v>
      </c>
      <c r="AI3068">
        <v>91.6573744126908</v>
      </c>
      <c r="AJ3068">
        <v>84.598952829098394</v>
      </c>
      <c r="AK3068">
        <v>38.3884819807041</v>
      </c>
      <c r="AL3068">
        <v>78.013846617585003</v>
      </c>
      <c r="AM3068">
        <v>87.911428535655702</v>
      </c>
      <c r="AN3068">
        <v>1.00000001574356</v>
      </c>
    </row>
    <row r="3069" spans="1:40" x14ac:dyDescent="0.25">
      <c r="A3069" t="str">
        <f>"20190304155430968"</f>
        <v>20190304155430968</v>
      </c>
      <c r="B3069" t="str">
        <f>"1551686070960128"</f>
        <v>1551686070960128</v>
      </c>
      <c r="C3069" t="s">
        <v>40</v>
      </c>
      <c r="D3069">
        <v>4.6775190000000002</v>
      </c>
      <c r="E3069">
        <v>0.51842029999999995</v>
      </c>
      <c r="F3069" t="s">
        <v>62</v>
      </c>
      <c r="G3069">
        <v>-189.96199999999999</v>
      </c>
      <c r="H3069" s="1">
        <v>-9.6020039999999998E-6</v>
      </c>
      <c r="I3069">
        <v>145.49719999999999</v>
      </c>
      <c r="J3069">
        <v>-185.91829999999999</v>
      </c>
      <c r="K3069">
        <v>1.110336</v>
      </c>
      <c r="L3069">
        <v>184.79759999999999</v>
      </c>
      <c r="M3069">
        <v>-9.1359509999999998E-3</v>
      </c>
      <c r="N3069">
        <v>-1.144448E-2</v>
      </c>
      <c r="O3069">
        <v>-0.99989300000000003</v>
      </c>
      <c r="P3069">
        <v>-4.3865300000000003E-2</v>
      </c>
      <c r="Q3069">
        <v>0.1969455</v>
      </c>
      <c r="R3069">
        <v>-0.97943279999999999</v>
      </c>
      <c r="S3069">
        <v>-0.3137817</v>
      </c>
      <c r="T3069">
        <v>-8.6104150000000004E-2</v>
      </c>
      <c r="U3069">
        <v>-3.0657809999999999</v>
      </c>
      <c r="V3069">
        <v>3.4935000000000001E-2</v>
      </c>
      <c r="W3069">
        <v>0.20814260000000001</v>
      </c>
      <c r="X3069">
        <v>0.97747439999999997</v>
      </c>
      <c r="Y3069">
        <v>9.2689770000000005E-2</v>
      </c>
      <c r="Z3069">
        <v>1.6502889999999999E-2</v>
      </c>
      <c r="AA3069">
        <v>0.99555830000000001</v>
      </c>
      <c r="AB3069">
        <v>23</v>
      </c>
      <c r="AC3069">
        <v>-4.0437000000000296</v>
      </c>
      <c r="AD3069">
        <v>-1.1103456020039999</v>
      </c>
      <c r="AE3069">
        <v>-39.300400000000003</v>
      </c>
      <c r="AF3069">
        <v>3.68155335376141</v>
      </c>
      <c r="AG3069">
        <v>-1.1103456020039999</v>
      </c>
      <c r="AH3069">
        <v>39.304660007904602</v>
      </c>
      <c r="AI3069">
        <v>91.611110923767598</v>
      </c>
      <c r="AJ3069">
        <v>84.648883670175593</v>
      </c>
      <c r="AK3069">
        <v>39.492315718244001</v>
      </c>
      <c r="AL3069">
        <v>77.986473962909599</v>
      </c>
      <c r="AM3069">
        <v>87.953116267348406</v>
      </c>
      <c r="AN3069">
        <v>0.99999999940755901</v>
      </c>
    </row>
    <row r="3070" spans="1:40" x14ac:dyDescent="0.25">
      <c r="A3070" t="str">
        <f>"20190304155430990"</f>
        <v>20190304155430990</v>
      </c>
      <c r="B3070" t="str">
        <f>"1551686070979648"</f>
        <v>1551686070979648</v>
      </c>
      <c r="C3070" t="s">
        <v>40</v>
      </c>
      <c r="D3070">
        <v>4.6426319999999999</v>
      </c>
      <c r="E3070">
        <v>0.51829820000000004</v>
      </c>
      <c r="F3070" t="s">
        <v>62</v>
      </c>
      <c r="G3070">
        <v>-190.06319999999999</v>
      </c>
      <c r="H3070" s="1">
        <v>-9.2265920000000005E-6</v>
      </c>
      <c r="I3070">
        <v>144.00559999999999</v>
      </c>
      <c r="J3070">
        <v>-185.9205</v>
      </c>
      <c r="K3070">
        <v>1.1103590000000001</v>
      </c>
      <c r="L3070">
        <v>184.5746</v>
      </c>
      <c r="M3070">
        <v>-9.2640280000000005E-3</v>
      </c>
      <c r="N3070">
        <v>-1.135887E-2</v>
      </c>
      <c r="O3070">
        <v>-0.99989269999999997</v>
      </c>
      <c r="P3070">
        <v>-4.3845519999999999E-2</v>
      </c>
      <c r="Q3070">
        <v>0.19729830000000001</v>
      </c>
      <c r="R3070">
        <v>-0.97936270000000003</v>
      </c>
      <c r="S3070">
        <v>-0.31152340000000001</v>
      </c>
      <c r="T3070">
        <v>-8.3450789999999997E-2</v>
      </c>
      <c r="U3070">
        <v>-3.0658259999999999</v>
      </c>
      <c r="V3070">
        <v>3.4772299999999999E-2</v>
      </c>
      <c r="W3070">
        <v>0.20841409999999999</v>
      </c>
      <c r="X3070">
        <v>0.97742240000000002</v>
      </c>
      <c r="Y3070">
        <v>9.1837020000000005E-2</v>
      </c>
      <c r="Z3070">
        <v>1.5729569999999998E-2</v>
      </c>
      <c r="AA3070">
        <v>0.99564980000000003</v>
      </c>
      <c r="AB3070">
        <v>23</v>
      </c>
      <c r="AC3070">
        <v>-4.1426999999999898</v>
      </c>
      <c r="AD3070">
        <v>-1.1103682265920001</v>
      </c>
      <c r="AE3070">
        <v>-40.569000000000003</v>
      </c>
      <c r="AF3070">
        <v>3.7638751957074699</v>
      </c>
      <c r="AG3070">
        <v>-1.1103682265920001</v>
      </c>
      <c r="AH3070">
        <v>40.575557569472302</v>
      </c>
      <c r="AI3070">
        <v>91.560835713179202</v>
      </c>
      <c r="AJ3070">
        <v>84.700287669296898</v>
      </c>
      <c r="AK3070">
        <v>40.764881284765799</v>
      </c>
      <c r="AL3070">
        <v>77.970569969561595</v>
      </c>
      <c r="AM3070">
        <v>87.962532705494596</v>
      </c>
      <c r="AN3070">
        <v>1.00000004897392</v>
      </c>
    </row>
    <row r="3071" spans="1:40" x14ac:dyDescent="0.25">
      <c r="A3071" t="str">
        <f>"20190304155431012"</f>
        <v>20190304155431012</v>
      </c>
      <c r="B3071" t="str">
        <f>"1551686071009900"</f>
        <v>1551686071009900</v>
      </c>
      <c r="C3071" t="s">
        <v>40</v>
      </c>
      <c r="D3071">
        <v>4.6238519999999896</v>
      </c>
      <c r="E3071">
        <v>0.51811059999999998</v>
      </c>
      <c r="F3071" t="s">
        <v>62</v>
      </c>
      <c r="G3071">
        <v>-190.14609999999999</v>
      </c>
      <c r="H3071" s="1">
        <v>-8.9471029999999993E-6</v>
      </c>
      <c r="I3071">
        <v>142.88999999999999</v>
      </c>
      <c r="J3071">
        <v>-185.9229</v>
      </c>
      <c r="K3071">
        <v>1.1103670000000001</v>
      </c>
      <c r="L3071">
        <v>184.33519999999999</v>
      </c>
      <c r="M3071">
        <v>-9.3542079999999993E-3</v>
      </c>
      <c r="N3071">
        <v>-1.125843E-2</v>
      </c>
      <c r="O3071">
        <v>-0.99989300000000003</v>
      </c>
      <c r="P3071">
        <v>-4.3571289999999999E-2</v>
      </c>
      <c r="Q3071">
        <v>0.1972072</v>
      </c>
      <c r="R3071">
        <v>-0.97939350000000003</v>
      </c>
      <c r="S3071">
        <v>-0.31077579999999999</v>
      </c>
      <c r="T3071">
        <v>-8.1664319999999999E-2</v>
      </c>
      <c r="U3071">
        <v>-3.0657809999999999</v>
      </c>
      <c r="V3071">
        <v>3.4399190000000003E-2</v>
      </c>
      <c r="W3071">
        <v>0.20822660000000001</v>
      </c>
      <c r="X3071">
        <v>0.97747550000000005</v>
      </c>
      <c r="Y3071">
        <v>9.1509720000000003E-2</v>
      </c>
      <c r="Z3071">
        <v>1.525164E-2</v>
      </c>
      <c r="AA3071">
        <v>0.9956874</v>
      </c>
      <c r="AB3071">
        <v>23</v>
      </c>
      <c r="AC3071">
        <v>-4.2231999999999896</v>
      </c>
      <c r="AD3071">
        <v>-1.1103759471029999</v>
      </c>
      <c r="AE3071">
        <v>-41.4452</v>
      </c>
      <c r="AF3071">
        <v>3.8325809813190399</v>
      </c>
      <c r="AG3071">
        <v>-1.1103759471029999</v>
      </c>
      <c r="AH3071">
        <v>41.453444971109398</v>
      </c>
      <c r="AI3071">
        <v>91.527850359095297</v>
      </c>
      <c r="AJ3071">
        <v>84.717731618035799</v>
      </c>
      <c r="AK3071">
        <v>41.645044263334199</v>
      </c>
      <c r="AL3071">
        <v>77.981553154185505</v>
      </c>
      <c r="AM3071">
        <v>87.984486193220206</v>
      </c>
      <c r="AN3071">
        <v>0.99999998716023297</v>
      </c>
    </row>
    <row r="3072" spans="1:40" x14ac:dyDescent="0.25">
      <c r="A3072" t="str">
        <f>"20190304155431035"</f>
        <v>20190304155431035</v>
      </c>
      <c r="B3072" t="str">
        <f>"1551686071030397"</f>
        <v>1551686071030397</v>
      </c>
      <c r="C3072" t="s">
        <v>40</v>
      </c>
      <c r="D3072">
        <v>4.5701879999999999</v>
      </c>
      <c r="E3072">
        <v>0.51807979999999998</v>
      </c>
      <c r="F3072" t="s">
        <v>62</v>
      </c>
      <c r="G3072">
        <v>-190.15770000000001</v>
      </c>
      <c r="H3072" s="1">
        <v>-8.7893549999999995E-6</v>
      </c>
      <c r="I3072">
        <v>142.28399999999999</v>
      </c>
      <c r="J3072">
        <v>-185.92529999999999</v>
      </c>
      <c r="K3072">
        <v>1.110352</v>
      </c>
      <c r="L3072">
        <v>184.09909999999999</v>
      </c>
      <c r="M3072">
        <v>-9.4277030000000008E-3</v>
      </c>
      <c r="N3072">
        <v>-1.114996E-2</v>
      </c>
      <c r="O3072">
        <v>-0.9998937</v>
      </c>
      <c r="P3072">
        <v>-4.3531340000000002E-2</v>
      </c>
      <c r="Q3072">
        <v>0.19633110000000001</v>
      </c>
      <c r="R3072">
        <v>-0.97957130000000003</v>
      </c>
      <c r="S3072">
        <v>-0.30873109999999998</v>
      </c>
      <c r="T3072">
        <v>-8.0950980000000006E-2</v>
      </c>
      <c r="U3072">
        <v>-3.0657040000000002</v>
      </c>
      <c r="V3072">
        <v>3.4283370000000001E-2</v>
      </c>
      <c r="W3072">
        <v>0.20724709999999999</v>
      </c>
      <c r="X3072">
        <v>0.97768770000000005</v>
      </c>
      <c r="Y3072">
        <v>9.0782329999999994E-2</v>
      </c>
      <c r="Z3072">
        <v>1.513104E-2</v>
      </c>
      <c r="AA3072">
        <v>0.99575579999999997</v>
      </c>
      <c r="AB3072">
        <v>23</v>
      </c>
      <c r="AC3072">
        <v>-4.2324000000000099</v>
      </c>
      <c r="AD3072">
        <v>-1.110360789355</v>
      </c>
      <c r="AE3072">
        <v>-41.815100000000001</v>
      </c>
      <c r="AF3072">
        <v>3.8352902429153302</v>
      </c>
      <c r="AG3072">
        <v>-1.110360789355</v>
      </c>
      <c r="AH3072">
        <v>41.823953944269199</v>
      </c>
      <c r="AI3072">
        <v>91.514405385638895</v>
      </c>
      <c r="AJ3072">
        <v>84.7605842583135</v>
      </c>
      <c r="AK3072">
        <v>42.014110437593303</v>
      </c>
      <c r="AL3072">
        <v>78.038925820402397</v>
      </c>
      <c r="AM3072">
        <v>87.991702361942004</v>
      </c>
      <c r="AN3072">
        <v>0.99999997432412802</v>
      </c>
    </row>
    <row r="3073" spans="1:40" x14ac:dyDescent="0.25">
      <c r="A3073" t="str">
        <f>"20190304155431058"</f>
        <v>20190304155431058</v>
      </c>
      <c r="B3073" t="str">
        <f>"1551686071049920"</f>
        <v>1551686071049920</v>
      </c>
      <c r="C3073" t="s">
        <v>40</v>
      </c>
      <c r="D3073">
        <v>4.5647140000000004</v>
      </c>
      <c r="E3073">
        <v>0.51801819999999998</v>
      </c>
      <c r="F3073" t="s">
        <v>62</v>
      </c>
      <c r="G3073">
        <v>-190.05770000000001</v>
      </c>
      <c r="H3073" s="1">
        <v>-8.983937E-6</v>
      </c>
      <c r="I3073">
        <v>143.0891</v>
      </c>
      <c r="J3073">
        <v>-185.92769999999999</v>
      </c>
      <c r="K3073">
        <v>1.1103229999999999</v>
      </c>
      <c r="L3073">
        <v>183.8569</v>
      </c>
      <c r="M3073">
        <v>-9.5078550000000008E-3</v>
      </c>
      <c r="N3073">
        <v>-1.103693E-2</v>
      </c>
      <c r="O3073">
        <v>-0.9998939</v>
      </c>
      <c r="P3073">
        <v>-4.3440930000000003E-2</v>
      </c>
      <c r="Q3073">
        <v>0.1954446</v>
      </c>
      <c r="R3073">
        <v>-0.97975239999999997</v>
      </c>
      <c r="S3073">
        <v>-0.30889889999999998</v>
      </c>
      <c r="T3073">
        <v>-8.299935E-2</v>
      </c>
      <c r="U3073">
        <v>-3.0654910000000002</v>
      </c>
      <c r="V3073">
        <v>3.4117069999999999E-2</v>
      </c>
      <c r="W3073">
        <v>0.20625099999999999</v>
      </c>
      <c r="X3073">
        <v>0.97790410000000005</v>
      </c>
      <c r="Y3073">
        <v>9.076215E-2</v>
      </c>
      <c r="Z3073">
        <v>1.591035E-2</v>
      </c>
      <c r="AA3073">
        <v>0.99574549999999995</v>
      </c>
      <c r="AB3073">
        <v>23</v>
      </c>
      <c r="AC3073">
        <v>-4.1300000000000203</v>
      </c>
      <c r="AD3073">
        <v>-1.1103319839370001</v>
      </c>
      <c r="AE3073">
        <v>-40.767800000000001</v>
      </c>
      <c r="AF3073">
        <v>3.7394297306002402</v>
      </c>
      <c r="AG3073">
        <v>-1.1103319839370001</v>
      </c>
      <c r="AH3073">
        <v>40.775288114639601</v>
      </c>
      <c r="AI3073">
        <v>91.553292953195907</v>
      </c>
      <c r="AJ3073">
        <v>84.760162061886604</v>
      </c>
      <c r="AK3073">
        <v>40.961448859342298</v>
      </c>
      <c r="AL3073">
        <v>78.097258060922897</v>
      </c>
      <c r="AM3073">
        <v>88.001878091914506</v>
      </c>
      <c r="AN3073">
        <v>0.99999993913159502</v>
      </c>
    </row>
    <row r="3074" spans="1:40" x14ac:dyDescent="0.25">
      <c r="A3074" t="str">
        <f>"20190304155431081"</f>
        <v>20190304155431081</v>
      </c>
      <c r="B3074" t="str">
        <f>"1551686071070413"</f>
        <v>1551686071070413</v>
      </c>
      <c r="C3074" t="s">
        <v>40</v>
      </c>
      <c r="D3074">
        <v>4.5715430000000001</v>
      </c>
      <c r="E3074">
        <v>0.5180612</v>
      </c>
      <c r="F3074" t="s">
        <v>62</v>
      </c>
      <c r="G3074">
        <v>-189.96369999999999</v>
      </c>
      <c r="H3074" s="1">
        <v>-9.1647739999999996E-6</v>
      </c>
      <c r="I3074">
        <v>143.8381</v>
      </c>
      <c r="J3074">
        <v>-185.93</v>
      </c>
      <c r="K3074">
        <v>1.1102810000000001</v>
      </c>
      <c r="L3074">
        <v>183.62119999999999</v>
      </c>
      <c r="M3074">
        <v>-9.5994229999999993E-3</v>
      </c>
      <c r="N3074">
        <v>-1.093035E-2</v>
      </c>
      <c r="O3074">
        <v>-0.99989410000000001</v>
      </c>
      <c r="P3074">
        <v>-4.3826400000000001E-2</v>
      </c>
      <c r="Q3074">
        <v>0.19424279999999999</v>
      </c>
      <c r="R3074">
        <v>-0.97997420000000002</v>
      </c>
      <c r="S3074">
        <v>-0.309143099999999</v>
      </c>
      <c r="T3074">
        <v>-8.504689E-2</v>
      </c>
      <c r="U3074">
        <v>-3.065277</v>
      </c>
      <c r="V3074">
        <v>3.4419320000000003E-2</v>
      </c>
      <c r="W3074">
        <v>0.2049463</v>
      </c>
      <c r="X3074">
        <v>0.97816780000000003</v>
      </c>
      <c r="Y3074">
        <v>9.0755009999999997E-2</v>
      </c>
      <c r="Z3074">
        <v>1.6682929999999999E-2</v>
      </c>
      <c r="AA3074">
        <v>0.99573350000000005</v>
      </c>
      <c r="AB3074">
        <v>23</v>
      </c>
      <c r="AC3074">
        <v>-4.0336999999999801</v>
      </c>
      <c r="AD3074">
        <v>-1.11029016477399</v>
      </c>
      <c r="AE3074">
        <v>-39.783099999999898</v>
      </c>
      <c r="AF3074">
        <v>3.6487833920008499</v>
      </c>
      <c r="AG3074">
        <v>-1.11029016477399</v>
      </c>
      <c r="AH3074">
        <v>39.789314153835903</v>
      </c>
      <c r="AI3074">
        <v>91.591704680369503</v>
      </c>
      <c r="AJ3074">
        <v>84.760482507309106</v>
      </c>
      <c r="AK3074">
        <v>39.9716885473254</v>
      </c>
      <c r="AL3074">
        <v>78.173644002025696</v>
      </c>
      <c r="AM3074">
        <v>87.984733852180298</v>
      </c>
      <c r="AN3074">
        <v>0.99999996021489501</v>
      </c>
    </row>
    <row r="3075" spans="1:40" x14ac:dyDescent="0.25">
      <c r="A3075" t="str">
        <f>"20190304155431110"</f>
        <v>20190304155431110</v>
      </c>
      <c r="B3075" t="str">
        <f>"1551686071099693"</f>
        <v>1551686071099693</v>
      </c>
      <c r="C3075" t="s">
        <v>40</v>
      </c>
      <c r="D3075">
        <v>4.5244140000000002</v>
      </c>
      <c r="E3075">
        <v>0.51796819999999999</v>
      </c>
      <c r="F3075" t="s">
        <v>62</v>
      </c>
      <c r="G3075">
        <v>-189.81370000000001</v>
      </c>
      <c r="H3075" s="1">
        <v>-9.5866519999999996E-6</v>
      </c>
      <c r="I3075">
        <v>145.3938</v>
      </c>
      <c r="J3075">
        <v>-185.9331</v>
      </c>
      <c r="K3075">
        <v>1.1102350000000001</v>
      </c>
      <c r="L3075">
        <v>183.3212</v>
      </c>
      <c r="M3075">
        <v>-9.7440960000000007E-3</v>
      </c>
      <c r="N3075">
        <v>-1.080364E-2</v>
      </c>
      <c r="O3075">
        <v>-0.99989439999999996</v>
      </c>
      <c r="P3075">
        <v>-4.442633E-2</v>
      </c>
      <c r="Q3075">
        <v>0.1933848</v>
      </c>
      <c r="R3075">
        <v>-0.98011680000000001</v>
      </c>
      <c r="S3075">
        <v>-0.3113861</v>
      </c>
      <c r="T3075">
        <v>-8.9022519999999994E-2</v>
      </c>
      <c r="U3075">
        <v>-3.065048</v>
      </c>
      <c r="V3075">
        <v>3.4890009999999999E-2</v>
      </c>
      <c r="W3075">
        <v>0.2039637</v>
      </c>
      <c r="X3075">
        <v>0.97835649999999996</v>
      </c>
      <c r="Y3075">
        <v>9.133666E-2</v>
      </c>
      <c r="Z3075">
        <v>1.809966E-2</v>
      </c>
      <c r="AA3075">
        <v>0.99565559999999997</v>
      </c>
      <c r="AB3075">
        <v>23</v>
      </c>
      <c r="AC3075">
        <v>-3.88060000000001</v>
      </c>
      <c r="AD3075">
        <v>-1.1102445866519901</v>
      </c>
      <c r="AE3075">
        <v>-37.927399999999999</v>
      </c>
      <c r="AF3075">
        <v>3.5078512963074102</v>
      </c>
      <c r="AG3075">
        <v>-1.1102445866519901</v>
      </c>
      <c r="AH3075">
        <v>37.931247708328499</v>
      </c>
      <c r="AI3075">
        <v>91.669444581923003</v>
      </c>
      <c r="AJ3075">
        <v>84.716360771340803</v>
      </c>
      <c r="AK3075">
        <v>38.109279925888998</v>
      </c>
      <c r="AL3075">
        <v>78.231157908237506</v>
      </c>
      <c r="AM3075">
        <v>87.957591610582597</v>
      </c>
      <c r="AN3075">
        <v>0.99999997240386895</v>
      </c>
    </row>
    <row r="3076" spans="1:40" x14ac:dyDescent="0.25">
      <c r="A3076" t="str">
        <f>"20190304155431125"</f>
        <v>20190304155431125</v>
      </c>
      <c r="B3076" t="str">
        <f>"1551686071120189"</f>
        <v>1551686071120189</v>
      </c>
      <c r="C3076" t="s">
        <v>40</v>
      </c>
      <c r="D3076">
        <v>4.5389679999999997</v>
      </c>
      <c r="E3076">
        <v>0.51798650000000002</v>
      </c>
      <c r="F3076" t="s">
        <v>62</v>
      </c>
      <c r="G3076">
        <v>-189.72649999999999</v>
      </c>
      <c r="H3076" s="1">
        <v>-9.7864649999999995E-6</v>
      </c>
      <c r="I3076">
        <v>146.1225</v>
      </c>
      <c r="J3076">
        <v>-185.93469999999999</v>
      </c>
      <c r="K3076">
        <v>1.1102110000000001</v>
      </c>
      <c r="L3076">
        <v>183.16</v>
      </c>
      <c r="M3076">
        <v>-9.833016E-3</v>
      </c>
      <c r="N3076">
        <v>-1.0740370000000001E-2</v>
      </c>
      <c r="O3076">
        <v>-0.99989410000000001</v>
      </c>
      <c r="P3076">
        <v>-4.574048E-2</v>
      </c>
      <c r="Q3076">
        <v>0.19286200000000001</v>
      </c>
      <c r="R3076">
        <v>-0.98015969999999997</v>
      </c>
      <c r="S3076">
        <v>-0.31253049999999999</v>
      </c>
      <c r="T3076">
        <v>-9.1470839999999998E-2</v>
      </c>
      <c r="U3076">
        <v>-3.0647280000000001</v>
      </c>
      <c r="V3076">
        <v>3.612406E-2</v>
      </c>
      <c r="W3076">
        <v>0.2033778</v>
      </c>
      <c r="X3076">
        <v>0.97843369999999996</v>
      </c>
      <c r="Y3076">
        <v>9.1624650000000002E-2</v>
      </c>
      <c r="Z3076">
        <v>1.8959259999999999E-2</v>
      </c>
      <c r="AA3076">
        <v>0.99561310000000003</v>
      </c>
      <c r="AB3076">
        <v>24</v>
      </c>
      <c r="AC3076">
        <v>-3.7917999999999901</v>
      </c>
      <c r="AD3076">
        <v>-1.110220786465</v>
      </c>
      <c r="AE3076">
        <v>-37.037500000000001</v>
      </c>
      <c r="AF3076">
        <v>3.4243603767301698</v>
      </c>
      <c r="AG3076">
        <v>-1.110220786465</v>
      </c>
      <c r="AH3076">
        <v>37.040059575179299</v>
      </c>
      <c r="AI3076">
        <v>91.709555973562203</v>
      </c>
      <c r="AJ3076">
        <v>84.7180088702479</v>
      </c>
      <c r="AK3076">
        <v>37.214578427240703</v>
      </c>
      <c r="AL3076">
        <v>78.265446433492599</v>
      </c>
      <c r="AM3076">
        <v>87.885583344624706</v>
      </c>
      <c r="AN3076">
        <v>0.99999999126970596</v>
      </c>
    </row>
    <row r="3077" spans="1:40" x14ac:dyDescent="0.25">
      <c r="A3077" t="str">
        <f>"20190304155431147"</f>
        <v>20190304155431147</v>
      </c>
      <c r="B3077" t="str">
        <f>"1551686071139709"</f>
        <v>1551686071139709</v>
      </c>
      <c r="C3077" t="s">
        <v>40</v>
      </c>
      <c r="D3077">
        <v>4.107348</v>
      </c>
      <c r="E3077">
        <v>0.55891299999999999</v>
      </c>
      <c r="F3077" t="s">
        <v>62</v>
      </c>
      <c r="G3077">
        <v>-189.73849999999999</v>
      </c>
      <c r="H3077" s="1">
        <v>-9.8486320000000001E-6</v>
      </c>
      <c r="I3077">
        <v>146.3622</v>
      </c>
      <c r="J3077">
        <v>-185.93719999999999</v>
      </c>
      <c r="K3077">
        <v>1.1101749999999999</v>
      </c>
      <c r="L3077">
        <v>182.92509999999999</v>
      </c>
      <c r="M3077">
        <v>-9.9782020000000003E-3</v>
      </c>
      <c r="N3077">
        <v>-1.0656830000000001E-2</v>
      </c>
      <c r="O3077">
        <v>-0.99989340000000004</v>
      </c>
      <c r="P3077">
        <v>-4.7040249999999999E-2</v>
      </c>
      <c r="Q3077">
        <v>0.19204679999999999</v>
      </c>
      <c r="R3077">
        <v>-0.98025779999999996</v>
      </c>
      <c r="S3077">
        <v>-0.31674190000000002</v>
      </c>
      <c r="T3077">
        <v>-9.2447879999999996E-2</v>
      </c>
      <c r="U3077">
        <v>-3.0641479999999999</v>
      </c>
      <c r="V3077">
        <v>3.7290429999999999E-2</v>
      </c>
      <c r="W3077">
        <v>0.20248050000000001</v>
      </c>
      <c r="X3077">
        <v>0.97857609999999995</v>
      </c>
      <c r="Y3077">
        <v>9.2852110000000002E-2</v>
      </c>
      <c r="Z3077">
        <v>1.9361610000000001E-2</v>
      </c>
      <c r="AA3077">
        <v>0.99549160000000003</v>
      </c>
      <c r="AB3077">
        <v>24</v>
      </c>
      <c r="AC3077">
        <v>-3.8012999999999901</v>
      </c>
      <c r="AD3077">
        <v>-1.1101848486319901</v>
      </c>
      <c r="AE3077">
        <v>-36.5628999999999</v>
      </c>
      <c r="AF3077">
        <v>3.4331266670349598</v>
      </c>
      <c r="AG3077">
        <v>-1.1101848486319901</v>
      </c>
      <c r="AH3077">
        <v>36.565660488991199</v>
      </c>
      <c r="AI3077">
        <v>91.731436093123094</v>
      </c>
      <c r="AJ3077">
        <v>84.636259567248104</v>
      </c>
      <c r="AK3077">
        <v>36.743249667200203</v>
      </c>
      <c r="AL3077">
        <v>78.317951136095303</v>
      </c>
      <c r="AM3077">
        <v>87.817695572347006</v>
      </c>
      <c r="AN3077">
        <v>1.00000005627052</v>
      </c>
    </row>
    <row r="3078" spans="1:40" x14ac:dyDescent="0.25">
      <c r="A3078" t="str">
        <f>"20190304155431180"</f>
        <v>20190304155431180</v>
      </c>
      <c r="B3078" t="str">
        <f>"1551686071169968"</f>
        <v>1551686071169968</v>
      </c>
      <c r="C3078" t="s">
        <v>40</v>
      </c>
      <c r="D3078">
        <v>4.762149</v>
      </c>
      <c r="E3078">
        <v>0.63381330000000002</v>
      </c>
      <c r="F3078" t="s">
        <v>53</v>
      </c>
      <c r="G3078">
        <v>-212.22620000000001</v>
      </c>
      <c r="H3078">
        <v>2.9093550000000001</v>
      </c>
      <c r="I3078">
        <v>58.604689999999998</v>
      </c>
      <c r="J3078">
        <v>-185.9409</v>
      </c>
      <c r="K3078">
        <v>1.1101369999999999</v>
      </c>
      <c r="L3078">
        <v>182.57329999999999</v>
      </c>
      <c r="M3078">
        <v>-1.021685E-2</v>
      </c>
      <c r="N3078">
        <v>-1.054744E-2</v>
      </c>
      <c r="O3078">
        <v>-0.99989220000000001</v>
      </c>
      <c r="P3078">
        <v>-4.9244919999999998E-2</v>
      </c>
      <c r="Q3078">
        <v>0.19135189999999999</v>
      </c>
      <c r="R3078">
        <v>-0.98028550000000003</v>
      </c>
      <c r="S3078">
        <v>-0.63887019999999906</v>
      </c>
      <c r="T3078">
        <v>4.3723699999999997E-2</v>
      </c>
      <c r="U3078">
        <v>-3.02121</v>
      </c>
      <c r="V3078">
        <v>3.9272319999999999E-2</v>
      </c>
      <c r="W3078">
        <v>0.20167669999999999</v>
      </c>
      <c r="X3078">
        <v>0.97866450000000005</v>
      </c>
      <c r="Y3078">
        <v>0.1968202</v>
      </c>
      <c r="Z3078">
        <v>-2.4705700000000001E-2</v>
      </c>
      <c r="AA3078">
        <v>0.98012829999999995</v>
      </c>
      <c r="AB3078">
        <v>24</v>
      </c>
      <c r="AC3078">
        <v>-26.285299999999999</v>
      </c>
      <c r="AD3078">
        <v>1.799218</v>
      </c>
      <c r="AE3078">
        <v>-123.968609999999</v>
      </c>
      <c r="AF3078">
        <v>25.012246860119699</v>
      </c>
      <c r="AG3078">
        <v>1.799218</v>
      </c>
      <c r="AH3078">
        <v>124.205669575619</v>
      </c>
      <c r="AI3078">
        <v>89.186413537183</v>
      </c>
      <c r="AJ3078">
        <v>78.614189601924807</v>
      </c>
      <c r="AK3078">
        <v>126.711870135087</v>
      </c>
      <c r="AL3078">
        <v>78.364975025466194</v>
      </c>
      <c r="AM3078">
        <v>87.702040323457794</v>
      </c>
      <c r="AN3078">
        <v>1.0000000050006601</v>
      </c>
    </row>
    <row r="3079" spans="1:40" x14ac:dyDescent="0.25">
      <c r="A3079" t="str">
        <f>"20190304155431224"</f>
        <v>20190304155431224</v>
      </c>
      <c r="B3079" t="str">
        <f>"1551686071219742"</f>
        <v>1551686071219742</v>
      </c>
      <c r="C3079" t="s">
        <v>40</v>
      </c>
      <c r="D3079">
        <v>4.7622900000000001</v>
      </c>
      <c r="E3079">
        <v>0.63911110000000004</v>
      </c>
      <c r="F3079" t="s">
        <v>60</v>
      </c>
      <c r="G3079">
        <v>-212.21420000000001</v>
      </c>
      <c r="H3079">
        <v>0.39673459999999999</v>
      </c>
      <c r="I3079">
        <v>119.23180000000001</v>
      </c>
      <c r="J3079">
        <v>-185.9461</v>
      </c>
      <c r="K3079">
        <v>1.110109</v>
      </c>
      <c r="L3079">
        <v>182.10589999999999</v>
      </c>
      <c r="M3079">
        <v>-1.0552199999999999E-2</v>
      </c>
      <c r="N3079">
        <v>-1.043119E-2</v>
      </c>
      <c r="O3079">
        <v>-0.9998901</v>
      </c>
      <c r="P3079">
        <v>-5.2053919999999997E-2</v>
      </c>
      <c r="Q3079">
        <v>0.18985869999999999</v>
      </c>
      <c r="R3079">
        <v>-0.98043100000000005</v>
      </c>
      <c r="S3079">
        <v>-1.24617</v>
      </c>
      <c r="T3079">
        <v>-3.383601E-2</v>
      </c>
      <c r="U3079">
        <v>-3.0043489999999999</v>
      </c>
      <c r="V3079">
        <v>4.1758969999999999E-2</v>
      </c>
      <c r="W3079">
        <v>0.20006940000000001</v>
      </c>
      <c r="X3079">
        <v>0.97889139999999997</v>
      </c>
      <c r="Y3079">
        <v>0.37332910000000002</v>
      </c>
      <c r="Z3079" s="1">
        <v>1.3840910000000001E-5</v>
      </c>
      <c r="AA3079">
        <v>0.92769900000000005</v>
      </c>
      <c r="AB3079">
        <v>24</v>
      </c>
      <c r="AC3079">
        <v>-26.2681</v>
      </c>
      <c r="AD3079">
        <v>-0.71337439999999996</v>
      </c>
      <c r="AE3079">
        <v>-62.874099999999899</v>
      </c>
      <c r="AF3079">
        <v>25.600335421472199</v>
      </c>
      <c r="AG3079">
        <v>-0.71337439999999996</v>
      </c>
      <c r="AH3079">
        <v>63.140879911241399</v>
      </c>
      <c r="AI3079">
        <v>90.599880572558206</v>
      </c>
      <c r="AJ3079">
        <v>67.930010742761297</v>
      </c>
      <c r="AK3079">
        <v>68.137044202784907</v>
      </c>
      <c r="AL3079">
        <v>78.458982319906895</v>
      </c>
      <c r="AM3079">
        <v>87.557274546826505</v>
      </c>
      <c r="AN3079">
        <v>0.99999997469289004</v>
      </c>
    </row>
    <row r="3080" spans="1:40" x14ac:dyDescent="0.25">
      <c r="A3080" t="str">
        <f>"20190304155431248"</f>
        <v>20190304155431248</v>
      </c>
      <c r="B3080" t="str">
        <f>"1551686071240239"</f>
        <v>1551686071240239</v>
      </c>
      <c r="C3080" t="s">
        <v>40</v>
      </c>
      <c r="D3080">
        <v>4.6990059999999998</v>
      </c>
      <c r="E3080">
        <v>0.64058470000000001</v>
      </c>
      <c r="F3080" t="s">
        <v>60</v>
      </c>
      <c r="G3080">
        <v>-212.8442</v>
      </c>
      <c r="H3080">
        <v>0.2416835</v>
      </c>
      <c r="I3080">
        <v>119.91719999999999</v>
      </c>
      <c r="J3080">
        <v>-185.94890000000001</v>
      </c>
      <c r="K3080">
        <v>1.1100989999999999</v>
      </c>
      <c r="L3080">
        <v>181.8605</v>
      </c>
      <c r="M3080">
        <v>-1.0728150000000001E-2</v>
      </c>
      <c r="N3080">
        <v>-1.038188E-2</v>
      </c>
      <c r="O3080">
        <v>-0.99988889999999997</v>
      </c>
      <c r="P3080">
        <v>-5.3022979999999997E-2</v>
      </c>
      <c r="Q3080">
        <v>0.18925790000000001</v>
      </c>
      <c r="R3080">
        <v>-0.98049540000000002</v>
      </c>
      <c r="S3080">
        <v>-1.2971950000000001</v>
      </c>
      <c r="T3080">
        <v>-4.1879529999999998E-2</v>
      </c>
      <c r="U3080">
        <v>-2.9991300000000001</v>
      </c>
      <c r="V3080">
        <v>4.2556770000000001E-2</v>
      </c>
      <c r="W3080">
        <v>0.1994204</v>
      </c>
      <c r="X3080">
        <v>0.97898949999999996</v>
      </c>
      <c r="Y3080">
        <v>0.38706610000000002</v>
      </c>
      <c r="Z3080">
        <v>2.4837599999999998E-3</v>
      </c>
      <c r="AA3080">
        <v>0.9220486</v>
      </c>
      <c r="AB3080">
        <v>24</v>
      </c>
      <c r="AC3080">
        <v>-26.895299999999899</v>
      </c>
      <c r="AD3080">
        <v>-0.86841550000000001</v>
      </c>
      <c r="AE3080">
        <v>-61.943300000000001</v>
      </c>
      <c r="AF3080">
        <v>26.2248426317568</v>
      </c>
      <c r="AG3080">
        <v>-0.86841550000000001</v>
      </c>
      <c r="AH3080">
        <v>62.217998111614101</v>
      </c>
      <c r="AI3080">
        <v>90.736885398855193</v>
      </c>
      <c r="AJ3080">
        <v>67.144610981838795</v>
      </c>
      <c r="AK3080">
        <v>67.524631102715901</v>
      </c>
      <c r="AL3080">
        <v>78.496932434686499</v>
      </c>
      <c r="AM3080">
        <v>87.510913864833199</v>
      </c>
      <c r="AN3080">
        <v>1.0000000078596201</v>
      </c>
    </row>
    <row r="3081" spans="1:40" x14ac:dyDescent="0.25">
      <c r="A3081" t="str">
        <f>"20190304155431269"</f>
        <v>20190304155431269</v>
      </c>
      <c r="B3081" t="str">
        <f>"1551686071259760"</f>
        <v>1551686071259760</v>
      </c>
      <c r="C3081" t="s">
        <v>40</v>
      </c>
      <c r="D3081">
        <v>4.6902350000000004</v>
      </c>
      <c r="E3081">
        <v>0.64222999999999997</v>
      </c>
      <c r="F3081" t="s">
        <v>60</v>
      </c>
      <c r="G3081">
        <v>-213.07069999999999</v>
      </c>
      <c r="H3081">
        <v>0.2334078</v>
      </c>
      <c r="I3081">
        <v>119.91719999999999</v>
      </c>
      <c r="J3081">
        <v>-185.95160000000001</v>
      </c>
      <c r="K3081">
        <v>1.110098</v>
      </c>
      <c r="L3081">
        <v>181.62610000000001</v>
      </c>
      <c r="M3081">
        <v>-1.089358E-2</v>
      </c>
      <c r="N3081">
        <v>-1.0341019999999999E-2</v>
      </c>
      <c r="O3081">
        <v>-0.99988750000000004</v>
      </c>
      <c r="P3081">
        <v>-5.4580780000000002E-2</v>
      </c>
      <c r="Q3081">
        <v>0.1890194</v>
      </c>
      <c r="R3081">
        <v>-0.98045579999999999</v>
      </c>
      <c r="S3081">
        <v>-1.312195</v>
      </c>
      <c r="T3081">
        <v>-4.2414189999999997E-2</v>
      </c>
      <c r="U3081">
        <v>-2.996902</v>
      </c>
      <c r="V3081">
        <v>4.3953930000000002E-2</v>
      </c>
      <c r="W3081">
        <v>0.19914100000000001</v>
      </c>
      <c r="X3081">
        <v>0.97898470000000004</v>
      </c>
      <c r="Y3081">
        <v>0.39103840000000001</v>
      </c>
      <c r="Z3081">
        <v>2.6741389999999999E-3</v>
      </c>
      <c r="AA3081">
        <v>0.92037049999999998</v>
      </c>
      <c r="AB3081">
        <v>24</v>
      </c>
      <c r="AC3081">
        <v>-27.1190999999999</v>
      </c>
      <c r="AD3081">
        <v>-0.87669019999999998</v>
      </c>
      <c r="AE3081">
        <v>-61.7089</v>
      </c>
      <c r="AF3081">
        <v>26.440751266913399</v>
      </c>
      <c r="AG3081">
        <v>-0.87669019999999998</v>
      </c>
      <c r="AH3081">
        <v>61.990191280644801</v>
      </c>
      <c r="AI3081">
        <v>90.745290595982695</v>
      </c>
      <c r="AJ3081">
        <v>66.900239308356703</v>
      </c>
      <c r="AK3081">
        <v>67.399300651241802</v>
      </c>
      <c r="AL3081">
        <v>78.513269195231302</v>
      </c>
      <c r="AM3081">
        <v>87.429291223137795</v>
      </c>
      <c r="AN3081">
        <v>1.0000000643387601</v>
      </c>
    </row>
    <row r="3082" spans="1:40" x14ac:dyDescent="0.25">
      <c r="A3082" t="str">
        <f>"20190304155431292"</f>
        <v>20190304155431292</v>
      </c>
      <c r="B3082" t="str">
        <f>"1551686071290015"</f>
        <v>1551686071290015</v>
      </c>
      <c r="C3082" t="s">
        <v>40</v>
      </c>
      <c r="D3082">
        <v>4.7394189999999998</v>
      </c>
      <c r="E3082">
        <v>0.64334930000000001</v>
      </c>
      <c r="F3082" t="s">
        <v>60</v>
      </c>
      <c r="G3082">
        <v>-213.36</v>
      </c>
      <c r="H3082">
        <v>0.28867520000000002</v>
      </c>
      <c r="I3082">
        <v>119.91719999999999</v>
      </c>
      <c r="J3082">
        <v>-185.9545</v>
      </c>
      <c r="K3082">
        <v>1.1100909999999999</v>
      </c>
      <c r="L3082">
        <v>181.38149999999999</v>
      </c>
      <c r="M3082">
        <v>-1.106329E-2</v>
      </c>
      <c r="N3082">
        <v>-1.0304209999999999E-2</v>
      </c>
      <c r="O3082">
        <v>-0.99988580000000005</v>
      </c>
      <c r="P3082">
        <v>-5.6195960000000003E-2</v>
      </c>
      <c r="Q3082">
        <v>0.18870139999999999</v>
      </c>
      <c r="R3082">
        <v>-0.98042549999999995</v>
      </c>
      <c r="S3082">
        <v>-1.329575</v>
      </c>
      <c r="T3082">
        <v>-3.9845470000000001E-2</v>
      </c>
      <c r="U3082">
        <v>-2.9934690000000002</v>
      </c>
      <c r="V3082">
        <v>4.5403720000000002E-2</v>
      </c>
      <c r="W3082">
        <v>0.1987863</v>
      </c>
      <c r="X3082">
        <v>0.97899060000000004</v>
      </c>
      <c r="Y3082">
        <v>0.39573950000000002</v>
      </c>
      <c r="Z3082">
        <v>1.9111379999999999E-3</v>
      </c>
      <c r="AA3082">
        <v>0.91836079999999998</v>
      </c>
      <c r="AB3082">
        <v>24</v>
      </c>
      <c r="AC3082">
        <v>-27.4055</v>
      </c>
      <c r="AD3082">
        <v>-0.82141579999999903</v>
      </c>
      <c r="AE3082">
        <v>-61.464300000000001</v>
      </c>
      <c r="AF3082">
        <v>26.719808441144799</v>
      </c>
      <c r="AG3082">
        <v>-0.82141579999999903</v>
      </c>
      <c r="AH3082">
        <v>61.754548782086196</v>
      </c>
      <c r="AI3082">
        <v>90.699409307943796</v>
      </c>
      <c r="AJ3082">
        <v>66.602947070195796</v>
      </c>
      <c r="AK3082">
        <v>67.2922520230006</v>
      </c>
      <c r="AL3082">
        <v>78.534006363400593</v>
      </c>
      <c r="AM3082">
        <v>87.344633582126605</v>
      </c>
      <c r="AN3082">
        <v>1.0000000428729401</v>
      </c>
    </row>
    <row r="3083" spans="1:40" x14ac:dyDescent="0.25">
      <c r="A3083" t="str">
        <f>"20190304155431315"</f>
        <v>20190304155431315</v>
      </c>
      <c r="B3083" t="str">
        <f>"1551686071310511"</f>
        <v>1551686071310511</v>
      </c>
      <c r="C3083" t="s">
        <v>40</v>
      </c>
      <c r="D3083">
        <v>4.6649240000000001</v>
      </c>
      <c r="E3083">
        <v>0.64385270000000006</v>
      </c>
      <c r="F3083" t="s">
        <v>60</v>
      </c>
      <c r="G3083">
        <v>-213.5643</v>
      </c>
      <c r="H3083">
        <v>0.28546969999999999</v>
      </c>
      <c r="I3083">
        <v>119.91719999999999</v>
      </c>
      <c r="J3083">
        <v>-185.9573</v>
      </c>
      <c r="K3083">
        <v>1.11008</v>
      </c>
      <c r="L3083">
        <v>181.14169999999999</v>
      </c>
      <c r="M3083">
        <v>-1.122712E-2</v>
      </c>
      <c r="N3083">
        <v>-1.0273239999999999E-2</v>
      </c>
      <c r="O3083">
        <v>-0.99988410000000005</v>
      </c>
      <c r="P3083">
        <v>-5.7598620000000003E-2</v>
      </c>
      <c r="Q3083">
        <v>0.1882297</v>
      </c>
      <c r="R3083">
        <v>-0.98043480000000005</v>
      </c>
      <c r="S3083">
        <v>-1.3433839999999999</v>
      </c>
      <c r="T3083">
        <v>-4.0121320000000002E-2</v>
      </c>
      <c r="U3083">
        <v>-2.9906009999999998</v>
      </c>
      <c r="V3083">
        <v>4.6645930000000002E-2</v>
      </c>
      <c r="W3083">
        <v>0.1982843</v>
      </c>
      <c r="X3083">
        <v>0.97903390000000001</v>
      </c>
      <c r="Y3083">
        <v>0.39944659999999999</v>
      </c>
      <c r="Z3083">
        <v>2.0164409999999999E-3</v>
      </c>
      <c r="AA3083">
        <v>0.91675419999999996</v>
      </c>
      <c r="AB3083">
        <v>24</v>
      </c>
      <c r="AC3083">
        <v>-27.606999999999999</v>
      </c>
      <c r="AD3083">
        <v>-0.82461030000000002</v>
      </c>
      <c r="AE3083">
        <v>-61.2244999999999</v>
      </c>
      <c r="AF3083">
        <v>26.913791380595399</v>
      </c>
      <c r="AG3083">
        <v>-0.82461030000000002</v>
      </c>
      <c r="AH3083">
        <v>61.521329845373899</v>
      </c>
      <c r="AI3083">
        <v>90.703555800999794</v>
      </c>
      <c r="AJ3083">
        <v>66.372021851007204</v>
      </c>
      <c r="AK3083">
        <v>67.155835000157495</v>
      </c>
      <c r="AL3083">
        <v>78.563351855550593</v>
      </c>
      <c r="AM3083">
        <v>87.272213594488804</v>
      </c>
      <c r="AN3083">
        <v>0.99999994188063002</v>
      </c>
    </row>
    <row r="3084" spans="1:40" x14ac:dyDescent="0.25">
      <c r="A3084" t="str">
        <f>"20190304155431337"</f>
        <v>20190304155431337</v>
      </c>
      <c r="B3084" t="str">
        <f>"1551686071330029"</f>
        <v>1551686071330029</v>
      </c>
      <c r="C3084" t="s">
        <v>40</v>
      </c>
      <c r="D3084">
        <v>4.6796499999999996</v>
      </c>
      <c r="E3084">
        <v>0.64435959999999903</v>
      </c>
      <c r="F3084" t="s">
        <v>60</v>
      </c>
      <c r="G3084">
        <v>-213.6455</v>
      </c>
      <c r="H3084">
        <v>0.31396540000000001</v>
      </c>
      <c r="I3084">
        <v>119.91719999999999</v>
      </c>
      <c r="J3084">
        <v>-185.96019999999999</v>
      </c>
      <c r="K3084">
        <v>1.1100749999999999</v>
      </c>
      <c r="L3084">
        <v>180.90520000000001</v>
      </c>
      <c r="M3084">
        <v>-1.1387E-2</v>
      </c>
      <c r="N3084">
        <v>-1.0247040000000001E-2</v>
      </c>
      <c r="O3084">
        <v>-0.99988270000000001</v>
      </c>
      <c r="P3084">
        <v>-5.9632579999999998E-2</v>
      </c>
      <c r="Q3084">
        <v>0.18833169999999999</v>
      </c>
      <c r="R3084">
        <v>-0.98029350000000004</v>
      </c>
      <c r="S3084">
        <v>-1.3512729999999999</v>
      </c>
      <c r="T3084">
        <v>-3.8851499999999997E-2</v>
      </c>
      <c r="U3084">
        <v>-2.987946</v>
      </c>
      <c r="V3084">
        <v>4.8524789999999998E-2</v>
      </c>
      <c r="W3084">
        <v>0.19835910000000001</v>
      </c>
      <c r="X3084">
        <v>0.97892749999999995</v>
      </c>
      <c r="Y3084">
        <v>0.40161580000000002</v>
      </c>
      <c r="Z3084">
        <v>1.6525050000000001E-3</v>
      </c>
      <c r="AA3084">
        <v>0.91580680000000003</v>
      </c>
      <c r="AB3084">
        <v>24</v>
      </c>
      <c r="AC3084">
        <v>-27.685300000000002</v>
      </c>
      <c r="AD3084">
        <v>-0.79610959999999897</v>
      </c>
      <c r="AE3084">
        <v>-60.988</v>
      </c>
      <c r="AF3084">
        <v>26.985185564188502</v>
      </c>
      <c r="AG3084">
        <v>-0.79610959999999897</v>
      </c>
      <c r="AH3084">
        <v>61.290655305225002</v>
      </c>
      <c r="AI3084">
        <v>90.681092621037493</v>
      </c>
      <c r="AJ3084">
        <v>66.236959823513601</v>
      </c>
      <c r="AK3084">
        <v>66.972968115298599</v>
      </c>
      <c r="AL3084">
        <v>78.558980172955799</v>
      </c>
      <c r="AM3084">
        <v>87.162208772640994</v>
      </c>
      <c r="AN3084">
        <v>1.0000000190267999</v>
      </c>
    </row>
    <row r="3085" spans="1:40" x14ac:dyDescent="0.25">
      <c r="A3085" t="str">
        <f>"20190304155431360"</f>
        <v>20190304155431360</v>
      </c>
      <c r="B3085" t="str">
        <f>"1551686071350525"</f>
        <v>1551686071350525</v>
      </c>
      <c r="C3085" t="s">
        <v>40</v>
      </c>
      <c r="D3085">
        <v>4.6825419999999998</v>
      </c>
      <c r="E3085">
        <v>0.64485389999999998</v>
      </c>
      <c r="F3085" t="s">
        <v>60</v>
      </c>
      <c r="G3085">
        <v>-214.08250000000001</v>
      </c>
      <c r="H3085">
        <v>0.38181300000000001</v>
      </c>
      <c r="I3085">
        <v>119.2423</v>
      </c>
      <c r="J3085">
        <v>-185.9631</v>
      </c>
      <c r="K3085">
        <v>1.1100730000000001</v>
      </c>
      <c r="L3085">
        <v>180.66640000000001</v>
      </c>
      <c r="M3085">
        <v>-1.154759E-2</v>
      </c>
      <c r="N3085">
        <v>-1.0224159999999999E-2</v>
      </c>
      <c r="O3085">
        <v>-0.99988129999999997</v>
      </c>
      <c r="P3085">
        <v>-6.160612E-2</v>
      </c>
      <c r="Q3085">
        <v>0.18881970000000001</v>
      </c>
      <c r="R3085">
        <v>-0.98007789999999995</v>
      </c>
      <c r="S3085">
        <v>-1.3610230000000001</v>
      </c>
      <c r="T3085">
        <v>-3.5243990000000003E-2</v>
      </c>
      <c r="U3085">
        <v>-2.9842680000000001</v>
      </c>
      <c r="V3085">
        <v>5.0343270000000002E-2</v>
      </c>
      <c r="W3085">
        <v>0.19882179999999999</v>
      </c>
      <c r="X3085">
        <v>0.9787418</v>
      </c>
      <c r="Y3085">
        <v>0.40437299999999998</v>
      </c>
      <c r="Z3085">
        <v>5.7166089999999997E-4</v>
      </c>
      <c r="AA3085">
        <v>0.91459400000000002</v>
      </c>
      <c r="AB3085">
        <v>24</v>
      </c>
      <c r="AC3085">
        <v>-28.119399999999999</v>
      </c>
      <c r="AD3085">
        <v>-0.72825999999999902</v>
      </c>
      <c r="AE3085">
        <v>-61.424100000000003</v>
      </c>
      <c r="AF3085">
        <v>27.405002821555499</v>
      </c>
      <c r="AG3085">
        <v>-0.72825999999999902</v>
      </c>
      <c r="AH3085">
        <v>61.737557427756002</v>
      </c>
      <c r="AI3085">
        <v>90.617714732642796</v>
      </c>
      <c r="AJ3085">
        <v>66.063796943499</v>
      </c>
      <c r="AK3085">
        <v>67.550651658015298</v>
      </c>
      <c r="AL3085">
        <v>78.531930810201402</v>
      </c>
      <c r="AM3085">
        <v>87.055487881537402</v>
      </c>
      <c r="AN3085">
        <v>1.0000000320283799</v>
      </c>
    </row>
    <row r="3086" spans="1:40" x14ac:dyDescent="0.25">
      <c r="A3086" t="str">
        <f>"20190304155431381"</f>
        <v>20190304155431381</v>
      </c>
      <c r="B3086" t="str">
        <f>"1551686071370049"</f>
        <v>1551686071370049</v>
      </c>
      <c r="C3086" t="s">
        <v>40</v>
      </c>
      <c r="D3086">
        <v>4.6994959999999999</v>
      </c>
      <c r="E3086">
        <v>0.64510940000000006</v>
      </c>
      <c r="F3086" t="s">
        <v>60</v>
      </c>
      <c r="G3086">
        <v>-214.1994</v>
      </c>
      <c r="H3086">
        <v>0.43256519999999998</v>
      </c>
      <c r="I3086">
        <v>119.20650000000001</v>
      </c>
      <c r="J3086">
        <v>-185.96600000000001</v>
      </c>
      <c r="K3086">
        <v>1.1100749999999999</v>
      </c>
      <c r="L3086">
        <v>180.43289999999999</v>
      </c>
      <c r="M3086">
        <v>-1.170418E-2</v>
      </c>
      <c r="N3086">
        <v>-1.020515E-2</v>
      </c>
      <c r="O3086">
        <v>-0.99987959999999998</v>
      </c>
      <c r="P3086">
        <v>-6.3916920000000002E-2</v>
      </c>
      <c r="Q3086">
        <v>0.187835</v>
      </c>
      <c r="R3086">
        <v>-0.98011899999999996</v>
      </c>
      <c r="S3086">
        <v>-1.369659</v>
      </c>
      <c r="T3086">
        <v>-3.2862420000000003E-2</v>
      </c>
      <c r="U3086">
        <v>-2.9812319999999999</v>
      </c>
      <c r="V3086">
        <v>5.2499480000000001E-2</v>
      </c>
      <c r="W3086">
        <v>0.19781879999999999</v>
      </c>
      <c r="X3086">
        <v>0.97883169999999997</v>
      </c>
      <c r="Y3086">
        <v>0.40677160000000001</v>
      </c>
      <c r="Z3086">
        <v>-1.386782E-4</v>
      </c>
      <c r="AA3086">
        <v>0.91352990000000001</v>
      </c>
      <c r="AB3086">
        <v>24</v>
      </c>
      <c r="AC3086">
        <v>-28.2334</v>
      </c>
      <c r="AD3086">
        <v>-0.67750979999999905</v>
      </c>
      <c r="AE3086">
        <v>-61.226399999999899</v>
      </c>
      <c r="AF3086">
        <v>27.512045841378999</v>
      </c>
      <c r="AG3086">
        <v>-0.67750979999999905</v>
      </c>
      <c r="AH3086">
        <v>61.546456974514399</v>
      </c>
      <c r="AI3086">
        <v>90.575787761422106</v>
      </c>
      <c r="AJ3086">
        <v>65.914751822743895</v>
      </c>
      <c r="AK3086">
        <v>67.4191223023779</v>
      </c>
      <c r="AL3086">
        <v>78.590562531068002</v>
      </c>
      <c r="AM3086">
        <v>86.929891795361797</v>
      </c>
      <c r="AN3086">
        <v>0.99999998497929998</v>
      </c>
    </row>
    <row r="3087" spans="1:40" x14ac:dyDescent="0.25">
      <c r="A3087" t="str">
        <f>"20190304155431403"</f>
        <v>20190304155431403</v>
      </c>
      <c r="B3087" t="str">
        <f>"1551686071400302"</f>
        <v>1551686071400302</v>
      </c>
      <c r="C3087" t="s">
        <v>40</v>
      </c>
      <c r="D3087">
        <v>4.6624179999999997</v>
      </c>
      <c r="E3087">
        <v>0.64569209999999999</v>
      </c>
      <c r="F3087" t="s">
        <v>60</v>
      </c>
      <c r="G3087">
        <v>-214.29089999999999</v>
      </c>
      <c r="H3087">
        <v>0.4002772</v>
      </c>
      <c r="I3087">
        <v>119.22929999999999</v>
      </c>
      <c r="J3087">
        <v>-185.96889999999999</v>
      </c>
      <c r="K3087">
        <v>1.11007099999999</v>
      </c>
      <c r="L3087">
        <v>180.1996</v>
      </c>
      <c r="M3087">
        <v>-1.186093E-2</v>
      </c>
      <c r="N3087">
        <v>-1.0189459999999999E-2</v>
      </c>
      <c r="O3087">
        <v>-0.99987789999999999</v>
      </c>
      <c r="P3087">
        <v>-6.5329849999999995E-2</v>
      </c>
      <c r="Q3087">
        <v>0.187199</v>
      </c>
      <c r="R3087">
        <v>-0.98014769999999896</v>
      </c>
      <c r="S3087">
        <v>-1.3780209999999999</v>
      </c>
      <c r="T3087">
        <v>-3.4530640000000001E-2</v>
      </c>
      <c r="U3087">
        <v>-2.9775849999999999</v>
      </c>
      <c r="V3087">
        <v>5.3757869999999999E-2</v>
      </c>
      <c r="W3087">
        <v>0.1971677</v>
      </c>
      <c r="X3087">
        <v>0.97889479999999995</v>
      </c>
      <c r="Y3087">
        <v>0.40916520000000001</v>
      </c>
      <c r="Z3087">
        <v>3.8704590000000001E-4</v>
      </c>
      <c r="AA3087">
        <v>0.91246020000000005</v>
      </c>
      <c r="AB3087">
        <v>24</v>
      </c>
      <c r="AC3087">
        <v>-28.321999999999999</v>
      </c>
      <c r="AD3087">
        <v>-0.70979379999999903</v>
      </c>
      <c r="AE3087">
        <v>-60.970300000000002</v>
      </c>
      <c r="AF3087">
        <v>27.593729664929199</v>
      </c>
      <c r="AG3087">
        <v>-0.70979379999999903</v>
      </c>
      <c r="AH3087">
        <v>61.295120550094602</v>
      </c>
      <c r="AI3087">
        <v>90.604980359163093</v>
      </c>
      <c r="AJ3087">
        <v>65.763762472327201</v>
      </c>
      <c r="AK3087">
        <v>67.223578655932499</v>
      </c>
      <c r="AL3087">
        <v>78.628617735854107</v>
      </c>
      <c r="AM3087">
        <v>86.856650715978503</v>
      </c>
      <c r="AN3087">
        <v>1.0000000199886301</v>
      </c>
    </row>
    <row r="3088" spans="1:40" x14ac:dyDescent="0.25">
      <c r="A3088" t="str">
        <f>"20190304155431426"</f>
        <v>20190304155431426</v>
      </c>
      <c r="B3088" t="str">
        <f>"1551686071419822"</f>
        <v>1551686071419822</v>
      </c>
      <c r="C3088" t="s">
        <v>40</v>
      </c>
      <c r="D3088">
        <v>4.6744839999999996</v>
      </c>
      <c r="E3088">
        <v>0.64626090000000003</v>
      </c>
      <c r="F3088" t="s">
        <v>60</v>
      </c>
      <c r="G3088">
        <v>-214.4136</v>
      </c>
      <c r="H3088">
        <v>0.4616768</v>
      </c>
      <c r="I3088">
        <v>119.18600000000001</v>
      </c>
      <c r="J3088">
        <v>-185.97200000000001</v>
      </c>
      <c r="K3088">
        <v>1.110066</v>
      </c>
      <c r="L3088">
        <v>179.9503</v>
      </c>
      <c r="M3088">
        <v>-1.202898E-2</v>
      </c>
      <c r="N3088">
        <v>-1.017532E-2</v>
      </c>
      <c r="O3088">
        <v>-0.99987599999999999</v>
      </c>
      <c r="P3088">
        <v>-6.683828E-2</v>
      </c>
      <c r="Q3088">
        <v>0.1870213</v>
      </c>
      <c r="R3088">
        <v>-0.9800799</v>
      </c>
      <c r="S3088">
        <v>-1.386673</v>
      </c>
      <c r="T3088">
        <v>-3.1607629999999998E-2</v>
      </c>
      <c r="U3088">
        <v>-2.974396</v>
      </c>
      <c r="V3088">
        <v>5.5101999999999998E-2</v>
      </c>
      <c r="W3088">
        <v>0.1969755</v>
      </c>
      <c r="X3088">
        <v>0.97885869999999997</v>
      </c>
      <c r="Y3088">
        <v>0.41156749999999998</v>
      </c>
      <c r="Z3088">
        <v>-4.9302109999999999E-4</v>
      </c>
      <c r="AA3088">
        <v>0.91137919999999994</v>
      </c>
      <c r="AB3088">
        <v>24</v>
      </c>
      <c r="AC3088">
        <v>-28.441599999999902</v>
      </c>
      <c r="AD3088">
        <v>-0.6483892</v>
      </c>
      <c r="AE3088">
        <v>-60.764299999999899</v>
      </c>
      <c r="AF3088">
        <v>27.705984011306001</v>
      </c>
      <c r="AG3088">
        <v>-0.6483892</v>
      </c>
      <c r="AH3088">
        <v>61.096337989179602</v>
      </c>
      <c r="AI3088">
        <v>90.553758101164505</v>
      </c>
      <c r="AJ3088">
        <v>65.606645520510597</v>
      </c>
      <c r="AK3088">
        <v>67.088035254264895</v>
      </c>
      <c r="AL3088">
        <v>78.639849646275806</v>
      </c>
      <c r="AM3088">
        <v>86.778101254678802</v>
      </c>
      <c r="AN3088">
        <v>0.99999996628496901</v>
      </c>
    </row>
    <row r="3089" spans="1:40" x14ac:dyDescent="0.25">
      <c r="A3089" t="str">
        <f>"20190304155431448"</f>
        <v>20190304155431448</v>
      </c>
      <c r="B3089" t="str">
        <f>"1551686071440321"</f>
        <v>1551686071440321</v>
      </c>
      <c r="C3089" t="s">
        <v>40</v>
      </c>
      <c r="D3089">
        <v>4.6431050000000003</v>
      </c>
      <c r="E3089">
        <v>0.64652469999999995</v>
      </c>
      <c r="F3089" t="s">
        <v>60</v>
      </c>
      <c r="G3089">
        <v>-214.5095</v>
      </c>
      <c r="H3089">
        <v>0.4723619</v>
      </c>
      <c r="I3089">
        <v>119.1785</v>
      </c>
      <c r="J3089">
        <v>-185.9751</v>
      </c>
      <c r="K3089">
        <v>1.110058</v>
      </c>
      <c r="L3089">
        <v>179.71539999999999</v>
      </c>
      <c r="M3089">
        <v>-1.2188879999999999E-2</v>
      </c>
      <c r="N3089">
        <v>-1.0164090000000001E-2</v>
      </c>
      <c r="O3089">
        <v>-0.99987409999999999</v>
      </c>
      <c r="P3089">
        <v>-6.8022429999999995E-2</v>
      </c>
      <c r="Q3089">
        <v>0.1870599</v>
      </c>
      <c r="R3089">
        <v>-0.97999069999999999</v>
      </c>
      <c r="S3089">
        <v>-1.3954930000000001</v>
      </c>
      <c r="T3089">
        <v>-3.118253E-2</v>
      </c>
      <c r="U3089">
        <v>-2.9717560000000001</v>
      </c>
      <c r="V3089">
        <v>5.6130729999999997E-2</v>
      </c>
      <c r="W3089">
        <v>0.19700219999999999</v>
      </c>
      <c r="X3089">
        <v>0.97879490000000002</v>
      </c>
      <c r="Y3089">
        <v>0.41394900000000001</v>
      </c>
      <c r="Z3089">
        <v>-6.1457850000000002E-4</v>
      </c>
      <c r="AA3089">
        <v>0.91029979999999999</v>
      </c>
      <c r="AB3089">
        <v>24</v>
      </c>
      <c r="AC3089">
        <v>-28.534400000000002</v>
      </c>
      <c r="AD3089">
        <v>-0.63769609999999899</v>
      </c>
      <c r="AE3089">
        <v>-60.536899999999903</v>
      </c>
      <c r="AF3089">
        <v>27.791841638202801</v>
      </c>
      <c r="AG3089">
        <v>-0.63769609999999899</v>
      </c>
      <c r="AH3089">
        <v>60.8746957400745</v>
      </c>
      <c r="AI3089">
        <v>90.545978605070204</v>
      </c>
      <c r="AJ3089">
        <v>65.461321553651203</v>
      </c>
      <c r="AK3089">
        <v>66.921758041802306</v>
      </c>
      <c r="AL3089">
        <v>78.638289558653298</v>
      </c>
      <c r="AM3089">
        <v>86.717866658715806</v>
      </c>
      <c r="AN3089">
        <v>0.999999990960591</v>
      </c>
    </row>
    <row r="3090" spans="1:40" x14ac:dyDescent="0.25">
      <c r="A3090" t="str">
        <f>"20190304155431471"</f>
        <v>20190304155431471</v>
      </c>
      <c r="B3090" t="str">
        <f>"1551686071459841"</f>
        <v>1551686071459841</v>
      </c>
      <c r="C3090" t="s">
        <v>40</v>
      </c>
      <c r="D3090">
        <v>3.8583370000000001</v>
      </c>
      <c r="E3090">
        <v>0.59582080000000004</v>
      </c>
      <c r="F3090" t="s">
        <v>60</v>
      </c>
      <c r="G3090">
        <v>-214.5453</v>
      </c>
      <c r="H3090">
        <v>0.53875269999999897</v>
      </c>
      <c r="I3090">
        <v>119.13160000000001</v>
      </c>
      <c r="J3090">
        <v>-185.97819999999999</v>
      </c>
      <c r="K3090">
        <v>1.110052</v>
      </c>
      <c r="L3090">
        <v>179.4753</v>
      </c>
      <c r="M3090">
        <v>-1.2358839999999999E-2</v>
      </c>
      <c r="N3090">
        <v>-1.015456E-2</v>
      </c>
      <c r="O3090">
        <v>-0.99987199999999998</v>
      </c>
      <c r="P3090">
        <v>-6.8962350000000006E-2</v>
      </c>
      <c r="Q3090">
        <v>0.18707770000000001</v>
      </c>
      <c r="R3090">
        <v>-0.9799215</v>
      </c>
      <c r="S3090">
        <v>-1.4003139999999901</v>
      </c>
      <c r="T3090">
        <v>-2.8000000000000001E-2</v>
      </c>
      <c r="U3090">
        <v>-2.9693909999999999</v>
      </c>
      <c r="V3090">
        <v>5.690651E-2</v>
      </c>
      <c r="W3090">
        <v>0.1970092</v>
      </c>
      <c r="X3090">
        <v>0.97874870000000003</v>
      </c>
      <c r="Y3090">
        <v>0.41528419999999999</v>
      </c>
      <c r="Z3090">
        <v>-1.5757589999999999E-3</v>
      </c>
      <c r="AA3090">
        <v>0.90969040000000001</v>
      </c>
      <c r="AB3090">
        <v>24</v>
      </c>
      <c r="AC3090">
        <v>-28.5671</v>
      </c>
      <c r="AD3090">
        <v>-0.57129929999999995</v>
      </c>
      <c r="AE3090">
        <v>-60.343699999999998</v>
      </c>
      <c r="AF3090">
        <v>27.817064552531601</v>
      </c>
      <c r="AG3090">
        <v>-0.57129929999999995</v>
      </c>
      <c r="AH3090">
        <v>60.687721638632702</v>
      </c>
      <c r="AI3090">
        <v>90.490303173243703</v>
      </c>
      <c r="AJ3090">
        <v>65.374984975176105</v>
      </c>
      <c r="AK3090">
        <v>66.761628357148894</v>
      </c>
      <c r="AL3090">
        <v>78.637880537786302</v>
      </c>
      <c r="AM3090">
        <v>86.672448979125605</v>
      </c>
      <c r="AN3090">
        <v>0.99999999675835505</v>
      </c>
    </row>
    <row r="3091" spans="1:40" x14ac:dyDescent="0.25">
      <c r="A3091" t="str">
        <f>"20190304155431493"</f>
        <v>20190304155431493</v>
      </c>
      <c r="B3091" t="str">
        <f>"1551686071490093"</f>
        <v>1551686071490093</v>
      </c>
      <c r="C3091" t="s">
        <v>40</v>
      </c>
      <c r="D3091">
        <v>4.5878560000000004</v>
      </c>
      <c r="E3091">
        <v>0.51710259999999997</v>
      </c>
      <c r="F3091" t="s">
        <v>53</v>
      </c>
      <c r="G3091">
        <v>-213.03970000000001</v>
      </c>
      <c r="H3091">
        <v>1.984224</v>
      </c>
      <c r="I3091">
        <v>98.375470000000007</v>
      </c>
      <c r="J3091">
        <v>-185.98150000000001</v>
      </c>
      <c r="K3091">
        <v>1.1100429999999999</v>
      </c>
      <c r="L3091">
        <v>179.22409999999999</v>
      </c>
      <c r="M3091">
        <v>-1.255006E-2</v>
      </c>
      <c r="N3091">
        <v>-1.014637E-2</v>
      </c>
      <c r="O3091">
        <v>-0.99987009999999998</v>
      </c>
      <c r="P3091">
        <v>-6.9683889999999998E-2</v>
      </c>
      <c r="Q3091">
        <v>0.18651860000000001</v>
      </c>
      <c r="R3091">
        <v>-0.97997749999999995</v>
      </c>
      <c r="S3091">
        <v>-0.99612429999999996</v>
      </c>
      <c r="T3091">
        <v>3.217888E-2</v>
      </c>
      <c r="U3091">
        <v>-2.9852449999999999</v>
      </c>
      <c r="V3091">
        <v>5.7443559999999998E-2</v>
      </c>
      <c r="W3091">
        <v>0.19644159999999999</v>
      </c>
      <c r="X3091">
        <v>0.97883140000000002</v>
      </c>
      <c r="Y3091">
        <v>0.30453010000000003</v>
      </c>
      <c r="Z3091">
        <v>-2.0368399999999998E-2</v>
      </c>
      <c r="AA3091">
        <v>0.95228489999999999</v>
      </c>
      <c r="AB3091">
        <v>24</v>
      </c>
      <c r="AC3091">
        <v>-27.058199999999999</v>
      </c>
      <c r="AD3091">
        <v>0.87418099999999999</v>
      </c>
      <c r="AE3091">
        <v>-80.84863</v>
      </c>
      <c r="AF3091">
        <v>26.038624178016299</v>
      </c>
      <c r="AG3091">
        <v>0.87418099999999999</v>
      </c>
      <c r="AH3091">
        <v>81.173327313771793</v>
      </c>
      <c r="AI3091">
        <v>89.412473261043999</v>
      </c>
      <c r="AJ3091">
        <v>72.214897775167401</v>
      </c>
      <c r="AK3091">
        <v>85.251880968653495</v>
      </c>
      <c r="AL3091">
        <v>78.671049686143107</v>
      </c>
      <c r="AM3091">
        <v>86.641400222716499</v>
      </c>
      <c r="AN3091">
        <v>0.99999998721099603</v>
      </c>
    </row>
    <row r="3092" spans="1:40" x14ac:dyDescent="0.25">
      <c r="A3092" t="str">
        <f>"20190304155431516"</f>
        <v>20190304155431516</v>
      </c>
      <c r="B3092" t="str">
        <f>"1551686071510589"</f>
        <v>1551686071510589</v>
      </c>
      <c r="C3092" t="s">
        <v>40</v>
      </c>
      <c r="D3092">
        <v>4.5692050000000002</v>
      </c>
      <c r="E3092">
        <v>0.51590449999999999</v>
      </c>
      <c r="F3092" t="s">
        <v>62</v>
      </c>
      <c r="G3092">
        <v>-191.8818</v>
      </c>
      <c r="H3092" s="1">
        <v>-5.7248260000000001E-6</v>
      </c>
      <c r="I3092">
        <v>131.48009999999999</v>
      </c>
      <c r="J3092">
        <v>-185.9847</v>
      </c>
      <c r="K3092">
        <v>1.1100300000000001</v>
      </c>
      <c r="L3092">
        <v>178.989</v>
      </c>
      <c r="M3092">
        <v>-1.2748819999999999E-2</v>
      </c>
      <c r="N3092">
        <v>-1.014018E-2</v>
      </c>
      <c r="O3092">
        <v>-0.99986750000000002</v>
      </c>
      <c r="P3092">
        <v>-7.0102070000000002E-2</v>
      </c>
      <c r="Q3092">
        <v>0.18673229999999999</v>
      </c>
      <c r="R3092">
        <v>-0.97990659999999896</v>
      </c>
      <c r="S3092">
        <v>-0.37667850000000003</v>
      </c>
      <c r="T3092">
        <v>-7.0866470000000001E-2</v>
      </c>
      <c r="U3092">
        <v>-3.048019</v>
      </c>
      <c r="V3092">
        <v>5.767419E-2</v>
      </c>
      <c r="W3092">
        <v>0.19664690000000001</v>
      </c>
      <c r="X3092">
        <v>0.9787766</v>
      </c>
      <c r="Y3092">
        <v>0.1099565</v>
      </c>
      <c r="Z3092">
        <v>1.295198E-2</v>
      </c>
      <c r="AA3092">
        <v>0.99385199999999996</v>
      </c>
      <c r="AB3092">
        <v>24</v>
      </c>
      <c r="AC3092">
        <v>-5.8970999999999902</v>
      </c>
      <c r="AD3092">
        <v>-1.11003572482599</v>
      </c>
      <c r="AE3092">
        <v>-47.508899999999997</v>
      </c>
      <c r="AF3092">
        <v>5.2880642303616696</v>
      </c>
      <c r="AG3092">
        <v>-1.11003572482599</v>
      </c>
      <c r="AH3092">
        <v>47.5546566767296</v>
      </c>
      <c r="AI3092">
        <v>91.328984759690897</v>
      </c>
      <c r="AJ3092">
        <v>83.654793630527095</v>
      </c>
      <c r="AK3092">
        <v>47.8606432703995</v>
      </c>
      <c r="AL3092">
        <v>78.6590527130938</v>
      </c>
      <c r="AM3092">
        <v>86.627758483525596</v>
      </c>
      <c r="AN3092">
        <v>0.99999997408966201</v>
      </c>
    </row>
    <row r="3093" spans="1:40" x14ac:dyDescent="0.25">
      <c r="A3093" t="str">
        <f>"20190304155431538"</f>
        <v>20190304155431538</v>
      </c>
      <c r="B3093" t="str">
        <f>"1551686071530109"</f>
        <v>1551686071530109</v>
      </c>
      <c r="C3093" t="s">
        <v>40</v>
      </c>
      <c r="D3093">
        <v>4.5080749999999998</v>
      </c>
      <c r="E3093">
        <v>0.51798529999999998</v>
      </c>
      <c r="F3093" t="s">
        <v>62</v>
      </c>
      <c r="G3093">
        <v>-191.57689999999999</v>
      </c>
      <c r="H3093" s="1">
        <v>-6.0764809999999999E-6</v>
      </c>
      <c r="I3093">
        <v>132.71870000000001</v>
      </c>
      <c r="J3093">
        <v>-185.9881</v>
      </c>
      <c r="K3093">
        <v>1.1100110000000001</v>
      </c>
      <c r="L3093">
        <v>178.74100000000001</v>
      </c>
      <c r="M3093">
        <v>-1.298875E-2</v>
      </c>
      <c r="N3093">
        <v>-1.013495E-2</v>
      </c>
      <c r="O3093">
        <v>-0.99986439999999999</v>
      </c>
      <c r="P3093">
        <v>-7.0802879999999999E-2</v>
      </c>
      <c r="Q3093">
        <v>0.1869306</v>
      </c>
      <c r="R3093">
        <v>-0.97981850000000004</v>
      </c>
      <c r="S3093">
        <v>-0.36851499999999998</v>
      </c>
      <c r="T3093">
        <v>-7.3148610000000003E-2</v>
      </c>
      <c r="U3093">
        <v>-3.0491030000000001</v>
      </c>
      <c r="V3093">
        <v>5.8151099999999997E-2</v>
      </c>
      <c r="W3093">
        <v>0.19683580000000001</v>
      </c>
      <c r="X3093">
        <v>0.97871050000000004</v>
      </c>
      <c r="Y3093">
        <v>0.1070517</v>
      </c>
      <c r="Z3093">
        <v>1.3699370000000001E-2</v>
      </c>
      <c r="AA3093">
        <v>0.99415909999999996</v>
      </c>
      <c r="AB3093">
        <v>24</v>
      </c>
      <c r="AC3093">
        <v>-5.5887999999999902</v>
      </c>
      <c r="AD3093">
        <v>-1.110017076481</v>
      </c>
      <c r="AE3093">
        <v>-46.022299999999902</v>
      </c>
      <c r="AF3093">
        <v>4.9876663983904503</v>
      </c>
      <c r="AG3093">
        <v>-1.110017076481</v>
      </c>
      <c r="AH3093">
        <v>46.064604722722798</v>
      </c>
      <c r="AI3093">
        <v>91.372369139311104</v>
      </c>
      <c r="AJ3093">
        <v>83.820347125108</v>
      </c>
      <c r="AK3093">
        <v>46.347133269193797</v>
      </c>
      <c r="AL3093">
        <v>78.648014808250494</v>
      </c>
      <c r="AM3093">
        <v>86.599709352107197</v>
      </c>
      <c r="AN3093">
        <v>1.00000006270154</v>
      </c>
    </row>
    <row r="3094" spans="1:40" x14ac:dyDescent="0.25">
      <c r="A3094" t="str">
        <f>"20190304155431562"</f>
        <v>20190304155431562</v>
      </c>
      <c r="B3094" t="str">
        <f>"1551686071550606"</f>
        <v>1551686071550606</v>
      </c>
      <c r="C3094" t="s">
        <v>40</v>
      </c>
      <c r="D3094">
        <v>4.5299940000000003</v>
      </c>
      <c r="E3094">
        <v>0.51876040000000001</v>
      </c>
      <c r="F3094" t="s">
        <v>62</v>
      </c>
      <c r="G3094">
        <v>-192.1061</v>
      </c>
      <c r="H3094" s="1">
        <v>-5.4757620000000004E-6</v>
      </c>
      <c r="I3094">
        <v>130.5556</v>
      </c>
      <c r="J3094">
        <v>-185.99160000000001</v>
      </c>
      <c r="K3094">
        <v>1.109985</v>
      </c>
      <c r="L3094">
        <v>178.4933</v>
      </c>
      <c r="M3094">
        <v>-1.327017E-2</v>
      </c>
      <c r="N3094">
        <v>-1.012621E-2</v>
      </c>
      <c r="O3094">
        <v>-0.99986079999999999</v>
      </c>
      <c r="P3094">
        <v>-7.1072339999999998E-2</v>
      </c>
      <c r="Q3094">
        <v>0.18752070000000001</v>
      </c>
      <c r="R3094">
        <v>-0.97968599999999995</v>
      </c>
      <c r="S3094">
        <v>-0.38690190000000002</v>
      </c>
      <c r="T3094">
        <v>-7.0196990000000001E-2</v>
      </c>
      <c r="U3094">
        <v>-3.0472260000000002</v>
      </c>
      <c r="V3094">
        <v>5.8160490000000002E-2</v>
      </c>
      <c r="W3094">
        <v>0.19741259999999999</v>
      </c>
      <c r="X3094">
        <v>0.97859370000000001</v>
      </c>
      <c r="Y3094">
        <v>0.11275209999999999</v>
      </c>
      <c r="Z3094">
        <v>1.274583E-2</v>
      </c>
      <c r="AA3094">
        <v>0.99354140000000002</v>
      </c>
      <c r="AB3094">
        <v>24</v>
      </c>
      <c r="AC3094">
        <v>-6.1144999999999898</v>
      </c>
      <c r="AD3094">
        <v>-1.1099904757619901</v>
      </c>
      <c r="AE3094">
        <v>-47.9377</v>
      </c>
      <c r="AF3094">
        <v>5.47489922226963</v>
      </c>
      <c r="AG3094">
        <v>-1.1099904757619901</v>
      </c>
      <c r="AH3094">
        <v>47.989305693714897</v>
      </c>
      <c r="AI3094">
        <v>91.316475924380697</v>
      </c>
      <c r="AJ3094">
        <v>83.491504020583207</v>
      </c>
      <c r="AK3094">
        <v>48.313352826264399</v>
      </c>
      <c r="AL3094">
        <v>78.614304487856003</v>
      </c>
      <c r="AM3094">
        <v>86.598756621762305</v>
      </c>
      <c r="AN3094">
        <v>1.0000000034577401</v>
      </c>
    </row>
    <row r="3095" spans="1:40" x14ac:dyDescent="0.25">
      <c r="A3095" t="str">
        <f>"20190304155431583"</f>
        <v>20190304155431583</v>
      </c>
      <c r="B3095" t="str">
        <f>"1551686071579885"</f>
        <v>1551686071579885</v>
      </c>
      <c r="C3095" t="s">
        <v>40</v>
      </c>
      <c r="D3095">
        <v>4.577661</v>
      </c>
      <c r="E3095">
        <v>0.51882429999999902</v>
      </c>
      <c r="F3095" t="s">
        <v>62</v>
      </c>
      <c r="G3095">
        <v>-192.38419999999999</v>
      </c>
      <c r="H3095" s="1">
        <v>-5.0625990000000002E-6</v>
      </c>
      <c r="I3095">
        <v>129.03919999999999</v>
      </c>
      <c r="J3095">
        <v>-185.99510000000001</v>
      </c>
      <c r="K3095">
        <v>1.10995</v>
      </c>
      <c r="L3095">
        <v>178.25749999999999</v>
      </c>
      <c r="M3095">
        <v>-1.359398E-2</v>
      </c>
      <c r="N3095">
        <v>-1.0113749999999999E-2</v>
      </c>
      <c r="O3095">
        <v>-0.99985679999999999</v>
      </c>
      <c r="P3095">
        <v>-7.1652279999999999E-2</v>
      </c>
      <c r="Q3095">
        <v>0.18749189999999999</v>
      </c>
      <c r="R3095">
        <v>-0.97964980000000002</v>
      </c>
      <c r="S3095">
        <v>-0.39382929999999999</v>
      </c>
      <c r="T3095">
        <v>-6.8382860000000004E-2</v>
      </c>
      <c r="U3095">
        <v>-3.0467070000000001</v>
      </c>
      <c r="V3095">
        <v>5.8440319999999997E-2</v>
      </c>
      <c r="W3095">
        <v>0.19736590000000001</v>
      </c>
      <c r="X3095">
        <v>0.97858639999999997</v>
      </c>
      <c r="Y3095">
        <v>0.11467479999999999</v>
      </c>
      <c r="Z3095">
        <v>1.216596E-2</v>
      </c>
      <c r="AA3095">
        <v>0.99332860000000001</v>
      </c>
      <c r="AB3095">
        <v>24</v>
      </c>
      <c r="AC3095">
        <v>-6.3890999999999796</v>
      </c>
      <c r="AD3095">
        <v>-1.109955062599</v>
      </c>
      <c r="AE3095">
        <v>-49.218299999999999</v>
      </c>
      <c r="AF3095">
        <v>5.7165438708148599</v>
      </c>
      <c r="AG3095">
        <v>-1.109955062599</v>
      </c>
      <c r="AH3095">
        <v>49.275963985636501</v>
      </c>
      <c r="AI3095">
        <v>91.2817916937951</v>
      </c>
      <c r="AJ3095">
        <v>83.382651675733996</v>
      </c>
      <c r="AK3095">
        <v>49.618862348724697</v>
      </c>
      <c r="AL3095">
        <v>78.617033352559105</v>
      </c>
      <c r="AM3095">
        <v>86.582405338474004</v>
      </c>
      <c r="AN3095">
        <v>0.999999955874735</v>
      </c>
    </row>
    <row r="3096" spans="1:40" x14ac:dyDescent="0.25">
      <c r="A3096" t="str">
        <f>"20190304155431604"</f>
        <v>20190304155431604</v>
      </c>
      <c r="B3096" t="str">
        <f>"1551686071600382"</f>
        <v>1551686071600382</v>
      </c>
      <c r="C3096" t="s">
        <v>40</v>
      </c>
      <c r="D3096">
        <v>4.5723330000000004</v>
      </c>
      <c r="E3096">
        <v>0.51832999999999996</v>
      </c>
      <c r="F3096" t="s">
        <v>62</v>
      </c>
      <c r="G3096">
        <v>-192.3109</v>
      </c>
      <c r="H3096" s="1">
        <v>-5.2500429999999998E-6</v>
      </c>
      <c r="I3096">
        <v>129.71700000000001</v>
      </c>
      <c r="J3096">
        <v>-185.99850000000001</v>
      </c>
      <c r="K3096">
        <v>1.1099049999999999</v>
      </c>
      <c r="L3096">
        <v>178.03219999999999</v>
      </c>
      <c r="M3096">
        <v>-1.394597E-2</v>
      </c>
      <c r="N3096">
        <v>-1.010144E-2</v>
      </c>
      <c r="O3096">
        <v>-0.99985210000000002</v>
      </c>
      <c r="P3096">
        <v>-7.1894340000000001E-2</v>
      </c>
      <c r="Q3096">
        <v>0.1882086</v>
      </c>
      <c r="R3096">
        <v>-0.97949459999999999</v>
      </c>
      <c r="S3096">
        <v>-0.39640809999999999</v>
      </c>
      <c r="T3096">
        <v>-6.9666030000000004E-2</v>
      </c>
      <c r="U3096">
        <v>-3.0466310000000001</v>
      </c>
      <c r="V3096">
        <v>5.8356480000000002E-2</v>
      </c>
      <c r="W3096">
        <v>0.1980642</v>
      </c>
      <c r="X3096">
        <v>0.97845040000000005</v>
      </c>
      <c r="Y3096">
        <v>0.1151542</v>
      </c>
      <c r="Z3096">
        <v>1.259482E-2</v>
      </c>
      <c r="AA3096">
        <v>0.99326780000000003</v>
      </c>
      <c r="AB3096">
        <v>24</v>
      </c>
      <c r="AC3096">
        <v>-6.3123999999999896</v>
      </c>
      <c r="AD3096">
        <v>-1.10991025004299</v>
      </c>
      <c r="AE3096">
        <v>-48.315199999999898</v>
      </c>
      <c r="AF3096">
        <v>5.6350257631762801</v>
      </c>
      <c r="AG3096">
        <v>-1.10991025004299</v>
      </c>
      <c r="AH3096">
        <v>48.373438415939603</v>
      </c>
      <c r="AI3096">
        <v>91.305574023055399</v>
      </c>
      <c r="AJ3096">
        <v>83.355556902975493</v>
      </c>
      <c r="AK3096">
        <v>48.713190824411399</v>
      </c>
      <c r="AL3096">
        <v>78.576219032434693</v>
      </c>
      <c r="AM3096">
        <v>86.586823483766196</v>
      </c>
      <c r="AN3096">
        <v>1.0000000456698901</v>
      </c>
    </row>
    <row r="3097" spans="1:40" x14ac:dyDescent="0.25">
      <c r="A3097" t="str">
        <f>"20190304155431627"</f>
        <v>20190304155431627</v>
      </c>
      <c r="B3097" t="str">
        <f>"1551686071619905"</f>
        <v>1551686071619905</v>
      </c>
      <c r="C3097" t="s">
        <v>40</v>
      </c>
      <c r="D3097">
        <v>4.5906419999999999</v>
      </c>
      <c r="E3097">
        <v>0.51786980000000005</v>
      </c>
      <c r="F3097" t="s">
        <v>62</v>
      </c>
      <c r="G3097">
        <v>-192.23679999999999</v>
      </c>
      <c r="H3097" s="1">
        <v>-5.2250739999999999E-6</v>
      </c>
      <c r="I3097">
        <v>129.67330000000001</v>
      </c>
      <c r="J3097">
        <v>-186.0027</v>
      </c>
      <c r="K3097">
        <v>1.1098570000000001</v>
      </c>
      <c r="L3097">
        <v>177.77269999999999</v>
      </c>
      <c r="M3097">
        <v>-1.4412350000000001E-2</v>
      </c>
      <c r="N3097">
        <v>-1.008183E-2</v>
      </c>
      <c r="O3097">
        <v>-0.99984550000000005</v>
      </c>
      <c r="P3097">
        <v>-7.2638170000000002E-2</v>
      </c>
      <c r="Q3097">
        <v>0.1879905</v>
      </c>
      <c r="R3097">
        <v>-0.97948159999999895</v>
      </c>
      <c r="S3097">
        <v>-0.39311220000000002</v>
      </c>
      <c r="T3097">
        <v>-6.9941760000000006E-2</v>
      </c>
      <c r="U3097">
        <v>-3.0473629999999998</v>
      </c>
      <c r="V3097">
        <v>5.8662489999999998E-2</v>
      </c>
      <c r="W3097">
        <v>0.1978212</v>
      </c>
      <c r="X3097">
        <v>0.97848120000000005</v>
      </c>
      <c r="Y3097">
        <v>0.1136037</v>
      </c>
      <c r="Z3097">
        <v>1.2702349999999999E-2</v>
      </c>
      <c r="AA3097">
        <v>0.99344489999999996</v>
      </c>
      <c r="AB3097">
        <v>24</v>
      </c>
      <c r="AC3097">
        <v>-6.2340999999999802</v>
      </c>
      <c r="AD3097">
        <v>-1.10986222507399</v>
      </c>
      <c r="AE3097">
        <v>-48.099399999999903</v>
      </c>
      <c r="AF3097">
        <v>5.53729246306911</v>
      </c>
      <c r="AG3097">
        <v>-1.10986222507399</v>
      </c>
      <c r="AH3097">
        <v>48.159038826493301</v>
      </c>
      <c r="AI3097">
        <v>91.311553765440607</v>
      </c>
      <c r="AJ3097">
        <v>83.440974273407306</v>
      </c>
      <c r="AK3097">
        <v>48.489034045564402</v>
      </c>
      <c r="AL3097">
        <v>78.590422270367</v>
      </c>
      <c r="AM3097">
        <v>86.569075839457895</v>
      </c>
      <c r="AN3097">
        <v>0.99999998682794</v>
      </c>
    </row>
    <row r="3098" spans="1:40" x14ac:dyDescent="0.25">
      <c r="A3098" t="str">
        <f>"20190304155431650"</f>
        <v>20190304155431650</v>
      </c>
      <c r="B3098" t="str">
        <f>"1551686071640397"</f>
        <v>1551686071640397</v>
      </c>
      <c r="C3098" t="s">
        <v>40</v>
      </c>
      <c r="D3098">
        <v>4.5901579999999997</v>
      </c>
      <c r="E3098">
        <v>0.51759259999999996</v>
      </c>
      <c r="F3098" t="s">
        <v>62</v>
      </c>
      <c r="G3098">
        <v>-191.9487</v>
      </c>
      <c r="H3098" s="1">
        <v>-5.7369809999999898E-6</v>
      </c>
      <c r="I3098">
        <v>131.48560000000001</v>
      </c>
      <c r="J3098">
        <v>-186.00659999999999</v>
      </c>
      <c r="K3098">
        <v>1.1098110000000001</v>
      </c>
      <c r="L3098">
        <v>177.53210000000001</v>
      </c>
      <c r="M3098">
        <v>-1.4909530000000001E-2</v>
      </c>
      <c r="N3098">
        <v>-1.0055959999999999E-2</v>
      </c>
      <c r="O3098">
        <v>-0.99983840000000002</v>
      </c>
      <c r="P3098">
        <v>-7.3306449999999995E-2</v>
      </c>
      <c r="Q3098">
        <v>0.18802079999999999</v>
      </c>
      <c r="R3098">
        <v>-0.97942569999999995</v>
      </c>
      <c r="S3098">
        <v>-0.39152530000000002</v>
      </c>
      <c r="T3098">
        <v>-7.3080179999999995E-2</v>
      </c>
      <c r="U3098">
        <v>-3.0478209999999999</v>
      </c>
      <c r="V3098">
        <v>5.8863390000000002E-2</v>
      </c>
      <c r="W3098">
        <v>0.1978202</v>
      </c>
      <c r="X3098">
        <v>0.97846940000000004</v>
      </c>
      <c r="Y3098">
        <v>0.1125797</v>
      </c>
      <c r="Z3098">
        <v>1.3748359999999999E-2</v>
      </c>
      <c r="AA3098">
        <v>0.99354759999999998</v>
      </c>
      <c r="AB3098">
        <v>24</v>
      </c>
      <c r="AC3098">
        <v>-5.9421000000000097</v>
      </c>
      <c r="AD3098">
        <v>-1.1098167369809999</v>
      </c>
      <c r="AE3098">
        <v>-46.046500000000002</v>
      </c>
      <c r="AF3098">
        <v>5.2518722505095097</v>
      </c>
      <c r="AG3098">
        <v>-1.1098167369809999</v>
      </c>
      <c r="AH3098">
        <v>46.103636254513901</v>
      </c>
      <c r="AI3098">
        <v>91.370112544989794</v>
      </c>
      <c r="AJ3098">
        <v>83.501194438039207</v>
      </c>
      <c r="AK3098">
        <v>46.415074396298102</v>
      </c>
      <c r="AL3098">
        <v>78.590481434031602</v>
      </c>
      <c r="AM3098">
        <v>86.557312831339999</v>
      </c>
      <c r="AN3098">
        <v>1.00000004847334</v>
      </c>
    </row>
    <row r="3099" spans="1:40" x14ac:dyDescent="0.25">
      <c r="A3099" t="str">
        <f>"20190304155431672"</f>
        <v>20190304155431672</v>
      </c>
      <c r="B3099" t="str">
        <f>"1551686071659917"</f>
        <v>1551686071659917</v>
      </c>
      <c r="C3099" t="s">
        <v>40</v>
      </c>
      <c r="D3099">
        <v>4.62012</v>
      </c>
      <c r="E3099">
        <v>0.51731879999999997</v>
      </c>
      <c r="F3099" t="s">
        <v>62</v>
      </c>
      <c r="G3099">
        <v>-191.82230000000001</v>
      </c>
      <c r="H3099" s="1">
        <v>-5.9572710000000004E-6</v>
      </c>
      <c r="I3099">
        <v>132.23589999999999</v>
      </c>
      <c r="J3099">
        <v>-186.01079999999999</v>
      </c>
      <c r="K3099">
        <v>1.1097520000000001</v>
      </c>
      <c r="L3099">
        <v>177.2912</v>
      </c>
      <c r="M3099">
        <v>-1.547954E-2</v>
      </c>
      <c r="N3099">
        <v>-1.0027889999999999E-2</v>
      </c>
      <c r="O3099">
        <v>-0.9998302</v>
      </c>
      <c r="P3099">
        <v>-7.3882920000000005E-2</v>
      </c>
      <c r="Q3099">
        <v>0.18820200000000001</v>
      </c>
      <c r="R3099">
        <v>-0.97934750000000004</v>
      </c>
      <c r="S3099">
        <v>-0.39134219999999997</v>
      </c>
      <c r="T3099">
        <v>-7.4681159999999996E-2</v>
      </c>
      <c r="U3099">
        <v>-3.0480499999999999</v>
      </c>
      <c r="V3099">
        <v>5.890451E-2</v>
      </c>
      <c r="W3099">
        <v>0.197967</v>
      </c>
      <c r="X3099">
        <v>0.97843720000000001</v>
      </c>
      <c r="Y3099">
        <v>0.111944</v>
      </c>
      <c r="Z3099">
        <v>1.4296639999999999E-2</v>
      </c>
      <c r="AA3099">
        <v>0.99361169999999999</v>
      </c>
      <c r="AB3099">
        <v>24</v>
      </c>
      <c r="AC3099">
        <v>-5.8115000000000201</v>
      </c>
      <c r="AD3099">
        <v>-1.1097579572709999</v>
      </c>
      <c r="AE3099">
        <v>-45.055300000000003</v>
      </c>
      <c r="AF3099">
        <v>5.1102838408894602</v>
      </c>
      <c r="AG3099">
        <v>-1.1097579572709999</v>
      </c>
      <c r="AH3099">
        <v>45.112943453537099</v>
      </c>
      <c r="AI3099">
        <v>91.400214596015203</v>
      </c>
      <c r="AJ3099">
        <v>83.537223371161303</v>
      </c>
      <c r="AK3099">
        <v>45.415022081908297</v>
      </c>
      <c r="AL3099">
        <v>78.581900322847801</v>
      </c>
      <c r="AM3099">
        <v>86.554800571893196</v>
      </c>
      <c r="AN3099">
        <v>1.0000000143655901</v>
      </c>
    </row>
    <row r="3100" spans="1:40" x14ac:dyDescent="0.25">
      <c r="A3100" t="str">
        <f>"20190304155431696"</f>
        <v>20190304155431696</v>
      </c>
      <c r="B3100" t="str">
        <f>"1551686071690174"</f>
        <v>1551686071690174</v>
      </c>
      <c r="C3100" t="s">
        <v>40</v>
      </c>
      <c r="D3100">
        <v>4.6097970000000004</v>
      </c>
      <c r="E3100">
        <v>0.5169897</v>
      </c>
      <c r="F3100" t="s">
        <v>62</v>
      </c>
      <c r="G3100">
        <v>-191.8005</v>
      </c>
      <c r="H3100" s="1">
        <v>-5.9393799999999997E-6</v>
      </c>
      <c r="I3100">
        <v>132.18969999999999</v>
      </c>
      <c r="J3100">
        <v>-186.0155</v>
      </c>
      <c r="K3100">
        <v>1.109686</v>
      </c>
      <c r="L3100">
        <v>177.0341</v>
      </c>
      <c r="M3100">
        <v>-1.6175450000000001E-2</v>
      </c>
      <c r="N3100">
        <v>-1.000068E-2</v>
      </c>
      <c r="O3100">
        <v>-0.99981929999999997</v>
      </c>
      <c r="P3100">
        <v>-7.5066820000000006E-2</v>
      </c>
      <c r="Q3100">
        <v>0.18820629999999999</v>
      </c>
      <c r="R3100">
        <v>-0.97925660000000003</v>
      </c>
      <c r="S3100">
        <v>-0.39129639999999999</v>
      </c>
      <c r="T3100">
        <v>-7.5002669999999994E-2</v>
      </c>
      <c r="U3100">
        <v>-3.0481720000000001</v>
      </c>
      <c r="V3100">
        <v>5.9435599999999998E-2</v>
      </c>
      <c r="W3100">
        <v>0.19793569999999999</v>
      </c>
      <c r="X3100">
        <v>0.97841140000000004</v>
      </c>
      <c r="Y3100">
        <v>0.1112325</v>
      </c>
      <c r="Z3100">
        <v>1.442851E-2</v>
      </c>
      <c r="AA3100">
        <v>0.99368970000000001</v>
      </c>
      <c r="AB3100">
        <v>24</v>
      </c>
      <c r="AC3100">
        <v>-5.7849999999999904</v>
      </c>
      <c r="AD3100">
        <v>-1.10969193938</v>
      </c>
      <c r="AE3100">
        <v>-44.8444</v>
      </c>
      <c r="AF3100">
        <v>5.0557833926860702</v>
      </c>
      <c r="AG3100">
        <v>-1.10969193938</v>
      </c>
      <c r="AH3100">
        <v>44.905065210349399</v>
      </c>
      <c r="AI3100">
        <v>91.406718415184898</v>
      </c>
      <c r="AJ3100">
        <v>83.576219298374994</v>
      </c>
      <c r="AK3100">
        <v>45.2024030717374</v>
      </c>
      <c r="AL3100">
        <v>78.583729715449607</v>
      </c>
      <c r="AM3100">
        <v>86.5237226393144</v>
      </c>
      <c r="AN3100">
        <v>0.99999999976590503</v>
      </c>
    </row>
    <row r="3101" spans="1:40" x14ac:dyDescent="0.25">
      <c r="A3101" t="str">
        <f>"20190304155431718"</f>
        <v>20190304155431718</v>
      </c>
      <c r="B3101" t="str">
        <f>"1551686071710670"</f>
        <v>1551686071710670</v>
      </c>
      <c r="C3101" t="s">
        <v>40</v>
      </c>
      <c r="D3101">
        <v>4.5898110000000001</v>
      </c>
      <c r="E3101">
        <v>0.51682839999999997</v>
      </c>
      <c r="F3101" t="s">
        <v>62</v>
      </c>
      <c r="G3101">
        <v>-191.7415</v>
      </c>
      <c r="H3101" s="1">
        <v>-6.0461670000000004E-6</v>
      </c>
      <c r="I3101">
        <v>132.55000000000001</v>
      </c>
      <c r="J3101">
        <v>-186.02029999999999</v>
      </c>
      <c r="K3101">
        <v>1.109618</v>
      </c>
      <c r="L3101">
        <v>176.78870000000001</v>
      </c>
      <c r="M3101">
        <v>-1.6930560000000001E-2</v>
      </c>
      <c r="N3101">
        <v>-9.9776889999999997E-3</v>
      </c>
      <c r="O3101">
        <v>-0.99980709999999995</v>
      </c>
      <c r="P3101">
        <v>-7.6724890000000004E-2</v>
      </c>
      <c r="Q3101">
        <v>0.18788540000000001</v>
      </c>
      <c r="R3101">
        <v>-0.97919009999999995</v>
      </c>
      <c r="S3101">
        <v>-0.39234920000000001</v>
      </c>
      <c r="T3101">
        <v>-7.6037289999999993E-2</v>
      </c>
      <c r="U3101">
        <v>-3.0480960000000001</v>
      </c>
      <c r="V3101">
        <v>6.0384840000000002E-2</v>
      </c>
      <c r="W3101">
        <v>0.19758139999999999</v>
      </c>
      <c r="X3101">
        <v>0.97842490000000004</v>
      </c>
      <c r="Y3101">
        <v>0.110822</v>
      </c>
      <c r="Z3101">
        <v>1.4788839999999999E-2</v>
      </c>
      <c r="AA3101">
        <v>0.99373020000000001</v>
      </c>
      <c r="AB3101">
        <v>24</v>
      </c>
      <c r="AC3101">
        <v>-5.7211999999999996</v>
      </c>
      <c r="AD3101">
        <v>-1.1096240461669999</v>
      </c>
      <c r="AE3101">
        <v>-44.238700000000001</v>
      </c>
      <c r="AF3101">
        <v>4.9682824750771797</v>
      </c>
      <c r="AG3101">
        <v>-1.1096240461669999</v>
      </c>
      <c r="AH3101">
        <v>44.301812932780102</v>
      </c>
      <c r="AI3101">
        <v>91.425848373361205</v>
      </c>
      <c r="AJ3101">
        <v>83.601228755995095</v>
      </c>
      <c r="AK3101">
        <v>44.593337231104798</v>
      </c>
      <c r="AL3101">
        <v>78.604438733062594</v>
      </c>
      <c r="AM3101">
        <v>86.468391386697206</v>
      </c>
      <c r="AN3101">
        <v>1.0000000117338901</v>
      </c>
    </row>
    <row r="3102" spans="1:40" x14ac:dyDescent="0.25">
      <c r="A3102" t="str">
        <f>"20190304155431738"</f>
        <v>20190304155431738</v>
      </c>
      <c r="B3102" t="str">
        <f>"1551686071730189"</f>
        <v>1551686071730189</v>
      </c>
      <c r="C3102" t="s">
        <v>40</v>
      </c>
      <c r="D3102">
        <v>4.6337260000000002</v>
      </c>
      <c r="E3102">
        <v>0.51662280000000005</v>
      </c>
      <c r="F3102" t="s">
        <v>62</v>
      </c>
      <c r="G3102">
        <v>-191.6823</v>
      </c>
      <c r="H3102" s="1">
        <v>-6.2551170000000003E-6</v>
      </c>
      <c r="I3102">
        <v>133.22980000000001</v>
      </c>
      <c r="J3102">
        <v>-186.02510000000001</v>
      </c>
      <c r="K3102">
        <v>1.10954</v>
      </c>
      <c r="L3102">
        <v>176.55529999999999</v>
      </c>
      <c r="M3102">
        <v>-1.7740889999999999E-2</v>
      </c>
      <c r="N3102">
        <v>-9.9577079999999991E-3</v>
      </c>
      <c r="O3102">
        <v>-0.99979320000000005</v>
      </c>
      <c r="P3102">
        <v>-7.8646800000000003E-2</v>
      </c>
      <c r="Q3102">
        <v>0.18741749999999999</v>
      </c>
      <c r="R3102">
        <v>-0.97912719999999998</v>
      </c>
      <c r="S3102">
        <v>-0.39614870000000002</v>
      </c>
      <c r="T3102">
        <v>-7.7635410000000002E-2</v>
      </c>
      <c r="U3102">
        <v>-3.0476230000000002</v>
      </c>
      <c r="V3102">
        <v>6.1544849999999998E-2</v>
      </c>
      <c r="W3102">
        <v>0.1970826</v>
      </c>
      <c r="X3102">
        <v>0.97845320000000002</v>
      </c>
      <c r="Y3102">
        <v>0.11125309999999999</v>
      </c>
      <c r="Z3102">
        <v>1.53302E-2</v>
      </c>
      <c r="AA3102">
        <v>0.9936739</v>
      </c>
      <c r="AB3102">
        <v>24</v>
      </c>
      <c r="AC3102">
        <v>-5.65719999999998</v>
      </c>
      <c r="AD3102">
        <v>-1.1095462551169999</v>
      </c>
      <c r="AE3102">
        <v>-43.325499999999899</v>
      </c>
      <c r="AF3102">
        <v>4.8844888778911297</v>
      </c>
      <c r="AG3102">
        <v>-1.1095462551169999</v>
      </c>
      <c r="AH3102">
        <v>43.391068485199099</v>
      </c>
      <c r="AI3102">
        <v>91.455592803804194</v>
      </c>
      <c r="AJ3102">
        <v>83.577309705655793</v>
      </c>
      <c r="AK3102">
        <v>43.679218729021798</v>
      </c>
      <c r="AL3102">
        <v>78.633590873921193</v>
      </c>
      <c r="AM3102">
        <v>86.400828676490093</v>
      </c>
      <c r="AN3102">
        <v>0.99999999218726099</v>
      </c>
    </row>
    <row r="3103" spans="1:40" x14ac:dyDescent="0.25">
      <c r="A3103" t="str">
        <f>"20190304155431761"</f>
        <v>20190304155431761</v>
      </c>
      <c r="B3103" t="str">
        <f>"1551686071749709"</f>
        <v>1551686071749709</v>
      </c>
      <c r="C3103" t="s">
        <v>40</v>
      </c>
      <c r="D3103">
        <v>4.7231139999999998</v>
      </c>
      <c r="E3103">
        <v>0.51640719999999996</v>
      </c>
      <c r="F3103" t="s">
        <v>62</v>
      </c>
      <c r="G3103">
        <v>-191.59030000000001</v>
      </c>
      <c r="H3103" s="1">
        <v>-6.5483340000000001E-6</v>
      </c>
      <c r="I3103">
        <v>134.18780000000001</v>
      </c>
      <c r="J3103">
        <v>-186.03039999999999</v>
      </c>
      <c r="K3103">
        <v>1.109461</v>
      </c>
      <c r="L3103">
        <v>176.3115</v>
      </c>
      <c r="M3103">
        <v>-1.8687579999999999E-2</v>
      </c>
      <c r="N3103">
        <v>-9.9388600000000007E-3</v>
      </c>
      <c r="O3103">
        <v>-0.99977609999999995</v>
      </c>
      <c r="P3103">
        <v>-8.051403E-2</v>
      </c>
      <c r="Q3103">
        <v>0.18722730000000001</v>
      </c>
      <c r="R3103">
        <v>-0.97901170000000004</v>
      </c>
      <c r="S3103">
        <v>-0.40025329999999998</v>
      </c>
      <c r="T3103">
        <v>-7.97987E-2</v>
      </c>
      <c r="U3103">
        <v>-3.0470730000000001</v>
      </c>
      <c r="V3103">
        <v>6.2521199999999999E-2</v>
      </c>
      <c r="W3103">
        <v>0.19686100000000001</v>
      </c>
      <c r="X3103">
        <v>0.97843590000000003</v>
      </c>
      <c r="Y3103">
        <v>0.1116491</v>
      </c>
      <c r="Z3103">
        <v>1.6054829999999999E-2</v>
      </c>
      <c r="AA3103">
        <v>0.993618</v>
      </c>
      <c r="AB3103">
        <v>25</v>
      </c>
      <c r="AC3103">
        <v>-5.5599000000000203</v>
      </c>
      <c r="AD3103">
        <v>-1.109467548334</v>
      </c>
      <c r="AE3103">
        <v>-42.1236999999999</v>
      </c>
      <c r="AF3103">
        <v>4.7684489286615896</v>
      </c>
      <c r="AG3103">
        <v>-1.109467548334</v>
      </c>
      <c r="AH3103">
        <v>42.191482121071502</v>
      </c>
      <c r="AI3103">
        <v>91.496778417802801</v>
      </c>
      <c r="AJ3103">
        <v>83.551836949793696</v>
      </c>
      <c r="AK3103">
        <v>42.474582834899699</v>
      </c>
      <c r="AL3103">
        <v>78.646541212996496</v>
      </c>
      <c r="AM3103">
        <v>86.343820472380301</v>
      </c>
      <c r="AN3103">
        <v>0.99999998208962404</v>
      </c>
    </row>
    <row r="3104" spans="1:40" x14ac:dyDescent="0.25">
      <c r="A3104" t="str">
        <f>"20190304155431783"</f>
        <v>20190304155431783</v>
      </c>
      <c r="B3104" t="str">
        <f>"1551686071779966"</f>
        <v>1551686071779966</v>
      </c>
      <c r="C3104" t="s">
        <v>40</v>
      </c>
      <c r="D3104">
        <v>4.6650199999999904</v>
      </c>
      <c r="E3104">
        <v>0.51613109999999995</v>
      </c>
      <c r="F3104" t="s">
        <v>62</v>
      </c>
      <c r="G3104">
        <v>-191.59950000000001</v>
      </c>
      <c r="H3104" s="1">
        <v>-6.6007629999999898E-6</v>
      </c>
      <c r="I3104">
        <v>134.3475</v>
      </c>
      <c r="J3104">
        <v>-186.036</v>
      </c>
      <c r="K3104">
        <v>1.109383</v>
      </c>
      <c r="L3104">
        <v>176.06960000000001</v>
      </c>
      <c r="M3104">
        <v>-1.9747020000000001E-2</v>
      </c>
      <c r="N3104">
        <v>-9.9229149999999992E-3</v>
      </c>
      <c r="O3104">
        <v>-0.99975610000000004</v>
      </c>
      <c r="P3104">
        <v>-8.2230880000000006E-2</v>
      </c>
      <c r="Q3104">
        <v>0.18704290000000001</v>
      </c>
      <c r="R3104">
        <v>-0.97890469999999896</v>
      </c>
      <c r="S3104">
        <v>-0.40429690000000001</v>
      </c>
      <c r="T3104">
        <v>-8.0544229999999994E-2</v>
      </c>
      <c r="U3104">
        <v>-3.0464630000000001</v>
      </c>
      <c r="V3104">
        <v>6.3238080000000002E-2</v>
      </c>
      <c r="W3104">
        <v>0.19664780000000001</v>
      </c>
      <c r="X3104">
        <v>0.97843270000000004</v>
      </c>
      <c r="Y3104">
        <v>0.1119174</v>
      </c>
      <c r="Z3104">
        <v>1.6315920000000001E-2</v>
      </c>
      <c r="AA3104">
        <v>0.99358360000000001</v>
      </c>
      <c r="AB3104">
        <v>25</v>
      </c>
      <c r="AC3104">
        <v>-5.5635000000000296</v>
      </c>
      <c r="AD3104">
        <v>-1.109389600763</v>
      </c>
      <c r="AE3104">
        <v>-41.722099999999998</v>
      </c>
      <c r="AF3104">
        <v>4.7351982050813604</v>
      </c>
      <c r="AG3104">
        <v>-1.109389600763</v>
      </c>
      <c r="AH3104">
        <v>41.7947978889081</v>
      </c>
      <c r="AI3104">
        <v>91.510825273846507</v>
      </c>
      <c r="AJ3104">
        <v>83.536159816377804</v>
      </c>
      <c r="AK3104">
        <v>42.076810453055501</v>
      </c>
      <c r="AL3104">
        <v>78.659000190397293</v>
      </c>
      <c r="AM3104">
        <v>86.302001630068304</v>
      </c>
      <c r="AN3104">
        <v>0.99999998021810799</v>
      </c>
    </row>
    <row r="3105" spans="1:40" x14ac:dyDescent="0.25">
      <c r="A3105" t="str">
        <f>"20190304155431806"</f>
        <v>20190304155431806</v>
      </c>
      <c r="B3105" t="str">
        <f>"1551686071800461"</f>
        <v>1551686071800461</v>
      </c>
      <c r="C3105" t="s">
        <v>40</v>
      </c>
      <c r="D3105">
        <v>4.6460900000000001</v>
      </c>
      <c r="E3105">
        <v>0.51590020000000003</v>
      </c>
      <c r="F3105" t="s">
        <v>62</v>
      </c>
      <c r="G3105">
        <v>-191.56950000000001</v>
      </c>
      <c r="H3105" s="1">
        <v>-6.7115440000000004E-6</v>
      </c>
      <c r="I3105">
        <v>134.70740000000001</v>
      </c>
      <c r="J3105">
        <v>-186.04230000000001</v>
      </c>
      <c r="K3105">
        <v>1.109302</v>
      </c>
      <c r="L3105">
        <v>175.8202</v>
      </c>
      <c r="M3105">
        <v>-2.0961509999999999E-2</v>
      </c>
      <c r="N3105">
        <v>-9.9092750000000004E-3</v>
      </c>
      <c r="O3105">
        <v>-0.99973120000000004</v>
      </c>
      <c r="P3105">
        <v>-8.4668820000000006E-2</v>
      </c>
      <c r="Q3105">
        <v>0.1869904</v>
      </c>
      <c r="R3105">
        <v>-0.97870610000000002</v>
      </c>
      <c r="S3105">
        <v>-0.40750120000000001</v>
      </c>
      <c r="T3105">
        <v>-8.169949E-2</v>
      </c>
      <c r="U3105">
        <v>-3.0460660000000002</v>
      </c>
      <c r="V3105">
        <v>6.4528279999999993E-2</v>
      </c>
      <c r="W3105">
        <v>0.19656599999999999</v>
      </c>
      <c r="X3105">
        <v>0.97836489999999998</v>
      </c>
      <c r="Y3105">
        <v>0.11175300000000001</v>
      </c>
      <c r="Z3105">
        <v>1.6707240000000002E-2</v>
      </c>
      <c r="AA3105">
        <v>0.99359549999999996</v>
      </c>
      <c r="AB3105">
        <v>25</v>
      </c>
      <c r="AC3105">
        <v>-5.5271999999999899</v>
      </c>
      <c r="AD3105">
        <v>-1.1093087115439999</v>
      </c>
      <c r="AE3105">
        <v>-41.112799999999901</v>
      </c>
      <c r="AF3105">
        <v>4.6608238125056802</v>
      </c>
      <c r="AG3105">
        <v>-1.1093087115439999</v>
      </c>
      <c r="AH3105">
        <v>41.190174688626101</v>
      </c>
      <c r="AI3105">
        <v>91.532904600601995</v>
      </c>
      <c r="AJ3105">
        <v>83.544225499102794</v>
      </c>
      <c r="AK3105">
        <v>41.467871121004798</v>
      </c>
      <c r="AL3105">
        <v>78.663780329378099</v>
      </c>
      <c r="AM3105">
        <v>86.226509146230498</v>
      </c>
      <c r="AN3105">
        <v>0.99999998441388405</v>
      </c>
    </row>
    <row r="3106" spans="1:40" x14ac:dyDescent="0.25">
      <c r="A3106" t="str">
        <f>"20190304155431828"</f>
        <v>20190304155431828</v>
      </c>
      <c r="B3106" t="str">
        <f>"1551686071819981"</f>
        <v>1551686071819981</v>
      </c>
      <c r="C3106" t="s">
        <v>40</v>
      </c>
      <c r="D3106">
        <v>4.645429</v>
      </c>
      <c r="E3106">
        <v>0.51569869999999995</v>
      </c>
      <c r="F3106" t="s">
        <v>62</v>
      </c>
      <c r="G3106">
        <v>-191.59190000000001</v>
      </c>
      <c r="H3106" s="1">
        <v>-6.7950909999999999E-6</v>
      </c>
      <c r="I3106">
        <v>134.95849999999999</v>
      </c>
      <c r="J3106">
        <v>-186.04900000000001</v>
      </c>
      <c r="K3106">
        <v>1.1092219999999999</v>
      </c>
      <c r="L3106">
        <v>175.5675</v>
      </c>
      <c r="M3106">
        <v>-2.2296489999999999E-2</v>
      </c>
      <c r="N3106">
        <v>-9.8977909999999995E-3</v>
      </c>
      <c r="O3106">
        <v>-0.99970270000000006</v>
      </c>
      <c r="P3106">
        <v>-8.6822570000000002E-2</v>
      </c>
      <c r="Q3106">
        <v>0.18752150000000001</v>
      </c>
      <c r="R3106">
        <v>-0.97841610000000001</v>
      </c>
      <c r="S3106">
        <v>-0.4135895</v>
      </c>
      <c r="T3106">
        <v>-8.2672720000000005E-2</v>
      </c>
      <c r="U3106">
        <v>-3.0452729999999999</v>
      </c>
      <c r="V3106">
        <v>6.5416769999999999E-2</v>
      </c>
      <c r="W3106">
        <v>0.19707040000000001</v>
      </c>
      <c r="X3106">
        <v>0.97820439999999997</v>
      </c>
      <c r="Y3106">
        <v>0.11241</v>
      </c>
      <c r="Z3106">
        <v>1.7037719999999999E-2</v>
      </c>
      <c r="AA3106">
        <v>0.99351579999999995</v>
      </c>
      <c r="AB3106">
        <v>25</v>
      </c>
      <c r="AC3106">
        <v>-5.5429000000000004</v>
      </c>
      <c r="AD3106">
        <v>-1.109228795091</v>
      </c>
      <c r="AE3106">
        <v>-40.609000000000002</v>
      </c>
      <c r="AF3106">
        <v>4.6326464586001999</v>
      </c>
      <c r="AG3106">
        <v>-1.109228795091</v>
      </c>
      <c r="AH3106">
        <v>40.692691384748699</v>
      </c>
      <c r="AI3106">
        <v>91.551404041001007</v>
      </c>
      <c r="AJ3106">
        <v>83.505143055893598</v>
      </c>
      <c r="AK3106">
        <v>40.970561795814298</v>
      </c>
      <c r="AL3106">
        <v>78.634303636115703</v>
      </c>
      <c r="AM3106">
        <v>86.174079385192002</v>
      </c>
      <c r="AN3106">
        <v>0.99999997226637605</v>
      </c>
    </row>
    <row r="3107" spans="1:40" x14ac:dyDescent="0.25">
      <c r="A3107" t="str">
        <f>"20190304155431850"</f>
        <v>20190304155431850</v>
      </c>
      <c r="B3107" t="str">
        <f>"1551686071840478"</f>
        <v>1551686071840478</v>
      </c>
      <c r="C3107" t="s">
        <v>40</v>
      </c>
      <c r="D3107">
        <v>4.7981160000000003</v>
      </c>
      <c r="E3107">
        <v>0.51577119999999999</v>
      </c>
      <c r="F3107" t="s">
        <v>62</v>
      </c>
      <c r="G3107">
        <v>-191.72020000000001</v>
      </c>
      <c r="H3107" s="1">
        <v>-6.607522E-6</v>
      </c>
      <c r="I3107">
        <v>134.31450000000001</v>
      </c>
      <c r="J3107">
        <v>-186.05590000000001</v>
      </c>
      <c r="K3107">
        <v>1.109154</v>
      </c>
      <c r="L3107">
        <v>175.3252</v>
      </c>
      <c r="M3107">
        <v>-2.368253E-2</v>
      </c>
      <c r="N3107">
        <v>-9.888684E-3</v>
      </c>
      <c r="O3107">
        <v>-0.99967090000000003</v>
      </c>
      <c r="P3107">
        <v>-8.9129920000000001E-2</v>
      </c>
      <c r="Q3107">
        <v>0.18793570000000001</v>
      </c>
      <c r="R3107">
        <v>-0.97812920000000003</v>
      </c>
      <c r="S3107">
        <v>-0.41856379999999999</v>
      </c>
      <c r="T3107">
        <v>-8.1867930000000005E-2</v>
      </c>
      <c r="U3107">
        <v>-3.044724</v>
      </c>
      <c r="V3107">
        <v>6.6406629999999994E-2</v>
      </c>
      <c r="W3107">
        <v>0.19746030000000001</v>
      </c>
      <c r="X3107">
        <v>0.97805909999999996</v>
      </c>
      <c r="Y3107">
        <v>0.112650399999999</v>
      </c>
      <c r="Z3107">
        <v>1.6786209999999999E-2</v>
      </c>
      <c r="AA3107">
        <v>0.99349290000000001</v>
      </c>
      <c r="AB3107">
        <v>25</v>
      </c>
      <c r="AC3107">
        <v>-5.6642999999999901</v>
      </c>
      <c r="AD3107">
        <v>-1.109160607522</v>
      </c>
      <c r="AE3107">
        <v>-41.0106999999999</v>
      </c>
      <c r="AF3107">
        <v>4.6880618548142197</v>
      </c>
      <c r="AG3107">
        <v>-1.109160607522</v>
      </c>
      <c r="AH3107">
        <v>41.103844796842097</v>
      </c>
      <c r="AI3107">
        <v>91.535762600552701</v>
      </c>
      <c r="AJ3107">
        <v>83.493298250858899</v>
      </c>
      <c r="AK3107">
        <v>41.385193225243299</v>
      </c>
      <c r="AL3107">
        <v>78.611516640575203</v>
      </c>
      <c r="AM3107">
        <v>86.1157877673066</v>
      </c>
      <c r="AN3107">
        <v>1.0000000068384201</v>
      </c>
    </row>
    <row r="3108" spans="1:40" x14ac:dyDescent="0.25">
      <c r="A3108" t="str">
        <f>"20190304155431873"</f>
        <v>20190304155431873</v>
      </c>
      <c r="B3108" t="str">
        <f>"1551686071869758"</f>
        <v>1551686071869758</v>
      </c>
      <c r="C3108" t="s">
        <v>40</v>
      </c>
      <c r="D3108">
        <v>4.7180400000000002</v>
      </c>
      <c r="E3108">
        <v>0.56879440000000003</v>
      </c>
      <c r="F3108" t="s">
        <v>62</v>
      </c>
      <c r="G3108">
        <v>-191.9435</v>
      </c>
      <c r="H3108" s="1">
        <v>-6.3024820000000001E-6</v>
      </c>
      <c r="I3108">
        <v>133.26060000000001</v>
      </c>
      <c r="J3108">
        <v>-186.0634</v>
      </c>
      <c r="K3108">
        <v>1.10907</v>
      </c>
      <c r="L3108">
        <v>175.07769999999999</v>
      </c>
      <c r="M3108">
        <v>-2.522201E-2</v>
      </c>
      <c r="N3108">
        <v>-9.8813830000000005E-3</v>
      </c>
      <c r="O3108">
        <v>-0.9996332</v>
      </c>
      <c r="P3108">
        <v>-9.1405650000000005E-2</v>
      </c>
      <c r="Q3108">
        <v>0.187616</v>
      </c>
      <c r="R3108">
        <v>-0.97798039999999997</v>
      </c>
      <c r="S3108">
        <v>-0.4260101</v>
      </c>
      <c r="T3108">
        <v>-8.0255629999999994E-2</v>
      </c>
      <c r="U3108">
        <v>-3.0436709999999998</v>
      </c>
      <c r="V3108">
        <v>6.7213729999999999E-2</v>
      </c>
      <c r="W3108">
        <v>0.19711909999999999</v>
      </c>
      <c r="X3108">
        <v>0.97807279999999996</v>
      </c>
      <c r="Y3108">
        <v>0.1135525</v>
      </c>
      <c r="Z3108">
        <v>1.6271870000000001E-2</v>
      </c>
      <c r="AA3108">
        <v>0.99339869999999997</v>
      </c>
      <c r="AB3108">
        <v>25</v>
      </c>
      <c r="AC3108">
        <v>-5.8800999999999899</v>
      </c>
      <c r="AD3108">
        <v>-1.1090763024820001</v>
      </c>
      <c r="AE3108">
        <v>-41.817099999999897</v>
      </c>
      <c r="AF3108">
        <v>4.8201417240545998</v>
      </c>
      <c r="AG3108">
        <v>-1.1090763024820001</v>
      </c>
      <c r="AH3108">
        <v>41.923192921703603</v>
      </c>
      <c r="AI3108">
        <v>91.505490432003896</v>
      </c>
      <c r="AJ3108">
        <v>83.441186793555502</v>
      </c>
      <c r="AK3108">
        <v>42.213954105663703</v>
      </c>
      <c r="AL3108">
        <v>78.631457979176005</v>
      </c>
      <c r="AM3108">
        <v>86.068781448895805</v>
      </c>
      <c r="AN3108">
        <v>1.00000001359258</v>
      </c>
    </row>
    <row r="3109" spans="1:40" x14ac:dyDescent="0.25">
      <c r="A3109" t="str">
        <f>"20190304155431897"</f>
        <v>20190304155431897</v>
      </c>
      <c r="B3109" t="str">
        <f>"1551686071890253"</f>
        <v>1551686071890253</v>
      </c>
      <c r="C3109" t="s">
        <v>40</v>
      </c>
      <c r="D3109">
        <v>4.7046809999999999</v>
      </c>
      <c r="E3109">
        <v>0.57197540000000002</v>
      </c>
      <c r="F3109" t="s">
        <v>47</v>
      </c>
      <c r="G3109">
        <v>-211.00040000000001</v>
      </c>
      <c r="H3109">
        <v>-0.05</v>
      </c>
      <c r="I3109">
        <v>87.416659999999993</v>
      </c>
      <c r="J3109">
        <v>-186.072</v>
      </c>
      <c r="K3109">
        <v>1.108968</v>
      </c>
      <c r="L3109">
        <v>174.81460000000001</v>
      </c>
      <c r="M3109">
        <v>-2.7010030000000001E-2</v>
      </c>
      <c r="N3109">
        <v>-9.8760140000000007E-3</v>
      </c>
      <c r="O3109">
        <v>-0.99958659999999999</v>
      </c>
      <c r="P3109">
        <v>-9.397279E-2</v>
      </c>
      <c r="Q3109">
        <v>0.18727379999999999</v>
      </c>
      <c r="R3109">
        <v>-0.97780279999999997</v>
      </c>
      <c r="S3109">
        <v>-0.85212710000000003</v>
      </c>
      <c r="T3109">
        <v>-3.9606809999999999E-2</v>
      </c>
      <c r="U3109">
        <v>-2.9954830000000001</v>
      </c>
      <c r="V3109">
        <v>6.8078639999999996E-2</v>
      </c>
      <c r="W3109">
        <v>0.19675300000000001</v>
      </c>
      <c r="X3109">
        <v>0.97808669999999998</v>
      </c>
      <c r="Y3109">
        <v>0.24750639999999999</v>
      </c>
      <c r="Z3109">
        <v>2.9164680000000002E-3</v>
      </c>
      <c r="AA3109">
        <v>0.96888180000000002</v>
      </c>
      <c r="AB3109">
        <v>25</v>
      </c>
      <c r="AC3109">
        <v>-24.9284</v>
      </c>
      <c r="AD3109">
        <v>-1.158968</v>
      </c>
      <c r="AE3109">
        <v>-87.397940000000006</v>
      </c>
      <c r="AF3109">
        <v>22.554900859044899</v>
      </c>
      <c r="AG3109">
        <v>-1.158968</v>
      </c>
      <c r="AH3109">
        <v>88.025085808217995</v>
      </c>
      <c r="AI3109">
        <v>90.730727958945195</v>
      </c>
      <c r="AJ3109">
        <v>75.628154235896901</v>
      </c>
      <c r="AK3109">
        <v>90.876193203338502</v>
      </c>
      <c r="AL3109">
        <v>78.652853012066501</v>
      </c>
      <c r="AM3109">
        <v>86.018412393385404</v>
      </c>
      <c r="AN3109">
        <v>1.0000000184750599</v>
      </c>
    </row>
    <row r="3110" spans="1:40" x14ac:dyDescent="0.25">
      <c r="A3110" t="str">
        <f>"20190304155431919"</f>
        <v>20190304155431919</v>
      </c>
      <c r="B3110" t="str">
        <f>"1551686071909773"</f>
        <v>1551686071909773</v>
      </c>
      <c r="C3110" t="s">
        <v>40</v>
      </c>
      <c r="D3110">
        <v>4.6052439999999999</v>
      </c>
      <c r="E3110">
        <v>0.57600209999999996</v>
      </c>
      <c r="F3110" t="s">
        <v>46</v>
      </c>
      <c r="G3110">
        <v>-204.22749999999999</v>
      </c>
      <c r="H3110">
        <v>7.9985860000000006E-2</v>
      </c>
      <c r="I3110">
        <v>113.5016</v>
      </c>
      <c r="J3110">
        <v>-186.08070000000001</v>
      </c>
      <c r="K3110">
        <v>1.1088579999999999</v>
      </c>
      <c r="L3110">
        <v>174.5651</v>
      </c>
      <c r="M3110">
        <v>-2.885915E-2</v>
      </c>
      <c r="N3110">
        <v>-9.8732019999999993E-3</v>
      </c>
      <c r="O3110">
        <v>-0.99953479999999995</v>
      </c>
      <c r="P3110">
        <v>-9.6669690000000003E-2</v>
      </c>
      <c r="Q3110">
        <v>0.18696370000000001</v>
      </c>
      <c r="R3110">
        <v>-0.97759890000000005</v>
      </c>
      <c r="S3110">
        <v>-0.88613889999999995</v>
      </c>
      <c r="T3110">
        <v>-5.0222870000000003E-2</v>
      </c>
      <c r="U3110">
        <v>-2.9925839999999999</v>
      </c>
      <c r="V3110">
        <v>6.9018780000000002E-2</v>
      </c>
      <c r="W3110">
        <v>0.19641919999999999</v>
      </c>
      <c r="X3110">
        <v>0.97808790000000001</v>
      </c>
      <c r="Y3110">
        <v>0.25609670000000001</v>
      </c>
      <c r="Z3110">
        <v>6.3120370000000004E-3</v>
      </c>
      <c r="AA3110">
        <v>0.96663060000000001</v>
      </c>
      <c r="AB3110">
        <v>25</v>
      </c>
      <c r="AC3110">
        <v>-18.146799999999899</v>
      </c>
      <c r="AD3110">
        <v>-1.0288721399999901</v>
      </c>
      <c r="AE3110">
        <v>-61.063499999999998</v>
      </c>
      <c r="AF3110">
        <v>16.372643489860799</v>
      </c>
      <c r="AG3110">
        <v>-1.0288721399999901</v>
      </c>
      <c r="AH3110">
        <v>61.545735839385003</v>
      </c>
      <c r="AI3110">
        <v>90.925551190929397</v>
      </c>
      <c r="AJ3110">
        <v>75.102965213836995</v>
      </c>
      <c r="AK3110">
        <v>63.6945808741836</v>
      </c>
      <c r="AL3110">
        <v>78.672358955750894</v>
      </c>
      <c r="AM3110">
        <v>85.963613637334404</v>
      </c>
      <c r="AN3110">
        <v>1.0000000171238601</v>
      </c>
    </row>
    <row r="3111" spans="1:40" x14ac:dyDescent="0.25">
      <c r="A3111" t="str">
        <f>"20190304155431940"</f>
        <v>20190304155431940</v>
      </c>
      <c r="B3111" t="str">
        <f>"1551686071930270"</f>
        <v>1551686071930270</v>
      </c>
      <c r="C3111" t="s">
        <v>40</v>
      </c>
      <c r="D3111">
        <v>4.5961460000000001</v>
      </c>
      <c r="E3111">
        <v>0.57939370000000001</v>
      </c>
      <c r="F3111" t="s">
        <v>46</v>
      </c>
      <c r="G3111">
        <v>-204.73480000000001</v>
      </c>
      <c r="H3111">
        <v>7.9985609999999999E-2</v>
      </c>
      <c r="I3111">
        <v>114.4288</v>
      </c>
      <c r="J3111">
        <v>-186.08949999999999</v>
      </c>
      <c r="K3111">
        <v>1.1087419999999999</v>
      </c>
      <c r="L3111">
        <v>174.32859999999999</v>
      </c>
      <c r="M3111">
        <v>-3.076367E-2</v>
      </c>
      <c r="N3111">
        <v>-9.8722849999999997E-3</v>
      </c>
      <c r="O3111">
        <v>-0.99947799999999998</v>
      </c>
      <c r="P3111">
        <v>-9.875594E-2</v>
      </c>
      <c r="Q3111">
        <v>0.18657180000000001</v>
      </c>
      <c r="R3111">
        <v>-0.97746529999999998</v>
      </c>
      <c r="S3111">
        <v>-0.92652889999999999</v>
      </c>
      <c r="T3111">
        <v>-5.1103000000000003E-2</v>
      </c>
      <c r="U3111">
        <v>-2.9869080000000001</v>
      </c>
      <c r="V3111">
        <v>6.9294270000000005E-2</v>
      </c>
      <c r="W3111">
        <v>0.1960073</v>
      </c>
      <c r="X3111">
        <v>0.97815099999999999</v>
      </c>
      <c r="Y3111">
        <v>0.2667059</v>
      </c>
      <c r="Z3111">
        <v>6.5734519999999996E-3</v>
      </c>
      <c r="AA3111">
        <v>0.96375549999999999</v>
      </c>
      <c r="AB3111">
        <v>25</v>
      </c>
      <c r="AC3111">
        <v>-18.645299999999999</v>
      </c>
      <c r="AD3111">
        <v>-1.0287563900000001</v>
      </c>
      <c r="AE3111">
        <v>-59.899799999999999</v>
      </c>
      <c r="AF3111">
        <v>16.789131904468402</v>
      </c>
      <c r="AG3111">
        <v>-1.0287563900000001</v>
      </c>
      <c r="AH3111">
        <v>60.428821568020901</v>
      </c>
      <c r="AI3111">
        <v>90.939735630256493</v>
      </c>
      <c r="AJ3111">
        <v>74.472941902921406</v>
      </c>
      <c r="AK3111">
        <v>62.726196807357198</v>
      </c>
      <c r="AL3111">
        <v>78.696426377841107</v>
      </c>
      <c r="AM3111">
        <v>85.947816432866503</v>
      </c>
      <c r="AN3111">
        <v>0.99999996815456005</v>
      </c>
    </row>
    <row r="3112" spans="1:40" x14ac:dyDescent="0.25">
      <c r="A3112" t="str">
        <f>"20190304155431962"</f>
        <v>20190304155431962</v>
      </c>
      <c r="B3112" t="str">
        <f>"1551686071949790"</f>
        <v>1551686071949790</v>
      </c>
      <c r="C3112" t="s">
        <v>40</v>
      </c>
      <c r="D3112">
        <v>4.6081310000000002</v>
      </c>
      <c r="E3112">
        <v>0.58144859999999998</v>
      </c>
      <c r="F3112" t="s">
        <v>47</v>
      </c>
      <c r="G3112">
        <v>-209.26179999999999</v>
      </c>
      <c r="H3112">
        <v>-0.05</v>
      </c>
      <c r="I3112">
        <v>102.3507</v>
      </c>
      <c r="J3112">
        <v>-186.09950000000001</v>
      </c>
      <c r="K3112">
        <v>1.108616</v>
      </c>
      <c r="L3112">
        <v>174.08019999999999</v>
      </c>
      <c r="M3112">
        <v>-3.2930599999999997E-2</v>
      </c>
      <c r="N3112">
        <v>-9.8727820000000001E-3</v>
      </c>
      <c r="O3112">
        <v>-0.99940879999999999</v>
      </c>
      <c r="P3112">
        <v>-0.1021316</v>
      </c>
      <c r="Q3112">
        <v>0.1858995</v>
      </c>
      <c r="R3112">
        <v>-0.97724619999999995</v>
      </c>
      <c r="S3112">
        <v>-0.95980829999999995</v>
      </c>
      <c r="T3112">
        <v>-4.799581E-2</v>
      </c>
      <c r="U3112">
        <v>-2.9813689999999999</v>
      </c>
      <c r="V3112">
        <v>7.0607669999999997E-2</v>
      </c>
      <c r="W3112">
        <v>0.1953096</v>
      </c>
      <c r="X3112">
        <v>0.97819670000000003</v>
      </c>
      <c r="Y3112">
        <v>0.27489439999999998</v>
      </c>
      <c r="Z3112">
        <v>5.5632669999999898E-3</v>
      </c>
      <c r="AA3112">
        <v>0.96145829999999999</v>
      </c>
      <c r="AB3112">
        <v>25</v>
      </c>
      <c r="AC3112">
        <v>-23.162299999999899</v>
      </c>
      <c r="AD3112">
        <v>-1.1586160000000001</v>
      </c>
      <c r="AE3112">
        <v>-71.729499999999902</v>
      </c>
      <c r="AF3112">
        <v>20.7826154076308</v>
      </c>
      <c r="AG3112">
        <v>-1.1586160000000001</v>
      </c>
      <c r="AH3112">
        <v>72.436264243025803</v>
      </c>
      <c r="AI3112">
        <v>90.880835277850395</v>
      </c>
      <c r="AJ3112">
        <v>73.991338733010295</v>
      </c>
      <c r="AK3112">
        <v>75.367578385552605</v>
      </c>
      <c r="AL3112">
        <v>78.737190255666704</v>
      </c>
      <c r="AM3112">
        <v>85.871466923296097</v>
      </c>
      <c r="AN3112">
        <v>1.00000003340293</v>
      </c>
    </row>
    <row r="3113" spans="1:40" x14ac:dyDescent="0.25">
      <c r="A3113" t="str">
        <f>"20190304155431984"</f>
        <v>20190304155431984</v>
      </c>
      <c r="B3113" t="str">
        <f>"1551686071980047"</f>
        <v>1551686071980047</v>
      </c>
      <c r="C3113" t="s">
        <v>40</v>
      </c>
      <c r="D3113">
        <v>4.6320739999999896</v>
      </c>
      <c r="E3113">
        <v>0.58310309999999999</v>
      </c>
      <c r="F3113" t="s">
        <v>47</v>
      </c>
      <c r="G3113">
        <v>-209.48079999999999</v>
      </c>
      <c r="H3113">
        <v>-0.05</v>
      </c>
      <c r="I3113">
        <v>103.5385</v>
      </c>
      <c r="J3113">
        <v>-186.11019999999999</v>
      </c>
      <c r="K3113">
        <v>1.108495</v>
      </c>
      <c r="L3113">
        <v>173.83279999999999</v>
      </c>
      <c r="M3113">
        <v>-3.5262259999999997E-2</v>
      </c>
      <c r="N3113">
        <v>-9.8747000000000001E-3</v>
      </c>
      <c r="O3113">
        <v>-0.99932929999999998</v>
      </c>
      <c r="P3113">
        <v>-0.1055001</v>
      </c>
      <c r="Q3113">
        <v>0.18572910000000001</v>
      </c>
      <c r="R3113">
        <v>-0.97692080000000003</v>
      </c>
      <c r="S3113">
        <v>-0.98641970000000001</v>
      </c>
      <c r="T3113">
        <v>-4.8880220000000002E-2</v>
      </c>
      <c r="U3113">
        <v>-2.9760439999999999</v>
      </c>
      <c r="V3113">
        <v>7.1755340000000001E-2</v>
      </c>
      <c r="W3113">
        <v>0.19511600000000001</v>
      </c>
      <c r="X3113">
        <v>0.97815180000000002</v>
      </c>
      <c r="Y3113">
        <v>0.28091280000000002</v>
      </c>
      <c r="Z3113">
        <v>5.8395540000000003E-3</v>
      </c>
      <c r="AA3113">
        <v>0.95971550000000005</v>
      </c>
      <c r="AB3113">
        <v>25</v>
      </c>
      <c r="AC3113">
        <v>-23.3706</v>
      </c>
      <c r="AD3113">
        <v>-1.1584950000000001</v>
      </c>
      <c r="AE3113">
        <v>-70.294299999999893</v>
      </c>
      <c r="AF3113">
        <v>20.872102646664601</v>
      </c>
      <c r="AG3113">
        <v>-1.1584950000000001</v>
      </c>
      <c r="AH3113">
        <v>71.057340585296501</v>
      </c>
      <c r="AI3113">
        <v>90.896192616807397</v>
      </c>
      <c r="AJ3113">
        <v>73.630584814587095</v>
      </c>
      <c r="AK3113">
        <v>74.068430728703504</v>
      </c>
      <c r="AL3113">
        <v>78.748500081544194</v>
      </c>
      <c r="AM3113">
        <v>85.804406802127303</v>
      </c>
      <c r="AN3113">
        <v>1.00000001305887</v>
      </c>
    </row>
    <row r="3114" spans="1:40" x14ac:dyDescent="0.25">
      <c r="A3114" t="str">
        <f>"20190304155432007"</f>
        <v>20190304155432007</v>
      </c>
      <c r="B3114" t="str">
        <f>"1551686072000541"</f>
        <v>1551686072000541</v>
      </c>
      <c r="C3114" t="s">
        <v>40</v>
      </c>
      <c r="D3114">
        <v>4.6327189999999998</v>
      </c>
      <c r="E3114">
        <v>0.58387709999999904</v>
      </c>
      <c r="F3114" t="s">
        <v>47</v>
      </c>
      <c r="G3114">
        <v>-209.85390000000001</v>
      </c>
      <c r="H3114">
        <v>-0.05</v>
      </c>
      <c r="I3114">
        <v>103.9346</v>
      </c>
      <c r="J3114">
        <v>-186.12209999999999</v>
      </c>
      <c r="K3114">
        <v>1.1083809999999901</v>
      </c>
      <c r="L3114">
        <v>173.57470000000001</v>
      </c>
      <c r="M3114">
        <v>-3.7839699999999997E-2</v>
      </c>
      <c r="N3114">
        <v>-9.8771650000000003E-3</v>
      </c>
      <c r="O3114">
        <v>-0.99923499999999998</v>
      </c>
      <c r="P3114">
        <v>-0.1091273</v>
      </c>
      <c r="Q3114">
        <v>0.18540010000000001</v>
      </c>
      <c r="R3114">
        <v>-0.97658489999999998</v>
      </c>
      <c r="S3114">
        <v>-1.009293</v>
      </c>
      <c r="T3114">
        <v>-4.9245120000000003E-2</v>
      </c>
      <c r="U3114">
        <v>-2.971222</v>
      </c>
      <c r="V3114">
        <v>7.2913240000000004E-2</v>
      </c>
      <c r="W3114">
        <v>0.1947661</v>
      </c>
      <c r="X3114">
        <v>0.97813589999999995</v>
      </c>
      <c r="Y3114">
        <v>0.28553719999999999</v>
      </c>
      <c r="Z3114">
        <v>5.9516589999999998E-3</v>
      </c>
      <c r="AA3114">
        <v>0.95834909999999995</v>
      </c>
      <c r="AB3114">
        <v>25</v>
      </c>
      <c r="AC3114">
        <v>-23.7318</v>
      </c>
      <c r="AD3114">
        <v>-1.1583810000000001</v>
      </c>
      <c r="AE3114">
        <v>-69.640100000000004</v>
      </c>
      <c r="AF3114">
        <v>21.0742888584209</v>
      </c>
      <c r="AG3114">
        <v>-1.1583810000000001</v>
      </c>
      <c r="AH3114">
        <v>70.470799008276302</v>
      </c>
      <c r="AI3114">
        <v>90.9022546370024</v>
      </c>
      <c r="AJ3114">
        <v>73.350708177664501</v>
      </c>
      <c r="AK3114">
        <v>73.563584811333101</v>
      </c>
      <c r="AL3114">
        <v>78.768939941786897</v>
      </c>
      <c r="AM3114">
        <v>85.736882026769507</v>
      </c>
      <c r="AN3114">
        <v>1.00000000657265</v>
      </c>
    </row>
    <row r="3115" spans="1:40" x14ac:dyDescent="0.25">
      <c r="A3115" t="str">
        <f>"20190304155432029"</f>
        <v>20190304155432029</v>
      </c>
      <c r="B3115" t="str">
        <f>"1551686072020062"</f>
        <v>1551686072020062</v>
      </c>
      <c r="C3115" t="s">
        <v>40</v>
      </c>
      <c r="D3115">
        <v>4.6611129999999896</v>
      </c>
      <c r="E3115">
        <v>0.58418939999999997</v>
      </c>
      <c r="F3115" t="s">
        <v>47</v>
      </c>
      <c r="G3115">
        <v>-210.1497</v>
      </c>
      <c r="H3115">
        <v>-0.05</v>
      </c>
      <c r="I3115">
        <v>104.1675</v>
      </c>
      <c r="J3115">
        <v>-186.1345</v>
      </c>
      <c r="K3115">
        <v>1.1082909999999999</v>
      </c>
      <c r="L3115">
        <v>173.3229</v>
      </c>
      <c r="M3115">
        <v>-4.0484289999999999E-2</v>
      </c>
      <c r="N3115">
        <v>-9.8798459999999994E-3</v>
      </c>
      <c r="O3115">
        <v>-0.9991314</v>
      </c>
      <c r="P3115">
        <v>-0.1125935</v>
      </c>
      <c r="Q3115">
        <v>0.1848504</v>
      </c>
      <c r="R3115">
        <v>-0.97629560000000004</v>
      </c>
      <c r="S3115">
        <v>-1.0269779999999999</v>
      </c>
      <c r="T3115">
        <v>-4.951096E-2</v>
      </c>
      <c r="U3115">
        <v>-2.9665680000000001</v>
      </c>
      <c r="V3115">
        <v>7.3832919999999996E-2</v>
      </c>
      <c r="W3115">
        <v>0.19420019999999999</v>
      </c>
      <c r="X3115">
        <v>0.97817949999999998</v>
      </c>
      <c r="Y3115">
        <v>0.28856749999999998</v>
      </c>
      <c r="Z3115">
        <v>6.0383169999999996E-3</v>
      </c>
      <c r="AA3115">
        <v>0.95744059999999998</v>
      </c>
      <c r="AB3115">
        <v>25</v>
      </c>
      <c r="AC3115">
        <v>-24.0152</v>
      </c>
      <c r="AD3115">
        <v>-1.158291</v>
      </c>
      <c r="AE3115">
        <v>-69.1554</v>
      </c>
      <c r="AF3115">
        <v>21.190361242464</v>
      </c>
      <c r="AG3115">
        <v>-1.158291</v>
      </c>
      <c r="AH3115">
        <v>70.053447465527299</v>
      </c>
      <c r="AI3115">
        <v>90.906698336623293</v>
      </c>
      <c r="AJ3115">
        <v>73.170038431512296</v>
      </c>
      <c r="AK3115">
        <v>73.197394416961302</v>
      </c>
      <c r="AL3115">
        <v>78.801995564747799</v>
      </c>
      <c r="AM3115">
        <v>85.6835035102755</v>
      </c>
      <c r="AN3115">
        <v>1.0000000759879999</v>
      </c>
    </row>
    <row r="3116" spans="1:40" x14ac:dyDescent="0.25">
      <c r="A3116" t="str">
        <f>"20190304155432052"</f>
        <v>20190304155432052</v>
      </c>
      <c r="B3116" t="str">
        <f>"1551686072040558"</f>
        <v>1551686072040558</v>
      </c>
      <c r="C3116" t="s">
        <v>40</v>
      </c>
      <c r="D3116">
        <v>4.6404800000000002</v>
      </c>
      <c r="E3116">
        <v>0.58452389999999999</v>
      </c>
      <c r="F3116" t="s">
        <v>47</v>
      </c>
      <c r="G3116">
        <v>-210.21719999999999</v>
      </c>
      <c r="H3116">
        <v>-0.05</v>
      </c>
      <c r="I3116">
        <v>104.7364</v>
      </c>
      <c r="J3116">
        <v>-186.14779999999999</v>
      </c>
      <c r="K3116">
        <v>1.108212</v>
      </c>
      <c r="L3116">
        <v>173.0703</v>
      </c>
      <c r="M3116">
        <v>-4.3263389999999999E-2</v>
      </c>
      <c r="N3116">
        <v>-9.8830849999999998E-3</v>
      </c>
      <c r="O3116">
        <v>-0.99901490000000004</v>
      </c>
      <c r="P3116">
        <v>-0.1159862</v>
      </c>
      <c r="Q3116">
        <v>0.18503130000000001</v>
      </c>
      <c r="R3116">
        <v>-0.97586399999999995</v>
      </c>
      <c r="S3116">
        <v>-1.0401609999999999</v>
      </c>
      <c r="T3116">
        <v>-5.0028089999999997E-2</v>
      </c>
      <c r="U3116">
        <v>-2.9623409999999999</v>
      </c>
      <c r="V3116">
        <v>7.4552720000000003E-2</v>
      </c>
      <c r="W3116">
        <v>0.1943657</v>
      </c>
      <c r="X3116">
        <v>0.97809199999999996</v>
      </c>
      <c r="Y3116">
        <v>0.29012389999999999</v>
      </c>
      <c r="Z3116">
        <v>6.2096510000000001E-3</v>
      </c>
      <c r="AA3116">
        <v>0.95696899999999996</v>
      </c>
      <c r="AB3116">
        <v>25</v>
      </c>
      <c r="AC3116">
        <v>-24.069400000000002</v>
      </c>
      <c r="AD3116">
        <v>-1.158212</v>
      </c>
      <c r="AE3116">
        <v>-68.3339</v>
      </c>
      <c r="AF3116">
        <v>21.084972635461501</v>
      </c>
      <c r="AG3116">
        <v>-1.158212</v>
      </c>
      <c r="AH3116">
        <v>69.293578004155293</v>
      </c>
      <c r="AI3116">
        <v>90.916119760858805</v>
      </c>
      <c r="AJ3116">
        <v>73.075799472611294</v>
      </c>
      <c r="AK3116">
        <v>72.439750680776498</v>
      </c>
      <c r="AL3116">
        <v>78.792328591326296</v>
      </c>
      <c r="AM3116">
        <v>85.641194787714099</v>
      </c>
      <c r="AN3116">
        <v>1.0000000469299399</v>
      </c>
    </row>
    <row r="3117" spans="1:40" x14ac:dyDescent="0.25">
      <c r="A3117" t="str">
        <f>"20190304155432075"</f>
        <v>20190304155432075</v>
      </c>
      <c r="B3117" t="str">
        <f>"1551686072069838"</f>
        <v>1551686072069838</v>
      </c>
      <c r="C3117" t="s">
        <v>40</v>
      </c>
      <c r="D3117">
        <v>4.6210570000000004</v>
      </c>
      <c r="E3117">
        <v>0.58490059999999999</v>
      </c>
      <c r="F3117" t="s">
        <v>47</v>
      </c>
      <c r="G3117">
        <v>-210.6412</v>
      </c>
      <c r="H3117">
        <v>-0.05</v>
      </c>
      <c r="I3117">
        <v>104.2728</v>
      </c>
      <c r="J3117">
        <v>-186.16220000000001</v>
      </c>
      <c r="K3117">
        <v>1.108136</v>
      </c>
      <c r="L3117">
        <v>172.81180000000001</v>
      </c>
      <c r="M3117">
        <v>-4.622308E-2</v>
      </c>
      <c r="N3117">
        <v>-9.8874770000000004E-3</v>
      </c>
      <c r="O3117">
        <v>-0.99888239999999995</v>
      </c>
      <c r="P3117">
        <v>-0.1196917</v>
      </c>
      <c r="Q3117">
        <v>0.18467890000000001</v>
      </c>
      <c r="R3117">
        <v>-0.97548369999999995</v>
      </c>
      <c r="S3117">
        <v>-1.0532680000000001</v>
      </c>
      <c r="T3117">
        <v>-4.9805519999999999E-2</v>
      </c>
      <c r="U3117">
        <v>-2.9584350000000001</v>
      </c>
      <c r="V3117">
        <v>7.5403349999999994E-2</v>
      </c>
      <c r="W3117">
        <v>0.19400000000000001</v>
      </c>
      <c r="X3117">
        <v>0.9780993</v>
      </c>
      <c r="Y3117">
        <v>0.29145130000000002</v>
      </c>
      <c r="Z3117">
        <v>6.1418999999999996E-3</v>
      </c>
      <c r="AA3117">
        <v>0.95656600000000003</v>
      </c>
      <c r="AB3117">
        <v>25</v>
      </c>
      <c r="AC3117">
        <v>-24.4789999999999</v>
      </c>
      <c r="AD3117">
        <v>-1.1581360000000001</v>
      </c>
      <c r="AE3117">
        <v>-68.539000000000001</v>
      </c>
      <c r="AF3117">
        <v>21.279206540668302</v>
      </c>
      <c r="AG3117">
        <v>-1.1581360000000001</v>
      </c>
      <c r="AH3117">
        <v>69.5796650724714</v>
      </c>
      <c r="AI3117">
        <v>90.911901729750795</v>
      </c>
      <c r="AJ3117">
        <v>72.995053902151795</v>
      </c>
      <c r="AK3117">
        <v>72.7700192496348</v>
      </c>
      <c r="AL3117">
        <v>78.813687165100305</v>
      </c>
      <c r="AM3117">
        <v>85.591689499914693</v>
      </c>
      <c r="AN3117">
        <v>0.99999995292585497</v>
      </c>
    </row>
    <row r="3118" spans="1:40" x14ac:dyDescent="0.25">
      <c r="A3118" t="str">
        <f>"20190304155432097"</f>
        <v>20190304155432097</v>
      </c>
      <c r="B3118" t="str">
        <f>"1551686072090334"</f>
        <v>1551686072090334</v>
      </c>
      <c r="C3118" t="s">
        <v>40</v>
      </c>
      <c r="D3118">
        <v>4.6475390000000001</v>
      </c>
      <c r="E3118">
        <v>0.58502100000000001</v>
      </c>
      <c r="F3118" t="s">
        <v>47</v>
      </c>
      <c r="G3118">
        <v>-210.36359999999999</v>
      </c>
      <c r="H3118">
        <v>-0.05</v>
      </c>
      <c r="I3118">
        <v>105.8126</v>
      </c>
      <c r="J3118">
        <v>-186.17660000000001</v>
      </c>
      <c r="K3118">
        <v>1.1080570000000001</v>
      </c>
      <c r="L3118">
        <v>172.56720000000001</v>
      </c>
      <c r="M3118">
        <v>-4.911973E-2</v>
      </c>
      <c r="N3118">
        <v>-9.8923090000000002E-3</v>
      </c>
      <c r="O3118">
        <v>-0.99874399999999997</v>
      </c>
      <c r="P3118">
        <v>-0.1230945</v>
      </c>
      <c r="Q3118">
        <v>0.18326600000000001</v>
      </c>
      <c r="R3118">
        <v>-0.97532649999999999</v>
      </c>
      <c r="S3118">
        <v>-1.0670930000000001</v>
      </c>
      <c r="T3118">
        <v>-5.1064610000000003E-2</v>
      </c>
      <c r="U3118">
        <v>-2.954132</v>
      </c>
      <c r="V3118">
        <v>7.5995579999999993E-2</v>
      </c>
      <c r="W3118">
        <v>0.19257769999999999</v>
      </c>
      <c r="X3118">
        <v>0.9783345</v>
      </c>
      <c r="Y3118">
        <v>0.29308089999999998</v>
      </c>
      <c r="Z3118">
        <v>6.5485860000000003E-3</v>
      </c>
      <c r="AA3118">
        <v>0.95606519999999995</v>
      </c>
      <c r="AB3118">
        <v>25</v>
      </c>
      <c r="AC3118">
        <v>-24.186999999999902</v>
      </c>
      <c r="AD3118">
        <v>-1.1580569999999999</v>
      </c>
      <c r="AE3118">
        <v>-66.754599999999996</v>
      </c>
      <c r="AF3118">
        <v>20.8731200524477</v>
      </c>
      <c r="AG3118">
        <v>-1.1580569999999999</v>
      </c>
      <c r="AH3118">
        <v>67.844081004407002</v>
      </c>
      <c r="AI3118">
        <v>90.934680389229499</v>
      </c>
      <c r="AJ3118">
        <v>72.898799962179993</v>
      </c>
      <c r="AK3118">
        <v>70.991883790132505</v>
      </c>
      <c r="AL3118">
        <v>78.896745208395998</v>
      </c>
      <c r="AM3118">
        <v>85.558267817332194</v>
      </c>
      <c r="AN3118">
        <v>0.99999994630353595</v>
      </c>
    </row>
    <row r="3119" spans="1:40" x14ac:dyDescent="0.25">
      <c r="A3119" t="str">
        <f>"20190304155432121"</f>
        <v>20190304155432121</v>
      </c>
      <c r="B3119" t="str">
        <f>"1551686072109854"</f>
        <v>1551686072109854</v>
      </c>
      <c r="C3119" t="s">
        <v>40</v>
      </c>
      <c r="D3119">
        <v>4.7168349999999997</v>
      </c>
      <c r="E3119">
        <v>0.58478719999999995</v>
      </c>
      <c r="F3119" t="s">
        <v>47</v>
      </c>
      <c r="G3119">
        <v>-209.05799999999999</v>
      </c>
      <c r="H3119">
        <v>-0.05</v>
      </c>
      <c r="I3119">
        <v>110.0137</v>
      </c>
      <c r="J3119">
        <v>-186.19329999999999</v>
      </c>
      <c r="K3119">
        <v>1.1079680000000001</v>
      </c>
      <c r="L3119">
        <v>172.29920000000001</v>
      </c>
      <c r="M3119">
        <v>-5.2388869999999997E-2</v>
      </c>
      <c r="N3119">
        <v>-9.8979480000000002E-3</v>
      </c>
      <c r="O3119">
        <v>-0.99857799999999997</v>
      </c>
      <c r="P3119">
        <v>-0.12704289999999999</v>
      </c>
      <c r="Q3119">
        <v>0.18232300000000001</v>
      </c>
      <c r="R3119">
        <v>-0.97499720000000001</v>
      </c>
      <c r="S3119">
        <v>-1.079056</v>
      </c>
      <c r="T3119">
        <v>-5.4612399999999998E-2</v>
      </c>
      <c r="U3119">
        <v>-2.9499360000000001</v>
      </c>
      <c r="V3119">
        <v>7.6779490000000006E-2</v>
      </c>
      <c r="W3119">
        <v>0.1916226</v>
      </c>
      <c r="X3119">
        <v>0.97846080000000002</v>
      </c>
      <c r="Y3119">
        <v>0.29380509999999999</v>
      </c>
      <c r="Z3119">
        <v>7.6910059999999898E-3</v>
      </c>
      <c r="AA3119">
        <v>0.95583439999999997</v>
      </c>
      <c r="AB3119">
        <v>25</v>
      </c>
      <c r="AC3119">
        <v>-22.864699999999999</v>
      </c>
      <c r="AD3119">
        <v>-1.1579680000000001</v>
      </c>
      <c r="AE3119">
        <v>-62.285499999999999</v>
      </c>
      <c r="AF3119">
        <v>19.564113332089601</v>
      </c>
      <c r="AG3119">
        <v>-1.1579680000000001</v>
      </c>
      <c r="AH3119">
        <v>63.378568387576102</v>
      </c>
      <c r="AI3119">
        <v>91.000157979158899</v>
      </c>
      <c r="AJ3119">
        <v>72.845245062102904</v>
      </c>
      <c r="AK3119">
        <v>66.339568518483304</v>
      </c>
      <c r="AL3119">
        <v>78.952506708000897</v>
      </c>
      <c r="AM3119">
        <v>85.513213484295505</v>
      </c>
      <c r="AN3119">
        <v>0.999999924026027</v>
      </c>
    </row>
    <row r="3120" spans="1:40" x14ac:dyDescent="0.25">
      <c r="A3120" t="str">
        <f>"20190304155432142"</f>
        <v>20190304155432142</v>
      </c>
      <c r="B3120" t="str">
        <f>"1551686072130350"</f>
        <v>1551686072130350</v>
      </c>
      <c r="C3120" t="s">
        <v>40</v>
      </c>
      <c r="D3120">
        <v>4.6885379999999897</v>
      </c>
      <c r="E3120">
        <v>0.58443059999999902</v>
      </c>
      <c r="F3120" t="s">
        <v>47</v>
      </c>
      <c r="G3120">
        <v>-207.5659</v>
      </c>
      <c r="H3120">
        <v>-0.05</v>
      </c>
      <c r="I3120">
        <v>114.49209999999999</v>
      </c>
      <c r="J3120">
        <v>-186.20910000000001</v>
      </c>
      <c r="K3120">
        <v>1.1078950000000001</v>
      </c>
      <c r="L3120">
        <v>172.0609</v>
      </c>
      <c r="M3120">
        <v>-5.538291E-2</v>
      </c>
      <c r="N3120">
        <v>-9.9031399999999995E-3</v>
      </c>
      <c r="O3120">
        <v>-0.99841619999999998</v>
      </c>
      <c r="P3120">
        <v>-0.13167789999999999</v>
      </c>
      <c r="Q3120">
        <v>0.1809801</v>
      </c>
      <c r="R3120">
        <v>-0.9746319</v>
      </c>
      <c r="S3120">
        <v>-1.089218</v>
      </c>
      <c r="T3120">
        <v>-5.9013959999999997E-2</v>
      </c>
      <c r="U3120">
        <v>-2.9460449999999998</v>
      </c>
      <c r="V3120">
        <v>7.8512299999999993E-2</v>
      </c>
      <c r="W3120">
        <v>0.1902643</v>
      </c>
      <c r="X3120">
        <v>0.97858849999999997</v>
      </c>
      <c r="Y3120">
        <v>0.2942439</v>
      </c>
      <c r="Z3120">
        <v>9.1084559999999992E-3</v>
      </c>
      <c r="AA3120">
        <v>0.95568699999999995</v>
      </c>
      <c r="AB3120">
        <v>25</v>
      </c>
      <c r="AC3120">
        <v>-21.3568</v>
      </c>
      <c r="AD3120">
        <v>-1.1578949999999999</v>
      </c>
      <c r="AE3120">
        <v>-57.568800000000003</v>
      </c>
      <c r="AF3120">
        <v>18.129087756923301</v>
      </c>
      <c r="AG3120">
        <v>-1.1578949999999999</v>
      </c>
      <c r="AH3120">
        <v>58.642440303357702</v>
      </c>
      <c r="AI3120">
        <v>91.080706916424404</v>
      </c>
      <c r="AJ3120">
        <v>72.821204596867503</v>
      </c>
      <c r="AK3120">
        <v>61.391696087191796</v>
      </c>
      <c r="AL3120">
        <v>79.031791921077797</v>
      </c>
      <c r="AM3120">
        <v>85.412976338769099</v>
      </c>
      <c r="AN3120">
        <v>1.00000006871901</v>
      </c>
    </row>
    <row r="3121" spans="1:40" x14ac:dyDescent="0.25">
      <c r="A3121" t="str">
        <f>"20190304155432163"</f>
        <v>20190304155432163</v>
      </c>
      <c r="B3121" t="str">
        <f>"1551686072160606"</f>
        <v>1551686072160606</v>
      </c>
      <c r="C3121" t="s">
        <v>40</v>
      </c>
      <c r="D3121">
        <v>4.9853899999999998</v>
      </c>
      <c r="E3121">
        <v>0.62843340000000003</v>
      </c>
      <c r="F3121" t="s">
        <v>62</v>
      </c>
      <c r="G3121">
        <v>-203.71539999999999</v>
      </c>
      <c r="H3121">
        <v>7.9988169999999997E-2</v>
      </c>
      <c r="I3121">
        <v>125.2439</v>
      </c>
      <c r="J3121">
        <v>-186.22620000000001</v>
      </c>
      <c r="K3121">
        <v>1.1078239999999999</v>
      </c>
      <c r="L3121">
        <v>171.81630000000001</v>
      </c>
      <c r="M3121">
        <v>-5.8542339999999998E-2</v>
      </c>
      <c r="N3121">
        <v>-9.9087310000000005E-3</v>
      </c>
      <c r="O3121">
        <v>-0.99823580000000001</v>
      </c>
      <c r="P3121">
        <v>-0.13607379999999999</v>
      </c>
      <c r="Q3121">
        <v>0.17944849999999901</v>
      </c>
      <c r="R3121">
        <v>-0.97431120000000004</v>
      </c>
      <c r="S3121">
        <v>-1.099899</v>
      </c>
      <c r="T3121">
        <v>-6.4582109999999998E-2</v>
      </c>
      <c r="U3121">
        <v>-2.941452</v>
      </c>
      <c r="V3121">
        <v>7.9838220000000001E-2</v>
      </c>
      <c r="W3121">
        <v>0.18871969999999999</v>
      </c>
      <c r="X3121">
        <v>0.97878019999999999</v>
      </c>
      <c r="Y3121">
        <v>0.2947439</v>
      </c>
      <c r="Z3121">
        <v>1.090384E-2</v>
      </c>
      <c r="AA3121">
        <v>0.95551410000000003</v>
      </c>
      <c r="AB3121">
        <v>25</v>
      </c>
      <c r="AC3121">
        <v>-17.489199999999901</v>
      </c>
      <c r="AD3121">
        <v>-1.0278358299999999</v>
      </c>
      <c r="AE3121">
        <v>-46.572400000000002</v>
      </c>
      <c r="AF3121">
        <v>14.7263245551895</v>
      </c>
      <c r="AG3121">
        <v>-1.0278358299999999</v>
      </c>
      <c r="AH3121">
        <v>47.496151240266101</v>
      </c>
      <c r="AI3121">
        <v>91.184116762652394</v>
      </c>
      <c r="AJ3121">
        <v>72.773793000748796</v>
      </c>
      <c r="AK3121">
        <v>49.7373648682401</v>
      </c>
      <c r="AL3121">
        <v>79.121922923189999</v>
      </c>
      <c r="AM3121">
        <v>85.3367588653295</v>
      </c>
      <c r="AN3121">
        <v>0.99999997322644796</v>
      </c>
    </row>
    <row r="3122" spans="1:40" x14ac:dyDescent="0.25">
      <c r="A3122" t="str">
        <f>"20190304155432554"</f>
        <v>20190304155432554</v>
      </c>
      <c r="B3122" t="str">
        <f>"1551686072550035"</f>
        <v>1551686072550035</v>
      </c>
      <c r="C3122" t="s">
        <v>40</v>
      </c>
      <c r="D3122">
        <v>4.518059</v>
      </c>
      <c r="E3122">
        <v>0.73597609999999902</v>
      </c>
      <c r="F3122" t="s">
        <v>59</v>
      </c>
      <c r="G3122">
        <v>-215.98269999999999</v>
      </c>
      <c r="H3122">
        <v>1.3421240000000001</v>
      </c>
      <c r="I3122">
        <v>113.0643</v>
      </c>
      <c r="J3122">
        <v>-186.71549999999999</v>
      </c>
      <c r="K3122">
        <v>1.1062590000000001</v>
      </c>
      <c r="L3122">
        <v>167.3306</v>
      </c>
      <c r="M3122">
        <v>-0.1328656</v>
      </c>
      <c r="N3122">
        <v>-1.008597E-2</v>
      </c>
      <c r="O3122">
        <v>-0.99108289999999999</v>
      </c>
      <c r="P3122">
        <v>-0.2482453</v>
      </c>
      <c r="Q3122">
        <v>0.17790839999999999</v>
      </c>
      <c r="R3122">
        <v>-0.95222019999999996</v>
      </c>
      <c r="S3122">
        <v>-1.4554750000000001</v>
      </c>
      <c r="T3122">
        <v>1.1461499999999999E-2</v>
      </c>
      <c r="U3122">
        <v>-2.8737180000000002</v>
      </c>
      <c r="V3122">
        <v>0.12125379999999999</v>
      </c>
      <c r="W3122">
        <v>0.186636</v>
      </c>
      <c r="X3122">
        <v>0.9749177</v>
      </c>
      <c r="Y3122">
        <v>0.32923740000000001</v>
      </c>
      <c r="Z3122">
        <v>-1.337586E-2</v>
      </c>
      <c r="AA3122">
        <v>0.9441524</v>
      </c>
      <c r="AB3122">
        <v>26</v>
      </c>
      <c r="AC3122">
        <v>-29.267199999999999</v>
      </c>
      <c r="AD3122">
        <v>0.23586499999999899</v>
      </c>
      <c r="AE3122">
        <v>-54.266300000000001</v>
      </c>
      <c r="AF3122">
        <v>21.796883289763901</v>
      </c>
      <c r="AG3122">
        <v>0.23586499999999899</v>
      </c>
      <c r="AH3122">
        <v>57.673086688926098</v>
      </c>
      <c r="AI3122">
        <v>89.780811094916402</v>
      </c>
      <c r="AJ3122">
        <v>69.296488112729193</v>
      </c>
      <c r="AK3122">
        <v>61.655045873587703</v>
      </c>
      <c r="AL3122">
        <v>79.243470284731899</v>
      </c>
      <c r="AM3122">
        <v>82.910337259448895</v>
      </c>
      <c r="AN3122">
        <v>1.0000000011418599</v>
      </c>
    </row>
    <row r="3123" spans="1:40" x14ac:dyDescent="0.25">
      <c r="A3123" t="str">
        <f>"20190304155432577"</f>
        <v>20190304155432577</v>
      </c>
      <c r="B3123" t="str">
        <f>"1551686072570062"</f>
        <v>1551686072570062</v>
      </c>
      <c r="C3123" t="s">
        <v>40</v>
      </c>
      <c r="D3123">
        <v>4.4915859999999999</v>
      </c>
      <c r="E3123">
        <v>0.73443419999999904</v>
      </c>
      <c r="F3123" t="s">
        <v>55</v>
      </c>
      <c r="G3123">
        <v>-237.8134</v>
      </c>
      <c r="H3123">
        <v>5.0805339999999903</v>
      </c>
      <c r="I3123">
        <v>119.3841</v>
      </c>
      <c r="J3123">
        <v>-186.75749999999999</v>
      </c>
      <c r="K3123">
        <v>1.1061049999999999</v>
      </c>
      <c r="L3123">
        <v>167.0641</v>
      </c>
      <c r="M3123">
        <v>-0.13866429999999999</v>
      </c>
      <c r="N3123">
        <v>-1.0105039999999999E-2</v>
      </c>
      <c r="O3123">
        <v>-0.99028780000000005</v>
      </c>
      <c r="P3123">
        <v>-0.25520520000000002</v>
      </c>
      <c r="Q3123">
        <v>0.1779799</v>
      </c>
      <c r="R3123">
        <v>-0.95036480000000001</v>
      </c>
      <c r="S3123">
        <v>-2.5961150000000002</v>
      </c>
      <c r="T3123">
        <v>0.20191980000000001</v>
      </c>
      <c r="U3123">
        <v>-2.4360050000000002</v>
      </c>
      <c r="V3123">
        <v>0.1227549</v>
      </c>
      <c r="W3123">
        <v>0.18666550000000001</v>
      </c>
      <c r="X3123">
        <v>0.97472420000000004</v>
      </c>
      <c r="Y3123">
        <v>0.62572550000000005</v>
      </c>
      <c r="Z3123">
        <v>-6.8341170000000007E-2</v>
      </c>
      <c r="AA3123">
        <v>0.77704379999999995</v>
      </c>
      <c r="AB3123">
        <v>26</v>
      </c>
      <c r="AC3123">
        <v>-51.055900000000001</v>
      </c>
      <c r="AD3123">
        <v>3.97442899999999</v>
      </c>
      <c r="AE3123">
        <v>-47.6799999999999</v>
      </c>
      <c r="AF3123">
        <v>43.808966046100203</v>
      </c>
      <c r="AG3123">
        <v>3.97442899999999</v>
      </c>
      <c r="AH3123">
        <v>54.124138571860101</v>
      </c>
      <c r="AI3123">
        <v>86.733248514226901</v>
      </c>
      <c r="AJ3123">
        <v>51.0127234952637</v>
      </c>
      <c r="AK3123">
        <v>69.745565938275305</v>
      </c>
      <c r="AL3123">
        <v>79.241750032078897</v>
      </c>
      <c r="AM3123">
        <v>82.822068312220097</v>
      </c>
      <c r="AN3123">
        <v>1.0000000202149499</v>
      </c>
    </row>
    <row r="3124" spans="1:40" x14ac:dyDescent="0.25">
      <c r="A3124" t="str">
        <f>"20190304155432600"</f>
        <v>20190304155432600</v>
      </c>
      <c r="B3124" t="str">
        <f>"1551686072590558"</f>
        <v>1551686072590558</v>
      </c>
      <c r="C3124" t="s">
        <v>40</v>
      </c>
      <c r="D3124">
        <v>4.5123949999999997</v>
      </c>
      <c r="E3124">
        <v>0.73830039999999997</v>
      </c>
      <c r="F3124" t="s">
        <v>55</v>
      </c>
      <c r="G3124">
        <v>-238.0172</v>
      </c>
      <c r="H3124">
        <v>4.9824029999999997</v>
      </c>
      <c r="I3124">
        <v>119.3841</v>
      </c>
      <c r="J3124">
        <v>-186.8</v>
      </c>
      <c r="K3124">
        <v>1.105931</v>
      </c>
      <c r="L3124">
        <v>166.8057</v>
      </c>
      <c r="M3124">
        <v>-0.14449809999999999</v>
      </c>
      <c r="N3124">
        <v>-1.0125520000000001E-2</v>
      </c>
      <c r="O3124">
        <v>-0.98945320000000003</v>
      </c>
      <c r="P3124">
        <v>-0.2624802</v>
      </c>
      <c r="Q3124">
        <v>0.17805609999999999</v>
      </c>
      <c r="R3124">
        <v>-0.94836690000000001</v>
      </c>
      <c r="S3124">
        <v>-2.602646</v>
      </c>
      <c r="T3124">
        <v>0.19681470000000001</v>
      </c>
      <c r="U3124">
        <v>-2.4208980000000002</v>
      </c>
      <c r="V3124">
        <v>0.1245609</v>
      </c>
      <c r="W3124">
        <v>0.18669259999999999</v>
      </c>
      <c r="X3124">
        <v>0.97448979999999996</v>
      </c>
      <c r="Y3124">
        <v>0.62458269999999905</v>
      </c>
      <c r="Z3124">
        <v>-6.6999959999999997E-2</v>
      </c>
      <c r="AA3124">
        <v>0.77807939999999998</v>
      </c>
      <c r="AB3124">
        <v>26</v>
      </c>
      <c r="AC3124">
        <v>-51.217199999999899</v>
      </c>
      <c r="AD3124">
        <v>3.8764720000000001</v>
      </c>
      <c r="AE3124">
        <v>-47.421599999999998</v>
      </c>
      <c r="AF3124">
        <v>43.692178683218501</v>
      </c>
      <c r="AG3124">
        <v>3.8764720000000001</v>
      </c>
      <c r="AH3124">
        <v>54.157987875656403</v>
      </c>
      <c r="AI3124">
        <v>86.811444304202396</v>
      </c>
      <c r="AJ3124">
        <v>51.105003711530003</v>
      </c>
      <c r="AK3124">
        <v>69.693049610365193</v>
      </c>
      <c r="AL3124">
        <v>79.2401688500115</v>
      </c>
      <c r="AM3124">
        <v>82.715857556320998</v>
      </c>
      <c r="AN3124">
        <v>0.99999995750380399</v>
      </c>
    </row>
    <row r="3125" spans="1:40" x14ac:dyDescent="0.25">
      <c r="A3125" t="str">
        <f>"20190304155432644"</f>
        <v>20190304155432644</v>
      </c>
      <c r="B3125" t="str">
        <f>"1551686072640334"</f>
        <v>1551686072640334</v>
      </c>
      <c r="C3125" t="s">
        <v>40</v>
      </c>
      <c r="D3125">
        <v>4.9011800000000001</v>
      </c>
      <c r="E3125">
        <v>0.7265431</v>
      </c>
      <c r="F3125" t="s">
        <v>55</v>
      </c>
      <c r="G3125">
        <v>-239.34049999999999</v>
      </c>
      <c r="H3125">
        <v>4.9086259999999999</v>
      </c>
      <c r="I3125">
        <v>119.3841</v>
      </c>
      <c r="J3125">
        <v>-186.88910000000001</v>
      </c>
      <c r="K3125">
        <v>1.1055680000000001</v>
      </c>
      <c r="L3125">
        <v>166.29810000000001</v>
      </c>
      <c r="M3125">
        <v>-0.15664459999999999</v>
      </c>
      <c r="N3125">
        <v>-1.017039E-2</v>
      </c>
      <c r="O3125">
        <v>-0.98760269999999994</v>
      </c>
      <c r="P3125">
        <v>-0.27696079999999901</v>
      </c>
      <c r="Q3125">
        <v>0.17827809999999999</v>
      </c>
      <c r="R3125">
        <v>-0.94419799999999998</v>
      </c>
      <c r="S3125">
        <v>-2.6517179999999998</v>
      </c>
      <c r="T3125">
        <v>0.19192229999999999</v>
      </c>
      <c r="U3125">
        <v>-2.3933719999999998</v>
      </c>
      <c r="V3125">
        <v>0.1276737</v>
      </c>
      <c r="W3125">
        <v>0.18681400000000001</v>
      </c>
      <c r="X3125">
        <v>0.97406360000000003</v>
      </c>
      <c r="Y3125">
        <v>0.62674399999999997</v>
      </c>
      <c r="Z3125">
        <v>-6.542038E-2</v>
      </c>
      <c r="AA3125">
        <v>0.776474199999999</v>
      </c>
      <c r="AB3125">
        <v>26</v>
      </c>
      <c r="AC3125">
        <v>-52.4513999999999</v>
      </c>
      <c r="AD3125">
        <v>3.803058</v>
      </c>
      <c r="AE3125">
        <v>-46.913999999999902</v>
      </c>
      <c r="AF3125">
        <v>44.325159242402201</v>
      </c>
      <c r="AG3125">
        <v>3.803058</v>
      </c>
      <c r="AH3125">
        <v>54.392579918419599</v>
      </c>
      <c r="AI3125">
        <v>86.897556331382106</v>
      </c>
      <c r="AJ3125">
        <v>50.823000031972903</v>
      </c>
      <c r="AK3125">
        <v>70.269024058950293</v>
      </c>
      <c r="AL3125">
        <v>79.233088719937896</v>
      </c>
      <c r="AM3125">
        <v>82.532624394907799</v>
      </c>
      <c r="AN3125">
        <v>0.99999997055632395</v>
      </c>
    </row>
    <row r="3126" spans="1:40" x14ac:dyDescent="0.25">
      <c r="A3126" t="str">
        <f>"20190304155432665"</f>
        <v>20190304155432665</v>
      </c>
      <c r="B3126" t="str">
        <f>"1551686072659854"</f>
        <v>1551686072659854</v>
      </c>
      <c r="C3126" t="s">
        <v>40</v>
      </c>
      <c r="D3126">
        <v>4.9004459999999996</v>
      </c>
      <c r="E3126">
        <v>0.71807299999999996</v>
      </c>
      <c r="F3126" t="s">
        <v>55</v>
      </c>
      <c r="G3126">
        <v>-238.09379999999999</v>
      </c>
      <c r="H3126">
        <v>4.3565930000000002</v>
      </c>
      <c r="I3126">
        <v>119.3841</v>
      </c>
      <c r="J3126">
        <v>-186.93709999999999</v>
      </c>
      <c r="K3126">
        <v>1.1053809999999999</v>
      </c>
      <c r="L3126">
        <v>166.04079999999999</v>
      </c>
      <c r="M3126">
        <v>-0.163164</v>
      </c>
      <c r="N3126">
        <v>-1.019522E-2</v>
      </c>
      <c r="O3126">
        <v>-0.98654649999999999</v>
      </c>
      <c r="P3126">
        <v>-0.28432380000000002</v>
      </c>
      <c r="Q3126">
        <v>0.17859050000000001</v>
      </c>
      <c r="R3126">
        <v>-0.94194800000000001</v>
      </c>
      <c r="S3126">
        <v>-2.601089</v>
      </c>
      <c r="T3126">
        <v>0.16514589999999901</v>
      </c>
      <c r="U3126">
        <v>-2.3831329999999999</v>
      </c>
      <c r="V3126">
        <v>0.12894269999999999</v>
      </c>
      <c r="W3126">
        <v>0.18707860000000001</v>
      </c>
      <c r="X3126">
        <v>0.97384570000000004</v>
      </c>
      <c r="Y3126">
        <v>0.61605529999999997</v>
      </c>
      <c r="Z3126">
        <v>-5.8240279999999998E-2</v>
      </c>
      <c r="AA3126">
        <v>0.785547</v>
      </c>
      <c r="AB3126">
        <v>26</v>
      </c>
      <c r="AC3126">
        <v>-51.156700000000001</v>
      </c>
      <c r="AD3126">
        <v>3.25121199999999</v>
      </c>
      <c r="AE3126">
        <v>-46.656700000000001</v>
      </c>
      <c r="AF3126">
        <v>42.763694459972797</v>
      </c>
      <c r="AG3126">
        <v>3.25121199999999</v>
      </c>
      <c r="AH3126">
        <v>54.259109876160203</v>
      </c>
      <c r="AI3126">
        <v>87.305602297542507</v>
      </c>
      <c r="AJ3126">
        <v>51.756994166369999</v>
      </c>
      <c r="AK3126">
        <v>69.161802665113399</v>
      </c>
      <c r="AL3126">
        <v>79.217656885069701</v>
      </c>
      <c r="AM3126">
        <v>82.457585312619301</v>
      </c>
      <c r="AN3126">
        <v>1.0000000349348599</v>
      </c>
    </row>
    <row r="3127" spans="1:40" x14ac:dyDescent="0.25">
      <c r="A3127" t="str">
        <f>"20190304155432689"</f>
        <v>20190304155432689</v>
      </c>
      <c r="B3127" t="str">
        <f>"1551686072680349"</f>
        <v>1551686072680349</v>
      </c>
      <c r="C3127" t="s">
        <v>40</v>
      </c>
      <c r="D3127">
        <v>4.918844</v>
      </c>
      <c r="E3127">
        <v>0.71689590000000003</v>
      </c>
      <c r="F3127" t="s">
        <v>55</v>
      </c>
      <c r="G3127">
        <v>-236.7259</v>
      </c>
      <c r="H3127">
        <v>3.988858</v>
      </c>
      <c r="I3127">
        <v>119.5971</v>
      </c>
      <c r="J3127">
        <v>-186.98939999999999</v>
      </c>
      <c r="K3127">
        <v>1.105221</v>
      </c>
      <c r="L3127">
        <v>165.77180000000001</v>
      </c>
      <c r="M3127">
        <v>-0.17019709999999999</v>
      </c>
      <c r="N3127">
        <v>-1.022062E-2</v>
      </c>
      <c r="O3127">
        <v>-0.98535700000000004</v>
      </c>
      <c r="P3127">
        <v>-0.29241719999999999</v>
      </c>
      <c r="Q3127">
        <v>0.17882379999999901</v>
      </c>
      <c r="R3127">
        <v>-0.93942239999999999</v>
      </c>
      <c r="S3127">
        <v>-2.5568080000000002</v>
      </c>
      <c r="T3127">
        <v>0.1480757</v>
      </c>
      <c r="U3127">
        <v>-2.3850250000000002</v>
      </c>
      <c r="V3127">
        <v>0.130465</v>
      </c>
      <c r="W3127">
        <v>0.18726409999999999</v>
      </c>
      <c r="X3127">
        <v>0.97360720000000001</v>
      </c>
      <c r="Y3127">
        <v>0.6035045</v>
      </c>
      <c r="Z3127">
        <v>-5.3591189999999997E-2</v>
      </c>
      <c r="AA3127">
        <v>0.79555659999999995</v>
      </c>
      <c r="AB3127">
        <v>26</v>
      </c>
      <c r="AC3127">
        <v>-49.736499999999999</v>
      </c>
      <c r="AD3127">
        <v>2.8836369999999998</v>
      </c>
      <c r="AE3127">
        <v>-46.174700000000001</v>
      </c>
      <c r="AF3127">
        <v>41.077398003918901</v>
      </c>
      <c r="AG3127">
        <v>2.8836369999999998</v>
      </c>
      <c r="AH3127">
        <v>53.8691370863191</v>
      </c>
      <c r="AI3127">
        <v>87.562577016783806</v>
      </c>
      <c r="AJ3127">
        <v>52.673012681124803</v>
      </c>
      <c r="AK3127">
        <v>67.805249940876806</v>
      </c>
      <c r="AL3127">
        <v>79.206836593694305</v>
      </c>
      <c r="AM3127">
        <v>82.367735395247195</v>
      </c>
      <c r="AN3127">
        <v>0.999999969632824</v>
      </c>
    </row>
    <row r="3128" spans="1:40" x14ac:dyDescent="0.25">
      <c r="A3128" t="str">
        <f>"20190304155432713"</f>
        <v>20190304155432713</v>
      </c>
      <c r="B3128" t="str">
        <f>"1551686072710606"</f>
        <v>1551686072710606</v>
      </c>
      <c r="C3128" t="s">
        <v>40</v>
      </c>
      <c r="D3128">
        <v>4.9325130000000001</v>
      </c>
      <c r="E3128">
        <v>0.70854209999999995</v>
      </c>
      <c r="F3128" t="s">
        <v>55</v>
      </c>
      <c r="G3128">
        <v>-237.35509999999999</v>
      </c>
      <c r="H3128">
        <v>3.9926889999999999</v>
      </c>
      <c r="I3128">
        <v>119.3841</v>
      </c>
      <c r="J3128">
        <v>-187.04499999999999</v>
      </c>
      <c r="K3128">
        <v>1.105064</v>
      </c>
      <c r="L3128">
        <v>165.49799999999999</v>
      </c>
      <c r="M3128">
        <v>-0.17758309999999999</v>
      </c>
      <c r="N3128">
        <v>-1.0245550000000001E-2</v>
      </c>
      <c r="O3128">
        <v>-0.9840525</v>
      </c>
      <c r="P3128">
        <v>-0.30016090000000001</v>
      </c>
      <c r="Q3128">
        <v>0.1791237</v>
      </c>
      <c r="R3128">
        <v>-0.93691959999999996</v>
      </c>
      <c r="S3128">
        <v>-2.5687410000000002</v>
      </c>
      <c r="T3128">
        <v>0.14726639999999999</v>
      </c>
      <c r="U3128">
        <v>-2.3658600000000001</v>
      </c>
      <c r="V3128">
        <v>0.13128719999999999</v>
      </c>
      <c r="W3128">
        <v>0.18752640000000001</v>
      </c>
      <c r="X3128">
        <v>0.97344620000000004</v>
      </c>
      <c r="Y3128">
        <v>0.60258080000000003</v>
      </c>
      <c r="Z3128">
        <v>-5.3434629999999997E-2</v>
      </c>
      <c r="AA3128">
        <v>0.79626699999999995</v>
      </c>
      <c r="AB3128">
        <v>26</v>
      </c>
      <c r="AC3128">
        <v>-50.310099999999998</v>
      </c>
      <c r="AD3128">
        <v>2.8876249999999999</v>
      </c>
      <c r="AE3128">
        <v>-46.113900000000001</v>
      </c>
      <c r="AF3128">
        <v>41.247054568966703</v>
      </c>
      <c r="AG3128">
        <v>2.8876249999999999</v>
      </c>
      <c r="AH3128">
        <v>54.218505564198601</v>
      </c>
      <c r="AI3128">
        <v>87.572834761420907</v>
      </c>
      <c r="AJ3128">
        <v>52.7377185979107</v>
      </c>
      <c r="AK3128">
        <v>68.185806692969294</v>
      </c>
      <c r="AL3128">
        <v>79.1915371133327</v>
      </c>
      <c r="AM3128">
        <v>82.318953563761298</v>
      </c>
      <c r="AN3128">
        <v>0.99999999193762001</v>
      </c>
    </row>
    <row r="3129" spans="1:40" x14ac:dyDescent="0.25">
      <c r="A3129" t="str">
        <f>"20190304155432733"</f>
        <v>20190304155432733</v>
      </c>
      <c r="B3129" t="str">
        <f>"1551686072730126"</f>
        <v>1551686072730126</v>
      </c>
      <c r="C3129" t="s">
        <v>40</v>
      </c>
      <c r="D3129">
        <v>4.9267719999999997</v>
      </c>
      <c r="E3129">
        <v>0.70458169999999898</v>
      </c>
      <c r="F3129" t="s">
        <v>55</v>
      </c>
      <c r="G3129">
        <v>-236.2457</v>
      </c>
      <c r="H3129">
        <v>3.5549439999999999</v>
      </c>
      <c r="I3129">
        <v>119.3841</v>
      </c>
      <c r="J3129">
        <v>-187.09469999999999</v>
      </c>
      <c r="K3129">
        <v>1.1049230000000001</v>
      </c>
      <c r="L3129">
        <v>165.2619</v>
      </c>
      <c r="M3129">
        <v>-0.1841486</v>
      </c>
      <c r="N3129">
        <v>-1.02681E-2</v>
      </c>
      <c r="O3129">
        <v>-0.98284479999999996</v>
      </c>
      <c r="P3129">
        <v>-0.30736780000000002</v>
      </c>
      <c r="Q3129">
        <v>0.17896770000000001</v>
      </c>
      <c r="R3129">
        <v>-0.93460989999999999</v>
      </c>
      <c r="S3129">
        <v>-2.5269170000000001</v>
      </c>
      <c r="T3129">
        <v>0.12582460000000001</v>
      </c>
      <c r="U3129">
        <v>-2.3683779999999999</v>
      </c>
      <c r="V3129">
        <v>0.13234489999999999</v>
      </c>
      <c r="W3129">
        <v>0.18733340000000001</v>
      </c>
      <c r="X3129">
        <v>0.97334019999999999</v>
      </c>
      <c r="Y3129">
        <v>0.59045319999999901</v>
      </c>
      <c r="Z3129">
        <v>-4.7338480000000002E-2</v>
      </c>
      <c r="AA3129">
        <v>0.80568240000000002</v>
      </c>
      <c r="AB3129">
        <v>26</v>
      </c>
      <c r="AC3129">
        <v>-49.151000000000003</v>
      </c>
      <c r="AD3129">
        <v>2.450021</v>
      </c>
      <c r="AE3129">
        <v>-45.877799999999901</v>
      </c>
      <c r="AF3129">
        <v>39.8087133187652</v>
      </c>
      <c r="AG3129">
        <v>2.450021</v>
      </c>
      <c r="AH3129">
        <v>54.0728983972731</v>
      </c>
      <c r="AI3129">
        <v>87.910326744054501</v>
      </c>
      <c r="AJ3129">
        <v>53.639330881449098</v>
      </c>
      <c r="AK3129">
        <v>67.190881822445903</v>
      </c>
      <c r="AL3129">
        <v>79.202795451221903</v>
      </c>
      <c r="AM3129">
        <v>82.256986770473702</v>
      </c>
      <c r="AN3129">
        <v>1.0000000601237999</v>
      </c>
    </row>
    <row r="3130" spans="1:40" x14ac:dyDescent="0.25">
      <c r="A3130" t="str">
        <f>"20190304155432755"</f>
        <v>20190304155432755</v>
      </c>
      <c r="B3130" t="str">
        <f>"1551686072750622"</f>
        <v>1551686072750622</v>
      </c>
      <c r="C3130" t="s">
        <v>40</v>
      </c>
      <c r="D3130">
        <v>4.9099579999999996</v>
      </c>
      <c r="E3130">
        <v>0.70120000000000005</v>
      </c>
      <c r="F3130" t="s">
        <v>55</v>
      </c>
      <c r="G3130">
        <v>-235.9905</v>
      </c>
      <c r="H3130">
        <v>3.3237559999999999</v>
      </c>
      <c r="I3130">
        <v>119.3841</v>
      </c>
      <c r="J3130">
        <v>-187.1515</v>
      </c>
      <c r="K3130">
        <v>1.1047549999999999</v>
      </c>
      <c r="L3130">
        <v>165.0025</v>
      </c>
      <c r="M3130">
        <v>-0.191581</v>
      </c>
      <c r="N3130">
        <v>-1.029566E-2</v>
      </c>
      <c r="O3130">
        <v>-0.98142280000000004</v>
      </c>
      <c r="P3130">
        <v>-0.31544440000000001</v>
      </c>
      <c r="Q3130">
        <v>0.17915790000000001</v>
      </c>
      <c r="R3130">
        <v>-0.93187830000000005</v>
      </c>
      <c r="S3130">
        <v>-2.5159150000000001</v>
      </c>
      <c r="T3130">
        <v>0.1141696</v>
      </c>
      <c r="U3130">
        <v>-2.3606259999999999</v>
      </c>
      <c r="V3130">
        <v>0.13349079999999999</v>
      </c>
      <c r="W3130">
        <v>0.18748049999999999</v>
      </c>
      <c r="X3130">
        <v>0.97315529999999995</v>
      </c>
      <c r="Y3130">
        <v>0.58399699999999999</v>
      </c>
      <c r="Z3130">
        <v>-4.3967970000000002E-2</v>
      </c>
      <c r="AA3130">
        <v>0.81056419999999996</v>
      </c>
      <c r="AB3130">
        <v>26</v>
      </c>
      <c r="AC3130">
        <v>-48.838999999999999</v>
      </c>
      <c r="AD3130">
        <v>2.219001</v>
      </c>
      <c r="AE3130">
        <v>-45.618400000000001</v>
      </c>
      <c r="AF3130">
        <v>39.151003971438499</v>
      </c>
      <c r="AG3130">
        <v>2.219001</v>
      </c>
      <c r="AH3130">
        <v>54.070819842504001</v>
      </c>
      <c r="AI3130">
        <v>88.096181649354804</v>
      </c>
      <c r="AJ3130">
        <v>54.092868208783202</v>
      </c>
      <c r="AK3130">
        <v>66.793552352379905</v>
      </c>
      <c r="AL3130">
        <v>79.194214396783707</v>
      </c>
      <c r="AM3130">
        <v>82.189302660770906</v>
      </c>
      <c r="AN3130">
        <v>0.99999998474148899</v>
      </c>
    </row>
    <row r="3131" spans="1:40" x14ac:dyDescent="0.25">
      <c r="A3131" t="str">
        <f>"20190304155432777"</f>
        <v>20190304155432777</v>
      </c>
      <c r="B3131" t="str">
        <f>"1551686072770145"</f>
        <v>1551686072770145</v>
      </c>
      <c r="C3131" t="s">
        <v>40</v>
      </c>
      <c r="D3131">
        <v>5.0366929999999996</v>
      </c>
      <c r="E3131">
        <v>0.69860730000000004</v>
      </c>
      <c r="F3131" t="s">
        <v>55</v>
      </c>
      <c r="G3131">
        <v>-235.953</v>
      </c>
      <c r="H3131">
        <v>3.2093029999999998</v>
      </c>
      <c r="I3131">
        <v>119.3841</v>
      </c>
      <c r="J3131">
        <v>-187.21180000000001</v>
      </c>
      <c r="K3131">
        <v>1.104571</v>
      </c>
      <c r="L3131">
        <v>164.73779999999999</v>
      </c>
      <c r="M3131">
        <v>-0.19940150000000001</v>
      </c>
      <c r="N3131">
        <v>-1.0326790000000001E-2</v>
      </c>
      <c r="O3131">
        <v>-0.9798635</v>
      </c>
      <c r="P3131">
        <v>-0.32373839999999998</v>
      </c>
      <c r="Q3131">
        <v>0.18010279999999901</v>
      </c>
      <c r="R3131">
        <v>-0.92884659999999997</v>
      </c>
      <c r="S3131">
        <v>-2.5120239999999998</v>
      </c>
      <c r="T3131">
        <v>0.1083305</v>
      </c>
      <c r="U3131">
        <v>-2.3481749999999999</v>
      </c>
      <c r="V3131">
        <v>0.13454059999999901</v>
      </c>
      <c r="W3131">
        <v>0.1883793</v>
      </c>
      <c r="X3131">
        <v>0.97283719999999996</v>
      </c>
      <c r="Y3131">
        <v>0.57907619999999904</v>
      </c>
      <c r="Z3131">
        <v>-4.2316189999999997E-2</v>
      </c>
      <c r="AA3131">
        <v>0.81417450000000002</v>
      </c>
      <c r="AB3131">
        <v>26</v>
      </c>
      <c r="AC3131">
        <v>-48.7411999999999</v>
      </c>
      <c r="AD3131">
        <v>2.1047319999999998</v>
      </c>
      <c r="AE3131">
        <v>-45.353699999999897</v>
      </c>
      <c r="AF3131">
        <v>38.679534637645702</v>
      </c>
      <c r="AG3131">
        <v>2.1047319999999998</v>
      </c>
      <c r="AH3131">
        <v>54.1083149939452</v>
      </c>
      <c r="AI3131">
        <v>88.187508408081001</v>
      </c>
      <c r="AJ3131">
        <v>54.440775302413797</v>
      </c>
      <c r="AK3131">
        <v>66.545067796649306</v>
      </c>
      <c r="AL3131">
        <v>79.141783743168901</v>
      </c>
      <c r="AM3131">
        <v>82.126103182147901</v>
      </c>
      <c r="AN3131">
        <v>1.00000007571034</v>
      </c>
    </row>
    <row r="3132" spans="1:40" x14ac:dyDescent="0.25">
      <c r="A3132" t="str">
        <f>"20190304155432799"</f>
        <v>20190304155432799</v>
      </c>
      <c r="B3132" t="str">
        <f>"1551686072790638"</f>
        <v>1551686072790638</v>
      </c>
      <c r="C3132" t="s">
        <v>40</v>
      </c>
      <c r="D3132">
        <v>4.936763</v>
      </c>
      <c r="E3132">
        <v>0.69575940000000003</v>
      </c>
      <c r="F3132" t="s">
        <v>55</v>
      </c>
      <c r="G3132">
        <v>-236.07069999999999</v>
      </c>
      <c r="H3132">
        <v>3.1524580000000002</v>
      </c>
      <c r="I3132">
        <v>119.3841</v>
      </c>
      <c r="J3132">
        <v>-187.27090000000001</v>
      </c>
      <c r="K3132">
        <v>1.1043879999999999</v>
      </c>
      <c r="L3132">
        <v>164.48859999999999</v>
      </c>
      <c r="M3132">
        <v>-0.20698639999999999</v>
      </c>
      <c r="N3132">
        <v>-1.0357709999999999E-2</v>
      </c>
      <c r="O3132">
        <v>-0.97828910000000002</v>
      </c>
      <c r="P3132">
        <v>-0.33217360000000001</v>
      </c>
      <c r="Q3132">
        <v>0.18000160000000001</v>
      </c>
      <c r="R3132">
        <v>-0.92588349999999997</v>
      </c>
      <c r="S3132">
        <v>-2.513611</v>
      </c>
      <c r="T3132">
        <v>0.10535659999999999</v>
      </c>
      <c r="U3132">
        <v>-2.3332820000000001</v>
      </c>
      <c r="V3132">
        <v>0.13593459999999999</v>
      </c>
      <c r="W3132">
        <v>0.18822800000000001</v>
      </c>
      <c r="X3132">
        <v>0.9726726</v>
      </c>
      <c r="Y3132">
        <v>0.57562049999999998</v>
      </c>
      <c r="Z3132">
        <v>-4.1502020000000001E-2</v>
      </c>
      <c r="AA3132">
        <v>0.81666309999999998</v>
      </c>
      <c r="AB3132">
        <v>26</v>
      </c>
      <c r="AC3132">
        <v>-48.799799999999898</v>
      </c>
      <c r="AD3132">
        <v>2.0480700000000001</v>
      </c>
      <c r="AE3132">
        <v>-45.104499999999902</v>
      </c>
      <c r="AF3132">
        <v>38.369902961280403</v>
      </c>
      <c r="AG3132">
        <v>2.0480700000000001</v>
      </c>
      <c r="AH3132">
        <v>54.1775756540572</v>
      </c>
      <c r="AI3132">
        <v>88.233004009770895</v>
      </c>
      <c r="AJ3132">
        <v>54.692927450991</v>
      </c>
      <c r="AK3132">
        <v>66.420281147658997</v>
      </c>
      <c r="AL3132">
        <v>79.1506095681831</v>
      </c>
      <c r="AM3132">
        <v>82.044230442815305</v>
      </c>
      <c r="AN3132">
        <v>0.99999999112596005</v>
      </c>
    </row>
    <row r="3133" spans="1:40" x14ac:dyDescent="0.25">
      <c r="A3133" t="str">
        <f>"20190304155432823"</f>
        <v>20190304155432823</v>
      </c>
      <c r="B3133" t="str">
        <f>"1551686072819917"</f>
        <v>1551686072819917</v>
      </c>
      <c r="C3133" t="s">
        <v>40</v>
      </c>
      <c r="D3133">
        <v>4.9557250000000002</v>
      </c>
      <c r="E3133">
        <v>0.69315450000000001</v>
      </c>
      <c r="F3133" t="s">
        <v>55</v>
      </c>
      <c r="G3133">
        <v>-236.1627</v>
      </c>
      <c r="H3133">
        <v>3.0066350000000002</v>
      </c>
      <c r="I3133">
        <v>119.3841</v>
      </c>
      <c r="J3133">
        <v>-187.33779999999999</v>
      </c>
      <c r="K3133">
        <v>1.104182</v>
      </c>
      <c r="L3133">
        <v>164.2174</v>
      </c>
      <c r="M3133">
        <v>-0.2154964</v>
      </c>
      <c r="N3133">
        <v>-1.03921E-2</v>
      </c>
      <c r="O3133">
        <v>-0.97644940000000002</v>
      </c>
      <c r="P3133">
        <v>-0.34136169999999999</v>
      </c>
      <c r="Q3133">
        <v>0.17964939999999999</v>
      </c>
      <c r="R3133">
        <v>-0.92260430000000004</v>
      </c>
      <c r="S3133">
        <v>-2.5139469999999999</v>
      </c>
      <c r="T3133">
        <v>9.7811220000000004E-2</v>
      </c>
      <c r="U3133">
        <v>-2.3192140000000001</v>
      </c>
      <c r="V3133">
        <v>0.137211</v>
      </c>
      <c r="W3133">
        <v>0.1878243</v>
      </c>
      <c r="X3133">
        <v>0.97257139999999997</v>
      </c>
      <c r="Y3133">
        <v>0.57107129999999995</v>
      </c>
      <c r="Z3133">
        <v>-3.9286670000000003E-2</v>
      </c>
      <c r="AA3133">
        <v>0.81995989999999996</v>
      </c>
      <c r="AB3133">
        <v>26</v>
      </c>
      <c r="AC3133">
        <v>-48.8249</v>
      </c>
      <c r="AD3133">
        <v>1.9024529999999999</v>
      </c>
      <c r="AE3133">
        <v>-44.833300000000001</v>
      </c>
      <c r="AF3133">
        <v>37.984391609984002</v>
      </c>
      <c r="AG3133">
        <v>1.9024529999999999</v>
      </c>
      <c r="AH3133">
        <v>54.257275292616598</v>
      </c>
      <c r="AI3133">
        <v>88.354681848674105</v>
      </c>
      <c r="AJ3133">
        <v>55.004933168868597</v>
      </c>
      <c r="AK3133">
        <v>66.259227701329394</v>
      </c>
      <c r="AL3133">
        <v>79.174159765096803</v>
      </c>
      <c r="AM3133">
        <v>81.969672497211207</v>
      </c>
      <c r="AN3133">
        <v>0.99999997714472399</v>
      </c>
    </row>
    <row r="3134" spans="1:40" x14ac:dyDescent="0.25">
      <c r="A3134" t="str">
        <f>"20190304155432844"</f>
        <v>20190304155432844</v>
      </c>
      <c r="B3134" t="str">
        <f>"1551686072840414"</f>
        <v>1551686072840414</v>
      </c>
      <c r="C3134" t="s">
        <v>40</v>
      </c>
      <c r="D3134">
        <v>4.9549760000000003</v>
      </c>
      <c r="E3134">
        <v>0.6613426</v>
      </c>
      <c r="F3134" t="s">
        <v>55</v>
      </c>
      <c r="G3134">
        <v>-236.2629</v>
      </c>
      <c r="H3134">
        <v>2.8566750000000001</v>
      </c>
      <c r="I3134">
        <v>119.4849</v>
      </c>
      <c r="J3134">
        <v>-187.4</v>
      </c>
      <c r="K3134">
        <v>1.104001</v>
      </c>
      <c r="L3134">
        <v>163.9753</v>
      </c>
      <c r="M3134">
        <v>-0.22332109999999999</v>
      </c>
      <c r="N3134">
        <v>-1.042359E-2</v>
      </c>
      <c r="O3134">
        <v>-0.97468940000000004</v>
      </c>
      <c r="P3134">
        <v>-0.34982869999999999</v>
      </c>
      <c r="Q3134">
        <v>0.17884120000000001</v>
      </c>
      <c r="R3134">
        <v>-0.91958470000000003</v>
      </c>
      <c r="S3134">
        <v>-2.5181429999999998</v>
      </c>
      <c r="T3134">
        <v>9.0199950000000001E-2</v>
      </c>
      <c r="U3134">
        <v>-2.3023530000000001</v>
      </c>
      <c r="V3134">
        <v>0.1383875</v>
      </c>
      <c r="W3134">
        <v>0.18697140000000001</v>
      </c>
      <c r="X3134">
        <v>0.97256900000000002</v>
      </c>
      <c r="Y3134">
        <v>0.56820619999999999</v>
      </c>
      <c r="Z3134">
        <v>-3.7029630000000001E-2</v>
      </c>
      <c r="AA3134">
        <v>0.82205260000000002</v>
      </c>
      <c r="AB3134">
        <v>26</v>
      </c>
      <c r="AC3134">
        <v>-48.862900000000003</v>
      </c>
      <c r="AD3134">
        <v>1.7526740000000001</v>
      </c>
      <c r="AE3134">
        <v>-44.490400000000001</v>
      </c>
      <c r="AF3134">
        <v>37.6660505151875</v>
      </c>
      <c r="AG3134">
        <v>1.7526740000000001</v>
      </c>
      <c r="AH3134">
        <v>54.2412211451351</v>
      </c>
      <c r="AI3134">
        <v>88.479674132888604</v>
      </c>
      <c r="AJ3134">
        <v>55.223212073659703</v>
      </c>
      <c r="AK3134">
        <v>66.059922032033796</v>
      </c>
      <c r="AL3134">
        <v>79.223908194910905</v>
      </c>
      <c r="AM3134">
        <v>81.901707229134999</v>
      </c>
      <c r="AN3134">
        <v>0.99999993216760197</v>
      </c>
    </row>
    <row r="3135" spans="1:40" x14ac:dyDescent="0.25">
      <c r="A3135" t="str">
        <f>"20190304155432867"</f>
        <v>20190304155432867</v>
      </c>
      <c r="B3135" t="str">
        <f>"1551686072859934"</f>
        <v>1551686072859934</v>
      </c>
      <c r="C3135" t="s">
        <v>40</v>
      </c>
      <c r="D3135">
        <v>4.9559240000000004</v>
      </c>
      <c r="E3135">
        <v>0.66068729999999998</v>
      </c>
      <c r="F3135" t="s">
        <v>55</v>
      </c>
      <c r="G3135">
        <v>-230.66079999999999</v>
      </c>
      <c r="H3135">
        <v>1.395464</v>
      </c>
      <c r="I3135">
        <v>119.3841</v>
      </c>
      <c r="J3135">
        <v>-187.4725</v>
      </c>
      <c r="K3135">
        <v>1.1038129999999999</v>
      </c>
      <c r="L3135">
        <v>163.7038</v>
      </c>
      <c r="M3135">
        <v>-0.23231260000000001</v>
      </c>
      <c r="N3135">
        <v>-1.045776E-2</v>
      </c>
      <c r="O3135">
        <v>-0.97258509999999998</v>
      </c>
      <c r="P3135">
        <v>-0.35920960000000002</v>
      </c>
      <c r="Q3135">
        <v>0.17764849999999999</v>
      </c>
      <c r="R3135">
        <v>-0.91619280000000003</v>
      </c>
      <c r="S3135">
        <v>-2.309647</v>
      </c>
      <c r="T3135">
        <v>1.5561220000000001E-2</v>
      </c>
      <c r="U3135">
        <v>-2.3806759999999998</v>
      </c>
      <c r="V3135">
        <v>0.13935710000000001</v>
      </c>
      <c r="W3135">
        <v>0.18574019999999999</v>
      </c>
      <c r="X3135">
        <v>0.97266649999999999</v>
      </c>
      <c r="Y3135">
        <v>0.51043070000000001</v>
      </c>
      <c r="Z3135">
        <v>-1.4366510000000001E-2</v>
      </c>
      <c r="AA3135">
        <v>0.85979889999999903</v>
      </c>
      <c r="AB3135">
        <v>26</v>
      </c>
      <c r="AC3135">
        <v>-43.188299999999998</v>
      </c>
      <c r="AD3135">
        <v>0.29165099999999999</v>
      </c>
      <c r="AE3135">
        <v>-44.319699999999997</v>
      </c>
      <c r="AF3135">
        <v>31.7092975043245</v>
      </c>
      <c r="AG3135">
        <v>0.29165099999999999</v>
      </c>
      <c r="AH3135">
        <v>53.139584132909398</v>
      </c>
      <c r="AI3135">
        <v>89.729962874016906</v>
      </c>
      <c r="AJ3135">
        <v>59.174750739017803</v>
      </c>
      <c r="AK3135">
        <v>61.881984537845298</v>
      </c>
      <c r="AL3135">
        <v>79.2957089723824</v>
      </c>
      <c r="AM3135">
        <v>81.846534107343203</v>
      </c>
      <c r="AN3135">
        <v>0.99999997171934896</v>
      </c>
    </row>
    <row r="3136" spans="1:40" x14ac:dyDescent="0.25">
      <c r="A3136" t="str">
        <f>"20190304155432890"</f>
        <v>20190304155432890</v>
      </c>
      <c r="B3136" t="str">
        <f>"1551686072880430"</f>
        <v>1551686072880430</v>
      </c>
      <c r="C3136" t="s">
        <v>40</v>
      </c>
      <c r="D3136">
        <v>4.8740750000000004</v>
      </c>
      <c r="E3136">
        <v>0.66032380000000002</v>
      </c>
      <c r="F3136" t="s">
        <v>55</v>
      </c>
      <c r="G3136">
        <v>-231.13159999999999</v>
      </c>
      <c r="H3136">
        <v>1.252921</v>
      </c>
      <c r="I3136">
        <v>119.4845</v>
      </c>
      <c r="J3136">
        <v>-187.54470000000001</v>
      </c>
      <c r="K3136">
        <v>1.1036509999999999</v>
      </c>
      <c r="L3136">
        <v>163.4435</v>
      </c>
      <c r="M3136">
        <v>-0.24112939999999999</v>
      </c>
      <c r="N3136">
        <v>-1.048878E-2</v>
      </c>
      <c r="O3136">
        <v>-0.97043659999999998</v>
      </c>
      <c r="P3136">
        <v>-0.36859029999999998</v>
      </c>
      <c r="Q3136">
        <v>0.17665639999999999</v>
      </c>
      <c r="R3136">
        <v>-0.91265249999999998</v>
      </c>
      <c r="S3136">
        <v>-2.32959</v>
      </c>
      <c r="T3136">
        <v>7.9565049999999991E-3</v>
      </c>
      <c r="U3136">
        <v>-2.3594819999999999</v>
      </c>
      <c r="V3136">
        <v>0.14051830000000001</v>
      </c>
      <c r="W3136">
        <v>0.18470980000000001</v>
      </c>
      <c r="X3136">
        <v>0.97269570000000005</v>
      </c>
      <c r="Y3136">
        <v>0.51018299999999905</v>
      </c>
      <c r="Z3136">
        <v>-1.1972729999999999E-2</v>
      </c>
      <c r="AA3136">
        <v>0.85998259999999904</v>
      </c>
      <c r="AB3136">
        <v>26</v>
      </c>
      <c r="AC3136">
        <v>-43.586899999999901</v>
      </c>
      <c r="AD3136">
        <v>0.14927000000000001</v>
      </c>
      <c r="AE3136">
        <v>-43.958999999999897</v>
      </c>
      <c r="AF3136">
        <v>31.700065766856699</v>
      </c>
      <c r="AG3136">
        <v>0.14927000000000001</v>
      </c>
      <c r="AH3136">
        <v>53.172105471852397</v>
      </c>
      <c r="AI3136">
        <v>89.861843248876696</v>
      </c>
      <c r="AJ3136">
        <v>59.1975121122492</v>
      </c>
      <c r="AK3136">
        <v>61.904678752625301</v>
      </c>
      <c r="AL3136">
        <v>79.355786568312794</v>
      </c>
      <c r="AM3136">
        <v>81.779763112385297</v>
      </c>
      <c r="AN3136">
        <v>1.00000001382471</v>
      </c>
    </row>
    <row r="3137" spans="1:40" x14ac:dyDescent="0.25">
      <c r="A3137" t="str">
        <f>"20190304155433136"</f>
        <v>20190304155433136</v>
      </c>
      <c r="B3137" t="str">
        <f>"1551686073130287"</f>
        <v>1551686073130287</v>
      </c>
      <c r="C3137" t="s">
        <v>40</v>
      </c>
      <c r="D3137">
        <v>4.5017769999999997</v>
      </c>
      <c r="E3137">
        <v>0.65997349999999999</v>
      </c>
      <c r="F3137" t="s">
        <v>55</v>
      </c>
      <c r="G3137">
        <v>-231.66</v>
      </c>
      <c r="H3137">
        <v>0.98614789999999997</v>
      </c>
      <c r="I3137">
        <v>119.5971</v>
      </c>
      <c r="J3137">
        <v>-188.51519999999999</v>
      </c>
      <c r="K3137">
        <v>1.102322</v>
      </c>
      <c r="L3137">
        <v>160.62970000000001</v>
      </c>
      <c r="M3137">
        <v>-0.34691260000000002</v>
      </c>
      <c r="N3137">
        <v>-1.0807890000000001E-2</v>
      </c>
      <c r="O3137">
        <v>-0.93783530000000004</v>
      </c>
      <c r="P3137">
        <v>-0.47549279999999999</v>
      </c>
      <c r="Q3137">
        <v>0.17310919999999999</v>
      </c>
      <c r="R3137">
        <v>-0.8625197</v>
      </c>
      <c r="S3137">
        <v>-2.3525390000000002</v>
      </c>
      <c r="T3137">
        <v>-6.2657590000000001E-3</v>
      </c>
      <c r="U3137">
        <v>-2.3381959999999999</v>
      </c>
      <c r="V3137">
        <v>0.15012229999999999</v>
      </c>
      <c r="W3137">
        <v>0.1808572</v>
      </c>
      <c r="X3137">
        <v>0.97198459999999998</v>
      </c>
      <c r="Y3137">
        <v>0.4205991</v>
      </c>
      <c r="Z3137">
        <v>-7.3933760000000001E-3</v>
      </c>
      <c r="AA3137">
        <v>0.90721649999999998</v>
      </c>
      <c r="AB3137">
        <v>27</v>
      </c>
      <c r="AC3137">
        <v>-43.144799999999996</v>
      </c>
      <c r="AD3137">
        <v>-0.1161741</v>
      </c>
      <c r="AE3137">
        <v>-41.032600000000002</v>
      </c>
      <c r="AF3137">
        <v>26.229419844767499</v>
      </c>
      <c r="AG3137">
        <v>-0.1161741</v>
      </c>
      <c r="AH3137">
        <v>53.452208295991198</v>
      </c>
      <c r="AI3137">
        <v>90.111793322675993</v>
      </c>
      <c r="AJ3137">
        <v>63.862449253961302</v>
      </c>
      <c r="AK3137">
        <v>59.541032351921999</v>
      </c>
      <c r="AL3137">
        <v>79.580307244333198</v>
      </c>
      <c r="AM3137">
        <v>81.220084459941702</v>
      </c>
      <c r="AN3137">
        <v>1.0000000471931401</v>
      </c>
    </row>
    <row r="3138" spans="1:40" x14ac:dyDescent="0.25">
      <c r="A3138" t="str">
        <f>"20190304155433159"</f>
        <v>20190304155433159</v>
      </c>
      <c r="B3138" t="str">
        <f>"1551686073149810"</f>
        <v>1551686073149810</v>
      </c>
      <c r="C3138" t="s">
        <v>40</v>
      </c>
      <c r="D3138">
        <v>4.9399220000000001</v>
      </c>
      <c r="E3138">
        <v>0.66423540000000003</v>
      </c>
      <c r="F3138" t="s">
        <v>55</v>
      </c>
      <c r="G3138">
        <v>-241.21600000000001</v>
      </c>
      <c r="H3138">
        <v>0.86086149999999995</v>
      </c>
      <c r="I3138">
        <v>119.5587</v>
      </c>
      <c r="J3138">
        <v>-188.62430000000001</v>
      </c>
      <c r="K3138">
        <v>1.1022609999999999</v>
      </c>
      <c r="L3138">
        <v>160.36859999999999</v>
      </c>
      <c r="M3138">
        <v>-0.35732900000000001</v>
      </c>
      <c r="N3138">
        <v>-1.0827939999999999E-2</v>
      </c>
      <c r="O3138">
        <v>-0.93391599999999997</v>
      </c>
      <c r="P3138">
        <v>-0.48580869999999998</v>
      </c>
      <c r="Q3138">
        <v>0.1719117</v>
      </c>
      <c r="R3138">
        <v>-0.85699309999999995</v>
      </c>
      <c r="S3138">
        <v>-2.6157840000000001</v>
      </c>
      <c r="T3138">
        <v>-1.1984470000000001E-2</v>
      </c>
      <c r="U3138">
        <v>-2.0385439999999999</v>
      </c>
      <c r="V3138">
        <v>0.15088389999999999</v>
      </c>
      <c r="W3138">
        <v>0.1796471</v>
      </c>
      <c r="X3138">
        <v>0.97209100000000004</v>
      </c>
      <c r="Y3138">
        <v>0.51696969999999998</v>
      </c>
      <c r="Z3138">
        <v>-5.3002559999999997E-3</v>
      </c>
      <c r="AA3138">
        <v>0.85598730000000001</v>
      </c>
      <c r="AB3138">
        <v>27</v>
      </c>
      <c r="AC3138">
        <v>-52.591699999999904</v>
      </c>
      <c r="AD3138">
        <v>-0.24139949999999999</v>
      </c>
      <c r="AE3138">
        <v>-40.809899999999899</v>
      </c>
      <c r="AF3138">
        <v>34.535233698201601</v>
      </c>
      <c r="AG3138">
        <v>-0.24139949999999999</v>
      </c>
      <c r="AH3138">
        <v>56.908135931273598</v>
      </c>
      <c r="AI3138">
        <v>90.207776067344099</v>
      </c>
      <c r="AJ3138">
        <v>58.748138995980803</v>
      </c>
      <c r="AK3138">
        <v>66.567834390795099</v>
      </c>
      <c r="AL3138">
        <v>79.650794648113404</v>
      </c>
      <c r="AM3138">
        <v>81.177192043166201</v>
      </c>
      <c r="AN3138">
        <v>0.99999997204930902</v>
      </c>
    </row>
    <row r="3139" spans="1:40" x14ac:dyDescent="0.25">
      <c r="A3139" t="str">
        <f>"20190304155433181"</f>
        <v>20190304155433181</v>
      </c>
      <c r="B3139" t="str">
        <f>"1551686073170302"</f>
        <v>1551686073170302</v>
      </c>
      <c r="C3139" t="s">
        <v>40</v>
      </c>
      <c r="D3139">
        <v>4.9134469999999997</v>
      </c>
      <c r="E3139">
        <v>0.67294019999999899</v>
      </c>
      <c r="F3139" t="s">
        <v>54</v>
      </c>
      <c r="G3139">
        <v>-245.22489999999999</v>
      </c>
      <c r="H3139">
        <v>1.3801540000000001</v>
      </c>
      <c r="I3139">
        <v>118.2111</v>
      </c>
      <c r="J3139">
        <v>-188.73089999999999</v>
      </c>
      <c r="K3139">
        <v>1.1022209999999999</v>
      </c>
      <c r="L3139">
        <v>160.12119999999999</v>
      </c>
      <c r="M3139">
        <v>-0.3672224</v>
      </c>
      <c r="N3139">
        <v>-1.084442E-2</v>
      </c>
      <c r="O3139">
        <v>-0.93006999999999995</v>
      </c>
      <c r="P3139">
        <v>-0.4958495</v>
      </c>
      <c r="Q3139">
        <v>0.17172190000000001</v>
      </c>
      <c r="R3139">
        <v>-0.85126089999999999</v>
      </c>
      <c r="S3139">
        <v>-2.666763</v>
      </c>
      <c r="T3139">
        <v>1.309431E-2</v>
      </c>
      <c r="U3139">
        <v>-1.986267</v>
      </c>
      <c r="V3139">
        <v>0.15199360000000001</v>
      </c>
      <c r="W3139">
        <v>0.17943779999999901</v>
      </c>
      <c r="X3139">
        <v>0.97195679999999995</v>
      </c>
      <c r="Y3139">
        <v>0.52648919999999999</v>
      </c>
      <c r="Z3139">
        <v>-1.302713E-2</v>
      </c>
      <c r="AA3139">
        <v>0.850082</v>
      </c>
      <c r="AB3139">
        <v>27</v>
      </c>
      <c r="AC3139">
        <v>-56.494</v>
      </c>
      <c r="AD3139">
        <v>0.27793299999999999</v>
      </c>
      <c r="AE3139">
        <v>-41.9100999999999</v>
      </c>
      <c r="AF3139">
        <v>37.154650038314003</v>
      </c>
      <c r="AG3139">
        <v>0.27793299999999999</v>
      </c>
      <c r="AH3139">
        <v>59.727765809991503</v>
      </c>
      <c r="AI3139">
        <v>89.773613163613305</v>
      </c>
      <c r="AJ3139">
        <v>58.115635254133899</v>
      </c>
      <c r="AK3139">
        <v>70.3416752350644</v>
      </c>
      <c r="AL3139">
        <v>79.662985031275795</v>
      </c>
      <c r="AM3139">
        <v>81.112127849491102</v>
      </c>
      <c r="AN3139">
        <v>0.99999999978801901</v>
      </c>
    </row>
    <row r="3140" spans="1:40" x14ac:dyDescent="0.25">
      <c r="A3140" t="str">
        <f>"20190304155433205"</f>
        <v>20190304155433205</v>
      </c>
      <c r="B3140" t="str">
        <f>"1551686073200559"</f>
        <v>1551686073200559</v>
      </c>
      <c r="C3140" t="s">
        <v>40</v>
      </c>
      <c r="D3140">
        <v>4.9465779999999997</v>
      </c>
      <c r="E3140">
        <v>0.67377480000000001</v>
      </c>
      <c r="F3140" t="s">
        <v>54</v>
      </c>
      <c r="G3140">
        <v>-247.51140000000001</v>
      </c>
      <c r="H3140">
        <v>1.7766189999999999</v>
      </c>
      <c r="I3140">
        <v>119.0955</v>
      </c>
      <c r="J3140">
        <v>-188.84559999999999</v>
      </c>
      <c r="K3140">
        <v>1.1021939999999999</v>
      </c>
      <c r="L3140">
        <v>159.86330000000001</v>
      </c>
      <c r="M3140">
        <v>-0.37754700000000002</v>
      </c>
      <c r="N3140">
        <v>-1.085918E-2</v>
      </c>
      <c r="O3140">
        <v>-0.92592699999999994</v>
      </c>
      <c r="P3140">
        <v>-0.5063744</v>
      </c>
      <c r="Q3140">
        <v>0.17181640000000001</v>
      </c>
      <c r="R3140">
        <v>-0.84502359999999899</v>
      </c>
      <c r="S3140">
        <v>-2.74736</v>
      </c>
      <c r="T3140">
        <v>3.1522149999999999E-2</v>
      </c>
      <c r="U3140">
        <v>-1.917511</v>
      </c>
      <c r="V3140">
        <v>0.1532644</v>
      </c>
      <c r="W3140">
        <v>0.17951010000000001</v>
      </c>
      <c r="X3140">
        <v>0.97174389999999999</v>
      </c>
      <c r="Y3140">
        <v>0.54307320000000003</v>
      </c>
      <c r="Z3140">
        <v>-1.8604470000000001E-2</v>
      </c>
      <c r="AA3140">
        <v>0.83947919999999998</v>
      </c>
      <c r="AB3140">
        <v>27</v>
      </c>
      <c r="AC3140">
        <v>-58.665799999999997</v>
      </c>
      <c r="AD3140">
        <v>0.67442499999999905</v>
      </c>
      <c r="AE3140">
        <v>-40.767800000000001</v>
      </c>
      <c r="AF3140">
        <v>38.927304689808899</v>
      </c>
      <c r="AG3140">
        <v>0.67442499999999905</v>
      </c>
      <c r="AH3140">
        <v>59.895283449548302</v>
      </c>
      <c r="AI3140">
        <v>89.459071372787704</v>
      </c>
      <c r="AJ3140">
        <v>56.979245823802401</v>
      </c>
      <c r="AK3140">
        <v>71.436929378267493</v>
      </c>
      <c r="AL3140">
        <v>79.6587744867997</v>
      </c>
      <c r="AM3140">
        <v>81.037087029593195</v>
      </c>
      <c r="AN3140">
        <v>1.0000000297482801</v>
      </c>
    </row>
    <row r="3141" spans="1:40" x14ac:dyDescent="0.25">
      <c r="A3141" t="str">
        <f>"20190304155433226"</f>
        <v>20190304155433226</v>
      </c>
      <c r="B3141" t="str">
        <f>"1551686073220079"</f>
        <v>1551686073220079</v>
      </c>
      <c r="C3141" t="s">
        <v>40</v>
      </c>
      <c r="D3141">
        <v>4.885148</v>
      </c>
      <c r="E3141">
        <v>0.67397209999999996</v>
      </c>
      <c r="F3141" t="s">
        <v>54</v>
      </c>
      <c r="G3141">
        <v>-249.05690000000001</v>
      </c>
      <c r="H3141">
        <v>1.74468499999999</v>
      </c>
      <c r="I3141">
        <v>119.0955</v>
      </c>
      <c r="J3141">
        <v>-188.96019999999999</v>
      </c>
      <c r="K3141">
        <v>1.1021749999999999</v>
      </c>
      <c r="L3141">
        <v>159.6131</v>
      </c>
      <c r="M3141">
        <v>-0.38756099999999999</v>
      </c>
      <c r="N3141">
        <v>-1.0871779999999999E-2</v>
      </c>
      <c r="O3141">
        <v>-0.92178009999999999</v>
      </c>
      <c r="P3141">
        <v>-0.51623430000000003</v>
      </c>
      <c r="Q3141">
        <v>0.17110919999999999</v>
      </c>
      <c r="R3141">
        <v>-0.83918090000000001</v>
      </c>
      <c r="S3141">
        <v>-2.7768860000000002</v>
      </c>
      <c r="T3141">
        <v>2.9632329999999998E-2</v>
      </c>
      <c r="U3141">
        <v>-1.8801730000000001</v>
      </c>
      <c r="V3141">
        <v>0.15404979999999999</v>
      </c>
      <c r="W3141">
        <v>0.17879419999999999</v>
      </c>
      <c r="X3141">
        <v>0.9717517</v>
      </c>
      <c r="Y3141">
        <v>0.54587359999999996</v>
      </c>
      <c r="Z3141">
        <v>-1.7931809999999999E-2</v>
      </c>
      <c r="AA3141">
        <v>0.83767559999999996</v>
      </c>
      <c r="AB3141">
        <v>27</v>
      </c>
      <c r="AC3141">
        <v>-60.096699999999998</v>
      </c>
      <c r="AD3141">
        <v>0.64250999999999903</v>
      </c>
      <c r="AE3141">
        <v>-40.517600000000002</v>
      </c>
      <c r="AF3141">
        <v>39.692121908129799</v>
      </c>
      <c r="AG3141">
        <v>0.64250999999999903</v>
      </c>
      <c r="AH3141">
        <v>60.638264966862501</v>
      </c>
      <c r="AI3141">
        <v>89.492063273539102</v>
      </c>
      <c r="AJ3141">
        <v>56.792357304343099</v>
      </c>
      <c r="AK3141">
        <v>72.476731016660494</v>
      </c>
      <c r="AL3141">
        <v>79.700467135244807</v>
      </c>
      <c r="AM3141">
        <v>80.991979180454706</v>
      </c>
      <c r="AN3141">
        <v>1.00000003664328</v>
      </c>
    </row>
    <row r="3142" spans="1:40" x14ac:dyDescent="0.25">
      <c r="A3142" t="str">
        <f>"20190304155433247"</f>
        <v>20190304155433247</v>
      </c>
      <c r="B3142" t="str">
        <f>"1551686073240574"</f>
        <v>1551686073240574</v>
      </c>
      <c r="C3142" t="s">
        <v>40</v>
      </c>
      <c r="D3142">
        <v>5.0033609999999999</v>
      </c>
      <c r="E3142">
        <v>0.6741743</v>
      </c>
      <c r="F3142" t="s">
        <v>44</v>
      </c>
      <c r="G3142">
        <v>-239.93039999999999</v>
      </c>
      <c r="H3142">
        <v>1.616255</v>
      </c>
      <c r="I3142">
        <v>126.00279999999999</v>
      </c>
      <c r="J3142">
        <v>-189.06739999999999</v>
      </c>
      <c r="K3142">
        <v>1.102168</v>
      </c>
      <c r="L3142">
        <v>159.38509999999999</v>
      </c>
      <c r="M3142">
        <v>-0.39668009999999998</v>
      </c>
      <c r="N3142">
        <v>-1.088195E-2</v>
      </c>
      <c r="O3142">
        <v>-0.9178925</v>
      </c>
      <c r="P3142">
        <v>-0.52479319999999996</v>
      </c>
      <c r="Q3142">
        <v>0.17138699999999901</v>
      </c>
      <c r="R3142">
        <v>-0.83379789999999998</v>
      </c>
      <c r="S3142">
        <v>-2.8002929999999999</v>
      </c>
      <c r="T3142">
        <v>2.824509E-2</v>
      </c>
      <c r="U3142">
        <v>-1.8465419999999999</v>
      </c>
      <c r="V3142">
        <v>0.15439129999999901</v>
      </c>
      <c r="W3142">
        <v>0.17907049999999999</v>
      </c>
      <c r="X3142">
        <v>0.97164649999999997</v>
      </c>
      <c r="Y3142">
        <v>0.54780499999999999</v>
      </c>
      <c r="Z3142">
        <v>-1.7426190000000001E-2</v>
      </c>
      <c r="AA3142">
        <v>0.83642450000000002</v>
      </c>
      <c r="AB3142">
        <v>27</v>
      </c>
      <c r="AC3142">
        <v>-50.863</v>
      </c>
      <c r="AD3142">
        <v>0.51408699999999996</v>
      </c>
      <c r="AE3142">
        <v>-33.382300000000001</v>
      </c>
      <c r="AF3142">
        <v>33.444261873902001</v>
      </c>
      <c r="AG3142">
        <v>0.51408699999999996</v>
      </c>
      <c r="AH3142">
        <v>50.817079370208802</v>
      </c>
      <c r="AI3142">
        <v>89.515832558584194</v>
      </c>
      <c r="AJ3142">
        <v>56.649872263017002</v>
      </c>
      <c r="AK3142">
        <v>60.837147315203801</v>
      </c>
      <c r="AL3142">
        <v>79.684375408893203</v>
      </c>
      <c r="AM3142">
        <v>80.971377245216303</v>
      </c>
      <c r="AN3142">
        <v>0.99999991922409104</v>
      </c>
    </row>
    <row r="3143" spans="1:40" x14ac:dyDescent="0.25">
      <c r="A3143" t="str">
        <f>"20190304155433494"</f>
        <v>20190304155433494</v>
      </c>
      <c r="B3143" t="str">
        <f>"1551686073490431"</f>
        <v>1551686073490431</v>
      </c>
      <c r="C3143" t="s">
        <v>40</v>
      </c>
      <c r="D3143">
        <v>4.6229180000000003</v>
      </c>
      <c r="E3143">
        <v>0.68406359999999999</v>
      </c>
      <c r="F3143" t="s">
        <v>54</v>
      </c>
      <c r="G3143">
        <v>-251.29929999999999</v>
      </c>
      <c r="H3143">
        <v>1.8527</v>
      </c>
      <c r="I3143">
        <v>119.3436</v>
      </c>
      <c r="J3143">
        <v>-190.52699999999999</v>
      </c>
      <c r="K3143">
        <v>1.1026609999999999</v>
      </c>
      <c r="L3143">
        <v>156.7175</v>
      </c>
      <c r="M3143">
        <v>-0.4985136</v>
      </c>
      <c r="N3143">
        <v>-1.085126E-2</v>
      </c>
      <c r="O3143">
        <v>-0.86681399999999997</v>
      </c>
      <c r="P3143">
        <v>-0.62100730000000004</v>
      </c>
      <c r="Q3143">
        <v>0.17165349999999999</v>
      </c>
      <c r="R3143">
        <v>-0.76477790000000001</v>
      </c>
      <c r="S3143">
        <v>-2.821304</v>
      </c>
      <c r="T3143">
        <v>3.4026859999999999E-2</v>
      </c>
      <c r="U3143">
        <v>-1.8152919999999999</v>
      </c>
      <c r="V3143">
        <v>0.16025809999999999</v>
      </c>
      <c r="W3143">
        <v>0.17938579999999901</v>
      </c>
      <c r="X3143">
        <v>0.970638</v>
      </c>
      <c r="Y3143">
        <v>0.45908100000000002</v>
      </c>
      <c r="Z3143">
        <v>-1.8111370000000002E-2</v>
      </c>
      <c r="AA3143">
        <v>0.88820980000000005</v>
      </c>
      <c r="AB3143">
        <v>27</v>
      </c>
      <c r="AC3143">
        <v>-60.772299999999902</v>
      </c>
      <c r="AD3143">
        <v>0.75003899999999901</v>
      </c>
      <c r="AE3143">
        <v>-37.373899999999999</v>
      </c>
      <c r="AF3143">
        <v>34.045123827324197</v>
      </c>
      <c r="AG3143">
        <v>0.75003899999999901</v>
      </c>
      <c r="AH3143">
        <v>62.688798533505398</v>
      </c>
      <c r="AI3143">
        <v>89.3976122496763</v>
      </c>
      <c r="AJ3143">
        <v>61.494435602368299</v>
      </c>
      <c r="AK3143">
        <v>71.340861198150705</v>
      </c>
      <c r="AL3143">
        <v>79.666013820516696</v>
      </c>
      <c r="AM3143">
        <v>80.6247059277825</v>
      </c>
      <c r="AN3143">
        <v>1.0000000254506201</v>
      </c>
    </row>
    <row r="3144" spans="1:40" x14ac:dyDescent="0.25">
      <c r="A3144" t="str">
        <f>"20190304155433516"</f>
        <v>20190304155433516</v>
      </c>
      <c r="B3144" t="str">
        <f>"1551686073509951"</f>
        <v>1551686073509951</v>
      </c>
      <c r="C3144" t="s">
        <v>40</v>
      </c>
      <c r="D3144">
        <v>4.5243589999999996</v>
      </c>
      <c r="E3144">
        <v>0.68948730000000003</v>
      </c>
      <c r="F3144" t="s">
        <v>76</v>
      </c>
      <c r="G3144">
        <v>-275.94029999999998</v>
      </c>
      <c r="H3144">
        <v>2.5994980000000001</v>
      </c>
      <c r="I3144">
        <v>117.5296</v>
      </c>
      <c r="J3144">
        <v>-190.6788</v>
      </c>
      <c r="K3144">
        <v>1.1026750000000001</v>
      </c>
      <c r="L3144">
        <v>156.4751</v>
      </c>
      <c r="M3144">
        <v>-0.50725089999999995</v>
      </c>
      <c r="N3144">
        <v>-1.0847580000000001E-2</v>
      </c>
      <c r="O3144">
        <v>-0.8617302</v>
      </c>
      <c r="P3144">
        <v>-0.62880009999999997</v>
      </c>
      <c r="Q3144">
        <v>0.171863299999999</v>
      </c>
      <c r="R3144">
        <v>-0.75833629999999996</v>
      </c>
      <c r="S3144">
        <v>-3.0772089999999999</v>
      </c>
      <c r="T3144">
        <v>5.392694E-2</v>
      </c>
      <c r="U3144">
        <v>-1.411835</v>
      </c>
      <c r="V3144">
        <v>0.16040079999999901</v>
      </c>
      <c r="W3144">
        <v>0.17959259999999999</v>
      </c>
      <c r="X3144">
        <v>0.9705762</v>
      </c>
      <c r="Y3144">
        <v>0.57144910000000004</v>
      </c>
      <c r="Z3144">
        <v>-2.3880249999999999E-2</v>
      </c>
      <c r="AA3144">
        <v>0.82028999999999996</v>
      </c>
      <c r="AB3144">
        <v>27</v>
      </c>
      <c r="AC3144">
        <v>-85.261499999999899</v>
      </c>
      <c r="AD3144">
        <v>1.496823</v>
      </c>
      <c r="AE3144">
        <v>-38.945500000000003</v>
      </c>
      <c r="AF3144">
        <v>53.7067329345589</v>
      </c>
      <c r="AG3144">
        <v>1.496823</v>
      </c>
      <c r="AH3144">
        <v>76.794420013286697</v>
      </c>
      <c r="AI3144">
        <v>89.084908595464398</v>
      </c>
      <c r="AJ3144">
        <v>55.032704012592703</v>
      </c>
      <c r="AK3144">
        <v>93.723191296362003</v>
      </c>
      <c r="AL3144">
        <v>79.653969597364295</v>
      </c>
      <c r="AM3144">
        <v>80.615919361491905</v>
      </c>
      <c r="AN3144">
        <v>1.0000000393109101</v>
      </c>
    </row>
    <row r="3145" spans="1:40" x14ac:dyDescent="0.25">
      <c r="A3145" t="str">
        <f>"20190304155433541"</f>
        <v>20190304155433541</v>
      </c>
      <c r="B3145" t="str">
        <f>"1551686073530446"</f>
        <v>1551686073530446</v>
      </c>
      <c r="C3145" t="s">
        <v>40</v>
      </c>
      <c r="D3145">
        <v>4.9635740000000004</v>
      </c>
      <c r="E3145">
        <v>0.69001669999999904</v>
      </c>
      <c r="F3145" t="s">
        <v>76</v>
      </c>
      <c r="G3145">
        <v>-277.42630000000003</v>
      </c>
      <c r="H3145">
        <v>2.9270019999999999</v>
      </c>
      <c r="I3145">
        <v>118.9502</v>
      </c>
      <c r="J3145">
        <v>-190.83789999999999</v>
      </c>
      <c r="K3145">
        <v>1.1026720000000001</v>
      </c>
      <c r="L3145">
        <v>156.22649999999999</v>
      </c>
      <c r="M3145">
        <v>-0.51619479999999995</v>
      </c>
      <c r="N3145">
        <v>-1.084568E-2</v>
      </c>
      <c r="O3145">
        <v>-0.85640269999999996</v>
      </c>
      <c r="P3145">
        <v>-0.63678840000000003</v>
      </c>
      <c r="Q3145">
        <v>0.17175960000000001</v>
      </c>
      <c r="R3145">
        <v>-0.75166460000000002</v>
      </c>
      <c r="S3145">
        <v>-3.1235659999999998</v>
      </c>
      <c r="T3145">
        <v>6.5689800000000007E-2</v>
      </c>
      <c r="U3145">
        <v>-1.351181</v>
      </c>
      <c r="V3145">
        <v>0.16055340000000001</v>
      </c>
      <c r="W3145">
        <v>0.1794829</v>
      </c>
      <c r="X3145">
        <v>0.97057119999999997</v>
      </c>
      <c r="Y3145">
        <v>0.58073599999999903</v>
      </c>
      <c r="Z3145">
        <v>-2.7212139999999999E-2</v>
      </c>
      <c r="AA3145">
        <v>0.81363699999999906</v>
      </c>
      <c r="AB3145">
        <v>27</v>
      </c>
      <c r="AC3145">
        <v>-86.588399999999993</v>
      </c>
      <c r="AD3145">
        <v>1.82433</v>
      </c>
      <c r="AE3145">
        <v>-37.2762999999999</v>
      </c>
      <c r="AF3145">
        <v>54.8953713074227</v>
      </c>
      <c r="AG3145">
        <v>1.82433</v>
      </c>
      <c r="AH3145">
        <v>76.595816744020993</v>
      </c>
      <c r="AI3145">
        <v>88.890940080344805</v>
      </c>
      <c r="AJ3145">
        <v>54.371251271282802</v>
      </c>
      <c r="AK3145">
        <v>94.253642442148404</v>
      </c>
      <c r="AL3145">
        <v>79.660358140655504</v>
      </c>
      <c r="AM3145">
        <v>80.607103156550906</v>
      </c>
      <c r="AN3145">
        <v>0.99999997995670398</v>
      </c>
    </row>
    <row r="3146" spans="1:40" x14ac:dyDescent="0.25">
      <c r="A3146" t="str">
        <f>"20190304155433563"</f>
        <v>20190304155433563</v>
      </c>
      <c r="B3146" t="str">
        <f>"1551686073560703"</f>
        <v>1551686073560703</v>
      </c>
      <c r="C3146" t="s">
        <v>40</v>
      </c>
      <c r="D3146">
        <v>5.0266630000000001</v>
      </c>
      <c r="E3146">
        <v>0.68909390000000004</v>
      </c>
      <c r="F3146" t="s">
        <v>70</v>
      </c>
      <c r="G3146">
        <v>-321.45490000000001</v>
      </c>
      <c r="H3146">
        <v>3.9537119999999999</v>
      </c>
      <c r="I3146">
        <v>101.5608</v>
      </c>
      <c r="J3146">
        <v>-190.99119999999999</v>
      </c>
      <c r="K3146">
        <v>1.1026549999999999</v>
      </c>
      <c r="L3146">
        <v>155.99250000000001</v>
      </c>
      <c r="M3146">
        <v>-0.52462279999999994</v>
      </c>
      <c r="N3146">
        <v>-1.084571E-2</v>
      </c>
      <c r="O3146">
        <v>-0.85126579999999996</v>
      </c>
      <c r="P3146">
        <v>-0.64366440000000003</v>
      </c>
      <c r="Q3146">
        <v>0.17164299999999999</v>
      </c>
      <c r="R3146">
        <v>-0.74581160000000002</v>
      </c>
      <c r="S3146">
        <v>-3.1409760000000002</v>
      </c>
      <c r="T3146">
        <v>6.8559889999999998E-2</v>
      </c>
      <c r="U3146">
        <v>-1.31456</v>
      </c>
      <c r="V3146">
        <v>0.1598755</v>
      </c>
      <c r="W3146">
        <v>0.17937449999999999</v>
      </c>
      <c r="X3146">
        <v>0.97070310000000004</v>
      </c>
      <c r="Y3146">
        <v>0.58236429999999995</v>
      </c>
      <c r="Z3146">
        <v>-2.7934469999999999E-2</v>
      </c>
      <c r="AA3146">
        <v>0.81244780000000005</v>
      </c>
      <c r="AB3146">
        <v>27</v>
      </c>
      <c r="AC3146">
        <v>-130.46369999999999</v>
      </c>
      <c r="AD3146">
        <v>2.851057</v>
      </c>
      <c r="AE3146">
        <v>-54.431699999999999</v>
      </c>
      <c r="AF3146">
        <v>82.474473414402595</v>
      </c>
      <c r="AG3146">
        <v>2.851057</v>
      </c>
      <c r="AH3146">
        <v>114.740145891776</v>
      </c>
      <c r="AI3146">
        <v>88.844128633168694</v>
      </c>
      <c r="AJ3146">
        <v>54.291664467751097</v>
      </c>
      <c r="AK3146">
        <v>141.33459721620201</v>
      </c>
      <c r="AL3146">
        <v>79.666671123761304</v>
      </c>
      <c r="AM3146">
        <v>80.647308689050902</v>
      </c>
      <c r="AN3146">
        <v>0.99999994755005295</v>
      </c>
    </row>
    <row r="3147" spans="1:40" x14ac:dyDescent="0.25">
      <c r="A3147" t="str">
        <f>"20190304155433585"</f>
        <v>20190304155433585</v>
      </c>
      <c r="B3147" t="str">
        <f>"1551686073580224"</f>
        <v>1551686073580224</v>
      </c>
      <c r="C3147" t="s">
        <v>40</v>
      </c>
      <c r="D3147">
        <v>5.0271410000000003</v>
      </c>
      <c r="E3147">
        <v>0.68973019999999996</v>
      </c>
      <c r="F3147" t="s">
        <v>70</v>
      </c>
      <c r="G3147">
        <v>-321.45479999999998</v>
      </c>
      <c r="H3147">
        <v>3.7608899999999998</v>
      </c>
      <c r="I3147">
        <v>102.52379999999999</v>
      </c>
      <c r="J3147">
        <v>-191.14230000000001</v>
      </c>
      <c r="K3147">
        <v>1.102633</v>
      </c>
      <c r="L3147">
        <v>155.76669999999999</v>
      </c>
      <c r="M3147">
        <v>-0.53277069999999904</v>
      </c>
      <c r="N3147">
        <v>-1.0847259999999999E-2</v>
      </c>
      <c r="O3147">
        <v>-0.84619009999999995</v>
      </c>
      <c r="P3147">
        <v>-0.65034419999999904</v>
      </c>
      <c r="Q3147">
        <v>0.17083599999999999</v>
      </c>
      <c r="R3147">
        <v>-0.74018090000000003</v>
      </c>
      <c r="S3147">
        <v>-3.1484830000000001</v>
      </c>
      <c r="T3147">
        <v>6.4151529999999998E-2</v>
      </c>
      <c r="U3147">
        <v>-1.290359</v>
      </c>
      <c r="V3147">
        <v>0.15917890000000001</v>
      </c>
      <c r="W3147">
        <v>0.1785756</v>
      </c>
      <c r="X3147">
        <v>0.97096490000000002</v>
      </c>
      <c r="Y3147">
        <v>0.58062019999999903</v>
      </c>
      <c r="Z3147">
        <v>-2.6494230000000001E-2</v>
      </c>
      <c r="AA3147">
        <v>0.81374340000000001</v>
      </c>
      <c r="AB3147">
        <v>27</v>
      </c>
      <c r="AC3147">
        <v>-130.31249999999901</v>
      </c>
      <c r="AD3147">
        <v>2.6582569999999999</v>
      </c>
      <c r="AE3147">
        <v>-53.242899999999899</v>
      </c>
      <c r="AF3147">
        <v>81.878513123032306</v>
      </c>
      <c r="AG3147">
        <v>2.6582569999999999</v>
      </c>
      <c r="AH3147">
        <v>114.44622335715</v>
      </c>
      <c r="AI3147">
        <v>88.917786114652799</v>
      </c>
      <c r="AJ3147">
        <v>54.418849234763897</v>
      </c>
      <c r="AK3147">
        <v>140.74478776221699</v>
      </c>
      <c r="AL3147">
        <v>79.7131965004737</v>
      </c>
      <c r="AM3147">
        <v>80.689811219372004</v>
      </c>
      <c r="AN3147">
        <v>1.00000000207629</v>
      </c>
    </row>
    <row r="3148" spans="1:40" x14ac:dyDescent="0.25">
      <c r="A3148" t="str">
        <f>"20190304155433611"</f>
        <v>20190304155433611</v>
      </c>
      <c r="B3148" t="str">
        <f>"1551686073600718"</f>
        <v>1551686073600718</v>
      </c>
      <c r="C3148" t="s">
        <v>40</v>
      </c>
      <c r="D3148">
        <v>5.0687930000000003</v>
      </c>
      <c r="E3148">
        <v>0.68869550000000002</v>
      </c>
      <c r="F3148" t="s">
        <v>70</v>
      </c>
      <c r="G3148">
        <v>-321.45490000000001</v>
      </c>
      <c r="H3148">
        <v>4.0599449999999999</v>
      </c>
      <c r="I3148">
        <v>103.9584</v>
      </c>
      <c r="J3148">
        <v>-191.32939999999999</v>
      </c>
      <c r="K3148">
        <v>1.1025940000000001</v>
      </c>
      <c r="L3148">
        <v>155.49359999999999</v>
      </c>
      <c r="M3148">
        <v>-0.54265549999999996</v>
      </c>
      <c r="N3148">
        <v>-1.08504E-2</v>
      </c>
      <c r="O3148">
        <v>-0.839885199999999</v>
      </c>
      <c r="P3148">
        <v>-0.65846349999999998</v>
      </c>
      <c r="Q3148">
        <v>0.169768899999999</v>
      </c>
      <c r="R3148">
        <v>-0.73321519999999996</v>
      </c>
      <c r="S3148">
        <v>-3.1628720000000001</v>
      </c>
      <c r="T3148">
        <v>7.1778300000000003E-2</v>
      </c>
      <c r="U3148">
        <v>-1.2574620000000001</v>
      </c>
      <c r="V3148">
        <v>0.158355</v>
      </c>
      <c r="W3148">
        <v>0.17751889999999901</v>
      </c>
      <c r="X3148">
        <v>0.97129330000000003</v>
      </c>
      <c r="Y3148">
        <v>0.57959959999999999</v>
      </c>
      <c r="Z3148">
        <v>-2.8594729999999999E-2</v>
      </c>
      <c r="AA3148">
        <v>0.81439949999999905</v>
      </c>
      <c r="AB3148">
        <v>27</v>
      </c>
      <c r="AC3148">
        <v>-130.12549999999999</v>
      </c>
      <c r="AD3148">
        <v>2.9573509999999898</v>
      </c>
      <c r="AE3148">
        <v>-51.535199999999897</v>
      </c>
      <c r="AF3148">
        <v>81.293118794318204</v>
      </c>
      <c r="AG3148">
        <v>2.9573509999999898</v>
      </c>
      <c r="AH3148">
        <v>113.852849256553</v>
      </c>
      <c r="AI3148">
        <v>88.788972944829894</v>
      </c>
      <c r="AJ3148">
        <v>54.472435310547198</v>
      </c>
      <c r="AK3148">
        <v>139.927796995736</v>
      </c>
      <c r="AL3148">
        <v>79.774723715697306</v>
      </c>
      <c r="AM3148">
        <v>80.740240348681198</v>
      </c>
      <c r="AN3148">
        <v>0.99999997025354903</v>
      </c>
    </row>
    <row r="3149" spans="1:40" x14ac:dyDescent="0.25">
      <c r="A3149" t="str">
        <f>"20190304155433629"</f>
        <v>20190304155433629</v>
      </c>
      <c r="B3149" t="str">
        <f>"1551686073620239"</f>
        <v>1551686073620239</v>
      </c>
      <c r="C3149" t="s">
        <v>40</v>
      </c>
      <c r="D3149">
        <v>4.995317</v>
      </c>
      <c r="E3149">
        <v>0.68786740000000002</v>
      </c>
      <c r="F3149" t="s">
        <v>70</v>
      </c>
      <c r="G3149">
        <v>-321.45479999999998</v>
      </c>
      <c r="H3149">
        <v>3.8158080000000001</v>
      </c>
      <c r="I3149">
        <v>105.0848</v>
      </c>
      <c r="J3149">
        <v>-191.45660000000001</v>
      </c>
      <c r="K3149">
        <v>1.1025700000000001</v>
      </c>
      <c r="L3149">
        <v>155.3116</v>
      </c>
      <c r="M3149">
        <v>-0.54925809999999997</v>
      </c>
      <c r="N3149">
        <v>-1.085299E-2</v>
      </c>
      <c r="O3149">
        <v>-0.8355823</v>
      </c>
      <c r="P3149">
        <v>-0.66401359999999998</v>
      </c>
      <c r="Q3149">
        <v>0.16814709999999999</v>
      </c>
      <c r="R3149">
        <v>-0.72856889999999996</v>
      </c>
      <c r="S3149">
        <v>-3.1710970000000001</v>
      </c>
      <c r="T3149">
        <v>6.6120029999999996E-2</v>
      </c>
      <c r="U3149">
        <v>-1.2284389999999901</v>
      </c>
      <c r="V3149">
        <v>0.1578502</v>
      </c>
      <c r="W3149">
        <v>0.1759049</v>
      </c>
      <c r="X3149">
        <v>0.97166909999999895</v>
      </c>
      <c r="Y3149">
        <v>0.58041259999999995</v>
      </c>
      <c r="Z3149">
        <v>-2.6820500000000001E-2</v>
      </c>
      <c r="AA3149">
        <v>0.81388070000000001</v>
      </c>
      <c r="AB3149">
        <v>28</v>
      </c>
      <c r="AC3149">
        <v>-129.998199999999</v>
      </c>
      <c r="AD3149">
        <v>2.713238</v>
      </c>
      <c r="AE3149">
        <v>-50.226799999999997</v>
      </c>
      <c r="AF3149">
        <v>81.010784374229999</v>
      </c>
      <c r="AG3149">
        <v>2.713238</v>
      </c>
      <c r="AH3149">
        <v>113.33490769551101</v>
      </c>
      <c r="AI3149">
        <v>88.884241304095497</v>
      </c>
      <c r="AJ3149">
        <v>54.4431525670688</v>
      </c>
      <c r="AK3149">
        <v>139.337396802591</v>
      </c>
      <c r="AL3149">
        <v>79.868678316263598</v>
      </c>
      <c r="AM3149">
        <v>80.772758096855696</v>
      </c>
      <c r="AN3149">
        <v>1.00000002968942</v>
      </c>
    </row>
    <row r="3150" spans="1:40" x14ac:dyDescent="0.25">
      <c r="A3150" t="str">
        <f>"20190304155433651"</f>
        <v>20190304155433651</v>
      </c>
      <c r="B3150" t="str">
        <f>"1551686073639759"</f>
        <v>1551686073639759</v>
      </c>
      <c r="C3150" t="s">
        <v>40</v>
      </c>
      <c r="D3150">
        <v>5.0204420000000001</v>
      </c>
      <c r="E3150">
        <v>0.68710260000000001</v>
      </c>
      <c r="F3150" t="s">
        <v>44</v>
      </c>
      <c r="G3150">
        <v>-285.39859999999999</v>
      </c>
      <c r="H3150">
        <v>2.821542</v>
      </c>
      <c r="I3150">
        <v>119.5294</v>
      </c>
      <c r="J3150">
        <v>-191.61949999999999</v>
      </c>
      <c r="K3150">
        <v>1.102538</v>
      </c>
      <c r="L3150">
        <v>155.0831</v>
      </c>
      <c r="M3150">
        <v>-0.5575734</v>
      </c>
      <c r="N3150">
        <v>-1.085676E-2</v>
      </c>
      <c r="O3150">
        <v>-0.83005659999999903</v>
      </c>
      <c r="P3150">
        <v>-0.67057309999999903</v>
      </c>
      <c r="Q3150">
        <v>0.16733239999999999</v>
      </c>
      <c r="R3150">
        <v>-0.72272519999999996</v>
      </c>
      <c r="S3150">
        <v>-3.175964</v>
      </c>
      <c r="T3150">
        <v>5.8114529999999998E-2</v>
      </c>
      <c r="U3150">
        <v>-1.2097169999999999</v>
      </c>
      <c r="V3150">
        <v>0.15682299999999999</v>
      </c>
      <c r="W3150">
        <v>0.17510539999999999</v>
      </c>
      <c r="X3150">
        <v>0.9719797</v>
      </c>
      <c r="Y3150">
        <v>0.57694350000000005</v>
      </c>
      <c r="Z3150">
        <v>-2.4308469999999999E-2</v>
      </c>
      <c r="AA3150">
        <v>0.81642230000000005</v>
      </c>
      <c r="AB3150">
        <v>28</v>
      </c>
      <c r="AC3150">
        <v>-93.7791</v>
      </c>
      <c r="AD3150">
        <v>1.719004</v>
      </c>
      <c r="AE3150">
        <v>-35.553699999999999</v>
      </c>
      <c r="AF3150">
        <v>58.004544901884501</v>
      </c>
      <c r="AG3150">
        <v>1.719004</v>
      </c>
      <c r="AH3150">
        <v>81.781113987318903</v>
      </c>
      <c r="AI3150">
        <v>89.017763452994103</v>
      </c>
      <c r="AJ3150">
        <v>54.653226867243703</v>
      </c>
      <c r="AK3150">
        <v>100.277778241411</v>
      </c>
      <c r="AL3150">
        <v>79.915207655161197</v>
      </c>
      <c r="AM3150">
        <v>80.834660795693495</v>
      </c>
      <c r="AN3150">
        <v>0.99999994582512297</v>
      </c>
    </row>
    <row r="3151" spans="1:40" x14ac:dyDescent="0.25">
      <c r="A3151" t="str">
        <f>"20190304155433672"</f>
        <v>20190304155433672</v>
      </c>
      <c r="B3151" t="str">
        <f>"1551686073670015"</f>
        <v>1551686073670015</v>
      </c>
      <c r="C3151" t="s">
        <v>40</v>
      </c>
      <c r="D3151">
        <v>4.9821569999999999</v>
      </c>
      <c r="E3151">
        <v>0.68606630000000002</v>
      </c>
      <c r="F3151" t="s">
        <v>70</v>
      </c>
      <c r="G3151">
        <v>-320.47219999999999</v>
      </c>
      <c r="H3151">
        <v>3.2684660000000001</v>
      </c>
      <c r="I3151">
        <v>107.0842</v>
      </c>
      <c r="J3151">
        <v>-191.77879999999999</v>
      </c>
      <c r="K3151">
        <v>1.1025130000000001</v>
      </c>
      <c r="L3151">
        <v>154.864</v>
      </c>
      <c r="M3151">
        <v>-0.56556019999999996</v>
      </c>
      <c r="N3151">
        <v>-1.0860760000000001E-2</v>
      </c>
      <c r="O3151">
        <v>-0.82463560000000002</v>
      </c>
      <c r="P3151">
        <v>-0.676903699999999</v>
      </c>
      <c r="Q3151">
        <v>0.16679820000000001</v>
      </c>
      <c r="R3151">
        <v>-0.71692409999999995</v>
      </c>
      <c r="S3151">
        <v>-3.1826780000000001</v>
      </c>
      <c r="T3151">
        <v>5.3498980000000002E-2</v>
      </c>
      <c r="U3151">
        <v>-1.1855770000000001</v>
      </c>
      <c r="V3151">
        <v>0.15591839999999901</v>
      </c>
      <c r="W3151">
        <v>0.17458379999999901</v>
      </c>
      <c r="X3151">
        <v>0.9722191</v>
      </c>
      <c r="Y3151">
        <v>0.57509009999999905</v>
      </c>
      <c r="Z3151">
        <v>-2.2818930000000001E-2</v>
      </c>
      <c r="AA3151">
        <v>0.81777180000000005</v>
      </c>
      <c r="AB3151">
        <v>28</v>
      </c>
      <c r="AC3151">
        <v>-128.6934</v>
      </c>
      <c r="AD3151">
        <v>2.165953</v>
      </c>
      <c r="AE3151">
        <v>-47.779800000000002</v>
      </c>
      <c r="AF3151">
        <v>79.087776406356497</v>
      </c>
      <c r="AG3151">
        <v>2.165953</v>
      </c>
      <c r="AH3151">
        <v>112.163474056449</v>
      </c>
      <c r="AI3151">
        <v>89.095836885043198</v>
      </c>
      <c r="AJ3151">
        <v>54.8118889982917</v>
      </c>
      <c r="AK3151">
        <v>137.259654092933</v>
      </c>
      <c r="AL3151">
        <v>79.945561390824096</v>
      </c>
      <c r="AM3151">
        <v>80.888845837202396</v>
      </c>
      <c r="AN3151">
        <v>1.0000000145429</v>
      </c>
    </row>
    <row r="3152" spans="1:40" x14ac:dyDescent="0.25">
      <c r="A3152" t="str">
        <f>"20190304155433695"</f>
        <v>20190304155433695</v>
      </c>
      <c r="B3152" t="str">
        <f>"1551686073690511"</f>
        <v>1551686073690511</v>
      </c>
      <c r="C3152" t="s">
        <v>40</v>
      </c>
      <c r="D3152">
        <v>5.0023070000000001</v>
      </c>
      <c r="E3152">
        <v>0.68508369999999996</v>
      </c>
      <c r="F3152" t="s">
        <v>70</v>
      </c>
      <c r="G3152">
        <v>-320.77910000000003</v>
      </c>
      <c r="H3152">
        <v>3.0440399999999999</v>
      </c>
      <c r="I3152">
        <v>107.7812</v>
      </c>
      <c r="J3152">
        <v>-191.9477</v>
      </c>
      <c r="K3152">
        <v>1.1024910000000001</v>
      </c>
      <c r="L3152">
        <v>154.63659999999999</v>
      </c>
      <c r="M3152">
        <v>-0.57386930000000003</v>
      </c>
      <c r="N3152">
        <v>-1.0865059999999999E-2</v>
      </c>
      <c r="O3152">
        <v>-0.81887469999999996</v>
      </c>
      <c r="P3152">
        <v>-0.68414519999999901</v>
      </c>
      <c r="Q3152">
        <v>0.16596169999999999</v>
      </c>
      <c r="R3152">
        <v>-0.71021250000000002</v>
      </c>
      <c r="S3152">
        <v>-3.1878199999999999</v>
      </c>
      <c r="T3152">
        <v>4.7978760000000002E-2</v>
      </c>
      <c r="U3152">
        <v>-1.1634979999999999</v>
      </c>
      <c r="V3152">
        <v>0.15583900000000001</v>
      </c>
      <c r="W3152">
        <v>0.17374519999999999</v>
      </c>
      <c r="X3152">
        <v>0.97238199999999997</v>
      </c>
      <c r="Y3152">
        <v>0.57227220000000001</v>
      </c>
      <c r="Z3152">
        <v>-2.1063910000000002E-2</v>
      </c>
      <c r="AA3152">
        <v>0.819793199999999</v>
      </c>
      <c r="AB3152">
        <v>28</v>
      </c>
      <c r="AC3152">
        <v>-128.8314</v>
      </c>
      <c r="AD3152">
        <v>1.941549</v>
      </c>
      <c r="AE3152">
        <v>-46.855399999999896</v>
      </c>
      <c r="AF3152">
        <v>78.596781169434905</v>
      </c>
      <c r="AG3152">
        <v>1.941549</v>
      </c>
      <c r="AH3152">
        <v>112.28520458046999</v>
      </c>
      <c r="AI3152">
        <v>89.188419744655107</v>
      </c>
      <c r="AJ3152">
        <v>55.008959955308598</v>
      </c>
      <c r="AK3152">
        <v>137.073669208909</v>
      </c>
      <c r="AL3152">
        <v>79.994354933392302</v>
      </c>
      <c r="AM3152">
        <v>80.894907883456398</v>
      </c>
      <c r="AN3152">
        <v>0.99999997118401895</v>
      </c>
    </row>
    <row r="3153" spans="1:40" x14ac:dyDescent="0.25">
      <c r="A3153" t="str">
        <f>"20190304155433719"</f>
        <v>20190304155433719</v>
      </c>
      <c r="B3153" t="str">
        <f>"1551686073710031"</f>
        <v>1551686073710031</v>
      </c>
      <c r="C3153" t="s">
        <v>40</v>
      </c>
      <c r="D3153">
        <v>5.0483779999999996</v>
      </c>
      <c r="E3153">
        <v>0.68398329999999996</v>
      </c>
      <c r="F3153" t="s">
        <v>70</v>
      </c>
      <c r="G3153">
        <v>-322.23829999999998</v>
      </c>
      <c r="H3153">
        <v>2.8447019999999998</v>
      </c>
      <c r="I3153">
        <v>108.2687</v>
      </c>
      <c r="J3153">
        <v>-192.12620000000001</v>
      </c>
      <c r="K3153">
        <v>1.102455</v>
      </c>
      <c r="L3153">
        <v>154.40119999999999</v>
      </c>
      <c r="M3153">
        <v>-0.58247979999999999</v>
      </c>
      <c r="N3153">
        <v>-1.086934E-2</v>
      </c>
      <c r="O3153">
        <v>-0.81277250000000001</v>
      </c>
      <c r="P3153">
        <v>-0.69186230000000004</v>
      </c>
      <c r="Q3153">
        <v>0.16584179999999901</v>
      </c>
      <c r="R3153">
        <v>-0.70272559999999995</v>
      </c>
      <c r="S3153">
        <v>-3.1944889999999999</v>
      </c>
      <c r="T3153">
        <v>4.2716150000000001E-2</v>
      </c>
      <c r="U3153">
        <v>-1.1368560000000001</v>
      </c>
      <c r="V3153">
        <v>0.15619040000000001</v>
      </c>
      <c r="W3153">
        <v>0.17361370000000001</v>
      </c>
      <c r="X3153">
        <v>0.97234920000000002</v>
      </c>
      <c r="Y3153">
        <v>0.57025380000000003</v>
      </c>
      <c r="Z3153">
        <v>-1.9387689999999999E-2</v>
      </c>
      <c r="AA3153">
        <v>0.82123979999999996</v>
      </c>
      <c r="AB3153">
        <v>28</v>
      </c>
      <c r="AC3153">
        <v>-130.112099999999</v>
      </c>
      <c r="AD3153">
        <v>1.7422470000000001</v>
      </c>
      <c r="AE3153">
        <v>-46.132499999999901</v>
      </c>
      <c r="AF3153">
        <v>78.8723848671588</v>
      </c>
      <c r="AG3153">
        <v>1.7422470000000001</v>
      </c>
      <c r="AH3153">
        <v>113.27154818811501</v>
      </c>
      <c r="AI3153">
        <v>89.276818973264398</v>
      </c>
      <c r="AJ3153">
        <v>55.150026442053502</v>
      </c>
      <c r="AK3153">
        <v>138.037430243302</v>
      </c>
      <c r="AL3153">
        <v>80.002006522101894</v>
      </c>
      <c r="AM3153">
        <v>80.874419302934101</v>
      </c>
      <c r="AN3153">
        <v>1.0000000623102401</v>
      </c>
    </row>
    <row r="3154" spans="1:40" x14ac:dyDescent="0.25">
      <c r="A3154" t="str">
        <f>"20190304155433743"</f>
        <v>20190304155433743</v>
      </c>
      <c r="B3154" t="str">
        <f>"1551686073740286"</f>
        <v>1551686073740286</v>
      </c>
      <c r="C3154" t="s">
        <v>40</v>
      </c>
      <c r="D3154">
        <v>5.0482060000000004</v>
      </c>
      <c r="E3154">
        <v>0.6825483</v>
      </c>
      <c r="F3154" t="s">
        <v>70</v>
      </c>
      <c r="G3154">
        <v>-323.06220000000002</v>
      </c>
      <c r="H3154">
        <v>2.6693099999999998</v>
      </c>
      <c r="I3154">
        <v>109.0466</v>
      </c>
      <c r="J3154">
        <v>-192.3081</v>
      </c>
      <c r="K3154">
        <v>1.1024339999999999</v>
      </c>
      <c r="L3154">
        <v>154.16650000000001</v>
      </c>
      <c r="M3154">
        <v>-0.59107449999999995</v>
      </c>
      <c r="N3154">
        <v>-1.0873549999999999E-2</v>
      </c>
      <c r="O3154">
        <v>-0.80654389999999998</v>
      </c>
      <c r="P3154">
        <v>-0.69994659999999997</v>
      </c>
      <c r="Q3154">
        <v>0.1658056</v>
      </c>
      <c r="R3154">
        <v>-0.69468219999999903</v>
      </c>
      <c r="S3154">
        <v>-3.2007599999999998</v>
      </c>
      <c r="T3154">
        <v>3.8302419999999997E-2</v>
      </c>
      <c r="U3154">
        <v>-1.1087039999999999</v>
      </c>
      <c r="V3154">
        <v>0.1571245</v>
      </c>
      <c r="W3154">
        <v>0.17355499999999999</v>
      </c>
      <c r="X3154">
        <v>0.97220910000000005</v>
      </c>
      <c r="Y3154">
        <v>0.56850000000000001</v>
      </c>
      <c r="Z3154">
        <v>-1.7969280000000001E-2</v>
      </c>
      <c r="AA3154">
        <v>0.82248699999999997</v>
      </c>
      <c r="AB3154">
        <v>28</v>
      </c>
      <c r="AC3154">
        <v>-130.75409999999999</v>
      </c>
      <c r="AD3154">
        <v>1.5668759999999999</v>
      </c>
      <c r="AE3154">
        <v>-45.119900000000001</v>
      </c>
      <c r="AF3154">
        <v>78.784233716453002</v>
      </c>
      <c r="AG3154">
        <v>1.5668759999999999</v>
      </c>
      <c r="AH3154">
        <v>113.668708555592</v>
      </c>
      <c r="AI3154">
        <v>89.350903561983998</v>
      </c>
      <c r="AJ3154">
        <v>55.274016387528903</v>
      </c>
      <c r="AK3154">
        <v>138.31119219855</v>
      </c>
      <c r="AL3154">
        <v>80.005420902001603</v>
      </c>
      <c r="AM3154">
        <v>80.819469703104502</v>
      </c>
      <c r="AN3154">
        <v>0.99999999032402997</v>
      </c>
    </row>
    <row r="3155" spans="1:40" x14ac:dyDescent="0.25">
      <c r="A3155" t="str">
        <f>"20190304155433763"</f>
        <v>20190304155433763</v>
      </c>
      <c r="B3155" t="str">
        <f>"1551686073759806"</f>
        <v>1551686073759806</v>
      </c>
      <c r="C3155" t="s">
        <v>40</v>
      </c>
      <c r="D3155">
        <v>4.9894540000000003</v>
      </c>
      <c r="E3155">
        <v>0.6818417</v>
      </c>
      <c r="F3155" t="s">
        <v>70</v>
      </c>
      <c r="G3155">
        <v>-323.8997</v>
      </c>
      <c r="H3155">
        <v>2.5181200000000001</v>
      </c>
      <c r="I3155">
        <v>109.8373</v>
      </c>
      <c r="J3155">
        <v>-192.4736</v>
      </c>
      <c r="K3155">
        <v>1.1024149999999999</v>
      </c>
      <c r="L3155">
        <v>153.95769999999999</v>
      </c>
      <c r="M3155">
        <v>-0.59873269999999901</v>
      </c>
      <c r="N3155">
        <v>-1.087725E-2</v>
      </c>
      <c r="O3155">
        <v>-0.800875</v>
      </c>
      <c r="P3155">
        <v>-0.70691979999999999</v>
      </c>
      <c r="Q3155">
        <v>0.16539089999999901</v>
      </c>
      <c r="R3155">
        <v>-0.68768439999999997</v>
      </c>
      <c r="S3155">
        <v>-3.205994</v>
      </c>
      <c r="T3155">
        <v>3.4490939999999998E-2</v>
      </c>
      <c r="U3155">
        <v>-1.0800019999999999</v>
      </c>
      <c r="V3155">
        <v>0.15761129999999901</v>
      </c>
      <c r="W3155">
        <v>0.17312759999999999</v>
      </c>
      <c r="X3155">
        <v>0.97220649999999997</v>
      </c>
      <c r="Y3155">
        <v>0.56769269999999905</v>
      </c>
      <c r="Z3155">
        <v>-1.6748849999999999E-2</v>
      </c>
      <c r="AA3155">
        <v>0.82307009999999903</v>
      </c>
      <c r="AB3155">
        <v>28</v>
      </c>
      <c r="AC3155">
        <v>-131.42609999999999</v>
      </c>
      <c r="AD3155">
        <v>1.415705</v>
      </c>
      <c r="AE3155">
        <v>-44.120399999999897</v>
      </c>
      <c r="AF3155">
        <v>78.835997782182602</v>
      </c>
      <c r="AG3155">
        <v>1.415705</v>
      </c>
      <c r="AH3155">
        <v>114.01888921000101</v>
      </c>
      <c r="AI3155">
        <v>89.414865991613894</v>
      </c>
      <c r="AJ3155">
        <v>55.338883310830397</v>
      </c>
      <c r="AK3155">
        <v>138.62693051367</v>
      </c>
      <c r="AL3155">
        <v>80.030285452186305</v>
      </c>
      <c r="AM3155">
        <v>80.791489101120106</v>
      </c>
      <c r="AN3155">
        <v>0.99999998320584904</v>
      </c>
    </row>
    <row r="3156" spans="1:40" x14ac:dyDescent="0.25">
      <c r="A3156" t="str">
        <f>"20190304155433785"</f>
        <v>20190304155433785</v>
      </c>
      <c r="B3156" t="str">
        <f>"1551686073780457"</f>
        <v>1551686073780457</v>
      </c>
      <c r="C3156" t="s">
        <v>40</v>
      </c>
      <c r="D3156">
        <v>5.1107800000000001</v>
      </c>
      <c r="E3156">
        <v>0.68116829999999995</v>
      </c>
      <c r="F3156" t="s">
        <v>70</v>
      </c>
      <c r="G3156">
        <v>-324.74610000000001</v>
      </c>
      <c r="H3156">
        <v>2.348379</v>
      </c>
      <c r="I3156">
        <v>110.63630000000001</v>
      </c>
      <c r="J3156">
        <v>-192.64500000000001</v>
      </c>
      <c r="K3156">
        <v>1.1023969999999901</v>
      </c>
      <c r="L3156">
        <v>153.7456</v>
      </c>
      <c r="M3156">
        <v>-0.60651169999999899</v>
      </c>
      <c r="N3156">
        <v>-1.0881139999999999E-2</v>
      </c>
      <c r="O3156">
        <v>-0.79500029999999999</v>
      </c>
      <c r="P3156">
        <v>-0.71431460000000002</v>
      </c>
      <c r="Q3156">
        <v>0.16513449999999999</v>
      </c>
      <c r="R3156">
        <v>-0.68006299999999997</v>
      </c>
      <c r="S3156">
        <v>-3.2129970000000001</v>
      </c>
      <c r="T3156">
        <v>3.0265690000000001E-2</v>
      </c>
      <c r="U3156">
        <v>-1.0523070000000001</v>
      </c>
      <c r="V3156">
        <v>0.158613</v>
      </c>
      <c r="W3156">
        <v>0.17284869999999999</v>
      </c>
      <c r="X3156">
        <v>0.97209319999999999</v>
      </c>
      <c r="Y3156">
        <v>0.56662270000000003</v>
      </c>
      <c r="Z3156">
        <v>-1.5403399999999999E-2</v>
      </c>
      <c r="AA3156">
        <v>0.82383329999999999</v>
      </c>
      <c r="AB3156">
        <v>28</v>
      </c>
      <c r="AC3156">
        <v>-132.1011</v>
      </c>
      <c r="AD3156">
        <v>1.2459819999999999</v>
      </c>
      <c r="AE3156">
        <v>-43.109299999999898</v>
      </c>
      <c r="AF3156">
        <v>78.872435052674206</v>
      </c>
      <c r="AG3156">
        <v>1.2459819999999999</v>
      </c>
      <c r="AH3156">
        <v>114.39032646466799</v>
      </c>
      <c r="AI3156">
        <v>89.486220796160595</v>
      </c>
      <c r="AJ3156">
        <v>55.4136332816582</v>
      </c>
      <c r="AK3156">
        <v>138.95164724095901</v>
      </c>
      <c r="AL3156">
        <v>80.046509745043707</v>
      </c>
      <c r="AM3156">
        <v>80.732915089719398</v>
      </c>
      <c r="AN3156">
        <v>0.99999997317346401</v>
      </c>
    </row>
    <row r="3157" spans="1:40" x14ac:dyDescent="0.25">
      <c r="A3157" t="str">
        <f>"20190304155433896"</f>
        <v>20190304155433896</v>
      </c>
      <c r="B3157" t="str">
        <f>"1551686073889770"</f>
        <v>1551686073889770</v>
      </c>
      <c r="C3157" t="s">
        <v>40</v>
      </c>
      <c r="D3157">
        <v>4.6926670000000001</v>
      </c>
      <c r="E3157">
        <v>0.73693560000000002</v>
      </c>
      <c r="F3157" t="s">
        <v>70</v>
      </c>
      <c r="G3157">
        <v>-325.68150000000003</v>
      </c>
      <c r="H3157">
        <v>2.1883659999999998</v>
      </c>
      <c r="I3157">
        <v>111.5196</v>
      </c>
      <c r="J3157">
        <v>-193.56290000000001</v>
      </c>
      <c r="K3157">
        <v>1.10229</v>
      </c>
      <c r="L3157">
        <v>152.67619999999999</v>
      </c>
      <c r="M3157">
        <v>-0.64576040000000001</v>
      </c>
      <c r="N3157">
        <v>-1.090168E-2</v>
      </c>
      <c r="O3157">
        <v>-0.76346250000000004</v>
      </c>
      <c r="P3157">
        <v>-0.74959730000000002</v>
      </c>
      <c r="Q3157">
        <v>0.16345709999999999</v>
      </c>
      <c r="R3157">
        <v>-0.64139380000000001</v>
      </c>
      <c r="S3157">
        <v>-3.2205810000000001</v>
      </c>
      <c r="T3157">
        <v>2.6289699999999999E-2</v>
      </c>
      <c r="U3157">
        <v>-1.0222169999999999</v>
      </c>
      <c r="V3157">
        <v>0.16130729999999999</v>
      </c>
      <c r="W3157">
        <v>0.17110690000000001</v>
      </c>
      <c r="X3157">
        <v>0.97195799999999999</v>
      </c>
      <c r="Y3157">
        <v>0.53223310000000001</v>
      </c>
      <c r="Z3157">
        <v>-1.368202E-2</v>
      </c>
      <c r="AA3157">
        <v>0.84648729999999905</v>
      </c>
      <c r="AB3157">
        <v>28</v>
      </c>
      <c r="AC3157">
        <v>-132.11859999999999</v>
      </c>
      <c r="AD3157">
        <v>1.08607599999999</v>
      </c>
      <c r="AE3157">
        <v>-41.156599999999997</v>
      </c>
      <c r="AF3157">
        <v>74.290120733575307</v>
      </c>
      <c r="AG3157">
        <v>1.08607599999999</v>
      </c>
      <c r="AH3157">
        <v>116.738208169882</v>
      </c>
      <c r="AI3157">
        <v>89.550297319919494</v>
      </c>
      <c r="AJ3157">
        <v>57.528049623723199</v>
      </c>
      <c r="AK3157">
        <v>138.376337740243</v>
      </c>
      <c r="AL3157">
        <v>80.147817062196395</v>
      </c>
      <c r="AM3157">
        <v>80.577011028068796</v>
      </c>
      <c r="AN3157">
        <v>0.99999998501244902</v>
      </c>
    </row>
    <row r="3158" spans="1:40" x14ac:dyDescent="0.25">
      <c r="A3158" t="str">
        <f>"20190304155433921"</f>
        <v>20190304155433921</v>
      </c>
      <c r="B3158" t="str">
        <f>"1551686073911242"</f>
        <v>1551686073911242</v>
      </c>
      <c r="C3158" t="s">
        <v>40</v>
      </c>
      <c r="D3158">
        <v>4.6355760000000004</v>
      </c>
      <c r="E3158">
        <v>0.73783339999999997</v>
      </c>
      <c r="F3158" t="s">
        <v>77</v>
      </c>
      <c r="G3158">
        <v>-440.20710000000003</v>
      </c>
      <c r="H3158">
        <v>9.6690860000000001</v>
      </c>
      <c r="I3158">
        <v>117.363</v>
      </c>
      <c r="J3158">
        <v>-193.7739</v>
      </c>
      <c r="K3158">
        <v>1.1022620000000001</v>
      </c>
      <c r="L3158">
        <v>152.44489999999999</v>
      </c>
      <c r="M3158">
        <v>-0.65425469999999997</v>
      </c>
      <c r="N3158">
        <v>-1.0906559999999999E-2</v>
      </c>
      <c r="O3158">
        <v>-0.75619550000000002</v>
      </c>
      <c r="P3158">
        <v>-0.75711859999999997</v>
      </c>
      <c r="Q3158">
        <v>0.1627767</v>
      </c>
      <c r="R3158">
        <v>-0.63267320000000005</v>
      </c>
      <c r="S3158">
        <v>-3.5414729999999999</v>
      </c>
      <c r="T3158">
        <v>0.1230078</v>
      </c>
      <c r="U3158">
        <v>-0.50704959999999999</v>
      </c>
      <c r="V3158">
        <v>0.16180079999999999</v>
      </c>
      <c r="W3158">
        <v>0.17041429999999999</v>
      </c>
      <c r="X3158">
        <v>0.97199769999999996</v>
      </c>
      <c r="Y3158">
        <v>0.65492550000000005</v>
      </c>
      <c r="Z3158">
        <v>-3.9962980000000002E-2</v>
      </c>
      <c r="AA3158">
        <v>0.75463599999999997</v>
      </c>
      <c r="AB3158">
        <v>28</v>
      </c>
      <c r="AC3158">
        <v>-246.4332</v>
      </c>
      <c r="AD3158">
        <v>8.5668240000000004</v>
      </c>
      <c r="AE3158">
        <v>-35.081899999999898</v>
      </c>
      <c r="AF3158">
        <v>163.215588924934</v>
      </c>
      <c r="AG3158">
        <v>8.5668240000000004</v>
      </c>
      <c r="AH3158">
        <v>187.54789450244201</v>
      </c>
      <c r="AI3158">
        <v>88.026537511541605</v>
      </c>
      <c r="AJ3158">
        <v>48.968225471483798</v>
      </c>
      <c r="AK3158">
        <v>248.77084168740399</v>
      </c>
      <c r="AL3158">
        <v>80.188092104056906</v>
      </c>
      <c r="AM3158">
        <v>80.549080955696795</v>
      </c>
      <c r="AN3158">
        <v>1.0000000306651999</v>
      </c>
    </row>
    <row r="3159" spans="1:40" x14ac:dyDescent="0.25">
      <c r="A3159" t="str">
        <f>"20190304155433946"</f>
        <v>20190304155433946</v>
      </c>
      <c r="B3159" t="str">
        <f>"1551686073940521"</f>
        <v>1551686073940521</v>
      </c>
      <c r="C3159" t="s">
        <v>40</v>
      </c>
      <c r="D3159">
        <v>4.6565979999999998</v>
      </c>
      <c r="E3159">
        <v>0.73378449999999995</v>
      </c>
      <c r="F3159" t="s">
        <v>77</v>
      </c>
      <c r="G3159">
        <v>-449.16969999999998</v>
      </c>
      <c r="H3159">
        <v>10.848710000000001</v>
      </c>
      <c r="I3159">
        <v>119.395</v>
      </c>
      <c r="J3159">
        <v>-193.98159999999999</v>
      </c>
      <c r="K3159">
        <v>1.1022430000000001</v>
      </c>
      <c r="L3159">
        <v>152.2225</v>
      </c>
      <c r="M3159">
        <v>-0.66243629999999998</v>
      </c>
      <c r="N3159">
        <v>-1.091167E-2</v>
      </c>
      <c r="O3159">
        <v>-0.7490388</v>
      </c>
      <c r="P3159">
        <v>-0.76412579999999997</v>
      </c>
      <c r="Q3159">
        <v>0.16253589999999901</v>
      </c>
      <c r="R3159">
        <v>-0.62425450000000005</v>
      </c>
      <c r="S3159">
        <v>-3.5494379999999999</v>
      </c>
      <c r="T3159">
        <v>0.135454399999999</v>
      </c>
      <c r="U3159">
        <v>-0.45932010000000001</v>
      </c>
      <c r="V3159">
        <v>0.1620356</v>
      </c>
      <c r="W3159">
        <v>0.17016629999999899</v>
      </c>
      <c r="X3159">
        <v>0.97200200000000003</v>
      </c>
      <c r="Y3159">
        <v>0.65675099999999997</v>
      </c>
      <c r="Z3159">
        <v>-4.3184019999999997E-2</v>
      </c>
      <c r="AA3159">
        <v>0.75286999999999904</v>
      </c>
      <c r="AB3159">
        <v>28</v>
      </c>
      <c r="AC3159">
        <v>-255.18809999999999</v>
      </c>
      <c r="AD3159">
        <v>9.7464669999999902</v>
      </c>
      <c r="AE3159">
        <v>-32.827500000000001</v>
      </c>
      <c r="AF3159">
        <v>169.16699173196301</v>
      </c>
      <c r="AG3159">
        <v>9.7464669999999902</v>
      </c>
      <c r="AH3159">
        <v>193.368976231397</v>
      </c>
      <c r="AI3159">
        <v>87.827499097316306</v>
      </c>
      <c r="AJ3159">
        <v>48.819254508017799</v>
      </c>
      <c r="AK3159">
        <v>257.10703156351701</v>
      </c>
      <c r="AL3159">
        <v>80.202511739550502</v>
      </c>
      <c r="AM3159">
        <v>80.535655154226205</v>
      </c>
      <c r="AN3159">
        <v>0.99999999666352501</v>
      </c>
    </row>
    <row r="3160" spans="1:40" x14ac:dyDescent="0.25">
      <c r="A3160" t="str">
        <f>"20190304155433965"</f>
        <v>20190304155433965</v>
      </c>
      <c r="B3160" t="str">
        <f>"1551686073960042"</f>
        <v>1551686073960042</v>
      </c>
      <c r="C3160" t="s">
        <v>40</v>
      </c>
      <c r="D3160">
        <v>4.7264210000000002</v>
      </c>
      <c r="E3160">
        <v>0.73336650000000003</v>
      </c>
      <c r="F3160" t="s">
        <v>77</v>
      </c>
      <c r="G3160">
        <v>-451.35809999999998</v>
      </c>
      <c r="H3160">
        <v>11.283810000000001</v>
      </c>
      <c r="I3160">
        <v>119.8177</v>
      </c>
      <c r="J3160">
        <v>-194.16059999999999</v>
      </c>
      <c r="K3160">
        <v>1.102225</v>
      </c>
      <c r="L3160">
        <v>152.03469999999999</v>
      </c>
      <c r="M3160">
        <v>-0.66935449999999996</v>
      </c>
      <c r="N3160">
        <v>-1.0916449999999999E-2</v>
      </c>
      <c r="O3160">
        <v>-0.742863099999999</v>
      </c>
      <c r="P3160">
        <v>-0.77029169999999902</v>
      </c>
      <c r="Q3160">
        <v>0.161912</v>
      </c>
      <c r="R3160">
        <v>-0.61679450000000002</v>
      </c>
      <c r="S3160">
        <v>-3.5329130000000002</v>
      </c>
      <c r="T3160">
        <v>0.13975889999999999</v>
      </c>
      <c r="U3160">
        <v>-0.44480900000000001</v>
      </c>
      <c r="V3160">
        <v>0.16256860000000001</v>
      </c>
      <c r="W3160">
        <v>0.16952909999999999</v>
      </c>
      <c r="X3160">
        <v>0.97202429999999995</v>
      </c>
      <c r="Y3160">
        <v>0.65228319999999995</v>
      </c>
      <c r="Z3160">
        <v>-4.4282920000000003E-2</v>
      </c>
      <c r="AA3160">
        <v>0.75668069999999998</v>
      </c>
      <c r="AB3160">
        <v>28</v>
      </c>
      <c r="AC3160">
        <v>-257.19749999999999</v>
      </c>
      <c r="AD3160">
        <v>10.181585</v>
      </c>
      <c r="AE3160">
        <v>-32.216999999999899</v>
      </c>
      <c r="AF3160">
        <v>169.24689164594801</v>
      </c>
      <c r="AG3160">
        <v>10.181585</v>
      </c>
      <c r="AH3160">
        <v>195.79869320966301</v>
      </c>
      <c r="AI3160">
        <v>87.747129420593694</v>
      </c>
      <c r="AJ3160">
        <v>49.160115639461097</v>
      </c>
      <c r="AK3160">
        <v>259.00830733306498</v>
      </c>
      <c r="AL3160">
        <v>80.239558460166094</v>
      </c>
      <c r="AM3160">
        <v>80.505302943009099</v>
      </c>
      <c r="AN3160">
        <v>0.999999952621628</v>
      </c>
    </row>
    <row r="3161" spans="1:40" x14ac:dyDescent="0.25">
      <c r="A3161" t="str">
        <f>"20190304155434009"</f>
        <v>20190304155434009</v>
      </c>
      <c r="B3161" t="str">
        <f>"1551686074000058"</f>
        <v>1551686074000058</v>
      </c>
      <c r="C3161" t="s">
        <v>40</v>
      </c>
      <c r="D3161">
        <v>5.0130179999999998</v>
      </c>
      <c r="E3161">
        <v>0.7189065</v>
      </c>
      <c r="F3161" t="s">
        <v>77</v>
      </c>
      <c r="G3161">
        <v>-470.8775</v>
      </c>
      <c r="H3161">
        <v>12.262169999999999</v>
      </c>
      <c r="I3161">
        <v>119.7042</v>
      </c>
      <c r="J3161">
        <v>-194.5575</v>
      </c>
      <c r="K3161">
        <v>1.102171</v>
      </c>
      <c r="L3161">
        <v>151.6301</v>
      </c>
      <c r="M3161">
        <v>-0.68428639999999996</v>
      </c>
      <c r="N3161">
        <v>-1.0927890000000001E-2</v>
      </c>
      <c r="O3161">
        <v>-0.72913169999999905</v>
      </c>
      <c r="P3161">
        <v>-0.78261429999999998</v>
      </c>
      <c r="Q3161">
        <v>0.1617152</v>
      </c>
      <c r="R3161">
        <v>-0.60113490000000003</v>
      </c>
      <c r="S3161">
        <v>-3.5340419999999999</v>
      </c>
      <c r="T3161">
        <v>0.1425276</v>
      </c>
      <c r="U3161">
        <v>-0.41290280000000001</v>
      </c>
      <c r="V3161">
        <v>0.1624987</v>
      </c>
      <c r="W3161">
        <v>0.16932610000000001</v>
      </c>
      <c r="X3161">
        <v>0.97207140000000003</v>
      </c>
      <c r="Y3161">
        <v>0.64361939999999995</v>
      </c>
      <c r="Z3161">
        <v>-4.4421549999999997E-2</v>
      </c>
      <c r="AA3161">
        <v>0.7640555</v>
      </c>
      <c r="AB3161">
        <v>28</v>
      </c>
      <c r="AC3161">
        <v>-276.32</v>
      </c>
      <c r="AD3161">
        <v>11.159998999999999</v>
      </c>
      <c r="AE3161">
        <v>-31.925899999999999</v>
      </c>
      <c r="AF3161">
        <v>179.34921063840099</v>
      </c>
      <c r="AG3161">
        <v>11.159998999999999</v>
      </c>
      <c r="AH3161">
        <v>212.03154277829799</v>
      </c>
      <c r="AI3161">
        <v>87.698771377840202</v>
      </c>
      <c r="AJ3161">
        <v>49.773421462957401</v>
      </c>
      <c r="AK3161">
        <v>277.935352316403</v>
      </c>
      <c r="AL3161">
        <v>80.251360405983903</v>
      </c>
      <c r="AM3161">
        <v>80.509762606890604</v>
      </c>
      <c r="AN3161">
        <v>0.99999998117042899</v>
      </c>
    </row>
    <row r="3162" spans="1:40" x14ac:dyDescent="0.25">
      <c r="A3162" t="str">
        <f>"20190304155434032"</f>
        <v>20190304155434032</v>
      </c>
      <c r="B3162" t="str">
        <f>"1551686074020554"</f>
        <v>1551686074020554</v>
      </c>
      <c r="C3162" t="s">
        <v>40</v>
      </c>
      <c r="D3162">
        <v>5.0075450000000004</v>
      </c>
      <c r="E3162">
        <v>0.70969419999999905</v>
      </c>
      <c r="F3162" t="s">
        <v>77</v>
      </c>
      <c r="G3162">
        <v>-450.29239999999999</v>
      </c>
      <c r="H3162">
        <v>9.5528080000000006</v>
      </c>
      <c r="I3162">
        <v>119.6683</v>
      </c>
      <c r="J3162">
        <v>-194.75620000000001</v>
      </c>
      <c r="K3162">
        <v>1.1021379999999901</v>
      </c>
      <c r="L3162">
        <v>151.43369999999999</v>
      </c>
      <c r="M3162">
        <v>-0.69155900000000003</v>
      </c>
      <c r="N3162">
        <v>-1.093422E-2</v>
      </c>
      <c r="O3162">
        <v>-0.72223740000000003</v>
      </c>
      <c r="P3162">
        <v>-0.78844219999999998</v>
      </c>
      <c r="Q3162">
        <v>0.1615366</v>
      </c>
      <c r="R3162">
        <v>-0.59351940000000003</v>
      </c>
      <c r="S3162">
        <v>-3.4758909999999998</v>
      </c>
      <c r="T3162">
        <v>0.1148595</v>
      </c>
      <c r="U3162">
        <v>-0.43441770000000002</v>
      </c>
      <c r="V3162">
        <v>0.1622159</v>
      </c>
      <c r="W3162">
        <v>0.1691484</v>
      </c>
      <c r="X3162">
        <v>0.97214959999999995</v>
      </c>
      <c r="Y3162">
        <v>0.630086699999999</v>
      </c>
      <c r="Z3162">
        <v>-3.6927700000000001E-2</v>
      </c>
      <c r="AA3162">
        <v>0.77564630000000001</v>
      </c>
      <c r="AB3162">
        <v>28</v>
      </c>
      <c r="AC3162">
        <v>-255.53620000000001</v>
      </c>
      <c r="AD3162">
        <v>8.4506700000000006</v>
      </c>
      <c r="AE3162">
        <v>-31.7653999999999</v>
      </c>
      <c r="AF3162">
        <v>162.42491834037699</v>
      </c>
      <c r="AG3162">
        <v>8.4506700000000006</v>
      </c>
      <c r="AH3162">
        <v>199.45761156463101</v>
      </c>
      <c r="AI3162">
        <v>88.118332827808104</v>
      </c>
      <c r="AJ3162">
        <v>50.842936285132303</v>
      </c>
      <c r="AK3162">
        <v>257.36473482665502</v>
      </c>
      <c r="AL3162">
        <v>80.261691183987594</v>
      </c>
      <c r="AM3162">
        <v>80.526727289808406</v>
      </c>
      <c r="AN3162">
        <v>1.0000000121077599</v>
      </c>
    </row>
    <row r="3163" spans="1:40" x14ac:dyDescent="0.25">
      <c r="A3163" t="str">
        <f>"20190304155434054"</f>
        <v>20190304155434054</v>
      </c>
      <c r="B3163" t="str">
        <f>"1551686074049834"</f>
        <v>1551686074049834</v>
      </c>
      <c r="C3163" t="s">
        <v>40</v>
      </c>
      <c r="D3163">
        <v>4.9658579999999999</v>
      </c>
      <c r="E3163">
        <v>0.70266649999999997</v>
      </c>
      <c r="F3163" t="s">
        <v>77</v>
      </c>
      <c r="G3163">
        <v>-440.20710000000003</v>
      </c>
      <c r="H3163">
        <v>7.8283189999999996</v>
      </c>
      <c r="I3163">
        <v>118.57170000000001</v>
      </c>
      <c r="J3163">
        <v>-194.9622</v>
      </c>
      <c r="K3163">
        <v>1.102104</v>
      </c>
      <c r="L3163">
        <v>151.23400000000001</v>
      </c>
      <c r="M3163">
        <v>-0.69897940000000003</v>
      </c>
      <c r="N3163">
        <v>-1.094174E-2</v>
      </c>
      <c r="O3163">
        <v>-0.71505799999999997</v>
      </c>
      <c r="P3163">
        <v>-0.79458130000000005</v>
      </c>
      <c r="Q3163">
        <v>0.16108049999999999</v>
      </c>
      <c r="R3163">
        <v>-0.58540029999999998</v>
      </c>
      <c r="S3163">
        <v>-3.439041</v>
      </c>
      <c r="T3163">
        <v>9.4241619999999998E-2</v>
      </c>
      <c r="U3163">
        <v>-0.46043400000000001</v>
      </c>
      <c r="V3163">
        <v>0.16222249999999999</v>
      </c>
      <c r="W3163">
        <v>0.16868639999999999</v>
      </c>
      <c r="X3163">
        <v>0.9722288</v>
      </c>
      <c r="Y3163">
        <v>0.61540410000000001</v>
      </c>
      <c r="Z3163">
        <v>-3.1140319999999999E-2</v>
      </c>
      <c r="AA3163">
        <v>0.78759639999999997</v>
      </c>
      <c r="AB3163">
        <v>28</v>
      </c>
      <c r="AC3163">
        <v>-245.2449</v>
      </c>
      <c r="AD3163">
        <v>6.7262149999999998</v>
      </c>
      <c r="AE3163">
        <v>-32.662300000000002</v>
      </c>
      <c r="AF3163">
        <v>152.43053259392801</v>
      </c>
      <c r="AG3163">
        <v>6.7262149999999998</v>
      </c>
      <c r="AH3163">
        <v>194.64438299321699</v>
      </c>
      <c r="AI3163">
        <v>88.441563021712994</v>
      </c>
      <c r="AJ3163">
        <v>51.934680164118198</v>
      </c>
      <c r="AK3163">
        <v>247.31911585218199</v>
      </c>
      <c r="AL3163">
        <v>80.288548033803906</v>
      </c>
      <c r="AM3163">
        <v>80.527106599722899</v>
      </c>
      <c r="AN3163">
        <v>1.00000004030032</v>
      </c>
    </row>
    <row r="3164" spans="1:40" x14ac:dyDescent="0.25">
      <c r="A3164" t="str">
        <f>"20190304155434076"</f>
        <v>20190304155434076</v>
      </c>
      <c r="B3164" t="str">
        <f>"1551686074070329"</f>
        <v>1551686074070329</v>
      </c>
      <c r="C3164" t="s">
        <v>40</v>
      </c>
      <c r="D3164">
        <v>4.932868</v>
      </c>
      <c r="E3164">
        <v>0.66425190000000001</v>
      </c>
      <c r="F3164" t="s">
        <v>77</v>
      </c>
      <c r="G3164">
        <v>-439.84660000000002</v>
      </c>
      <c r="H3164">
        <v>6.7427460000000004</v>
      </c>
      <c r="I3164">
        <v>117.434</v>
      </c>
      <c r="J3164">
        <v>-195.16990000000001</v>
      </c>
      <c r="K3164">
        <v>1.10206</v>
      </c>
      <c r="L3164">
        <v>151.0369</v>
      </c>
      <c r="M3164">
        <v>-0.70633319999999999</v>
      </c>
      <c r="N3164">
        <v>-1.095047E-2</v>
      </c>
      <c r="O3164">
        <v>-0.70779499999999995</v>
      </c>
      <c r="P3164">
        <v>-0.80045769999999905</v>
      </c>
      <c r="Q3164">
        <v>0.16048380000000001</v>
      </c>
      <c r="R3164">
        <v>-0.57750579999999996</v>
      </c>
      <c r="S3164">
        <v>-3.4126129999999999</v>
      </c>
      <c r="T3164">
        <v>7.8606129999999996E-2</v>
      </c>
      <c r="U3164">
        <v>-0.47102359999999999</v>
      </c>
      <c r="V3164">
        <v>0.16188859999999999</v>
      </c>
      <c r="W3164">
        <v>0.1680895</v>
      </c>
      <c r="X3164">
        <v>0.97238780000000002</v>
      </c>
      <c r="Y3164">
        <v>0.60415010000000002</v>
      </c>
      <c r="Z3164">
        <v>-2.67149E-2</v>
      </c>
      <c r="AA3164">
        <v>0.79642259999999998</v>
      </c>
      <c r="AB3164">
        <v>28</v>
      </c>
      <c r="AC3164">
        <v>-244.67670000000001</v>
      </c>
      <c r="AD3164">
        <v>5.6406859999999996</v>
      </c>
      <c r="AE3164">
        <v>-33.602899999999998</v>
      </c>
      <c r="AF3164">
        <v>149.377122519777</v>
      </c>
      <c r="AG3164">
        <v>5.6406859999999996</v>
      </c>
      <c r="AH3164">
        <v>196.516494875261</v>
      </c>
      <c r="AI3164">
        <v>88.690952676551802</v>
      </c>
      <c r="AJ3164">
        <v>52.760622463837301</v>
      </c>
      <c r="AK3164">
        <v>246.909041610261</v>
      </c>
      <c r="AL3164">
        <v>80.323243068992994</v>
      </c>
      <c r="AM3164">
        <v>80.547770124830805</v>
      </c>
      <c r="AN3164">
        <v>1.0000000162045199</v>
      </c>
    </row>
    <row r="3165" spans="1:40" x14ac:dyDescent="0.25">
      <c r="A3165" t="str">
        <f>"20190304155434098"</f>
        <v>20190304155434098</v>
      </c>
      <c r="B3165" t="str">
        <f>"1551686074090542"</f>
        <v>1551686074090542</v>
      </c>
      <c r="C3165" t="s">
        <v>40</v>
      </c>
      <c r="D3165">
        <v>4.9516489999999997</v>
      </c>
      <c r="E3165">
        <v>0.66314450000000003</v>
      </c>
      <c r="F3165" t="s">
        <v>70</v>
      </c>
      <c r="G3165">
        <v>-345.36520000000002</v>
      </c>
      <c r="H3165">
        <v>1.78810299999999</v>
      </c>
      <c r="I3165">
        <v>119.1985</v>
      </c>
      <c r="J3165">
        <v>-195.3758</v>
      </c>
      <c r="K3165">
        <v>1.1020080000000001</v>
      </c>
      <c r="L3165">
        <v>150.84540000000001</v>
      </c>
      <c r="M3165">
        <v>-0.71351430000000005</v>
      </c>
      <c r="N3165">
        <v>-1.096017E-2</v>
      </c>
      <c r="O3165">
        <v>-0.70055489999999998</v>
      </c>
      <c r="P3165">
        <v>-0.80639519999999998</v>
      </c>
      <c r="Q3165">
        <v>0.16057569999999999</v>
      </c>
      <c r="R3165">
        <v>-0.56915919999999998</v>
      </c>
      <c r="S3165">
        <v>-3.2481230000000001</v>
      </c>
      <c r="T3165">
        <v>1.483667E-2</v>
      </c>
      <c r="U3165">
        <v>-0.68853759999999997</v>
      </c>
      <c r="V3165">
        <v>0.1620827</v>
      </c>
      <c r="W3165">
        <v>0.1681685</v>
      </c>
      <c r="X3165">
        <v>0.97234180000000003</v>
      </c>
      <c r="Y3165">
        <v>0.53731719999999905</v>
      </c>
      <c r="Z3165">
        <v>-9.4584270000000002E-3</v>
      </c>
      <c r="AA3165">
        <v>0.84332719999999906</v>
      </c>
      <c r="AB3165">
        <v>28</v>
      </c>
      <c r="AC3165">
        <v>-149.98939999999999</v>
      </c>
      <c r="AD3165">
        <v>0.68609499999999901</v>
      </c>
      <c r="AE3165">
        <v>-31.646899999999999</v>
      </c>
      <c r="AF3165">
        <v>82.498598194234404</v>
      </c>
      <c r="AG3165">
        <v>0.68609499999999901</v>
      </c>
      <c r="AH3165">
        <v>129.19514798763399</v>
      </c>
      <c r="AI3165">
        <v>89.743555118152798</v>
      </c>
      <c r="AJ3165">
        <v>57.4394071357992</v>
      </c>
      <c r="AK3165">
        <v>153.290168288476</v>
      </c>
      <c r="AL3165">
        <v>80.318651288637298</v>
      </c>
      <c r="AM3165">
        <v>80.536202429833907</v>
      </c>
      <c r="AN3165">
        <v>1.0000000110293901</v>
      </c>
    </row>
    <row r="3166" spans="1:40" x14ac:dyDescent="0.25">
      <c r="A3166" t="str">
        <f>"20190304155434122"</f>
        <v>20190304155434122</v>
      </c>
      <c r="B3166" t="str">
        <f>"1551686074110062"</f>
        <v>1551686074110062</v>
      </c>
      <c r="C3166" t="s">
        <v>40</v>
      </c>
      <c r="D3166">
        <v>5.0101180000000003</v>
      </c>
      <c r="E3166">
        <v>0.66021260000000004</v>
      </c>
      <c r="F3166" t="s">
        <v>70</v>
      </c>
      <c r="G3166">
        <v>-351.63459999999998</v>
      </c>
      <c r="H3166">
        <v>1.264105</v>
      </c>
      <c r="I3166">
        <v>119.00020000000001</v>
      </c>
      <c r="J3166">
        <v>-195.59649999999999</v>
      </c>
      <c r="K3166">
        <v>1.101953</v>
      </c>
      <c r="L3166">
        <v>150.64449999999999</v>
      </c>
      <c r="M3166">
        <v>-0.7210879</v>
      </c>
      <c r="N3166">
        <v>-1.097132E-2</v>
      </c>
      <c r="O3166">
        <v>-0.69275679999999995</v>
      </c>
      <c r="P3166">
        <v>-0.81268839999999998</v>
      </c>
      <c r="Q3166">
        <v>0.16088740000000001</v>
      </c>
      <c r="R3166">
        <v>-0.56004759999999998</v>
      </c>
      <c r="S3166">
        <v>-3.251846</v>
      </c>
      <c r="T3166">
        <v>3.3736230000000001E-3</v>
      </c>
      <c r="U3166">
        <v>-0.66271969999999902</v>
      </c>
      <c r="V3166">
        <v>0.1624427</v>
      </c>
      <c r="W3166">
        <v>0.16846079999999999</v>
      </c>
      <c r="X3166">
        <v>0.97223110000000001</v>
      </c>
      <c r="Y3166">
        <v>0.53478899999999996</v>
      </c>
      <c r="Z3166">
        <v>-6.2239790000000001E-3</v>
      </c>
      <c r="AA3166">
        <v>0.84496269999999996</v>
      </c>
      <c r="AB3166">
        <v>28</v>
      </c>
      <c r="AC3166">
        <v>-156.03809999999999</v>
      </c>
      <c r="AD3166">
        <v>0.16215199999999999</v>
      </c>
      <c r="AE3166">
        <v>-31.644299999999902</v>
      </c>
      <c r="AF3166">
        <v>85.283172629528707</v>
      </c>
      <c r="AG3166">
        <v>0.16215199999999999</v>
      </c>
      <c r="AH3166">
        <v>134.446934713594</v>
      </c>
      <c r="AI3166">
        <v>89.941647068074204</v>
      </c>
      <c r="AJ3166">
        <v>57.6119856514714</v>
      </c>
      <c r="AK3166">
        <v>159.214396588093</v>
      </c>
      <c r="AL3166">
        <v>80.301661154612503</v>
      </c>
      <c r="AM3166">
        <v>80.514503685379907</v>
      </c>
      <c r="AN3166">
        <v>0.99999999186357003</v>
      </c>
    </row>
    <row r="3167" spans="1:40" x14ac:dyDescent="0.25">
      <c r="A3167" t="str">
        <f>"20190304155434145"</f>
        <v>20190304155434145</v>
      </c>
      <c r="B3167" t="str">
        <f>"1551686074140318"</f>
        <v>1551686074140318</v>
      </c>
      <c r="C3167" t="s">
        <v>40</v>
      </c>
      <c r="D3167">
        <v>4.9144519999999998</v>
      </c>
      <c r="E3167">
        <v>0.66055019999999998</v>
      </c>
      <c r="F3167" t="s">
        <v>70</v>
      </c>
      <c r="G3167">
        <v>-354.58960000000002</v>
      </c>
      <c r="H3167">
        <v>0.9630611</v>
      </c>
      <c r="I3167">
        <v>119.0001</v>
      </c>
      <c r="J3167">
        <v>-195.8201</v>
      </c>
      <c r="K3167">
        <v>1.1018939999999999</v>
      </c>
      <c r="L3167">
        <v>150.44569999999999</v>
      </c>
      <c r="M3167">
        <v>-0.72863659999999997</v>
      </c>
      <c r="N3167">
        <v>-1.0983130000000001E-2</v>
      </c>
      <c r="O3167">
        <v>-0.68481250000000005</v>
      </c>
      <c r="P3167">
        <v>-0.8190771</v>
      </c>
      <c r="Q3167">
        <v>0.1607372</v>
      </c>
      <c r="R3167">
        <v>-0.55070559999999902</v>
      </c>
      <c r="S3167">
        <v>-3.2467190000000001</v>
      </c>
      <c r="T3167">
        <v>-2.8359890000000001E-3</v>
      </c>
      <c r="U3167">
        <v>-0.64619450000000001</v>
      </c>
      <c r="V3167">
        <v>0.16296169999999999</v>
      </c>
      <c r="W3167">
        <v>0.1682892</v>
      </c>
      <c r="X3167">
        <v>0.97217399999999998</v>
      </c>
      <c r="Y3167">
        <v>0.52939939999999996</v>
      </c>
      <c r="Z3167">
        <v>-4.4638229999999996E-3</v>
      </c>
      <c r="AA3167">
        <v>0.84836100000000003</v>
      </c>
      <c r="AB3167">
        <v>28</v>
      </c>
      <c r="AC3167">
        <v>-158.76949999999999</v>
      </c>
      <c r="AD3167">
        <v>-0.13883290000000001</v>
      </c>
      <c r="AE3167">
        <v>-31.445599999999899</v>
      </c>
      <c r="AF3167">
        <v>85.820032753201303</v>
      </c>
      <c r="AG3167">
        <v>-0.13883290000000001</v>
      </c>
      <c r="AH3167">
        <v>137.22777896163601</v>
      </c>
      <c r="AI3167">
        <v>90.049146539436407</v>
      </c>
      <c r="AJ3167">
        <v>57.978805534813397</v>
      </c>
      <c r="AK3167">
        <v>161.853515918185</v>
      </c>
      <c r="AL3167">
        <v>80.311635871561705</v>
      </c>
      <c r="AM3167">
        <v>80.484202434502706</v>
      </c>
      <c r="AN3167">
        <v>1.0000000283897601</v>
      </c>
    </row>
    <row r="3168" spans="1:40" x14ac:dyDescent="0.25">
      <c r="A3168" t="str">
        <f>"20190304155434168"</f>
        <v>20190304155434168</v>
      </c>
      <c r="B3168" t="str">
        <f>"1551686074160815"</f>
        <v>1551686074160815</v>
      </c>
      <c r="C3168" t="s">
        <v>40</v>
      </c>
      <c r="D3168">
        <v>4.9900549999999999</v>
      </c>
      <c r="E3168">
        <v>0.65901730000000003</v>
      </c>
      <c r="F3168" t="s">
        <v>70</v>
      </c>
      <c r="G3168">
        <v>-364.60250000000002</v>
      </c>
      <c r="H3168">
        <v>1.4288069999999999</v>
      </c>
      <c r="I3168">
        <v>119.00020000000001</v>
      </c>
      <c r="J3168">
        <v>-196.04519999999999</v>
      </c>
      <c r="K3168">
        <v>1.101842</v>
      </c>
      <c r="L3168">
        <v>150.25</v>
      </c>
      <c r="M3168">
        <v>-0.73610559999999903</v>
      </c>
      <c r="N3168">
        <v>-1.099466E-2</v>
      </c>
      <c r="O3168">
        <v>-0.67677739999999997</v>
      </c>
      <c r="P3168">
        <v>-0.82541730000000002</v>
      </c>
      <c r="Q3168">
        <v>0.1603446</v>
      </c>
      <c r="R3168">
        <v>-0.54127250000000005</v>
      </c>
      <c r="S3168">
        <v>-3.2538450000000001</v>
      </c>
      <c r="T3168">
        <v>6.3025950000000002E-3</v>
      </c>
      <c r="U3168">
        <v>-0.60621639999999999</v>
      </c>
      <c r="V3168">
        <v>0.163516299999999</v>
      </c>
      <c r="W3168">
        <v>0.1678761</v>
      </c>
      <c r="X3168">
        <v>0.97215229999999997</v>
      </c>
      <c r="Y3168">
        <v>0.53048399999999996</v>
      </c>
      <c r="Z3168">
        <v>-6.8084629999999998E-3</v>
      </c>
      <c r="AA3168">
        <v>0.84766759999999997</v>
      </c>
      <c r="AB3168">
        <v>28</v>
      </c>
      <c r="AC3168">
        <v>-168.5573</v>
      </c>
      <c r="AD3168">
        <v>0.32696499999999901</v>
      </c>
      <c r="AE3168">
        <v>-31.2498</v>
      </c>
      <c r="AF3168">
        <v>91.077792828973998</v>
      </c>
      <c r="AG3168">
        <v>0.32696499999999901</v>
      </c>
      <c r="AH3168">
        <v>145.23338192604501</v>
      </c>
      <c r="AI3168">
        <v>89.890720399587195</v>
      </c>
      <c r="AJ3168">
        <v>57.9076263352014</v>
      </c>
      <c r="AK3168">
        <v>171.42930460800801</v>
      </c>
      <c r="AL3168">
        <v>80.335646371308897</v>
      </c>
      <c r="AM3168">
        <v>80.452203767117595</v>
      </c>
      <c r="AN3168">
        <v>1.00000002985609</v>
      </c>
    </row>
    <row r="3169" spans="1:40" x14ac:dyDescent="0.25">
      <c r="A3169" t="str">
        <f>"20190304155434188"</f>
        <v>20190304155434188</v>
      </c>
      <c r="B3169" t="str">
        <f>"1551686074180335"</f>
        <v>1551686074180335</v>
      </c>
      <c r="C3169" t="s">
        <v>40</v>
      </c>
      <c r="D3169">
        <v>4.857475</v>
      </c>
      <c r="E3169">
        <v>0.65831119999999899</v>
      </c>
      <c r="F3169" t="s">
        <v>70</v>
      </c>
      <c r="G3169">
        <v>-368.61149999999998</v>
      </c>
      <c r="H3169">
        <v>1.182653</v>
      </c>
      <c r="I3169">
        <v>119.52719999999999</v>
      </c>
      <c r="J3169">
        <v>-196.24369999999999</v>
      </c>
      <c r="K3169">
        <v>1.1017920000000001</v>
      </c>
      <c r="L3169">
        <v>150.08090000000001</v>
      </c>
      <c r="M3169">
        <v>-0.74258659999999999</v>
      </c>
      <c r="N3169">
        <v>-1.100423E-2</v>
      </c>
      <c r="O3169">
        <v>-0.66966000000000003</v>
      </c>
      <c r="P3169">
        <v>-0.83081329999999998</v>
      </c>
      <c r="Q3169">
        <v>0.1603291</v>
      </c>
      <c r="R3169">
        <v>-0.53295789999999998</v>
      </c>
      <c r="S3169">
        <v>-3.2542879999999998</v>
      </c>
      <c r="T3169">
        <v>1.52421E-3</v>
      </c>
      <c r="U3169">
        <v>-0.57937620000000001</v>
      </c>
      <c r="V3169">
        <v>0.16393869999999999</v>
      </c>
      <c r="W3169">
        <v>0.16784370000000001</v>
      </c>
      <c r="X3169">
        <v>0.97208669999999997</v>
      </c>
      <c r="Y3169">
        <v>0.52911969999999997</v>
      </c>
      <c r="Z3169">
        <v>-5.436878E-3</v>
      </c>
      <c r="AA3169">
        <v>0.8485298</v>
      </c>
      <c r="AB3169">
        <v>28</v>
      </c>
      <c r="AC3169">
        <v>-172.36779999999999</v>
      </c>
      <c r="AD3169">
        <v>8.0861000000000002E-2</v>
      </c>
      <c r="AE3169">
        <v>-30.553699999999999</v>
      </c>
      <c r="AF3169">
        <v>92.744626830758193</v>
      </c>
      <c r="AG3169">
        <v>8.0861000000000002E-2</v>
      </c>
      <c r="AH3169">
        <v>148.46753240205399</v>
      </c>
      <c r="AI3169">
        <v>89.973534034030905</v>
      </c>
      <c r="AJ3169">
        <v>58.007822950256397</v>
      </c>
      <c r="AK3169">
        <v>175.05479291362701</v>
      </c>
      <c r="AL3169">
        <v>80.337528974614301</v>
      </c>
      <c r="AM3169">
        <v>80.427361417598604</v>
      </c>
      <c r="AN3169">
        <v>0.99999997865213397</v>
      </c>
    </row>
    <row r="3170" spans="1:40" x14ac:dyDescent="0.25">
      <c r="A3170" t="str">
        <f>"20190304155434210"</f>
        <v>20190304155434210</v>
      </c>
      <c r="B3170" t="str">
        <f>"1551686074200831"</f>
        <v>1551686074200831</v>
      </c>
      <c r="C3170" t="s">
        <v>40</v>
      </c>
      <c r="D3170">
        <v>4.8472390000000001</v>
      </c>
      <c r="E3170">
        <v>0.65745290000000001</v>
      </c>
      <c r="F3170" t="s">
        <v>78</v>
      </c>
      <c r="G3170">
        <v>-372.82170000000002</v>
      </c>
      <c r="H3170">
        <v>1.3327340000000001</v>
      </c>
      <c r="I3170">
        <v>120.1908</v>
      </c>
      <c r="J3170">
        <v>-196.46170000000001</v>
      </c>
      <c r="K3170">
        <v>1.1017490000000001</v>
      </c>
      <c r="L3170">
        <v>149.899</v>
      </c>
      <c r="M3170">
        <v>-0.74958579999999997</v>
      </c>
      <c r="N3170">
        <v>-1.101423E-2</v>
      </c>
      <c r="O3170">
        <v>-0.66181569999999901</v>
      </c>
      <c r="P3170">
        <v>-0.83647299999999902</v>
      </c>
      <c r="Q3170">
        <v>0.16021969999999999</v>
      </c>
      <c r="R3170">
        <v>-0.52406339999999996</v>
      </c>
      <c r="S3170">
        <v>-3.2564850000000001</v>
      </c>
      <c r="T3170">
        <v>4.2591089999999996E-3</v>
      </c>
      <c r="U3170">
        <v>-0.55123900000000003</v>
      </c>
      <c r="V3170">
        <v>0.1641194</v>
      </c>
      <c r="W3170">
        <v>0.16772379999999901</v>
      </c>
      <c r="X3170">
        <v>0.97207699999999997</v>
      </c>
      <c r="Y3170">
        <v>0.52740940000000003</v>
      </c>
      <c r="Z3170">
        <v>-6.0642359999999998E-3</v>
      </c>
      <c r="AA3170">
        <v>0.84958959999999994</v>
      </c>
      <c r="AB3170">
        <v>28</v>
      </c>
      <c r="AC3170">
        <v>-176.36</v>
      </c>
      <c r="AD3170">
        <v>0.230985</v>
      </c>
      <c r="AE3170">
        <v>-29.708200000000001</v>
      </c>
      <c r="AF3170">
        <v>94.454534198343296</v>
      </c>
      <c r="AG3170">
        <v>0.230985</v>
      </c>
      <c r="AH3170">
        <v>151.867247979083</v>
      </c>
      <c r="AI3170">
        <v>89.926000153529003</v>
      </c>
      <c r="AJ3170">
        <v>58.120263292190003</v>
      </c>
      <c r="AK3170">
        <v>178.84455091904999</v>
      </c>
      <c r="AL3170">
        <v>80.344498438392193</v>
      </c>
      <c r="AM3170">
        <v>80.416911783004707</v>
      </c>
      <c r="AN3170">
        <v>1.0000000722358899</v>
      </c>
    </row>
    <row r="3171" spans="1:40" x14ac:dyDescent="0.25">
      <c r="A3171" t="str">
        <f>"20190304155434234"</f>
        <v>20190304155434234</v>
      </c>
      <c r="B3171" t="str">
        <f>"1551686074230111"</f>
        <v>1551686074230111</v>
      </c>
      <c r="C3171" t="s">
        <v>40</v>
      </c>
      <c r="D3171">
        <v>4.7336390000000002</v>
      </c>
      <c r="E3171">
        <v>0.64439250000000003</v>
      </c>
      <c r="F3171" t="s">
        <v>78</v>
      </c>
      <c r="G3171">
        <v>-385.26400000000001</v>
      </c>
      <c r="H3171">
        <v>1.471784</v>
      </c>
      <c r="I3171">
        <v>119.61960000000001</v>
      </c>
      <c r="J3171">
        <v>-196.69059999999999</v>
      </c>
      <c r="K3171">
        <v>1.101709</v>
      </c>
      <c r="L3171">
        <v>149.71209999999999</v>
      </c>
      <c r="M3171">
        <v>-0.75680449999999999</v>
      </c>
      <c r="N3171">
        <v>-1.102413E-2</v>
      </c>
      <c r="O3171">
        <v>-0.65354869999999898</v>
      </c>
      <c r="P3171">
        <v>-0.84217070000000005</v>
      </c>
      <c r="Q3171">
        <v>0.1603213</v>
      </c>
      <c r="R3171">
        <v>-0.51482629999999996</v>
      </c>
      <c r="S3171">
        <v>-3.2579039999999999</v>
      </c>
      <c r="T3171">
        <v>6.3852070000000004E-3</v>
      </c>
      <c r="U3171">
        <v>-0.5224915</v>
      </c>
      <c r="V3171">
        <v>0.16415370000000001</v>
      </c>
      <c r="W3171">
        <v>0.1678192</v>
      </c>
      <c r="X3171">
        <v>0.97205469999999905</v>
      </c>
      <c r="Y3171">
        <v>0.5254392</v>
      </c>
      <c r="Z3171">
        <v>-6.5167360000000004E-3</v>
      </c>
      <c r="AA3171">
        <v>0.85080619999999996</v>
      </c>
      <c r="AB3171">
        <v>28</v>
      </c>
      <c r="AC3171">
        <v>-188.57339999999999</v>
      </c>
      <c r="AD3171">
        <v>0.37007499999999899</v>
      </c>
      <c r="AE3171">
        <v>-30.092499999999902</v>
      </c>
      <c r="AF3171">
        <v>100.473464792068</v>
      </c>
      <c r="AG3171">
        <v>0.37007499999999899</v>
      </c>
      <c r="AH3171">
        <v>162.38933064403801</v>
      </c>
      <c r="AI3171">
        <v>89.888961786416104</v>
      </c>
      <c r="AJ3171">
        <v>58.254108336073003</v>
      </c>
      <c r="AK3171">
        <v>190.95902385026801</v>
      </c>
      <c r="AL3171">
        <v>80.338953424129102</v>
      </c>
      <c r="AM3171">
        <v>80.414730316506606</v>
      </c>
      <c r="AN3171">
        <v>1.0000000304522001</v>
      </c>
    </row>
    <row r="3172" spans="1:40" x14ac:dyDescent="0.25">
      <c r="A3172" t="str">
        <f>"20190304155434256"</f>
        <v>20190304155434256</v>
      </c>
      <c r="B3172" t="str">
        <f>"1551686074250606"</f>
        <v>1551686074250606</v>
      </c>
      <c r="C3172" t="s">
        <v>40</v>
      </c>
      <c r="D3172">
        <v>4.7311769999999997</v>
      </c>
      <c r="E3172">
        <v>0.64520339999999998</v>
      </c>
      <c r="F3172" t="s">
        <v>70</v>
      </c>
      <c r="G3172">
        <v>-367.72809999999998</v>
      </c>
      <c r="H3172">
        <v>2.1874310000000001</v>
      </c>
      <c r="I3172">
        <v>119.0005</v>
      </c>
      <c r="J3172">
        <v>-196.9187</v>
      </c>
      <c r="K3172">
        <v>1.1016729999999999</v>
      </c>
      <c r="L3172">
        <v>149.5299</v>
      </c>
      <c r="M3172">
        <v>-0.76385619999999999</v>
      </c>
      <c r="N3172">
        <v>-1.103322E-2</v>
      </c>
      <c r="O3172">
        <v>-0.64529250000000005</v>
      </c>
      <c r="P3172">
        <v>-0.84778509999999996</v>
      </c>
      <c r="Q3172">
        <v>0.1596236</v>
      </c>
      <c r="R3172">
        <v>-0.50574809999999903</v>
      </c>
      <c r="S3172">
        <v>-3.2064059999999999</v>
      </c>
      <c r="T3172">
        <v>2.0354029999999999E-2</v>
      </c>
      <c r="U3172">
        <v>-0.57574459999999905</v>
      </c>
      <c r="V3172">
        <v>0.1641272</v>
      </c>
      <c r="W3172">
        <v>0.1671192</v>
      </c>
      <c r="X3172">
        <v>0.97217969999999998</v>
      </c>
      <c r="Y3172">
        <v>0.5000753</v>
      </c>
      <c r="Z3172">
        <v>-1.017173E-2</v>
      </c>
      <c r="AA3172">
        <v>0.86592219999999998</v>
      </c>
      <c r="AB3172">
        <v>28</v>
      </c>
      <c r="AC3172">
        <v>-170.80939999999899</v>
      </c>
      <c r="AD3172">
        <v>1.085758</v>
      </c>
      <c r="AE3172">
        <v>-30.5293999999999</v>
      </c>
      <c r="AF3172">
        <v>86.903821443139407</v>
      </c>
      <c r="AG3172">
        <v>1.085758</v>
      </c>
      <c r="AH3172">
        <v>150.17744041265999</v>
      </c>
      <c r="AI3172">
        <v>89.641468921948899</v>
      </c>
      <c r="AJ3172">
        <v>59.943137662340099</v>
      </c>
      <c r="AK3172">
        <v>173.512871743723</v>
      </c>
      <c r="AL3172">
        <v>80.379634386025103</v>
      </c>
      <c r="AM3172">
        <v>80.417458400547204</v>
      </c>
      <c r="AN3172">
        <v>0.99999996694028404</v>
      </c>
    </row>
    <row r="3173" spans="1:40" x14ac:dyDescent="0.25">
      <c r="A3173" t="str">
        <f>"20190304155434278"</f>
        <v>20190304155434278</v>
      </c>
      <c r="B3173" t="str">
        <f>"1551686074270126"</f>
        <v>1551686074270126</v>
      </c>
      <c r="C3173" t="s">
        <v>40</v>
      </c>
      <c r="D3173">
        <v>4.653016</v>
      </c>
      <c r="E3173">
        <v>0.64453300000000002</v>
      </c>
      <c r="F3173" t="s">
        <v>78</v>
      </c>
      <c r="G3173">
        <v>-372.9579</v>
      </c>
      <c r="H3173">
        <v>1.478089</v>
      </c>
      <c r="I3173">
        <v>120.19070000000001</v>
      </c>
      <c r="J3173">
        <v>-197.15170000000001</v>
      </c>
      <c r="K3173">
        <v>1.1016459999999999</v>
      </c>
      <c r="L3173">
        <v>149.34780000000001</v>
      </c>
      <c r="M3173">
        <v>-0.7709163</v>
      </c>
      <c r="N3173">
        <v>-1.10417E-2</v>
      </c>
      <c r="O3173">
        <v>-0.63684090000000004</v>
      </c>
      <c r="P3173">
        <v>-0.85346679999999997</v>
      </c>
      <c r="Q3173">
        <v>0.15901170000000001</v>
      </c>
      <c r="R3173">
        <v>-0.49629630000000002</v>
      </c>
      <c r="S3173">
        <v>-3.217422</v>
      </c>
      <c r="T3173">
        <v>6.8796869999999998E-3</v>
      </c>
      <c r="U3173">
        <v>-0.53622440000000005</v>
      </c>
      <c r="V3173">
        <v>0.16429589999999999</v>
      </c>
      <c r="W3173">
        <v>0.16650139999999999</v>
      </c>
      <c r="X3173">
        <v>0.97225729999999999</v>
      </c>
      <c r="Y3173">
        <v>0.50141919999999995</v>
      </c>
      <c r="Z3173">
        <v>-6.523778E-3</v>
      </c>
      <c r="AA3173">
        <v>0.8651799</v>
      </c>
      <c r="AB3173">
        <v>28</v>
      </c>
      <c r="AC3173">
        <v>-175.80619999999999</v>
      </c>
      <c r="AD3173">
        <v>0.37644300000000003</v>
      </c>
      <c r="AE3173">
        <v>-29.1571</v>
      </c>
      <c r="AF3173">
        <v>89.487942388872995</v>
      </c>
      <c r="AG3173">
        <v>0.37644300000000003</v>
      </c>
      <c r="AH3173">
        <v>154.10899126620799</v>
      </c>
      <c r="AI3173">
        <v>89.8789689291591</v>
      </c>
      <c r="AJ3173">
        <v>59.857140192870901</v>
      </c>
      <c r="AK3173">
        <v>178.20722412802101</v>
      </c>
      <c r="AL3173">
        <v>80.415535602473497</v>
      </c>
      <c r="AM3173">
        <v>80.408543169458696</v>
      </c>
      <c r="AN3173">
        <v>1.00000005818102</v>
      </c>
    </row>
    <row r="3174" spans="1:40" x14ac:dyDescent="0.25">
      <c r="A3174" t="str">
        <f>"20190304155434300"</f>
        <v>20190304155434300</v>
      </c>
      <c r="B3174" t="str">
        <f>"1551686074290622"</f>
        <v>1551686074290622</v>
      </c>
      <c r="C3174" t="s">
        <v>40</v>
      </c>
      <c r="D3174">
        <v>4.089969</v>
      </c>
      <c r="E3174">
        <v>0.65346329999999997</v>
      </c>
      <c r="F3174" t="s">
        <v>78</v>
      </c>
      <c r="G3174">
        <v>-387.02719999999999</v>
      </c>
      <c r="H3174">
        <v>1.7020849999999901</v>
      </c>
      <c r="I3174">
        <v>119.6195</v>
      </c>
      <c r="J3174">
        <v>-197.37119999999999</v>
      </c>
      <c r="K3174">
        <v>1.1016239999999999</v>
      </c>
      <c r="L3174">
        <v>149.18020000000001</v>
      </c>
      <c r="M3174">
        <v>-0.77742679999999997</v>
      </c>
      <c r="N3174">
        <v>-1.104894E-2</v>
      </c>
      <c r="O3174">
        <v>-0.6288764</v>
      </c>
      <c r="P3174">
        <v>-0.85835839999999997</v>
      </c>
      <c r="Q3174">
        <v>0.15963729999999901</v>
      </c>
      <c r="R3174">
        <v>-0.48758269999999998</v>
      </c>
      <c r="S3174">
        <v>-3.2200160000000002</v>
      </c>
      <c r="T3174">
        <v>1.018262E-2</v>
      </c>
      <c r="U3174">
        <v>-0.5041504</v>
      </c>
      <c r="V3174">
        <v>0.1641397</v>
      </c>
      <c r="W3174">
        <v>0.16712769999999999</v>
      </c>
      <c r="X3174">
        <v>0.97217609999999999</v>
      </c>
      <c r="Y3174">
        <v>0.50102369999999996</v>
      </c>
      <c r="Z3174">
        <v>-7.2584210000000001E-3</v>
      </c>
      <c r="AA3174">
        <v>0.86540309999999898</v>
      </c>
      <c r="AB3174">
        <v>28</v>
      </c>
      <c r="AC3174">
        <v>-189.65599999999901</v>
      </c>
      <c r="AD3174">
        <v>0.60046099999999902</v>
      </c>
      <c r="AE3174">
        <v>-29.560700000000001</v>
      </c>
      <c r="AF3174">
        <v>96.293836052903103</v>
      </c>
      <c r="AG3174">
        <v>0.60046099999999902</v>
      </c>
      <c r="AH3174">
        <v>166.04219151308101</v>
      </c>
      <c r="AI3174">
        <v>89.820761457911999</v>
      </c>
      <c r="AJ3174">
        <v>59.889012961253101</v>
      </c>
      <c r="AK3174">
        <v>191.944973306577</v>
      </c>
      <c r="AL3174">
        <v>80.379140156517906</v>
      </c>
      <c r="AM3174">
        <v>80.416707295849804</v>
      </c>
      <c r="AN3174">
        <v>0.99999993931729303</v>
      </c>
    </row>
    <row r="3175" spans="1:40" x14ac:dyDescent="0.25">
      <c r="A3175" t="str">
        <f>"20190304155434323"</f>
        <v>20190304155434323</v>
      </c>
      <c r="B3175" t="str">
        <f>"1551686074319903"</f>
        <v>1551686074319903</v>
      </c>
      <c r="C3175" t="s">
        <v>40</v>
      </c>
      <c r="D3175">
        <v>4.5068539999999997</v>
      </c>
      <c r="E3175">
        <v>0.64673239999999999</v>
      </c>
      <c r="F3175" t="s">
        <v>77</v>
      </c>
      <c r="G3175">
        <v>-440.20710000000003</v>
      </c>
      <c r="H3175">
        <v>3.5772710000000001</v>
      </c>
      <c r="I3175">
        <v>118.6879</v>
      </c>
      <c r="J3175">
        <v>-197.61019999999999</v>
      </c>
      <c r="K3175">
        <v>1.101594</v>
      </c>
      <c r="L3175">
        <v>149.0016</v>
      </c>
      <c r="M3175">
        <v>-0.78436989999999995</v>
      </c>
      <c r="N3175">
        <v>-1.105621E-2</v>
      </c>
      <c r="O3175">
        <v>-0.62019499999999905</v>
      </c>
      <c r="P3175">
        <v>-0.86345139999999998</v>
      </c>
      <c r="Q3175">
        <v>0.15977189999999999</v>
      </c>
      <c r="R3175">
        <v>-0.47846119999999998</v>
      </c>
      <c r="S3175">
        <v>-3.2565770000000001</v>
      </c>
      <c r="T3175">
        <v>3.3200260000000002E-2</v>
      </c>
      <c r="U3175">
        <v>-0.40892030000000001</v>
      </c>
      <c r="V3175">
        <v>0.16362789999999999</v>
      </c>
      <c r="W3175">
        <v>0.16727159999999999</v>
      </c>
      <c r="X3175">
        <v>0.97223769999999998</v>
      </c>
      <c r="Y3175">
        <v>0.51753439999999995</v>
      </c>
      <c r="Z3175">
        <v>-1.292427E-2</v>
      </c>
      <c r="AA3175">
        <v>0.85556480000000001</v>
      </c>
      <c r="AB3175">
        <v>29</v>
      </c>
      <c r="AC3175">
        <v>-242.59690000000001</v>
      </c>
      <c r="AD3175">
        <v>2.4756770000000001</v>
      </c>
      <c r="AE3175">
        <v>-30.313700000000001</v>
      </c>
      <c r="AF3175">
        <v>126.674971030184</v>
      </c>
      <c r="AG3175">
        <v>2.4756770000000001</v>
      </c>
      <c r="AH3175">
        <v>209.077430498138</v>
      </c>
      <c r="AI3175">
        <v>89.419774564236604</v>
      </c>
      <c r="AJ3175">
        <v>58.789338868989198</v>
      </c>
      <c r="AK3175">
        <v>244.47095779623899</v>
      </c>
      <c r="AL3175">
        <v>80.370778276029398</v>
      </c>
      <c r="AM3175">
        <v>80.446631234557998</v>
      </c>
      <c r="AN3175">
        <v>1.00000001156313</v>
      </c>
    </row>
    <row r="3176" spans="1:40" x14ac:dyDescent="0.25">
      <c r="A3176" t="str">
        <f>"20190304155434357"</f>
        <v>20190304155434357</v>
      </c>
      <c r="B3176" t="str">
        <f>"1551686074350158"</f>
        <v>1551686074350158</v>
      </c>
      <c r="C3176" t="s">
        <v>40</v>
      </c>
      <c r="D3176">
        <v>4.4712560000000003</v>
      </c>
      <c r="E3176">
        <v>0.64236959999999999</v>
      </c>
      <c r="F3176" t="s">
        <v>77</v>
      </c>
      <c r="G3176">
        <v>-440.20710000000003</v>
      </c>
      <c r="H3176">
        <v>2.405214</v>
      </c>
      <c r="I3176">
        <v>117.3921</v>
      </c>
      <c r="J3176">
        <v>-197.9717</v>
      </c>
      <c r="K3176">
        <v>1.101566</v>
      </c>
      <c r="L3176">
        <v>148.73949999999999</v>
      </c>
      <c r="M3176">
        <v>-0.79457659999999997</v>
      </c>
      <c r="N3176">
        <v>-1.106625E-2</v>
      </c>
      <c r="O3176">
        <v>-0.60706309999999997</v>
      </c>
      <c r="P3176">
        <v>-0.87096010000000001</v>
      </c>
      <c r="Q3176">
        <v>0.16009870000000001</v>
      </c>
      <c r="R3176">
        <v>-0.46453939999999999</v>
      </c>
      <c r="S3176">
        <v>-3.237457</v>
      </c>
      <c r="T3176">
        <v>1.739717E-2</v>
      </c>
      <c r="U3176">
        <v>-0.42182920000000002</v>
      </c>
      <c r="V3176">
        <v>0.16304449999999901</v>
      </c>
      <c r="W3176">
        <v>0.16760910000000001</v>
      </c>
      <c r="X3176">
        <v>0.97227759999999996</v>
      </c>
      <c r="Y3176">
        <v>0.49926680000000001</v>
      </c>
      <c r="Z3176">
        <v>-8.7331479999999996E-3</v>
      </c>
      <c r="AA3176">
        <v>0.86640430000000002</v>
      </c>
      <c r="AB3176">
        <v>29</v>
      </c>
      <c r="AC3176">
        <v>-242.2354</v>
      </c>
      <c r="AD3176">
        <v>1.3036479999999999</v>
      </c>
      <c r="AE3176">
        <v>-31.3474</v>
      </c>
      <c r="AF3176">
        <v>122.148259914752</v>
      </c>
      <c r="AG3176">
        <v>1.3036479999999999</v>
      </c>
      <c r="AH3176">
        <v>211.51135252920301</v>
      </c>
      <c r="AI3176">
        <v>89.694193130167093</v>
      </c>
      <c r="AJ3176">
        <v>59.9934740191053</v>
      </c>
      <c r="AK3176">
        <v>244.25181503326101</v>
      </c>
      <c r="AL3176">
        <v>80.351164175895207</v>
      </c>
      <c r="AM3176">
        <v>80.480451876100005</v>
      </c>
      <c r="AN3176">
        <v>1.0000000254224</v>
      </c>
    </row>
    <row r="3177" spans="1:40" x14ac:dyDescent="0.25">
      <c r="A3177" t="str">
        <f>"20190304155434379"</f>
        <v>20190304155434379</v>
      </c>
      <c r="B3177" t="str">
        <f>"1551686074370655"</f>
        <v>1551686074370655</v>
      </c>
      <c r="C3177" t="s">
        <v>40</v>
      </c>
      <c r="D3177">
        <v>4.4051419999999997</v>
      </c>
      <c r="E3177">
        <v>0.63950509999999905</v>
      </c>
      <c r="F3177" t="s">
        <v>77</v>
      </c>
      <c r="G3177">
        <v>-440.20710000000003</v>
      </c>
      <c r="H3177">
        <v>1.3455440000000001</v>
      </c>
      <c r="I3177">
        <v>118.682</v>
      </c>
      <c r="J3177">
        <v>-198.20429999999999</v>
      </c>
      <c r="K3177">
        <v>1.1015459999999999</v>
      </c>
      <c r="L3177">
        <v>148.5753</v>
      </c>
      <c r="M3177">
        <v>-0.80096509999999999</v>
      </c>
      <c r="N3177">
        <v>-1.10721E-2</v>
      </c>
      <c r="O3177">
        <v>-0.59860859999999905</v>
      </c>
      <c r="P3177">
        <v>-0.87551460000000003</v>
      </c>
      <c r="Q3177">
        <v>0.16032270000000001</v>
      </c>
      <c r="R3177">
        <v>-0.45581899999999997</v>
      </c>
      <c r="S3177">
        <v>-3.2301030000000002</v>
      </c>
      <c r="T3177">
        <v>3.2536980000000002E-3</v>
      </c>
      <c r="U3177">
        <v>-0.40080260000000001</v>
      </c>
      <c r="V3177">
        <v>0.16243569999999999</v>
      </c>
      <c r="W3177">
        <v>0.167846</v>
      </c>
      <c r="X3177">
        <v>0.97233860000000005</v>
      </c>
      <c r="Y3177">
        <v>0.49541000000000002</v>
      </c>
      <c r="Z3177">
        <v>-5.0873419999999999E-3</v>
      </c>
      <c r="AA3177">
        <v>0.86864439999999998</v>
      </c>
      <c r="AB3177">
        <v>29</v>
      </c>
      <c r="AC3177">
        <v>-242.00280000000001</v>
      </c>
      <c r="AD3177">
        <v>0.24399799999999999</v>
      </c>
      <c r="AE3177">
        <v>-29.8933</v>
      </c>
      <c r="AF3177">
        <v>120.928762544484</v>
      </c>
      <c r="AG3177">
        <v>0.24399799999999999</v>
      </c>
      <c r="AH3177">
        <v>211.74295717288999</v>
      </c>
      <c r="AI3177">
        <v>89.942667547786797</v>
      </c>
      <c r="AJ3177">
        <v>60.268830959655403</v>
      </c>
      <c r="AK3177">
        <v>243.84196738437899</v>
      </c>
      <c r="AL3177">
        <v>80.337395454456995</v>
      </c>
      <c r="AM3177">
        <v>80.515934611685296</v>
      </c>
      <c r="AN3177">
        <v>0.99999999470022405</v>
      </c>
    </row>
    <row r="3178" spans="1:40" x14ac:dyDescent="0.25">
      <c r="A3178" t="str">
        <f>"20190304155434400"</f>
        <v>20190304155434400</v>
      </c>
      <c r="B3178" t="str">
        <f>"1551686074390685"</f>
        <v>1551686074390685</v>
      </c>
      <c r="C3178" t="s">
        <v>40</v>
      </c>
      <c r="D3178">
        <v>4.4083050000000004</v>
      </c>
      <c r="E3178">
        <v>0.63746049999999999</v>
      </c>
      <c r="F3178" t="s">
        <v>77</v>
      </c>
      <c r="G3178">
        <v>-440.20710000000003</v>
      </c>
      <c r="H3178">
        <v>0.56677529999999998</v>
      </c>
      <c r="I3178">
        <v>119.35809999999999</v>
      </c>
      <c r="J3178">
        <v>-198.43119999999999</v>
      </c>
      <c r="K3178">
        <v>1.101539</v>
      </c>
      <c r="L3178">
        <v>148.4188</v>
      </c>
      <c r="M3178">
        <v>-0.80705459999999996</v>
      </c>
      <c r="N3178">
        <v>-1.107694E-2</v>
      </c>
      <c r="O3178">
        <v>-0.59037299999999904</v>
      </c>
      <c r="P3178">
        <v>-0.87972399999999995</v>
      </c>
      <c r="Q3178">
        <v>0.1611775</v>
      </c>
      <c r="R3178">
        <v>-0.44733390000000001</v>
      </c>
      <c r="S3178">
        <v>-3.2251430000000001</v>
      </c>
      <c r="T3178">
        <v>-7.1264509999999998E-3</v>
      </c>
      <c r="U3178">
        <v>-0.38937379999999999</v>
      </c>
      <c r="V3178">
        <v>0.16180429999999901</v>
      </c>
      <c r="W3178">
        <v>0.16871369999999999</v>
      </c>
      <c r="X3178">
        <v>0.97229370000000004</v>
      </c>
      <c r="Y3178">
        <v>0.48938160000000003</v>
      </c>
      <c r="Z3178">
        <v>-2.44458E-3</v>
      </c>
      <c r="AA3178">
        <v>0.87206629999999996</v>
      </c>
      <c r="AB3178">
        <v>29</v>
      </c>
      <c r="AC3178">
        <v>-241.77590000000001</v>
      </c>
      <c r="AD3178">
        <v>-0.53476369999999995</v>
      </c>
      <c r="AE3178">
        <v>-29.060700000000001</v>
      </c>
      <c r="AF3178">
        <v>119.291128937457</v>
      </c>
      <c r="AG3178">
        <v>-0.53476369999999995</v>
      </c>
      <c r="AH3178">
        <v>212.29499457555301</v>
      </c>
      <c r="AI3178">
        <v>90.125822467613801</v>
      </c>
      <c r="AJ3178">
        <v>60.667840317052999</v>
      </c>
      <c r="AK3178">
        <v>243.51555214651501</v>
      </c>
      <c r="AL3178">
        <v>80.286960636488203</v>
      </c>
      <c r="AM3178">
        <v>80.551705569510801</v>
      </c>
      <c r="AN3178">
        <v>0.99999999156293495</v>
      </c>
    </row>
    <row r="3179" spans="1:40" x14ac:dyDescent="0.25">
      <c r="A3179" t="str">
        <f>"20190304155434422"</f>
        <v>20190304155434422</v>
      </c>
      <c r="B3179" t="str">
        <f>"1551686074419964"</f>
        <v>1551686074419964</v>
      </c>
      <c r="C3179" t="s">
        <v>40</v>
      </c>
      <c r="D3179">
        <v>4.3158659999999998</v>
      </c>
      <c r="E3179">
        <v>0.63498730000000003</v>
      </c>
      <c r="F3179" t="s">
        <v>77</v>
      </c>
      <c r="G3179">
        <v>-448.72359999999998</v>
      </c>
      <c r="H3179">
        <v>0.42159990000000003</v>
      </c>
      <c r="I3179">
        <v>119.395</v>
      </c>
      <c r="J3179">
        <v>-198.67150000000001</v>
      </c>
      <c r="K3179">
        <v>1.1015440000000001</v>
      </c>
      <c r="L3179">
        <v>148.2567</v>
      </c>
      <c r="M3179">
        <v>-0.81334600000000001</v>
      </c>
      <c r="N3179">
        <v>-1.1080309999999999E-2</v>
      </c>
      <c r="O3179">
        <v>-0.58167480000000005</v>
      </c>
      <c r="P3179">
        <v>-0.88422429999999996</v>
      </c>
      <c r="Q3179">
        <v>0.162684299999999</v>
      </c>
      <c r="R3179">
        <v>-0.43781409999999998</v>
      </c>
      <c r="S3179">
        <v>-3.2217859999999998</v>
      </c>
      <c r="T3179">
        <v>-8.7518690000000007E-3</v>
      </c>
      <c r="U3179">
        <v>-0.37359619999999999</v>
      </c>
      <c r="V3179">
        <v>0.1617295</v>
      </c>
      <c r="W3179">
        <v>0.17022309999999999</v>
      </c>
      <c r="X3179">
        <v>0.97204299999999999</v>
      </c>
      <c r="Y3179">
        <v>0.48411539999999997</v>
      </c>
      <c r="Z3179">
        <v>-1.981937E-3</v>
      </c>
      <c r="AA3179">
        <v>0.8750019</v>
      </c>
      <c r="AB3179">
        <v>29</v>
      </c>
      <c r="AC3179">
        <v>-250.0521</v>
      </c>
      <c r="AD3179">
        <v>-0.67994410000000005</v>
      </c>
      <c r="AE3179">
        <v>-28.861699999999999</v>
      </c>
      <c r="AF3179">
        <v>121.981051439339</v>
      </c>
      <c r="AG3179">
        <v>-0.67994410000000005</v>
      </c>
      <c r="AH3179">
        <v>220.17890201655399</v>
      </c>
      <c r="AI3179">
        <v>90.154772438379695</v>
      </c>
      <c r="AJ3179">
        <v>61.013160956175703</v>
      </c>
      <c r="AK3179">
        <v>251.71131902924299</v>
      </c>
      <c r="AL3179">
        <v>80.199208836706902</v>
      </c>
      <c r="AM3179">
        <v>80.553602877939397</v>
      </c>
      <c r="AN3179">
        <v>0.99999996439642902</v>
      </c>
    </row>
    <row r="3180" spans="1:40" x14ac:dyDescent="0.25">
      <c r="A3180" t="str">
        <f>"20190304155434445"</f>
        <v>20190304155434445</v>
      </c>
      <c r="B3180" t="str">
        <f>"1551686074440460"</f>
        <v>1551686074440460</v>
      </c>
      <c r="C3180" t="s">
        <v>40</v>
      </c>
      <c r="D3180">
        <v>4.4753049999999996</v>
      </c>
      <c r="E3180">
        <v>0.63319859999999994</v>
      </c>
      <c r="F3180" t="s">
        <v>47</v>
      </c>
      <c r="G3180">
        <v>-502.52699999999999</v>
      </c>
      <c r="H3180">
        <v>-0.05</v>
      </c>
      <c r="I3180">
        <v>114.4569</v>
      </c>
      <c r="J3180">
        <v>-198.9171</v>
      </c>
      <c r="K3180">
        <v>1.1015509999999999</v>
      </c>
      <c r="L3180">
        <v>148.0949</v>
      </c>
      <c r="M3180">
        <v>-0.8196059</v>
      </c>
      <c r="N3180">
        <v>-1.108116E-2</v>
      </c>
      <c r="O3180">
        <v>-0.57282060000000001</v>
      </c>
      <c r="P3180">
        <v>-0.88877329999999999</v>
      </c>
      <c r="Q3180">
        <v>0.16376930000000001</v>
      </c>
      <c r="R3180">
        <v>-0.428091</v>
      </c>
      <c r="S3180">
        <v>-3.2178339999999999</v>
      </c>
      <c r="T3180">
        <v>-1.219487E-2</v>
      </c>
      <c r="U3180">
        <v>-0.3579407</v>
      </c>
      <c r="V3180">
        <v>0.16175110000000001</v>
      </c>
      <c r="W3180">
        <v>0.171311299999999</v>
      </c>
      <c r="X3180">
        <v>0.97184820000000005</v>
      </c>
      <c r="Y3180">
        <v>0.47869859999999997</v>
      </c>
      <c r="Z3180">
        <v>-1.0879150000000001E-3</v>
      </c>
      <c r="AA3180">
        <v>0.8779787</v>
      </c>
      <c r="AB3180">
        <v>29</v>
      </c>
      <c r="AC3180">
        <v>-303.60989999999998</v>
      </c>
      <c r="AD3180">
        <v>-1.151551</v>
      </c>
      <c r="AE3180">
        <v>-33.637999999999899</v>
      </c>
      <c r="AF3180">
        <v>146.35100312378</v>
      </c>
      <c r="AG3180">
        <v>-1.151551</v>
      </c>
      <c r="AH3180">
        <v>268.12164818193298</v>
      </c>
      <c r="AI3180">
        <v>90.2159954969094</v>
      </c>
      <c r="AJ3180">
        <v>61.372607402924402</v>
      </c>
      <c r="AK3180">
        <v>305.46548153406599</v>
      </c>
      <c r="AL3180">
        <v>80.135929962753096</v>
      </c>
      <c r="AM3180">
        <v>80.550504433877506</v>
      </c>
      <c r="AN3180">
        <v>0.99999995185106905</v>
      </c>
    </row>
    <row r="3181" spans="1:40" x14ac:dyDescent="0.25">
      <c r="A3181" t="str">
        <f>"20190304155434467"</f>
        <v>20190304155434467</v>
      </c>
      <c r="B3181" t="str">
        <f>"1551686074459981"</f>
        <v>1551686074459981</v>
      </c>
      <c r="C3181" t="s">
        <v>40</v>
      </c>
      <c r="D3181">
        <v>4.4057089999999999</v>
      </c>
      <c r="E3181">
        <v>0.63193750000000004</v>
      </c>
      <c r="F3181" t="s">
        <v>62</v>
      </c>
      <c r="G3181">
        <v>-429.5675</v>
      </c>
      <c r="H3181" s="1">
        <v>-4.9129820000000002E-6</v>
      </c>
      <c r="I3181">
        <v>123.89239999999999</v>
      </c>
      <c r="J3181">
        <v>-199.16589999999999</v>
      </c>
      <c r="K3181">
        <v>1.1015729999999999</v>
      </c>
      <c r="L3181">
        <v>147.9348</v>
      </c>
      <c r="M3181">
        <v>-0.82577400000000001</v>
      </c>
      <c r="N3181">
        <v>-1.1080420000000001E-2</v>
      </c>
      <c r="O3181">
        <v>-0.56389250000000002</v>
      </c>
      <c r="P3181">
        <v>-0.89361619999999997</v>
      </c>
      <c r="Q3181">
        <v>0.16398119999999999</v>
      </c>
      <c r="R3181">
        <v>-0.41780469999999997</v>
      </c>
      <c r="S3181">
        <v>-3.2157439999999999</v>
      </c>
      <c r="T3181">
        <v>-1.535797E-2</v>
      </c>
      <c r="U3181">
        <v>-0.33743289999999998</v>
      </c>
      <c r="V3181">
        <v>0.16239519999999999</v>
      </c>
      <c r="W3181">
        <v>0.17151659999999999</v>
      </c>
      <c r="X3181">
        <v>0.97170460000000003</v>
      </c>
      <c r="Y3181">
        <v>0.47463729999999998</v>
      </c>
      <c r="Z3181">
        <v>-2.6971720000000001E-4</v>
      </c>
      <c r="AA3181">
        <v>0.8801814</v>
      </c>
      <c r="AB3181">
        <v>29</v>
      </c>
      <c r="AC3181">
        <v>-230.4016</v>
      </c>
      <c r="AD3181">
        <v>-1.10157791298199</v>
      </c>
      <c r="AE3181">
        <v>-24.042400000000001</v>
      </c>
      <c r="AF3181">
        <v>110.07240136633401</v>
      </c>
      <c r="AG3181">
        <v>-1.10157791298199</v>
      </c>
      <c r="AH3181">
        <v>203.82486078074399</v>
      </c>
      <c r="AI3181">
        <v>90.272462784570095</v>
      </c>
      <c r="AJ3181">
        <v>61.629435357713596</v>
      </c>
      <c r="AK3181">
        <v>231.64999652220899</v>
      </c>
      <c r="AL3181">
        <v>80.123990776819099</v>
      </c>
      <c r="AM3181">
        <v>80.512182291812806</v>
      </c>
      <c r="AN3181">
        <v>0.99999998735987905</v>
      </c>
    </row>
    <row r="3182" spans="1:40" x14ac:dyDescent="0.25">
      <c r="A3182" t="str">
        <f>"20190304155434489"</f>
        <v>20190304155434489</v>
      </c>
      <c r="B3182" t="str">
        <f>"1551686074480009"</f>
        <v>1551686074480009</v>
      </c>
      <c r="C3182" t="s">
        <v>40</v>
      </c>
      <c r="D3182">
        <v>4.4639150000000001</v>
      </c>
      <c r="E3182">
        <v>0.63071569999999899</v>
      </c>
      <c r="F3182" t="s">
        <v>46</v>
      </c>
      <c r="G3182">
        <v>-388.94740000000002</v>
      </c>
      <c r="H3182">
        <v>2.3633399999999999E-2</v>
      </c>
      <c r="I3182">
        <v>129.61619999999999</v>
      </c>
      <c r="J3182">
        <v>-199.40860000000001</v>
      </c>
      <c r="K3182">
        <v>1.1016090000000001</v>
      </c>
      <c r="L3182">
        <v>147.78210000000001</v>
      </c>
      <c r="M3182">
        <v>-0.83161909999999895</v>
      </c>
      <c r="N3182">
        <v>-1.1078269999999999E-2</v>
      </c>
      <c r="O3182">
        <v>-0.5552359</v>
      </c>
      <c r="P3182">
        <v>-0.89784809999999904</v>
      </c>
      <c r="Q3182">
        <v>0.16433020000000001</v>
      </c>
      <c r="R3182">
        <v>-0.40849039999999998</v>
      </c>
      <c r="S3182">
        <v>-3.2153930000000002</v>
      </c>
      <c r="T3182">
        <v>-1.8263100000000001E-2</v>
      </c>
      <c r="U3182">
        <v>-0.31036380000000002</v>
      </c>
      <c r="V3182">
        <v>0.16230620000000001</v>
      </c>
      <c r="W3182">
        <v>0.171877799999999</v>
      </c>
      <c r="X3182">
        <v>0.97165570000000001</v>
      </c>
      <c r="Y3182">
        <v>0.47276659999999998</v>
      </c>
      <c r="Z3182">
        <v>4.8507159999999999E-4</v>
      </c>
      <c r="AA3182">
        <v>0.88118759999999996</v>
      </c>
      <c r="AB3182">
        <v>29</v>
      </c>
      <c r="AC3182">
        <v>-189.53880000000001</v>
      </c>
      <c r="AD3182">
        <v>-1.0779756</v>
      </c>
      <c r="AE3182">
        <v>-18.165900000000001</v>
      </c>
      <c r="AF3182">
        <v>90.134280985117499</v>
      </c>
      <c r="AG3182">
        <v>-1.0779756</v>
      </c>
      <c r="AH3182">
        <v>167.715366226496</v>
      </c>
      <c r="AI3182">
        <v>90.324382299100705</v>
      </c>
      <c r="AJ3182">
        <v>61.745344149279802</v>
      </c>
      <c r="AK3182">
        <v>190.40429277877601</v>
      </c>
      <c r="AL3182">
        <v>80.102984105562498</v>
      </c>
      <c r="AM3182">
        <v>80.516819026447195</v>
      </c>
      <c r="AN3182">
        <v>1.00000004001688</v>
      </c>
    </row>
    <row r="3183" spans="1:40" x14ac:dyDescent="0.25">
      <c r="A3183" t="str">
        <f>"20190304155434513"</f>
        <v>20190304155434513</v>
      </c>
      <c r="B3183" t="str">
        <f>"1551686074510263"</f>
        <v>1551686074510263</v>
      </c>
      <c r="C3183" t="s">
        <v>40</v>
      </c>
      <c r="D3183">
        <v>4.4530430000000001</v>
      </c>
      <c r="E3183">
        <v>0.60904219999999998</v>
      </c>
      <c r="F3183" t="s">
        <v>46</v>
      </c>
      <c r="G3183">
        <v>-374.78949999999998</v>
      </c>
      <c r="H3183" s="1">
        <v>-3.7407379999999998E-6</v>
      </c>
      <c r="I3183">
        <v>132.16890000000001</v>
      </c>
      <c r="J3183">
        <v>-199.67089999999999</v>
      </c>
      <c r="K3183">
        <v>1.101666</v>
      </c>
      <c r="L3183">
        <v>147.6208</v>
      </c>
      <c r="M3183">
        <v>-0.83773489999999995</v>
      </c>
      <c r="N3183">
        <v>-1.1073090000000001E-2</v>
      </c>
      <c r="O3183">
        <v>-0.54596499999999903</v>
      </c>
      <c r="P3183">
        <v>-0.90289129999999995</v>
      </c>
      <c r="Q3183">
        <v>0.16399839999999999</v>
      </c>
      <c r="R3183">
        <v>-0.3973565</v>
      </c>
      <c r="S3183">
        <v>-3.214798</v>
      </c>
      <c r="T3183">
        <v>-2.0192979999999999E-2</v>
      </c>
      <c r="U3183">
        <v>-0.2861938</v>
      </c>
      <c r="V3183">
        <v>0.16353529999999999</v>
      </c>
      <c r="W3183">
        <v>0.1715354</v>
      </c>
      <c r="X3183">
        <v>0.97151010000000004</v>
      </c>
      <c r="Y3183">
        <v>0.469528</v>
      </c>
      <c r="Z3183">
        <v>9.9059239999999991E-4</v>
      </c>
      <c r="AA3183">
        <v>0.88291699999999995</v>
      </c>
      <c r="AB3183">
        <v>29</v>
      </c>
      <c r="AC3183">
        <v>-175.11859999999999</v>
      </c>
      <c r="AD3183">
        <v>-1.1016697407380001</v>
      </c>
      <c r="AE3183">
        <v>-15.451899999999901</v>
      </c>
      <c r="AF3183">
        <v>82.665846013432798</v>
      </c>
      <c r="AG3183">
        <v>-1.1016697407380001</v>
      </c>
      <c r="AH3183">
        <v>155.142566605676</v>
      </c>
      <c r="AI3183">
        <v>90.359061668239207</v>
      </c>
      <c r="AJ3183">
        <v>61.949615718438501</v>
      </c>
      <c r="AK3183">
        <v>175.79553960874799</v>
      </c>
      <c r="AL3183">
        <v>80.122897848402602</v>
      </c>
      <c r="AM3183">
        <v>80.444918996330799</v>
      </c>
      <c r="AN3183">
        <v>1.0000000311006201</v>
      </c>
    </row>
    <row r="3184" spans="1:40" x14ac:dyDescent="0.25">
      <c r="A3184" t="str">
        <f>"20190304155434537"</f>
        <v>20190304155434537</v>
      </c>
      <c r="B3184" t="str">
        <f>"1551686074530760"</f>
        <v>1551686074530760</v>
      </c>
      <c r="C3184" t="s">
        <v>40</v>
      </c>
      <c r="D3184">
        <v>4.4759630000000001</v>
      </c>
      <c r="E3184">
        <v>0.60895089999999996</v>
      </c>
      <c r="F3184" t="s">
        <v>46</v>
      </c>
      <c r="G3184">
        <v>-253.54560000000001</v>
      </c>
      <c r="H3184" s="1">
        <v>-3.0348440000000001E-6</v>
      </c>
      <c r="I3184">
        <v>140.68219999999999</v>
      </c>
      <c r="J3184">
        <v>-199.93430000000001</v>
      </c>
      <c r="K3184">
        <v>1.101734</v>
      </c>
      <c r="L3184">
        <v>147.46260000000001</v>
      </c>
      <c r="M3184">
        <v>-0.8436593</v>
      </c>
      <c r="N3184">
        <v>-1.106421E-2</v>
      </c>
      <c r="O3184">
        <v>-0.5367653</v>
      </c>
      <c r="P3184">
        <v>-0.90795429999999999</v>
      </c>
      <c r="Q3184">
        <v>0.16259209999999999</v>
      </c>
      <c r="R3184">
        <v>-0.38624239999999999</v>
      </c>
      <c r="S3184">
        <v>-3.1555179999999998</v>
      </c>
      <c r="T3184">
        <v>-6.4526319999999998E-2</v>
      </c>
      <c r="U3184">
        <v>-0.4064026</v>
      </c>
      <c r="V3184">
        <v>0.16490929999999901</v>
      </c>
      <c r="W3184">
        <v>0.17012260000000001</v>
      </c>
      <c r="X3184">
        <v>0.97152629999999995</v>
      </c>
      <c r="Y3184">
        <v>0.42448459999999899</v>
      </c>
      <c r="Z3184">
        <v>1.083803E-2</v>
      </c>
      <c r="AA3184">
        <v>0.90537029999999996</v>
      </c>
      <c r="AB3184">
        <v>29</v>
      </c>
      <c r="AC3184">
        <v>-53.6113</v>
      </c>
      <c r="AD3184">
        <v>-1.1017370348440001</v>
      </c>
      <c r="AE3184">
        <v>-6.78040000000001</v>
      </c>
      <c r="AF3184">
        <v>23.048164064121199</v>
      </c>
      <c r="AG3184">
        <v>-1.1017370348440001</v>
      </c>
      <c r="AH3184">
        <v>48.851830149523003</v>
      </c>
      <c r="AI3184">
        <v>91.168472839998202</v>
      </c>
      <c r="AJ3184">
        <v>64.742185723983894</v>
      </c>
      <c r="AK3184">
        <v>54.027150583557898</v>
      </c>
      <c r="AL3184">
        <v>80.205053278579101</v>
      </c>
      <c r="AM3184">
        <v>80.366294723042699</v>
      </c>
      <c r="AN3184">
        <v>1.0000000639244599</v>
      </c>
    </row>
    <row r="3185" spans="1:40" x14ac:dyDescent="0.25">
      <c r="A3185" t="str">
        <f>"20190304155434560"</f>
        <v>20190304155434560</v>
      </c>
      <c r="B3185" t="str">
        <f>"1551686074550280"</f>
        <v>1551686074550280</v>
      </c>
      <c r="C3185" t="s">
        <v>40</v>
      </c>
      <c r="D3185">
        <v>4.5166130000000004</v>
      </c>
      <c r="E3185">
        <v>0.60854799999999998</v>
      </c>
      <c r="F3185" t="s">
        <v>46</v>
      </c>
      <c r="G3185">
        <v>-248.04339999999999</v>
      </c>
      <c r="H3185" s="1">
        <v>-1.412437E-6</v>
      </c>
      <c r="I3185">
        <v>141.8364</v>
      </c>
      <c r="J3185">
        <v>-200.1891</v>
      </c>
      <c r="K3185">
        <v>1.1018269999999999</v>
      </c>
      <c r="L3185">
        <v>147.31309999999999</v>
      </c>
      <c r="M3185">
        <v>-0.84917659999999995</v>
      </c>
      <c r="N3185">
        <v>-1.1052340000000001E-2</v>
      </c>
      <c r="O3185">
        <v>-0.5279933</v>
      </c>
      <c r="P3185">
        <v>-0.91251289999999996</v>
      </c>
      <c r="Q3185">
        <v>0.16106119999999999</v>
      </c>
      <c r="R3185">
        <v>-0.37600460000000002</v>
      </c>
      <c r="S3185">
        <v>-3.1598820000000001</v>
      </c>
      <c r="T3185">
        <v>-7.2363849999999993E-2</v>
      </c>
      <c r="U3185">
        <v>-0.36953740000000002</v>
      </c>
      <c r="V3185">
        <v>0.16584570000000001</v>
      </c>
      <c r="W3185">
        <v>0.168599</v>
      </c>
      <c r="X3185">
        <v>0.97163239999999995</v>
      </c>
      <c r="Y3185">
        <v>0.42562630000000001</v>
      </c>
      <c r="Z3185">
        <v>1.2585870000000001E-2</v>
      </c>
      <c r="AA3185">
        <v>0.90481149999999999</v>
      </c>
      <c r="AB3185">
        <v>29</v>
      </c>
      <c r="AC3185">
        <v>-47.854300000000002</v>
      </c>
      <c r="AD3185">
        <v>-1.1018284124369999</v>
      </c>
      <c r="AE3185">
        <v>-5.4766999999999904</v>
      </c>
      <c r="AF3185">
        <v>20.606540808943201</v>
      </c>
      <c r="AG3185">
        <v>-1.1018284124369999</v>
      </c>
      <c r="AH3185">
        <v>43.508304955125901</v>
      </c>
      <c r="AI3185">
        <v>91.311116686717</v>
      </c>
      <c r="AJ3185">
        <v>64.656681113731807</v>
      </c>
      <c r="AK3185">
        <v>48.154087573427503</v>
      </c>
      <c r="AL3185">
        <v>80.293627760023597</v>
      </c>
      <c r="AM3185">
        <v>80.313663451894001</v>
      </c>
      <c r="AN3185">
        <v>0.99999996986962403</v>
      </c>
    </row>
    <row r="3186" spans="1:40" x14ac:dyDescent="0.25">
      <c r="A3186" t="str">
        <f>"20190304155434582"</f>
        <v>20190304155434582</v>
      </c>
      <c r="B3186" t="str">
        <f>"1551686074570776"</f>
        <v>1551686074570776</v>
      </c>
      <c r="C3186" t="s">
        <v>40</v>
      </c>
      <c r="D3186">
        <v>4.5120040000000001</v>
      </c>
      <c r="E3186">
        <v>0.6071531</v>
      </c>
      <c r="F3186" t="s">
        <v>46</v>
      </c>
      <c r="G3186">
        <v>-244.56399999999999</v>
      </c>
      <c r="H3186" s="1">
        <v>-3.1046650000000002E-6</v>
      </c>
      <c r="I3186">
        <v>142.5865</v>
      </c>
      <c r="J3186">
        <v>-200.4451</v>
      </c>
      <c r="K3186">
        <v>1.101926</v>
      </c>
      <c r="L3186">
        <v>147.1662</v>
      </c>
      <c r="M3186">
        <v>-0.854508499999999</v>
      </c>
      <c r="N3186">
        <v>-1.1038060000000001E-2</v>
      </c>
      <c r="O3186">
        <v>-0.51932009999999995</v>
      </c>
      <c r="P3186">
        <v>-0.91659800000000002</v>
      </c>
      <c r="Q3186">
        <v>0.160816299999999</v>
      </c>
      <c r="R3186">
        <v>-0.36604150000000002</v>
      </c>
      <c r="S3186">
        <v>-3.162674</v>
      </c>
      <c r="T3186">
        <v>-7.8529360000000006E-2</v>
      </c>
      <c r="U3186">
        <v>-0.33686830000000001</v>
      </c>
      <c r="V3186">
        <v>0.16651199999999999</v>
      </c>
      <c r="W3186">
        <v>0.16836960000000001</v>
      </c>
      <c r="X3186">
        <v>0.97155820000000004</v>
      </c>
      <c r="Y3186">
        <v>0.42570249999999998</v>
      </c>
      <c r="Z3186">
        <v>1.391152E-2</v>
      </c>
      <c r="AA3186">
        <v>0.90475620000000001</v>
      </c>
      <c r="AB3186">
        <v>29</v>
      </c>
      <c r="AC3186">
        <v>-44.118899999999996</v>
      </c>
      <c r="AD3186">
        <v>-1.1019291046649999</v>
      </c>
      <c r="AE3186">
        <v>-4.5796999999999999</v>
      </c>
      <c r="AF3186">
        <v>18.987877925933901</v>
      </c>
      <c r="AG3186">
        <v>-1.1019291046649999</v>
      </c>
      <c r="AH3186">
        <v>40.056026163391699</v>
      </c>
      <c r="AI3186">
        <v>91.423976573300294</v>
      </c>
      <c r="AJ3186">
        <v>64.637504731173706</v>
      </c>
      <c r="AK3186">
        <v>44.342293444117203</v>
      </c>
      <c r="AL3186">
        <v>80.306961861333207</v>
      </c>
      <c r="AM3186">
        <v>80.274760839603303</v>
      </c>
      <c r="AN3186">
        <v>0.99999995216769799</v>
      </c>
    </row>
    <row r="3187" spans="1:40" x14ac:dyDescent="0.25">
      <c r="A3187" t="str">
        <f>"20190304155434603"</f>
        <v>20190304155434603</v>
      </c>
      <c r="B3187" t="str">
        <f>"1551686074600056"</f>
        <v>1551686074600056</v>
      </c>
      <c r="C3187" t="s">
        <v>40</v>
      </c>
      <c r="D3187">
        <v>4.5520569999999996</v>
      </c>
      <c r="E3187">
        <v>0.60528400000000004</v>
      </c>
      <c r="F3187" t="s">
        <v>46</v>
      </c>
      <c r="G3187">
        <v>-244.31059999999999</v>
      </c>
      <c r="H3187" s="1">
        <v>-3.2779180000000001E-6</v>
      </c>
      <c r="I3187">
        <v>142.82910000000001</v>
      </c>
      <c r="J3187">
        <v>-200.6935</v>
      </c>
      <c r="K3187">
        <v>1.1020369999999999</v>
      </c>
      <c r="L3187">
        <v>147.02690000000001</v>
      </c>
      <c r="M3187">
        <v>-0.85947790000000002</v>
      </c>
      <c r="N3187">
        <v>-1.102276E-2</v>
      </c>
      <c r="O3187">
        <v>-0.51105389999999995</v>
      </c>
      <c r="P3187">
        <v>-0.92018330000000004</v>
      </c>
      <c r="Q3187">
        <v>0.16159889999999999</v>
      </c>
      <c r="R3187">
        <v>-0.3565796</v>
      </c>
      <c r="S3187">
        <v>-3.162064</v>
      </c>
      <c r="T3187">
        <v>-7.9433080000000003E-2</v>
      </c>
      <c r="U3187">
        <v>-0.31263730000000001</v>
      </c>
      <c r="V3187">
        <v>0.16704959999999999</v>
      </c>
      <c r="W3187">
        <v>0.16916909999999999</v>
      </c>
      <c r="X3187">
        <v>0.9713271</v>
      </c>
      <c r="Y3187">
        <v>0.42381190000000002</v>
      </c>
      <c r="Z3187">
        <v>1.402609E-2</v>
      </c>
      <c r="AA3187">
        <v>0.90564160000000005</v>
      </c>
      <c r="AB3187">
        <v>29</v>
      </c>
      <c r="AC3187">
        <v>-43.617099999999901</v>
      </c>
      <c r="AD3187">
        <v>-1.1020402779180001</v>
      </c>
      <c r="AE3187">
        <v>-4.1978</v>
      </c>
      <c r="AF3187">
        <v>18.672098667033001</v>
      </c>
      <c r="AG3187">
        <v>-1.1020402779180001</v>
      </c>
      <c r="AH3187">
        <v>39.610591837496401</v>
      </c>
      <c r="AI3187">
        <v>91.441598075245906</v>
      </c>
      <c r="AJ3187">
        <v>64.761205776978599</v>
      </c>
      <c r="AK3187">
        <v>43.8048027860223</v>
      </c>
      <c r="AL3187">
        <v>80.260488135312002</v>
      </c>
      <c r="AM3187">
        <v>80.241687876576293</v>
      </c>
      <c r="AN3187">
        <v>1.0000000442246799</v>
      </c>
    </row>
    <row r="3188" spans="1:40" x14ac:dyDescent="0.25">
      <c r="A3188" t="str">
        <f>"20190304155434626"</f>
        <v>20190304155434626</v>
      </c>
      <c r="B3188" t="str">
        <f>"1551686074620551"</f>
        <v>1551686074620551</v>
      </c>
      <c r="C3188" t="s">
        <v>40</v>
      </c>
      <c r="D3188">
        <v>4.6486599999999996</v>
      </c>
      <c r="E3188">
        <v>0.60365449999999998</v>
      </c>
      <c r="F3188" t="s">
        <v>46</v>
      </c>
      <c r="G3188">
        <v>-245.1112</v>
      </c>
      <c r="H3188" s="1">
        <v>-2.948485E-6</v>
      </c>
      <c r="I3188">
        <v>142.8818</v>
      </c>
      <c r="J3188">
        <v>-200.9539</v>
      </c>
      <c r="K3188">
        <v>1.1021379999999901</v>
      </c>
      <c r="L3188">
        <v>146.88399999999999</v>
      </c>
      <c r="M3188">
        <v>-0.86449920000000002</v>
      </c>
      <c r="N3188">
        <v>-1.1007589999999999E-2</v>
      </c>
      <c r="O3188">
        <v>-0.50251369999999995</v>
      </c>
      <c r="P3188">
        <v>-0.92388009999999998</v>
      </c>
      <c r="Q3188">
        <v>0.1615963</v>
      </c>
      <c r="R3188">
        <v>-0.34688960000000002</v>
      </c>
      <c r="S3188">
        <v>-3.1597439999999999</v>
      </c>
      <c r="T3188">
        <v>-7.8395839999999994E-2</v>
      </c>
      <c r="U3188">
        <v>-0.29486079999999998</v>
      </c>
      <c r="V3188">
        <v>0.16759180000000001</v>
      </c>
      <c r="W3188">
        <v>0.16918179999999999</v>
      </c>
      <c r="X3188">
        <v>0.97123150000000003</v>
      </c>
      <c r="Y3188">
        <v>0.41982550000000002</v>
      </c>
      <c r="Z3188">
        <v>1.3675430000000001E-2</v>
      </c>
      <c r="AA3188">
        <v>0.90750180000000003</v>
      </c>
      <c r="AB3188">
        <v>29</v>
      </c>
      <c r="AC3188">
        <v>-44.1572999999999</v>
      </c>
      <c r="AD3188">
        <v>-1.10214094848499</v>
      </c>
      <c r="AE3188">
        <v>-4.0021999999999798</v>
      </c>
      <c r="AF3188">
        <v>18.719317218451199</v>
      </c>
      <c r="AG3188">
        <v>-1.10214094848499</v>
      </c>
      <c r="AH3188">
        <v>40.162728138375101</v>
      </c>
      <c r="AI3188">
        <v>91.424818266191906</v>
      </c>
      <c r="AJ3188">
        <v>65.010395250173403</v>
      </c>
      <c r="AK3188">
        <v>44.324623893636897</v>
      </c>
      <c r="AL3188">
        <v>80.259749989628702</v>
      </c>
      <c r="AM3188">
        <v>80.209681818087205</v>
      </c>
      <c r="AN3188">
        <v>1.00000005973536</v>
      </c>
    </row>
    <row r="3189" spans="1:40" x14ac:dyDescent="0.25">
      <c r="A3189" t="str">
        <f>"20190304155434646"</f>
        <v>20190304155434646</v>
      </c>
      <c r="B3189" t="str">
        <f>"1551686074640072"</f>
        <v>1551686074640072</v>
      </c>
      <c r="C3189" t="s">
        <v>40</v>
      </c>
      <c r="D3189">
        <v>4.6756010000000003</v>
      </c>
      <c r="E3189">
        <v>0.60290880000000002</v>
      </c>
      <c r="F3189" t="s">
        <v>46</v>
      </c>
      <c r="G3189">
        <v>-242.49639999999999</v>
      </c>
      <c r="H3189" s="1">
        <v>-4.0753720000000001E-6</v>
      </c>
      <c r="I3189">
        <v>143.27440000000001</v>
      </c>
      <c r="J3189">
        <v>-201.1934</v>
      </c>
      <c r="K3189">
        <v>1.102225</v>
      </c>
      <c r="L3189">
        <v>146.75530000000001</v>
      </c>
      <c r="M3189">
        <v>-0.868957599999999</v>
      </c>
      <c r="N3189">
        <v>-1.099517E-2</v>
      </c>
      <c r="O3189">
        <v>-0.4947645</v>
      </c>
      <c r="P3189">
        <v>-0.92694120000000002</v>
      </c>
      <c r="Q3189">
        <v>0.1612054</v>
      </c>
      <c r="R3189">
        <v>-0.33881129999999998</v>
      </c>
      <c r="S3189">
        <v>-3.1587830000000001</v>
      </c>
      <c r="T3189">
        <v>-8.3804009999999998E-2</v>
      </c>
      <c r="U3189">
        <v>-0.27445979999999998</v>
      </c>
      <c r="V3189">
        <v>0.1673781</v>
      </c>
      <c r="W3189">
        <v>0.1688171</v>
      </c>
      <c r="X3189">
        <v>0.97133179999999997</v>
      </c>
      <c r="Y3189">
        <v>0.41746689999999997</v>
      </c>
      <c r="Z3189">
        <v>1.474847E-2</v>
      </c>
      <c r="AA3189">
        <v>0.90857239999999995</v>
      </c>
      <c r="AB3189">
        <v>29</v>
      </c>
      <c r="AC3189">
        <v>-41.302999999999997</v>
      </c>
      <c r="AD3189">
        <v>-1.1022290753720001</v>
      </c>
      <c r="AE3189">
        <v>-3.4808999999999899</v>
      </c>
      <c r="AF3189">
        <v>17.399251393948699</v>
      </c>
      <c r="AG3189">
        <v>-1.1022290753720001</v>
      </c>
      <c r="AH3189">
        <v>37.5884727248053</v>
      </c>
      <c r="AI3189">
        <v>91.524335441293502</v>
      </c>
      <c r="AJ3189">
        <v>65.1611499315228</v>
      </c>
      <c r="AK3189">
        <v>41.434793830642597</v>
      </c>
      <c r="AL3189">
        <v>80.280950647602396</v>
      </c>
      <c r="AM3189">
        <v>80.222914734463103</v>
      </c>
      <c r="AN3189">
        <v>1.00000005365162</v>
      </c>
    </row>
    <row r="3190" spans="1:40" x14ac:dyDescent="0.25">
      <c r="A3190" t="str">
        <f>"20190304155434668"</f>
        <v>20190304155434668</v>
      </c>
      <c r="B3190" t="str">
        <f>"1551686074660568"</f>
        <v>1551686074660568</v>
      </c>
      <c r="C3190" t="s">
        <v>40</v>
      </c>
      <c r="D3190">
        <v>4.7435910000000003</v>
      </c>
      <c r="E3190">
        <v>0.58546759999999998</v>
      </c>
      <c r="F3190" t="s">
        <v>46</v>
      </c>
      <c r="G3190">
        <v>-241.73500000000001</v>
      </c>
      <c r="H3190" s="1">
        <v>-4.3782730000000004E-6</v>
      </c>
      <c r="I3190">
        <v>143.52119999999999</v>
      </c>
      <c r="J3190">
        <v>-201.4468</v>
      </c>
      <c r="K3190">
        <v>1.102309</v>
      </c>
      <c r="L3190">
        <v>146.62200000000001</v>
      </c>
      <c r="M3190">
        <v>-0.87350930000000004</v>
      </c>
      <c r="N3190">
        <v>-1.0982570000000001E-2</v>
      </c>
      <c r="O3190">
        <v>-0.48668359999999999</v>
      </c>
      <c r="P3190">
        <v>-0.9298727</v>
      </c>
      <c r="Q3190">
        <v>0.161640899999999</v>
      </c>
      <c r="R3190">
        <v>-0.33046769999999998</v>
      </c>
      <c r="S3190">
        <v>-3.1592709999999999</v>
      </c>
      <c r="T3190">
        <v>-8.5893150000000001E-2</v>
      </c>
      <c r="U3190">
        <v>-0.25201420000000002</v>
      </c>
      <c r="V3190">
        <v>0.16703479999999901</v>
      </c>
      <c r="W3190">
        <v>0.16927909999999999</v>
      </c>
      <c r="X3190">
        <v>0.97131040000000002</v>
      </c>
      <c r="Y3190">
        <v>0.41544900000000001</v>
      </c>
      <c r="Z3190">
        <v>1.508045E-2</v>
      </c>
      <c r="AA3190">
        <v>0.90949150000000001</v>
      </c>
      <c r="AB3190">
        <v>29</v>
      </c>
      <c r="AC3190">
        <v>-40.288200000000003</v>
      </c>
      <c r="AD3190">
        <v>-1.1023133782729999</v>
      </c>
      <c r="AE3190">
        <v>-3.10080000000002</v>
      </c>
      <c r="AF3190">
        <v>16.8874798247816</v>
      </c>
      <c r="AG3190">
        <v>-1.1023133782729999</v>
      </c>
      <c r="AH3190">
        <v>36.676144366731599</v>
      </c>
      <c r="AI3190">
        <v>91.563804836240294</v>
      </c>
      <c r="AJ3190">
        <v>65.276358740613304</v>
      </c>
      <c r="AK3190">
        <v>40.392346245615201</v>
      </c>
      <c r="AL3190">
        <v>80.254092598539202</v>
      </c>
      <c r="AM3190">
        <v>80.242371270692601</v>
      </c>
      <c r="AN3190">
        <v>0.99999996562800397</v>
      </c>
    </row>
    <row r="3191" spans="1:40" x14ac:dyDescent="0.25">
      <c r="A3191" t="str">
        <f>"20190304155434690"</f>
        <v>20190304155434690</v>
      </c>
      <c r="B3191" t="str">
        <f>"1551686074680091"</f>
        <v>1551686074680091</v>
      </c>
      <c r="C3191" t="s">
        <v>40</v>
      </c>
      <c r="D3191">
        <v>4.6771250000000002</v>
      </c>
      <c r="E3191">
        <v>0.58392819999999901</v>
      </c>
      <c r="F3191" t="s">
        <v>46</v>
      </c>
      <c r="G3191">
        <v>-228.57300000000001</v>
      </c>
      <c r="H3191" s="1">
        <v>-1.6353189999999999E-6</v>
      </c>
      <c r="I3191">
        <v>143.52799999999999</v>
      </c>
      <c r="J3191">
        <v>-201.71350000000001</v>
      </c>
      <c r="K3191">
        <v>1.102395</v>
      </c>
      <c r="L3191">
        <v>146.48480000000001</v>
      </c>
      <c r="M3191">
        <v>-0.87813280000000005</v>
      </c>
      <c r="N3191">
        <v>-1.096895E-2</v>
      </c>
      <c r="O3191">
        <v>-0.47829129999999997</v>
      </c>
      <c r="P3191">
        <v>-0.93282319999999996</v>
      </c>
      <c r="Q3191">
        <v>0.16204959999999999</v>
      </c>
      <c r="R3191">
        <v>-0.32184000000000001</v>
      </c>
      <c r="S3191">
        <v>-3.1217649999999999</v>
      </c>
      <c r="T3191">
        <v>-0.12685739999999901</v>
      </c>
      <c r="U3191">
        <v>-0.35606379999999999</v>
      </c>
      <c r="V3191">
        <v>0.16666500000000001</v>
      </c>
      <c r="W3191">
        <v>0.1697128</v>
      </c>
      <c r="X3191">
        <v>0.97129829999999995</v>
      </c>
      <c r="Y3191">
        <v>0.37516110000000003</v>
      </c>
      <c r="Z3191">
        <v>2.2834429999999999E-2</v>
      </c>
      <c r="AA3191">
        <v>0.92667829999999995</v>
      </c>
      <c r="AB3191">
        <v>29</v>
      </c>
      <c r="AC3191">
        <v>-26.859499999999901</v>
      </c>
      <c r="AD3191">
        <v>-1.102396635319</v>
      </c>
      <c r="AE3191">
        <v>-2.9568000000000101</v>
      </c>
      <c r="AF3191">
        <v>10.2337855400118</v>
      </c>
      <c r="AG3191">
        <v>-1.102396635319</v>
      </c>
      <c r="AH3191">
        <v>24.960379361901101</v>
      </c>
      <c r="AI3191">
        <v>92.340063082432707</v>
      </c>
      <c r="AJ3191">
        <v>67.706311883203895</v>
      </c>
      <c r="AK3191">
        <v>26.999373746636</v>
      </c>
      <c r="AL3191">
        <v>80.228879151157599</v>
      </c>
      <c r="AM3191">
        <v>80.263440881629407</v>
      </c>
      <c r="AN3191">
        <v>1.00000002214586</v>
      </c>
    </row>
    <row r="3192" spans="1:40" x14ac:dyDescent="0.25">
      <c r="A3192" t="str">
        <f>"20190304155434713"</f>
        <v>20190304155434713</v>
      </c>
      <c r="B3192" t="str">
        <f>"1551686074700588"</f>
        <v>1551686074700588</v>
      </c>
      <c r="C3192" t="s">
        <v>40</v>
      </c>
      <c r="D3192">
        <v>4.7691699999999999</v>
      </c>
      <c r="E3192">
        <v>0.5820535</v>
      </c>
      <c r="F3192" t="s">
        <v>46</v>
      </c>
      <c r="G3192">
        <v>-228.20660000000001</v>
      </c>
      <c r="H3192" s="1">
        <v>-1.8134850000000001E-6</v>
      </c>
      <c r="I3192">
        <v>143.6069</v>
      </c>
      <c r="J3192">
        <v>-201.97319999999999</v>
      </c>
      <c r="K3192">
        <v>1.102471</v>
      </c>
      <c r="L3192">
        <v>146.35399999999899</v>
      </c>
      <c r="M3192">
        <v>-0.88247980000000004</v>
      </c>
      <c r="N3192">
        <v>-1.095551E-2</v>
      </c>
      <c r="O3192">
        <v>-0.4702229</v>
      </c>
      <c r="P3192">
        <v>-0.93538120000000002</v>
      </c>
      <c r="Q3192">
        <v>0.1617439</v>
      </c>
      <c r="R3192">
        <v>-0.31448559999999998</v>
      </c>
      <c r="S3192">
        <v>-3.121613</v>
      </c>
      <c r="T3192">
        <v>-0.1298926</v>
      </c>
      <c r="U3192">
        <v>-0.33908080000000002</v>
      </c>
      <c r="V3192">
        <v>0.1653953</v>
      </c>
      <c r="W3192">
        <v>0.16945009999999999</v>
      </c>
      <c r="X3192">
        <v>0.97156109999999896</v>
      </c>
      <c r="Y3192">
        <v>0.37161519999999998</v>
      </c>
      <c r="Z3192">
        <v>2.3189930000000001E-2</v>
      </c>
      <c r="AA3192">
        <v>0.92809719999999996</v>
      </c>
      <c r="AB3192">
        <v>29</v>
      </c>
      <c r="AC3192">
        <v>-26.2334</v>
      </c>
      <c r="AD3192">
        <v>-1.1024728134849999</v>
      </c>
      <c r="AE3192">
        <v>-2.7470999999999801</v>
      </c>
      <c r="AF3192">
        <v>9.8945932938792591</v>
      </c>
      <c r="AG3192">
        <v>-1.1024728134849999</v>
      </c>
      <c r="AH3192">
        <v>24.401031130217699</v>
      </c>
      <c r="AI3192">
        <v>92.397574782600998</v>
      </c>
      <c r="AJ3192">
        <v>67.927495826997401</v>
      </c>
      <c r="AK3192">
        <v>26.353913238333401</v>
      </c>
      <c r="AL3192">
        <v>80.244151312595804</v>
      </c>
      <c r="AM3192">
        <v>80.338777400460003</v>
      </c>
      <c r="AN3192">
        <v>0.99999995634265304</v>
      </c>
    </row>
    <row r="3193" spans="1:40" x14ac:dyDescent="0.25">
      <c r="A3193" t="str">
        <f>"20190304155434737"</f>
        <v>20190304155434737</v>
      </c>
      <c r="B3193" t="str">
        <f>"1551686074730840"</f>
        <v>1551686074730840</v>
      </c>
      <c r="C3193" t="s">
        <v>40</v>
      </c>
      <c r="D3193">
        <v>4.5951950000000004</v>
      </c>
      <c r="E3193">
        <v>0.58150109999999999</v>
      </c>
      <c r="F3193" t="s">
        <v>46</v>
      </c>
      <c r="G3193">
        <v>-227.59180000000001</v>
      </c>
      <c r="H3193" s="1">
        <v>-2.0906189999999998E-6</v>
      </c>
      <c r="I3193">
        <v>143.65719999999999</v>
      </c>
      <c r="J3193">
        <v>-202.2602</v>
      </c>
      <c r="K3193">
        <v>1.1025529999999999</v>
      </c>
      <c r="L3193">
        <v>146.21279999999999</v>
      </c>
      <c r="M3193">
        <v>-0.88711859999999998</v>
      </c>
      <c r="N3193">
        <v>-1.094118E-2</v>
      </c>
      <c r="O3193">
        <v>-0.46141179999999898</v>
      </c>
      <c r="P3193">
        <v>-0.93806560000000005</v>
      </c>
      <c r="Q3193">
        <v>0.16183320000000001</v>
      </c>
      <c r="R3193">
        <v>-0.3063382</v>
      </c>
      <c r="S3193">
        <v>-3.1200559999999999</v>
      </c>
      <c r="T3193">
        <v>-0.13426920000000001</v>
      </c>
      <c r="U3193">
        <v>-0.3284454</v>
      </c>
      <c r="V3193">
        <v>0.16412850000000001</v>
      </c>
      <c r="W3193">
        <v>0.16958309999999999</v>
      </c>
      <c r="X3193">
        <v>0.97175279999999997</v>
      </c>
      <c r="Y3193">
        <v>0.36540800000000001</v>
      </c>
      <c r="Z3193">
        <v>2.3711599999999999E-2</v>
      </c>
      <c r="AA3193">
        <v>0.93054539999999997</v>
      </c>
      <c r="AB3193">
        <v>29</v>
      </c>
      <c r="AC3193">
        <v>-25.331600000000002</v>
      </c>
      <c r="AD3193">
        <v>-1.102555090619</v>
      </c>
      <c r="AE3193">
        <v>-2.5555999999999899</v>
      </c>
      <c r="AF3193">
        <v>9.4041071622280992</v>
      </c>
      <c r="AG3193">
        <v>-1.102555090619</v>
      </c>
      <c r="AH3193">
        <v>23.608460030053301</v>
      </c>
      <c r="AI3193">
        <v>92.484292737073105</v>
      </c>
      <c r="AJ3193">
        <v>68.280811475316099</v>
      </c>
      <c r="AK3193">
        <v>25.436435368131701</v>
      </c>
      <c r="AL3193">
        <v>80.236419974106596</v>
      </c>
      <c r="AM3193">
        <v>80.413252291049105</v>
      </c>
      <c r="AN3193">
        <v>1.00000004831284</v>
      </c>
    </row>
    <row r="3194" spans="1:40" x14ac:dyDescent="0.25">
      <c r="A3194" t="str">
        <f>"20190304155434760"</f>
        <v>20190304155434760</v>
      </c>
      <c r="B3194" t="str">
        <f>"1551686074750359"</f>
        <v>1551686074750359</v>
      </c>
      <c r="C3194" t="s">
        <v>40</v>
      </c>
      <c r="D3194">
        <v>4.5458769999999999</v>
      </c>
      <c r="E3194">
        <v>0.58005689999999999</v>
      </c>
      <c r="F3194" t="s">
        <v>46</v>
      </c>
      <c r="G3194">
        <v>-229.70910000000001</v>
      </c>
      <c r="H3194" s="1">
        <v>-1.1480010000000001E-6</v>
      </c>
      <c r="I3194">
        <v>143.5282</v>
      </c>
      <c r="J3194">
        <v>-202.53190000000001</v>
      </c>
      <c r="K3194">
        <v>1.1026309999999999</v>
      </c>
      <c r="L3194">
        <v>146.0822</v>
      </c>
      <c r="M3194">
        <v>-0.89136099999999996</v>
      </c>
      <c r="N3194">
        <v>-1.092862E-2</v>
      </c>
      <c r="O3194">
        <v>-0.45316250000000002</v>
      </c>
      <c r="P3194">
        <v>-0.94052049999999998</v>
      </c>
      <c r="Q3194">
        <v>0.16197800000000001</v>
      </c>
      <c r="R3194">
        <v>-0.29863770000000001</v>
      </c>
      <c r="S3194">
        <v>-3.1200410000000001</v>
      </c>
      <c r="T3194">
        <v>-0.12532460000000001</v>
      </c>
      <c r="U3194">
        <v>-0.30514530000000001</v>
      </c>
      <c r="V3194">
        <v>0.16303870000000001</v>
      </c>
      <c r="W3194">
        <v>0.16976550000000001</v>
      </c>
      <c r="X3194">
        <v>0.97190430000000005</v>
      </c>
      <c r="Y3194">
        <v>0.36373899999999998</v>
      </c>
      <c r="Z3194">
        <v>2.170134E-2</v>
      </c>
      <c r="AA3194">
        <v>0.93124810000000002</v>
      </c>
      <c r="AB3194">
        <v>29</v>
      </c>
      <c r="AC3194">
        <v>-27.177199999999999</v>
      </c>
      <c r="AD3194">
        <v>-1.102632148001</v>
      </c>
      <c r="AE3194">
        <v>-2.5539999999999998</v>
      </c>
      <c r="AF3194">
        <v>10.023395961968699</v>
      </c>
      <c r="AG3194">
        <v>-1.102632148001</v>
      </c>
      <c r="AH3194">
        <v>25.342237319448898</v>
      </c>
      <c r="AI3194">
        <v>92.316917134864795</v>
      </c>
      <c r="AJ3194">
        <v>68.420145054440297</v>
      </c>
      <c r="AK3194">
        <v>27.274773264309399</v>
      </c>
      <c r="AL3194">
        <v>80.225814545197906</v>
      </c>
      <c r="AM3194">
        <v>80.477195020159101</v>
      </c>
      <c r="AN3194">
        <v>0.99999995552321397</v>
      </c>
    </row>
    <row r="3195" spans="1:40" x14ac:dyDescent="0.25">
      <c r="A3195" t="str">
        <f>"20190304155434782"</f>
        <v>20190304155434782</v>
      </c>
      <c r="B3195" t="str">
        <f>"1551686074770856"</f>
        <v>1551686074770856</v>
      </c>
      <c r="C3195" t="s">
        <v>40</v>
      </c>
      <c r="D3195">
        <v>4.8435360000000003</v>
      </c>
      <c r="E3195">
        <v>0.57957530000000002</v>
      </c>
      <c r="F3195" t="s">
        <v>46</v>
      </c>
      <c r="G3195">
        <v>-230.75200000000001</v>
      </c>
      <c r="H3195" s="1">
        <v>-4.701154E-6</v>
      </c>
      <c r="I3195">
        <v>143.4556</v>
      </c>
      <c r="J3195">
        <v>-202.7928</v>
      </c>
      <c r="K3195">
        <v>1.1027049999999901</v>
      </c>
      <c r="L3195">
        <v>145.95959999999999</v>
      </c>
      <c r="M3195">
        <v>-0.89530270000000001</v>
      </c>
      <c r="N3195">
        <v>-1.0917390000000001E-2</v>
      </c>
      <c r="O3195">
        <v>-0.44532440000000001</v>
      </c>
      <c r="P3195">
        <v>-0.94269820000000004</v>
      </c>
      <c r="Q3195">
        <v>0.16201380000000001</v>
      </c>
      <c r="R3195">
        <v>-0.2916704</v>
      </c>
      <c r="S3195">
        <v>-3.1185459999999998</v>
      </c>
      <c r="T3195">
        <v>-0.1218501</v>
      </c>
      <c r="U3195">
        <v>-0.29025269999999997</v>
      </c>
      <c r="V3195">
        <v>0.16167049999999999</v>
      </c>
      <c r="W3195">
        <v>0.16984250000000001</v>
      </c>
      <c r="X3195">
        <v>0.97211939999999997</v>
      </c>
      <c r="Y3195">
        <v>0.35996349999999999</v>
      </c>
      <c r="Z3195">
        <v>2.076354E-2</v>
      </c>
      <c r="AA3195">
        <v>0.93273530000000004</v>
      </c>
      <c r="AB3195">
        <v>29</v>
      </c>
      <c r="AC3195">
        <v>-27.959199999999999</v>
      </c>
      <c r="AD3195">
        <v>-1.1027097011539999</v>
      </c>
      <c r="AE3195">
        <v>-2.5039999999999898</v>
      </c>
      <c r="AF3195">
        <v>10.1939541667029</v>
      </c>
      <c r="AG3195">
        <v>-1.1027097011539999</v>
      </c>
      <c r="AH3195">
        <v>26.1083101590675</v>
      </c>
      <c r="AI3195">
        <v>92.253046010425194</v>
      </c>
      <c r="AJ3195">
        <v>68.671908237559194</v>
      </c>
      <c r="AK3195">
        <v>28.049537065697301</v>
      </c>
      <c r="AL3195">
        <v>80.221337965697998</v>
      </c>
      <c r="AM3195">
        <v>80.557715682300397</v>
      </c>
      <c r="AN3195">
        <v>0.99999997661642903</v>
      </c>
    </row>
    <row r="3196" spans="1:40" x14ac:dyDescent="0.25">
      <c r="A3196" t="str">
        <f>"20190304155434804"</f>
        <v>20190304155434804</v>
      </c>
      <c r="B3196" t="str">
        <f>"1551686074800135"</f>
        <v>1551686074800135</v>
      </c>
      <c r="C3196" t="s">
        <v>40</v>
      </c>
      <c r="D3196">
        <v>4.5829449999999996</v>
      </c>
      <c r="E3196">
        <v>0.58174569999999903</v>
      </c>
      <c r="F3196" t="s">
        <v>46</v>
      </c>
      <c r="G3196">
        <v>-232.15729999999999</v>
      </c>
      <c r="H3196" s="1">
        <v>-4.2139770000000002E-6</v>
      </c>
      <c r="I3196">
        <v>143.40530000000001</v>
      </c>
      <c r="J3196">
        <v>-203.05709999999999</v>
      </c>
      <c r="K3196">
        <v>1.1027659999999999</v>
      </c>
      <c r="L3196">
        <v>145.8383</v>
      </c>
      <c r="M3196">
        <v>-0.89916929999999995</v>
      </c>
      <c r="N3196">
        <v>-1.090667E-2</v>
      </c>
      <c r="O3196">
        <v>-0.43746499999999999</v>
      </c>
      <c r="P3196">
        <v>-0.94478569999999995</v>
      </c>
      <c r="Q3196">
        <v>0.16158520000000001</v>
      </c>
      <c r="R3196">
        <v>-0.2850799</v>
      </c>
      <c r="S3196">
        <v>-3.1185459999999998</v>
      </c>
      <c r="T3196">
        <v>-0.1171088</v>
      </c>
      <c r="U3196">
        <v>-0.27127079999999998</v>
      </c>
      <c r="V3196">
        <v>0.1599401</v>
      </c>
      <c r="W3196">
        <v>0.1694609</v>
      </c>
      <c r="X3196">
        <v>0.97247220000000001</v>
      </c>
      <c r="Y3196">
        <v>0.35746660000000002</v>
      </c>
      <c r="Z3196">
        <v>1.9619749999999998E-2</v>
      </c>
      <c r="AA3196">
        <v>0.93371979999999999</v>
      </c>
      <c r="AB3196">
        <v>29</v>
      </c>
      <c r="AC3196">
        <v>-29.100200000000001</v>
      </c>
      <c r="AD3196">
        <v>-1.1027702139769999</v>
      </c>
      <c r="AE3196">
        <v>-2.4329999999999901</v>
      </c>
      <c r="AF3196">
        <v>10.528252692222701</v>
      </c>
      <c r="AG3196">
        <v>-1.1027702139769999</v>
      </c>
      <c r="AH3196">
        <v>27.1931979180012</v>
      </c>
      <c r="AI3196">
        <v>92.165763614825707</v>
      </c>
      <c r="AJ3196">
        <v>68.835343886251195</v>
      </c>
      <c r="AK3196">
        <v>29.180990728618401</v>
      </c>
      <c r="AL3196">
        <v>80.243523926889694</v>
      </c>
      <c r="AM3196">
        <v>80.660317192135494</v>
      </c>
      <c r="AN3196">
        <v>1.00000000599483</v>
      </c>
    </row>
    <row r="3197" spans="1:40" x14ac:dyDescent="0.25">
      <c r="A3197" t="str">
        <f>"20190304155434825"</f>
        <v>20190304155434825</v>
      </c>
      <c r="B3197" t="str">
        <f>"1551686074820632"</f>
        <v>1551686074820632</v>
      </c>
      <c r="C3197" t="s">
        <v>40</v>
      </c>
      <c r="D3197">
        <v>4.4661929999999996</v>
      </c>
      <c r="E3197">
        <v>0.58136999999999905</v>
      </c>
      <c r="F3197" t="s">
        <v>46</v>
      </c>
      <c r="G3197">
        <v>-237.53469999999999</v>
      </c>
      <c r="H3197" s="1">
        <v>-2.0108019999999999E-6</v>
      </c>
      <c r="I3197">
        <v>143.26519999999999</v>
      </c>
      <c r="J3197">
        <v>-203.31909999999999</v>
      </c>
      <c r="K3197">
        <v>1.1028209999999901</v>
      </c>
      <c r="L3197">
        <v>145.72069999999999</v>
      </c>
      <c r="M3197">
        <v>-0.90288900000000005</v>
      </c>
      <c r="N3197">
        <v>-1.089699E-2</v>
      </c>
      <c r="O3197">
        <v>-0.4297358</v>
      </c>
      <c r="P3197">
        <v>-0.94674060000000004</v>
      </c>
      <c r="Q3197">
        <v>0.160964</v>
      </c>
      <c r="R3197">
        <v>-0.27887810000000002</v>
      </c>
      <c r="S3197">
        <v>-3.1221160000000001</v>
      </c>
      <c r="T3197">
        <v>-9.9861030000000003E-2</v>
      </c>
      <c r="U3197">
        <v>-0.23300170000000001</v>
      </c>
      <c r="V3197">
        <v>0.15798470000000001</v>
      </c>
      <c r="W3197">
        <v>0.16888810000000001</v>
      </c>
      <c r="X3197">
        <v>0.97289139999999996</v>
      </c>
      <c r="Y3197">
        <v>0.36104560000000002</v>
      </c>
      <c r="Z3197">
        <v>1.623954E-2</v>
      </c>
      <c r="AA3197">
        <v>0.93240670000000003</v>
      </c>
      <c r="AB3197">
        <v>29</v>
      </c>
      <c r="AC3197">
        <v>-34.215599999999903</v>
      </c>
      <c r="AD3197">
        <v>-1.1028230108019901</v>
      </c>
      <c r="AE3197">
        <v>-2.4554999999999998</v>
      </c>
      <c r="AF3197">
        <v>12.474471781118099</v>
      </c>
      <c r="AG3197">
        <v>-1.1028230108019901</v>
      </c>
      <c r="AH3197">
        <v>31.917011860307699</v>
      </c>
      <c r="AI3197">
        <v>91.843264082736098</v>
      </c>
      <c r="AJ3197">
        <v>68.652411881544197</v>
      </c>
      <c r="AK3197">
        <v>34.285920009562098</v>
      </c>
      <c r="AL3197">
        <v>80.276823015522297</v>
      </c>
      <c r="AM3197">
        <v>80.776434106167002</v>
      </c>
      <c r="AN3197">
        <v>1.0000000159748299</v>
      </c>
    </row>
    <row r="3198" spans="1:40" x14ac:dyDescent="0.25">
      <c r="A3198" t="str">
        <f>"20190304155434847"</f>
        <v>20190304155434847</v>
      </c>
      <c r="B3198" t="str">
        <f>"1551686074840152"</f>
        <v>1551686074840152</v>
      </c>
      <c r="C3198" t="s">
        <v>40</v>
      </c>
      <c r="D3198">
        <v>4.5080369999999998</v>
      </c>
      <c r="E3198">
        <v>0.58143020000000001</v>
      </c>
      <c r="F3198" t="s">
        <v>46</v>
      </c>
      <c r="G3198">
        <v>-240.9462</v>
      </c>
      <c r="H3198" s="1">
        <v>-4.5770730000000001E-6</v>
      </c>
      <c r="I3198">
        <v>143.12860000000001</v>
      </c>
      <c r="J3198">
        <v>-203.58580000000001</v>
      </c>
      <c r="K3198">
        <v>1.102868</v>
      </c>
      <c r="L3198">
        <v>145.6036</v>
      </c>
      <c r="M3198">
        <v>-0.90656369999999997</v>
      </c>
      <c r="N3198">
        <v>-1.0888220000000001E-2</v>
      </c>
      <c r="O3198">
        <v>-0.42192879999999999</v>
      </c>
      <c r="P3198">
        <v>-0.94845460000000004</v>
      </c>
      <c r="Q3198">
        <v>0.161751799999999</v>
      </c>
      <c r="R3198">
        <v>-0.2725262</v>
      </c>
      <c r="S3198">
        <v>-3.120987</v>
      </c>
      <c r="T3198">
        <v>-9.147429E-2</v>
      </c>
      <c r="U3198">
        <v>-0.2149963</v>
      </c>
      <c r="V3198">
        <v>0.15604460000000001</v>
      </c>
      <c r="W3198">
        <v>0.16972039999999999</v>
      </c>
      <c r="X3198">
        <v>0.97305969999999997</v>
      </c>
      <c r="Y3198">
        <v>0.35838120000000001</v>
      </c>
      <c r="Z3198">
        <v>1.448373E-2</v>
      </c>
      <c r="AA3198">
        <v>0.93346300000000004</v>
      </c>
      <c r="AB3198">
        <v>29</v>
      </c>
      <c r="AC3198">
        <v>-37.360399999999998</v>
      </c>
      <c r="AD3198">
        <v>-1.1028725770729999</v>
      </c>
      <c r="AE3198">
        <v>-2.4749999999999899</v>
      </c>
      <c r="AF3198">
        <v>13.508763276876101</v>
      </c>
      <c r="AG3198">
        <v>-1.1028725770729999</v>
      </c>
      <c r="AH3198">
        <v>34.885655136356</v>
      </c>
      <c r="AI3198">
        <v>91.688637495345503</v>
      </c>
      <c r="AJ3198">
        <v>68.832114747398606</v>
      </c>
      <c r="AK3198">
        <v>37.426086456971397</v>
      </c>
      <c r="AL3198">
        <v>80.228437622927203</v>
      </c>
      <c r="AM3198">
        <v>80.8893401091686</v>
      </c>
      <c r="AN3198">
        <v>1.0000000555647</v>
      </c>
    </row>
    <row r="3199" spans="1:40" x14ac:dyDescent="0.25">
      <c r="A3199" t="str">
        <f>"20190304155434869"</f>
        <v>20190304155434869</v>
      </c>
      <c r="B3199" t="str">
        <f>"1551686074860649"</f>
        <v>1551686074860649</v>
      </c>
      <c r="C3199" t="s">
        <v>40</v>
      </c>
      <c r="D3199">
        <v>4.551793</v>
      </c>
      <c r="E3199">
        <v>0.58211669999999904</v>
      </c>
      <c r="F3199" t="s">
        <v>46</v>
      </c>
      <c r="G3199">
        <v>-245.97319999999999</v>
      </c>
      <c r="H3199" s="1">
        <v>-2.6047860000000001E-6</v>
      </c>
      <c r="I3199">
        <v>142.97980000000001</v>
      </c>
      <c r="J3199">
        <v>-203.85249999999999</v>
      </c>
      <c r="K3199">
        <v>1.1029150000000001</v>
      </c>
      <c r="L3199">
        <v>145.48920000000001</v>
      </c>
      <c r="M3199">
        <v>-0.91012680000000001</v>
      </c>
      <c r="N3199">
        <v>-1.087977E-2</v>
      </c>
      <c r="O3199">
        <v>-0.41418690000000002</v>
      </c>
      <c r="P3199">
        <v>-0.95015000000000005</v>
      </c>
      <c r="Q3199">
        <v>0.1630441</v>
      </c>
      <c r="R3199">
        <v>-0.26576609999999901</v>
      </c>
      <c r="S3199">
        <v>-3.1213679999999999</v>
      </c>
      <c r="T3199">
        <v>-8.1214549999999996E-2</v>
      </c>
      <c r="U3199">
        <v>-0.19320680000000001</v>
      </c>
      <c r="V3199">
        <v>0.15458829999999901</v>
      </c>
      <c r="W3199">
        <v>0.17104629999999901</v>
      </c>
      <c r="X3199">
        <v>0.97306000000000004</v>
      </c>
      <c r="Y3199">
        <v>0.3569812</v>
      </c>
      <c r="Z3199">
        <v>1.243853E-2</v>
      </c>
      <c r="AA3199">
        <v>0.93402870000000005</v>
      </c>
      <c r="AB3199">
        <v>29</v>
      </c>
      <c r="AC3199">
        <v>-42.120699999999999</v>
      </c>
      <c r="AD3199">
        <v>-1.1029176047860001</v>
      </c>
      <c r="AE3199">
        <v>-2.5093999999999901</v>
      </c>
      <c r="AF3199">
        <v>15.1525153868703</v>
      </c>
      <c r="AG3199">
        <v>-1.1029176047860001</v>
      </c>
      <c r="AH3199">
        <v>39.349985651622603</v>
      </c>
      <c r="AI3199">
        <v>91.498298545828803</v>
      </c>
      <c r="AJ3199">
        <v>68.939780719824498</v>
      </c>
      <c r="AK3199">
        <v>42.180997150081602</v>
      </c>
      <c r="AL3199">
        <v>80.151341998865107</v>
      </c>
      <c r="AM3199">
        <v>80.972962393364497</v>
      </c>
      <c r="AN3199">
        <v>1.0000000714202799</v>
      </c>
    </row>
    <row r="3200" spans="1:40" x14ac:dyDescent="0.25">
      <c r="A3200" t="str">
        <f>"20190304155434891"</f>
        <v>20190304155434891</v>
      </c>
      <c r="B3200" t="str">
        <f>"1551686074880168"</f>
        <v>1551686074880168</v>
      </c>
      <c r="C3200" t="s">
        <v>40</v>
      </c>
      <c r="D3200">
        <v>4.4919289999999998</v>
      </c>
      <c r="E3200">
        <v>0.58193319999999904</v>
      </c>
      <c r="F3200" t="s">
        <v>46</v>
      </c>
      <c r="G3200">
        <v>-251.1011</v>
      </c>
      <c r="H3200" s="1">
        <v>-4.4962189999999997E-6</v>
      </c>
      <c r="I3200">
        <v>142.9701</v>
      </c>
      <c r="J3200">
        <v>-204.13560000000001</v>
      </c>
      <c r="K3200">
        <v>1.1029739999999999</v>
      </c>
      <c r="L3200">
        <v>145.37049999999999</v>
      </c>
      <c r="M3200">
        <v>-0.9137864</v>
      </c>
      <c r="N3200">
        <v>-1.0870090000000001E-2</v>
      </c>
      <c r="O3200">
        <v>-0.40605000000000002</v>
      </c>
      <c r="P3200">
        <v>-0.95211080000000003</v>
      </c>
      <c r="Q3200">
        <v>0.1634128</v>
      </c>
      <c r="R3200">
        <v>-0.25842130000000002</v>
      </c>
      <c r="S3200">
        <v>-3.1233520000000001</v>
      </c>
      <c r="T3200">
        <v>-7.290816E-2</v>
      </c>
      <c r="U3200">
        <v>-0.16651920000000001</v>
      </c>
      <c r="V3200">
        <v>0.1533754</v>
      </c>
      <c r="W3200">
        <v>0.1714475</v>
      </c>
      <c r="X3200">
        <v>0.97318119999999997</v>
      </c>
      <c r="Y3200">
        <v>0.35668060000000001</v>
      </c>
      <c r="Z3200">
        <v>1.0809890000000001E-2</v>
      </c>
      <c r="AA3200">
        <v>0.93416390000000005</v>
      </c>
      <c r="AB3200">
        <v>29</v>
      </c>
      <c r="AC3200">
        <v>-46.965499999999899</v>
      </c>
      <c r="AD3200">
        <v>-1.1029784962189999</v>
      </c>
      <c r="AE3200">
        <v>-2.4003999999999901</v>
      </c>
      <c r="AF3200">
        <v>16.868603192177101</v>
      </c>
      <c r="AG3200">
        <v>-1.1029784962189999</v>
      </c>
      <c r="AH3200">
        <v>43.869570545604603</v>
      </c>
      <c r="AI3200">
        <v>91.344322191750095</v>
      </c>
      <c r="AJ3200">
        <v>68.967391166045601</v>
      </c>
      <c r="AK3200">
        <v>47.013886832233197</v>
      </c>
      <c r="AL3200">
        <v>80.128009103220094</v>
      </c>
      <c r="AM3200">
        <v>81.043733181715496</v>
      </c>
      <c r="AN3200">
        <v>0.99999995330742297</v>
      </c>
    </row>
    <row r="3201" spans="1:40" x14ac:dyDescent="0.25">
      <c r="A3201" t="str">
        <f>"20190304155434915"</f>
        <v>20190304155434915</v>
      </c>
      <c r="B3201" t="str">
        <f>"1551686074910425"</f>
        <v>1551686074910425</v>
      </c>
      <c r="C3201" t="s">
        <v>40</v>
      </c>
      <c r="D3201">
        <v>4.5029589999999997</v>
      </c>
      <c r="E3201">
        <v>0.58187650000000002</v>
      </c>
      <c r="F3201" t="s">
        <v>46</v>
      </c>
      <c r="G3201">
        <v>-255.39949999999999</v>
      </c>
      <c r="H3201" s="1">
        <v>-2.8558210000000002E-6</v>
      </c>
      <c r="I3201">
        <v>142.9984</v>
      </c>
      <c r="J3201">
        <v>-204.4143</v>
      </c>
      <c r="K3201">
        <v>1.103035</v>
      </c>
      <c r="L3201">
        <v>145.25640000000001</v>
      </c>
      <c r="M3201">
        <v>-0.91726629999999998</v>
      </c>
      <c r="N3201">
        <v>-1.0859519999999999E-2</v>
      </c>
      <c r="O3201">
        <v>-0.39812639999999999</v>
      </c>
      <c r="P3201">
        <v>-0.95403870000000002</v>
      </c>
      <c r="Q3201">
        <v>0.16353899999999999</v>
      </c>
      <c r="R3201">
        <v>-0.25112800000000002</v>
      </c>
      <c r="S3201">
        <v>-3.1232150000000001</v>
      </c>
      <c r="T3201">
        <v>-6.7198040000000001E-2</v>
      </c>
      <c r="U3201">
        <v>-0.14451600000000001</v>
      </c>
      <c r="V3201">
        <v>0.15236450000000001</v>
      </c>
      <c r="W3201">
        <v>0.17160529999999999</v>
      </c>
      <c r="X3201">
        <v>0.97331219999999996</v>
      </c>
      <c r="Y3201">
        <v>0.355184</v>
      </c>
      <c r="Z3201">
        <v>9.6805569999999994E-3</v>
      </c>
      <c r="AA3201">
        <v>0.93474630000000003</v>
      </c>
      <c r="AB3201">
        <v>29</v>
      </c>
      <c r="AC3201">
        <v>-50.985199999999899</v>
      </c>
      <c r="AD3201">
        <v>-1.1030378558209999</v>
      </c>
      <c r="AE3201">
        <v>-2.258</v>
      </c>
      <c r="AF3201">
        <v>18.219930311902001</v>
      </c>
      <c r="AG3201">
        <v>-1.1030378558209999</v>
      </c>
      <c r="AH3201">
        <v>47.646528115499699</v>
      </c>
      <c r="AI3201">
        <v>91.238735505882502</v>
      </c>
      <c r="AJ3201">
        <v>69.073252972260704</v>
      </c>
      <c r="AK3201">
        <v>51.023271107829302</v>
      </c>
      <c r="AL3201">
        <v>80.118832076016304</v>
      </c>
      <c r="AM3201">
        <v>81.102994900968895</v>
      </c>
      <c r="AN3201">
        <v>0.99999997925858897</v>
      </c>
    </row>
    <row r="3202" spans="1:40" x14ac:dyDescent="0.25">
      <c r="A3202" t="str">
        <f>"20190304155434937"</f>
        <v>20190304155434937</v>
      </c>
      <c r="B3202" t="str">
        <f>"1551686074929944"</f>
        <v>1551686074929944</v>
      </c>
      <c r="C3202" t="s">
        <v>40</v>
      </c>
      <c r="D3202">
        <v>4.5123410000000002</v>
      </c>
      <c r="E3202">
        <v>0.58228380000000002</v>
      </c>
      <c r="F3202" t="s">
        <v>46</v>
      </c>
      <c r="G3202">
        <v>-260.50119999999998</v>
      </c>
      <c r="H3202" s="1">
        <v>-4.7189760000000002E-6</v>
      </c>
      <c r="I3202">
        <v>143.07480000000001</v>
      </c>
      <c r="J3202">
        <v>-204.6917</v>
      </c>
      <c r="K3202">
        <v>1.1031139999999999</v>
      </c>
      <c r="L3202">
        <v>145.1455</v>
      </c>
      <c r="M3202">
        <v>-0.92060379999999997</v>
      </c>
      <c r="N3202">
        <v>-1.084778E-2</v>
      </c>
      <c r="O3202">
        <v>-0.39034780000000002</v>
      </c>
      <c r="P3202">
        <v>-0.95587350000000004</v>
      </c>
      <c r="Q3202">
        <v>0.16315769999999999</v>
      </c>
      <c r="R3202">
        <v>-0.24430660000000001</v>
      </c>
      <c r="S3202">
        <v>-3.1230769999999999</v>
      </c>
      <c r="T3202">
        <v>-6.142044E-2</v>
      </c>
      <c r="U3202">
        <v>-0.12147520000000001</v>
      </c>
      <c r="V3202">
        <v>0.1510619</v>
      </c>
      <c r="W3202">
        <v>0.17126569999999999</v>
      </c>
      <c r="X3202">
        <v>0.97357510000000003</v>
      </c>
      <c r="Y3202">
        <v>0.35417659999999901</v>
      </c>
      <c r="Z3202">
        <v>8.5751530000000003E-3</v>
      </c>
      <c r="AA3202">
        <v>0.93513919999999995</v>
      </c>
      <c r="AB3202">
        <v>29</v>
      </c>
      <c r="AC3202">
        <v>-55.8094999999999</v>
      </c>
      <c r="AD3202">
        <v>-1.1031187189759999</v>
      </c>
      <c r="AE3202">
        <v>-2.07069999999998</v>
      </c>
      <c r="AF3202">
        <v>19.872233501833701</v>
      </c>
      <c r="AG3202">
        <v>-1.1031187189759999</v>
      </c>
      <c r="AH3202">
        <v>52.169436513303403</v>
      </c>
      <c r="AI3202">
        <v>91.132011713593698</v>
      </c>
      <c r="AJ3202">
        <v>69.147304334731501</v>
      </c>
      <c r="AK3202">
        <v>55.837018557361702</v>
      </c>
      <c r="AL3202">
        <v>80.138582884931907</v>
      </c>
      <c r="AM3202">
        <v>81.180200768393306</v>
      </c>
      <c r="AN3202">
        <v>1.0000000564840501</v>
      </c>
    </row>
    <row r="3203" spans="1:40" x14ac:dyDescent="0.25">
      <c r="A3203" t="str">
        <f>"20190304155434962"</f>
        <v>20190304155434962</v>
      </c>
      <c r="B3203" t="str">
        <f>"1551686074950440"</f>
        <v>1551686074950440</v>
      </c>
      <c r="C3203" t="s">
        <v>40</v>
      </c>
      <c r="D3203">
        <v>4.456334</v>
      </c>
      <c r="E3203">
        <v>0.5809647</v>
      </c>
      <c r="F3203" t="s">
        <v>46</v>
      </c>
      <c r="G3203">
        <v>-260.25709999999998</v>
      </c>
      <c r="H3203" s="1">
        <v>-4.863181E-6</v>
      </c>
      <c r="I3203">
        <v>143.4195</v>
      </c>
      <c r="J3203">
        <v>-204.99719999999999</v>
      </c>
      <c r="K3203">
        <v>1.103221</v>
      </c>
      <c r="L3203">
        <v>145.02619999999999</v>
      </c>
      <c r="M3203">
        <v>-0.92413179999999995</v>
      </c>
      <c r="N3203">
        <v>-1.0833280000000001E-2</v>
      </c>
      <c r="O3203">
        <v>-0.38192039999999999</v>
      </c>
      <c r="P3203">
        <v>-0.95778909999999995</v>
      </c>
      <c r="Q3203">
        <v>0.1627411</v>
      </c>
      <c r="R3203">
        <v>-0.23697109999999999</v>
      </c>
      <c r="S3203">
        <v>-3.1242679999999998</v>
      </c>
      <c r="T3203">
        <v>-6.2024950000000002E-2</v>
      </c>
      <c r="U3203">
        <v>-9.7045900000000004E-2</v>
      </c>
      <c r="V3203">
        <v>0.14960399999999999</v>
      </c>
      <c r="W3203">
        <v>0.1709002</v>
      </c>
      <c r="X3203">
        <v>0.97386439999999996</v>
      </c>
      <c r="Y3203">
        <v>0.35294720000000002</v>
      </c>
      <c r="Z3203">
        <v>8.6098919999999992E-3</v>
      </c>
      <c r="AA3203">
        <v>0.93560359999999998</v>
      </c>
      <c r="AB3203">
        <v>29</v>
      </c>
      <c r="AC3203">
        <v>-55.259899999999902</v>
      </c>
      <c r="AD3203">
        <v>-1.1032258631809999</v>
      </c>
      <c r="AE3203">
        <v>-1.60669999999998</v>
      </c>
      <c r="AF3203">
        <v>19.613419834032499</v>
      </c>
      <c r="AG3203">
        <v>-1.1032258631809999</v>
      </c>
      <c r="AH3203">
        <v>51.663517437585</v>
      </c>
      <c r="AI3203">
        <v>91.143691017118101</v>
      </c>
      <c r="AJ3203">
        <v>69.211349287275198</v>
      </c>
      <c r="AK3203">
        <v>55.272256864677203</v>
      </c>
      <c r="AL3203">
        <v>80.159837820496804</v>
      </c>
      <c r="AM3203">
        <v>81.266556530051403</v>
      </c>
      <c r="AN3203">
        <v>1.0000000523816901</v>
      </c>
    </row>
    <row r="3204" spans="1:40" x14ac:dyDescent="0.25">
      <c r="A3204" t="str">
        <f>"20190304155434983"</f>
        <v>20190304155434983</v>
      </c>
      <c r="B3204" t="str">
        <f>"1551686074980696"</f>
        <v>1551686074980696</v>
      </c>
      <c r="C3204" t="s">
        <v>40</v>
      </c>
      <c r="D3204">
        <v>4.5258139999999996</v>
      </c>
      <c r="E3204">
        <v>0.58043400000000001</v>
      </c>
      <c r="F3204" t="s">
        <v>46</v>
      </c>
      <c r="G3204">
        <v>-256.1139</v>
      </c>
      <c r="H3204" s="1">
        <v>-2.7237380000000001E-6</v>
      </c>
      <c r="I3204">
        <v>143.65369999999999</v>
      </c>
      <c r="J3204">
        <v>-205.2672</v>
      </c>
      <c r="K3204">
        <v>1.103332</v>
      </c>
      <c r="L3204">
        <v>144.92339999999999</v>
      </c>
      <c r="M3204">
        <v>-0.92711089999999996</v>
      </c>
      <c r="N3204">
        <v>-1.0818950000000001E-2</v>
      </c>
      <c r="O3204">
        <v>-0.37463099999999999</v>
      </c>
      <c r="P3204">
        <v>-0.9595321</v>
      </c>
      <c r="Q3204">
        <v>0.16228099999999901</v>
      </c>
      <c r="R3204">
        <v>-0.23013719999999999</v>
      </c>
      <c r="S3204">
        <v>-3.122925</v>
      </c>
      <c r="T3204">
        <v>-6.7400459999999995E-2</v>
      </c>
      <c r="U3204">
        <v>-8.3847050000000006E-2</v>
      </c>
      <c r="V3204">
        <v>0.1488525</v>
      </c>
      <c r="W3204">
        <v>0.17047870000000001</v>
      </c>
      <c r="X3204">
        <v>0.97405330000000001</v>
      </c>
      <c r="Y3204">
        <v>0.34949479999999999</v>
      </c>
      <c r="Z3204">
        <v>9.4479230000000004E-3</v>
      </c>
      <c r="AA3204">
        <v>0.93689069999999997</v>
      </c>
      <c r="AB3204">
        <v>30</v>
      </c>
      <c r="AC3204">
        <v>-50.846699999999998</v>
      </c>
      <c r="AD3204">
        <v>-1.103334723738</v>
      </c>
      <c r="AE3204">
        <v>-1.2697000000000001</v>
      </c>
      <c r="AF3204">
        <v>17.8642366160487</v>
      </c>
      <c r="AG3204">
        <v>-1.103334723738</v>
      </c>
      <c r="AH3204">
        <v>47.596587183549197</v>
      </c>
      <c r="AI3204">
        <v>91.243277084160795</v>
      </c>
      <c r="AJ3204">
        <v>69.427580999870599</v>
      </c>
      <c r="AK3204">
        <v>50.850598904122897</v>
      </c>
      <c r="AL3204">
        <v>80.184346587127607</v>
      </c>
      <c r="AM3204">
        <v>81.311415114043896</v>
      </c>
      <c r="AN3204">
        <v>0.99999994257541303</v>
      </c>
    </row>
    <row r="3205" spans="1:40" x14ac:dyDescent="0.25">
      <c r="A3205" t="str">
        <f>"20190304155435004"</f>
        <v>20190304155435004</v>
      </c>
      <c r="B3205" t="str">
        <f>"1551686075000216"</f>
        <v>1551686075000216</v>
      </c>
      <c r="C3205" t="s">
        <v>40</v>
      </c>
      <c r="D3205">
        <v>4.5671439999999999</v>
      </c>
      <c r="E3205">
        <v>0.57999840000000003</v>
      </c>
      <c r="F3205" t="s">
        <v>46</v>
      </c>
      <c r="G3205">
        <v>-254.9289</v>
      </c>
      <c r="H3205" s="1">
        <v>-3.2905940000000001E-6</v>
      </c>
      <c r="I3205">
        <v>143.87370000000001</v>
      </c>
      <c r="J3205">
        <v>-205.5241</v>
      </c>
      <c r="K3205">
        <v>1.103432</v>
      </c>
      <c r="L3205">
        <v>144.82759999999999</v>
      </c>
      <c r="M3205">
        <v>-0.92984</v>
      </c>
      <c r="N3205">
        <v>-1.0805449999999999E-2</v>
      </c>
      <c r="O3205">
        <v>-0.36780560000000001</v>
      </c>
      <c r="P3205">
        <v>-0.96098720000000004</v>
      </c>
      <c r="Q3205">
        <v>0.16198570000000001</v>
      </c>
      <c r="R3205">
        <v>-0.2241985</v>
      </c>
      <c r="S3205">
        <v>-3.122452</v>
      </c>
      <c r="T3205">
        <v>-6.9371580000000002E-2</v>
      </c>
      <c r="U3205">
        <v>-6.5994259999999999E-2</v>
      </c>
      <c r="V3205">
        <v>0.1476866</v>
      </c>
      <c r="W3205">
        <v>0.17022590000000001</v>
      </c>
      <c r="X3205">
        <v>0.974275</v>
      </c>
      <c r="Y3205">
        <v>0.34794910000000001</v>
      </c>
      <c r="Z3205">
        <v>9.7083240000000008E-3</v>
      </c>
      <c r="AA3205">
        <v>0.93746320000000005</v>
      </c>
      <c r="AB3205">
        <v>30</v>
      </c>
      <c r="AC3205">
        <v>-49.404800000000002</v>
      </c>
      <c r="AD3205">
        <v>-1.1034352905939999</v>
      </c>
      <c r="AE3205">
        <v>-0.95389999999997599</v>
      </c>
      <c r="AF3205">
        <v>17.276780606464399</v>
      </c>
      <c r="AG3205">
        <v>-1.1034352905939999</v>
      </c>
      <c r="AH3205">
        <v>46.269036314239102</v>
      </c>
      <c r="AI3205">
        <v>91.279863587902895</v>
      </c>
      <c r="AJ3205">
        <v>69.524452377441904</v>
      </c>
      <c r="AK3205">
        <v>49.4017048188907</v>
      </c>
      <c r="AL3205">
        <v>80.199046209027301</v>
      </c>
      <c r="AM3205">
        <v>81.380375021617397</v>
      </c>
      <c r="AN3205">
        <v>0.99999998223768405</v>
      </c>
    </row>
    <row r="3206" spans="1:40" x14ac:dyDescent="0.25">
      <c r="A3206" t="str">
        <f>"20190304155435027"</f>
        <v>20190304155435027</v>
      </c>
      <c r="B3206" t="str">
        <f>"1551686075020713"</f>
        <v>1551686075020713</v>
      </c>
      <c r="C3206" t="s">
        <v>40</v>
      </c>
      <c r="D3206">
        <v>4.5153129999999999</v>
      </c>
      <c r="E3206">
        <v>0.57950959999999996</v>
      </c>
      <c r="F3206" t="s">
        <v>46</v>
      </c>
      <c r="G3206">
        <v>-255.27979999999999</v>
      </c>
      <c r="H3206" s="1">
        <v>-3.1810390000000001E-6</v>
      </c>
      <c r="I3206">
        <v>144.02770000000001</v>
      </c>
      <c r="J3206">
        <v>-205.81700000000001</v>
      </c>
      <c r="K3206">
        <v>1.1035429999999999</v>
      </c>
      <c r="L3206">
        <v>144.721</v>
      </c>
      <c r="M3206">
        <v>-0.93282010000000004</v>
      </c>
      <c r="N3206">
        <v>-1.0790869999999999E-2</v>
      </c>
      <c r="O3206">
        <v>-0.36018060000000002</v>
      </c>
      <c r="P3206">
        <v>-0.96264260000000001</v>
      </c>
      <c r="Q3206">
        <v>0.16147600000000001</v>
      </c>
      <c r="R3206">
        <v>-0.21735779999999999</v>
      </c>
      <c r="S3206">
        <v>-3.1217649999999999</v>
      </c>
      <c r="T3206">
        <v>-6.9231630000000002E-2</v>
      </c>
      <c r="U3206">
        <v>-5.018616E-2</v>
      </c>
      <c r="V3206">
        <v>0.1466142</v>
      </c>
      <c r="W3206">
        <v>0.16976069999999999</v>
      </c>
      <c r="X3206">
        <v>0.97451810000000005</v>
      </c>
      <c r="Y3206">
        <v>0.34501510000000002</v>
      </c>
      <c r="Z3206">
        <v>9.5722510000000004E-3</v>
      </c>
      <c r="AA3206">
        <v>0.9385483</v>
      </c>
      <c r="AB3206">
        <v>30</v>
      </c>
      <c r="AC3206">
        <v>-49.462799999999902</v>
      </c>
      <c r="AD3206">
        <v>-1.1035461810389999</v>
      </c>
      <c r="AE3206">
        <v>-0.69329999999999303</v>
      </c>
      <c r="AF3206">
        <v>17.161277214235401</v>
      </c>
      <c r="AG3206">
        <v>-1.1035461810389999</v>
      </c>
      <c r="AH3206">
        <v>46.369235509641797</v>
      </c>
      <c r="AI3206">
        <v>91.278603146524503</v>
      </c>
      <c r="AJ3206">
        <v>69.690461642894505</v>
      </c>
      <c r="AK3206">
        <v>49.455366256313901</v>
      </c>
      <c r="AL3206">
        <v>80.226093788840899</v>
      </c>
      <c r="AM3206">
        <v>81.444138062920899</v>
      </c>
      <c r="AN3206">
        <v>0.99999997306686905</v>
      </c>
    </row>
    <row r="3207" spans="1:40" x14ac:dyDescent="0.25">
      <c r="A3207" t="str">
        <f>"20190304155435049"</f>
        <v>20190304155435049</v>
      </c>
      <c r="B3207" t="str">
        <f>"1551686075040233"</f>
        <v>1551686075040233</v>
      </c>
      <c r="C3207" t="s">
        <v>40</v>
      </c>
      <c r="D3207">
        <v>4.4992179999999999</v>
      </c>
      <c r="E3207">
        <v>0.57933539999999994</v>
      </c>
      <c r="F3207" t="s">
        <v>46</v>
      </c>
      <c r="G3207">
        <v>-255.34399999999999</v>
      </c>
      <c r="H3207" s="1">
        <v>-3.2030570000000002E-6</v>
      </c>
      <c r="I3207">
        <v>144.21379999999999</v>
      </c>
      <c r="J3207">
        <v>-206.08789999999999</v>
      </c>
      <c r="K3207">
        <v>1.1036459999999999</v>
      </c>
      <c r="L3207">
        <v>144.62450000000001</v>
      </c>
      <c r="M3207">
        <v>-0.93545440000000002</v>
      </c>
      <c r="N3207">
        <v>-1.077707E-2</v>
      </c>
      <c r="O3207">
        <v>-0.35328340000000003</v>
      </c>
      <c r="P3207">
        <v>-0.96403660000000002</v>
      </c>
      <c r="Q3207">
        <v>0.1612162</v>
      </c>
      <c r="R3207">
        <v>-0.21128949999999999</v>
      </c>
      <c r="S3207">
        <v>-3.1208800000000001</v>
      </c>
      <c r="T3207">
        <v>-6.9538710000000004E-2</v>
      </c>
      <c r="U3207">
        <v>-3.1951899999999998E-2</v>
      </c>
      <c r="V3207">
        <v>0.14552290000000001</v>
      </c>
      <c r="W3207">
        <v>0.16954320000000001</v>
      </c>
      <c r="X3207">
        <v>0.97471949999999996</v>
      </c>
      <c r="Y3207">
        <v>0.34356249999999999</v>
      </c>
      <c r="Z3207">
        <v>9.5423890000000001E-3</v>
      </c>
      <c r="AA3207">
        <v>0.93908130000000001</v>
      </c>
      <c r="AB3207">
        <v>30</v>
      </c>
      <c r="AC3207">
        <v>-49.256100000000004</v>
      </c>
      <c r="AD3207">
        <v>-1.103649203057</v>
      </c>
      <c r="AE3207">
        <v>-0.41070000000001899</v>
      </c>
      <c r="AF3207">
        <v>17.009618639486099</v>
      </c>
      <c r="AG3207">
        <v>-1.103649203057</v>
      </c>
      <c r="AH3207">
        <v>46.201414323485601</v>
      </c>
      <c r="AI3207">
        <v>91.284173792816901</v>
      </c>
      <c r="AJ3207">
        <v>69.788195628651593</v>
      </c>
      <c r="AK3207">
        <v>49.245465307117797</v>
      </c>
      <c r="AL3207">
        <v>80.238738770052507</v>
      </c>
      <c r="AM3207">
        <v>81.508619384792695</v>
      </c>
      <c r="AN3207">
        <v>0.999999957385449</v>
      </c>
    </row>
    <row r="3208" spans="1:40" x14ac:dyDescent="0.25">
      <c r="A3208" t="str">
        <f>"20190304155435072"</f>
        <v>20190304155435072</v>
      </c>
      <c r="B3208" t="str">
        <f>"1551686075060728"</f>
        <v>1551686075060728</v>
      </c>
      <c r="C3208" t="s">
        <v>40</v>
      </c>
      <c r="D3208">
        <v>4.4752229999999997</v>
      </c>
      <c r="E3208">
        <v>0.59375129999999998</v>
      </c>
      <c r="F3208" t="s">
        <v>46</v>
      </c>
      <c r="G3208">
        <v>-256.81209999999999</v>
      </c>
      <c r="H3208" s="1">
        <v>-2.621968E-6</v>
      </c>
      <c r="I3208">
        <v>144.39699999999999</v>
      </c>
      <c r="J3208">
        <v>-206.37799999999999</v>
      </c>
      <c r="K3208">
        <v>1.1037629999999901</v>
      </c>
      <c r="L3208">
        <v>144.52350000000001</v>
      </c>
      <c r="M3208">
        <v>-0.93814710000000001</v>
      </c>
      <c r="N3208">
        <v>-1.07609E-2</v>
      </c>
      <c r="O3208">
        <v>-0.34607019999999999</v>
      </c>
      <c r="P3208">
        <v>-0.96546310000000002</v>
      </c>
      <c r="Q3208">
        <v>0.1607759</v>
      </c>
      <c r="R3208">
        <v>-0.2050187</v>
      </c>
      <c r="S3208">
        <v>-3.120209</v>
      </c>
      <c r="T3208">
        <v>-6.7888980000000002E-2</v>
      </c>
      <c r="U3208">
        <v>-1.3992310000000001E-2</v>
      </c>
      <c r="V3208">
        <v>0.1443188</v>
      </c>
      <c r="W3208">
        <v>0.16915079999999999</v>
      </c>
      <c r="X3208">
        <v>0.97496669999999996</v>
      </c>
      <c r="Y3208">
        <v>0.34174159999999998</v>
      </c>
      <c r="Z3208">
        <v>9.1797619999999993E-3</v>
      </c>
      <c r="AA3208">
        <v>0.9397491</v>
      </c>
      <c r="AB3208">
        <v>30</v>
      </c>
      <c r="AC3208">
        <v>-50.434100000000001</v>
      </c>
      <c r="AD3208">
        <v>-1.1037656219680001</v>
      </c>
      <c r="AE3208">
        <v>-0.12649999999999201</v>
      </c>
      <c r="AF3208">
        <v>17.327764725261499</v>
      </c>
      <c r="AG3208">
        <v>-1.1037656219680001</v>
      </c>
      <c r="AH3208">
        <v>47.3384428032222</v>
      </c>
      <c r="AI3208">
        <v>91.254331782803206</v>
      </c>
      <c r="AJ3208">
        <v>69.895351949524098</v>
      </c>
      <c r="AK3208">
        <v>50.422196461044798</v>
      </c>
      <c r="AL3208">
        <v>80.261551423100201</v>
      </c>
      <c r="AM3208">
        <v>81.579972571506303</v>
      </c>
      <c r="AN3208">
        <v>0.99999998764148401</v>
      </c>
    </row>
    <row r="3209" spans="1:40" x14ac:dyDescent="0.25">
      <c r="A3209" t="str">
        <f>"20190304155435093"</f>
        <v>20190304155435093</v>
      </c>
      <c r="B3209" t="str">
        <f>"1551686075090008"</f>
        <v>1551686075090008</v>
      </c>
      <c r="C3209" t="s">
        <v>40</v>
      </c>
      <c r="D3209">
        <v>4.5418729999999998</v>
      </c>
      <c r="E3209">
        <v>0.59222219999999903</v>
      </c>
      <c r="F3209" t="s">
        <v>79</v>
      </c>
      <c r="G3209">
        <v>-511.92880000000002</v>
      </c>
      <c r="H3209">
        <v>10.92216</v>
      </c>
      <c r="I3209">
        <v>156.0581</v>
      </c>
      <c r="J3209">
        <v>-206.65440000000001</v>
      </c>
      <c r="K3209">
        <v>1.1038889999999999</v>
      </c>
      <c r="L3209">
        <v>144.42939999999999</v>
      </c>
      <c r="M3209">
        <v>-0.94059130000000002</v>
      </c>
      <c r="N3209">
        <v>-1.074463E-2</v>
      </c>
      <c r="O3209">
        <v>-0.33937050000000002</v>
      </c>
      <c r="P3209">
        <v>-0.96683370000000002</v>
      </c>
      <c r="Q3209">
        <v>0.16009429999999999</v>
      </c>
      <c r="R3209">
        <v>-0.19900380000000001</v>
      </c>
      <c r="S3209">
        <v>-3.1156160000000002</v>
      </c>
      <c r="T3209">
        <v>0.1001158</v>
      </c>
      <c r="U3209">
        <v>0.1176147</v>
      </c>
      <c r="V3209">
        <v>0.14340939999999999</v>
      </c>
      <c r="W3209">
        <v>0.16851350000000001</v>
      </c>
      <c r="X3209">
        <v>0.9752113</v>
      </c>
      <c r="Y3209">
        <v>0.37419530000000001</v>
      </c>
      <c r="Z3209">
        <v>-1.844018E-2</v>
      </c>
      <c r="AA3209">
        <v>0.92716659999999995</v>
      </c>
      <c r="AB3209">
        <v>30</v>
      </c>
      <c r="AC3209">
        <v>-305.27440000000001</v>
      </c>
      <c r="AD3209">
        <v>9.8182709999999993</v>
      </c>
      <c r="AE3209">
        <v>11.6287</v>
      </c>
      <c r="AF3209">
        <v>114.427412341733</v>
      </c>
      <c r="AG3209">
        <v>9.8182709999999993</v>
      </c>
      <c r="AH3209">
        <v>282.91616191521598</v>
      </c>
      <c r="AI3209">
        <v>88.157315505892598</v>
      </c>
      <c r="AJ3209">
        <v>67.978786895113799</v>
      </c>
      <c r="AK3209">
        <v>305.338477453287</v>
      </c>
      <c r="AL3209">
        <v>80.298598616416299</v>
      </c>
      <c r="AM3209">
        <v>81.634345432284306</v>
      </c>
      <c r="AN3209">
        <v>1.0000000676691401</v>
      </c>
    </row>
    <row r="3210" spans="1:40" x14ac:dyDescent="0.25">
      <c r="A3210" t="str">
        <f>"20190304155435116"</f>
        <v>20190304155435116</v>
      </c>
      <c r="B3210" t="str">
        <f>"1551686075110504"</f>
        <v>1551686075110504</v>
      </c>
      <c r="C3210" t="s">
        <v>40</v>
      </c>
      <c r="D3210">
        <v>4.4738020000000001</v>
      </c>
      <c r="E3210">
        <v>0.59265009999999996</v>
      </c>
      <c r="F3210" t="s">
        <v>79</v>
      </c>
      <c r="G3210">
        <v>-511.92860000000002</v>
      </c>
      <c r="H3210">
        <v>10.48137</v>
      </c>
      <c r="I3210">
        <v>156.66</v>
      </c>
      <c r="J3210">
        <v>-206.95070000000001</v>
      </c>
      <c r="K3210">
        <v>1.104033</v>
      </c>
      <c r="L3210">
        <v>144.3306</v>
      </c>
      <c r="M3210">
        <v>-0.94308800000000004</v>
      </c>
      <c r="N3210">
        <v>-1.072706E-2</v>
      </c>
      <c r="O3210">
        <v>-0.3323702</v>
      </c>
      <c r="P3210">
        <v>-0.96798379999999995</v>
      </c>
      <c r="Q3210">
        <v>0.15964900000000001</v>
      </c>
      <c r="R3210">
        <v>-0.19370019999999999</v>
      </c>
      <c r="S3210">
        <v>-3.1127470000000002</v>
      </c>
      <c r="T3210">
        <v>9.5618369999999994E-2</v>
      </c>
      <c r="U3210">
        <v>0.1247101</v>
      </c>
      <c r="V3210">
        <v>0.1414629</v>
      </c>
      <c r="W3210">
        <v>0.1681318</v>
      </c>
      <c r="X3210">
        <v>0.97556140000000002</v>
      </c>
      <c r="Y3210">
        <v>0.3694827</v>
      </c>
      <c r="Z3210">
        <v>-1.7368649999999999E-2</v>
      </c>
      <c r="AA3210">
        <v>0.92907519999999999</v>
      </c>
      <c r="AB3210">
        <v>30</v>
      </c>
      <c r="AC3210">
        <v>-304.97789999999998</v>
      </c>
      <c r="AD3210">
        <v>9.37733699999999</v>
      </c>
      <c r="AE3210">
        <v>12.3293999999999</v>
      </c>
      <c r="AF3210">
        <v>112.893219936647</v>
      </c>
      <c r="AG3210">
        <v>9.37733699999999</v>
      </c>
      <c r="AH3210">
        <v>283.27201462601198</v>
      </c>
      <c r="AI3210">
        <v>88.238624044126894</v>
      </c>
      <c r="AJ3210">
        <v>68.271091066997599</v>
      </c>
      <c r="AK3210">
        <v>305.083345705981</v>
      </c>
      <c r="AL3210">
        <v>80.320784794476495</v>
      </c>
      <c r="AM3210">
        <v>81.749239053018599</v>
      </c>
      <c r="AN3210">
        <v>1.0000000497088</v>
      </c>
    </row>
    <row r="3211" spans="1:40" x14ac:dyDescent="0.25">
      <c r="A3211" t="str">
        <f>"20190304155435138"</f>
        <v>20190304155435138</v>
      </c>
      <c r="B3211" t="str">
        <f>"1551686075131001"</f>
        <v>1551686075131001</v>
      </c>
      <c r="C3211" t="s">
        <v>40</v>
      </c>
      <c r="D3211">
        <v>4.5096639999999999</v>
      </c>
      <c r="E3211">
        <v>0.59205869999999905</v>
      </c>
      <c r="F3211" t="s">
        <v>79</v>
      </c>
      <c r="G3211">
        <v>-511.92869999999999</v>
      </c>
      <c r="H3211">
        <v>10.49555</v>
      </c>
      <c r="I3211">
        <v>158.54499999999999</v>
      </c>
      <c r="J3211">
        <v>-207.2259</v>
      </c>
      <c r="K3211">
        <v>1.1041669999999999</v>
      </c>
      <c r="L3211">
        <v>144.24090000000001</v>
      </c>
      <c r="M3211">
        <v>-0.94529669999999999</v>
      </c>
      <c r="N3211">
        <v>-1.0711109999999999E-2</v>
      </c>
      <c r="O3211">
        <v>-0.32603589999999999</v>
      </c>
      <c r="P3211">
        <v>-0.96889020000000003</v>
      </c>
      <c r="Q3211">
        <v>0.15996879999999999</v>
      </c>
      <c r="R3211">
        <v>-0.18884390000000001</v>
      </c>
      <c r="S3211">
        <v>-3.112473</v>
      </c>
      <c r="T3211">
        <v>9.5846180000000003E-2</v>
      </c>
      <c r="U3211">
        <v>0.14506529999999901</v>
      </c>
      <c r="V3211">
        <v>0.13973949999999999</v>
      </c>
      <c r="W3211">
        <v>0.16850689999999999</v>
      </c>
      <c r="X3211">
        <v>0.97574499999999997</v>
      </c>
      <c r="Y3211">
        <v>0.36932160000000003</v>
      </c>
      <c r="Z3211">
        <v>-1.714479E-2</v>
      </c>
      <c r="AA3211">
        <v>0.92914350000000001</v>
      </c>
      <c r="AB3211">
        <v>30</v>
      </c>
      <c r="AC3211">
        <v>-304.70280000000002</v>
      </c>
      <c r="AD3211">
        <v>9.3913829999999994</v>
      </c>
      <c r="AE3211">
        <v>14.304099999999901</v>
      </c>
      <c r="AF3211">
        <v>112.765258717084</v>
      </c>
      <c r="AG3211">
        <v>9.3913829999999994</v>
      </c>
      <c r="AH3211">
        <v>283.11879903488102</v>
      </c>
      <c r="AI3211">
        <v>88.234890061908501</v>
      </c>
      <c r="AJ3211">
        <v>68.282775150214206</v>
      </c>
      <c r="AK3211">
        <v>304.89417182874598</v>
      </c>
      <c r="AL3211">
        <v>80.298981632109502</v>
      </c>
      <c r="AM3211">
        <v>81.849909756075903</v>
      </c>
      <c r="AN3211">
        <v>1.0000000041164201</v>
      </c>
    </row>
    <row r="3212" spans="1:40" x14ac:dyDescent="0.25">
      <c r="A3212" t="str">
        <f>"20190304155435163"</f>
        <v>20190304155435163</v>
      </c>
      <c r="B3212" t="str">
        <f>"1551686075160281"</f>
        <v>1551686075160281</v>
      </c>
      <c r="C3212" t="s">
        <v>40</v>
      </c>
      <c r="D3212">
        <v>4.4885580000000003</v>
      </c>
      <c r="E3212">
        <v>0.59088839999999998</v>
      </c>
      <c r="F3212" t="s">
        <v>79</v>
      </c>
      <c r="G3212">
        <v>-511.92860000000002</v>
      </c>
      <c r="H3212">
        <v>10.19181</v>
      </c>
      <c r="I3212">
        <v>159.46100000000001</v>
      </c>
      <c r="J3212">
        <v>-207.5395</v>
      </c>
      <c r="K3212">
        <v>1.104312</v>
      </c>
      <c r="L3212">
        <v>144.14089999999999</v>
      </c>
      <c r="M3212">
        <v>-0.94769729999999996</v>
      </c>
      <c r="N3212">
        <v>-1.069441E-2</v>
      </c>
      <c r="O3212">
        <v>-0.31899179999999999</v>
      </c>
      <c r="P3212">
        <v>-0.97008709999999998</v>
      </c>
      <c r="Q3212">
        <v>0.15966529999999901</v>
      </c>
      <c r="R3212">
        <v>-0.18286169999999999</v>
      </c>
      <c r="S3212">
        <v>-3.1112820000000001</v>
      </c>
      <c r="T3212">
        <v>9.2793230000000004E-2</v>
      </c>
      <c r="U3212">
        <v>0.15541079999999999</v>
      </c>
      <c r="V3212">
        <v>0.13845109999999999</v>
      </c>
      <c r="W3212">
        <v>0.1682536</v>
      </c>
      <c r="X3212">
        <v>0.97597239999999996</v>
      </c>
      <c r="Y3212">
        <v>0.36553089999999999</v>
      </c>
      <c r="Z3212">
        <v>-1.6334830000000002E-2</v>
      </c>
      <c r="AA3212">
        <v>0.93065589999999998</v>
      </c>
      <c r="AB3212">
        <v>30</v>
      </c>
      <c r="AC3212">
        <v>-304.38909999999998</v>
      </c>
      <c r="AD3212">
        <v>9.0874980000000001</v>
      </c>
      <c r="AE3212">
        <v>15.3201</v>
      </c>
      <c r="AF3212">
        <v>111.523658925284</v>
      </c>
      <c r="AG3212">
        <v>9.0874980000000001</v>
      </c>
      <c r="AH3212">
        <v>283.34600389834299</v>
      </c>
      <c r="AI3212">
        <v>88.290592729326704</v>
      </c>
      <c r="AJ3212">
        <v>68.515633657975499</v>
      </c>
      <c r="AK3212">
        <v>304.63924081631899</v>
      </c>
      <c r="AL3212">
        <v>80.313705350540999</v>
      </c>
      <c r="AM3212">
        <v>81.925914715777793</v>
      </c>
      <c r="AN3212">
        <v>1.00000005328296</v>
      </c>
    </row>
    <row r="3213" spans="1:40" x14ac:dyDescent="0.25">
      <c r="A3213" t="str">
        <f>"20190304155435184"</f>
        <v>20190304155435184</v>
      </c>
      <c r="B3213" t="str">
        <f>"1551686075180776"</f>
        <v>1551686075180776</v>
      </c>
      <c r="C3213" t="s">
        <v>40</v>
      </c>
      <c r="D3213">
        <v>4.4872870000000002</v>
      </c>
      <c r="E3213">
        <v>0.59051730000000002</v>
      </c>
      <c r="F3213" t="s">
        <v>79</v>
      </c>
      <c r="G3213">
        <v>-511.92829999999998</v>
      </c>
      <c r="H3213">
        <v>9.5053680000000007</v>
      </c>
      <c r="I3213">
        <v>160.2818</v>
      </c>
      <c r="J3213">
        <v>-207.8253</v>
      </c>
      <c r="K3213">
        <v>1.1044179999999999</v>
      </c>
      <c r="L3213">
        <v>144.05189999999999</v>
      </c>
      <c r="M3213">
        <v>-0.9497892</v>
      </c>
      <c r="N3213">
        <v>-1.0681329999999999E-2</v>
      </c>
      <c r="O3213">
        <v>-0.3127084</v>
      </c>
      <c r="P3213">
        <v>-0.97103589999999995</v>
      </c>
      <c r="Q3213">
        <v>0.15942419999999999</v>
      </c>
      <c r="R3213">
        <v>-0.17797060000000001</v>
      </c>
      <c r="S3213">
        <v>-3.109467</v>
      </c>
      <c r="T3213">
        <v>8.582091E-2</v>
      </c>
      <c r="U3213">
        <v>0.16488649999999999</v>
      </c>
      <c r="V3213">
        <v>0.1368713</v>
      </c>
      <c r="W3213">
        <v>0.16805610000000001</v>
      </c>
      <c r="X3213">
        <v>0.97622920000000002</v>
      </c>
      <c r="Y3213">
        <v>0.3622726</v>
      </c>
      <c r="Z3213">
        <v>-1.4961550000000001E-2</v>
      </c>
      <c r="AA3213">
        <v>0.93195209999999995</v>
      </c>
      <c r="AB3213">
        <v>30</v>
      </c>
      <c r="AC3213">
        <v>-304.10299999999899</v>
      </c>
      <c r="AD3213">
        <v>8.4009499999999893</v>
      </c>
      <c r="AE3213">
        <v>16.229900000000001</v>
      </c>
      <c r="AF3213">
        <v>110.432803702706</v>
      </c>
      <c r="AG3213">
        <v>8.4009499999999893</v>
      </c>
      <c r="AH3213">
        <v>283.55889893896102</v>
      </c>
      <c r="AI3213">
        <v>88.418632631785201</v>
      </c>
      <c r="AJ3213">
        <v>68.721435160868197</v>
      </c>
      <c r="AK3213">
        <v>304.420152522823</v>
      </c>
      <c r="AL3213">
        <v>80.325184481100905</v>
      </c>
      <c r="AM3213">
        <v>82.018922750353397</v>
      </c>
      <c r="AN3213">
        <v>1.00000002822176</v>
      </c>
    </row>
    <row r="3214" spans="1:40" x14ac:dyDescent="0.25">
      <c r="A3214" t="str">
        <f>"20190304155435206"</f>
        <v>20190304155435206</v>
      </c>
      <c r="B3214" t="str">
        <f>"1551686075200296"</f>
        <v>1551686075200296</v>
      </c>
      <c r="C3214" t="s">
        <v>40</v>
      </c>
      <c r="D3214">
        <v>4.5093870000000003</v>
      </c>
      <c r="E3214">
        <v>0.5895648</v>
      </c>
      <c r="F3214" t="s">
        <v>79</v>
      </c>
      <c r="G3214">
        <v>-511.92829999999998</v>
      </c>
      <c r="H3214">
        <v>9.4777780000000007</v>
      </c>
      <c r="I3214">
        <v>161.48070000000001</v>
      </c>
      <c r="J3214">
        <v>-208.09370000000001</v>
      </c>
      <c r="K3214">
        <v>1.1044929999999999</v>
      </c>
      <c r="L3214">
        <v>143.97020000000001</v>
      </c>
      <c r="M3214">
        <v>-0.95168640000000004</v>
      </c>
      <c r="N3214">
        <v>-1.0671480000000001E-2</v>
      </c>
      <c r="O3214">
        <v>-0.30688670000000001</v>
      </c>
      <c r="P3214">
        <v>-0.97143290000000004</v>
      </c>
      <c r="Q3214">
        <v>0.16123959999999901</v>
      </c>
      <c r="R3214">
        <v>-0.174127</v>
      </c>
      <c r="S3214">
        <v>-3.1080930000000002</v>
      </c>
      <c r="T3214">
        <v>8.5580589999999998E-2</v>
      </c>
      <c r="U3214">
        <v>0.17813109999999999</v>
      </c>
      <c r="V3214">
        <v>0.13465679999999999</v>
      </c>
      <c r="W3214">
        <v>0.16991300000000001</v>
      </c>
      <c r="X3214">
        <v>0.97621570000000002</v>
      </c>
      <c r="Y3214">
        <v>0.36055229999999999</v>
      </c>
      <c r="Z3214">
        <v>-1.469373E-2</v>
      </c>
      <c r="AA3214">
        <v>0.93262330000000004</v>
      </c>
      <c r="AB3214">
        <v>30</v>
      </c>
      <c r="AC3214">
        <v>-303.83460000000002</v>
      </c>
      <c r="AD3214">
        <v>8.3732849999999992</v>
      </c>
      <c r="AE3214">
        <v>17.5105</v>
      </c>
      <c r="AF3214">
        <v>109.830404891315</v>
      </c>
      <c r="AG3214">
        <v>8.3732849999999992</v>
      </c>
      <c r="AH3214">
        <v>283.58296701702</v>
      </c>
      <c r="AI3214">
        <v>88.422824045833707</v>
      </c>
      <c r="AJ3214">
        <v>68.828838872572504</v>
      </c>
      <c r="AK3214">
        <v>304.22381386482198</v>
      </c>
      <c r="AL3214">
        <v>80.217239139758505</v>
      </c>
      <c r="AM3214">
        <v>82.146320467484301</v>
      </c>
      <c r="AN3214">
        <v>0.99999998714086402</v>
      </c>
    </row>
    <row r="3215" spans="1:40" x14ac:dyDescent="0.25">
      <c r="A3215" t="str">
        <f>"20190304155435228"</f>
        <v>20190304155435228</v>
      </c>
      <c r="B3215" t="str">
        <f>"1551686075220793"</f>
        <v>1551686075220793</v>
      </c>
      <c r="C3215" t="s">
        <v>40</v>
      </c>
      <c r="D3215">
        <v>4.521388</v>
      </c>
      <c r="E3215">
        <v>0.58839960000000002</v>
      </c>
      <c r="F3215" t="s">
        <v>79</v>
      </c>
      <c r="G3215">
        <v>-511.92849999999999</v>
      </c>
      <c r="H3215">
        <v>9.8391020000000005</v>
      </c>
      <c r="I3215">
        <v>161.88650000000001</v>
      </c>
      <c r="J3215">
        <v>-208.38329999999999</v>
      </c>
      <c r="K3215">
        <v>1.104555</v>
      </c>
      <c r="L3215">
        <v>143.88390000000001</v>
      </c>
      <c r="M3215">
        <v>-0.95367159999999995</v>
      </c>
      <c r="N3215">
        <v>-1.066339E-2</v>
      </c>
      <c r="O3215">
        <v>-0.30066100000000001</v>
      </c>
      <c r="P3215">
        <v>-0.97180630000000001</v>
      </c>
      <c r="Q3215">
        <v>0.1640066</v>
      </c>
      <c r="R3215">
        <v>-0.16939479999999901</v>
      </c>
      <c r="S3215">
        <v>-3.1062319999999999</v>
      </c>
      <c r="T3215">
        <v>8.9298009999999997E-2</v>
      </c>
      <c r="U3215">
        <v>0.18316650000000001</v>
      </c>
      <c r="V3215">
        <v>0.13290629999999901</v>
      </c>
      <c r="W3215">
        <v>0.17270679999999999</v>
      </c>
      <c r="X3215">
        <v>0.97596530000000004</v>
      </c>
      <c r="Y3215">
        <v>0.35597390000000001</v>
      </c>
      <c r="Z3215">
        <v>-1.499578E-2</v>
      </c>
      <c r="AA3215">
        <v>0.93437559999999997</v>
      </c>
      <c r="AB3215">
        <v>30</v>
      </c>
      <c r="AC3215">
        <v>-303.54520000000002</v>
      </c>
      <c r="AD3215">
        <v>8.7345469999999992</v>
      </c>
      <c r="AE3215">
        <v>18.002600000000001</v>
      </c>
      <c r="AF3215">
        <v>108.34952297285299</v>
      </c>
      <c r="AG3215">
        <v>8.7345469999999992</v>
      </c>
      <c r="AH3215">
        <v>283.851663617952</v>
      </c>
      <c r="AI3215">
        <v>88.353295084230894</v>
      </c>
      <c r="AJ3215">
        <v>69.107555527919999</v>
      </c>
      <c r="AK3215">
        <v>303.95341481618402</v>
      </c>
      <c r="AL3215">
        <v>80.054764375854106</v>
      </c>
      <c r="AM3215">
        <v>82.245201473442293</v>
      </c>
      <c r="AN3215">
        <v>0.99999999507501003</v>
      </c>
    </row>
    <row r="3216" spans="1:40" x14ac:dyDescent="0.25">
      <c r="A3216" t="str">
        <f>"20190304155435250"</f>
        <v>20190304155435250</v>
      </c>
      <c r="B3216" t="str">
        <f>"1551686075240313"</f>
        <v>1551686075240313</v>
      </c>
      <c r="C3216" t="s">
        <v>40</v>
      </c>
      <c r="D3216">
        <v>4.395486</v>
      </c>
      <c r="E3216">
        <v>0.58813300000000002</v>
      </c>
      <c r="F3216" t="s">
        <v>79</v>
      </c>
      <c r="G3216">
        <v>-511.92860000000002</v>
      </c>
      <c r="H3216">
        <v>10.41961</v>
      </c>
      <c r="I3216">
        <v>162.37700000000001</v>
      </c>
      <c r="J3216">
        <v>-208.67320000000001</v>
      </c>
      <c r="K3216">
        <v>1.104589</v>
      </c>
      <c r="L3216">
        <v>143.79949999999999</v>
      </c>
      <c r="M3216">
        <v>-0.9556055</v>
      </c>
      <c r="N3216">
        <v>-1.0657379999999999E-2</v>
      </c>
      <c r="O3216">
        <v>-0.2944562</v>
      </c>
      <c r="P3216">
        <v>-0.97197509999999998</v>
      </c>
      <c r="Q3216">
        <v>0.1674802</v>
      </c>
      <c r="R3216">
        <v>-0.164968899999999</v>
      </c>
      <c r="S3216">
        <v>-3.1039279999999998</v>
      </c>
      <c r="T3216">
        <v>9.5252279999999995E-2</v>
      </c>
      <c r="U3216">
        <v>0.1891022</v>
      </c>
      <c r="V3216">
        <v>0.13086339999999999</v>
      </c>
      <c r="W3216">
        <v>0.176204799999999</v>
      </c>
      <c r="X3216">
        <v>0.97561600000000004</v>
      </c>
      <c r="Y3216">
        <v>0.35168490000000002</v>
      </c>
      <c r="Z3216">
        <v>-1.562035E-2</v>
      </c>
      <c r="AA3216">
        <v>0.93598809999999999</v>
      </c>
      <c r="AB3216">
        <v>30</v>
      </c>
      <c r="AC3216">
        <v>-303.25540000000001</v>
      </c>
      <c r="AD3216">
        <v>9.3150209999999998</v>
      </c>
      <c r="AE3216">
        <v>18.577500000000001</v>
      </c>
      <c r="AF3216">
        <v>106.953743158297</v>
      </c>
      <c r="AG3216">
        <v>9.3150209999999998</v>
      </c>
      <c r="AH3216">
        <v>284.07140494795698</v>
      </c>
      <c r="AI3216">
        <v>88.242253255297996</v>
      </c>
      <c r="AJ3216">
        <v>69.368492308832302</v>
      </c>
      <c r="AK3216">
        <v>303.68147111884798</v>
      </c>
      <c r="AL3216">
        <v>79.851222051527003</v>
      </c>
      <c r="AM3216">
        <v>82.360280731965304</v>
      </c>
      <c r="AN3216">
        <v>0.99999997022929898</v>
      </c>
    </row>
    <row r="3217" spans="1:40" x14ac:dyDescent="0.25">
      <c r="A3217" t="str">
        <f>"20190304155435273"</f>
        <v>20190304155435273</v>
      </c>
      <c r="B3217" t="str">
        <f>"1551686075270568"</f>
        <v>1551686075270568</v>
      </c>
      <c r="C3217" t="s">
        <v>40</v>
      </c>
      <c r="D3217">
        <v>4.4344089999999996</v>
      </c>
      <c r="E3217">
        <v>0.58708349999999998</v>
      </c>
      <c r="F3217" t="s">
        <v>80</v>
      </c>
      <c r="G3217">
        <v>-472.62060000000002</v>
      </c>
      <c r="H3217">
        <v>10.045920000000001</v>
      </c>
      <c r="I3217">
        <v>160.8938</v>
      </c>
      <c r="J3217">
        <v>-208.9716</v>
      </c>
      <c r="K3217">
        <v>1.104609</v>
      </c>
      <c r="L3217">
        <v>143.7148</v>
      </c>
      <c r="M3217">
        <v>-0.95754720000000004</v>
      </c>
      <c r="N3217">
        <v>-1.065282E-2</v>
      </c>
      <c r="O3217">
        <v>-0.2880798</v>
      </c>
      <c r="P3217">
        <v>-0.97247609999999995</v>
      </c>
      <c r="Q3217">
        <v>0.16933989999999999</v>
      </c>
      <c r="R3217">
        <v>-0.1600453</v>
      </c>
      <c r="S3217">
        <v>-3.1024780000000001</v>
      </c>
      <c r="T3217">
        <v>0.10509780000000001</v>
      </c>
      <c r="U3217">
        <v>0.20092769999999999</v>
      </c>
      <c r="V3217">
        <v>0.1292247</v>
      </c>
      <c r="W3217">
        <v>0.17808289999999999</v>
      </c>
      <c r="X3217">
        <v>0.97549339999999995</v>
      </c>
      <c r="Y3217">
        <v>0.34896189999999999</v>
      </c>
      <c r="Z3217">
        <v>-1.6795399999999999E-2</v>
      </c>
      <c r="AA3217">
        <v>0.9369864</v>
      </c>
      <c r="AB3217">
        <v>30</v>
      </c>
      <c r="AC3217">
        <v>-263.649</v>
      </c>
      <c r="AD3217">
        <v>8.94131099999999</v>
      </c>
      <c r="AE3217">
        <v>17.178999999999998</v>
      </c>
      <c r="AF3217">
        <v>92.301183294844293</v>
      </c>
      <c r="AG3217">
        <v>8.94131099999999</v>
      </c>
      <c r="AH3217">
        <v>247.23831617495301</v>
      </c>
      <c r="AI3217">
        <v>88.059521942643698</v>
      </c>
      <c r="AJ3217">
        <v>69.527948569269597</v>
      </c>
      <c r="AK3217">
        <v>264.05726739677698</v>
      </c>
      <c r="AL3217">
        <v>79.741885540883104</v>
      </c>
      <c r="AM3217">
        <v>82.453900572868406</v>
      </c>
      <c r="AN3217">
        <v>0.99999995790302898</v>
      </c>
    </row>
    <row r="3218" spans="1:40" x14ac:dyDescent="0.25">
      <c r="A3218" t="str">
        <f>"20190304155435293"</f>
        <v>20190304155435293</v>
      </c>
      <c r="B3218" t="str">
        <f>"1551686075290088"</f>
        <v>1551686075290088</v>
      </c>
      <c r="C3218" t="s">
        <v>40</v>
      </c>
      <c r="D3218">
        <v>4.4899339999999999</v>
      </c>
      <c r="E3218">
        <v>0.58620439999999996</v>
      </c>
      <c r="F3218" t="s">
        <v>80</v>
      </c>
      <c r="G3218">
        <v>-468.24220000000003</v>
      </c>
      <c r="H3218">
        <v>10.115640000000001</v>
      </c>
      <c r="I3218">
        <v>161.0933</v>
      </c>
      <c r="J3218">
        <v>-209.24160000000001</v>
      </c>
      <c r="K3218">
        <v>1.104606</v>
      </c>
      <c r="L3218">
        <v>143.63999999999999</v>
      </c>
      <c r="M3218">
        <v>-0.95926739999999999</v>
      </c>
      <c r="N3218">
        <v>-1.064998E-2</v>
      </c>
      <c r="O3218">
        <v>-0.28229870000000001</v>
      </c>
      <c r="P3218">
        <v>-0.97307410000000005</v>
      </c>
      <c r="Q3218">
        <v>0.16970299999999999</v>
      </c>
      <c r="R3218">
        <v>-0.15597429999999901</v>
      </c>
      <c r="S3218">
        <v>-3.100311</v>
      </c>
      <c r="T3218">
        <v>0.1077523</v>
      </c>
      <c r="U3218">
        <v>0.20780940000000001</v>
      </c>
      <c r="V3218">
        <v>0.12740679999999999</v>
      </c>
      <c r="W3218">
        <v>0.17846809999999999</v>
      </c>
      <c r="X3218">
        <v>0.97566220000000003</v>
      </c>
      <c r="Y3218">
        <v>0.34540789999999999</v>
      </c>
      <c r="Z3218">
        <v>-1.689713E-2</v>
      </c>
      <c r="AA3218">
        <v>0.93830049999999998</v>
      </c>
      <c r="AB3218">
        <v>30</v>
      </c>
      <c r="AC3218">
        <v>-259.00060000000002</v>
      </c>
      <c r="AD3218">
        <v>9.0110340000000004</v>
      </c>
      <c r="AE3218">
        <v>17.453299999999999</v>
      </c>
      <c r="AF3218">
        <v>89.754861366862997</v>
      </c>
      <c r="AG3218">
        <v>9.0110340000000004</v>
      </c>
      <c r="AH3218">
        <v>243.24450442418501</v>
      </c>
      <c r="AI3218">
        <v>88.009505940541999</v>
      </c>
      <c r="AJ3218">
        <v>69.7464286163612</v>
      </c>
      <c r="AK3218">
        <v>259.43211598663203</v>
      </c>
      <c r="AL3218">
        <v>79.719456769844598</v>
      </c>
      <c r="AM3218">
        <v>82.560132143585506</v>
      </c>
      <c r="AN3218">
        <v>1.00000004195634</v>
      </c>
    </row>
    <row r="3219" spans="1:40" x14ac:dyDescent="0.25">
      <c r="A3219" t="str">
        <f>"20190304155435316"</f>
        <v>20190304155435316</v>
      </c>
      <c r="B3219" t="str">
        <f>"1551686075310585"</f>
        <v>1551686075310585</v>
      </c>
      <c r="C3219" t="s">
        <v>40</v>
      </c>
      <c r="D3219">
        <v>4.514564</v>
      </c>
      <c r="E3219">
        <v>0.57290640000000004</v>
      </c>
      <c r="F3219" t="s">
        <v>80</v>
      </c>
      <c r="G3219">
        <v>-459.58620000000002</v>
      </c>
      <c r="H3219">
        <v>9.6556580000000007</v>
      </c>
      <c r="I3219">
        <v>160.94319999999999</v>
      </c>
      <c r="J3219">
        <v>-209.53919999999999</v>
      </c>
      <c r="K3219">
        <v>1.1045990000000001</v>
      </c>
      <c r="L3219">
        <v>143.55950000000001</v>
      </c>
      <c r="M3219">
        <v>-0.96112739999999997</v>
      </c>
      <c r="N3219">
        <v>-1.0648329999999999E-2</v>
      </c>
      <c r="O3219">
        <v>-0.27590049999999999</v>
      </c>
      <c r="P3219">
        <v>-0.97383379999999997</v>
      </c>
      <c r="Q3219">
        <v>0.16890910000000001</v>
      </c>
      <c r="R3219">
        <v>-0.1520454</v>
      </c>
      <c r="S3219">
        <v>-3.0988920000000002</v>
      </c>
      <c r="T3219">
        <v>0.10584929999999999</v>
      </c>
      <c r="U3219">
        <v>0.21418760000000001</v>
      </c>
      <c r="V3219">
        <v>0.1248712</v>
      </c>
      <c r="W3219">
        <v>0.17770710000000001</v>
      </c>
      <c r="X3219">
        <v>0.97612880000000002</v>
      </c>
      <c r="Y3219">
        <v>0.341124599999999</v>
      </c>
      <c r="Z3219">
        <v>-1.629328E-2</v>
      </c>
      <c r="AA3219">
        <v>0.93987690000000002</v>
      </c>
      <c r="AB3219">
        <v>30</v>
      </c>
      <c r="AC3219">
        <v>-250.047</v>
      </c>
      <c r="AD3219">
        <v>8.5510590000000004</v>
      </c>
      <c r="AE3219">
        <v>17.383699999999902</v>
      </c>
      <c r="AF3219">
        <v>85.601258162438896</v>
      </c>
      <c r="AG3219">
        <v>8.5510590000000004</v>
      </c>
      <c r="AH3219">
        <v>235.27034136825</v>
      </c>
      <c r="AI3219">
        <v>88.0438135061178</v>
      </c>
      <c r="AJ3219">
        <v>70.006482356277203</v>
      </c>
      <c r="AK3219">
        <v>250.50514872263</v>
      </c>
      <c r="AL3219">
        <v>79.763767073115105</v>
      </c>
      <c r="AM3219">
        <v>82.710036076593795</v>
      </c>
      <c r="AN3219">
        <v>1.0000000320846401</v>
      </c>
    </row>
    <row r="3220" spans="1:40" x14ac:dyDescent="0.25">
      <c r="A3220" t="str">
        <f>"20190304155435338"</f>
        <v>20190304155435338</v>
      </c>
      <c r="B3220" t="str">
        <f>"1551686075330105"</f>
        <v>1551686075330105</v>
      </c>
      <c r="C3220" t="s">
        <v>40</v>
      </c>
      <c r="D3220">
        <v>4.5217980000000004</v>
      </c>
      <c r="E3220">
        <v>0.5712642</v>
      </c>
      <c r="F3220" t="s">
        <v>79</v>
      </c>
      <c r="G3220">
        <v>-510.17559999999997</v>
      </c>
      <c r="H3220">
        <v>5.7160019999999996</v>
      </c>
      <c r="I3220">
        <v>155.5795</v>
      </c>
      <c r="J3220">
        <v>-209.8237</v>
      </c>
      <c r="K3220">
        <v>1.104579</v>
      </c>
      <c r="L3220">
        <v>143.4846</v>
      </c>
      <c r="M3220">
        <v>-0.96287250000000002</v>
      </c>
      <c r="N3220">
        <v>-1.064447E-2</v>
      </c>
      <c r="O3220">
        <v>-0.26974670000000001</v>
      </c>
      <c r="P3220">
        <v>-0.97443029999999997</v>
      </c>
      <c r="Q3220">
        <v>0.16814029999999999</v>
      </c>
      <c r="R3220">
        <v>-0.14904709999999999</v>
      </c>
      <c r="S3220">
        <v>-3.0916899999999998</v>
      </c>
      <c r="T3220">
        <v>4.7423239999999998E-2</v>
      </c>
      <c r="U3220">
        <v>0.1236115</v>
      </c>
      <c r="V3220">
        <v>0.1216599</v>
      </c>
      <c r="W3220">
        <v>0.17697589999999999</v>
      </c>
      <c r="X3220">
        <v>0.97666699999999995</v>
      </c>
      <c r="Y3220">
        <v>0.30791370000000001</v>
      </c>
      <c r="Z3220">
        <v>-7.716405E-3</v>
      </c>
      <c r="AA3220">
        <v>0.95138299999999998</v>
      </c>
      <c r="AB3220">
        <v>30</v>
      </c>
      <c r="AC3220">
        <v>-300.3519</v>
      </c>
      <c r="AD3220">
        <v>4.6114229999999896</v>
      </c>
      <c r="AE3220">
        <v>12.0948999999999</v>
      </c>
      <c r="AF3220">
        <v>92.648224499959497</v>
      </c>
      <c r="AG3220">
        <v>4.6114229999999896</v>
      </c>
      <c r="AH3220">
        <v>285.88693831959802</v>
      </c>
      <c r="AI3220">
        <v>89.120889465759404</v>
      </c>
      <c r="AJ3220">
        <v>72.0438929437057</v>
      </c>
      <c r="AK3220">
        <v>300.55997775291598</v>
      </c>
      <c r="AL3220">
        <v>79.806336319338399</v>
      </c>
      <c r="AM3220">
        <v>82.899445746918602</v>
      </c>
      <c r="AN3220">
        <v>1.0000000146689001</v>
      </c>
    </row>
    <row r="3221" spans="1:40" x14ac:dyDescent="0.25">
      <c r="A3221" t="str">
        <f>"20190304155435365"</f>
        <v>20190304155435365</v>
      </c>
      <c r="B3221" t="str">
        <f>"1551686075360360"</f>
        <v>1551686075360360</v>
      </c>
      <c r="C3221" t="s">
        <v>40</v>
      </c>
      <c r="D3221">
        <v>4.505452</v>
      </c>
      <c r="E3221">
        <v>0.56906769999999995</v>
      </c>
      <c r="F3221" t="s">
        <v>79</v>
      </c>
      <c r="G3221">
        <v>-511.92700000000002</v>
      </c>
      <c r="H3221">
        <v>5.3591049999999996</v>
      </c>
      <c r="I3221">
        <v>155.35130000000001</v>
      </c>
      <c r="J3221">
        <v>-210.1694</v>
      </c>
      <c r="K3221">
        <v>1.1045430000000001</v>
      </c>
      <c r="L3221">
        <v>143.3963</v>
      </c>
      <c r="M3221">
        <v>-0.96495019999999998</v>
      </c>
      <c r="N3221">
        <v>-1.0636110000000001E-2</v>
      </c>
      <c r="O3221">
        <v>-0.26221800000000001</v>
      </c>
      <c r="P3221">
        <v>-0.97521919999999995</v>
      </c>
      <c r="Q3221">
        <v>0.16806699999999999</v>
      </c>
      <c r="R3221">
        <v>-0.14387990000000001</v>
      </c>
      <c r="S3221">
        <v>-3.0897830000000002</v>
      </c>
      <c r="T3221">
        <v>4.351389E-2</v>
      </c>
      <c r="U3221">
        <v>0.1213684</v>
      </c>
      <c r="V3221">
        <v>0.1192206</v>
      </c>
      <c r="W3221">
        <v>0.1769201</v>
      </c>
      <c r="X3221">
        <v>0.97697789999999995</v>
      </c>
      <c r="Y3221">
        <v>0.29982029999999998</v>
      </c>
      <c r="Z3221">
        <v>-6.9872789999999999E-3</v>
      </c>
      <c r="AA3221">
        <v>0.95397010000000004</v>
      </c>
      <c r="AB3221">
        <v>30</v>
      </c>
      <c r="AC3221">
        <v>-301.75760000000002</v>
      </c>
      <c r="AD3221">
        <v>4.254562</v>
      </c>
      <c r="AE3221">
        <v>11.955</v>
      </c>
      <c r="AF3221">
        <v>90.6493773341995</v>
      </c>
      <c r="AG3221">
        <v>4.254562</v>
      </c>
      <c r="AH3221">
        <v>288.00532938008098</v>
      </c>
      <c r="AI3221">
        <v>89.192697759370105</v>
      </c>
      <c r="AJ3221">
        <v>72.5286588775148</v>
      </c>
      <c r="AK3221">
        <v>301.96436985217201</v>
      </c>
      <c r="AL3221">
        <v>79.809584996421407</v>
      </c>
      <c r="AM3221">
        <v>83.042595689407605</v>
      </c>
      <c r="AN3221">
        <v>1.0000000451683799</v>
      </c>
    </row>
    <row r="3222" spans="1:40" x14ac:dyDescent="0.25">
      <c r="A3222" t="str">
        <f>"20190304155435407"</f>
        <v>20190304155435407</v>
      </c>
      <c r="B3222" t="str">
        <f>"1551686075400377"</f>
        <v>1551686075400377</v>
      </c>
      <c r="C3222" t="s">
        <v>40</v>
      </c>
      <c r="D3222">
        <v>4.5359550000000004</v>
      </c>
      <c r="E3222">
        <v>0.56645760000000001</v>
      </c>
      <c r="F3222" t="s">
        <v>79</v>
      </c>
      <c r="G3222">
        <v>-511.92680000000001</v>
      </c>
      <c r="H3222">
        <v>4.8845499999999999</v>
      </c>
      <c r="I3222">
        <v>155.28049999999999</v>
      </c>
      <c r="J3222">
        <v>-210.72219999999999</v>
      </c>
      <c r="K3222">
        <v>1.1044780000000001</v>
      </c>
      <c r="L3222">
        <v>143.2611</v>
      </c>
      <c r="M3222">
        <v>-0.96816869999999999</v>
      </c>
      <c r="N3222">
        <v>-1.062077E-2</v>
      </c>
      <c r="O3222">
        <v>-0.25007299999999999</v>
      </c>
      <c r="P3222">
        <v>-0.97617750000000003</v>
      </c>
      <c r="Q3222">
        <v>0.16866210000000001</v>
      </c>
      <c r="R3222">
        <v>-0.13649430000000001</v>
      </c>
      <c r="S3222">
        <v>-3.0875240000000002</v>
      </c>
      <c r="T3222">
        <v>3.8676740000000001E-2</v>
      </c>
      <c r="U3222">
        <v>0.12159730000000001</v>
      </c>
      <c r="V3222">
        <v>0.1143376</v>
      </c>
      <c r="W3222">
        <v>0.17755270000000001</v>
      </c>
      <c r="X3222">
        <v>0.9774467</v>
      </c>
      <c r="Y3222">
        <v>0.2879255</v>
      </c>
      <c r="Z3222">
        <v>-6.0558319999999997E-3</v>
      </c>
      <c r="AA3222">
        <v>0.95763370000000003</v>
      </c>
      <c r="AB3222">
        <v>30</v>
      </c>
      <c r="AC3222">
        <v>-301.20460000000003</v>
      </c>
      <c r="AD3222">
        <v>3.7800720000000001</v>
      </c>
      <c r="AE3222">
        <v>12.0193999999999</v>
      </c>
      <c r="AF3222">
        <v>86.951179580085807</v>
      </c>
      <c r="AG3222">
        <v>3.7800720000000001</v>
      </c>
      <c r="AH3222">
        <v>288.58204770536997</v>
      </c>
      <c r="AI3222">
        <v>89.281443174730995</v>
      </c>
      <c r="AJ3222">
        <v>73.232189431562503</v>
      </c>
      <c r="AK3222">
        <v>301.42062774886199</v>
      </c>
      <c r="AL3222">
        <v>79.772756678787999</v>
      </c>
      <c r="AM3222">
        <v>83.328101944461693</v>
      </c>
      <c r="AN3222">
        <v>1.00000004969596</v>
      </c>
    </row>
    <row r="3223" spans="1:40" x14ac:dyDescent="0.25">
      <c r="A3223" t="str">
        <f>"20190304155435428"</f>
        <v>20190304155435428</v>
      </c>
      <c r="B3223" t="str">
        <f>"1551686075419897"</f>
        <v>1551686075419897</v>
      </c>
      <c r="C3223" t="s">
        <v>40</v>
      </c>
      <c r="D3223">
        <v>4.5605640000000003</v>
      </c>
      <c r="E3223">
        <v>0.56554680000000002</v>
      </c>
      <c r="F3223" t="s">
        <v>79</v>
      </c>
      <c r="G3223">
        <v>-511.92660000000001</v>
      </c>
      <c r="H3223">
        <v>4.3246349999999998</v>
      </c>
      <c r="I3223">
        <v>155.4195</v>
      </c>
      <c r="J3223">
        <v>-211.017</v>
      </c>
      <c r="K3223">
        <v>1.1044510000000001</v>
      </c>
      <c r="L3223">
        <v>143.19200000000001</v>
      </c>
      <c r="M3223">
        <v>-0.96982849999999998</v>
      </c>
      <c r="N3223">
        <v>-1.060201E-2</v>
      </c>
      <c r="O3223">
        <v>-0.24355689999999999</v>
      </c>
      <c r="P3223">
        <v>-0.97667539999999997</v>
      </c>
      <c r="Q3223">
        <v>0.16935510000000001</v>
      </c>
      <c r="R3223">
        <v>-0.13200029999999999</v>
      </c>
      <c r="S3223">
        <v>-3.084946</v>
      </c>
      <c r="T3223">
        <v>3.2981400000000001E-2</v>
      </c>
      <c r="U3223">
        <v>0.124527</v>
      </c>
      <c r="V3223">
        <v>0.11225060000000001</v>
      </c>
      <c r="W3223">
        <v>0.17824899999999999</v>
      </c>
      <c r="X3223">
        <v>0.97756180000000004</v>
      </c>
      <c r="Y3223">
        <v>0.28243570000000001</v>
      </c>
      <c r="Z3223">
        <v>-5.1949650000000002E-3</v>
      </c>
      <c r="AA3223">
        <v>0.95927209999999996</v>
      </c>
      <c r="AB3223">
        <v>30</v>
      </c>
      <c r="AC3223">
        <v>-300.90960000000001</v>
      </c>
      <c r="AD3223">
        <v>3.2201840000000002</v>
      </c>
      <c r="AE3223">
        <v>12.2274999999999</v>
      </c>
      <c r="AF3223">
        <v>85.142251920324796</v>
      </c>
      <c r="AG3223">
        <v>3.2201840000000002</v>
      </c>
      <c r="AH3223">
        <v>288.83587113200201</v>
      </c>
      <c r="AI3223">
        <v>89.387308136246801</v>
      </c>
      <c r="AJ3223">
        <v>73.575680886212993</v>
      </c>
      <c r="AK3223">
        <v>301.140719763437</v>
      </c>
      <c r="AL3223">
        <v>79.732214283239898</v>
      </c>
      <c r="AM3223">
        <v>83.449580151633697</v>
      </c>
      <c r="AN3223">
        <v>0.99999998801029999</v>
      </c>
    </row>
    <row r="3224" spans="1:40" x14ac:dyDescent="0.25">
      <c r="A3224" t="str">
        <f>"20190304155435451"</f>
        <v>20190304155435451</v>
      </c>
      <c r="B3224" t="str">
        <f>"1551686075440393"</f>
        <v>1551686075440393</v>
      </c>
      <c r="C3224" t="s">
        <v>40</v>
      </c>
      <c r="D3224">
        <v>4.5837120000000002</v>
      </c>
      <c r="E3224">
        <v>0.56453869999999995</v>
      </c>
      <c r="F3224" t="s">
        <v>79</v>
      </c>
      <c r="G3224">
        <v>-511.92660000000001</v>
      </c>
      <c r="H3224">
        <v>4.1777739999999897</v>
      </c>
      <c r="I3224">
        <v>156.017</v>
      </c>
      <c r="J3224">
        <v>-211.3134</v>
      </c>
      <c r="K3224">
        <v>1.10442</v>
      </c>
      <c r="L3224">
        <v>143.12469999999999</v>
      </c>
      <c r="M3224">
        <v>-0.97145599999999999</v>
      </c>
      <c r="N3224">
        <v>-1.057167E-2</v>
      </c>
      <c r="O3224">
        <v>-0.23698440000000001</v>
      </c>
      <c r="P3224">
        <v>-0.97708280000000003</v>
      </c>
      <c r="Q3224">
        <v>0.17032839999999999</v>
      </c>
      <c r="R3224">
        <v>-0.12766230000000001</v>
      </c>
      <c r="S3224">
        <v>-3.083939</v>
      </c>
      <c r="T3224">
        <v>3.1498070000000003E-2</v>
      </c>
      <c r="U3224">
        <v>0.13143920000000001</v>
      </c>
      <c r="V3224">
        <v>0.1099499</v>
      </c>
      <c r="W3224">
        <v>0.1792183</v>
      </c>
      <c r="X3224">
        <v>0.97764609999999996</v>
      </c>
      <c r="Y3224">
        <v>0.27810089999999998</v>
      </c>
      <c r="Z3224">
        <v>-4.8727629999999996E-3</v>
      </c>
      <c r="AA3224">
        <v>0.96053949999999999</v>
      </c>
      <c r="AB3224">
        <v>30</v>
      </c>
      <c r="AC3224">
        <v>-300.61320000000001</v>
      </c>
      <c r="AD3224">
        <v>3.0733540000000001</v>
      </c>
      <c r="AE3224">
        <v>12.892300000000001</v>
      </c>
      <c r="AF3224">
        <v>83.760878122232398</v>
      </c>
      <c r="AG3224">
        <v>3.0733540000000001</v>
      </c>
      <c r="AH3224">
        <v>288.96320640533702</v>
      </c>
      <c r="AI3224">
        <v>89.414727188651895</v>
      </c>
      <c r="AJ3224">
        <v>73.834874008902204</v>
      </c>
      <c r="AK3224">
        <v>300.87383546042997</v>
      </c>
      <c r="AL3224">
        <v>79.675769087471807</v>
      </c>
      <c r="AM3224">
        <v>83.583255412811496</v>
      </c>
      <c r="AN3224">
        <v>1.00000003820505</v>
      </c>
    </row>
    <row r="3225" spans="1:40" x14ac:dyDescent="0.25">
      <c r="A3225" t="str">
        <f>"20190304155435474"</f>
        <v>20190304155435474</v>
      </c>
      <c r="B3225" t="str">
        <f>"1551686075470649"</f>
        <v>1551686075470649</v>
      </c>
      <c r="C3225" t="s">
        <v>40</v>
      </c>
      <c r="D3225">
        <v>4.6306200000000004</v>
      </c>
      <c r="E3225">
        <v>0.55674250000000003</v>
      </c>
      <c r="F3225" t="s">
        <v>79</v>
      </c>
      <c r="G3225">
        <v>-511.92649999999998</v>
      </c>
      <c r="H3225">
        <v>3.9511940000000001</v>
      </c>
      <c r="I3225">
        <v>156.43879999999999</v>
      </c>
      <c r="J3225">
        <v>-211.62049999999999</v>
      </c>
      <c r="K3225">
        <v>1.1043860000000001</v>
      </c>
      <c r="L3225">
        <v>143.05709999999999</v>
      </c>
      <c r="M3225">
        <v>-0.97309579999999996</v>
      </c>
      <c r="N3225">
        <v>-1.0522729999999999E-2</v>
      </c>
      <c r="O3225">
        <v>-0.23016059999999999</v>
      </c>
      <c r="P3225">
        <v>-0.97768060000000001</v>
      </c>
      <c r="Q3225">
        <v>0.1704852</v>
      </c>
      <c r="R3225">
        <v>-0.1227823</v>
      </c>
      <c r="S3225">
        <v>-3.0831149999999998</v>
      </c>
      <c r="T3225">
        <v>2.9197219999999999E-2</v>
      </c>
      <c r="U3225">
        <v>0.1365509</v>
      </c>
      <c r="V3225">
        <v>0.1079692</v>
      </c>
      <c r="W3225">
        <v>0.1793506</v>
      </c>
      <c r="X3225">
        <v>0.97784249999999995</v>
      </c>
      <c r="Y3225">
        <v>0.27296189999999998</v>
      </c>
      <c r="Z3225">
        <v>-4.4554759999999999E-3</v>
      </c>
      <c r="AA3225">
        <v>0.96201449999999999</v>
      </c>
      <c r="AB3225">
        <v>30</v>
      </c>
      <c r="AC3225">
        <v>-300.30599999999998</v>
      </c>
      <c r="AD3225">
        <v>2.8468079999999998</v>
      </c>
      <c r="AE3225">
        <v>13.381699999999899</v>
      </c>
      <c r="AF3225">
        <v>82.137463883440006</v>
      </c>
      <c r="AG3225">
        <v>2.8468079999999998</v>
      </c>
      <c r="AH3225">
        <v>289.13663570428099</v>
      </c>
      <c r="AI3225">
        <v>89.457359728731703</v>
      </c>
      <c r="AJ3225">
        <v>74.141298573475197</v>
      </c>
      <c r="AK3225">
        <v>300.59052113362202</v>
      </c>
      <c r="AL3225">
        <v>79.668063304059302</v>
      </c>
      <c r="AM3225">
        <v>83.699167393323904</v>
      </c>
      <c r="AN3225">
        <v>0.999999970337624</v>
      </c>
    </row>
    <row r="3226" spans="1:40" x14ac:dyDescent="0.25">
      <c r="A3226" t="str">
        <f>"20190304155435497"</f>
        <v>20190304155435497</v>
      </c>
      <c r="B3226" t="str">
        <f>"1551686075490169"</f>
        <v>1551686075490169</v>
      </c>
      <c r="C3226" t="s">
        <v>40</v>
      </c>
      <c r="D3226">
        <v>4.6209059999999997</v>
      </c>
      <c r="E3226">
        <v>0.55589840000000001</v>
      </c>
      <c r="F3226" t="s">
        <v>79</v>
      </c>
      <c r="G3226">
        <v>-511.05869999999999</v>
      </c>
      <c r="H3226">
        <v>0.29931149999999901</v>
      </c>
      <c r="I3226">
        <v>151.8784</v>
      </c>
      <c r="J3226">
        <v>-211.916</v>
      </c>
      <c r="K3226">
        <v>1.10436</v>
      </c>
      <c r="L3226">
        <v>142.99420000000001</v>
      </c>
      <c r="M3226">
        <v>-0.97462610000000005</v>
      </c>
      <c r="N3226">
        <v>-1.046601E-2</v>
      </c>
      <c r="O3226">
        <v>-0.2235944</v>
      </c>
      <c r="P3226">
        <v>-0.97819239999999996</v>
      </c>
      <c r="Q3226">
        <v>0.17046929999999999</v>
      </c>
      <c r="R3226">
        <v>-0.11865820000000001</v>
      </c>
      <c r="S3226">
        <v>-3.0813449999999998</v>
      </c>
      <c r="T3226">
        <v>-8.2840919999999998E-3</v>
      </c>
      <c r="U3226">
        <v>9.0774540000000001E-2</v>
      </c>
      <c r="V3226">
        <v>0.1055011</v>
      </c>
      <c r="W3226">
        <v>0.1793112</v>
      </c>
      <c r="X3226">
        <v>0.97811910000000002</v>
      </c>
      <c r="Y3226">
        <v>0.25219960000000002</v>
      </c>
      <c r="Z3226" s="1">
        <v>-9.6112780000000004E-5</v>
      </c>
      <c r="AA3226">
        <v>0.96767530000000002</v>
      </c>
      <c r="AB3226">
        <v>30</v>
      </c>
      <c r="AC3226">
        <v>-299.14269999999999</v>
      </c>
      <c r="AD3226">
        <v>-0.80504849999999994</v>
      </c>
      <c r="AE3226">
        <v>8.8841999999999892</v>
      </c>
      <c r="AF3226">
        <v>75.548995847730694</v>
      </c>
      <c r="AG3226">
        <v>-0.80504849999999994</v>
      </c>
      <c r="AH3226">
        <v>289.57958665490202</v>
      </c>
      <c r="AI3226">
        <v>90.154126359004195</v>
      </c>
      <c r="AJ3226">
        <v>75.377922812446201</v>
      </c>
      <c r="AK3226">
        <v>299.27351350213303</v>
      </c>
      <c r="AL3226">
        <v>79.670358069966099</v>
      </c>
      <c r="AM3226">
        <v>83.843808629927196</v>
      </c>
      <c r="AN3226">
        <v>0.99999998116572897</v>
      </c>
    </row>
    <row r="3227" spans="1:40" x14ac:dyDescent="0.25">
      <c r="A3227" t="str">
        <f>"20190304155435518"</f>
        <v>20190304155435518</v>
      </c>
      <c r="B3227" t="str">
        <f>"1551686075510665"</f>
        <v>1551686075510665</v>
      </c>
      <c r="C3227" t="s">
        <v>40</v>
      </c>
      <c r="D3227">
        <v>4.6472740000000003</v>
      </c>
      <c r="E3227">
        <v>0.55596380000000001</v>
      </c>
      <c r="F3227" t="s">
        <v>46</v>
      </c>
      <c r="G3227">
        <v>-462.70819999999998</v>
      </c>
      <c r="H3227">
        <v>7.9986769999999999E-2</v>
      </c>
      <c r="I3227">
        <v>150.90770000000001</v>
      </c>
      <c r="J3227">
        <v>-212.21889999999999</v>
      </c>
      <c r="K3227">
        <v>1.1043499999999999</v>
      </c>
      <c r="L3227">
        <v>142.93180000000001</v>
      </c>
      <c r="M3227">
        <v>-0.97614509999999999</v>
      </c>
      <c r="N3227">
        <v>-1.040758E-2</v>
      </c>
      <c r="O3227">
        <v>-0.21687010000000001</v>
      </c>
      <c r="P3227">
        <v>-0.97876289999999999</v>
      </c>
      <c r="Q3227">
        <v>0.17054059999999999</v>
      </c>
      <c r="R3227">
        <v>-0.1137502</v>
      </c>
      <c r="S3227">
        <v>-3.0808719999999998</v>
      </c>
      <c r="T3227">
        <v>-1.258397E-2</v>
      </c>
      <c r="U3227">
        <v>9.7213750000000002E-2</v>
      </c>
      <c r="V3227">
        <v>0.1036629</v>
      </c>
      <c r="W3227">
        <v>0.1793497</v>
      </c>
      <c r="X3227">
        <v>0.97830859999999997</v>
      </c>
      <c r="Y3227">
        <v>0.2475501</v>
      </c>
      <c r="Z3227">
        <v>4.0675889999999999E-4</v>
      </c>
      <c r="AA3227">
        <v>0.96887500000000004</v>
      </c>
      <c r="AB3227">
        <v>30</v>
      </c>
      <c r="AC3227">
        <v>-250.48929999999999</v>
      </c>
      <c r="AD3227">
        <v>-1.0243632299999901</v>
      </c>
      <c r="AE3227">
        <v>7.9758999999999904</v>
      </c>
      <c r="AF3227">
        <v>62.111594952377999</v>
      </c>
      <c r="AG3227">
        <v>-1.0243632299999901</v>
      </c>
      <c r="AH3227">
        <v>242.793236273806</v>
      </c>
      <c r="AI3227">
        <v>90.234192090980201</v>
      </c>
      <c r="AJ3227">
        <v>75.650292020239306</v>
      </c>
      <c r="AK3227">
        <v>250.614155880835</v>
      </c>
      <c r="AL3227">
        <v>79.668116179169601</v>
      </c>
      <c r="AM3227">
        <v>83.951431856094004</v>
      </c>
      <c r="AN3227">
        <v>1.0000000142802199</v>
      </c>
    </row>
    <row r="3228" spans="1:40" x14ac:dyDescent="0.25">
      <c r="A3228" t="str">
        <f>"20190304155435540"</f>
        <v>20190304155435540</v>
      </c>
      <c r="B3228" t="str">
        <f>"1551686075530186"</f>
        <v>1551686075530186</v>
      </c>
      <c r="C3228" t="s">
        <v>40</v>
      </c>
      <c r="D3228">
        <v>4.6317820000000003</v>
      </c>
      <c r="E3228">
        <v>0.55487690000000001</v>
      </c>
      <c r="F3228" t="s">
        <v>79</v>
      </c>
      <c r="G3228">
        <v>-511.92529999999999</v>
      </c>
      <c r="H3228">
        <v>0.18506990000000001</v>
      </c>
      <c r="I3228">
        <v>153.9109</v>
      </c>
      <c r="J3228">
        <v>-212.51259999999999</v>
      </c>
      <c r="K3228">
        <v>1.1043430000000001</v>
      </c>
      <c r="L3228">
        <v>142.8734</v>
      </c>
      <c r="M3228">
        <v>-0.97756869999999996</v>
      </c>
      <c r="N3228">
        <v>-1.034967E-2</v>
      </c>
      <c r="O3228">
        <v>-0.2103623</v>
      </c>
      <c r="P3228">
        <v>-0.97915549999999996</v>
      </c>
      <c r="Q3228">
        <v>0.1714098</v>
      </c>
      <c r="R3228">
        <v>-0.1089648</v>
      </c>
      <c r="S3228">
        <v>-3.0798489999999998</v>
      </c>
      <c r="T3228">
        <v>-9.4462629999999999E-3</v>
      </c>
      <c r="U3228">
        <v>0.11282349999999999</v>
      </c>
      <c r="V3228">
        <v>0.1019057</v>
      </c>
      <c r="W3228">
        <v>0.18018509999999999</v>
      </c>
      <c r="X3228">
        <v>0.97833970000000003</v>
      </c>
      <c r="Y3228">
        <v>0.24601110000000001</v>
      </c>
      <c r="Z3228">
        <v>1.059049E-4</v>
      </c>
      <c r="AA3228">
        <v>0.96926699999999999</v>
      </c>
      <c r="AB3228">
        <v>30</v>
      </c>
      <c r="AC3228">
        <v>-299.41269999999997</v>
      </c>
      <c r="AD3228">
        <v>-0.91927309999999995</v>
      </c>
      <c r="AE3228">
        <v>11.0374999999999</v>
      </c>
      <c r="AF3228">
        <v>73.7783166526185</v>
      </c>
      <c r="AG3228">
        <v>-0.91927309999999995</v>
      </c>
      <c r="AH3228">
        <v>290.38743295336701</v>
      </c>
      <c r="AI3228">
        <v>90.175794305123802</v>
      </c>
      <c r="AJ3228">
        <v>75.744568598411306</v>
      </c>
      <c r="AK3228">
        <v>299.61466300628899</v>
      </c>
      <c r="AL3228">
        <v>79.619458516181695</v>
      </c>
      <c r="AM3228">
        <v>84.053408398856604</v>
      </c>
      <c r="AN3228">
        <v>1.00000000527529</v>
      </c>
    </row>
    <row r="3229" spans="1:40" x14ac:dyDescent="0.25">
      <c r="A3229" t="str">
        <f>"20190304155435567"</f>
        <v>20190304155435567</v>
      </c>
      <c r="B3229" t="str">
        <f>"1551686075560441"</f>
        <v>1551686075560441</v>
      </c>
      <c r="C3229" t="s">
        <v>40</v>
      </c>
      <c r="D3229">
        <v>4.6474140000000004</v>
      </c>
      <c r="E3229">
        <v>0.55468930000000005</v>
      </c>
      <c r="F3229" t="s">
        <v>79</v>
      </c>
      <c r="G3229">
        <v>-511.92520000000002</v>
      </c>
      <c r="H3229">
        <v>0.120156</v>
      </c>
      <c r="I3229">
        <v>154.44319999999999</v>
      </c>
      <c r="J3229">
        <v>-212.85929999999999</v>
      </c>
      <c r="K3229">
        <v>1.104333</v>
      </c>
      <c r="L3229">
        <v>142.80709999999999</v>
      </c>
      <c r="M3229">
        <v>-0.97918550000000004</v>
      </c>
      <c r="N3229">
        <v>-1.028127E-2</v>
      </c>
      <c r="O3229">
        <v>-0.20270740000000001</v>
      </c>
      <c r="P3229">
        <v>-0.97971909999999895</v>
      </c>
      <c r="Q3229">
        <v>0.17182169999999999</v>
      </c>
      <c r="R3229">
        <v>-0.10309169999999999</v>
      </c>
      <c r="S3229">
        <v>-3.0788570000000002</v>
      </c>
      <c r="T3229">
        <v>-1.0119919999999999E-2</v>
      </c>
      <c r="U3229">
        <v>0.1189728</v>
      </c>
      <c r="V3229">
        <v>0.1001046</v>
      </c>
      <c r="W3229">
        <v>0.18055460000000001</v>
      </c>
      <c r="X3229">
        <v>0.97845749999999998</v>
      </c>
      <c r="Y3229">
        <v>0.240368</v>
      </c>
      <c r="Z3229">
        <v>2.01957E-4</v>
      </c>
      <c r="AA3229">
        <v>0.97068180000000004</v>
      </c>
      <c r="AB3229">
        <v>30</v>
      </c>
      <c r="AC3229">
        <v>-299.0659</v>
      </c>
      <c r="AD3229">
        <v>-0.98417699999999997</v>
      </c>
      <c r="AE3229">
        <v>11.636100000000001</v>
      </c>
      <c r="AF3229">
        <v>72.019790628768106</v>
      </c>
      <c r="AG3229">
        <v>-0.98417699999999997</v>
      </c>
      <c r="AH3229">
        <v>290.49444735914398</v>
      </c>
      <c r="AI3229">
        <v>90.188409848016903</v>
      </c>
      <c r="AJ3229">
        <v>76.0759005535905</v>
      </c>
      <c r="AK3229">
        <v>299.29056582704601</v>
      </c>
      <c r="AL3229">
        <v>79.597934517561796</v>
      </c>
      <c r="AM3229">
        <v>84.158474600147898</v>
      </c>
      <c r="AN3229">
        <v>0.99999998691428404</v>
      </c>
    </row>
    <row r="3230" spans="1:40" x14ac:dyDescent="0.25">
      <c r="A3230" t="str">
        <f>"20190304155435610"</f>
        <v>20190304155435610</v>
      </c>
      <c r="B3230" t="str">
        <f>"1551686075600526"</f>
        <v>1551686075600526</v>
      </c>
      <c r="C3230" t="s">
        <v>40</v>
      </c>
      <c r="D3230">
        <v>4.7013780000000001</v>
      </c>
      <c r="E3230">
        <v>0.55360319999999996</v>
      </c>
      <c r="F3230" t="s">
        <v>74</v>
      </c>
      <c r="G3230">
        <v>-499.98219999999998</v>
      </c>
      <c r="H3230">
        <v>7.4485629999999997E-2</v>
      </c>
      <c r="I3230">
        <v>155.43549999999999</v>
      </c>
      <c r="J3230">
        <v>-213.45359999999999</v>
      </c>
      <c r="K3230">
        <v>1.1043130000000001</v>
      </c>
      <c r="L3230">
        <v>142.69980000000001</v>
      </c>
      <c r="M3230">
        <v>-0.98179629999999996</v>
      </c>
      <c r="N3230">
        <v>-1.0176869999999999E-2</v>
      </c>
      <c r="O3230">
        <v>-0.1896639</v>
      </c>
      <c r="P3230">
        <v>-0.98058000000000001</v>
      </c>
      <c r="Q3230">
        <v>0.17255580000000001</v>
      </c>
      <c r="R3230">
        <v>-9.3206200000000003E-2</v>
      </c>
      <c r="S3230">
        <v>-3.0782929999999999</v>
      </c>
      <c r="T3230">
        <v>-1.104116E-2</v>
      </c>
      <c r="U3230">
        <v>0.13539119999999999</v>
      </c>
      <c r="V3230">
        <v>9.6934060000000002E-2</v>
      </c>
      <c r="W3230">
        <v>0.18123139999999999</v>
      </c>
      <c r="X3230">
        <v>0.97865159999999995</v>
      </c>
      <c r="Y3230">
        <v>0.23262330000000001</v>
      </c>
      <c r="Z3230">
        <v>3.4269449999999897E-4</v>
      </c>
      <c r="AA3230">
        <v>0.97256679999999995</v>
      </c>
      <c r="AB3230">
        <v>30</v>
      </c>
      <c r="AC3230">
        <v>-286.52859999999998</v>
      </c>
      <c r="AD3230">
        <v>-1.02982736999999</v>
      </c>
      <c r="AE3230">
        <v>12.7356999999999</v>
      </c>
      <c r="AF3230">
        <v>66.8505970164681</v>
      </c>
      <c r="AG3230">
        <v>-1.02982736999999</v>
      </c>
      <c r="AH3230">
        <v>278.90807321263702</v>
      </c>
      <c r="AI3230">
        <v>90.205728393088194</v>
      </c>
      <c r="AJ3230">
        <v>76.521233009778499</v>
      </c>
      <c r="AK3230">
        <v>286.80965145729698</v>
      </c>
      <c r="AL3230">
        <v>79.558506343320303</v>
      </c>
      <c r="AM3230">
        <v>84.343384050828604</v>
      </c>
      <c r="AN3230">
        <v>0.99999999325830102</v>
      </c>
    </row>
    <row r="3231" spans="1:40" x14ac:dyDescent="0.25">
      <c r="A3231" t="str">
        <f>"20190304155435630"</f>
        <v>20190304155435630</v>
      </c>
      <c r="B3231" t="str">
        <f>"1551686075620045"</f>
        <v>1551686075620045</v>
      </c>
      <c r="C3231" t="s">
        <v>40</v>
      </c>
      <c r="D3231">
        <v>4.706353</v>
      </c>
      <c r="E3231">
        <v>0.55322930000000003</v>
      </c>
      <c r="F3231" t="s">
        <v>46</v>
      </c>
      <c r="G3231">
        <v>-359.3965</v>
      </c>
      <c r="H3231">
        <v>7.9986699999999994E-2</v>
      </c>
      <c r="I3231">
        <v>150.17939999999999</v>
      </c>
      <c r="J3231">
        <v>-213.73089999999999</v>
      </c>
      <c r="K3231">
        <v>1.104309</v>
      </c>
      <c r="L3231">
        <v>142.6524</v>
      </c>
      <c r="M3231">
        <v>-0.98294740000000003</v>
      </c>
      <c r="N3231">
        <v>-1.013527E-2</v>
      </c>
      <c r="O3231">
        <v>-0.18360750000000001</v>
      </c>
      <c r="P3231">
        <v>-0.98096360000000005</v>
      </c>
      <c r="Q3231">
        <v>0.1729417</v>
      </c>
      <c r="R3231">
        <v>-8.8328260000000006E-2</v>
      </c>
      <c r="S3231">
        <v>-3.078217</v>
      </c>
      <c r="T3231">
        <v>-2.1605010000000001E-2</v>
      </c>
      <c r="U3231">
        <v>0.1577606</v>
      </c>
      <c r="V3231">
        <v>9.5758319999999994E-2</v>
      </c>
      <c r="W3231">
        <v>0.1815929</v>
      </c>
      <c r="X3231">
        <v>0.97870029999999997</v>
      </c>
      <c r="Y3231">
        <v>0.23367470000000001</v>
      </c>
      <c r="Z3231">
        <v>1.422797E-3</v>
      </c>
      <c r="AA3231">
        <v>0.97231380000000001</v>
      </c>
      <c r="AB3231">
        <v>31</v>
      </c>
      <c r="AC3231">
        <v>-145.66560000000001</v>
      </c>
      <c r="AD3231">
        <v>-1.0243222999999999</v>
      </c>
      <c r="AE3231">
        <v>7.5269999999999797</v>
      </c>
      <c r="AF3231">
        <v>34.144011171320798</v>
      </c>
      <c r="AG3231">
        <v>-1.0243222999999999</v>
      </c>
      <c r="AH3231">
        <v>141.79989751890199</v>
      </c>
      <c r="AI3231">
        <v>90.402381032386899</v>
      </c>
      <c r="AJ3231">
        <v>76.461470636009295</v>
      </c>
      <c r="AK3231">
        <v>145.85634601008101</v>
      </c>
      <c r="AL3231">
        <v>79.537444060366695</v>
      </c>
      <c r="AM3231">
        <v>84.411834069329103</v>
      </c>
      <c r="AN3231">
        <v>0.99999995719986001</v>
      </c>
    </row>
    <row r="3232" spans="1:40" x14ac:dyDescent="0.25">
      <c r="A3232" t="str">
        <f>"20190304155435653"</f>
        <v>20190304155435653</v>
      </c>
      <c r="B3232" t="str">
        <f>"1551686075650302"</f>
        <v>1551686075650302</v>
      </c>
      <c r="C3232" t="s">
        <v>40</v>
      </c>
      <c r="D3232">
        <v>4.7525930000000001</v>
      </c>
      <c r="E3232">
        <v>0.55269769999999996</v>
      </c>
      <c r="F3232" t="s">
        <v>46</v>
      </c>
      <c r="G3232">
        <v>-345.46730000000002</v>
      </c>
      <c r="H3232">
        <v>7.9985509999999996E-2</v>
      </c>
      <c r="I3232">
        <v>149.91890000000001</v>
      </c>
      <c r="J3232">
        <v>-214.041</v>
      </c>
      <c r="K3232">
        <v>1.1043130000000001</v>
      </c>
      <c r="L3232">
        <v>142.60140000000001</v>
      </c>
      <c r="M3232">
        <v>-0.98418459999999997</v>
      </c>
      <c r="N3232">
        <v>-1.009387E-2</v>
      </c>
      <c r="O3232">
        <v>-0.1768583</v>
      </c>
      <c r="P3232">
        <v>-0.98141529999999999</v>
      </c>
      <c r="Q3232">
        <v>0.17300470000000001</v>
      </c>
      <c r="R3232">
        <v>-8.3027470000000006E-2</v>
      </c>
      <c r="S3232">
        <v>-3.077728</v>
      </c>
      <c r="T3232">
        <v>-2.3931029999999999E-2</v>
      </c>
      <c r="U3232">
        <v>0.16976930000000001</v>
      </c>
      <c r="V3232">
        <v>9.4326099999999996E-2</v>
      </c>
      <c r="W3232">
        <v>0.18163560000000001</v>
      </c>
      <c r="X3232">
        <v>0.97883149999999997</v>
      </c>
      <c r="Y3232">
        <v>0.230791</v>
      </c>
      <c r="Z3232">
        <v>1.6438379999999999E-3</v>
      </c>
      <c r="AA3232">
        <v>0.97300200000000003</v>
      </c>
      <c r="AB3232">
        <v>31</v>
      </c>
      <c r="AC3232">
        <v>-131.4263</v>
      </c>
      <c r="AD3232">
        <v>-1.0243274899999999</v>
      </c>
      <c r="AE3232">
        <v>7.3174999999999901</v>
      </c>
      <c r="AF3232">
        <v>30.445309133557299</v>
      </c>
      <c r="AG3232">
        <v>-1.0243274899999999</v>
      </c>
      <c r="AH3232">
        <v>128.052344713765</v>
      </c>
      <c r="AI3232">
        <v>90.445886780366095</v>
      </c>
      <c r="AJ3232">
        <v>76.625857211723201</v>
      </c>
      <c r="AK3232">
        <v>131.62586782899999</v>
      </c>
      <c r="AL3232">
        <v>79.534956660648604</v>
      </c>
      <c r="AM3232">
        <v>84.495630148740702</v>
      </c>
      <c r="AN3232">
        <v>1.0000000048604001</v>
      </c>
    </row>
    <row r="3233" spans="1:40" x14ac:dyDescent="0.25">
      <c r="A3233" t="str">
        <f>"20190304155435674"</f>
        <v>20190304155435674</v>
      </c>
      <c r="B3233" t="str">
        <f>"1551686075670797"</f>
        <v>1551686075670797</v>
      </c>
      <c r="C3233" t="s">
        <v>40</v>
      </c>
      <c r="D3233">
        <v>4.6787099999999997</v>
      </c>
      <c r="E3233">
        <v>0.54206849999999995</v>
      </c>
      <c r="F3233" t="s">
        <v>46</v>
      </c>
      <c r="G3233">
        <v>-336.54939999999999</v>
      </c>
      <c r="H3233">
        <v>7.9985689999999998E-2</v>
      </c>
      <c r="I3233">
        <v>149.8449</v>
      </c>
      <c r="J3233">
        <v>-214.339</v>
      </c>
      <c r="K3233">
        <v>1.1043149999999999</v>
      </c>
      <c r="L3233">
        <v>142.55449999999999</v>
      </c>
      <c r="M3233">
        <v>-0.98532339999999996</v>
      </c>
      <c r="N3233">
        <v>-1.005873E-2</v>
      </c>
      <c r="O3233">
        <v>-0.17040250000000001</v>
      </c>
      <c r="P3233">
        <v>-0.98183299999999996</v>
      </c>
      <c r="Q3233">
        <v>0.1727281</v>
      </c>
      <c r="R3233">
        <v>-7.8544820000000001E-2</v>
      </c>
      <c r="S3233">
        <v>-3.0767359999999999</v>
      </c>
      <c r="T3233">
        <v>-2.5725479999999998E-2</v>
      </c>
      <c r="U3233">
        <v>0.1819153</v>
      </c>
      <c r="V3233">
        <v>9.2379359999999994E-2</v>
      </c>
      <c r="W3233">
        <v>0.18135370000000001</v>
      </c>
      <c r="X3233">
        <v>0.97906939999999998</v>
      </c>
      <c r="Y3233">
        <v>0.22825599999999999</v>
      </c>
      <c r="Z3233">
        <v>1.8057920000000001E-3</v>
      </c>
      <c r="AA3233">
        <v>0.97359949999999995</v>
      </c>
      <c r="AB3233">
        <v>31</v>
      </c>
      <c r="AC3233">
        <v>-122.210399999999</v>
      </c>
      <c r="AD3233">
        <v>-1.0243293099999999</v>
      </c>
      <c r="AE3233">
        <v>7.2904</v>
      </c>
      <c r="AF3233">
        <v>28.0078102786619</v>
      </c>
      <c r="AG3233">
        <v>-1.0243293099999999</v>
      </c>
      <c r="AH3233">
        <v>119.17212796194001</v>
      </c>
      <c r="AI3233">
        <v>90.479405432713193</v>
      </c>
      <c r="AJ3233">
        <v>76.774373454525602</v>
      </c>
      <c r="AK3233">
        <v>122.423375096906</v>
      </c>
      <c r="AL3233">
        <v>79.551381071606102</v>
      </c>
      <c r="AM3233">
        <v>84.609857486614501</v>
      </c>
      <c r="AN3233">
        <v>1.00000000033702</v>
      </c>
    </row>
    <row r="3234" spans="1:40" x14ac:dyDescent="0.25">
      <c r="A3234" t="str">
        <f>"20190304155435697"</f>
        <v>20190304155435697</v>
      </c>
      <c r="B3234" t="str">
        <f>"1551686075690317"</f>
        <v>1551686075690317</v>
      </c>
      <c r="C3234" t="s">
        <v>40</v>
      </c>
      <c r="D3234">
        <v>4.7782970000000002</v>
      </c>
      <c r="E3234">
        <v>0.51293129999999998</v>
      </c>
      <c r="F3234" t="s">
        <v>46</v>
      </c>
      <c r="G3234">
        <v>-279.20650000000001</v>
      </c>
      <c r="H3234" s="1">
        <v>-1.7362640000000001E-6</v>
      </c>
      <c r="I3234">
        <v>144.92869999999999</v>
      </c>
      <c r="J3234">
        <v>-214.64529999999999</v>
      </c>
      <c r="K3234">
        <v>1.1043160000000001</v>
      </c>
      <c r="L3234">
        <v>142.50829999999999</v>
      </c>
      <c r="M3234">
        <v>-0.98644399999999999</v>
      </c>
      <c r="N3234">
        <v>-1.0026999999999999E-2</v>
      </c>
      <c r="O3234">
        <v>-0.1637922</v>
      </c>
      <c r="P3234">
        <v>-0.98211649999999995</v>
      </c>
      <c r="Q3234">
        <v>0.17316670000000001</v>
      </c>
      <c r="R3234">
        <v>-7.3897790000000005E-2</v>
      </c>
      <c r="S3234">
        <v>-3.0737000000000001</v>
      </c>
      <c r="T3234">
        <v>-5.2327279999999997E-2</v>
      </c>
      <c r="U3234">
        <v>0.11250309999999999</v>
      </c>
      <c r="V3234">
        <v>9.0436100000000005E-2</v>
      </c>
      <c r="W3234">
        <v>0.1817889</v>
      </c>
      <c r="X3234">
        <v>0.97917010000000004</v>
      </c>
      <c r="Y3234">
        <v>0.1997244</v>
      </c>
      <c r="Z3234">
        <v>3.834947E-3</v>
      </c>
      <c r="AA3234">
        <v>0.97984459999999995</v>
      </c>
      <c r="AB3234">
        <v>31</v>
      </c>
      <c r="AC3234">
        <v>-64.561199999999999</v>
      </c>
      <c r="AD3234">
        <v>-1.104317736264</v>
      </c>
      <c r="AE3234">
        <v>2.4203999999999999</v>
      </c>
      <c r="AF3234">
        <v>12.959074221891401</v>
      </c>
      <c r="AG3234">
        <v>-1.104317736264</v>
      </c>
      <c r="AH3234">
        <v>63.274254717758097</v>
      </c>
      <c r="AI3234">
        <v>90.979545588908394</v>
      </c>
      <c r="AJ3234">
        <v>78.425430725218902</v>
      </c>
      <c r="AK3234">
        <v>64.597124026065202</v>
      </c>
      <c r="AL3234">
        <v>79.526024340162394</v>
      </c>
      <c r="AM3234">
        <v>84.723135294055794</v>
      </c>
      <c r="AN3234">
        <v>0.99999998854021399</v>
      </c>
    </row>
    <row r="3235" spans="1:40" x14ac:dyDescent="0.25">
      <c r="A3235" t="str">
        <f>"20190304155435718"</f>
        <v>20190304155435718</v>
      </c>
      <c r="B3235" t="str">
        <f>"1551686075710814"</f>
        <v>1551686075710814</v>
      </c>
      <c r="C3235" t="s">
        <v>40</v>
      </c>
      <c r="D3235">
        <v>4.7711600000000001</v>
      </c>
      <c r="E3235">
        <v>0.51099939999999999</v>
      </c>
      <c r="F3235" t="s">
        <v>46</v>
      </c>
      <c r="G3235">
        <v>-248.94200000000001</v>
      </c>
      <c r="H3235" s="1">
        <v>-8.9748059999999896E-7</v>
      </c>
      <c r="I3235">
        <v>141.34979999999999</v>
      </c>
      <c r="J3235">
        <v>-214.93950000000001</v>
      </c>
      <c r="K3235">
        <v>1.1043149999999999</v>
      </c>
      <c r="L3235">
        <v>142.4659</v>
      </c>
      <c r="M3235">
        <v>-0.98747370000000001</v>
      </c>
      <c r="N3235">
        <v>-1.000067E-2</v>
      </c>
      <c r="O3235">
        <v>-0.157466299999999</v>
      </c>
      <c r="P3235">
        <v>-0.98225830000000003</v>
      </c>
      <c r="Q3235">
        <v>0.1741511</v>
      </c>
      <c r="R3235">
        <v>-6.9573599999999999E-2</v>
      </c>
      <c r="S3235">
        <v>-3.0642239999999998</v>
      </c>
      <c r="T3235">
        <v>-9.8664879999999996E-2</v>
      </c>
      <c r="U3235">
        <v>-0.10350040000000001</v>
      </c>
      <c r="V3235">
        <v>8.8451269999999999E-2</v>
      </c>
      <c r="W3235">
        <v>0.18277489999999999</v>
      </c>
      <c r="X3235">
        <v>0.97916789999999998</v>
      </c>
      <c r="Y3235">
        <v>0.1239258</v>
      </c>
      <c r="Z3235">
        <v>6.0822860000000001E-3</v>
      </c>
      <c r="AA3235">
        <v>0.99227290000000001</v>
      </c>
      <c r="AB3235">
        <v>31</v>
      </c>
      <c r="AC3235">
        <v>-34.002499999999998</v>
      </c>
      <c r="AD3235">
        <v>-1.1043158974806</v>
      </c>
      <c r="AE3235">
        <v>-1.1161000000000101</v>
      </c>
      <c r="AF3235">
        <v>4.24786543816401</v>
      </c>
      <c r="AG3235">
        <v>-1.1043158974806</v>
      </c>
      <c r="AH3235">
        <v>33.7184837573935</v>
      </c>
      <c r="AI3235">
        <v>91.861126297646706</v>
      </c>
      <c r="AJ3235">
        <v>82.819686159845403</v>
      </c>
      <c r="AK3235">
        <v>34.002941362179001</v>
      </c>
      <c r="AL3235">
        <v>79.468568576455795</v>
      </c>
      <c r="AM3235">
        <v>84.838304235895393</v>
      </c>
      <c r="AN3235">
        <v>1.0000000338125099</v>
      </c>
    </row>
    <row r="3236" spans="1:40" x14ac:dyDescent="0.25">
      <c r="A3236" t="str">
        <f>"20190304155435743"</f>
        <v>20190304155435743</v>
      </c>
      <c r="B3236" t="str">
        <f>"1551686075730340"</f>
        <v>1551686075730340</v>
      </c>
      <c r="C3236" t="s">
        <v>40</v>
      </c>
      <c r="D3236">
        <v>4.7503140000000004</v>
      </c>
      <c r="E3236">
        <v>0.50942929999999997</v>
      </c>
      <c r="F3236" t="s">
        <v>46</v>
      </c>
      <c r="G3236">
        <v>-252.9393</v>
      </c>
      <c r="H3236" s="1">
        <v>-3.4195160000000001E-6</v>
      </c>
      <c r="I3236">
        <v>141.15029999999999</v>
      </c>
      <c r="J3236">
        <v>-215.26259999999999</v>
      </c>
      <c r="K3236">
        <v>1.1043160000000001</v>
      </c>
      <c r="L3236">
        <v>142.42140000000001</v>
      </c>
      <c r="M3236">
        <v>-0.98855309999999996</v>
      </c>
      <c r="N3236">
        <v>-9.9713270000000003E-3</v>
      </c>
      <c r="O3236">
        <v>-0.15054389999999901</v>
      </c>
      <c r="P3236">
        <v>-0.98247720000000005</v>
      </c>
      <c r="Q3236">
        <v>0.1748073</v>
      </c>
      <c r="R3236">
        <v>-6.4659229999999998E-2</v>
      </c>
      <c r="S3236">
        <v>-3.0624690000000001</v>
      </c>
      <c r="T3236">
        <v>-8.8999149999999999E-2</v>
      </c>
      <c r="U3236">
        <v>-0.1060181</v>
      </c>
      <c r="V3236">
        <v>8.6474300000000004E-2</v>
      </c>
      <c r="W3236">
        <v>0.18343029999999999</v>
      </c>
      <c r="X3236">
        <v>0.97922189999999998</v>
      </c>
      <c r="Y3236">
        <v>0.1161652</v>
      </c>
      <c r="Z3236">
        <v>5.118203E-3</v>
      </c>
      <c r="AA3236">
        <v>0.99321669999999995</v>
      </c>
      <c r="AB3236">
        <v>31</v>
      </c>
      <c r="AC3236">
        <v>-37.676699999999997</v>
      </c>
      <c r="AD3236">
        <v>-1.104319419516</v>
      </c>
      <c r="AE3236">
        <v>-1.2711000000000101</v>
      </c>
      <c r="AF3236">
        <v>4.4118808232937097</v>
      </c>
      <c r="AG3236">
        <v>-1.104319419516</v>
      </c>
      <c r="AH3236">
        <v>37.406534440538202</v>
      </c>
      <c r="AI3236">
        <v>91.679366927956295</v>
      </c>
      <c r="AJ3236">
        <v>83.2733757244157</v>
      </c>
      <c r="AK3236">
        <v>37.681998787623201</v>
      </c>
      <c r="AL3236">
        <v>79.430370836526194</v>
      </c>
      <c r="AM3236">
        <v>84.9533473273423</v>
      </c>
      <c r="AN3236">
        <v>1.00000000447909</v>
      </c>
    </row>
    <row r="3237" spans="1:40" x14ac:dyDescent="0.25">
      <c r="A3237" t="str">
        <f>"20190304155435767"</f>
        <v>20190304155435767</v>
      </c>
      <c r="B3237" t="str">
        <f>"1551686075760589"</f>
        <v>1551686075760589</v>
      </c>
      <c r="C3237" t="s">
        <v>40</v>
      </c>
      <c r="D3237">
        <v>4.8420820000000004</v>
      </c>
      <c r="E3237">
        <v>0.50948549999999904</v>
      </c>
      <c r="F3237" t="s">
        <v>46</v>
      </c>
      <c r="G3237">
        <v>-256.62580000000003</v>
      </c>
      <c r="H3237" s="1">
        <v>-1.8038870000000001E-6</v>
      </c>
      <c r="I3237">
        <v>141.02199999999999</v>
      </c>
      <c r="J3237">
        <v>-215.59989999999999</v>
      </c>
      <c r="K3237">
        <v>1.104317</v>
      </c>
      <c r="L3237">
        <v>142.3776</v>
      </c>
      <c r="M3237">
        <v>-0.98962220000000001</v>
      </c>
      <c r="N3237">
        <v>-9.9404980000000007E-3</v>
      </c>
      <c r="O3237">
        <v>-0.14335059999999999</v>
      </c>
      <c r="P3237">
        <v>-0.98273560000000004</v>
      </c>
      <c r="Q3237">
        <v>0.1749569</v>
      </c>
      <c r="R3237">
        <v>-6.0174470000000001E-2</v>
      </c>
      <c r="S3237">
        <v>-3.061264</v>
      </c>
      <c r="T3237">
        <v>-8.1729889999999999E-2</v>
      </c>
      <c r="U3237">
        <v>-0.1035614</v>
      </c>
      <c r="V3237">
        <v>8.3813559999999995E-2</v>
      </c>
      <c r="W3237">
        <v>0.18358820000000001</v>
      </c>
      <c r="X3237">
        <v>0.97942359999999995</v>
      </c>
      <c r="Y3237">
        <v>0.1097414</v>
      </c>
      <c r="Z3237">
        <v>4.3941659999999997E-3</v>
      </c>
      <c r="AA3237">
        <v>0.99395049999999996</v>
      </c>
      <c r="AB3237">
        <v>31</v>
      </c>
      <c r="AC3237">
        <v>-41.0259</v>
      </c>
      <c r="AD3237">
        <v>-1.104318803887</v>
      </c>
      <c r="AE3237">
        <v>-1.3555999999999799</v>
      </c>
      <c r="AF3237">
        <v>4.5364957651244504</v>
      </c>
      <c r="AG3237">
        <v>-1.104318803887</v>
      </c>
      <c r="AH3237">
        <v>40.766971112579398</v>
      </c>
      <c r="AI3237">
        <v>91.542166795140901</v>
      </c>
      <c r="AJ3237">
        <v>83.650323090888804</v>
      </c>
      <c r="AK3237">
        <v>41.033464971185303</v>
      </c>
      <c r="AL3237">
        <v>79.421167110692593</v>
      </c>
      <c r="AM3237">
        <v>85.108865609797903</v>
      </c>
      <c r="AN3237">
        <v>0.99999996412803605</v>
      </c>
    </row>
    <row r="3238" spans="1:40" x14ac:dyDescent="0.25">
      <c r="A3238" t="str">
        <f>"20190304155435788"</f>
        <v>20190304155435788</v>
      </c>
      <c r="B3238" t="str">
        <f>"1551686075780109"</f>
        <v>1551686075780109</v>
      </c>
      <c r="C3238" t="s">
        <v>40</v>
      </c>
      <c r="D3238">
        <v>4.7939290000000003</v>
      </c>
      <c r="E3238">
        <v>0.50926769999999999</v>
      </c>
      <c r="F3238" t="s">
        <v>46</v>
      </c>
      <c r="G3238">
        <v>-253.96530000000001</v>
      </c>
      <c r="H3238" s="1">
        <v>-3.0096719999999998E-6</v>
      </c>
      <c r="I3238">
        <v>141.26419999999999</v>
      </c>
      <c r="J3238">
        <v>-215.90530000000001</v>
      </c>
      <c r="K3238">
        <v>1.1043069999999999</v>
      </c>
      <c r="L3238">
        <v>142.3399</v>
      </c>
      <c r="M3238">
        <v>-0.99054059999999999</v>
      </c>
      <c r="N3238">
        <v>-9.9149930000000004E-3</v>
      </c>
      <c r="O3238">
        <v>-0.13685990000000001</v>
      </c>
      <c r="P3238">
        <v>-0.98293149999999996</v>
      </c>
      <c r="Q3238">
        <v>0.1751356</v>
      </c>
      <c r="R3238">
        <v>-5.6327130000000003E-2</v>
      </c>
      <c r="S3238">
        <v>-3.0629430000000002</v>
      </c>
      <c r="T3238">
        <v>-8.8164569999999998E-2</v>
      </c>
      <c r="U3238">
        <v>-8.8882450000000002E-2</v>
      </c>
      <c r="V3238">
        <v>8.1217999999999999E-2</v>
      </c>
      <c r="W3238">
        <v>0.18377940000000001</v>
      </c>
      <c r="X3238">
        <v>0.97960639999999999</v>
      </c>
      <c r="Y3238">
        <v>0.1079915</v>
      </c>
      <c r="Z3238">
        <v>4.6553200000000001E-3</v>
      </c>
      <c r="AA3238">
        <v>0.99414089999999999</v>
      </c>
      <c r="AB3238">
        <v>31</v>
      </c>
      <c r="AC3238">
        <v>-38.06</v>
      </c>
      <c r="AD3238">
        <v>-1.104310009672</v>
      </c>
      <c r="AE3238">
        <v>-1.0757000000000101</v>
      </c>
      <c r="AF3238">
        <v>4.1400851080479404</v>
      </c>
      <c r="AG3238">
        <v>-1.104310009672</v>
      </c>
      <c r="AH3238">
        <v>37.817251336730997</v>
      </c>
      <c r="AI3238">
        <v>91.662703090242999</v>
      </c>
      <c r="AJ3238">
        <v>83.752361710231298</v>
      </c>
      <c r="AK3238">
        <v>38.059221011009001</v>
      </c>
      <c r="AL3238">
        <v>79.410022547551904</v>
      </c>
      <c r="AM3238">
        <v>85.260514856120807</v>
      </c>
      <c r="AN3238">
        <v>0.99999996515465905</v>
      </c>
    </row>
    <row r="3239" spans="1:40" x14ac:dyDescent="0.25">
      <c r="A3239" t="str">
        <f>"20190304155435810"</f>
        <v>20190304155435810</v>
      </c>
      <c r="B3239" t="str">
        <f>"1551686075800605"</f>
        <v>1551686075800605</v>
      </c>
      <c r="C3239" t="s">
        <v>40</v>
      </c>
      <c r="D3239">
        <v>4.7829329999999999</v>
      </c>
      <c r="E3239">
        <v>0.50898189999999999</v>
      </c>
      <c r="F3239" t="s">
        <v>46</v>
      </c>
      <c r="G3239">
        <v>-253.3613</v>
      </c>
      <c r="H3239" s="1">
        <v>-3.3013780000000001E-6</v>
      </c>
      <c r="I3239">
        <v>141.38679999999999</v>
      </c>
      <c r="J3239">
        <v>-216.20939999999999</v>
      </c>
      <c r="K3239">
        <v>1.1043080000000001</v>
      </c>
      <c r="L3239">
        <v>142.30439999999999</v>
      </c>
      <c r="M3239">
        <v>-0.99140850000000003</v>
      </c>
      <c r="N3239">
        <v>-9.8923359999999998E-3</v>
      </c>
      <c r="O3239">
        <v>-0.13042799999999999</v>
      </c>
      <c r="P3239">
        <v>-0.98304809999999998</v>
      </c>
      <c r="Q3239">
        <v>0.17591099999999901</v>
      </c>
      <c r="R3239">
        <v>-5.1694490000000003E-2</v>
      </c>
      <c r="S3239">
        <v>-3.0637050000000001</v>
      </c>
      <c r="T3239">
        <v>-9.0326790000000004E-2</v>
      </c>
      <c r="U3239">
        <v>-7.7957150000000003E-2</v>
      </c>
      <c r="V3239">
        <v>7.9462779999999997E-2</v>
      </c>
      <c r="W3239">
        <v>0.1845579</v>
      </c>
      <c r="X3239">
        <v>0.97960400000000003</v>
      </c>
      <c r="Y3239">
        <v>0.10508670000000001</v>
      </c>
      <c r="Z3239">
        <v>4.6094830000000002E-3</v>
      </c>
      <c r="AA3239">
        <v>0.99445240000000001</v>
      </c>
      <c r="AB3239">
        <v>31</v>
      </c>
      <c r="AC3239">
        <v>-37.151899999999998</v>
      </c>
      <c r="AD3239">
        <v>-1.1043113013779999</v>
      </c>
      <c r="AE3239">
        <v>-0.91759999999999298</v>
      </c>
      <c r="AF3239">
        <v>3.9326514085036401</v>
      </c>
      <c r="AG3239">
        <v>-1.1043113013779999</v>
      </c>
      <c r="AH3239">
        <v>36.921594440110901</v>
      </c>
      <c r="AI3239">
        <v>91.703554382325194</v>
      </c>
      <c r="AJ3239">
        <v>83.920144216229801</v>
      </c>
      <c r="AK3239">
        <v>37.146862405204402</v>
      </c>
      <c r="AL3239">
        <v>79.364641621131696</v>
      </c>
      <c r="AM3239">
        <v>85.362477936755894</v>
      </c>
      <c r="AN3239">
        <v>0.99999997433686805</v>
      </c>
    </row>
    <row r="3240" spans="1:40" x14ac:dyDescent="0.25">
      <c r="A3240" t="str">
        <f>"20190304155435832"</f>
        <v>20190304155435832</v>
      </c>
      <c r="B3240" t="str">
        <f>"1551686075821102"</f>
        <v>1551686075821102</v>
      </c>
      <c r="C3240" t="s">
        <v>40</v>
      </c>
      <c r="D3240">
        <v>4.8121099999999997</v>
      </c>
      <c r="E3240">
        <v>0.50814839999999994</v>
      </c>
      <c r="F3240" t="s">
        <v>46</v>
      </c>
      <c r="G3240">
        <v>-255.0872</v>
      </c>
      <c r="H3240" s="1">
        <v>-2.582129E-6</v>
      </c>
      <c r="I3240">
        <v>141.46619999999999</v>
      </c>
      <c r="J3240">
        <v>-216.51499999999999</v>
      </c>
      <c r="K3240">
        <v>1.1043190000000001</v>
      </c>
      <c r="L3240">
        <v>142.27070000000001</v>
      </c>
      <c r="M3240">
        <v>-0.99223249999999996</v>
      </c>
      <c r="N3240">
        <v>-9.8714570000000001E-3</v>
      </c>
      <c r="O3240">
        <v>-0.12400559999999999</v>
      </c>
      <c r="P3240">
        <v>-0.98309049999999998</v>
      </c>
      <c r="Q3240">
        <v>0.17678959999999999</v>
      </c>
      <c r="R3240">
        <v>-4.7736599999999997E-2</v>
      </c>
      <c r="S3240">
        <v>-3.063828</v>
      </c>
      <c r="T3240">
        <v>-8.7027069999999998E-2</v>
      </c>
      <c r="U3240">
        <v>-6.6055299999999997E-2</v>
      </c>
      <c r="V3240">
        <v>7.7044089999999996E-2</v>
      </c>
      <c r="W3240">
        <v>0.18545110000000001</v>
      </c>
      <c r="X3240">
        <v>0.97962859999999996</v>
      </c>
      <c r="Y3240">
        <v>0.10251780000000001</v>
      </c>
      <c r="Z3240">
        <v>4.2483399999999998E-3</v>
      </c>
      <c r="AA3240">
        <v>0.99472210000000005</v>
      </c>
      <c r="AB3240">
        <v>31</v>
      </c>
      <c r="AC3240">
        <v>-38.572200000000002</v>
      </c>
      <c r="AD3240">
        <v>-1.104321582129</v>
      </c>
      <c r="AE3240">
        <v>-0.80450000000001798</v>
      </c>
      <c r="AF3240">
        <v>3.9818491852332598</v>
      </c>
      <c r="AG3240">
        <v>-1.104321582129</v>
      </c>
      <c r="AH3240">
        <v>38.342804437297602</v>
      </c>
      <c r="AI3240">
        <v>91.640915661802893</v>
      </c>
      <c r="AJ3240">
        <v>84.071161915101996</v>
      </c>
      <c r="AK3240">
        <v>38.564819475884299</v>
      </c>
      <c r="AL3240">
        <v>79.312566880404702</v>
      </c>
      <c r="AM3240">
        <v>85.503159394590995</v>
      </c>
      <c r="AN3240">
        <v>1.0000000481165401</v>
      </c>
    </row>
    <row r="3241" spans="1:40" x14ac:dyDescent="0.25">
      <c r="A3241" t="str">
        <f>"20190304155435854"</f>
        <v>20190304155435854</v>
      </c>
      <c r="B3241" t="str">
        <f>"1551686075850381"</f>
        <v>1551686075850381</v>
      </c>
      <c r="C3241" t="s">
        <v>40</v>
      </c>
      <c r="D3241">
        <v>4.80307</v>
      </c>
      <c r="E3241">
        <v>0.50692729999999997</v>
      </c>
      <c r="F3241" t="s">
        <v>46</v>
      </c>
      <c r="G3241">
        <v>-256.92739999999998</v>
      </c>
      <c r="H3241" s="1">
        <v>-1.7947120000000001E-6</v>
      </c>
      <c r="I3241">
        <v>141.47380000000001</v>
      </c>
      <c r="J3241">
        <v>-216.81659999999999</v>
      </c>
      <c r="K3241">
        <v>1.1043430000000001</v>
      </c>
      <c r="L3241">
        <v>142.23929999999999</v>
      </c>
      <c r="M3241">
        <v>-0.99299749999999998</v>
      </c>
      <c r="N3241">
        <v>-9.852207E-3</v>
      </c>
      <c r="O3241">
        <v>-0.1177236</v>
      </c>
      <c r="P3241">
        <v>-0.98315640000000004</v>
      </c>
      <c r="Q3241">
        <v>0.177414299999999</v>
      </c>
      <c r="R3241">
        <v>-4.3906580000000001E-2</v>
      </c>
      <c r="S3241">
        <v>-3.0637050000000001</v>
      </c>
      <c r="T3241">
        <v>-8.3719730000000006E-2</v>
      </c>
      <c r="U3241">
        <v>-6.0409549999999999E-2</v>
      </c>
      <c r="V3241">
        <v>7.4639209999999998E-2</v>
      </c>
      <c r="W3241">
        <v>0.18609439999999999</v>
      </c>
      <c r="X3241">
        <v>0.97969280000000003</v>
      </c>
      <c r="Y3241">
        <v>9.8062010000000005E-2</v>
      </c>
      <c r="Z3241">
        <v>3.8702200000000002E-3</v>
      </c>
      <c r="AA3241">
        <v>0.99517279999999997</v>
      </c>
      <c r="AB3241">
        <v>31</v>
      </c>
      <c r="AC3241">
        <v>-40.110799999999898</v>
      </c>
      <c r="AD3241">
        <v>-1.104344794712</v>
      </c>
      <c r="AE3241">
        <v>-0.76549999999997398</v>
      </c>
      <c r="AF3241">
        <v>3.9590406067999302</v>
      </c>
      <c r="AG3241">
        <v>-1.104344794712</v>
      </c>
      <c r="AH3241">
        <v>39.891752018872801</v>
      </c>
      <c r="AI3241">
        <v>91.577996584451697</v>
      </c>
      <c r="AJ3241">
        <v>84.332263284587398</v>
      </c>
      <c r="AK3241">
        <v>40.102935791374897</v>
      </c>
      <c r="AL3241">
        <v>79.275055664315701</v>
      </c>
      <c r="AM3241">
        <v>85.643260540409301</v>
      </c>
      <c r="AN3241">
        <v>1.0000000598763099</v>
      </c>
    </row>
    <row r="3242" spans="1:40" x14ac:dyDescent="0.25">
      <c r="A3242" t="str">
        <f>"20190304155435876"</f>
        <v>20190304155435876</v>
      </c>
      <c r="B3242" t="str">
        <f>"1551686075870877"</f>
        <v>1551686075870877</v>
      </c>
      <c r="C3242" t="s">
        <v>40</v>
      </c>
      <c r="D3242">
        <v>4.7897780000000001</v>
      </c>
      <c r="E3242">
        <v>0.50622259999999997</v>
      </c>
      <c r="F3242" t="s">
        <v>46</v>
      </c>
      <c r="G3242">
        <v>-258.10849999999999</v>
      </c>
      <c r="H3242" s="1">
        <v>-1.283337E-6</v>
      </c>
      <c r="I3242">
        <v>141.4562</v>
      </c>
      <c r="J3242">
        <v>-217.13050000000001</v>
      </c>
      <c r="K3242">
        <v>1.1043940000000001</v>
      </c>
      <c r="L3242">
        <v>142.20849999999999</v>
      </c>
      <c r="M3242">
        <v>-0.99374240000000003</v>
      </c>
      <c r="N3242">
        <v>-9.8333250000000004E-3</v>
      </c>
      <c r="O3242">
        <v>-0.1112636</v>
      </c>
      <c r="P3242">
        <v>-0.98318450000000002</v>
      </c>
      <c r="Q3242">
        <v>0.17793599999999901</v>
      </c>
      <c r="R3242">
        <v>-4.1075210000000001E-2</v>
      </c>
      <c r="S3242">
        <v>-3.0635829999999999</v>
      </c>
      <c r="T3242">
        <v>-8.1935049999999995E-2</v>
      </c>
      <c r="U3242">
        <v>-5.8090210000000003E-2</v>
      </c>
      <c r="V3242">
        <v>7.105997E-2</v>
      </c>
      <c r="W3242">
        <v>0.18665419999999999</v>
      </c>
      <c r="X3242">
        <v>0.97985239999999996</v>
      </c>
      <c r="Y3242">
        <v>9.2347700000000005E-2</v>
      </c>
      <c r="Z3242">
        <v>3.562408E-3</v>
      </c>
      <c r="AA3242">
        <v>0.99572039999999995</v>
      </c>
      <c r="AB3242">
        <v>31</v>
      </c>
      <c r="AC3242">
        <v>-40.977999999999902</v>
      </c>
      <c r="AD3242">
        <v>-1.1043952833370001</v>
      </c>
      <c r="AE3242">
        <v>-0.75229999999999098</v>
      </c>
      <c r="AF3242">
        <v>3.8091853562699098</v>
      </c>
      <c r="AG3242">
        <v>-1.1043952833370001</v>
      </c>
      <c r="AH3242">
        <v>40.777638757481299</v>
      </c>
      <c r="AI3242">
        <v>91.544661202574005</v>
      </c>
      <c r="AJ3242">
        <v>84.663282873476703</v>
      </c>
      <c r="AK3242">
        <v>40.970054975017</v>
      </c>
      <c r="AL3242">
        <v>79.242409030164495</v>
      </c>
      <c r="AM3242">
        <v>85.852108782205903</v>
      </c>
      <c r="AN3242">
        <v>1.0000000177499</v>
      </c>
    </row>
    <row r="3243" spans="1:40" x14ac:dyDescent="0.25">
      <c r="A3243" t="str">
        <f>"20190304155435899"</f>
        <v>20190304155435899</v>
      </c>
      <c r="B3243" t="str">
        <f>"1551686075890397"</f>
        <v>1551686075890397</v>
      </c>
      <c r="C3243" t="s">
        <v>40</v>
      </c>
      <c r="D3243">
        <v>4.8208840000000004</v>
      </c>
      <c r="E3243">
        <v>0.50556780000000001</v>
      </c>
      <c r="F3243" t="s">
        <v>46</v>
      </c>
      <c r="G3243">
        <v>-259.07810000000001</v>
      </c>
      <c r="H3243" s="1">
        <v>-8.712483E-7</v>
      </c>
      <c r="I3243">
        <v>141.47069999999999</v>
      </c>
      <c r="J3243">
        <v>-217.43469999999999</v>
      </c>
      <c r="K3243">
        <v>1.1044529999999999</v>
      </c>
      <c r="L3243">
        <v>142.1806</v>
      </c>
      <c r="M3243">
        <v>-0.99441369999999896</v>
      </c>
      <c r="N3243">
        <v>-9.8160009999999995E-3</v>
      </c>
      <c r="O3243">
        <v>-0.1050968</v>
      </c>
      <c r="P3243">
        <v>-0.98308739999999994</v>
      </c>
      <c r="Q3243">
        <v>0.1790071</v>
      </c>
      <c r="R3243">
        <v>-3.8677919999999998E-2</v>
      </c>
      <c r="S3243">
        <v>-3.06366</v>
      </c>
      <c r="T3243">
        <v>-8.0659990000000001E-2</v>
      </c>
      <c r="U3243">
        <v>-5.3878780000000001E-2</v>
      </c>
      <c r="V3243">
        <v>6.7331929999999998E-2</v>
      </c>
      <c r="W3243">
        <v>0.18776709999999999</v>
      </c>
      <c r="X3243">
        <v>0.97990299999999997</v>
      </c>
      <c r="Y3243">
        <v>8.7543490000000002E-2</v>
      </c>
      <c r="Z3243">
        <v>3.310622E-3</v>
      </c>
      <c r="AA3243">
        <v>0.99615520000000002</v>
      </c>
      <c r="AB3243">
        <v>31</v>
      </c>
      <c r="AC3243">
        <v>-41.6434</v>
      </c>
      <c r="AD3243">
        <v>-1.1044538712483001</v>
      </c>
      <c r="AE3243">
        <v>-0.70990000000000397</v>
      </c>
      <c r="AF3243">
        <v>3.6682506016705898</v>
      </c>
      <c r="AG3243">
        <v>-1.1044538712483001</v>
      </c>
      <c r="AH3243">
        <v>41.458215027793599</v>
      </c>
      <c r="AI3243">
        <v>91.520072547357202</v>
      </c>
      <c r="AJ3243">
        <v>84.943598894880793</v>
      </c>
      <c r="AK3243">
        <v>41.634834863622899</v>
      </c>
      <c r="AL3243">
        <v>79.177496492176999</v>
      </c>
      <c r="AM3243">
        <v>86.069222133107601</v>
      </c>
      <c r="AN3243">
        <v>0.99999998102446697</v>
      </c>
    </row>
    <row r="3244" spans="1:40" x14ac:dyDescent="0.25">
      <c r="A3244" t="str">
        <f>"20190304155435919"</f>
        <v>20190304155435919</v>
      </c>
      <c r="B3244" t="str">
        <f>"1551686075909917"</f>
        <v>1551686075909917</v>
      </c>
      <c r="C3244" t="s">
        <v>40</v>
      </c>
      <c r="D3244">
        <v>4.8058589999999999</v>
      </c>
      <c r="E3244">
        <v>0.50495429999999997</v>
      </c>
      <c r="F3244" t="s">
        <v>46</v>
      </c>
      <c r="G3244">
        <v>-261.06079999999997</v>
      </c>
      <c r="H3244" s="1">
        <v>-4.2423019999999997E-6</v>
      </c>
      <c r="I3244">
        <v>141.46109999999999</v>
      </c>
      <c r="J3244">
        <v>-217.74180000000001</v>
      </c>
      <c r="K3244">
        <v>1.104527</v>
      </c>
      <c r="L3244">
        <v>142.1542</v>
      </c>
      <c r="M3244">
        <v>-0.99504090000000001</v>
      </c>
      <c r="N3244">
        <v>-9.7992830000000006E-3</v>
      </c>
      <c r="O3244">
        <v>-9.8983329999999994E-2</v>
      </c>
      <c r="P3244">
        <v>-0.98305070000000006</v>
      </c>
      <c r="Q3244">
        <v>0.17969499999999999</v>
      </c>
      <c r="R3244">
        <v>-3.6349380000000001E-2</v>
      </c>
      <c r="S3244">
        <v>-3.063736</v>
      </c>
      <c r="T3244">
        <v>-7.7562930000000002E-2</v>
      </c>
      <c r="U3244">
        <v>-5.052185E-2</v>
      </c>
      <c r="V3244">
        <v>6.3586710000000005E-2</v>
      </c>
      <c r="W3244">
        <v>0.18849959999999999</v>
      </c>
      <c r="X3244">
        <v>0.98001249999999995</v>
      </c>
      <c r="Y3244">
        <v>8.2519120000000001E-2</v>
      </c>
      <c r="Z3244">
        <v>2.97927E-3</v>
      </c>
      <c r="AA3244">
        <v>0.99658500000000005</v>
      </c>
      <c r="AB3244">
        <v>31</v>
      </c>
      <c r="AC3244">
        <v>-43.318999999999903</v>
      </c>
      <c r="AD3244">
        <v>-1.1045312423019999</v>
      </c>
      <c r="AE3244">
        <v>-0.69310000000001504</v>
      </c>
      <c r="AF3244">
        <v>3.5960313003830802</v>
      </c>
      <c r="AG3244">
        <v>-1.1045312423019999</v>
      </c>
      <c r="AH3244">
        <v>43.146808755069301</v>
      </c>
      <c r="AI3244">
        <v>91.461351293616701</v>
      </c>
      <c r="AJ3244">
        <v>85.235746527840703</v>
      </c>
      <c r="AK3244">
        <v>43.310489908624703</v>
      </c>
      <c r="AL3244">
        <v>79.134763772439996</v>
      </c>
      <c r="AM3244">
        <v>86.287648937618997</v>
      </c>
      <c r="AN3244">
        <v>0.99999993452251401</v>
      </c>
    </row>
    <row r="3245" spans="1:40" x14ac:dyDescent="0.25">
      <c r="A3245" t="str">
        <f>"20190304155435944"</f>
        <v>20190304155435944</v>
      </c>
      <c r="B3245" t="str">
        <f>"1551686075940173"</f>
        <v>1551686075940173</v>
      </c>
      <c r="C3245" t="s">
        <v>40</v>
      </c>
      <c r="D3245">
        <v>4.7544879999999896</v>
      </c>
      <c r="E3245">
        <v>0.50423720000000005</v>
      </c>
      <c r="F3245" t="s">
        <v>46</v>
      </c>
      <c r="G3245">
        <v>-262.49149999999997</v>
      </c>
      <c r="H3245" s="1">
        <v>-3.6902089999999999E-6</v>
      </c>
      <c r="I3245">
        <v>141.44560000000001</v>
      </c>
      <c r="J3245">
        <v>-218.0677</v>
      </c>
      <c r="K3245">
        <v>1.1046260000000001</v>
      </c>
      <c r="L3245">
        <v>142.12809999999999</v>
      </c>
      <c r="M3245">
        <v>-0.99565090000000001</v>
      </c>
      <c r="N3245">
        <v>-9.7822139999999991E-3</v>
      </c>
      <c r="O3245">
        <v>-9.2649739999999994E-2</v>
      </c>
      <c r="P3245">
        <v>-0.98300290000000001</v>
      </c>
      <c r="Q3245">
        <v>0.18050459999999999</v>
      </c>
      <c r="R3245">
        <v>-3.3521830000000002E-2</v>
      </c>
      <c r="S3245">
        <v>-3.0637509999999999</v>
      </c>
      <c r="T3245">
        <v>-7.5620889999999996E-2</v>
      </c>
      <c r="U3245">
        <v>-4.8507689999999999E-2</v>
      </c>
      <c r="V3245">
        <v>6.0116250000000003E-2</v>
      </c>
      <c r="W3245">
        <v>0.1893514</v>
      </c>
      <c r="X3245">
        <v>0.98006740000000003</v>
      </c>
      <c r="Y3245">
        <v>7.6837000000000003E-2</v>
      </c>
      <c r="Z3245">
        <v>2.7000930000000002E-3</v>
      </c>
      <c r="AA3245">
        <v>0.99704000000000004</v>
      </c>
      <c r="AB3245">
        <v>31</v>
      </c>
      <c r="AC3245">
        <v>-44.4237999999999</v>
      </c>
      <c r="AD3245">
        <v>-1.104629690209</v>
      </c>
      <c r="AE3245">
        <v>-0.68249999999997601</v>
      </c>
      <c r="AF3245">
        <v>3.4343625731</v>
      </c>
      <c r="AG3245">
        <v>-1.104629690209</v>
      </c>
      <c r="AH3245">
        <v>44.2685759188129</v>
      </c>
      <c r="AI3245">
        <v>91.425119217992602</v>
      </c>
      <c r="AJ3245">
        <v>85.563870713137007</v>
      </c>
      <c r="AK3245">
        <v>44.415333691369497</v>
      </c>
      <c r="AL3245">
        <v>79.085065064069795</v>
      </c>
      <c r="AM3245">
        <v>86.4899380226109</v>
      </c>
      <c r="AN3245">
        <v>1.00000001236939</v>
      </c>
    </row>
    <row r="3246" spans="1:40" x14ac:dyDescent="0.25">
      <c r="A3246" t="str">
        <f>"20190304155435965"</f>
        <v>20190304155435965</v>
      </c>
      <c r="B3246" t="str">
        <f>"1551686075960669"</f>
        <v>1551686075960669</v>
      </c>
      <c r="C3246" t="s">
        <v>40</v>
      </c>
      <c r="D3246">
        <v>4.7664920000000004</v>
      </c>
      <c r="E3246">
        <v>0.50403279999999995</v>
      </c>
      <c r="F3246" t="s">
        <v>46</v>
      </c>
      <c r="G3246">
        <v>-264.55810000000002</v>
      </c>
      <c r="H3246" s="1">
        <v>-2.8056089999999999E-6</v>
      </c>
      <c r="I3246">
        <v>141.45310000000001</v>
      </c>
      <c r="J3246">
        <v>-218.3837</v>
      </c>
      <c r="K3246">
        <v>1.1047359999999999</v>
      </c>
      <c r="L3246">
        <v>142.10480000000001</v>
      </c>
      <c r="M3246">
        <v>-0.99618859999999998</v>
      </c>
      <c r="N3246">
        <v>-9.7662600000000006E-3</v>
      </c>
      <c r="O3246">
        <v>-8.6676619999999996E-2</v>
      </c>
      <c r="P3246">
        <v>-0.98291830000000002</v>
      </c>
      <c r="Q3246">
        <v>0.18112</v>
      </c>
      <c r="R3246">
        <v>-3.266703E-2</v>
      </c>
      <c r="S3246">
        <v>-3.0637210000000001</v>
      </c>
      <c r="T3246">
        <v>-7.2795029999999997E-2</v>
      </c>
      <c r="U3246">
        <v>-4.4479369999999997E-2</v>
      </c>
      <c r="V3246">
        <v>5.50304E-2</v>
      </c>
      <c r="W3246">
        <v>0.19003120000000001</v>
      </c>
      <c r="X3246">
        <v>0.98023459999999996</v>
      </c>
      <c r="Y3246">
        <v>7.2172539999999993E-2</v>
      </c>
      <c r="Z3246">
        <v>2.41924E-3</v>
      </c>
      <c r="AA3246">
        <v>0.99738930000000003</v>
      </c>
      <c r="AB3246">
        <v>31</v>
      </c>
      <c r="AC3246">
        <v>-46.174399999999999</v>
      </c>
      <c r="AD3246">
        <v>-1.104738805609</v>
      </c>
      <c r="AE3246">
        <v>-0.65170000000000505</v>
      </c>
      <c r="AF3246">
        <v>3.3512668657966098</v>
      </c>
      <c r="AG3246">
        <v>-1.104738805609</v>
      </c>
      <c r="AH3246">
        <v>46.030752077357299</v>
      </c>
      <c r="AI3246">
        <v>91.371207829036507</v>
      </c>
      <c r="AJ3246">
        <v>85.835930242862105</v>
      </c>
      <c r="AK3246">
        <v>46.1658052484904</v>
      </c>
      <c r="AL3246">
        <v>79.045395404163102</v>
      </c>
      <c r="AM3246">
        <v>86.786786076747802</v>
      </c>
      <c r="AN3246">
        <v>1.00000003646737</v>
      </c>
    </row>
    <row r="3247" spans="1:40" x14ac:dyDescent="0.25">
      <c r="A3247" t="str">
        <f>"20190304155435989"</f>
        <v>20190304155435989</v>
      </c>
      <c r="B3247" t="str">
        <f>"1551686075980190"</f>
        <v>1551686075980190</v>
      </c>
      <c r="C3247" t="s">
        <v>40</v>
      </c>
      <c r="D3247">
        <v>4.765949</v>
      </c>
      <c r="E3247">
        <v>0.50367309999999998</v>
      </c>
      <c r="F3247" t="s">
        <v>46</v>
      </c>
      <c r="G3247">
        <v>-265.65780000000001</v>
      </c>
      <c r="H3247" s="1">
        <v>-2.3357189999999998E-6</v>
      </c>
      <c r="I3247">
        <v>141.46010000000001</v>
      </c>
      <c r="J3247">
        <v>-218.72389999999999</v>
      </c>
      <c r="K3247">
        <v>1.1048480000000001</v>
      </c>
      <c r="L3247">
        <v>142.08150000000001</v>
      </c>
      <c r="M3247">
        <v>-0.99671460000000001</v>
      </c>
      <c r="N3247">
        <v>-9.7506199999999998E-3</v>
      </c>
      <c r="O3247">
        <v>-8.0405509999999999E-2</v>
      </c>
      <c r="P3247">
        <v>-0.98285210000000001</v>
      </c>
      <c r="Q3247">
        <v>0.18177119999999999</v>
      </c>
      <c r="R3247">
        <v>-3.0998830000000002E-2</v>
      </c>
      <c r="S3247">
        <v>-3.0639340000000002</v>
      </c>
      <c r="T3247">
        <v>-7.1600440000000001E-2</v>
      </c>
      <c r="U3247">
        <v>-4.1778559999999999E-2</v>
      </c>
      <c r="V3247">
        <v>5.0463510000000003E-2</v>
      </c>
      <c r="W3247">
        <v>0.1907375</v>
      </c>
      <c r="X3247">
        <v>0.98034310000000002</v>
      </c>
      <c r="Y3247">
        <v>6.6778450000000003E-2</v>
      </c>
      <c r="Z3247">
        <v>2.1979629999999998E-3</v>
      </c>
      <c r="AA3247">
        <v>0.99776540000000002</v>
      </c>
      <c r="AB3247">
        <v>31</v>
      </c>
      <c r="AC3247">
        <v>-46.933900000000001</v>
      </c>
      <c r="AD3247">
        <v>-1.104850335719</v>
      </c>
      <c r="AE3247">
        <v>-0.62139999999999396</v>
      </c>
      <c r="AF3247">
        <v>3.1527886575381201</v>
      </c>
      <c r="AG3247">
        <v>-1.104850335719</v>
      </c>
      <c r="AH3247">
        <v>46.805957631920897</v>
      </c>
      <c r="AI3247">
        <v>91.349154418649405</v>
      </c>
      <c r="AJ3247">
        <v>86.146451598085605</v>
      </c>
      <c r="AK3247">
        <v>46.925029999187103</v>
      </c>
      <c r="AL3247">
        <v>79.004172765520906</v>
      </c>
      <c r="AM3247">
        <v>87.053280173393006</v>
      </c>
      <c r="AN3247">
        <v>0.99999997673268903</v>
      </c>
    </row>
    <row r="3248" spans="1:40" x14ac:dyDescent="0.25">
      <c r="A3248" t="str">
        <f>"20190304155436012"</f>
        <v>20190304155436012</v>
      </c>
      <c r="B3248" t="str">
        <f>"1551686076000707"</f>
        <v>1551686076000707</v>
      </c>
      <c r="C3248" t="s">
        <v>40</v>
      </c>
      <c r="D3248">
        <v>4.7710089999999896</v>
      </c>
      <c r="E3248">
        <v>0.50337619999999905</v>
      </c>
      <c r="F3248" t="s">
        <v>46</v>
      </c>
      <c r="G3248">
        <v>-266.94029999999998</v>
      </c>
      <c r="H3248" s="1">
        <v>-1.7934409999999999E-6</v>
      </c>
      <c r="I3248">
        <v>141.4898</v>
      </c>
      <c r="J3248">
        <v>-219.04040000000001</v>
      </c>
      <c r="K3248">
        <v>1.104948</v>
      </c>
      <c r="L3248">
        <v>142.0616</v>
      </c>
      <c r="M3248">
        <v>-0.99715569999999998</v>
      </c>
      <c r="N3248">
        <v>-9.7374639999999995E-3</v>
      </c>
      <c r="O3248">
        <v>-7.4738760000000001E-2</v>
      </c>
      <c r="P3248">
        <v>-0.98282860000000005</v>
      </c>
      <c r="Q3248">
        <v>0.1821229</v>
      </c>
      <c r="R3248">
        <v>-2.9658110000000001E-2</v>
      </c>
      <c r="S3248">
        <v>-3.064117</v>
      </c>
      <c r="T3248">
        <v>-7.0212360000000001E-2</v>
      </c>
      <c r="U3248">
        <v>-3.7597659999999998E-2</v>
      </c>
      <c r="V3248">
        <v>4.6170389999999999E-2</v>
      </c>
      <c r="W3248">
        <v>0.19114149999999999</v>
      </c>
      <c r="X3248">
        <v>0.98047600000000001</v>
      </c>
      <c r="Y3248">
        <v>6.2471810000000003E-2</v>
      </c>
      <c r="Z3248">
        <v>2.0024790000000002E-3</v>
      </c>
      <c r="AA3248">
        <v>0.99804470000000001</v>
      </c>
      <c r="AB3248">
        <v>31</v>
      </c>
      <c r="AC3248">
        <v>-47.899899999999903</v>
      </c>
      <c r="AD3248">
        <v>-1.104949793441</v>
      </c>
      <c r="AE3248">
        <v>-0.57179999999999598</v>
      </c>
      <c r="AF3248">
        <v>3.0083473195852899</v>
      </c>
      <c r="AG3248">
        <v>-1.104949793441</v>
      </c>
      <c r="AH3248">
        <v>47.783232843226898</v>
      </c>
      <c r="AI3248">
        <v>91.322067253656897</v>
      </c>
      <c r="AJ3248">
        <v>86.397514416150997</v>
      </c>
      <c r="AK3248">
        <v>47.890587891477303</v>
      </c>
      <c r="AL3248">
        <v>78.980591477247998</v>
      </c>
      <c r="AM3248">
        <v>87.303946489440705</v>
      </c>
      <c r="AN3248">
        <v>0.99999998225550002</v>
      </c>
    </row>
    <row r="3249" spans="1:40" x14ac:dyDescent="0.25">
      <c r="A3249" t="str">
        <f>"20190304155436055"</f>
        <v>20190304155436055</v>
      </c>
      <c r="B3249" t="str">
        <f>"1551686076050484"</f>
        <v>1551686076050484</v>
      </c>
      <c r="C3249" t="s">
        <v>40</v>
      </c>
      <c r="D3249">
        <v>4.7573150000000002</v>
      </c>
      <c r="E3249">
        <v>0.50279700000000005</v>
      </c>
      <c r="F3249" t="s">
        <v>46</v>
      </c>
      <c r="G3249">
        <v>-267.72460000000001</v>
      </c>
      <c r="H3249" s="1">
        <v>-1.4581770000000001E-6</v>
      </c>
      <c r="I3249">
        <v>141.49430000000001</v>
      </c>
      <c r="J3249">
        <v>-219.64089999999999</v>
      </c>
      <c r="K3249">
        <v>1.105192</v>
      </c>
      <c r="L3249">
        <v>142.0283</v>
      </c>
      <c r="M3249">
        <v>-0.99786839999999999</v>
      </c>
      <c r="N3249">
        <v>-9.7122709999999998E-3</v>
      </c>
      <c r="O3249">
        <v>-6.4533370000000007E-2</v>
      </c>
      <c r="P3249">
        <v>-0.98309939999999996</v>
      </c>
      <c r="Q3249">
        <v>0.18064230000000001</v>
      </c>
      <c r="R3249">
        <v>-2.9732749999999999E-2</v>
      </c>
      <c r="S3249">
        <v>-3.064209</v>
      </c>
      <c r="T3249">
        <v>-6.9546220000000006E-2</v>
      </c>
      <c r="U3249">
        <v>-3.5705569999999999E-2</v>
      </c>
      <c r="V3249">
        <v>3.5929139999999998E-2</v>
      </c>
      <c r="W3249">
        <v>0.1897858</v>
      </c>
      <c r="X3249">
        <v>0.98116789999999998</v>
      </c>
      <c r="Y3249">
        <v>5.2879799999999998E-2</v>
      </c>
      <c r="Z3249">
        <v>1.693274E-3</v>
      </c>
      <c r="AA3249">
        <v>0.99859949999999997</v>
      </c>
      <c r="AB3249">
        <v>31</v>
      </c>
      <c r="AC3249">
        <v>-48.0837</v>
      </c>
      <c r="AD3249">
        <v>-1.105193458177</v>
      </c>
      <c r="AE3249">
        <v>-0.53399999999999104</v>
      </c>
      <c r="AF3249">
        <v>2.5689054255924</v>
      </c>
      <c r="AG3249">
        <v>-1.105193458177</v>
      </c>
      <c r="AH3249">
        <v>47.992573547628297</v>
      </c>
      <c r="AI3249">
        <v>91.317313355133194</v>
      </c>
      <c r="AJ3249">
        <v>86.936044526726604</v>
      </c>
      <c r="AK3249">
        <v>48.073983019822101</v>
      </c>
      <c r="AL3249">
        <v>79.059716005991405</v>
      </c>
      <c r="AM3249">
        <v>87.902837342677003</v>
      </c>
      <c r="AN3249">
        <v>1.0000000004865901</v>
      </c>
    </row>
    <row r="3250" spans="1:40" x14ac:dyDescent="0.25">
      <c r="A3250" t="str">
        <f>"20190304155436078"</f>
        <v>20190304155436078</v>
      </c>
      <c r="B3250" t="str">
        <f>"1551686076070004"</f>
        <v>1551686076070004</v>
      </c>
      <c r="C3250" t="s">
        <v>40</v>
      </c>
      <c r="D3250">
        <v>4.7798660000000002</v>
      </c>
      <c r="E3250">
        <v>0.50234029999999996</v>
      </c>
      <c r="F3250" t="s">
        <v>46</v>
      </c>
      <c r="G3250">
        <v>-264.04379999999998</v>
      </c>
      <c r="H3250" s="1">
        <v>-3.0272769999999998E-6</v>
      </c>
      <c r="I3250">
        <v>141.45689999999999</v>
      </c>
      <c r="J3250">
        <v>-219.9794</v>
      </c>
      <c r="K3250">
        <v>1.105348</v>
      </c>
      <c r="L3250">
        <v>142.0119</v>
      </c>
      <c r="M3250">
        <v>-0.99820569999999997</v>
      </c>
      <c r="N3250">
        <v>-9.6980179999999992E-3</v>
      </c>
      <c r="O3250">
        <v>-5.908803E-2</v>
      </c>
      <c r="P3250">
        <v>-0.98324080000000003</v>
      </c>
      <c r="Q3250">
        <v>0.17992420000000001</v>
      </c>
      <c r="R3250">
        <v>-2.9410599999999999E-2</v>
      </c>
      <c r="S3250">
        <v>-3.0643919999999998</v>
      </c>
      <c r="T3250">
        <v>-7.6273199999999999E-2</v>
      </c>
      <c r="U3250">
        <v>-3.9428709999999999E-2</v>
      </c>
      <c r="V3250">
        <v>3.0814520000000001E-2</v>
      </c>
      <c r="W3250">
        <v>0.18912519999999999</v>
      </c>
      <c r="X3250">
        <v>0.98146940000000005</v>
      </c>
      <c r="Y3250">
        <v>4.6216050000000002E-2</v>
      </c>
      <c r="Z3250">
        <v>1.6955760000000001E-3</v>
      </c>
      <c r="AA3250">
        <v>0.99892999999999998</v>
      </c>
      <c r="AB3250">
        <v>32</v>
      </c>
      <c r="AC3250">
        <v>-44.0643999999999</v>
      </c>
      <c r="AD3250">
        <v>-1.105351027277</v>
      </c>
      <c r="AE3250">
        <v>-0.55500000000000604</v>
      </c>
      <c r="AF3250">
        <v>2.0484819447129698</v>
      </c>
      <c r="AG3250">
        <v>-1.105351027277</v>
      </c>
      <c r="AH3250">
        <v>43.9925197784681</v>
      </c>
      <c r="AI3250">
        <v>91.437747191531699</v>
      </c>
      <c r="AJ3250">
        <v>87.333986494922001</v>
      </c>
      <c r="AK3250">
        <v>44.054056290314797</v>
      </c>
      <c r="AL3250">
        <v>79.098264045032394</v>
      </c>
      <c r="AM3250">
        <v>88.201714519460893</v>
      </c>
      <c r="AN3250">
        <v>1.0000000295271101</v>
      </c>
    </row>
    <row r="3251" spans="1:40" x14ac:dyDescent="0.25">
      <c r="A3251" t="str">
        <f>"20190304155436099"</f>
        <v>20190304155436099</v>
      </c>
      <c r="B3251" t="str">
        <f>"1551686076090344"</f>
        <v>1551686076090344</v>
      </c>
      <c r="C3251" t="s">
        <v>40</v>
      </c>
      <c r="D3251">
        <v>4.8933470000000003</v>
      </c>
      <c r="E3251">
        <v>0.50205329999999904</v>
      </c>
      <c r="F3251" t="s">
        <v>46</v>
      </c>
      <c r="G3251">
        <v>-262.14370000000002</v>
      </c>
      <c r="H3251" s="1">
        <v>-3.8403649999999998E-6</v>
      </c>
      <c r="I3251">
        <v>141.44919999999999</v>
      </c>
      <c r="J3251">
        <v>-220.274</v>
      </c>
      <c r="K3251">
        <v>1.1054980000000001</v>
      </c>
      <c r="L3251">
        <v>141.99889999999999</v>
      </c>
      <c r="M3251">
        <v>-0.9984634</v>
      </c>
      <c r="N3251">
        <v>-9.6865230000000007E-3</v>
      </c>
      <c r="O3251">
        <v>-5.4560949999999997E-2</v>
      </c>
      <c r="P3251">
        <v>-0.98316559999999997</v>
      </c>
      <c r="Q3251">
        <v>0.18032819999999999</v>
      </c>
      <c r="R3251">
        <v>-2.9449980000000001E-2</v>
      </c>
      <c r="S3251">
        <v>-3.0646059999999999</v>
      </c>
      <c r="T3251">
        <v>-8.0339789999999994E-2</v>
      </c>
      <c r="U3251">
        <v>-4.0893550000000001E-2</v>
      </c>
      <c r="V3251">
        <v>2.6246430000000001E-2</v>
      </c>
      <c r="W3251">
        <v>0.18957750000000001</v>
      </c>
      <c r="X3251">
        <v>0.98151489999999997</v>
      </c>
      <c r="Y3251">
        <v>4.1209089999999997E-2</v>
      </c>
      <c r="Z3251">
        <v>1.640367E-3</v>
      </c>
      <c r="AA3251">
        <v>0.99914919999999996</v>
      </c>
      <c r="AB3251">
        <v>32</v>
      </c>
      <c r="AC3251">
        <v>-41.869700000000002</v>
      </c>
      <c r="AD3251">
        <v>-1.1055018403650001</v>
      </c>
      <c r="AE3251">
        <v>-0.54970000000000097</v>
      </c>
      <c r="AF3251">
        <v>1.7344678488584999</v>
      </c>
      <c r="AG3251">
        <v>-1.1055018403650001</v>
      </c>
      <c r="AH3251">
        <v>41.808179271542201</v>
      </c>
      <c r="AI3251">
        <v>91.513374526452495</v>
      </c>
      <c r="AJ3251">
        <v>87.624370769438102</v>
      </c>
      <c r="AK3251">
        <v>41.858743017907102</v>
      </c>
      <c r="AL3251">
        <v>79.071871398567197</v>
      </c>
      <c r="AM3251">
        <v>88.468233769575093</v>
      </c>
      <c r="AN3251">
        <v>1.0000000012579999</v>
      </c>
    </row>
    <row r="3252" spans="1:40" x14ac:dyDescent="0.25">
      <c r="A3252" t="str">
        <f>"20190304155436122"</f>
        <v>20190304155436122</v>
      </c>
      <c r="B3252" t="str">
        <f>"1551686076110840"</f>
        <v>1551686076110840</v>
      </c>
      <c r="C3252" t="s">
        <v>40</v>
      </c>
      <c r="D3252">
        <v>4.7725289999999996</v>
      </c>
      <c r="E3252">
        <v>0.5017026</v>
      </c>
      <c r="F3252" t="s">
        <v>46</v>
      </c>
      <c r="G3252">
        <v>-262.13339999999999</v>
      </c>
      <c r="H3252" s="1">
        <v>-3.836498E-6</v>
      </c>
      <c r="I3252">
        <v>141.41800000000001</v>
      </c>
      <c r="J3252">
        <v>-220.59729999999999</v>
      </c>
      <c r="K3252">
        <v>1.1056859999999999</v>
      </c>
      <c r="L3252">
        <v>141.98589999999999</v>
      </c>
      <c r="M3252">
        <v>-0.99871010000000005</v>
      </c>
      <c r="N3252">
        <v>-9.6738220000000003E-3</v>
      </c>
      <c r="O3252">
        <v>-4.9843419999999999E-2</v>
      </c>
      <c r="P3252">
        <v>-0.98324259999999997</v>
      </c>
      <c r="Q3252">
        <v>0.180106399999999</v>
      </c>
      <c r="R3252">
        <v>-2.8208380000000002E-2</v>
      </c>
      <c r="S3252">
        <v>-3.0649259999999998</v>
      </c>
      <c r="T3252">
        <v>-8.0944420000000003E-2</v>
      </c>
      <c r="U3252">
        <v>-4.2526250000000002E-2</v>
      </c>
      <c r="V3252">
        <v>2.275597E-2</v>
      </c>
      <c r="W3252">
        <v>0.1893907</v>
      </c>
      <c r="X3252">
        <v>0.98163809999999996</v>
      </c>
      <c r="Y3252">
        <v>3.5960319999999997E-2</v>
      </c>
      <c r="Z3252">
        <v>1.4819810000000001E-3</v>
      </c>
      <c r="AA3252">
        <v>0.99935209999999997</v>
      </c>
      <c r="AB3252">
        <v>32</v>
      </c>
      <c r="AC3252">
        <v>-41.536099999999998</v>
      </c>
      <c r="AD3252">
        <v>-1.1056898364979999</v>
      </c>
      <c r="AE3252">
        <v>-0.56789999999997998</v>
      </c>
      <c r="AF3252">
        <v>1.5021400388558901</v>
      </c>
      <c r="AG3252">
        <v>-1.1056898364979999</v>
      </c>
      <c r="AH3252">
        <v>41.483384444103201</v>
      </c>
      <c r="AI3252">
        <v>91.525789251192293</v>
      </c>
      <c r="AJ3252">
        <v>87.926189047188302</v>
      </c>
      <c r="AK3252">
        <v>41.525295419155398</v>
      </c>
      <c r="AL3252">
        <v>79.082771878978207</v>
      </c>
      <c r="AM3252">
        <v>88.6720283550045</v>
      </c>
      <c r="AN3252">
        <v>1.00000001539437</v>
      </c>
    </row>
    <row r="3253" spans="1:40" x14ac:dyDescent="0.25">
      <c r="A3253" t="str">
        <f>"20190304155436144"</f>
        <v>20190304155436144</v>
      </c>
      <c r="B3253" t="str">
        <f>"1551686076140120"</f>
        <v>1551686076140120</v>
      </c>
      <c r="C3253" t="s">
        <v>40</v>
      </c>
      <c r="D3253">
        <v>4.7905850000000001</v>
      </c>
      <c r="E3253">
        <v>0.50128409999999901</v>
      </c>
      <c r="F3253" t="s">
        <v>46</v>
      </c>
      <c r="G3253">
        <v>-261.24079999999998</v>
      </c>
      <c r="H3253" s="1">
        <v>-4.1756469999999997E-6</v>
      </c>
      <c r="I3253">
        <v>141.4307</v>
      </c>
      <c r="J3253">
        <v>-220.9128</v>
      </c>
      <c r="K3253">
        <v>1.105882</v>
      </c>
      <c r="L3253">
        <v>141.97460000000001</v>
      </c>
      <c r="M3253">
        <v>-0.99891640000000004</v>
      </c>
      <c r="N3253">
        <v>-9.6606580000000008E-3</v>
      </c>
      <c r="O3253">
        <v>-4.5528579999999999E-2</v>
      </c>
      <c r="P3253">
        <v>-0.98346350000000005</v>
      </c>
      <c r="Q3253">
        <v>0.17900650000000001</v>
      </c>
      <c r="R3253">
        <v>-2.7504899999999999E-2</v>
      </c>
      <c r="S3253">
        <v>-3.0652159999999999</v>
      </c>
      <c r="T3253">
        <v>-8.3388089999999998E-2</v>
      </c>
      <c r="U3253">
        <v>-4.1870119999999997E-2</v>
      </c>
      <c r="V3253">
        <v>1.9117229999999999E-2</v>
      </c>
      <c r="W3253">
        <v>0.18832589999999999</v>
      </c>
      <c r="X3253">
        <v>0.98192049999999997</v>
      </c>
      <c r="Y3253">
        <v>3.1859169999999999E-2</v>
      </c>
      <c r="Z3253">
        <v>1.3851600000000001E-3</v>
      </c>
      <c r="AA3253">
        <v>0.99949140000000003</v>
      </c>
      <c r="AB3253">
        <v>32</v>
      </c>
      <c r="AC3253">
        <v>-40.327999999999903</v>
      </c>
      <c r="AD3253">
        <v>-1.105886175647</v>
      </c>
      <c r="AE3253">
        <v>-0.54390000000000704</v>
      </c>
      <c r="AF3253">
        <v>1.2918548996560699</v>
      </c>
      <c r="AG3253">
        <v>-1.105886175647</v>
      </c>
      <c r="AH3253">
        <v>40.280656764550002</v>
      </c>
      <c r="AI3253">
        <v>91.571825437916999</v>
      </c>
      <c r="AJ3253">
        <v>88.163076832702103</v>
      </c>
      <c r="AK3253">
        <v>40.316537335177301</v>
      </c>
      <c r="AL3253">
        <v>79.144898163901601</v>
      </c>
      <c r="AM3253">
        <v>88.884636556195701</v>
      </c>
      <c r="AN3253">
        <v>0.99999999070696599</v>
      </c>
    </row>
    <row r="3254" spans="1:40" x14ac:dyDescent="0.25">
      <c r="A3254" t="str">
        <f>"20190304155436166"</f>
        <v>20190304155436166</v>
      </c>
      <c r="B3254" t="str">
        <f>"1551686076160616"</f>
        <v>1551686076160616</v>
      </c>
      <c r="C3254" t="s">
        <v>40</v>
      </c>
      <c r="D3254">
        <v>4.8092459999999999</v>
      </c>
      <c r="E3254">
        <v>0.50103319999999996</v>
      </c>
      <c r="F3254" t="s">
        <v>46</v>
      </c>
      <c r="G3254">
        <v>-259.03750000000002</v>
      </c>
      <c r="H3254" s="1">
        <v>-8.7866080000000005E-7</v>
      </c>
      <c r="I3254">
        <v>141.4331</v>
      </c>
      <c r="J3254">
        <v>-221.23089999999999</v>
      </c>
      <c r="K3254">
        <v>1.106069</v>
      </c>
      <c r="L3254">
        <v>141.96420000000001</v>
      </c>
      <c r="M3254">
        <v>-0.99909630000000005</v>
      </c>
      <c r="N3254">
        <v>-9.6487129999999997E-3</v>
      </c>
      <c r="O3254">
        <v>-4.1394229999999997E-2</v>
      </c>
      <c r="P3254">
        <v>-0.98361080000000001</v>
      </c>
      <c r="Q3254">
        <v>0.1782137</v>
      </c>
      <c r="R3254">
        <v>-2.7381429999999998E-2</v>
      </c>
      <c r="S3254">
        <v>-3.0654140000000001</v>
      </c>
      <c r="T3254">
        <v>-8.8918570000000002E-2</v>
      </c>
      <c r="U3254">
        <v>-4.3533330000000002E-2</v>
      </c>
      <c r="V3254">
        <v>1.5082099999999999E-2</v>
      </c>
      <c r="W3254">
        <v>0.1875686</v>
      </c>
      <c r="X3254">
        <v>0.98213569999999994</v>
      </c>
      <c r="Y3254">
        <v>2.7181170000000001E-2</v>
      </c>
      <c r="Z3254">
        <v>1.3259140000000001E-3</v>
      </c>
      <c r="AA3254">
        <v>0.99962960000000001</v>
      </c>
      <c r="AB3254">
        <v>32</v>
      </c>
      <c r="AC3254">
        <v>-37.806600000000003</v>
      </c>
      <c r="AD3254">
        <v>-1.1060698786608001</v>
      </c>
      <c r="AE3254">
        <v>-0.53110000000000901</v>
      </c>
      <c r="AF3254">
        <v>1.03351877596189</v>
      </c>
      <c r="AG3254">
        <v>-1.1060698786608001</v>
      </c>
      <c r="AH3254">
        <v>37.763861901384701</v>
      </c>
      <c r="AI3254">
        <v>91.677035152915195</v>
      </c>
      <c r="AJ3254">
        <v>88.432324365928096</v>
      </c>
      <c r="AK3254">
        <v>37.794190259133799</v>
      </c>
      <c r="AL3254">
        <v>79.189075545689505</v>
      </c>
      <c r="AM3254">
        <v>89.120210416355405</v>
      </c>
      <c r="AN3254">
        <v>0.99999999133042905</v>
      </c>
    </row>
    <row r="3255" spans="1:40" x14ac:dyDescent="0.25">
      <c r="A3255" t="str">
        <f>"20190304155436189"</f>
        <v>20190304155436189</v>
      </c>
      <c r="B3255" t="str">
        <f>"1551686076180135"</f>
        <v>1551686076180135</v>
      </c>
      <c r="C3255" t="s">
        <v>40</v>
      </c>
      <c r="D3255">
        <v>4.7998120000000002</v>
      </c>
      <c r="E3255">
        <v>0.50077850000000002</v>
      </c>
      <c r="F3255" t="s">
        <v>46</v>
      </c>
      <c r="G3255">
        <v>-257.89920000000001</v>
      </c>
      <c r="H3255" s="1">
        <v>-1.366909E-6</v>
      </c>
      <c r="I3255">
        <v>141.43289999999999</v>
      </c>
      <c r="J3255">
        <v>-221.5643</v>
      </c>
      <c r="K3255">
        <v>1.1062559999999999</v>
      </c>
      <c r="L3255">
        <v>141.9546</v>
      </c>
      <c r="M3255">
        <v>-0.99925759999999997</v>
      </c>
      <c r="N3255">
        <v>-9.6379269999999993E-3</v>
      </c>
      <c r="O3255">
        <v>-3.7302700000000001E-2</v>
      </c>
      <c r="P3255">
        <v>-0.98365780000000003</v>
      </c>
      <c r="Q3255">
        <v>0.1779723</v>
      </c>
      <c r="R3255">
        <v>-2.7263849999999999E-2</v>
      </c>
      <c r="S3255">
        <v>-3.0655060000000001</v>
      </c>
      <c r="T3255">
        <v>-9.2468499999999995E-2</v>
      </c>
      <c r="U3255">
        <v>-4.4418329999999999E-2</v>
      </c>
      <c r="V3255">
        <v>1.1085579999999999E-2</v>
      </c>
      <c r="W3255">
        <v>0.18735830000000001</v>
      </c>
      <c r="X3255">
        <v>0.98222909999999997</v>
      </c>
      <c r="Y3255">
        <v>2.2800859999999999E-2</v>
      </c>
      <c r="Z3255">
        <v>1.2187840000000001E-3</v>
      </c>
      <c r="AA3255">
        <v>0.9997393</v>
      </c>
      <c r="AB3255">
        <v>32</v>
      </c>
      <c r="AC3255">
        <v>-36.334899999999998</v>
      </c>
      <c r="AD3255">
        <v>-1.1062573669089999</v>
      </c>
      <c r="AE3255">
        <v>-0.52170000000000905</v>
      </c>
      <c r="AF3255">
        <v>0.83334354742495698</v>
      </c>
      <c r="AG3255">
        <v>-1.1062573669089999</v>
      </c>
      <c r="AH3255">
        <v>36.295432978403198</v>
      </c>
      <c r="AI3255">
        <v>91.745331896583295</v>
      </c>
      <c r="AJ3255">
        <v>88.684719350651093</v>
      </c>
      <c r="AK3255">
        <v>36.321849098299403</v>
      </c>
      <c r="AL3255">
        <v>79.201342564052794</v>
      </c>
      <c r="AM3255">
        <v>89.353378981163999</v>
      </c>
      <c r="AN3255">
        <v>1.00000001377481</v>
      </c>
    </row>
    <row r="3256" spans="1:40" x14ac:dyDescent="0.25">
      <c r="A3256" t="str">
        <f>"20190304155436212"</f>
        <v>20190304155436212</v>
      </c>
      <c r="B3256" t="str">
        <f>"1551686076210900"</f>
        <v>1551686076210900</v>
      </c>
      <c r="C3256" t="s">
        <v>40</v>
      </c>
      <c r="D3256">
        <v>4.7673199999999998</v>
      </c>
      <c r="E3256">
        <v>0.50045890000000004</v>
      </c>
      <c r="F3256" t="s">
        <v>46</v>
      </c>
      <c r="G3256">
        <v>-257.46280000000002</v>
      </c>
      <c r="H3256" s="1">
        <v>-1.5526819999999999E-6</v>
      </c>
      <c r="I3256">
        <v>141.42740000000001</v>
      </c>
      <c r="J3256">
        <v>-221.8999</v>
      </c>
      <c r="K3256">
        <v>1.106436</v>
      </c>
      <c r="L3256">
        <v>141.946</v>
      </c>
      <c r="M3256">
        <v>-0.99939409999999895</v>
      </c>
      <c r="N3256">
        <v>-9.6277240000000007E-3</v>
      </c>
      <c r="O3256">
        <v>-3.3449449999999999E-2</v>
      </c>
      <c r="P3256">
        <v>-0.98359920000000001</v>
      </c>
      <c r="Q3256">
        <v>0.17839940000000001</v>
      </c>
      <c r="R3256">
        <v>-2.65817E-2</v>
      </c>
      <c r="S3256">
        <v>-3.0656889999999999</v>
      </c>
      <c r="T3256">
        <v>-9.447324E-2</v>
      </c>
      <c r="U3256">
        <v>-4.501343E-2</v>
      </c>
      <c r="V3256">
        <v>7.8900169999999992E-3</v>
      </c>
      <c r="W3256">
        <v>0.18780559999999999</v>
      </c>
      <c r="X3256">
        <v>0.98217449999999995</v>
      </c>
      <c r="Y3256">
        <v>1.8755040000000001E-2</v>
      </c>
      <c r="Z3256">
        <v>1.087452E-3</v>
      </c>
      <c r="AA3256">
        <v>0.99982349999999998</v>
      </c>
      <c r="AB3256">
        <v>32</v>
      </c>
      <c r="AC3256">
        <v>-35.562899999999999</v>
      </c>
      <c r="AD3256">
        <v>-1.1064375526820001</v>
      </c>
      <c r="AE3256">
        <v>-0.51859999999999196</v>
      </c>
      <c r="AF3256">
        <v>0.67065570329190005</v>
      </c>
      <c r="AG3256">
        <v>-1.1064375526820001</v>
      </c>
      <c r="AH3256">
        <v>35.525964656907597</v>
      </c>
      <c r="AI3256">
        <v>91.783552832216898</v>
      </c>
      <c r="AJ3256">
        <v>88.918504311105593</v>
      </c>
      <c r="AK3256">
        <v>35.549516845298903</v>
      </c>
      <c r="AL3256">
        <v>79.175250553162797</v>
      </c>
      <c r="AM3256">
        <v>89.539740697326806</v>
      </c>
      <c r="AN3256">
        <v>0.99999997210493397</v>
      </c>
    </row>
    <row r="3257" spans="1:40" x14ac:dyDescent="0.25">
      <c r="A3257" t="str">
        <f>"20190304155436234"</f>
        <v>20190304155436234</v>
      </c>
      <c r="B3257" t="str">
        <f>"1551686076230420"</f>
        <v>1551686076230420</v>
      </c>
      <c r="C3257" t="s">
        <v>40</v>
      </c>
      <c r="D3257">
        <v>4.7916359999999996</v>
      </c>
      <c r="E3257">
        <v>0.50025620000000004</v>
      </c>
      <c r="F3257" t="s">
        <v>46</v>
      </c>
      <c r="G3257">
        <v>-257.83069999999998</v>
      </c>
      <c r="H3257" s="1">
        <v>-1.39259899999999E-6</v>
      </c>
      <c r="I3257">
        <v>141.41890000000001</v>
      </c>
      <c r="J3257">
        <v>-222.21019999999999</v>
      </c>
      <c r="K3257">
        <v>1.1066149999999999</v>
      </c>
      <c r="L3257">
        <v>141.93899999999999</v>
      </c>
      <c r="M3257">
        <v>-0.99949969999999999</v>
      </c>
      <c r="N3257">
        <v>-9.6181600000000006E-3</v>
      </c>
      <c r="O3257">
        <v>-3.0131680000000001E-2</v>
      </c>
      <c r="P3257">
        <v>-0.98355820000000005</v>
      </c>
      <c r="Q3257">
        <v>0.17875139999999901</v>
      </c>
      <c r="R3257">
        <v>-2.571683E-2</v>
      </c>
      <c r="S3257">
        <v>-3.0659329999999998</v>
      </c>
      <c r="T3257">
        <v>-9.4410900000000006E-2</v>
      </c>
      <c r="U3257">
        <v>-4.4967649999999998E-2</v>
      </c>
      <c r="V3257">
        <v>5.405885E-3</v>
      </c>
      <c r="W3257">
        <v>0.1881699</v>
      </c>
      <c r="X3257">
        <v>0.98212160000000004</v>
      </c>
      <c r="Y3257">
        <v>1.5454839999999999E-2</v>
      </c>
      <c r="Z3257">
        <v>9.4986820000000005E-4</v>
      </c>
      <c r="AA3257">
        <v>0.99988010000000005</v>
      </c>
      <c r="AB3257">
        <v>32</v>
      </c>
      <c r="AC3257">
        <v>-35.6204999999999</v>
      </c>
      <c r="AD3257">
        <v>-1.10661639259899</v>
      </c>
      <c r="AE3257">
        <v>-0.52009999999998502</v>
      </c>
      <c r="AF3257">
        <v>0.55295772148774303</v>
      </c>
      <c r="AG3257">
        <v>-1.10661639259899</v>
      </c>
      <c r="AH3257">
        <v>35.585658667342997</v>
      </c>
      <c r="AI3257">
        <v>91.780952749483404</v>
      </c>
      <c r="AJ3257">
        <v>89.1097651322834</v>
      </c>
      <c r="AK3257">
        <v>35.607154686534102</v>
      </c>
      <c r="AL3257">
        <v>79.153998963337102</v>
      </c>
      <c r="AM3257">
        <v>89.684630429615396</v>
      </c>
      <c r="AN3257">
        <v>0.99999998602260098</v>
      </c>
    </row>
    <row r="3258" spans="1:40" x14ac:dyDescent="0.25">
      <c r="A3258" t="str">
        <f>"20190304155436254"</f>
        <v>20190304155436254</v>
      </c>
      <c r="B3258" t="str">
        <f>"1551686076249939"</f>
        <v>1551686076249939</v>
      </c>
      <c r="C3258" t="s">
        <v>40</v>
      </c>
      <c r="D3258">
        <v>4.8117919999999996</v>
      </c>
      <c r="E3258">
        <v>0.5001466</v>
      </c>
      <c r="F3258" t="s">
        <v>46</v>
      </c>
      <c r="G3258">
        <v>-258.20639999999997</v>
      </c>
      <c r="H3258" s="1">
        <v>-1.228562E-6</v>
      </c>
      <c r="I3258">
        <v>141.40809999999999</v>
      </c>
      <c r="J3258">
        <v>-222.49700000000001</v>
      </c>
      <c r="K3258">
        <v>1.10680499999999</v>
      </c>
      <c r="L3258">
        <v>141.9332</v>
      </c>
      <c r="M3258">
        <v>-0.99958150000000001</v>
      </c>
      <c r="N3258">
        <v>-9.6093340000000006E-3</v>
      </c>
      <c r="O3258">
        <v>-2.7285980000000001E-2</v>
      </c>
      <c r="P3258">
        <v>-0.98353539999999995</v>
      </c>
      <c r="Q3258">
        <v>0.179007</v>
      </c>
      <c r="R3258">
        <v>-2.479578E-2</v>
      </c>
      <c r="S3258">
        <v>-3.0661010000000002</v>
      </c>
      <c r="T3258">
        <v>-9.4259979999999993E-2</v>
      </c>
      <c r="U3258">
        <v>-4.5211790000000002E-2</v>
      </c>
      <c r="V3258">
        <v>3.4424210000000002E-3</v>
      </c>
      <c r="W3258">
        <v>0.18843260000000001</v>
      </c>
      <c r="X3258">
        <v>0.98208010000000001</v>
      </c>
      <c r="Y3258">
        <v>1.2531810000000001E-2</v>
      </c>
      <c r="Z3258">
        <v>8.2910060000000003E-4</v>
      </c>
      <c r="AA3258">
        <v>0.99992110000000001</v>
      </c>
      <c r="AB3258">
        <v>32</v>
      </c>
      <c r="AC3258">
        <v>-35.709399999999903</v>
      </c>
      <c r="AD3258">
        <v>-1.10680622856199</v>
      </c>
      <c r="AE3258">
        <v>-0.525100000000008</v>
      </c>
      <c r="AF3258">
        <v>0.44907515021158301</v>
      </c>
      <c r="AG3258">
        <v>-1.10680622856199</v>
      </c>
      <c r="AH3258">
        <v>35.676165644550601</v>
      </c>
      <c r="AI3258">
        <v>91.776815770445097</v>
      </c>
      <c r="AJ3258">
        <v>89.278825190152403</v>
      </c>
      <c r="AK3258">
        <v>35.6961550256542</v>
      </c>
      <c r="AL3258">
        <v>79.138673455759999</v>
      </c>
      <c r="AM3258">
        <v>89.799165682288802</v>
      </c>
      <c r="AN3258">
        <v>1.0000000089105501</v>
      </c>
    </row>
    <row r="3259" spans="1:40" x14ac:dyDescent="0.25">
      <c r="A3259" t="str">
        <f>"20190304155436278"</f>
        <v>20190304155436278</v>
      </c>
      <c r="B3259" t="str">
        <f>"1551686076270436"</f>
        <v>1551686076270436</v>
      </c>
      <c r="C3259" t="s">
        <v>40</v>
      </c>
      <c r="D3259">
        <v>4.7875430000000003</v>
      </c>
      <c r="E3259">
        <v>0.4999768</v>
      </c>
      <c r="F3259" t="s">
        <v>46</v>
      </c>
      <c r="G3259">
        <v>-258.43110000000001</v>
      </c>
      <c r="H3259" s="1">
        <v>-1.1358730000000001E-6</v>
      </c>
      <c r="I3259">
        <v>141.4221</v>
      </c>
      <c r="J3259">
        <v>-222.8398</v>
      </c>
      <c r="K3259">
        <v>1.107048</v>
      </c>
      <c r="L3259">
        <v>141.9271</v>
      </c>
      <c r="M3259">
        <v>-0.99966219999999995</v>
      </c>
      <c r="N3259">
        <v>-9.5992930000000001E-3</v>
      </c>
      <c r="O3259">
        <v>-2.4155869999999999E-2</v>
      </c>
      <c r="P3259">
        <v>-0.98355879999999996</v>
      </c>
      <c r="Q3259">
        <v>0.17900450000000001</v>
      </c>
      <c r="R3259">
        <v>-2.3872259999999999E-2</v>
      </c>
      <c r="S3259">
        <v>-3.0663299999999998</v>
      </c>
      <c r="T3259">
        <v>-9.4446059999999998E-2</v>
      </c>
      <c r="U3259">
        <v>-4.3609620000000002E-2</v>
      </c>
      <c r="V3259">
        <v>1.1770019999999999E-3</v>
      </c>
      <c r="W3259">
        <v>0.18843689999999999</v>
      </c>
      <c r="X3259">
        <v>0.98208459999999997</v>
      </c>
      <c r="Y3259">
        <v>9.9264399999999999E-3</v>
      </c>
      <c r="Z3259">
        <v>7.1235319999999995E-4</v>
      </c>
      <c r="AA3259">
        <v>0.99995049999999996</v>
      </c>
      <c r="AB3259">
        <v>32</v>
      </c>
      <c r="AC3259">
        <v>-35.591299999999997</v>
      </c>
      <c r="AD3259">
        <v>-1.1070491358729999</v>
      </c>
      <c r="AE3259">
        <v>-0.50499999999999501</v>
      </c>
      <c r="AF3259">
        <v>0.354582742415468</v>
      </c>
      <c r="AG3259">
        <v>-1.1070491358729999</v>
      </c>
      <c r="AH3259">
        <v>35.558717187695898</v>
      </c>
      <c r="AI3259">
        <v>91.783124269820306</v>
      </c>
      <c r="AJ3259">
        <v>89.428679578659597</v>
      </c>
      <c r="AK3259">
        <v>35.577712893678203</v>
      </c>
      <c r="AL3259">
        <v>79.138422558776298</v>
      </c>
      <c r="AM3259">
        <v>89.931332580929407</v>
      </c>
      <c r="AN3259">
        <v>1.00000000608623</v>
      </c>
    </row>
    <row r="3260" spans="1:40" x14ac:dyDescent="0.25">
      <c r="A3260" t="str">
        <f>"20190304155436300"</f>
        <v>20190304155436300</v>
      </c>
      <c r="B3260" t="str">
        <f>"1551686076289956"</f>
        <v>1551686076289956</v>
      </c>
      <c r="C3260" t="s">
        <v>40</v>
      </c>
      <c r="D3260">
        <v>4.7921230000000001</v>
      </c>
      <c r="E3260">
        <v>0.49976199999999998</v>
      </c>
      <c r="F3260" t="s">
        <v>46</v>
      </c>
      <c r="G3260">
        <v>-258.46800000000002</v>
      </c>
      <c r="H3260" s="1">
        <v>-1.1247870000000001E-6</v>
      </c>
      <c r="I3260">
        <v>141.44</v>
      </c>
      <c r="J3260">
        <v>-223.1653</v>
      </c>
      <c r="K3260">
        <v>1.107283</v>
      </c>
      <c r="L3260">
        <v>141.922</v>
      </c>
      <c r="M3260">
        <v>-0.99972349999999999</v>
      </c>
      <c r="N3260">
        <v>-9.5906050000000003E-3</v>
      </c>
      <c r="O3260">
        <v>-2.1466880000000001E-2</v>
      </c>
      <c r="P3260">
        <v>-0.98354330000000001</v>
      </c>
      <c r="Q3260">
        <v>0.1792183</v>
      </c>
      <c r="R3260">
        <v>-2.2883850000000001E-2</v>
      </c>
      <c r="S3260">
        <v>-3.066452</v>
      </c>
      <c r="T3260">
        <v>-9.5281599999999994E-2</v>
      </c>
      <c r="U3260">
        <v>-4.1915889999999997E-2</v>
      </c>
      <c r="V3260">
        <v>-5.8704500000000001E-4</v>
      </c>
      <c r="W3260">
        <v>0.18865280000000001</v>
      </c>
      <c r="X3260">
        <v>0.98204369999999996</v>
      </c>
      <c r="Y3260">
        <v>7.7912349999999997E-3</v>
      </c>
      <c r="Z3260">
        <v>6.1929559999999995E-4</v>
      </c>
      <c r="AA3260">
        <v>0.99996949999999996</v>
      </c>
      <c r="AB3260">
        <v>32</v>
      </c>
      <c r="AC3260">
        <v>-35.302700000000002</v>
      </c>
      <c r="AD3260">
        <v>-1.107284124787</v>
      </c>
      <c r="AE3260">
        <v>-0.48199999999999898</v>
      </c>
      <c r="AF3260">
        <v>0.27571361282350199</v>
      </c>
      <c r="AG3260">
        <v>-1.107284124787</v>
      </c>
      <c r="AH3260">
        <v>35.270219594207703</v>
      </c>
      <c r="AI3260">
        <v>91.798115820676998</v>
      </c>
      <c r="AJ3260">
        <v>89.552117770113995</v>
      </c>
      <c r="AK3260">
        <v>35.288673627000101</v>
      </c>
      <c r="AL3260">
        <v>79.125826704863599</v>
      </c>
      <c r="AM3260">
        <v>90.034250203812505</v>
      </c>
      <c r="AN3260">
        <v>1.00000002613968</v>
      </c>
    </row>
    <row r="3261" spans="1:40" x14ac:dyDescent="0.25">
      <c r="A3261" t="str">
        <f>"20190304155436323"</f>
        <v>20190304155436323</v>
      </c>
      <c r="B3261" t="str">
        <f>"1551686076320212"</f>
        <v>1551686076320212</v>
      </c>
      <c r="C3261" t="s">
        <v>40</v>
      </c>
      <c r="D3261">
        <v>4.7985579999999999</v>
      </c>
      <c r="E3261">
        <v>0.4994053</v>
      </c>
      <c r="F3261" t="s">
        <v>46</v>
      </c>
      <c r="G3261">
        <v>-258.71980000000002</v>
      </c>
      <c r="H3261" s="1">
        <v>-1.0204439999999999E-6</v>
      </c>
      <c r="I3261">
        <v>141.4538</v>
      </c>
      <c r="J3261">
        <v>-223.48320000000001</v>
      </c>
      <c r="K3261">
        <v>1.1075109999999999</v>
      </c>
      <c r="L3261">
        <v>141.91759999999999</v>
      </c>
      <c r="M3261">
        <v>-0.99977139999999998</v>
      </c>
      <c r="N3261">
        <v>-9.5830240000000007E-3</v>
      </c>
      <c r="O3261">
        <v>-1.9124800000000001E-2</v>
      </c>
      <c r="P3261">
        <v>-0.98338709999999996</v>
      </c>
      <c r="Q3261">
        <v>0.18015909999999999</v>
      </c>
      <c r="R3261">
        <v>-2.2210629999999999E-2</v>
      </c>
      <c r="S3261">
        <v>-3.0666660000000001</v>
      </c>
      <c r="T3261">
        <v>-9.5505950000000006E-2</v>
      </c>
      <c r="U3261">
        <v>-4.0374760000000003E-2</v>
      </c>
      <c r="V3261">
        <v>-2.320169E-3</v>
      </c>
      <c r="W3261">
        <v>0.1895935</v>
      </c>
      <c r="X3261">
        <v>0.98185990000000001</v>
      </c>
      <c r="Y3261">
        <v>5.9536669999999898E-3</v>
      </c>
      <c r="Z3261">
        <v>5.3335920000000003E-4</v>
      </c>
      <c r="AA3261">
        <v>0.99998209999999998</v>
      </c>
      <c r="AB3261">
        <v>32</v>
      </c>
      <c r="AC3261">
        <v>-35.236600000000003</v>
      </c>
      <c r="AD3261">
        <v>-1.1075120204440001</v>
      </c>
      <c r="AE3261">
        <v>-0.463799999999992</v>
      </c>
      <c r="AF3261">
        <v>0.21000113579846499</v>
      </c>
      <c r="AG3261">
        <v>-1.1075120204440001</v>
      </c>
      <c r="AH3261">
        <v>35.204253344606798</v>
      </c>
      <c r="AI3261">
        <v>91.8018764458688</v>
      </c>
      <c r="AJ3261">
        <v>89.658222092019201</v>
      </c>
      <c r="AK3261">
        <v>35.2222960197617</v>
      </c>
      <c r="AL3261">
        <v>79.070937396672093</v>
      </c>
      <c r="AM3261">
        <v>90.135391662316394</v>
      </c>
      <c r="AN3261">
        <v>0.99999997082722303</v>
      </c>
    </row>
    <row r="3262" spans="1:40" x14ac:dyDescent="0.25">
      <c r="A3262" t="str">
        <f>"20190304155436344"</f>
        <v>20190304155436344</v>
      </c>
      <c r="B3262" t="str">
        <f>"1551686076340708"</f>
        <v>1551686076340708</v>
      </c>
      <c r="C3262" t="s">
        <v>40</v>
      </c>
      <c r="D3262">
        <v>4.8259150000000002</v>
      </c>
      <c r="E3262">
        <v>0.49907839999999998</v>
      </c>
      <c r="F3262" t="s">
        <v>46</v>
      </c>
      <c r="G3262">
        <v>-259.62079999999997</v>
      </c>
      <c r="H3262" s="1">
        <v>-6.2744060000000002E-7</v>
      </c>
      <c r="I3262">
        <v>141.42939999999999</v>
      </c>
      <c r="J3262">
        <v>-223.79750000000001</v>
      </c>
      <c r="K3262">
        <v>1.1077360000000001</v>
      </c>
      <c r="L3262">
        <v>141.91380000000001</v>
      </c>
      <c r="M3262">
        <v>-0.99980849999999999</v>
      </c>
      <c r="N3262">
        <v>-9.5762950000000003E-3</v>
      </c>
      <c r="O3262">
        <v>-1.707908E-2</v>
      </c>
      <c r="P3262">
        <v>-0.9832419</v>
      </c>
      <c r="Q3262">
        <v>0.1809704</v>
      </c>
      <c r="R3262">
        <v>-2.2039469999999999E-2</v>
      </c>
      <c r="S3262">
        <v>-3.066986</v>
      </c>
      <c r="T3262">
        <v>-9.3994259999999996E-2</v>
      </c>
      <c r="U3262">
        <v>-4.1427609999999997E-2</v>
      </c>
      <c r="V3262">
        <v>-4.2610549999999997E-3</v>
      </c>
      <c r="W3262">
        <v>0.19040470000000001</v>
      </c>
      <c r="X3262">
        <v>0.98169640000000002</v>
      </c>
      <c r="Y3262">
        <v>3.5679219999999998E-3</v>
      </c>
      <c r="Z3262">
        <v>4.3145679999999999E-4</v>
      </c>
      <c r="AA3262">
        <v>0.99999360000000004</v>
      </c>
      <c r="AB3262">
        <v>32</v>
      </c>
      <c r="AC3262">
        <v>-35.823299999999897</v>
      </c>
      <c r="AD3262">
        <v>-1.1077366274406</v>
      </c>
      <c r="AE3262">
        <v>-0.48440000000002198</v>
      </c>
      <c r="AF3262">
        <v>0.12740578770161401</v>
      </c>
      <c r="AG3262">
        <v>-1.1077366274406</v>
      </c>
      <c r="AH3262">
        <v>35.7921302518684</v>
      </c>
      <c r="AI3262">
        <v>91.772679596023394</v>
      </c>
      <c r="AJ3262">
        <v>89.796050611174195</v>
      </c>
      <c r="AK3262">
        <v>35.809494559923998</v>
      </c>
      <c r="AL3262">
        <v>79.023596636999599</v>
      </c>
      <c r="AM3262">
        <v>90.248690872852194</v>
      </c>
      <c r="AN3262">
        <v>0.99999996407238001</v>
      </c>
    </row>
    <row r="3263" spans="1:40" x14ac:dyDescent="0.25">
      <c r="A3263" t="str">
        <f>"20190304155436367"</f>
        <v>20190304155436367</v>
      </c>
      <c r="B3263" t="str">
        <f>"1551686076360228"</f>
        <v>1551686076360228</v>
      </c>
      <c r="C3263" t="s">
        <v>40</v>
      </c>
      <c r="D3263">
        <v>4.8234180000000002</v>
      </c>
      <c r="E3263">
        <v>0.48460730000000002</v>
      </c>
      <c r="F3263" t="s">
        <v>46</v>
      </c>
      <c r="G3263">
        <v>-260.51330000000002</v>
      </c>
      <c r="H3263" s="1">
        <v>-4.4147159999999999E-6</v>
      </c>
      <c r="I3263">
        <v>141.38290000000001</v>
      </c>
      <c r="J3263">
        <v>-224.12180000000001</v>
      </c>
      <c r="K3263">
        <v>1.107942</v>
      </c>
      <c r="L3263">
        <v>141.9102</v>
      </c>
      <c r="M3263">
        <v>-0.99983880000000003</v>
      </c>
      <c r="N3263">
        <v>-9.5704480000000005E-3</v>
      </c>
      <c r="O3263">
        <v>-1.518944E-2</v>
      </c>
      <c r="P3263">
        <v>-0.98310819999999999</v>
      </c>
      <c r="Q3263">
        <v>0.18165600000000001</v>
      </c>
      <c r="R3263">
        <v>-2.23468E-2</v>
      </c>
      <c r="S3263">
        <v>-3.0671539999999999</v>
      </c>
      <c r="T3263">
        <v>-9.2537999999999995E-2</v>
      </c>
      <c r="U3263">
        <v>-4.4342039999999999E-2</v>
      </c>
      <c r="V3263">
        <v>-6.5197190000000002E-3</v>
      </c>
      <c r="W3263">
        <v>0.19109139999999999</v>
      </c>
      <c r="X3263">
        <v>0.98155060000000005</v>
      </c>
      <c r="Y3263">
        <v>7.3100649999999895E-4</v>
      </c>
      <c r="Z3263">
        <v>3.2729379999999999E-4</v>
      </c>
      <c r="AA3263">
        <v>0.99999970000000005</v>
      </c>
      <c r="AB3263">
        <v>32</v>
      </c>
      <c r="AC3263">
        <v>-36.391500000000001</v>
      </c>
      <c r="AD3263">
        <v>-1.1079464147159901</v>
      </c>
      <c r="AE3263">
        <v>-0.52729999999999599</v>
      </c>
      <c r="AF3263">
        <v>2.5529019423145501E-2</v>
      </c>
      <c r="AG3263">
        <v>-1.1079464147159901</v>
      </c>
      <c r="AH3263">
        <v>36.361614153349599</v>
      </c>
      <c r="AI3263">
        <v>91.745274636447704</v>
      </c>
      <c r="AJ3263">
        <v>89.959773380203899</v>
      </c>
      <c r="AK3263">
        <v>36.378498880874503</v>
      </c>
      <c r="AL3263">
        <v>78.983516155762302</v>
      </c>
      <c r="AM3263">
        <v>90.380568142677404</v>
      </c>
      <c r="AN3263">
        <v>1.0000000051250699</v>
      </c>
    </row>
    <row r="3264" spans="1:40" x14ac:dyDescent="0.25">
      <c r="A3264" t="str">
        <f>"20190304155436392"</f>
        <v>20190304155436392</v>
      </c>
      <c r="B3264" t="str">
        <f>"1551686076380724"</f>
        <v>1551686076380724</v>
      </c>
      <c r="C3264" t="s">
        <v>40</v>
      </c>
      <c r="D3264">
        <v>4.8314979999999998</v>
      </c>
      <c r="E3264">
        <v>0.48410510000000001</v>
      </c>
      <c r="F3264" t="s">
        <v>46</v>
      </c>
      <c r="G3264">
        <v>-246.8777</v>
      </c>
      <c r="H3264" s="1">
        <v>-1.6185160000000001E-6</v>
      </c>
      <c r="I3264">
        <v>140.73150000000001</v>
      </c>
      <c r="J3264">
        <v>-224.4819</v>
      </c>
      <c r="K3264">
        <v>1.1081449999999999</v>
      </c>
      <c r="L3264">
        <v>141.9067</v>
      </c>
      <c r="M3264">
        <v>-0.99986520000000001</v>
      </c>
      <c r="N3264">
        <v>-9.5650709999999996E-3</v>
      </c>
      <c r="O3264">
        <v>-1.3344760000000001E-2</v>
      </c>
      <c r="P3264">
        <v>-0.98330139999999999</v>
      </c>
      <c r="Q3264">
        <v>0.1805795</v>
      </c>
      <c r="R3264">
        <v>-2.2570440000000001E-2</v>
      </c>
      <c r="S3264">
        <v>-3.0755919999999999</v>
      </c>
      <c r="T3264">
        <v>-0.14974519999999999</v>
      </c>
      <c r="U3264">
        <v>-0.15930179999999999</v>
      </c>
      <c r="V3264">
        <v>-8.6534630000000001E-3</v>
      </c>
      <c r="W3264">
        <v>0.1900162</v>
      </c>
      <c r="X3264">
        <v>0.98174280000000003</v>
      </c>
      <c r="Y3264">
        <v>-3.834999E-2</v>
      </c>
      <c r="Z3264">
        <v>-5.9475779999999996E-4</v>
      </c>
      <c r="AA3264">
        <v>0.99926420000000005</v>
      </c>
      <c r="AB3264">
        <v>32</v>
      </c>
      <c r="AC3264">
        <v>-22.395800000000001</v>
      </c>
      <c r="AD3264">
        <v>-1.108146618516</v>
      </c>
      <c r="AE3264">
        <v>-1.17519999999998</v>
      </c>
      <c r="AF3264">
        <v>-0.87408097483293001</v>
      </c>
      <c r="AG3264">
        <v>-1.108146618516</v>
      </c>
      <c r="AH3264">
        <v>22.3549082463018</v>
      </c>
      <c r="AI3264">
        <v>92.835701004721201</v>
      </c>
      <c r="AJ3264">
        <v>92.239134774606001</v>
      </c>
      <c r="AK3264">
        <v>22.399418054477799</v>
      </c>
      <c r="AL3264">
        <v>79.046270187005604</v>
      </c>
      <c r="AM3264">
        <v>90.505014213859198</v>
      </c>
      <c r="AN3264">
        <v>0.99999998201808604</v>
      </c>
    </row>
    <row r="3265" spans="1:40" x14ac:dyDescent="0.25">
      <c r="A3265" t="str">
        <f>"20190304155436412"</f>
        <v>20190304155436412</v>
      </c>
      <c r="B3265" t="str">
        <f>"1551686076400244"</f>
        <v>1551686076400244</v>
      </c>
      <c r="C3265" t="s">
        <v>40</v>
      </c>
      <c r="D3265">
        <v>4.8115240000000004</v>
      </c>
      <c r="E3265">
        <v>0.48409750000000001</v>
      </c>
      <c r="F3265" t="s">
        <v>46</v>
      </c>
      <c r="G3265">
        <v>-247.76570000000001</v>
      </c>
      <c r="H3265" s="1">
        <v>-1.2180339999999999E-6</v>
      </c>
      <c r="I3265">
        <v>140.65799999999999</v>
      </c>
      <c r="J3265">
        <v>-224.78110000000001</v>
      </c>
      <c r="K3265">
        <v>1.1083050000000001</v>
      </c>
      <c r="L3265">
        <v>141.9042</v>
      </c>
      <c r="M3265">
        <v>-0.99988220000000005</v>
      </c>
      <c r="N3265">
        <v>-9.5613139999999996E-3</v>
      </c>
      <c r="O3265">
        <v>-1.201323E-2</v>
      </c>
      <c r="P3265">
        <v>-0.9831917</v>
      </c>
      <c r="Q3265">
        <v>0.1810271</v>
      </c>
      <c r="R3265">
        <v>-2.374072E-2</v>
      </c>
      <c r="S3265">
        <v>-3.0740509999999999</v>
      </c>
      <c r="T3265">
        <v>-0.14630409999999999</v>
      </c>
      <c r="U3265">
        <v>-0.164856</v>
      </c>
      <c r="V3265">
        <v>-1.120844E-2</v>
      </c>
      <c r="W3265">
        <v>0.1904651</v>
      </c>
      <c r="X3265">
        <v>0.98163</v>
      </c>
      <c r="Y3265">
        <v>-4.150326E-2</v>
      </c>
      <c r="Z3265">
        <v>-7.2884830000000003E-4</v>
      </c>
      <c r="AA3265">
        <v>0.99913810000000003</v>
      </c>
      <c r="AB3265">
        <v>32</v>
      </c>
      <c r="AC3265">
        <v>-22.9846</v>
      </c>
      <c r="AD3265">
        <v>-1.108306218034</v>
      </c>
      <c r="AE3265">
        <v>-1.24620000000001</v>
      </c>
      <c r="AF3265">
        <v>-0.96773467117067502</v>
      </c>
      <c r="AG3265">
        <v>-1.108306218034</v>
      </c>
      <c r="AH3265">
        <v>22.9447199275413</v>
      </c>
      <c r="AI3265">
        <v>92.762974507441498</v>
      </c>
      <c r="AJ3265">
        <v>92.415120760528595</v>
      </c>
      <c r="AK3265">
        <v>22.9918469379915</v>
      </c>
      <c r="AL3265">
        <v>79.020072084073405</v>
      </c>
      <c r="AM3265">
        <v>90.654185793326604</v>
      </c>
      <c r="AN3265">
        <v>1.00000002017262</v>
      </c>
    </row>
    <row r="3266" spans="1:40" x14ac:dyDescent="0.25">
      <c r="A3266" t="str">
        <f>"20190304155436434"</f>
        <v>20190304155436434</v>
      </c>
      <c r="B3266" t="str">
        <f>"1551686076430500"</f>
        <v>1551686076430500</v>
      </c>
      <c r="C3266" t="s">
        <v>40</v>
      </c>
      <c r="D3266">
        <v>4.8218769999999997</v>
      </c>
      <c r="E3266">
        <v>0.48422910000000002</v>
      </c>
      <c r="F3266" t="s">
        <v>46</v>
      </c>
      <c r="G3266">
        <v>-247.97839999999999</v>
      </c>
      <c r="H3266" s="1">
        <v>-1.120359E-6</v>
      </c>
      <c r="I3266">
        <v>140.63390000000001</v>
      </c>
      <c r="J3266">
        <v>-225.09809999999999</v>
      </c>
      <c r="K3266">
        <v>1.108479</v>
      </c>
      <c r="L3266">
        <v>141.90170000000001</v>
      </c>
      <c r="M3266">
        <v>-0.99989620000000001</v>
      </c>
      <c r="N3266">
        <v>-9.5579570000000006E-3</v>
      </c>
      <c r="O3266">
        <v>-1.0800509999999999E-2</v>
      </c>
      <c r="P3266">
        <v>-0.9830778</v>
      </c>
      <c r="Q3266">
        <v>0.18152090000000001</v>
      </c>
      <c r="R3266">
        <v>-2.4666549999999999E-2</v>
      </c>
      <c r="S3266">
        <v>-3.074265</v>
      </c>
      <c r="T3266">
        <v>-0.1468807</v>
      </c>
      <c r="U3266">
        <v>-0.16833499999999901</v>
      </c>
      <c r="V3266">
        <v>-1.340847E-2</v>
      </c>
      <c r="W3266">
        <v>0.1909566</v>
      </c>
      <c r="X3266">
        <v>0.98150689999999996</v>
      </c>
      <c r="Y3266">
        <v>-4.3834249999999998E-2</v>
      </c>
      <c r="Z3266">
        <v>-8.4337619999999905E-4</v>
      </c>
      <c r="AA3266">
        <v>0.99903850000000005</v>
      </c>
      <c r="AB3266">
        <v>32</v>
      </c>
      <c r="AC3266">
        <v>-22.880299999999998</v>
      </c>
      <c r="AD3266">
        <v>-1.108480120359</v>
      </c>
      <c r="AE3266">
        <v>-1.26779999999999</v>
      </c>
      <c r="AF3266">
        <v>-1.01821336214558</v>
      </c>
      <c r="AG3266">
        <v>-1.108480120359</v>
      </c>
      <c r="AH3266">
        <v>22.839216901420802</v>
      </c>
      <c r="AI3266">
        <v>92.7758640565729</v>
      </c>
      <c r="AJ3266">
        <v>92.552658615798805</v>
      </c>
      <c r="AK3266">
        <v>22.888759584089001</v>
      </c>
      <c r="AL3266">
        <v>78.991384490025695</v>
      </c>
      <c r="AM3266">
        <v>90.782675042217306</v>
      </c>
      <c r="AN3266">
        <v>1.00000000244945</v>
      </c>
    </row>
    <row r="3267" spans="1:40" x14ac:dyDescent="0.25">
      <c r="A3267" t="str">
        <f>"20190304155436455"</f>
        <v>20190304155436455</v>
      </c>
      <c r="B3267" t="str">
        <f>"1551686076450020"</f>
        <v>1551686076450020</v>
      </c>
      <c r="C3267" t="s">
        <v>40</v>
      </c>
      <c r="D3267">
        <v>4.7775189999999998</v>
      </c>
      <c r="E3267">
        <v>0.48425119999999999</v>
      </c>
      <c r="F3267" t="s">
        <v>46</v>
      </c>
      <c r="G3267">
        <v>-248.05600000000001</v>
      </c>
      <c r="H3267" s="1">
        <v>-1.0864619999999999E-6</v>
      </c>
      <c r="I3267">
        <v>140.6317</v>
      </c>
      <c r="J3267">
        <v>-225.41470000000001</v>
      </c>
      <c r="K3267">
        <v>1.1086720000000001</v>
      </c>
      <c r="L3267">
        <v>141.89940000000001</v>
      </c>
      <c r="M3267">
        <v>-0.99990650000000003</v>
      </c>
      <c r="N3267">
        <v>-9.5552970000000008E-3</v>
      </c>
      <c r="O3267">
        <v>-9.7860450000000002E-3</v>
      </c>
      <c r="P3267">
        <v>-0.98304239999999998</v>
      </c>
      <c r="Q3267">
        <v>0.18163560000000001</v>
      </c>
      <c r="R3267">
        <v>-2.5231859999999998E-2</v>
      </c>
      <c r="S3267">
        <v>-3.0747990000000001</v>
      </c>
      <c r="T3267">
        <v>-0.14846099999999901</v>
      </c>
      <c r="U3267">
        <v>-0.17008970000000001</v>
      </c>
      <c r="V3267">
        <v>-1.505649E-2</v>
      </c>
      <c r="W3267">
        <v>0.1910666</v>
      </c>
      <c r="X3267">
        <v>0.98146160000000005</v>
      </c>
      <c r="Y3267">
        <v>-4.5402820000000003E-2</v>
      </c>
      <c r="Z3267">
        <v>-9.3343739999999999E-4</v>
      </c>
      <c r="AA3267">
        <v>0.99896830000000003</v>
      </c>
      <c r="AB3267">
        <v>32</v>
      </c>
      <c r="AC3267">
        <v>-22.641299999999902</v>
      </c>
      <c r="AD3267">
        <v>-1.10867308646199</v>
      </c>
      <c r="AE3267">
        <v>-1.26770000000001</v>
      </c>
      <c r="AF3267">
        <v>-1.04356601082112</v>
      </c>
      <c r="AG3267">
        <v>-1.10867308646199</v>
      </c>
      <c r="AH3267">
        <v>22.598605552824498</v>
      </c>
      <c r="AI3267">
        <v>92.805657251838596</v>
      </c>
      <c r="AJ3267">
        <v>92.643945501166201</v>
      </c>
      <c r="AK3267">
        <v>22.6498379456397</v>
      </c>
      <c r="AL3267">
        <v>78.984963794709202</v>
      </c>
      <c r="AM3267">
        <v>90.878899048309606</v>
      </c>
      <c r="AN3267">
        <v>1.0000000079006199</v>
      </c>
    </row>
    <row r="3268" spans="1:40" x14ac:dyDescent="0.25">
      <c r="A3268" t="str">
        <f>"20190304155436478"</f>
        <v>20190304155436478</v>
      </c>
      <c r="B3268" t="str">
        <f>"1551686076470517"</f>
        <v>1551686076470517</v>
      </c>
      <c r="C3268" t="s">
        <v>40</v>
      </c>
      <c r="D3268">
        <v>4.7621079999999996</v>
      </c>
      <c r="E3268">
        <v>0.50968239999999998</v>
      </c>
      <c r="F3268" t="s">
        <v>46</v>
      </c>
      <c r="G3268">
        <v>-248.49</v>
      </c>
      <c r="H3268" s="1">
        <v>-8.9274500000000002E-7</v>
      </c>
      <c r="I3268">
        <v>140.60339999999999</v>
      </c>
      <c r="J3268">
        <v>-225.73140000000001</v>
      </c>
      <c r="K3268">
        <v>1.108857</v>
      </c>
      <c r="L3268">
        <v>141.8973</v>
      </c>
      <c r="M3268">
        <v>-0.99991430000000003</v>
      </c>
      <c r="N3268">
        <v>-9.553443E-3</v>
      </c>
      <c r="O3268">
        <v>-8.9642279999999994E-3</v>
      </c>
      <c r="P3268">
        <v>-0.98299190000000003</v>
      </c>
      <c r="Q3268">
        <v>0.1817954</v>
      </c>
      <c r="R3268">
        <v>-2.602875E-2</v>
      </c>
      <c r="S3268">
        <v>-3.0746310000000001</v>
      </c>
      <c r="T3268">
        <v>-0.1477232</v>
      </c>
      <c r="U3268">
        <v>-0.1726837</v>
      </c>
      <c r="V3268">
        <v>-1.6748229999999999E-2</v>
      </c>
      <c r="W3268">
        <v>0.19122149999999999</v>
      </c>
      <c r="X3268">
        <v>0.98140400000000005</v>
      </c>
      <c r="Y3268">
        <v>-4.7064599999999998E-2</v>
      </c>
      <c r="Z3268">
        <v>-1.0097050000000001E-3</v>
      </c>
      <c r="AA3268">
        <v>0.99889139999999998</v>
      </c>
      <c r="AB3268">
        <v>32</v>
      </c>
      <c r="AC3268">
        <v>-22.758600000000001</v>
      </c>
      <c r="AD3268">
        <v>-1.1088578927449999</v>
      </c>
      <c r="AE3268">
        <v>-1.2939000000000001</v>
      </c>
      <c r="AF3268">
        <v>-1.0872527374994001</v>
      </c>
      <c r="AG3268">
        <v>-1.1088578927449999</v>
      </c>
      <c r="AH3268">
        <v>22.7155343740185</v>
      </c>
      <c r="AI3268">
        <v>92.791482085568205</v>
      </c>
      <c r="AJ3268">
        <v>92.740304756443507</v>
      </c>
      <c r="AK3268">
        <v>22.768556964347098</v>
      </c>
      <c r="AL3268">
        <v>78.975921745818596</v>
      </c>
      <c r="AM3268">
        <v>90.977690893083604</v>
      </c>
      <c r="AN3268">
        <v>0.99999998824319103</v>
      </c>
    </row>
    <row r="3269" spans="1:40" x14ac:dyDescent="0.25">
      <c r="A3269" t="str">
        <f>"20190304155436501"</f>
        <v>20190304155436501</v>
      </c>
      <c r="B3269" t="str">
        <f>"1551686076491012"</f>
        <v>1551686076491012</v>
      </c>
      <c r="C3269" t="s">
        <v>40</v>
      </c>
      <c r="D3269">
        <v>4.7566220000000001</v>
      </c>
      <c r="E3269">
        <v>0.51406839999999998</v>
      </c>
      <c r="F3269" t="s">
        <v>46</v>
      </c>
      <c r="G3269">
        <v>-264.1198</v>
      </c>
      <c r="H3269" s="1">
        <v>-3.1938989999999998E-6</v>
      </c>
      <c r="I3269">
        <v>142.20570000000001</v>
      </c>
      <c r="J3269">
        <v>-226.0702</v>
      </c>
      <c r="K3269">
        <v>1.1090500000000001</v>
      </c>
      <c r="L3269">
        <v>141.89510000000001</v>
      </c>
      <c r="M3269">
        <v>-0.99992009999999998</v>
      </c>
      <c r="N3269">
        <v>-9.5524709999999999E-3</v>
      </c>
      <c r="O3269">
        <v>-8.2867140000000006E-3</v>
      </c>
      <c r="P3269">
        <v>-0.98307359999999999</v>
      </c>
      <c r="Q3269">
        <v>0.18133440000000001</v>
      </c>
      <c r="R3269">
        <v>-2.616042E-2</v>
      </c>
      <c r="S3269">
        <v>-3.0689540000000002</v>
      </c>
      <c r="T3269">
        <v>-8.8647840000000006E-2</v>
      </c>
      <c r="U3269">
        <v>2.4658200000000002E-2</v>
      </c>
      <c r="V3269">
        <v>-1.7636659999999998E-2</v>
      </c>
      <c r="W3269">
        <v>0.19075349999999999</v>
      </c>
      <c r="X3269">
        <v>0.98147949999999995</v>
      </c>
      <c r="Y3269">
        <v>1.6310410000000001E-2</v>
      </c>
      <c r="Z3269">
        <v>4.7360289999999998E-4</v>
      </c>
      <c r="AA3269">
        <v>0.99986679999999994</v>
      </c>
      <c r="AB3269">
        <v>32</v>
      </c>
      <c r="AC3269">
        <v>-38.049599999999998</v>
      </c>
      <c r="AD3269">
        <v>-1.109053193899</v>
      </c>
      <c r="AE3269">
        <v>0.31059999999999299</v>
      </c>
      <c r="AF3269">
        <v>0.62537858034643001</v>
      </c>
      <c r="AG3269">
        <v>-1.109053193899</v>
      </c>
      <c r="AH3269">
        <v>38.013426146182503</v>
      </c>
      <c r="AI3269">
        <v>91.670921651946301</v>
      </c>
      <c r="AJ3269">
        <v>89.057482453537602</v>
      </c>
      <c r="AK3269">
        <v>38.034742863951699</v>
      </c>
      <c r="AL3269">
        <v>79.003238914359997</v>
      </c>
      <c r="AM3269">
        <v>91.029463620056404</v>
      </c>
      <c r="AN3269">
        <v>0.99999997922922701</v>
      </c>
    </row>
    <row r="3270" spans="1:40" x14ac:dyDescent="0.25">
      <c r="A3270" t="str">
        <f>"20190304155436524"</f>
        <v>20190304155436524</v>
      </c>
      <c r="B3270" t="str">
        <f>"1551686076520291"</f>
        <v>1551686076520291</v>
      </c>
      <c r="C3270" t="s">
        <v>40</v>
      </c>
      <c r="D3270">
        <v>4.767989</v>
      </c>
      <c r="E3270">
        <v>0.51728490000000005</v>
      </c>
      <c r="F3270" t="s">
        <v>46</v>
      </c>
      <c r="G3270">
        <v>-267.1037</v>
      </c>
      <c r="H3270" s="1">
        <v>-2.0406099999999998E-6</v>
      </c>
      <c r="I3270">
        <v>142.68219999999999</v>
      </c>
      <c r="J3270">
        <v>-226.3998</v>
      </c>
      <c r="K3270">
        <v>1.109226</v>
      </c>
      <c r="L3270">
        <v>141.8929</v>
      </c>
      <c r="M3270">
        <v>-0.99992360000000002</v>
      </c>
      <c r="N3270">
        <v>-9.5522720000000005E-3</v>
      </c>
      <c r="O3270">
        <v>-7.8413530000000006E-3</v>
      </c>
      <c r="P3270">
        <v>-0.98305819999999999</v>
      </c>
      <c r="Q3270">
        <v>0.1813602</v>
      </c>
      <c r="R3270">
        <v>-2.6557870000000001E-2</v>
      </c>
      <c r="S3270">
        <v>-3.0685120000000001</v>
      </c>
      <c r="T3270">
        <v>-8.2935690000000006E-2</v>
      </c>
      <c r="U3270">
        <v>5.8868410000000003E-2</v>
      </c>
      <c r="V3270">
        <v>-1.8553400000000001E-2</v>
      </c>
      <c r="W3270">
        <v>0.1907731</v>
      </c>
      <c r="X3270">
        <v>0.98145879999999996</v>
      </c>
      <c r="Y3270">
        <v>2.7006280000000001E-2</v>
      </c>
      <c r="Z3270">
        <v>6.3088719999999997E-4</v>
      </c>
      <c r="AA3270">
        <v>0.99963500000000005</v>
      </c>
      <c r="AB3270">
        <v>33</v>
      </c>
      <c r="AC3270">
        <v>-40.703899999999997</v>
      </c>
      <c r="AD3270">
        <v>-1.1092280406099999</v>
      </c>
      <c r="AE3270">
        <v>0.789299999999997</v>
      </c>
      <c r="AF3270">
        <v>1.1076416991003699</v>
      </c>
      <c r="AG3270">
        <v>-1.1092280406099999</v>
      </c>
      <c r="AH3270">
        <v>40.666270584881602</v>
      </c>
      <c r="AI3270">
        <v>91.561854234947603</v>
      </c>
      <c r="AJ3270">
        <v>88.439800189404394</v>
      </c>
      <c r="AK3270">
        <v>40.696471840473698</v>
      </c>
      <c r="AL3270">
        <v>79.002095030950699</v>
      </c>
      <c r="AM3270">
        <v>91.082984752230999</v>
      </c>
      <c r="AN3270">
        <v>0.99999999021630404</v>
      </c>
    </row>
    <row r="3271" spans="1:40" x14ac:dyDescent="0.25">
      <c r="A3271" t="str">
        <f>"20190304155436570"</f>
        <v>20190304155436570</v>
      </c>
      <c r="B3271" t="str">
        <f>"1551686076560309"</f>
        <v>1551686076560309</v>
      </c>
      <c r="C3271" t="s">
        <v>40</v>
      </c>
      <c r="D3271">
        <v>4.7229299999999999</v>
      </c>
      <c r="E3271">
        <v>0.5178992</v>
      </c>
      <c r="F3271" t="s">
        <v>46</v>
      </c>
      <c r="G3271">
        <v>-270.4973</v>
      </c>
      <c r="H3271" s="1">
        <v>-4.7224340000000004E-6</v>
      </c>
      <c r="I3271">
        <v>143.08690000000001</v>
      </c>
      <c r="J3271">
        <v>-227.0669</v>
      </c>
      <c r="K3271">
        <v>1.109531</v>
      </c>
      <c r="L3271">
        <v>141.88829999999999</v>
      </c>
      <c r="M3271">
        <v>-0.99992689999999995</v>
      </c>
      <c r="N3271">
        <v>-9.5535810000000002E-3</v>
      </c>
      <c r="O3271">
        <v>-7.4236550000000004E-3</v>
      </c>
      <c r="P3271">
        <v>-0.9828578</v>
      </c>
      <c r="Q3271">
        <v>0.18236910000000001</v>
      </c>
      <c r="R3271">
        <v>-2.7056210000000001E-2</v>
      </c>
      <c r="S3271">
        <v>-3.0681759999999998</v>
      </c>
      <c r="T3271">
        <v>-7.7177170000000003E-2</v>
      </c>
      <c r="U3271">
        <v>8.3084110000000003E-2</v>
      </c>
      <c r="V3271">
        <v>-1.9599229999999999E-2</v>
      </c>
      <c r="W3271">
        <v>0.1917691</v>
      </c>
      <c r="X3271">
        <v>0.98124429999999996</v>
      </c>
      <c r="Y3271">
        <v>3.447397E-2</v>
      </c>
      <c r="Z3271">
        <v>7.1394939999999999E-4</v>
      </c>
      <c r="AA3271">
        <v>0.99940530000000005</v>
      </c>
      <c r="AB3271">
        <v>33</v>
      </c>
      <c r="AC3271">
        <v>-43.430399999999899</v>
      </c>
      <c r="AD3271">
        <v>-1.1095357224339999</v>
      </c>
      <c r="AE3271">
        <v>1.1986000000000201</v>
      </c>
      <c r="AF3271">
        <v>1.5200026511481799</v>
      </c>
      <c r="AG3271">
        <v>-1.1095357224339999</v>
      </c>
      <c r="AH3271">
        <v>43.392005548809998</v>
      </c>
      <c r="AI3271">
        <v>91.463839285789206</v>
      </c>
      <c r="AJ3271">
        <v>87.993774656529496</v>
      </c>
      <c r="AK3271">
        <v>43.4327943278672</v>
      </c>
      <c r="AL3271">
        <v>78.943954521443203</v>
      </c>
      <c r="AM3271">
        <v>91.1442653583631</v>
      </c>
      <c r="AN3271">
        <v>0.99999994690694405</v>
      </c>
    </row>
    <row r="3272" spans="1:40" x14ac:dyDescent="0.25">
      <c r="A3272" t="str">
        <f>"20190304155436592"</f>
        <v>20190304155436592</v>
      </c>
      <c r="B3272" t="str">
        <f>"1551686076580804"</f>
        <v>1551686076580804</v>
      </c>
      <c r="C3272" t="s">
        <v>40</v>
      </c>
      <c r="D3272">
        <v>4.5770720000000003</v>
      </c>
      <c r="E3272">
        <v>0.51797399999999905</v>
      </c>
      <c r="F3272" t="s">
        <v>46</v>
      </c>
      <c r="G3272">
        <v>-272.54250000000002</v>
      </c>
      <c r="H3272" s="1">
        <v>-4.0403320000000001E-6</v>
      </c>
      <c r="I3272">
        <v>143.1652</v>
      </c>
      <c r="J3272">
        <v>-227.40029999999999</v>
      </c>
      <c r="K3272">
        <v>1.109631</v>
      </c>
      <c r="L3272">
        <v>141.886</v>
      </c>
      <c r="M3272">
        <v>-0.99992729999999996</v>
      </c>
      <c r="N3272">
        <v>-9.5547749999999997E-3</v>
      </c>
      <c r="O3272">
        <v>-7.3652350000000004E-3</v>
      </c>
      <c r="P3272">
        <v>-0.982769</v>
      </c>
      <c r="Q3272">
        <v>0.1827917</v>
      </c>
      <c r="R3272">
        <v>-2.7434879999999998E-2</v>
      </c>
      <c r="S3272">
        <v>-3.0685880000000001</v>
      </c>
      <c r="T3272">
        <v>-7.4868799999999999E-2</v>
      </c>
      <c r="U3272">
        <v>8.6166380000000001E-2</v>
      </c>
      <c r="V3272">
        <v>-2.0081829999999998E-2</v>
      </c>
      <c r="W3272">
        <v>0.192187</v>
      </c>
      <c r="X3272">
        <v>0.98115280000000005</v>
      </c>
      <c r="Y3272">
        <v>3.5415500000000003E-2</v>
      </c>
      <c r="Z3272">
        <v>7.1044659999999998E-4</v>
      </c>
      <c r="AA3272">
        <v>0.99937240000000005</v>
      </c>
      <c r="AB3272">
        <v>33</v>
      </c>
      <c r="AC3272">
        <v>-45.142200000000003</v>
      </c>
      <c r="AD3272">
        <v>-1.1096350403319899</v>
      </c>
      <c r="AE3272">
        <v>1.2791999999999999</v>
      </c>
      <c r="AF3272">
        <v>1.6106909348735301</v>
      </c>
      <c r="AG3272">
        <v>-1.1096350403319899</v>
      </c>
      <c r="AH3272">
        <v>45.104322372375101</v>
      </c>
      <c r="AI3272">
        <v>91.408381832300805</v>
      </c>
      <c r="AJ3272">
        <v>87.954816981949193</v>
      </c>
      <c r="AK3272">
        <v>45.146710975236601</v>
      </c>
      <c r="AL3272">
        <v>78.919557055019197</v>
      </c>
      <c r="AM3272">
        <v>91.172542618344195</v>
      </c>
      <c r="AN3272">
        <v>0.99999996990649398</v>
      </c>
    </row>
    <row r="3273" spans="1:40" x14ac:dyDescent="0.25">
      <c r="A3273" t="str">
        <f>"20190304155436614"</f>
        <v>20190304155436614</v>
      </c>
      <c r="B3273" t="str">
        <f>"1551686076610084"</f>
        <v>1551686076610084</v>
      </c>
      <c r="C3273" t="s">
        <v>40</v>
      </c>
      <c r="D3273">
        <v>4.9056550000000003</v>
      </c>
      <c r="E3273">
        <v>0.51767669999999999</v>
      </c>
      <c r="F3273" t="s">
        <v>46</v>
      </c>
      <c r="G3273">
        <v>-272.30650000000003</v>
      </c>
      <c r="H3273" s="1">
        <v>-4.1166480000000002E-6</v>
      </c>
      <c r="I3273">
        <v>143.14269999999999</v>
      </c>
      <c r="J3273">
        <v>-227.72810000000001</v>
      </c>
      <c r="K3273">
        <v>1.1097060000000001</v>
      </c>
      <c r="L3273">
        <v>141.8837</v>
      </c>
      <c r="M3273">
        <v>-0.99992720000000002</v>
      </c>
      <c r="N3273">
        <v>-9.5563200000000001E-3</v>
      </c>
      <c r="O3273">
        <v>-7.3823019999999899E-3</v>
      </c>
      <c r="P3273">
        <v>-0.98259790000000002</v>
      </c>
      <c r="Q3273">
        <v>0.18358910000000001</v>
      </c>
      <c r="R3273">
        <v>-2.8226029999999999E-2</v>
      </c>
      <c r="S3273">
        <v>-3.0690919999999999</v>
      </c>
      <c r="T3273">
        <v>-7.5837489999999994E-2</v>
      </c>
      <c r="U3273">
        <v>8.5891720000000005E-2</v>
      </c>
      <c r="V3273">
        <v>-2.089303E-2</v>
      </c>
      <c r="W3273">
        <v>0.19298100000000001</v>
      </c>
      <c r="X3273">
        <v>0.98097999999999996</v>
      </c>
      <c r="Y3273">
        <v>3.5338269999999998E-2</v>
      </c>
      <c r="Z3273">
        <v>7.1720789999999996E-4</v>
      </c>
      <c r="AA3273">
        <v>0.99937520000000002</v>
      </c>
      <c r="AB3273">
        <v>33</v>
      </c>
      <c r="AC3273">
        <v>-44.578400000000002</v>
      </c>
      <c r="AD3273">
        <v>-1.1097101166479999</v>
      </c>
      <c r="AE3273">
        <v>1.2589999999999799</v>
      </c>
      <c r="AF3273">
        <v>1.5870891820731501</v>
      </c>
      <c r="AG3273">
        <v>-1.1097101166479999</v>
      </c>
      <c r="AH3273">
        <v>44.540311494549101</v>
      </c>
      <c r="AI3273">
        <v>91.426309155813598</v>
      </c>
      <c r="AJ3273">
        <v>87.959263138674999</v>
      </c>
      <c r="AK3273">
        <v>44.582391777991297</v>
      </c>
      <c r="AL3273">
        <v>78.873196385574303</v>
      </c>
      <c r="AM3273">
        <v>91.220107939673895</v>
      </c>
      <c r="AN3273">
        <v>0.99999997273178998</v>
      </c>
    </row>
    <row r="3274" spans="1:40" x14ac:dyDescent="0.25">
      <c r="A3274" t="str">
        <f>"20190304155436635"</f>
        <v>20190304155436635</v>
      </c>
      <c r="B3274" t="str">
        <f>"1551686076630581"</f>
        <v>1551686076630581</v>
      </c>
      <c r="C3274" t="s">
        <v>40</v>
      </c>
      <c r="D3274">
        <v>4.6670449999999999</v>
      </c>
      <c r="E3274">
        <v>0.51797439999999995</v>
      </c>
      <c r="F3274" t="s">
        <v>46</v>
      </c>
      <c r="G3274">
        <v>-274.46350000000001</v>
      </c>
      <c r="H3274" s="1">
        <v>-3.288978E-6</v>
      </c>
      <c r="I3274">
        <v>143.1172</v>
      </c>
      <c r="J3274">
        <v>-228.02629999999999</v>
      </c>
      <c r="K3274">
        <v>1.109772</v>
      </c>
      <c r="L3274">
        <v>141.88140000000001</v>
      </c>
      <c r="M3274">
        <v>-0.99992630000000005</v>
      </c>
      <c r="N3274">
        <v>-9.5582170000000008E-3</v>
      </c>
      <c r="O3274">
        <v>-7.4686719999999896E-3</v>
      </c>
      <c r="P3274">
        <v>-0.9824659</v>
      </c>
      <c r="Q3274">
        <v>0.18412419999999999</v>
      </c>
      <c r="R3274">
        <v>-2.930549E-2</v>
      </c>
      <c r="S3274">
        <v>-3.069061</v>
      </c>
      <c r="T3274">
        <v>-7.2873469999999996E-2</v>
      </c>
      <c r="U3274">
        <v>8.1008910000000003E-2</v>
      </c>
      <c r="V3274">
        <v>-2.1920700000000001E-2</v>
      </c>
      <c r="W3274">
        <v>0.1935135</v>
      </c>
      <c r="X3274">
        <v>0.98085270000000002</v>
      </c>
      <c r="Y3274">
        <v>3.383771E-2</v>
      </c>
      <c r="Z3274">
        <v>6.6930029999999897E-4</v>
      </c>
      <c r="AA3274">
        <v>0.99942710000000001</v>
      </c>
      <c r="AB3274">
        <v>33</v>
      </c>
      <c r="AC3274">
        <v>-46.437199999999997</v>
      </c>
      <c r="AD3274">
        <v>-1.1097752889779999</v>
      </c>
      <c r="AE3274">
        <v>1.23579999999998</v>
      </c>
      <c r="AF3274">
        <v>1.5817029075659901</v>
      </c>
      <c r="AG3274">
        <v>-1.1097752889779999</v>
      </c>
      <c r="AH3274">
        <v>46.4001925226531</v>
      </c>
      <c r="AI3274">
        <v>91.369313921953193</v>
      </c>
      <c r="AJ3274">
        <v>88.047641223101607</v>
      </c>
      <c r="AK3274">
        <v>46.4404053752667</v>
      </c>
      <c r="AL3274">
        <v>78.842100591405398</v>
      </c>
      <c r="AM3274">
        <v>91.280268235139104</v>
      </c>
      <c r="AN3274">
        <v>1.0000000054340099</v>
      </c>
    </row>
    <row r="3275" spans="1:40" x14ac:dyDescent="0.25">
      <c r="A3275" t="str">
        <f>"20190304155436656"</f>
        <v>20190304155436656</v>
      </c>
      <c r="B3275" t="str">
        <f>"1551686076650100"</f>
        <v>1551686076650100</v>
      </c>
      <c r="C3275" t="s">
        <v>40</v>
      </c>
      <c r="D3275">
        <v>4.6952689999999997</v>
      </c>
      <c r="E3275">
        <v>0.51804269999999997</v>
      </c>
      <c r="F3275" t="s">
        <v>46</v>
      </c>
      <c r="G3275">
        <v>-275.87860000000001</v>
      </c>
      <c r="H3275" s="1">
        <v>-2.683186E-6</v>
      </c>
      <c r="I3275">
        <v>143.12200000000001</v>
      </c>
      <c r="J3275">
        <v>-228.34800000000001</v>
      </c>
      <c r="K3275">
        <v>1.10985</v>
      </c>
      <c r="L3275">
        <v>141.87899999999999</v>
      </c>
      <c r="M3275">
        <v>-0.99992530000000002</v>
      </c>
      <c r="N3275">
        <v>-9.5607880000000006E-3</v>
      </c>
      <c r="O3275">
        <v>-7.6245219999999999E-3</v>
      </c>
      <c r="P3275">
        <v>-0.98244609999999999</v>
      </c>
      <c r="Q3275">
        <v>0.18413009999999999</v>
      </c>
      <c r="R3275">
        <v>-2.9929399999999998E-2</v>
      </c>
      <c r="S3275">
        <v>-3.0692750000000002</v>
      </c>
      <c r="T3275">
        <v>-7.1181649999999999E-2</v>
      </c>
      <c r="U3275">
        <v>7.9574580000000006E-2</v>
      </c>
      <c r="V3275">
        <v>-2.242767E-2</v>
      </c>
      <c r="W3275">
        <v>0.19351769999999999</v>
      </c>
      <c r="X3275">
        <v>0.98084039999999995</v>
      </c>
      <c r="Y3275">
        <v>3.3525600000000003E-2</v>
      </c>
      <c r="Z3275">
        <v>6.5286279999999999E-4</v>
      </c>
      <c r="AA3275">
        <v>0.99943760000000004</v>
      </c>
      <c r="AB3275">
        <v>33</v>
      </c>
      <c r="AC3275">
        <v>-47.5306</v>
      </c>
      <c r="AD3275">
        <v>-1.1098526831860001</v>
      </c>
      <c r="AE3275">
        <v>1.2430000000000201</v>
      </c>
      <c r="AF3275">
        <v>1.60450427453056</v>
      </c>
      <c r="AG3275">
        <v>-1.1098526831860001</v>
      </c>
      <c r="AH3275">
        <v>47.493862944767699</v>
      </c>
      <c r="AI3275">
        <v>91.337900564599906</v>
      </c>
      <c r="AJ3275">
        <v>88.065089527896802</v>
      </c>
      <c r="AK3275">
        <v>47.533916568716897</v>
      </c>
      <c r="AL3275">
        <v>78.841855199658497</v>
      </c>
      <c r="AM3275">
        <v>91.309883802094902</v>
      </c>
      <c r="AN3275">
        <v>0.99999999543353901</v>
      </c>
    </row>
    <row r="3276" spans="1:40" x14ac:dyDescent="0.25">
      <c r="A3276" t="str">
        <f>"20190304155436680"</f>
        <v>20190304155436680</v>
      </c>
      <c r="B3276" t="str">
        <f>"1551686076670596"</f>
        <v>1551686076670596</v>
      </c>
      <c r="C3276" t="s">
        <v>40</v>
      </c>
      <c r="D3276">
        <v>4.6813729999999998</v>
      </c>
      <c r="E3276">
        <v>0.51830339999999997</v>
      </c>
      <c r="F3276" t="s">
        <v>46</v>
      </c>
      <c r="G3276">
        <v>-275.94850000000002</v>
      </c>
      <c r="H3276" s="1">
        <v>-2.6435129999999999E-6</v>
      </c>
      <c r="I3276">
        <v>143.0855</v>
      </c>
      <c r="J3276">
        <v>-228.6833</v>
      </c>
      <c r="K3276">
        <v>1.1099289999999999</v>
      </c>
      <c r="L3276">
        <v>141.87629999999999</v>
      </c>
      <c r="M3276">
        <v>-0.99992360000000002</v>
      </c>
      <c r="N3276">
        <v>-9.5639230000000002E-3</v>
      </c>
      <c r="O3276">
        <v>-7.8371299999999994E-3</v>
      </c>
      <c r="P3276">
        <v>-0.98227469999999995</v>
      </c>
      <c r="Q3276">
        <v>0.18485090000000001</v>
      </c>
      <c r="R3276">
        <v>-3.109398E-2</v>
      </c>
      <c r="S3276">
        <v>-3.0693969999999999</v>
      </c>
      <c r="T3276">
        <v>-7.1566099999999994E-2</v>
      </c>
      <c r="U3276">
        <v>7.7804570000000003E-2</v>
      </c>
      <c r="V3276">
        <v>-2.342E-2</v>
      </c>
      <c r="W3276">
        <v>0.19423570000000001</v>
      </c>
      <c r="X3276">
        <v>0.98067530000000003</v>
      </c>
      <c r="Y3276">
        <v>3.3161089999999997E-2</v>
      </c>
      <c r="Z3276">
        <v>6.5285569999999995E-4</v>
      </c>
      <c r="AA3276">
        <v>0.99944980000000005</v>
      </c>
      <c r="AB3276">
        <v>33</v>
      </c>
      <c r="AC3276">
        <v>-47.2652</v>
      </c>
      <c r="AD3276">
        <v>-1.109931643513</v>
      </c>
      <c r="AE3276">
        <v>1.2092000000000001</v>
      </c>
      <c r="AF3276">
        <v>1.5787332729404</v>
      </c>
      <c r="AG3276">
        <v>-1.109931643513</v>
      </c>
      <c r="AH3276">
        <v>47.228244046194803</v>
      </c>
      <c r="AI3276">
        <v>91.345534107731893</v>
      </c>
      <c r="AJ3276">
        <v>88.085444713762101</v>
      </c>
      <c r="AK3276">
        <v>47.267656835168999</v>
      </c>
      <c r="AL3276">
        <v>78.799921490160401</v>
      </c>
      <c r="AM3276">
        <v>91.368049284813097</v>
      </c>
      <c r="AN3276">
        <v>1.0000000237922799</v>
      </c>
    </row>
    <row r="3277" spans="1:40" x14ac:dyDescent="0.25">
      <c r="A3277" t="str">
        <f>"20190304155436704"</f>
        <v>20190304155436704</v>
      </c>
      <c r="B3277" t="str">
        <f>"1551686076700852"</f>
        <v>1551686076700852</v>
      </c>
      <c r="C3277" t="s">
        <v>40</v>
      </c>
      <c r="D3277">
        <v>4.6520989999999998</v>
      </c>
      <c r="E3277">
        <v>0.51844599999999996</v>
      </c>
      <c r="F3277" t="s">
        <v>46</v>
      </c>
      <c r="G3277">
        <v>-277.73469999999998</v>
      </c>
      <c r="H3277" s="1">
        <v>-1.8783000000000001E-6</v>
      </c>
      <c r="I3277">
        <v>143.08949999999999</v>
      </c>
      <c r="J3277">
        <v>-229.04339999999999</v>
      </c>
      <c r="K3277">
        <v>1.109996</v>
      </c>
      <c r="L3277">
        <v>141.8732</v>
      </c>
      <c r="M3277">
        <v>-0.99992139999999996</v>
      </c>
      <c r="N3277">
        <v>-9.5673990000000007E-3</v>
      </c>
      <c r="O3277">
        <v>-8.1100800000000004E-3</v>
      </c>
      <c r="P3277">
        <v>-0.98211610000000005</v>
      </c>
      <c r="Q3277">
        <v>0.1855639</v>
      </c>
      <c r="R3277">
        <v>-3.184298E-2</v>
      </c>
      <c r="S3277">
        <v>-3.0696110000000001</v>
      </c>
      <c r="T3277">
        <v>-6.945896E-2</v>
      </c>
      <c r="U3277">
        <v>7.5927729999999999E-2</v>
      </c>
      <c r="V3277">
        <v>-2.393375E-2</v>
      </c>
      <c r="W3277">
        <v>0.1949467</v>
      </c>
      <c r="X3277">
        <v>0.9805218</v>
      </c>
      <c r="Y3277">
        <v>3.2822249999999997E-2</v>
      </c>
      <c r="Z3277">
        <v>6.3420429999999997E-4</v>
      </c>
      <c r="AA3277">
        <v>0.99946100000000004</v>
      </c>
      <c r="AB3277">
        <v>33</v>
      </c>
      <c r="AC3277">
        <v>-48.691299999999899</v>
      </c>
      <c r="AD3277">
        <v>-1.1099978783</v>
      </c>
      <c r="AE3277">
        <v>1.21629999999998</v>
      </c>
      <c r="AF3277">
        <v>1.61033203947171</v>
      </c>
      <c r="AG3277">
        <v>-1.1099978783</v>
      </c>
      <c r="AH3277">
        <v>48.654564430349197</v>
      </c>
      <c r="AI3277">
        <v>91.306195570251901</v>
      </c>
      <c r="AJ3277">
        <v>88.104359524713402</v>
      </c>
      <c r="AK3277">
        <v>48.693859001666503</v>
      </c>
      <c r="AL3277">
        <v>78.758390258222803</v>
      </c>
      <c r="AM3277">
        <v>91.398266326580497</v>
      </c>
      <c r="AN3277">
        <v>1.00000002025259</v>
      </c>
    </row>
    <row r="3278" spans="1:40" x14ac:dyDescent="0.25">
      <c r="A3278" t="str">
        <f>"20190304155436726"</f>
        <v>20190304155436726</v>
      </c>
      <c r="B3278" t="str">
        <f>"1551686076720373"</f>
        <v>1551686076720373</v>
      </c>
      <c r="C3278" t="s">
        <v>40</v>
      </c>
      <c r="D3278">
        <v>4.6459809999999999</v>
      </c>
      <c r="E3278">
        <v>0.51840450000000005</v>
      </c>
      <c r="F3278" t="s">
        <v>46</v>
      </c>
      <c r="G3278">
        <v>-278.52339999999998</v>
      </c>
      <c r="H3278" s="1">
        <v>-1.536337E-6</v>
      </c>
      <c r="I3278">
        <v>143.07599999999999</v>
      </c>
      <c r="J3278">
        <v>-229.36410000000001</v>
      </c>
      <c r="K3278">
        <v>1.1100449999999999</v>
      </c>
      <c r="L3278">
        <v>141.87039999999999</v>
      </c>
      <c r="M3278">
        <v>-0.99991920000000001</v>
      </c>
      <c r="N3278">
        <v>-9.5709149999999993E-3</v>
      </c>
      <c r="O3278">
        <v>-8.3828659999999992E-3</v>
      </c>
      <c r="P3278">
        <v>-0.98198839999999998</v>
      </c>
      <c r="Q3278">
        <v>0.18597430000000001</v>
      </c>
      <c r="R3278">
        <v>-3.3354839999999997E-2</v>
      </c>
      <c r="S3278">
        <v>-3.0700530000000001</v>
      </c>
      <c r="T3278">
        <v>-6.8871260000000004E-2</v>
      </c>
      <c r="U3278">
        <v>7.4630740000000001E-2</v>
      </c>
      <c r="V3278">
        <v>-2.5198689999999999E-2</v>
      </c>
      <c r="W3278">
        <v>0.1953568</v>
      </c>
      <c r="X3278">
        <v>0.98040850000000002</v>
      </c>
      <c r="Y3278">
        <v>3.2669589999999998E-2</v>
      </c>
      <c r="Z3278">
        <v>6.3052799999999999E-4</v>
      </c>
      <c r="AA3278">
        <v>0.99946599999999997</v>
      </c>
      <c r="AB3278">
        <v>33</v>
      </c>
      <c r="AC3278">
        <v>-49.159299999999902</v>
      </c>
      <c r="AD3278">
        <v>-1.110046536337</v>
      </c>
      <c r="AE3278">
        <v>1.2056</v>
      </c>
      <c r="AF3278">
        <v>1.6168483686748301</v>
      </c>
      <c r="AG3278">
        <v>-1.110046536337</v>
      </c>
      <c r="AH3278">
        <v>49.1224340297344</v>
      </c>
      <c r="AI3278">
        <v>91.293823360078093</v>
      </c>
      <c r="AJ3278">
        <v>88.114809310969207</v>
      </c>
      <c r="AK3278">
        <v>49.161569614544703</v>
      </c>
      <c r="AL3278">
        <v>78.734432853677305</v>
      </c>
      <c r="AM3278">
        <v>91.472305462272203</v>
      </c>
      <c r="AN3278">
        <v>1.0000000400780999</v>
      </c>
    </row>
    <row r="3279" spans="1:40" x14ac:dyDescent="0.25">
      <c r="A3279" t="str">
        <f>"20190304155436748"</f>
        <v>20190304155436748</v>
      </c>
      <c r="B3279" t="str">
        <f>"1551686076740870"</f>
        <v>1551686076740870</v>
      </c>
      <c r="C3279" t="s">
        <v>40</v>
      </c>
      <c r="D3279">
        <v>4.6858089999999999</v>
      </c>
      <c r="E3279">
        <v>0.51811649999999998</v>
      </c>
      <c r="F3279" t="s">
        <v>46</v>
      </c>
      <c r="G3279">
        <v>-278.8707</v>
      </c>
      <c r="H3279" s="1">
        <v>-1.3630959999999901E-6</v>
      </c>
      <c r="I3279">
        <v>142.98480000000001</v>
      </c>
      <c r="J3279">
        <v>-229.69380000000001</v>
      </c>
      <c r="K3279">
        <v>1.11007099999999</v>
      </c>
      <c r="L3279">
        <v>141.8673</v>
      </c>
      <c r="M3279">
        <v>-0.99991660000000004</v>
      </c>
      <c r="N3279">
        <v>-9.5749719999999993E-3</v>
      </c>
      <c r="O3279">
        <v>-8.6837470000000003E-3</v>
      </c>
      <c r="P3279">
        <v>-0.98189380000000004</v>
      </c>
      <c r="Q3279">
        <v>0.18622459999999999</v>
      </c>
      <c r="R3279">
        <v>-3.4717270000000001E-2</v>
      </c>
      <c r="S3279">
        <v>-3.0704039999999999</v>
      </c>
      <c r="T3279">
        <v>-6.8845149999999994E-2</v>
      </c>
      <c r="U3279">
        <v>6.9122310000000006E-2</v>
      </c>
      <c r="V3279">
        <v>-2.627912E-2</v>
      </c>
      <c r="W3279">
        <v>0.1956079</v>
      </c>
      <c r="X3279">
        <v>0.98033000000000003</v>
      </c>
      <c r="Y3279">
        <v>3.1175950000000001E-2</v>
      </c>
      <c r="Z3279">
        <v>6.1026319999999995E-4</v>
      </c>
      <c r="AA3279">
        <v>0.99951369999999895</v>
      </c>
      <c r="AB3279">
        <v>33</v>
      </c>
      <c r="AC3279">
        <v>-49.176899999999897</v>
      </c>
      <c r="AD3279">
        <v>-1.1100723630960001</v>
      </c>
      <c r="AE3279">
        <v>1.1174999999999999</v>
      </c>
      <c r="AF3279">
        <v>1.5437309429422199</v>
      </c>
      <c r="AG3279">
        <v>-1.1100723630960001</v>
      </c>
      <c r="AH3279">
        <v>49.140314963890198</v>
      </c>
      <c r="AI3279">
        <v>91.293445125312402</v>
      </c>
      <c r="AJ3279">
        <v>88.200658898013501</v>
      </c>
      <c r="AK3279">
        <v>49.177087354029403</v>
      </c>
      <c r="AL3279">
        <v>78.719762124370703</v>
      </c>
      <c r="AM3279">
        <v>91.5355259636912</v>
      </c>
      <c r="AN3279">
        <v>0.99999997579519195</v>
      </c>
    </row>
    <row r="3280" spans="1:40" x14ac:dyDescent="0.25">
      <c r="A3280" t="str">
        <f>"20190304155436770"</f>
        <v>20190304155436770</v>
      </c>
      <c r="B3280" t="str">
        <f>"1551686076760389"</f>
        <v>1551686076760389</v>
      </c>
      <c r="C3280" t="s">
        <v>40</v>
      </c>
      <c r="D3280">
        <v>4.6547260000000001</v>
      </c>
      <c r="E3280">
        <v>0.51768130000000001</v>
      </c>
      <c r="F3280" t="s">
        <v>46</v>
      </c>
      <c r="G3280">
        <v>-278.4477</v>
      </c>
      <c r="H3280" s="1">
        <v>-1.5112320000000001E-6</v>
      </c>
      <c r="I3280">
        <v>142.8596</v>
      </c>
      <c r="J3280">
        <v>-230.01179999999999</v>
      </c>
      <c r="K3280">
        <v>1.1100859999999999</v>
      </c>
      <c r="L3280">
        <v>141.86429999999999</v>
      </c>
      <c r="M3280">
        <v>-0.99991379999999996</v>
      </c>
      <c r="N3280">
        <v>-9.579097E-3</v>
      </c>
      <c r="O3280">
        <v>-8.9852130000000006E-3</v>
      </c>
      <c r="P3280">
        <v>-0.98183310000000001</v>
      </c>
      <c r="Q3280">
        <v>0.1861244</v>
      </c>
      <c r="R3280">
        <v>-3.689895E-2</v>
      </c>
      <c r="S3280">
        <v>-3.07077</v>
      </c>
      <c r="T3280">
        <v>-6.9918040000000001E-2</v>
      </c>
      <c r="U3280">
        <v>6.25E-2</v>
      </c>
      <c r="V3280">
        <v>-2.8173299999999998E-2</v>
      </c>
      <c r="W3280">
        <v>0.19550970000000001</v>
      </c>
      <c r="X3280">
        <v>0.98029699999999997</v>
      </c>
      <c r="Y3280">
        <v>2.932036E-2</v>
      </c>
      <c r="Z3280">
        <v>5.9267580000000003E-4</v>
      </c>
      <c r="AA3280">
        <v>0.99956990000000001</v>
      </c>
      <c r="AB3280">
        <v>33</v>
      </c>
      <c r="AC3280">
        <v>-48.435899999999997</v>
      </c>
      <c r="AD3280">
        <v>-1.1100875112319999</v>
      </c>
      <c r="AE3280">
        <v>0.99530000000001395</v>
      </c>
      <c r="AF3280">
        <v>1.42973596772964</v>
      </c>
      <c r="AG3280">
        <v>-1.1100875112319999</v>
      </c>
      <c r="AH3280">
        <v>48.399589224170803</v>
      </c>
      <c r="AI3280">
        <v>91.313326468804803</v>
      </c>
      <c r="AJ3280">
        <v>88.307960405008004</v>
      </c>
      <c r="AK3280">
        <v>48.433425196742803</v>
      </c>
      <c r="AL3280">
        <v>78.725499540016202</v>
      </c>
      <c r="AM3280">
        <v>91.6462020993105</v>
      </c>
      <c r="AN3280">
        <v>0.99999999291799002</v>
      </c>
    </row>
    <row r="3281" spans="1:40" x14ac:dyDescent="0.25">
      <c r="A3281" t="str">
        <f>"20190304155436816"</f>
        <v>20190304155436816</v>
      </c>
      <c r="B3281" t="str">
        <f>"1551686076810165"</f>
        <v>1551686076810165</v>
      </c>
      <c r="C3281" t="s">
        <v>40</v>
      </c>
      <c r="D3281">
        <v>4.6008680000000002</v>
      </c>
      <c r="E3281">
        <v>0.47918080000000002</v>
      </c>
      <c r="F3281" t="s">
        <v>46</v>
      </c>
      <c r="G3281">
        <v>-276.90750000000003</v>
      </c>
      <c r="H3281" s="1">
        <v>-2.1171239999999998E-6</v>
      </c>
      <c r="I3281">
        <v>142.6534</v>
      </c>
      <c r="J3281">
        <v>-230.70590000000001</v>
      </c>
      <c r="K3281">
        <v>1.110098</v>
      </c>
      <c r="L3281">
        <v>141.85740000000001</v>
      </c>
      <c r="M3281">
        <v>-0.99990760000000001</v>
      </c>
      <c r="N3281">
        <v>-9.5886870000000003E-3</v>
      </c>
      <c r="O3281">
        <v>-9.6489239999999997E-3</v>
      </c>
      <c r="P3281">
        <v>-0.98181370000000001</v>
      </c>
      <c r="Q3281">
        <v>0.1857019</v>
      </c>
      <c r="R3281">
        <v>-3.9455900000000002E-2</v>
      </c>
      <c r="S3281">
        <v>-3.0712280000000001</v>
      </c>
      <c r="T3281">
        <v>-7.2700500000000001E-2</v>
      </c>
      <c r="U3281">
        <v>5.1681520000000002E-2</v>
      </c>
      <c r="V3281">
        <v>-3.0089029999999999E-2</v>
      </c>
      <c r="W3281">
        <v>0.19509399999999999</v>
      </c>
      <c r="X3281">
        <v>0.9803229</v>
      </c>
      <c r="Y3281">
        <v>2.6461109999999999E-2</v>
      </c>
      <c r="Z3281">
        <v>5.7587169999999996E-4</v>
      </c>
      <c r="AA3281">
        <v>0.99964969999999997</v>
      </c>
      <c r="AB3281">
        <v>33</v>
      </c>
      <c r="AC3281">
        <v>-46.201599999999999</v>
      </c>
      <c r="AD3281">
        <v>-1.1101001171239999</v>
      </c>
      <c r="AE3281">
        <v>0.79599999999999205</v>
      </c>
      <c r="AF3281">
        <v>1.24106283984622</v>
      </c>
      <c r="AG3281">
        <v>-1.1101001171239999</v>
      </c>
      <c r="AH3281">
        <v>46.165124380587798</v>
      </c>
      <c r="AI3281">
        <v>91.376988361590804</v>
      </c>
      <c r="AJ3281">
        <v>88.460081255760102</v>
      </c>
      <c r="AK3281">
        <v>46.195143341239103</v>
      </c>
      <c r="AL3281">
        <v>78.749785177366704</v>
      </c>
      <c r="AM3281">
        <v>91.7580262305285</v>
      </c>
      <c r="AN3281">
        <v>1.00000000341337</v>
      </c>
    </row>
    <row r="3282" spans="1:40" x14ac:dyDescent="0.25">
      <c r="A3282" t="str">
        <f>"20190304155436857"</f>
        <v>20190304155436857</v>
      </c>
      <c r="B3282" t="str">
        <f>"1551686076850181"</f>
        <v>1551686076850181</v>
      </c>
      <c r="C3282" t="s">
        <v>40</v>
      </c>
      <c r="D3282">
        <v>4.5229520000000001</v>
      </c>
      <c r="E3282">
        <v>0.47690139999999998</v>
      </c>
      <c r="F3282" t="s">
        <v>46</v>
      </c>
      <c r="G3282">
        <v>-278.06220000000002</v>
      </c>
      <c r="H3282" s="1">
        <v>-1.142697E-6</v>
      </c>
      <c r="I3282">
        <v>137.761</v>
      </c>
      <c r="J3282">
        <v>-231.3175</v>
      </c>
      <c r="K3282">
        <v>1.1101129999999999</v>
      </c>
      <c r="L3282">
        <v>141.8509</v>
      </c>
      <c r="M3282">
        <v>-0.99990179999999995</v>
      </c>
      <c r="N3282">
        <v>-9.5976910000000002E-3</v>
      </c>
      <c r="O3282">
        <v>-1.0220730000000001E-2</v>
      </c>
      <c r="P3282">
        <v>-0.98189649999999995</v>
      </c>
      <c r="Q3282">
        <v>0.1851323</v>
      </c>
      <c r="R3282">
        <v>-4.007314E-2</v>
      </c>
      <c r="S3282">
        <v>-3.058487</v>
      </c>
      <c r="T3282">
        <v>-7.1695330000000002E-2</v>
      </c>
      <c r="U3282">
        <v>-0.26455689999999998</v>
      </c>
      <c r="V3282">
        <v>-3.0149949999999998E-2</v>
      </c>
      <c r="W3282">
        <v>0.1945337</v>
      </c>
      <c r="X3282">
        <v>0.98043239999999998</v>
      </c>
      <c r="Y3282">
        <v>-7.5961520000000005E-2</v>
      </c>
      <c r="Z3282">
        <v>-1.112668E-3</v>
      </c>
      <c r="AA3282">
        <v>0.9971101</v>
      </c>
      <c r="AB3282">
        <v>33</v>
      </c>
      <c r="AC3282">
        <v>-46.744700000000002</v>
      </c>
      <c r="AD3282">
        <v>-1.11011414269699</v>
      </c>
      <c r="AE3282">
        <v>-4.0899000000000001</v>
      </c>
      <c r="AF3282">
        <v>-3.6098789693262701</v>
      </c>
      <c r="AG3282">
        <v>-1.11011414269699</v>
      </c>
      <c r="AH3282">
        <v>46.757891257241504</v>
      </c>
      <c r="AI3282">
        <v>91.356012872462699</v>
      </c>
      <c r="AJ3282">
        <v>94.414685003412103</v>
      </c>
      <c r="AK3282">
        <v>46.910169200366603</v>
      </c>
      <c r="AL3282">
        <v>78.782515464666503</v>
      </c>
      <c r="AM3282">
        <v>91.761386773038794</v>
      </c>
      <c r="AN3282">
        <v>1.0000000354452201</v>
      </c>
    </row>
    <row r="3283" spans="1:40" x14ac:dyDescent="0.25">
      <c r="A3283" t="str">
        <f>"20190304155436881"</f>
        <v>20190304155436881</v>
      </c>
      <c r="B3283" t="str">
        <f>"1551686076870677"</f>
        <v>1551686076870677</v>
      </c>
      <c r="C3283" t="s">
        <v>40</v>
      </c>
      <c r="D3283">
        <v>4.4942510000000002</v>
      </c>
      <c r="E3283">
        <v>0.47676410000000002</v>
      </c>
      <c r="F3283" t="s">
        <v>46</v>
      </c>
      <c r="G3283">
        <v>-277.04880000000003</v>
      </c>
      <c r="H3283" s="1">
        <v>-1.6110520000000001E-6</v>
      </c>
      <c r="I3283">
        <v>137.57149999999999</v>
      </c>
      <c r="J3283">
        <v>-231.6677</v>
      </c>
      <c r="K3283">
        <v>1.1101190000000001</v>
      </c>
      <c r="L3283">
        <v>141.84700000000001</v>
      </c>
      <c r="M3283">
        <v>-0.99989839999999997</v>
      </c>
      <c r="N3283">
        <v>-9.6028510000000008E-3</v>
      </c>
      <c r="O3283">
        <v>-1.0544E-2</v>
      </c>
      <c r="P3283">
        <v>-0.98191510000000004</v>
      </c>
      <c r="Q3283">
        <v>0.18499850000000001</v>
      </c>
      <c r="R3283">
        <v>-4.0228439999999997E-2</v>
      </c>
      <c r="S3283">
        <v>-3.057617</v>
      </c>
      <c r="T3283">
        <v>-7.4222800000000005E-2</v>
      </c>
      <c r="U3283">
        <v>-0.28611760000000003</v>
      </c>
      <c r="V3283">
        <v>-2.9990369999999999E-2</v>
      </c>
      <c r="W3283">
        <v>0.19440460000000001</v>
      </c>
      <c r="X3283">
        <v>0.98046279999999997</v>
      </c>
      <c r="Y3283">
        <v>-8.2631919999999998E-2</v>
      </c>
      <c r="Z3283">
        <v>-1.244024E-3</v>
      </c>
      <c r="AA3283">
        <v>0.99657929999999995</v>
      </c>
      <c r="AB3283">
        <v>33</v>
      </c>
      <c r="AC3283">
        <v>-45.381100000000004</v>
      </c>
      <c r="AD3283">
        <v>-1.1101206110519899</v>
      </c>
      <c r="AE3283">
        <v>-4.2755000000000196</v>
      </c>
      <c r="AF3283">
        <v>-3.7944913311453901</v>
      </c>
      <c r="AG3283">
        <v>-1.1101206110519899</v>
      </c>
      <c r="AH3283">
        <v>45.396733677639801</v>
      </c>
      <c r="AI3283">
        <v>91.395951820743093</v>
      </c>
      <c r="AJ3283">
        <v>94.777968086946103</v>
      </c>
      <c r="AK3283">
        <v>45.568563295673201</v>
      </c>
      <c r="AL3283">
        <v>78.790055190986905</v>
      </c>
      <c r="AM3283">
        <v>91.752015503929499</v>
      </c>
      <c r="AN3283">
        <v>0.99999993648886598</v>
      </c>
    </row>
    <row r="3284" spans="1:40" x14ac:dyDescent="0.25">
      <c r="A3284" t="str">
        <f>"20190304155436902"</f>
        <v>20190304155436902</v>
      </c>
      <c r="B3284" t="str">
        <f>"1551686076890200"</f>
        <v>1551686076890200</v>
      </c>
      <c r="C3284" t="s">
        <v>40</v>
      </c>
      <c r="D3284">
        <v>4.517226</v>
      </c>
      <c r="E3284">
        <v>0.4771106</v>
      </c>
      <c r="F3284" t="s">
        <v>46</v>
      </c>
      <c r="G3284">
        <v>-277.91379999999998</v>
      </c>
      <c r="H3284" s="1">
        <v>-1.2622340000000001E-6</v>
      </c>
      <c r="I3284">
        <v>137.488</v>
      </c>
      <c r="J3284">
        <v>-231.98990000000001</v>
      </c>
      <c r="K3284">
        <v>1.1101179999999999</v>
      </c>
      <c r="L3284">
        <v>141.8433</v>
      </c>
      <c r="M3284">
        <v>-0.99989519999999998</v>
      </c>
      <c r="N3284">
        <v>-9.6077130000000004E-3</v>
      </c>
      <c r="O3284">
        <v>-1.083779E-2</v>
      </c>
      <c r="P3284">
        <v>-0.98196209999999995</v>
      </c>
      <c r="Q3284">
        <v>0.18479809999999999</v>
      </c>
      <c r="R3284">
        <v>-4.0001229999999999E-2</v>
      </c>
      <c r="S3284">
        <v>-3.0572970000000002</v>
      </c>
      <c r="T3284">
        <v>-7.3389289999999996E-2</v>
      </c>
      <c r="U3284">
        <v>-0.28816219999999998</v>
      </c>
      <c r="V3284">
        <v>-2.9474920000000002E-2</v>
      </c>
      <c r="W3284">
        <v>0.19420950000000001</v>
      </c>
      <c r="X3284">
        <v>0.98051710000000003</v>
      </c>
      <c r="Y3284">
        <v>-8.3009920000000001E-2</v>
      </c>
      <c r="Z3284">
        <v>-1.2381009999999999E-3</v>
      </c>
      <c r="AA3284">
        <v>0.99654790000000004</v>
      </c>
      <c r="AB3284">
        <v>33</v>
      </c>
      <c r="AC3284">
        <v>-45.923899999999897</v>
      </c>
      <c r="AD3284">
        <v>-1.1101192622339999</v>
      </c>
      <c r="AE3284">
        <v>-4.3552999999999997</v>
      </c>
      <c r="AF3284">
        <v>-3.8550750994077299</v>
      </c>
      <c r="AG3284">
        <v>-1.1101192622339999</v>
      </c>
      <c r="AH3284">
        <v>45.9418005214945</v>
      </c>
      <c r="AI3284">
        <v>91.379357104433197</v>
      </c>
      <c r="AJ3284">
        <v>94.796574951391804</v>
      </c>
      <c r="AK3284">
        <v>46.1166239435981</v>
      </c>
      <c r="AL3284">
        <v>78.801450853408099</v>
      </c>
      <c r="AM3284">
        <v>91.721826277277501</v>
      </c>
      <c r="AN3284">
        <v>0.99999994209583098</v>
      </c>
    </row>
    <row r="3285" spans="1:40" x14ac:dyDescent="0.25">
      <c r="A3285" t="str">
        <f>"20190304155436925"</f>
        <v>20190304155436925</v>
      </c>
      <c r="B3285" t="str">
        <f>"1551686076920453"</f>
        <v>1551686076920453</v>
      </c>
      <c r="C3285" t="s">
        <v>40</v>
      </c>
      <c r="D3285">
        <v>4.4902860000000002</v>
      </c>
      <c r="E3285">
        <v>0.47778219999999999</v>
      </c>
      <c r="F3285" t="s">
        <v>62</v>
      </c>
      <c r="G3285">
        <v>-280.89550000000003</v>
      </c>
      <c r="H3285" s="1">
        <v>-3.0987660000000002E-6</v>
      </c>
      <c r="I3285">
        <v>137.27969999999999</v>
      </c>
      <c r="J3285">
        <v>-232.32980000000001</v>
      </c>
      <c r="K3285">
        <v>1.110115</v>
      </c>
      <c r="L3285">
        <v>141.83930000000001</v>
      </c>
      <c r="M3285">
        <v>-0.9998918</v>
      </c>
      <c r="N3285">
        <v>-9.6129719999999991E-3</v>
      </c>
      <c r="O3285">
        <v>-1.113831E-2</v>
      </c>
      <c r="P3285">
        <v>-0.98212639999999995</v>
      </c>
      <c r="Q3285">
        <v>0.18403420000000001</v>
      </c>
      <c r="R3285">
        <v>-3.9490209999999998E-2</v>
      </c>
      <c r="S3285">
        <v>-3.0565340000000001</v>
      </c>
      <c r="T3285">
        <v>-6.9381120000000004E-2</v>
      </c>
      <c r="U3285">
        <v>-0.28521729999999901</v>
      </c>
      <c r="V3285">
        <v>-2.866527E-2</v>
      </c>
      <c r="W3285">
        <v>0.1934536</v>
      </c>
      <c r="X3285">
        <v>0.98069059999999997</v>
      </c>
      <c r="Y3285">
        <v>-8.1785090000000005E-2</v>
      </c>
      <c r="Z3285">
        <v>-1.1747680000000001E-3</v>
      </c>
      <c r="AA3285">
        <v>0.99664929999999996</v>
      </c>
      <c r="AB3285">
        <v>33</v>
      </c>
      <c r="AC3285">
        <v>-48.5657</v>
      </c>
      <c r="AD3285">
        <v>-1.110118098766</v>
      </c>
      <c r="AE3285">
        <v>-4.5596000000000103</v>
      </c>
      <c r="AF3285">
        <v>-4.0162722013885102</v>
      </c>
      <c r="AG3285">
        <v>-1.110118098766</v>
      </c>
      <c r="AH3285">
        <v>48.588310480649703</v>
      </c>
      <c r="AI3285">
        <v>91.3043866823907</v>
      </c>
      <c r="AJ3285">
        <v>94.725282495762599</v>
      </c>
      <c r="AK3285">
        <v>48.766655820887202</v>
      </c>
      <c r="AL3285">
        <v>78.845598909092701</v>
      </c>
      <c r="AM3285">
        <v>91.674260452998496</v>
      </c>
      <c r="AN3285">
        <v>1.0000000229927399</v>
      </c>
    </row>
    <row r="3286" spans="1:40" x14ac:dyDescent="0.25">
      <c r="A3286" t="str">
        <f>"20190304155436946"</f>
        <v>20190304155436946</v>
      </c>
      <c r="B3286" t="str">
        <f>"1551686076940948"</f>
        <v>1551686076940948</v>
      </c>
      <c r="C3286" t="s">
        <v>40</v>
      </c>
      <c r="D3286">
        <v>4.4508580000000002</v>
      </c>
      <c r="E3286">
        <v>0.47796699999999998</v>
      </c>
      <c r="F3286" t="s">
        <v>62</v>
      </c>
      <c r="G3286">
        <v>-283.61219999999997</v>
      </c>
      <c r="H3286" s="1">
        <v>-4.2856629999999999E-6</v>
      </c>
      <c r="I3286">
        <v>137.1557</v>
      </c>
      <c r="J3286">
        <v>-232.65260000000001</v>
      </c>
      <c r="K3286">
        <v>1.110106</v>
      </c>
      <c r="L3286">
        <v>141.8355</v>
      </c>
      <c r="M3286">
        <v>-0.99988869999999996</v>
      </c>
      <c r="N3286">
        <v>-9.6179769999999998E-3</v>
      </c>
      <c r="O3286">
        <v>-1.141494E-2</v>
      </c>
      <c r="P3286">
        <v>-0.98218209999999995</v>
      </c>
      <c r="Q3286">
        <v>0.18371989999999999</v>
      </c>
      <c r="R3286">
        <v>-3.9562800000000002E-2</v>
      </c>
      <c r="S3286">
        <v>-3.0557560000000001</v>
      </c>
      <c r="T3286">
        <v>-6.6148399999999996E-2</v>
      </c>
      <c r="U3286">
        <v>-0.27908329999999998</v>
      </c>
      <c r="V3286">
        <v>-2.8462680000000001E-2</v>
      </c>
      <c r="W3286">
        <v>0.19314529999999999</v>
      </c>
      <c r="X3286">
        <v>0.9807572</v>
      </c>
      <c r="Y3286">
        <v>-7.9551819999999995E-2</v>
      </c>
      <c r="Z3286">
        <v>-1.105628E-3</v>
      </c>
      <c r="AA3286">
        <v>0.99683010000000005</v>
      </c>
      <c r="AB3286">
        <v>33</v>
      </c>
      <c r="AC3286">
        <v>-50.959599999999902</v>
      </c>
      <c r="AD3286">
        <v>-1.1101102856630001</v>
      </c>
      <c r="AE3286">
        <v>-4.6798000000000002</v>
      </c>
      <c r="AF3286">
        <v>-4.09584003264243</v>
      </c>
      <c r="AG3286">
        <v>-1.1101102856630001</v>
      </c>
      <c r="AH3286">
        <v>50.985708817197803</v>
      </c>
      <c r="AI3286">
        <v>91.243298148524204</v>
      </c>
      <c r="AJ3286">
        <v>94.592884598788501</v>
      </c>
      <c r="AK3286">
        <v>51.1620049842792</v>
      </c>
      <c r="AL3286">
        <v>78.863602022851296</v>
      </c>
      <c r="AM3286">
        <v>91.662321558566305</v>
      </c>
      <c r="AN3286">
        <v>0.99999995820835497</v>
      </c>
    </row>
    <row r="3287" spans="1:40" x14ac:dyDescent="0.25">
      <c r="A3287" t="str">
        <f>"20190304155436971"</f>
        <v>20190304155436971</v>
      </c>
      <c r="B3287" t="str">
        <f>"1551686076960469"</f>
        <v>1551686076960469</v>
      </c>
      <c r="C3287" t="s">
        <v>40</v>
      </c>
      <c r="D3287">
        <v>4.4347510000000003</v>
      </c>
      <c r="E3287">
        <v>0.47815210000000002</v>
      </c>
      <c r="F3287" t="s">
        <v>62</v>
      </c>
      <c r="G3287">
        <v>-284.15800000000002</v>
      </c>
      <c r="H3287" s="1">
        <v>-4.520761E-6</v>
      </c>
      <c r="I3287">
        <v>137.13749999999999</v>
      </c>
      <c r="J3287">
        <v>-233.00720000000001</v>
      </c>
      <c r="K3287">
        <v>1.1100939999999999</v>
      </c>
      <c r="L3287">
        <v>141.83109999999999</v>
      </c>
      <c r="M3287">
        <v>-0.99988520000000003</v>
      </c>
      <c r="N3287">
        <v>-9.623487E-3</v>
      </c>
      <c r="O3287">
        <v>-1.1702250000000001E-2</v>
      </c>
      <c r="P3287">
        <v>-0.98228070000000001</v>
      </c>
      <c r="Q3287">
        <v>0.1831605</v>
      </c>
      <c r="R3287">
        <v>-3.9713289999999998E-2</v>
      </c>
      <c r="S3287">
        <v>-3.0554960000000002</v>
      </c>
      <c r="T3287">
        <v>-6.5855979999999995E-2</v>
      </c>
      <c r="U3287">
        <v>-0.2787018</v>
      </c>
      <c r="V3287">
        <v>-2.8324120000000001E-2</v>
      </c>
      <c r="W3287">
        <v>0.19259270000000001</v>
      </c>
      <c r="X3287">
        <v>0.98086989999999996</v>
      </c>
      <c r="Y3287">
        <v>-7.9149949999999997E-2</v>
      </c>
      <c r="Z3287">
        <v>-1.0935789999999999E-3</v>
      </c>
      <c r="AA3287">
        <v>0.99686209999999997</v>
      </c>
      <c r="AB3287">
        <v>33</v>
      </c>
      <c r="AC3287">
        <v>-51.150799999999997</v>
      </c>
      <c r="AD3287">
        <v>-1.1100985207609999</v>
      </c>
      <c r="AE3287">
        <v>-4.6936</v>
      </c>
      <c r="AF3287">
        <v>-4.0927598210662701</v>
      </c>
      <c r="AG3287">
        <v>-1.1100985207609999</v>
      </c>
      <c r="AH3287">
        <v>51.178321844677903</v>
      </c>
      <c r="AI3287">
        <v>91.238643000626894</v>
      </c>
      <c r="AJ3287">
        <v>94.572246044114493</v>
      </c>
      <c r="AK3287">
        <v>51.353710951752703</v>
      </c>
      <c r="AL3287">
        <v>78.895869781053904</v>
      </c>
      <c r="AM3287">
        <v>91.654043707447101</v>
      </c>
      <c r="AN3287">
        <v>0.99999998229653697</v>
      </c>
    </row>
    <row r="3288" spans="1:40" x14ac:dyDescent="0.25">
      <c r="A3288" t="str">
        <f>"20190304155436993"</f>
        <v>20190304155436993</v>
      </c>
      <c r="B3288" t="str">
        <f>"1551686076990725"</f>
        <v>1551686076990725</v>
      </c>
      <c r="C3288" t="s">
        <v>40</v>
      </c>
      <c r="D3288">
        <v>4.4296199999999999</v>
      </c>
      <c r="E3288">
        <v>0.47830650000000002</v>
      </c>
      <c r="F3288" t="s">
        <v>62</v>
      </c>
      <c r="G3288">
        <v>-284.07150000000001</v>
      </c>
      <c r="H3288" s="1">
        <v>-4.5021160000000001E-6</v>
      </c>
      <c r="I3288">
        <v>137.18940000000001</v>
      </c>
      <c r="J3288">
        <v>-233.3502</v>
      </c>
      <c r="K3288">
        <v>1.1100760000000001</v>
      </c>
      <c r="L3288">
        <v>141.82689999999999</v>
      </c>
      <c r="M3288">
        <v>-0.99988239999999995</v>
      </c>
      <c r="N3288">
        <v>-9.6288339999999993E-3</v>
      </c>
      <c r="O3288">
        <v>-1.1953480000000001E-2</v>
      </c>
      <c r="P3288">
        <v>-0.98219670000000003</v>
      </c>
      <c r="Q3288">
        <v>0.18343799999999999</v>
      </c>
      <c r="R3288">
        <v>-4.0503070000000002E-2</v>
      </c>
      <c r="S3288">
        <v>-3.0552830000000002</v>
      </c>
      <c r="T3288">
        <v>-6.6419480000000003E-2</v>
      </c>
      <c r="U3288">
        <v>-0.27772520000000001</v>
      </c>
      <c r="V3288">
        <v>-2.8860810000000001E-2</v>
      </c>
      <c r="W3288">
        <v>0.19287579999999999</v>
      </c>
      <c r="X3288">
        <v>0.98079870000000002</v>
      </c>
      <c r="Y3288">
        <v>-7.8589599999999996E-2</v>
      </c>
      <c r="Z3288">
        <v>-1.0872150000000001E-3</v>
      </c>
      <c r="AA3288">
        <v>0.99690650000000003</v>
      </c>
      <c r="AB3288">
        <v>34</v>
      </c>
      <c r="AC3288">
        <v>-50.721299999999999</v>
      </c>
      <c r="AD3288">
        <v>-1.1100805021160001</v>
      </c>
      <c r="AE3288">
        <v>-4.6374999999999797</v>
      </c>
      <c r="AF3288">
        <v>-4.0289307871740698</v>
      </c>
      <c r="AG3288">
        <v>-1.1100805021160001</v>
      </c>
      <c r="AH3288">
        <v>50.749005844181703</v>
      </c>
      <c r="AI3288">
        <v>91.249155309137905</v>
      </c>
      <c r="AJ3288">
        <v>94.5391546303225</v>
      </c>
      <c r="AK3288">
        <v>50.920783145802098</v>
      </c>
      <c r="AL3288">
        <v>78.879340239233201</v>
      </c>
      <c r="AM3288">
        <v>91.685489163890296</v>
      </c>
      <c r="AN3288">
        <v>1.0000000552505901</v>
      </c>
    </row>
    <row r="3289" spans="1:40" x14ac:dyDescent="0.25">
      <c r="A3289" t="str">
        <f>"20190304155437017"</f>
        <v>20190304155437017</v>
      </c>
      <c r="B3289" t="str">
        <f>"1551686077010244"</f>
        <v>1551686077010244</v>
      </c>
      <c r="C3289" t="s">
        <v>40</v>
      </c>
      <c r="D3289">
        <v>4.4259079999999997</v>
      </c>
      <c r="E3289">
        <v>0.47837639999999998</v>
      </c>
      <c r="F3289" t="s">
        <v>62</v>
      </c>
      <c r="G3289">
        <v>-285.1644</v>
      </c>
      <c r="H3289" s="1">
        <v>-5.0027119999999999E-6</v>
      </c>
      <c r="I3289">
        <v>137.10149999999999</v>
      </c>
      <c r="J3289">
        <v>-233.6935</v>
      </c>
      <c r="K3289">
        <v>1.1100540000000001</v>
      </c>
      <c r="L3289">
        <v>141.82249999999999</v>
      </c>
      <c r="M3289">
        <v>-0.99987969999999904</v>
      </c>
      <c r="N3289">
        <v>-9.6341889999999996E-3</v>
      </c>
      <c r="O3289">
        <v>-1.2167900000000001E-2</v>
      </c>
      <c r="P3289">
        <v>-0.98216890000000001</v>
      </c>
      <c r="Q3289">
        <v>0.18352869999999999</v>
      </c>
      <c r="R3289">
        <v>-4.0763830000000001E-2</v>
      </c>
      <c r="S3289">
        <v>-3.0551300000000001</v>
      </c>
      <c r="T3289">
        <v>-6.5453890000000001E-2</v>
      </c>
      <c r="U3289">
        <v>-0.27862550000000003</v>
      </c>
      <c r="V3289">
        <v>-2.8899999999999999E-2</v>
      </c>
      <c r="W3289">
        <v>0.19297310000000001</v>
      </c>
      <c r="X3289">
        <v>0.98077829999999999</v>
      </c>
      <c r="Y3289">
        <v>-7.8672240000000004E-2</v>
      </c>
      <c r="Z3289">
        <v>-1.0776550000000001E-3</v>
      </c>
      <c r="AA3289">
        <v>0.99690000000000001</v>
      </c>
      <c r="AB3289">
        <v>34</v>
      </c>
      <c r="AC3289">
        <v>-51.4709</v>
      </c>
      <c r="AD3289">
        <v>-1.1100590027120001</v>
      </c>
      <c r="AE3289">
        <v>-4.7210000000000001</v>
      </c>
      <c r="AF3289">
        <v>-4.0924411117660204</v>
      </c>
      <c r="AG3289">
        <v>-1.1100590027120001</v>
      </c>
      <c r="AH3289">
        <v>51.500782087315599</v>
      </c>
      <c r="AI3289">
        <v>91.230895521766399</v>
      </c>
      <c r="AJ3289">
        <v>94.543385888248693</v>
      </c>
      <c r="AK3289">
        <v>51.675050661300197</v>
      </c>
      <c r="AL3289">
        <v>78.873657443226506</v>
      </c>
      <c r="AM3289">
        <v>91.687811646397094</v>
      </c>
      <c r="AN3289">
        <v>0.99999995053724799</v>
      </c>
    </row>
    <row r="3290" spans="1:40" x14ac:dyDescent="0.25">
      <c r="A3290" t="str">
        <f>"20190304155437038"</f>
        <v>20190304155437038</v>
      </c>
      <c r="B3290" t="str">
        <f>"1551686077030742"</f>
        <v>1551686077030742</v>
      </c>
      <c r="C3290" t="s">
        <v>40</v>
      </c>
      <c r="D3290">
        <v>4.4361819999999996</v>
      </c>
      <c r="E3290">
        <v>0.4784022</v>
      </c>
      <c r="F3290" t="s">
        <v>62</v>
      </c>
      <c r="G3290">
        <v>-286.5324</v>
      </c>
      <c r="H3290" s="1">
        <v>-5.8787969999999996E-6</v>
      </c>
      <c r="I3290">
        <v>136.9922</v>
      </c>
      <c r="J3290">
        <v>-234.0241</v>
      </c>
      <c r="K3290">
        <v>1.1100219999999901</v>
      </c>
      <c r="L3290">
        <v>141.8184</v>
      </c>
      <c r="M3290">
        <v>-0.99987769999999998</v>
      </c>
      <c r="N3290">
        <v>-9.6393659999999999E-3</v>
      </c>
      <c r="O3290">
        <v>-1.233037E-2</v>
      </c>
      <c r="P3290">
        <v>-0.98204860000000005</v>
      </c>
      <c r="Q3290">
        <v>0.1841158</v>
      </c>
      <c r="R3290">
        <v>-4.1016869999999997E-2</v>
      </c>
      <c r="S3290">
        <v>-3.0548860000000002</v>
      </c>
      <c r="T3290">
        <v>-6.4178230000000003E-2</v>
      </c>
      <c r="U3290">
        <v>-0.27926640000000003</v>
      </c>
      <c r="V3290">
        <v>-2.8980260000000001E-2</v>
      </c>
      <c r="W3290">
        <v>0.1935663</v>
      </c>
      <c r="X3290">
        <v>0.98065910000000001</v>
      </c>
      <c r="Y3290">
        <v>-7.872564E-2</v>
      </c>
      <c r="Z3290">
        <v>-1.065622E-3</v>
      </c>
      <c r="AA3290">
        <v>0.99689570000000005</v>
      </c>
      <c r="AB3290">
        <v>34</v>
      </c>
      <c r="AC3290">
        <v>-52.508299999999899</v>
      </c>
      <c r="AD3290">
        <v>-1.1100278787969999</v>
      </c>
      <c r="AE3290">
        <v>-4.8262</v>
      </c>
      <c r="AF3290">
        <v>-4.1765054896090898</v>
      </c>
      <c r="AG3290">
        <v>-1.1100278787969999</v>
      </c>
      <c r="AH3290">
        <v>52.5405356900812</v>
      </c>
      <c r="AI3290">
        <v>91.206507492336002</v>
      </c>
      <c r="AJ3290">
        <v>94.544948247391602</v>
      </c>
      <c r="AK3290">
        <v>52.7179594692088</v>
      </c>
      <c r="AL3290">
        <v>78.839017227825707</v>
      </c>
      <c r="AM3290">
        <v>91.692701856105003</v>
      </c>
      <c r="AN3290">
        <v>1.0000000191890801</v>
      </c>
    </row>
    <row r="3291" spans="1:40" x14ac:dyDescent="0.25">
      <c r="A3291" t="str">
        <f>"20190304155437059"</f>
        <v>20190304155437059</v>
      </c>
      <c r="B3291" t="str">
        <f>"1551686077050260"</f>
        <v>1551686077050260</v>
      </c>
      <c r="C3291" t="s">
        <v>40</v>
      </c>
      <c r="D3291">
        <v>4.4036920000000004</v>
      </c>
      <c r="E3291">
        <v>0.47835949999999999</v>
      </c>
      <c r="F3291" t="s">
        <v>62</v>
      </c>
      <c r="G3291">
        <v>-288.57569999999998</v>
      </c>
      <c r="H3291" s="1">
        <v>-7.0875749999999996E-6</v>
      </c>
      <c r="I3291">
        <v>136.81139999999999</v>
      </c>
      <c r="J3291">
        <v>-234.34559999999999</v>
      </c>
      <c r="K3291">
        <v>1.109982</v>
      </c>
      <c r="L3291">
        <v>141.8143</v>
      </c>
      <c r="M3291">
        <v>-0.99987610000000005</v>
      </c>
      <c r="N3291">
        <v>-9.6444559999999992E-3</v>
      </c>
      <c r="O3291">
        <v>-1.2442480000000001E-2</v>
      </c>
      <c r="P3291">
        <v>-0.98196600000000001</v>
      </c>
      <c r="Q3291">
        <v>0.18458759999999999</v>
      </c>
      <c r="R3291">
        <v>-4.0870400000000001E-2</v>
      </c>
      <c r="S3291">
        <v>-3.0547939999999998</v>
      </c>
      <c r="T3291">
        <v>-6.2159779999999998E-2</v>
      </c>
      <c r="U3291">
        <v>-0.28038020000000002</v>
      </c>
      <c r="V3291">
        <v>-2.870721E-2</v>
      </c>
      <c r="W3291">
        <v>0.19404489999999999</v>
      </c>
      <c r="X3291">
        <v>0.98057249999999996</v>
      </c>
      <c r="Y3291">
        <v>-7.8978199999999998E-2</v>
      </c>
      <c r="Z3291">
        <v>-1.0506630000000001E-3</v>
      </c>
      <c r="AA3291">
        <v>0.99687579999999998</v>
      </c>
      <c r="AB3291">
        <v>34</v>
      </c>
      <c r="AC3291">
        <v>-54.230099999999901</v>
      </c>
      <c r="AD3291">
        <v>-1.109989087575</v>
      </c>
      <c r="AE3291">
        <v>-5.0029000000000101</v>
      </c>
      <c r="AF3291">
        <v>-4.3259273535053602</v>
      </c>
      <c r="AG3291">
        <v>-1.109989087575</v>
      </c>
      <c r="AH3291">
        <v>54.265610565071199</v>
      </c>
      <c r="AI3291">
        <v>91.168102324617607</v>
      </c>
      <c r="AJ3291">
        <v>94.557846736816501</v>
      </c>
      <c r="AK3291">
        <v>54.449079085346398</v>
      </c>
      <c r="AL3291">
        <v>78.811065028790097</v>
      </c>
      <c r="AM3291">
        <v>91.6769104842828</v>
      </c>
      <c r="AN3291">
        <v>0.99999997743912095</v>
      </c>
    </row>
    <row r="3292" spans="1:40" x14ac:dyDescent="0.25">
      <c r="A3292" t="str">
        <f>"20190304155437082"</f>
        <v>20190304155437082</v>
      </c>
      <c r="B3292" t="str">
        <f>"1551686077070760"</f>
        <v>1551686077070760</v>
      </c>
      <c r="C3292" t="s">
        <v>40</v>
      </c>
      <c r="D3292">
        <v>4.4405890000000001</v>
      </c>
      <c r="E3292">
        <v>0.47838819999999999</v>
      </c>
      <c r="F3292" t="s">
        <v>62</v>
      </c>
      <c r="G3292">
        <v>-290.11720000000003</v>
      </c>
      <c r="H3292" s="1">
        <v>-7.8877469999999993E-6</v>
      </c>
      <c r="I3292">
        <v>136.67920000000001</v>
      </c>
      <c r="J3292">
        <v>-234.6833</v>
      </c>
      <c r="K3292">
        <v>1.1099460000000001</v>
      </c>
      <c r="L3292">
        <v>141.81</v>
      </c>
      <c r="M3292">
        <v>-0.99987510000000002</v>
      </c>
      <c r="N3292">
        <v>-9.6498469999999996E-3</v>
      </c>
      <c r="O3292">
        <v>-1.2518710000000001E-2</v>
      </c>
      <c r="P3292">
        <v>-0.98183500000000001</v>
      </c>
      <c r="Q3292">
        <v>0.1852579</v>
      </c>
      <c r="R3292">
        <v>-4.0985809999999998E-2</v>
      </c>
      <c r="S3292">
        <v>-3.0548099999999998</v>
      </c>
      <c r="T3292">
        <v>-6.0798169999999999E-2</v>
      </c>
      <c r="U3292">
        <v>-0.2812653</v>
      </c>
      <c r="V3292">
        <v>-2.8732270000000001E-2</v>
      </c>
      <c r="W3292">
        <v>0.19472220000000001</v>
      </c>
      <c r="X3292">
        <v>0.98043749999999996</v>
      </c>
      <c r="Y3292">
        <v>-7.9188880000000003E-2</v>
      </c>
      <c r="Z3292">
        <v>-1.0412399999999999E-3</v>
      </c>
      <c r="AA3292">
        <v>0.9968591</v>
      </c>
      <c r="AB3292">
        <v>34</v>
      </c>
      <c r="AC3292">
        <v>-55.433900000000001</v>
      </c>
      <c r="AD3292">
        <v>-1.1099538877470001</v>
      </c>
      <c r="AE3292">
        <v>-5.13079999999999</v>
      </c>
      <c r="AF3292">
        <v>-4.4346418495545201</v>
      </c>
      <c r="AG3292">
        <v>-1.1099538877470001</v>
      </c>
      <c r="AH3292">
        <v>55.4717387746892</v>
      </c>
      <c r="AI3292">
        <v>91.142654201016398</v>
      </c>
      <c r="AJ3292">
        <v>94.570742492479795</v>
      </c>
      <c r="AK3292">
        <v>55.6597866385967</v>
      </c>
      <c r="AL3292">
        <v>78.771504078118099</v>
      </c>
      <c r="AM3292">
        <v>91.678604477915997</v>
      </c>
      <c r="AN3292">
        <v>0.99999998495922104</v>
      </c>
    </row>
    <row r="3293" spans="1:40" x14ac:dyDescent="0.25">
      <c r="A3293" t="str">
        <f>"20190304155437103"</f>
        <v>20190304155437103</v>
      </c>
      <c r="B3293" t="str">
        <f>"1551686077100037"</f>
        <v>1551686077100037</v>
      </c>
      <c r="C3293" t="s">
        <v>40</v>
      </c>
      <c r="D3293">
        <v>4.4929189999999997</v>
      </c>
      <c r="E3293">
        <v>0.4784119</v>
      </c>
      <c r="F3293" t="s">
        <v>62</v>
      </c>
      <c r="G3293">
        <v>-292.58690000000001</v>
      </c>
      <c r="H3293" s="1">
        <v>-7.5958969999999997E-6</v>
      </c>
      <c r="I3293">
        <v>136.465</v>
      </c>
      <c r="J3293">
        <v>-235.0085</v>
      </c>
      <c r="K3293">
        <v>1.1099220000000001</v>
      </c>
      <c r="L3293">
        <v>141.80590000000001</v>
      </c>
      <c r="M3293">
        <v>-0.99987470000000001</v>
      </c>
      <c r="N3293">
        <v>-9.6550490000000006E-3</v>
      </c>
      <c r="O3293">
        <v>-1.25594E-2</v>
      </c>
      <c r="P3293">
        <v>-0.98179450000000001</v>
      </c>
      <c r="Q3293">
        <v>0.18555140000000001</v>
      </c>
      <c r="R3293">
        <v>-4.0628299999999999E-2</v>
      </c>
      <c r="S3293">
        <v>-3.0547789999999999</v>
      </c>
      <c r="T3293">
        <v>-5.8557030000000003E-2</v>
      </c>
      <c r="U3293">
        <v>-0.28198240000000002</v>
      </c>
      <c r="V3293">
        <v>-2.832148E-2</v>
      </c>
      <c r="W3293">
        <v>0.19502240000000001</v>
      </c>
      <c r="X3293">
        <v>0.98038979999999998</v>
      </c>
      <c r="Y3293">
        <v>-7.9382549999999996E-2</v>
      </c>
      <c r="Z3293">
        <v>-1.0240970000000001E-3</v>
      </c>
      <c r="AA3293">
        <v>0.9968437</v>
      </c>
      <c r="AB3293">
        <v>34</v>
      </c>
      <c r="AC3293">
        <v>-57.578400000000002</v>
      </c>
      <c r="AD3293">
        <v>-1.1099295958969999</v>
      </c>
      <c r="AE3293">
        <v>-5.3409000000000004</v>
      </c>
      <c r="AF3293">
        <v>-4.6155944738785504</v>
      </c>
      <c r="AG3293">
        <v>-1.1099295958969999</v>
      </c>
      <c r="AH3293">
        <v>57.619711215700399</v>
      </c>
      <c r="AI3293">
        <v>91.100030430104695</v>
      </c>
      <c r="AJ3293">
        <v>94.579866904544602</v>
      </c>
      <c r="AK3293">
        <v>57.814935584465204</v>
      </c>
      <c r="AL3293">
        <v>78.753967874603404</v>
      </c>
      <c r="AM3293">
        <v>91.654699089837905</v>
      </c>
      <c r="AN3293">
        <v>1.00000000133759</v>
      </c>
    </row>
    <row r="3294" spans="1:40" x14ac:dyDescent="0.25">
      <c r="A3294" t="str">
        <f>"20190304155437127"</f>
        <v>20190304155437127</v>
      </c>
      <c r="B3294" t="str">
        <f>"1551686077120534"</f>
        <v>1551686077120534</v>
      </c>
      <c r="C3294" t="s">
        <v>40</v>
      </c>
      <c r="D3294">
        <v>4.5638439999999996</v>
      </c>
      <c r="E3294">
        <v>0.50008969999999997</v>
      </c>
      <c r="F3294" t="s">
        <v>62</v>
      </c>
      <c r="G3294">
        <v>-294.13670000000002</v>
      </c>
      <c r="H3294" s="1">
        <v>-7.4222199999999902E-6</v>
      </c>
      <c r="I3294">
        <v>136.35769999999999</v>
      </c>
      <c r="J3294">
        <v>-235.35849999999999</v>
      </c>
      <c r="K3294">
        <v>1.109901</v>
      </c>
      <c r="L3294">
        <v>141.8015</v>
      </c>
      <c r="M3294">
        <v>-0.99987429999999999</v>
      </c>
      <c r="N3294">
        <v>-9.6606520000000005E-3</v>
      </c>
      <c r="O3294">
        <v>-1.2578239999999999E-2</v>
      </c>
      <c r="P3294">
        <v>-0.98194289999999995</v>
      </c>
      <c r="Q3294">
        <v>0.18486849999999999</v>
      </c>
      <c r="R3294">
        <v>-4.0150100000000001E-2</v>
      </c>
      <c r="S3294">
        <v>-3.0548099999999998</v>
      </c>
      <c r="T3294">
        <v>-5.7343600000000002E-2</v>
      </c>
      <c r="U3294">
        <v>-0.28147889999999998</v>
      </c>
      <c r="V3294">
        <v>-2.781291E-2</v>
      </c>
      <c r="W3294">
        <v>0.19434799999999999</v>
      </c>
      <c r="X3294">
        <v>0.98053820000000003</v>
      </c>
      <c r="Y3294">
        <v>-7.9200660000000006E-2</v>
      </c>
      <c r="Z3294">
        <v>-1.010878E-3</v>
      </c>
      <c r="AA3294">
        <v>0.99685820000000003</v>
      </c>
      <c r="AB3294">
        <v>34</v>
      </c>
      <c r="AC3294">
        <v>-58.778199999999998</v>
      </c>
      <c r="AD3294">
        <v>-1.10990842222</v>
      </c>
      <c r="AE3294">
        <v>-5.4438000000000004</v>
      </c>
      <c r="AF3294">
        <v>-4.7023461104825603</v>
      </c>
      <c r="AG3294">
        <v>-1.10990842222</v>
      </c>
      <c r="AH3294">
        <v>58.8212309227359</v>
      </c>
      <c r="AI3294">
        <v>91.0775591420268</v>
      </c>
      <c r="AJ3294">
        <v>94.570676586824405</v>
      </c>
      <c r="AK3294">
        <v>59.019328723006602</v>
      </c>
      <c r="AL3294">
        <v>78.793361140630594</v>
      </c>
      <c r="AM3294">
        <v>91.624755861313602</v>
      </c>
      <c r="AN3294">
        <v>0.99999993236295104</v>
      </c>
    </row>
    <row r="3295" spans="1:40" x14ac:dyDescent="0.25">
      <c r="A3295" t="str">
        <f>"20190304155437147"</f>
        <v>20190304155437147</v>
      </c>
      <c r="B3295" t="str">
        <f>"1551686077140053"</f>
        <v>1551686077140053</v>
      </c>
      <c r="C3295" t="s">
        <v>40</v>
      </c>
      <c r="D3295">
        <v>4.5445710000000004</v>
      </c>
      <c r="E3295">
        <v>0.50456029999999996</v>
      </c>
      <c r="F3295" t="s">
        <v>62</v>
      </c>
      <c r="G3295">
        <v>-308.69349999999997</v>
      </c>
      <c r="H3295" s="1">
        <v>-9.1801099999999994E-6</v>
      </c>
      <c r="I3295">
        <v>139.22630000000001</v>
      </c>
      <c r="J3295">
        <v>-235.68039999999999</v>
      </c>
      <c r="K3295">
        <v>1.109882</v>
      </c>
      <c r="L3295">
        <v>141.79740000000001</v>
      </c>
      <c r="M3295">
        <v>-0.99987420000000005</v>
      </c>
      <c r="N3295">
        <v>-9.6658239999999999E-3</v>
      </c>
      <c r="O3295">
        <v>-1.258097E-2</v>
      </c>
      <c r="P3295">
        <v>-0.98209270000000004</v>
      </c>
      <c r="Q3295">
        <v>0.18424850000000001</v>
      </c>
      <c r="R3295">
        <v>-3.9326390000000003E-2</v>
      </c>
      <c r="S3295">
        <v>-3.0594939999999999</v>
      </c>
      <c r="T3295">
        <v>-4.6304819999999997E-2</v>
      </c>
      <c r="U3295">
        <v>-0.10743709999999999</v>
      </c>
      <c r="V3295">
        <v>-2.6978370000000002E-2</v>
      </c>
      <c r="W3295">
        <v>0.1937352</v>
      </c>
      <c r="X3295">
        <v>0.98068279999999997</v>
      </c>
      <c r="Y3295">
        <v>-2.2513729999999999E-2</v>
      </c>
      <c r="Z3295">
        <v>-2.104121E-4</v>
      </c>
      <c r="AA3295">
        <v>0.99974649999999998</v>
      </c>
      <c r="AB3295">
        <v>34</v>
      </c>
      <c r="AC3295">
        <v>-73.013099999999895</v>
      </c>
      <c r="AD3295">
        <v>-1.10989118011</v>
      </c>
      <c r="AE3295">
        <v>-2.5710999999999999</v>
      </c>
      <c r="AF3295">
        <v>-1.6518967734715899</v>
      </c>
      <c r="AG3295">
        <v>-1.10989118011</v>
      </c>
      <c r="AH3295">
        <v>73.022816295002997</v>
      </c>
      <c r="AI3295">
        <v>90.870562462734995</v>
      </c>
      <c r="AJ3295">
        <v>91.295904188005593</v>
      </c>
      <c r="AK3295">
        <v>73.049930328752893</v>
      </c>
      <c r="AL3295">
        <v>78.829152549525304</v>
      </c>
      <c r="AM3295">
        <v>91.575796967029007</v>
      </c>
      <c r="AN3295">
        <v>0.99999995719136703</v>
      </c>
    </row>
    <row r="3296" spans="1:40" x14ac:dyDescent="0.25">
      <c r="A3296" t="str">
        <f>"20190304155437171"</f>
        <v>20190304155437171</v>
      </c>
      <c r="B3296" t="str">
        <f>"1551686077160549"</f>
        <v>1551686077160549</v>
      </c>
      <c r="C3296" t="s">
        <v>40</v>
      </c>
      <c r="D3296">
        <v>4.5524740000000001</v>
      </c>
      <c r="E3296">
        <v>0.50731990000000005</v>
      </c>
      <c r="F3296" t="s">
        <v>62</v>
      </c>
      <c r="G3296">
        <v>-302.46129999999999</v>
      </c>
      <c r="H3296" s="1">
        <v>-8.6101049999999994E-6</v>
      </c>
      <c r="I3296">
        <v>140.2893</v>
      </c>
      <c r="J3296">
        <v>-236.03139999999999</v>
      </c>
      <c r="K3296">
        <v>1.109872</v>
      </c>
      <c r="L3296">
        <v>141.79300000000001</v>
      </c>
      <c r="M3296">
        <v>-0.99987420000000005</v>
      </c>
      <c r="N3296">
        <v>-9.6714680000000008E-3</v>
      </c>
      <c r="O3296">
        <v>-1.257577E-2</v>
      </c>
      <c r="P3296">
        <v>-0.98247519999999999</v>
      </c>
      <c r="Q3296">
        <v>0.1822568</v>
      </c>
      <c r="R3296">
        <v>-3.905703E-2</v>
      </c>
      <c r="S3296">
        <v>-3.061493</v>
      </c>
      <c r="T3296">
        <v>-5.0881620000000002E-2</v>
      </c>
      <c r="U3296">
        <v>-6.9137569999999995E-2</v>
      </c>
      <c r="V3296">
        <v>-2.6705110000000001E-2</v>
      </c>
      <c r="W3296">
        <v>0.19175320000000001</v>
      </c>
      <c r="X3296">
        <v>0.98107979999999995</v>
      </c>
      <c r="Y3296">
        <v>-1.000039E-2</v>
      </c>
      <c r="Z3296" s="1">
        <v>-4.4119719999999998E-5</v>
      </c>
      <c r="AA3296">
        <v>0.99995000000000001</v>
      </c>
      <c r="AB3296">
        <v>34</v>
      </c>
      <c r="AC3296">
        <v>-66.429900000000004</v>
      </c>
      <c r="AD3296">
        <v>-1.1098806101050001</v>
      </c>
      <c r="AE3296">
        <v>-1.5037</v>
      </c>
      <c r="AF3296">
        <v>-0.66794854799606695</v>
      </c>
      <c r="AG3296">
        <v>-1.1098806101050001</v>
      </c>
      <c r="AH3296">
        <v>66.425024901456595</v>
      </c>
      <c r="AI3296">
        <v>90.957204667721697</v>
      </c>
      <c r="AJ3296">
        <v>90.576128393398093</v>
      </c>
      <c r="AK3296">
        <v>66.437654409157005</v>
      </c>
      <c r="AL3296">
        <v>78.944883493925701</v>
      </c>
      <c r="AM3296">
        <v>91.559212984787294</v>
      </c>
      <c r="AN3296">
        <v>1.00000001328919</v>
      </c>
    </row>
    <row r="3297" spans="1:40" x14ac:dyDescent="0.25">
      <c r="A3297" t="str">
        <f>"20190304155437193"</f>
        <v>20190304155437193</v>
      </c>
      <c r="B3297" t="str">
        <f>"1551686077190805"</f>
        <v>1551686077190805</v>
      </c>
      <c r="C3297" t="s">
        <v>40</v>
      </c>
      <c r="D3297">
        <v>4.6071169999999997</v>
      </c>
      <c r="E3297">
        <v>0.51079679999999905</v>
      </c>
      <c r="F3297" t="s">
        <v>62</v>
      </c>
      <c r="G3297">
        <v>-301.74259999999998</v>
      </c>
      <c r="H3297" s="1">
        <v>-8.6573230000000005E-6</v>
      </c>
      <c r="I3297">
        <v>140.79499999999999</v>
      </c>
      <c r="J3297">
        <v>-236.37119999999999</v>
      </c>
      <c r="K3297">
        <v>1.109853</v>
      </c>
      <c r="L3297">
        <v>141.78870000000001</v>
      </c>
      <c r="M3297">
        <v>-0.99987440000000005</v>
      </c>
      <c r="N3297">
        <v>-9.6769419999999991E-3</v>
      </c>
      <c r="O3297">
        <v>-1.2568569999999999E-2</v>
      </c>
      <c r="P3297">
        <v>-0.98276839999999999</v>
      </c>
      <c r="Q3297">
        <v>0.18071709999999999</v>
      </c>
      <c r="R3297">
        <v>-3.8834489999999999E-2</v>
      </c>
      <c r="S3297">
        <v>-3.0612490000000001</v>
      </c>
      <c r="T3297">
        <v>-5.1705359999999999E-2</v>
      </c>
      <c r="U3297">
        <v>-4.6493529999999998E-2</v>
      </c>
      <c r="V3297">
        <v>-2.6482510000000001E-2</v>
      </c>
      <c r="W3297">
        <v>0.19022220000000001</v>
      </c>
      <c r="X3297">
        <v>0.98138380000000003</v>
      </c>
      <c r="Y3297">
        <v>-2.6168540000000001E-3</v>
      </c>
      <c r="Z3297" s="1">
        <v>5.5866450000000001E-5</v>
      </c>
      <c r="AA3297">
        <v>0.99999660000000001</v>
      </c>
      <c r="AB3297">
        <v>34</v>
      </c>
      <c r="AC3297">
        <v>-65.371399999999994</v>
      </c>
      <c r="AD3297">
        <v>-1.109861657323</v>
      </c>
      <c r="AE3297">
        <v>-0.99370000000001801</v>
      </c>
      <c r="AF3297">
        <v>-0.17190864873321601</v>
      </c>
      <c r="AG3297">
        <v>-1.109861657323</v>
      </c>
      <c r="AH3297">
        <v>65.359890634775795</v>
      </c>
      <c r="AI3297">
        <v>90.972829931777099</v>
      </c>
      <c r="AJ3297">
        <v>90.150698191593904</v>
      </c>
      <c r="AK3297">
        <v>65.369539154500401</v>
      </c>
      <c r="AL3297">
        <v>79.034248025432802</v>
      </c>
      <c r="AM3297">
        <v>91.545743790875605</v>
      </c>
      <c r="AN3297">
        <v>0.99999998580559002</v>
      </c>
    </row>
    <row r="3298" spans="1:40" x14ac:dyDescent="0.25">
      <c r="A3298" t="str">
        <f>"20190304155437217"</f>
        <v>20190304155437217</v>
      </c>
      <c r="B3298" t="str">
        <f>"1551686077210325"</f>
        <v>1551686077210325</v>
      </c>
      <c r="C3298" t="s">
        <v>40</v>
      </c>
      <c r="D3298">
        <v>4.5876190000000001</v>
      </c>
      <c r="E3298">
        <v>0.51143070000000002</v>
      </c>
      <c r="F3298" t="s">
        <v>62</v>
      </c>
      <c r="G3298">
        <v>-296.6114</v>
      </c>
      <c r="H3298" s="1">
        <v>-8.8208759999999999E-6</v>
      </c>
      <c r="I3298">
        <v>141.42339999999999</v>
      </c>
      <c r="J3298">
        <v>-236.72540000000001</v>
      </c>
      <c r="K3298">
        <v>1.109836</v>
      </c>
      <c r="L3298">
        <v>141.7842</v>
      </c>
      <c r="M3298">
        <v>-0.99987429999999999</v>
      </c>
      <c r="N3298">
        <v>-9.6826680000000002E-3</v>
      </c>
      <c r="O3298">
        <v>-1.256269E-2</v>
      </c>
      <c r="P3298">
        <v>-0.98303669999999999</v>
      </c>
      <c r="Q3298">
        <v>0.179371</v>
      </c>
      <c r="R3298">
        <v>-3.8273260000000003E-2</v>
      </c>
      <c r="S3298">
        <v>-3.0622410000000002</v>
      </c>
      <c r="T3298">
        <v>-5.6418540000000003E-2</v>
      </c>
      <c r="U3298">
        <v>-1.8569950000000002E-2</v>
      </c>
      <c r="V3298">
        <v>-2.5921690000000001E-2</v>
      </c>
      <c r="W3298">
        <v>0.18888450000000001</v>
      </c>
      <c r="X3298">
        <v>0.98165709999999995</v>
      </c>
      <c r="Y3298">
        <v>6.4973030000000003E-3</v>
      </c>
      <c r="Z3298">
        <v>2.0109300000000001E-4</v>
      </c>
      <c r="AA3298">
        <v>0.9999789</v>
      </c>
      <c r="AB3298">
        <v>34</v>
      </c>
      <c r="AC3298">
        <v>-59.886000000000003</v>
      </c>
      <c r="AD3298">
        <v>-1.1098448208759999</v>
      </c>
      <c r="AE3298">
        <v>-0.360800000000011</v>
      </c>
      <c r="AF3298">
        <v>0.391458480886058</v>
      </c>
      <c r="AG3298">
        <v>-1.1098448208759999</v>
      </c>
      <c r="AH3298">
        <v>59.865246098112401</v>
      </c>
      <c r="AI3298">
        <v>91.062064981989806</v>
      </c>
      <c r="AJ3298">
        <v>89.625348585294105</v>
      </c>
      <c r="AK3298">
        <v>59.876812587647301</v>
      </c>
      <c r="AL3298">
        <v>79.112307670633299</v>
      </c>
      <c r="AM3298">
        <v>91.512603920938105</v>
      </c>
      <c r="AN3298">
        <v>0.99999997516655703</v>
      </c>
    </row>
    <row r="3299" spans="1:40" x14ac:dyDescent="0.25">
      <c r="A3299" t="str">
        <f>"20190304155437239"</f>
        <v>20190304155437239</v>
      </c>
      <c r="B3299" t="str">
        <f>"1551686077230821"</f>
        <v>1551686077230821</v>
      </c>
      <c r="C3299" t="s">
        <v>40</v>
      </c>
      <c r="D3299">
        <v>4.5680430000000003</v>
      </c>
      <c r="E3299">
        <v>0.51174220000000004</v>
      </c>
      <c r="F3299" t="s">
        <v>62</v>
      </c>
      <c r="G3299">
        <v>-293.73820000000001</v>
      </c>
      <c r="H3299" s="1">
        <v>-9.1067700000000002E-6</v>
      </c>
      <c r="I3299">
        <v>141.5504</v>
      </c>
      <c r="J3299">
        <v>-237.0745</v>
      </c>
      <c r="K3299">
        <v>1.1098250000000001</v>
      </c>
      <c r="L3299">
        <v>141.77979999999999</v>
      </c>
      <c r="M3299">
        <v>-0.99987420000000005</v>
      </c>
      <c r="N3299">
        <v>-9.6883349999999993E-3</v>
      </c>
      <c r="O3299">
        <v>-1.2559549999999999E-2</v>
      </c>
      <c r="P3299">
        <v>-0.98328309999999997</v>
      </c>
      <c r="Q3299">
        <v>0.17793709999999999</v>
      </c>
      <c r="R3299">
        <v>-3.8639809999999997E-2</v>
      </c>
      <c r="S3299">
        <v>-3.0621640000000001</v>
      </c>
      <c r="T3299">
        <v>-5.9609889999999999E-2</v>
      </c>
      <c r="U3299">
        <v>-1.255798E-2</v>
      </c>
      <c r="V3299">
        <v>-2.6285679999999999E-2</v>
      </c>
      <c r="W3299">
        <v>0.18745899999999999</v>
      </c>
      <c r="X3299">
        <v>0.98192069999999998</v>
      </c>
      <c r="Y3299">
        <v>8.456379E-3</v>
      </c>
      <c r="Z3299">
        <v>2.4605150000000001E-4</v>
      </c>
      <c r="AA3299">
        <v>0.99996419999999997</v>
      </c>
      <c r="AB3299">
        <v>34</v>
      </c>
      <c r="AC3299">
        <v>-56.663699999999999</v>
      </c>
      <c r="AD3299">
        <v>-1.1098341067699999</v>
      </c>
      <c r="AE3299">
        <v>-0.22939999999999799</v>
      </c>
      <c r="AF3299">
        <v>0.48213710684055</v>
      </c>
      <c r="AG3299">
        <v>-1.1098341067699999</v>
      </c>
      <c r="AH3299">
        <v>56.6403832895787</v>
      </c>
      <c r="AI3299">
        <v>91.122491897004096</v>
      </c>
      <c r="AJ3299">
        <v>89.512295775802698</v>
      </c>
      <c r="AK3299">
        <v>56.653307115513797</v>
      </c>
      <c r="AL3299">
        <v>79.195469066152896</v>
      </c>
      <c r="AM3299">
        <v>91.533422124380905</v>
      </c>
      <c r="AN3299">
        <v>1.0000000373712701</v>
      </c>
    </row>
    <row r="3300" spans="1:40" x14ac:dyDescent="0.25">
      <c r="A3300" t="str">
        <f>"20190304155437260"</f>
        <v>20190304155437260</v>
      </c>
      <c r="B3300" t="str">
        <f>"1551686077250341"</f>
        <v>1551686077250341</v>
      </c>
      <c r="C3300" t="s">
        <v>40</v>
      </c>
      <c r="D3300">
        <v>4.6078830000000002</v>
      </c>
      <c r="E3300">
        <v>0.5118663</v>
      </c>
      <c r="F3300" t="s">
        <v>62</v>
      </c>
      <c r="G3300">
        <v>-290.47469999999998</v>
      </c>
      <c r="H3300" s="1">
        <v>-9.4188709999999996E-6</v>
      </c>
      <c r="I3300">
        <v>141.59119999999999</v>
      </c>
      <c r="J3300">
        <v>-237.38499999999999</v>
      </c>
      <c r="K3300">
        <v>1.1098159999999999</v>
      </c>
      <c r="L3300">
        <v>141.77590000000001</v>
      </c>
      <c r="M3300">
        <v>-0.99987420000000005</v>
      </c>
      <c r="N3300">
        <v>-9.6933899999999996E-3</v>
      </c>
      <c r="O3300">
        <v>-1.255355E-2</v>
      </c>
      <c r="P3300">
        <v>-0.98351279999999996</v>
      </c>
      <c r="Q3300">
        <v>0.17662420000000001</v>
      </c>
      <c r="R3300">
        <v>-3.8813449999999999E-2</v>
      </c>
      <c r="S3300">
        <v>-3.062103</v>
      </c>
      <c r="T3300">
        <v>-6.3640710000000003E-2</v>
      </c>
      <c r="U3300">
        <v>-1.081848E-2</v>
      </c>
      <c r="V3300">
        <v>-2.645952E-2</v>
      </c>
      <c r="W3300">
        <v>0.18615390000000001</v>
      </c>
      <c r="X3300">
        <v>0.98216429999999999</v>
      </c>
      <c r="Y3300">
        <v>9.01771E-3</v>
      </c>
      <c r="Z3300">
        <v>2.7659679999999999E-4</v>
      </c>
      <c r="AA3300">
        <v>0.9999593</v>
      </c>
      <c r="AB3300">
        <v>34</v>
      </c>
      <c r="AC3300">
        <v>-53.089699999999901</v>
      </c>
      <c r="AD3300">
        <v>-1.1098254188709999</v>
      </c>
      <c r="AE3300">
        <v>-0.18470000000001999</v>
      </c>
      <c r="AF3300">
        <v>0.48159962245565702</v>
      </c>
      <c r="AG3300">
        <v>-1.1098254188709999</v>
      </c>
      <c r="AH3300">
        <v>53.064645583527302</v>
      </c>
      <c r="AI3300">
        <v>91.198093855032297</v>
      </c>
      <c r="AJ3300">
        <v>89.480014086599198</v>
      </c>
      <c r="AK3300">
        <v>53.0784349954112</v>
      </c>
      <c r="AL3300">
        <v>79.271585790564998</v>
      </c>
      <c r="AM3300">
        <v>91.543175847556697</v>
      </c>
      <c r="AN3300">
        <v>1.0000000464391601</v>
      </c>
    </row>
    <row r="3301" spans="1:40" x14ac:dyDescent="0.25">
      <c r="A3301" t="str">
        <f>"20190304155437283"</f>
        <v>20190304155437283</v>
      </c>
      <c r="B3301" t="str">
        <f>"1551686077270837"</f>
        <v>1551686077270837</v>
      </c>
      <c r="C3301" t="s">
        <v>40</v>
      </c>
      <c r="D3301">
        <v>4.6410489999999998</v>
      </c>
      <c r="E3301">
        <v>0.51205440000000002</v>
      </c>
      <c r="F3301" t="s">
        <v>62</v>
      </c>
      <c r="G3301">
        <v>-288.47109999999998</v>
      </c>
      <c r="H3301" s="1">
        <v>-8.6513759999999992E-6</v>
      </c>
      <c r="I3301">
        <v>141.6191</v>
      </c>
      <c r="J3301">
        <v>-237.7347</v>
      </c>
      <c r="K3301">
        <v>1.109812</v>
      </c>
      <c r="L3301">
        <v>141.7715</v>
      </c>
      <c r="M3301">
        <v>-0.9998745</v>
      </c>
      <c r="N3301">
        <v>-9.6990219999999999E-3</v>
      </c>
      <c r="O3301">
        <v>-1.253485E-2</v>
      </c>
      <c r="P3301">
        <v>-0.98358690000000004</v>
      </c>
      <c r="Q3301">
        <v>0.17622959999999999</v>
      </c>
      <c r="R3301">
        <v>-3.8732139999999998E-2</v>
      </c>
      <c r="S3301">
        <v>-3.06189</v>
      </c>
      <c r="T3301">
        <v>-6.6518309999999997E-2</v>
      </c>
      <c r="U3301">
        <v>-9.399414E-3</v>
      </c>
      <c r="V3301">
        <v>-2.6390299999999998E-2</v>
      </c>
      <c r="W3301">
        <v>0.1857664</v>
      </c>
      <c r="X3301">
        <v>0.98223950000000004</v>
      </c>
      <c r="Y3301">
        <v>9.4616879999999993E-3</v>
      </c>
      <c r="Z3301">
        <v>2.9935850000000001E-4</v>
      </c>
      <c r="AA3301">
        <v>0.99995520000000004</v>
      </c>
      <c r="AB3301">
        <v>34</v>
      </c>
      <c r="AC3301">
        <v>-50.736399999999897</v>
      </c>
      <c r="AD3301">
        <v>-1.1098206513760001</v>
      </c>
      <c r="AE3301">
        <v>-0.15240000000000001</v>
      </c>
      <c r="AF3301">
        <v>0.48338369807010501</v>
      </c>
      <c r="AG3301">
        <v>-1.1098206513760001</v>
      </c>
      <c r="AH3301">
        <v>50.710060284574297</v>
      </c>
      <c r="AI3301">
        <v>91.253696052748694</v>
      </c>
      <c r="AJ3301">
        <v>89.453855767162196</v>
      </c>
      <c r="AK3301">
        <v>50.724506658448</v>
      </c>
      <c r="AL3301">
        <v>79.294181750546699</v>
      </c>
      <c r="AM3301">
        <v>91.539022953865697</v>
      </c>
      <c r="AN3301">
        <v>1.0000000193316401</v>
      </c>
    </row>
    <row r="3302" spans="1:40" x14ac:dyDescent="0.25">
      <c r="A3302" t="str">
        <f>"20190304155437304"</f>
        <v>20190304155437304</v>
      </c>
      <c r="B3302" t="str">
        <f>"1551686077300100"</f>
        <v>1551686077300100</v>
      </c>
      <c r="C3302" t="s">
        <v>40</v>
      </c>
      <c r="D3302">
        <v>4.641343</v>
      </c>
      <c r="E3302">
        <v>0.51236919999999997</v>
      </c>
      <c r="F3302" t="s">
        <v>62</v>
      </c>
      <c r="G3302">
        <v>-288.7466</v>
      </c>
      <c r="H3302" s="1">
        <v>-8.8321290000000007E-6</v>
      </c>
      <c r="I3302">
        <v>141.64769999999999</v>
      </c>
      <c r="J3302">
        <v>-238.0692</v>
      </c>
      <c r="K3302">
        <v>1.109791</v>
      </c>
      <c r="L3302">
        <v>141.76730000000001</v>
      </c>
      <c r="M3302">
        <v>-0.99987490000000001</v>
      </c>
      <c r="N3302">
        <v>-9.7043589999999992E-3</v>
      </c>
      <c r="O3302">
        <v>-1.249989E-2</v>
      </c>
      <c r="P3302">
        <v>-0.98329060000000001</v>
      </c>
      <c r="Q3302">
        <v>0.17798820000000001</v>
      </c>
      <c r="R3302">
        <v>-3.821128E-2</v>
      </c>
      <c r="S3302">
        <v>-3.0617220000000001</v>
      </c>
      <c r="T3302">
        <v>-6.6611169999999997E-2</v>
      </c>
      <c r="U3302">
        <v>-7.4310299999999999E-3</v>
      </c>
      <c r="V3302">
        <v>-2.5900920000000001E-2</v>
      </c>
      <c r="W3302">
        <v>0.18752830000000001</v>
      </c>
      <c r="X3302">
        <v>0.9819177</v>
      </c>
      <c r="Y3302">
        <v>1.006921E-2</v>
      </c>
      <c r="Z3302">
        <v>3.0899660000000001E-4</v>
      </c>
      <c r="AA3302">
        <v>0.99994930000000004</v>
      </c>
      <c r="AB3302">
        <v>34</v>
      </c>
      <c r="AC3302">
        <v>-50.677399999999999</v>
      </c>
      <c r="AD3302">
        <v>-1.1097998321289999</v>
      </c>
      <c r="AE3302">
        <v>-0.119600000000019</v>
      </c>
      <c r="AF3302">
        <v>0.51365468828487904</v>
      </c>
      <c r="AG3302">
        <v>-1.1097998321289999</v>
      </c>
      <c r="AH3302">
        <v>50.6506445500425</v>
      </c>
      <c r="AI3302">
        <v>91.2551351786514</v>
      </c>
      <c r="AJ3302">
        <v>89.418976062470307</v>
      </c>
      <c r="AK3302">
        <v>50.6654052598116</v>
      </c>
      <c r="AL3302">
        <v>79.191426868525596</v>
      </c>
      <c r="AM3302">
        <v>91.510991558961905</v>
      </c>
      <c r="AN3302">
        <v>1.00000004526551</v>
      </c>
    </row>
    <row r="3303" spans="1:40" x14ac:dyDescent="0.25">
      <c r="A3303" t="str">
        <f>"20190304155437327"</f>
        <v>20190304155437327</v>
      </c>
      <c r="B3303" t="str">
        <f>"1551686077320596"</f>
        <v>1551686077320596</v>
      </c>
      <c r="C3303" t="s">
        <v>40</v>
      </c>
      <c r="D3303">
        <v>4.6330239999999998</v>
      </c>
      <c r="E3303">
        <v>0.51251359999999901</v>
      </c>
      <c r="F3303" t="s">
        <v>62</v>
      </c>
      <c r="G3303">
        <v>-295.4427</v>
      </c>
      <c r="H3303" s="1">
        <v>-9.0009739999999996E-6</v>
      </c>
      <c r="I3303">
        <v>141.71700000000001</v>
      </c>
      <c r="J3303">
        <v>-238.4136</v>
      </c>
      <c r="K3303">
        <v>1.1097760000000001</v>
      </c>
      <c r="L3303">
        <v>141.76310000000001</v>
      </c>
      <c r="M3303">
        <v>-0.99987550000000003</v>
      </c>
      <c r="N3303">
        <v>-9.7098459999999994E-3</v>
      </c>
      <c r="O3303">
        <v>-1.2446799999999999E-2</v>
      </c>
      <c r="P3303">
        <v>-0.98307060000000002</v>
      </c>
      <c r="Q3303">
        <v>0.1791432</v>
      </c>
      <c r="R3303">
        <v>-3.847238E-2</v>
      </c>
      <c r="S3303">
        <v>-3.0615839999999999</v>
      </c>
      <c r="T3303">
        <v>-5.9221509999999998E-2</v>
      </c>
      <c r="U3303">
        <v>-2.6855469999999999E-3</v>
      </c>
      <c r="V3303">
        <v>-2.6209639999999999E-2</v>
      </c>
      <c r="W3303">
        <v>0.18868740000000001</v>
      </c>
      <c r="X3303">
        <v>0.98168739999999999</v>
      </c>
      <c r="Y3303">
        <v>1.1566450000000001E-2</v>
      </c>
      <c r="Z3303">
        <v>2.8790009999999998E-4</v>
      </c>
      <c r="AA3303">
        <v>0.99993310000000002</v>
      </c>
      <c r="AB3303">
        <v>34</v>
      </c>
      <c r="AC3303">
        <v>-57.0291</v>
      </c>
      <c r="AD3303">
        <v>-1.109785000974</v>
      </c>
      <c r="AE3303">
        <v>-4.6099999999995499E-2</v>
      </c>
      <c r="AF3303">
        <v>0.66351549257148601</v>
      </c>
      <c r="AG3303">
        <v>-1.109785000974</v>
      </c>
      <c r="AH3303">
        <v>57.0036689364781</v>
      </c>
      <c r="AI3303">
        <v>91.115255572821894</v>
      </c>
      <c r="AJ3303">
        <v>89.333114494224105</v>
      </c>
      <c r="AK3303">
        <v>57.018331681809698</v>
      </c>
      <c r="AL3303">
        <v>79.123807901799097</v>
      </c>
      <c r="AM3303">
        <v>91.529351498434806</v>
      </c>
      <c r="AN3303">
        <v>1.0000000157332201</v>
      </c>
    </row>
    <row r="3304" spans="1:40" x14ac:dyDescent="0.25">
      <c r="A3304" t="str">
        <f>"20190304155437349"</f>
        <v>20190304155437349</v>
      </c>
      <c r="B3304" t="str">
        <f>"1551686077340117"</f>
        <v>1551686077340117</v>
      </c>
      <c r="C3304" t="s">
        <v>40</v>
      </c>
      <c r="D3304">
        <v>4.6745269999999897</v>
      </c>
      <c r="E3304">
        <v>0.51268270000000005</v>
      </c>
      <c r="F3304" t="s">
        <v>62</v>
      </c>
      <c r="G3304">
        <v>-301.09840000000003</v>
      </c>
      <c r="H3304" s="1">
        <v>-8.8142200000000008E-6</v>
      </c>
      <c r="I3304">
        <v>141.7456</v>
      </c>
      <c r="J3304">
        <v>-238.7645</v>
      </c>
      <c r="K3304">
        <v>1.1097600000000001</v>
      </c>
      <c r="L3304">
        <v>141.75880000000001</v>
      </c>
      <c r="M3304">
        <v>-0.99987649999999995</v>
      </c>
      <c r="N3304">
        <v>-9.7153970000000006E-3</v>
      </c>
      <c r="O3304">
        <v>-1.2365650000000001E-2</v>
      </c>
      <c r="P3304">
        <v>-0.98309279999999999</v>
      </c>
      <c r="Q3304">
        <v>0.17901979999999901</v>
      </c>
      <c r="R3304">
        <v>-3.8480540000000001E-2</v>
      </c>
      <c r="S3304">
        <v>-3.0615230000000002</v>
      </c>
      <c r="T3304">
        <v>-5.4201840000000001E-2</v>
      </c>
      <c r="U3304">
        <v>-8.5449219999999995E-4</v>
      </c>
      <c r="V3304">
        <v>-2.6288410000000002E-2</v>
      </c>
      <c r="W3304">
        <v>0.18857080000000001</v>
      </c>
      <c r="X3304">
        <v>0.98170769999999996</v>
      </c>
      <c r="Y3304">
        <v>1.208382E-2</v>
      </c>
      <c r="Z3304">
        <v>2.6443130000000002E-4</v>
      </c>
      <c r="AA3304">
        <v>0.99992689999999995</v>
      </c>
      <c r="AB3304">
        <v>34</v>
      </c>
      <c r="AC3304">
        <v>-62.3339</v>
      </c>
      <c r="AD3304">
        <v>-1.10976881422</v>
      </c>
      <c r="AE3304">
        <v>-1.32000000000118E-2</v>
      </c>
      <c r="AF3304">
        <v>0.75739638809992504</v>
      </c>
      <c r="AG3304">
        <v>-1.10976881422</v>
      </c>
      <c r="AH3304">
        <v>62.3095467095374</v>
      </c>
      <c r="AI3304">
        <v>91.020287501215407</v>
      </c>
      <c r="AJ3304">
        <v>89.303582169100807</v>
      </c>
      <c r="AK3304">
        <v>62.324031057512201</v>
      </c>
      <c r="AL3304">
        <v>79.1306107322592</v>
      </c>
      <c r="AM3304">
        <v>91.533913888198001</v>
      </c>
      <c r="AN3304">
        <v>1.0000000176761199</v>
      </c>
    </row>
    <row r="3305" spans="1:40" x14ac:dyDescent="0.25">
      <c r="A3305" t="str">
        <f>"20190304155437372"</f>
        <v>20190304155437372</v>
      </c>
      <c r="B3305" t="str">
        <f>"1551686077360616"</f>
        <v>1551686077360616</v>
      </c>
      <c r="C3305" t="s">
        <v>40</v>
      </c>
      <c r="D3305">
        <v>4.6978260000000001</v>
      </c>
      <c r="E3305">
        <v>0.51266869999999998</v>
      </c>
      <c r="F3305" t="s">
        <v>62</v>
      </c>
      <c r="G3305">
        <v>-302.2013</v>
      </c>
      <c r="H3305" s="1">
        <v>-9.0183910000000003E-6</v>
      </c>
      <c r="I3305">
        <v>141.78720000000001</v>
      </c>
      <c r="J3305">
        <v>-239.10380000000001</v>
      </c>
      <c r="K3305">
        <v>1.1097300000000001</v>
      </c>
      <c r="L3305">
        <v>141.75470000000001</v>
      </c>
      <c r="M3305">
        <v>-0.99987780000000004</v>
      </c>
      <c r="N3305">
        <v>-9.7207590000000007E-3</v>
      </c>
      <c r="O3305">
        <v>-1.224975E-2</v>
      </c>
      <c r="P3305">
        <v>-0.98323760000000004</v>
      </c>
      <c r="Q3305">
        <v>0.17812030000000001</v>
      </c>
      <c r="R3305">
        <v>-3.8948200000000002E-2</v>
      </c>
      <c r="S3305">
        <v>-3.061401</v>
      </c>
      <c r="T3305">
        <v>-5.3556439999999997E-2</v>
      </c>
      <c r="U3305">
        <v>1.373291E-3</v>
      </c>
      <c r="V3305">
        <v>-2.6856680000000001E-2</v>
      </c>
      <c r="W3305">
        <v>0.18768009999999999</v>
      </c>
      <c r="X3305">
        <v>0.98186300000000004</v>
      </c>
      <c r="Y3305">
        <v>1.269549E-2</v>
      </c>
      <c r="Z3305">
        <v>2.679534E-4</v>
      </c>
      <c r="AA3305">
        <v>0.99991940000000001</v>
      </c>
      <c r="AB3305">
        <v>34</v>
      </c>
      <c r="AC3305">
        <v>-63.097499999999997</v>
      </c>
      <c r="AD3305">
        <v>-1.1097390183910001</v>
      </c>
      <c r="AE3305">
        <v>3.2499999999998801E-2</v>
      </c>
      <c r="AF3305">
        <v>0.80521354515645305</v>
      </c>
      <c r="AG3305">
        <v>-1.1097390183910001</v>
      </c>
      <c r="AH3305">
        <v>63.0728570355271</v>
      </c>
      <c r="AI3305">
        <v>91.007907774932903</v>
      </c>
      <c r="AJ3305">
        <v>89.268578691973403</v>
      </c>
      <c r="AK3305">
        <v>63.087757799483398</v>
      </c>
      <c r="AL3305">
        <v>79.182571940393899</v>
      </c>
      <c r="AM3305">
        <v>91.566808027891298</v>
      </c>
      <c r="AN3305">
        <v>1.0000000259828099</v>
      </c>
    </row>
    <row r="3306" spans="1:40" x14ac:dyDescent="0.25">
      <c r="A3306" t="str">
        <f>"20190304155437392"</f>
        <v>20190304155437392</v>
      </c>
      <c r="B3306" t="str">
        <f>"1551686077390868"</f>
        <v>1551686077390868</v>
      </c>
      <c r="C3306" t="s">
        <v>40</v>
      </c>
      <c r="D3306">
        <v>4.6866659999999998</v>
      </c>
      <c r="E3306">
        <v>0.51276549999999999</v>
      </c>
      <c r="F3306" t="s">
        <v>62</v>
      </c>
      <c r="G3306">
        <v>-300.00189999999998</v>
      </c>
      <c r="H3306" s="1">
        <v>-8.6249990000000002E-6</v>
      </c>
      <c r="I3306">
        <v>141.76560000000001</v>
      </c>
      <c r="J3306">
        <v>-239.42750000000001</v>
      </c>
      <c r="K3306">
        <v>1.109693</v>
      </c>
      <c r="L3306">
        <v>141.7509</v>
      </c>
      <c r="M3306">
        <v>-0.99987950000000003</v>
      </c>
      <c r="N3306">
        <v>-9.7260239999999998E-3</v>
      </c>
      <c r="O3306">
        <v>-1.2096350000000001E-2</v>
      </c>
      <c r="P3306">
        <v>-0.98338210000000004</v>
      </c>
      <c r="Q3306">
        <v>0.17711479999999999</v>
      </c>
      <c r="R3306">
        <v>-3.9874600000000003E-2</v>
      </c>
      <c r="S3306">
        <v>-3.061264</v>
      </c>
      <c r="T3306">
        <v>-5.5785059999999997E-2</v>
      </c>
      <c r="U3306">
        <v>5.4931640000000002E-4</v>
      </c>
      <c r="V3306">
        <v>-2.7917830000000001E-2</v>
      </c>
      <c r="W3306">
        <v>0.18668370000000001</v>
      </c>
      <c r="X3306">
        <v>0.98202330000000004</v>
      </c>
      <c r="Y3306">
        <v>1.227279E-2</v>
      </c>
      <c r="Z3306">
        <v>2.742636E-4</v>
      </c>
      <c r="AA3306">
        <v>0.9999247</v>
      </c>
      <c r="AB3306">
        <v>34</v>
      </c>
      <c r="AC3306">
        <v>-60.574399999999898</v>
      </c>
      <c r="AD3306">
        <v>-1.1097016249989999</v>
      </c>
      <c r="AE3306">
        <v>1.47000000000048E-2</v>
      </c>
      <c r="AF3306">
        <v>0.74721198035920799</v>
      </c>
      <c r="AG3306">
        <v>-1.1097016249989999</v>
      </c>
      <c r="AH3306">
        <v>60.549468945690599</v>
      </c>
      <c r="AI3306">
        <v>91.049873175265006</v>
      </c>
      <c r="AJ3306">
        <v>89.292976130795097</v>
      </c>
      <c r="AK3306">
        <v>60.564246491187099</v>
      </c>
      <c r="AL3306">
        <v>79.240688211745393</v>
      </c>
      <c r="AM3306">
        <v>91.628416672943004</v>
      </c>
      <c r="AN3306">
        <v>0.99999998541024404</v>
      </c>
    </row>
    <row r="3307" spans="1:40" x14ac:dyDescent="0.25">
      <c r="A3307" t="str">
        <f>"20190304155437418"</f>
        <v>20190304155437418</v>
      </c>
      <c r="B3307" t="str">
        <f>"1551686077410388"</f>
        <v>1551686077410388</v>
      </c>
      <c r="C3307" t="s">
        <v>40</v>
      </c>
      <c r="D3307">
        <v>4.7869960000000003</v>
      </c>
      <c r="E3307">
        <v>0.51280369999999997</v>
      </c>
      <c r="F3307" t="s">
        <v>62</v>
      </c>
      <c r="G3307">
        <v>-297.37060000000002</v>
      </c>
      <c r="H3307" s="1">
        <v>-8.8380359999999992E-6</v>
      </c>
      <c r="I3307">
        <v>141.7413</v>
      </c>
      <c r="J3307">
        <v>-239.81460000000001</v>
      </c>
      <c r="K3307">
        <v>1.109645</v>
      </c>
      <c r="L3307">
        <v>141.74639999999999</v>
      </c>
      <c r="M3307">
        <v>-0.99988250000000001</v>
      </c>
      <c r="N3307">
        <v>-9.7325520000000002E-3</v>
      </c>
      <c r="O3307">
        <v>-1.1853259999999999E-2</v>
      </c>
      <c r="P3307">
        <v>-0.98332940000000002</v>
      </c>
      <c r="Q3307">
        <v>0.17714769999999999</v>
      </c>
      <c r="R3307">
        <v>-4.1016209999999997E-2</v>
      </c>
      <c r="S3307">
        <v>-3.0612490000000001</v>
      </c>
      <c r="T3307">
        <v>-5.8627720000000001E-2</v>
      </c>
      <c r="U3307">
        <v>-5.0354000000000002E-4</v>
      </c>
      <c r="V3307">
        <v>-2.9277399999999999E-2</v>
      </c>
      <c r="W3307">
        <v>0.1867259</v>
      </c>
      <c r="X3307">
        <v>0.98197570000000001</v>
      </c>
      <c r="Y3307">
        <v>1.1685579999999999E-2</v>
      </c>
      <c r="Z3307">
        <v>2.8038439999999998E-4</v>
      </c>
      <c r="AA3307">
        <v>0.99993169999999998</v>
      </c>
      <c r="AB3307">
        <v>34</v>
      </c>
      <c r="AC3307">
        <v>-57.555999999999997</v>
      </c>
      <c r="AD3307">
        <v>-1.1096538380359999</v>
      </c>
      <c r="AE3307">
        <v>-5.0999999999987696E-3</v>
      </c>
      <c r="AF3307">
        <v>0.67690721657624098</v>
      </c>
      <c r="AG3307">
        <v>-1.1096538380359999</v>
      </c>
      <c r="AH3307">
        <v>57.530632429440097</v>
      </c>
      <c r="AI3307">
        <v>91.104910507266794</v>
      </c>
      <c r="AJ3307">
        <v>89.325887176963803</v>
      </c>
      <c r="AK3307">
        <v>57.545314342277003</v>
      </c>
      <c r="AL3307">
        <v>79.238227229649098</v>
      </c>
      <c r="AM3307">
        <v>91.7077557755225</v>
      </c>
      <c r="AN3307">
        <v>1.00000000163603</v>
      </c>
    </row>
    <row r="3308" spans="1:40" x14ac:dyDescent="0.25">
      <c r="A3308" t="str">
        <f>"20190304155437440"</f>
        <v>20190304155437440</v>
      </c>
      <c r="B3308" t="str">
        <f>"1551686077430884"</f>
        <v>1551686077430884</v>
      </c>
      <c r="C3308" t="s">
        <v>40</v>
      </c>
      <c r="D3308">
        <v>4.7230259999999999</v>
      </c>
      <c r="E3308">
        <v>0.51287519999999998</v>
      </c>
      <c r="F3308" t="s">
        <v>62</v>
      </c>
      <c r="G3308">
        <v>-297.95569999999998</v>
      </c>
      <c r="H3308" s="1">
        <v>-8.7713130000000008E-6</v>
      </c>
      <c r="I3308">
        <v>141.6832</v>
      </c>
      <c r="J3308">
        <v>-240.14959999999999</v>
      </c>
      <c r="K3308">
        <v>1.1095969999999999</v>
      </c>
      <c r="L3308">
        <v>141.74270000000001</v>
      </c>
      <c r="M3308">
        <v>-0.99988560000000004</v>
      </c>
      <c r="N3308">
        <v>-9.7382920000000008E-3</v>
      </c>
      <c r="O3308">
        <v>-1.158323E-2</v>
      </c>
      <c r="P3308">
        <v>-0.98336730000000006</v>
      </c>
      <c r="Q3308">
        <v>0.1767465</v>
      </c>
      <c r="R3308">
        <v>-4.1828839999999999E-2</v>
      </c>
      <c r="S3308">
        <v>-3.0612490000000001</v>
      </c>
      <c r="T3308">
        <v>-5.842555E-2</v>
      </c>
      <c r="U3308">
        <v>-3.326416E-3</v>
      </c>
      <c r="V3308">
        <v>-3.033462E-2</v>
      </c>
      <c r="W3308">
        <v>0.18633520000000001</v>
      </c>
      <c r="X3308">
        <v>0.98201780000000005</v>
      </c>
      <c r="Y3308">
        <v>1.0493840000000001E-2</v>
      </c>
      <c r="Z3308">
        <v>2.5948259999999999E-4</v>
      </c>
      <c r="AA3308">
        <v>0.99994490000000003</v>
      </c>
      <c r="AB3308">
        <v>34</v>
      </c>
      <c r="AC3308">
        <v>-57.806100000000001</v>
      </c>
      <c r="AD3308">
        <v>-1.1096057713130001</v>
      </c>
      <c r="AE3308">
        <v>-5.9500000000014097E-2</v>
      </c>
      <c r="AF3308">
        <v>0.60989230197099698</v>
      </c>
      <c r="AG3308">
        <v>-1.1096057713130001</v>
      </c>
      <c r="AH3308">
        <v>57.781620600372399</v>
      </c>
      <c r="AI3308">
        <v>91.100079468138603</v>
      </c>
      <c r="AJ3308">
        <v>89.3952582696203</v>
      </c>
      <c r="AK3308">
        <v>57.795491803367398</v>
      </c>
      <c r="AL3308">
        <v>79.261012333226304</v>
      </c>
      <c r="AM3308">
        <v>91.769309275557106</v>
      </c>
      <c r="AN3308">
        <v>0.99999997772321103</v>
      </c>
    </row>
    <row r="3309" spans="1:40" x14ac:dyDescent="0.25">
      <c r="A3309" t="str">
        <f>"20190304155437461"</f>
        <v>20190304155437461</v>
      </c>
      <c r="B3309" t="str">
        <f>"1551686077450404"</f>
        <v>1551686077450404</v>
      </c>
      <c r="C3309" t="s">
        <v>40</v>
      </c>
      <c r="D3309">
        <v>4.6113730000000004</v>
      </c>
      <c r="E3309">
        <v>0.5130787</v>
      </c>
      <c r="F3309" t="s">
        <v>62</v>
      </c>
      <c r="G3309">
        <v>-296.85230000000001</v>
      </c>
      <c r="H3309" s="1">
        <v>-8.8575289999999903E-6</v>
      </c>
      <c r="I3309">
        <v>141.64259999999999</v>
      </c>
      <c r="J3309">
        <v>-240.47929999999999</v>
      </c>
      <c r="K3309">
        <v>1.1095459999999999</v>
      </c>
      <c r="L3309">
        <v>141.73910000000001</v>
      </c>
      <c r="M3309">
        <v>-0.99988920000000003</v>
      </c>
      <c r="N3309">
        <v>-9.7439899999999992E-3</v>
      </c>
      <c r="O3309">
        <v>-1.125846E-2</v>
      </c>
      <c r="P3309">
        <v>-0.98346319999999998</v>
      </c>
      <c r="Q3309">
        <v>0.1762147</v>
      </c>
      <c r="R3309">
        <v>-4.181824E-2</v>
      </c>
      <c r="S3309">
        <v>-3.0612949999999999</v>
      </c>
      <c r="T3309">
        <v>-5.9906010000000003E-2</v>
      </c>
      <c r="U3309">
        <v>-5.4016109999999997E-3</v>
      </c>
      <c r="V3309">
        <v>-3.062053E-2</v>
      </c>
      <c r="W3309">
        <v>0.18581320000000001</v>
      </c>
      <c r="X3309">
        <v>0.98210779999999998</v>
      </c>
      <c r="Y3309">
        <v>9.4913389999999997E-3</v>
      </c>
      <c r="Z3309">
        <v>2.4969610000000002E-4</v>
      </c>
      <c r="AA3309">
        <v>0.99995489999999998</v>
      </c>
      <c r="AB3309">
        <v>34</v>
      </c>
      <c r="AC3309">
        <v>-56.372999999999998</v>
      </c>
      <c r="AD3309">
        <v>-1.109554857529</v>
      </c>
      <c r="AE3309">
        <v>-9.6500000000020195E-2</v>
      </c>
      <c r="AF3309">
        <v>0.53800096000270703</v>
      </c>
      <c r="AG3309">
        <v>-1.109554857529</v>
      </c>
      <c r="AH3309">
        <v>56.348684122119799</v>
      </c>
      <c r="AI3309">
        <v>91.128006815304502</v>
      </c>
      <c r="AJ3309">
        <v>89.4529730684675</v>
      </c>
      <c r="AK3309">
        <v>56.362174898678902</v>
      </c>
      <c r="AL3309">
        <v>79.291452006404697</v>
      </c>
      <c r="AM3309">
        <v>91.785811067759099</v>
      </c>
      <c r="AN3309">
        <v>0.99999994648627899</v>
      </c>
    </row>
    <row r="3310" spans="1:40" x14ac:dyDescent="0.25">
      <c r="A3310" t="str">
        <f>"20190304155437550"</f>
        <v>20190304155437550</v>
      </c>
      <c r="B3310" t="str">
        <f>"1551686077541176"</f>
        <v>1551686077541176</v>
      </c>
      <c r="C3310" t="s">
        <v>40</v>
      </c>
      <c r="D3310">
        <v>4.6938649999999997</v>
      </c>
      <c r="E3310">
        <v>0.53828980000000004</v>
      </c>
      <c r="F3310" t="s">
        <v>62</v>
      </c>
      <c r="G3310">
        <v>-295.53160000000003</v>
      </c>
      <c r="H3310" s="1">
        <v>-8.9797509999999993E-6</v>
      </c>
      <c r="I3310">
        <v>141.6661</v>
      </c>
      <c r="J3310">
        <v>-241.86369999999999</v>
      </c>
      <c r="K3310">
        <v>1.109353</v>
      </c>
      <c r="L3310">
        <v>141.72630000000001</v>
      </c>
      <c r="M3310">
        <v>-0.99990889999999999</v>
      </c>
      <c r="N3310">
        <v>-9.7676110000000007E-3</v>
      </c>
      <c r="O3310">
        <v>-9.3049680000000003E-3</v>
      </c>
      <c r="P3310">
        <v>-0.98320969999999996</v>
      </c>
      <c r="Q3310">
        <v>0.17854339999999999</v>
      </c>
      <c r="R3310">
        <v>-3.7695010000000001E-2</v>
      </c>
      <c r="S3310">
        <v>-3.06134</v>
      </c>
      <c r="T3310">
        <v>-6.1699990000000003E-2</v>
      </c>
      <c r="U3310">
        <v>-4.0588380000000004E-3</v>
      </c>
      <c r="V3310">
        <v>-2.833246E-2</v>
      </c>
      <c r="W3310">
        <v>0.1881737</v>
      </c>
      <c r="X3310">
        <v>0.98172700000000002</v>
      </c>
      <c r="Y3310">
        <v>7.9767209999999904E-3</v>
      </c>
      <c r="Z3310">
        <v>2.1596939999999999E-4</v>
      </c>
      <c r="AA3310">
        <v>0.99996819999999997</v>
      </c>
      <c r="AB3310">
        <v>35</v>
      </c>
      <c r="AC3310">
        <v>-53.667900000000003</v>
      </c>
      <c r="AD3310">
        <v>-1.1093619797509999</v>
      </c>
      <c r="AE3310">
        <v>-6.0200000000008899E-2</v>
      </c>
      <c r="AF3310">
        <v>0.43901698785370702</v>
      </c>
      <c r="AG3310">
        <v>-1.1093619797509999</v>
      </c>
      <c r="AH3310">
        <v>53.643215667847997</v>
      </c>
      <c r="AI3310">
        <v>91.184689843725707</v>
      </c>
      <c r="AJ3310">
        <v>89.531100836095305</v>
      </c>
      <c r="AK3310">
        <v>53.656481501352602</v>
      </c>
      <c r="AL3310">
        <v>79.153777280032003</v>
      </c>
      <c r="AM3310">
        <v>91.653086776332302</v>
      </c>
      <c r="AN3310">
        <v>0.99999998609517005</v>
      </c>
    </row>
    <row r="3311" spans="1:40" x14ac:dyDescent="0.25">
      <c r="A3311" t="str">
        <f>"20190304155437573"</f>
        <v>20190304155437573</v>
      </c>
      <c r="B3311" t="str">
        <f>"1551686077570456"</f>
        <v>1551686077570456</v>
      </c>
      <c r="C3311" t="s">
        <v>40</v>
      </c>
      <c r="D3311">
        <v>4.6324189999999996</v>
      </c>
      <c r="E3311">
        <v>0.53474759999999999</v>
      </c>
      <c r="F3311" t="s">
        <v>48</v>
      </c>
      <c r="G3311">
        <v>-242.7585</v>
      </c>
      <c r="H3311">
        <v>1.037083</v>
      </c>
      <c r="I3311">
        <v>141.7876</v>
      </c>
      <c r="J3311">
        <v>-242.21510000000001</v>
      </c>
      <c r="K3311">
        <v>1.1093139999999999</v>
      </c>
      <c r="L3311">
        <v>141.7236</v>
      </c>
      <c r="M3311">
        <v>-0.99991430000000003</v>
      </c>
      <c r="N3311">
        <v>-9.7734699999999994E-3</v>
      </c>
      <c r="O3311">
        <v>-8.7083769999999998E-3</v>
      </c>
      <c r="P3311">
        <v>-0.98317909999999997</v>
      </c>
      <c r="Q3311">
        <v>0.17894019999999999</v>
      </c>
      <c r="R3311">
        <v>-3.6599489999999998E-2</v>
      </c>
      <c r="S3311">
        <v>-3.1049039999999999</v>
      </c>
      <c r="T3311">
        <v>-0.25083680000000003</v>
      </c>
      <c r="U3311">
        <v>0.21223449999999999</v>
      </c>
      <c r="V3311">
        <v>-2.7808320000000001E-2</v>
      </c>
      <c r="W3311">
        <v>0.18857689999999999</v>
      </c>
      <c r="X3311">
        <v>0.98166469999999995</v>
      </c>
      <c r="Y3311">
        <v>7.6580960000000003E-2</v>
      </c>
      <c r="Z3311">
        <v>4.0768540000000004E-3</v>
      </c>
      <c r="AA3311">
        <v>0.99705509999999997</v>
      </c>
      <c r="AB3311">
        <v>35</v>
      </c>
      <c r="AC3311">
        <v>-0.543399999999991</v>
      </c>
      <c r="AD3311">
        <v>-7.2230999999999906E-2</v>
      </c>
      <c r="AE3311">
        <v>6.3999999999992896E-2</v>
      </c>
      <c r="AF3311">
        <v>6.7552683809399897E-2</v>
      </c>
      <c r="AG3311">
        <v>-7.2230999999999906E-2</v>
      </c>
      <c r="AH3311">
        <v>0.53352425012850901</v>
      </c>
      <c r="AI3311">
        <v>97.649748402205802</v>
      </c>
      <c r="AJ3311">
        <v>82.783838731522195</v>
      </c>
      <c r="AK3311">
        <v>0.54261294485668199</v>
      </c>
      <c r="AL3311">
        <v>79.130255380723696</v>
      </c>
      <c r="AM3311">
        <v>91.622624701005407</v>
      </c>
      <c r="AN3311">
        <v>1.00000006655045</v>
      </c>
    </row>
    <row r="3312" spans="1:40" x14ac:dyDescent="0.25">
      <c r="A3312" t="str">
        <f>"20190304155437595"</f>
        <v>20190304155437595</v>
      </c>
      <c r="B3312" t="str">
        <f>"1551686077590952"</f>
        <v>1551686077590952</v>
      </c>
      <c r="C3312" t="s">
        <v>40</v>
      </c>
      <c r="D3312">
        <v>4.6869079999999999</v>
      </c>
      <c r="E3312">
        <v>0.53125009999999995</v>
      </c>
      <c r="F3312" t="s">
        <v>46</v>
      </c>
      <c r="G3312">
        <v>-261.63600000000002</v>
      </c>
      <c r="H3312" s="1">
        <v>-4.2988170000000001E-6</v>
      </c>
      <c r="I3312">
        <v>142.88329999999999</v>
      </c>
      <c r="J3312">
        <v>-242.5608</v>
      </c>
      <c r="K3312">
        <v>1.109281</v>
      </c>
      <c r="L3312">
        <v>141.72110000000001</v>
      </c>
      <c r="M3312">
        <v>-0.99991940000000001</v>
      </c>
      <c r="N3312">
        <v>-9.7791790000000007E-3</v>
      </c>
      <c r="O3312">
        <v>-8.1001739999999999E-3</v>
      </c>
      <c r="P3312">
        <v>-0.98320850000000004</v>
      </c>
      <c r="Q3312">
        <v>0.1790186</v>
      </c>
      <c r="R3312">
        <v>-3.5404249999999998E-2</v>
      </c>
      <c r="S3312">
        <v>-3.0903320000000001</v>
      </c>
      <c r="T3312">
        <v>-0.1765196</v>
      </c>
      <c r="U3312">
        <v>0.1845398</v>
      </c>
      <c r="V3312">
        <v>-2.7198859999999998E-2</v>
      </c>
      <c r="W3312">
        <v>0.1886621</v>
      </c>
      <c r="X3312">
        <v>0.98166529999999996</v>
      </c>
      <c r="Y3312">
        <v>6.7555580000000004E-2</v>
      </c>
      <c r="Z3312">
        <v>2.6398699999999999E-3</v>
      </c>
      <c r="AA3312">
        <v>0.99771200000000004</v>
      </c>
      <c r="AB3312">
        <v>35</v>
      </c>
      <c r="AC3312">
        <v>-19.075199999999899</v>
      </c>
      <c r="AD3312">
        <v>-1.1092852988170001</v>
      </c>
      <c r="AE3312">
        <v>1.1621999999999799</v>
      </c>
      <c r="AF3312">
        <v>1.3122602988255501</v>
      </c>
      <c r="AG3312">
        <v>-1.1092852988170001</v>
      </c>
      <c r="AH3312">
        <v>19.001139210423901</v>
      </c>
      <c r="AI3312">
        <v>93.333210045972905</v>
      </c>
      <c r="AJ3312">
        <v>86.049301048945694</v>
      </c>
      <c r="AK3312">
        <v>19.078674803558901</v>
      </c>
      <c r="AL3312">
        <v>79.125283422276397</v>
      </c>
      <c r="AM3312">
        <v>91.587079929743098</v>
      </c>
      <c r="AN3312">
        <v>0.999999963592899</v>
      </c>
    </row>
    <row r="3313" spans="1:40" x14ac:dyDescent="0.25">
      <c r="A3313" t="str">
        <f>"20190304155437619"</f>
        <v>20190304155437619</v>
      </c>
      <c r="B3313" t="str">
        <f>"1551686077610472"</f>
        <v>1551686077610472</v>
      </c>
      <c r="C3313" t="s">
        <v>40</v>
      </c>
      <c r="D3313">
        <v>4.6581570000000001</v>
      </c>
      <c r="E3313">
        <v>0.52784229999999999</v>
      </c>
      <c r="F3313" t="s">
        <v>46</v>
      </c>
      <c r="G3313">
        <v>-266.0292</v>
      </c>
      <c r="H3313" s="1">
        <v>-2.5677710000000001E-6</v>
      </c>
      <c r="I3313">
        <v>142.93109999999999</v>
      </c>
      <c r="J3313">
        <v>-242.92609999999999</v>
      </c>
      <c r="K3313">
        <v>1.109251</v>
      </c>
      <c r="L3313">
        <v>141.71879999999999</v>
      </c>
      <c r="M3313">
        <v>-0.99992449999999999</v>
      </c>
      <c r="N3313">
        <v>-9.7851859999999995E-3</v>
      </c>
      <c r="O3313">
        <v>-7.4438539999999997E-3</v>
      </c>
      <c r="P3313">
        <v>-0.98336319999999999</v>
      </c>
      <c r="Q3313">
        <v>0.1784625</v>
      </c>
      <c r="R3313">
        <v>-3.3879300000000001E-2</v>
      </c>
      <c r="S3313">
        <v>-3.0835110000000001</v>
      </c>
      <c r="T3313">
        <v>-0.14574899999999999</v>
      </c>
      <c r="U3313">
        <v>0.15898129999999999</v>
      </c>
      <c r="V3313">
        <v>-2.6308539999999998E-2</v>
      </c>
      <c r="W3313">
        <v>0.18811369999999999</v>
      </c>
      <c r="X3313">
        <v>0.98179479999999997</v>
      </c>
      <c r="Y3313">
        <v>5.8838710000000002E-2</v>
      </c>
      <c r="Z3313">
        <v>1.9558169999999999E-3</v>
      </c>
      <c r="AA3313">
        <v>0.99826559999999998</v>
      </c>
      <c r="AB3313">
        <v>35</v>
      </c>
      <c r="AC3313">
        <v>-23.103100000000001</v>
      </c>
      <c r="AD3313">
        <v>-1.109253567771</v>
      </c>
      <c r="AE3313">
        <v>1.2122999999999899</v>
      </c>
      <c r="AF3313">
        <v>1.3810757264948199</v>
      </c>
      <c r="AG3313">
        <v>-1.109253567771</v>
      </c>
      <c r="AH3313">
        <v>23.040466661490601</v>
      </c>
      <c r="AI3313">
        <v>92.751372482649202</v>
      </c>
      <c r="AJ3313">
        <v>86.569720346235201</v>
      </c>
      <c r="AK3313">
        <v>23.108459871207099</v>
      </c>
      <c r="AL3313">
        <v>79.157277319516893</v>
      </c>
      <c r="AM3313">
        <v>91.5349517802523</v>
      </c>
      <c r="AN3313">
        <v>0.99999996635582999</v>
      </c>
    </row>
    <row r="3314" spans="1:40" x14ac:dyDescent="0.25">
      <c r="A3314" t="str">
        <f>"20190304155437640"</f>
        <v>20190304155437640</v>
      </c>
      <c r="B3314" t="str">
        <f>"1551686077630969"</f>
        <v>1551686077630969</v>
      </c>
      <c r="C3314" t="s">
        <v>40</v>
      </c>
      <c r="D3314">
        <v>4.6887990000000004</v>
      </c>
      <c r="E3314">
        <v>0.5256478</v>
      </c>
      <c r="F3314" t="s">
        <v>46</v>
      </c>
      <c r="G3314">
        <v>-268.16140000000001</v>
      </c>
      <c r="H3314" s="1">
        <v>-1.625479E-6</v>
      </c>
      <c r="I3314">
        <v>142.82730000000001</v>
      </c>
      <c r="J3314">
        <v>-243.268</v>
      </c>
      <c r="K3314">
        <v>1.1092340000000001</v>
      </c>
      <c r="L3314">
        <v>141.71680000000001</v>
      </c>
      <c r="M3314">
        <v>-0.99992890000000001</v>
      </c>
      <c r="N3314">
        <v>-9.7906869999999993E-3</v>
      </c>
      <c r="O3314">
        <v>-6.8221619999999997E-3</v>
      </c>
      <c r="P3314">
        <v>-0.98350230000000005</v>
      </c>
      <c r="Q3314">
        <v>0.1779839</v>
      </c>
      <c r="R3314">
        <v>-3.2330009999999999E-2</v>
      </c>
      <c r="S3314">
        <v>-3.0800019999999999</v>
      </c>
      <c r="T3314">
        <v>-0.13538610000000001</v>
      </c>
      <c r="U3314">
        <v>0.13529969999999999</v>
      </c>
      <c r="V3314">
        <v>-2.5362849999999999E-2</v>
      </c>
      <c r="W3314">
        <v>0.18764120000000001</v>
      </c>
      <c r="X3314">
        <v>0.98191010000000001</v>
      </c>
      <c r="Y3314">
        <v>5.0637340000000003E-2</v>
      </c>
      <c r="Z3314">
        <v>1.592869E-3</v>
      </c>
      <c r="AA3314">
        <v>0.99871580000000004</v>
      </c>
      <c r="AB3314">
        <v>35</v>
      </c>
      <c r="AC3314">
        <v>-24.8934</v>
      </c>
      <c r="AD3314">
        <v>-1.1092356254789999</v>
      </c>
      <c r="AE3314">
        <v>1.1105</v>
      </c>
      <c r="AF3314">
        <v>1.27777704352115</v>
      </c>
      <c r="AG3314">
        <v>-1.1092356254789999</v>
      </c>
      <c r="AH3314">
        <v>24.8360292219424</v>
      </c>
      <c r="AI3314">
        <v>92.553891867335906</v>
      </c>
      <c r="AJ3314">
        <v>87.054813473242007</v>
      </c>
      <c r="AK3314">
        <v>24.893602900322801</v>
      </c>
      <c r="AL3314">
        <v>79.184840438969104</v>
      </c>
      <c r="AM3314">
        <v>91.479627518932901</v>
      </c>
      <c r="AN3314">
        <v>0.99999996928978496</v>
      </c>
    </row>
    <row r="3315" spans="1:40" x14ac:dyDescent="0.25">
      <c r="A3315" t="str">
        <f>"20190304155437664"</f>
        <v>20190304155437664</v>
      </c>
      <c r="B3315" t="str">
        <f>"1551686077660248"</f>
        <v>1551686077660248</v>
      </c>
      <c r="C3315" t="s">
        <v>40</v>
      </c>
      <c r="D3315">
        <v>4.7039759999999999</v>
      </c>
      <c r="E3315">
        <v>0.52292829999999901</v>
      </c>
      <c r="F3315" t="s">
        <v>46</v>
      </c>
      <c r="G3315">
        <v>-270.09390000000002</v>
      </c>
      <c r="H3315" s="1">
        <v>-4.8049759999999999E-6</v>
      </c>
      <c r="I3315">
        <v>142.7783</v>
      </c>
      <c r="J3315">
        <v>-243.61840000000001</v>
      </c>
      <c r="K3315">
        <v>1.1092150000000001</v>
      </c>
      <c r="L3315">
        <v>141.715</v>
      </c>
      <c r="M3315">
        <v>-0.99993299999999996</v>
      </c>
      <c r="N3315">
        <v>-9.7964479999999993E-3</v>
      </c>
      <c r="O3315">
        <v>-6.1819090000000002E-3</v>
      </c>
      <c r="P3315">
        <v>-0.98373080000000002</v>
      </c>
      <c r="Q3315">
        <v>0.17691200000000001</v>
      </c>
      <c r="R3315">
        <v>-3.1244379999999999E-2</v>
      </c>
      <c r="S3315">
        <v>-3.0773470000000001</v>
      </c>
      <c r="T3315">
        <v>-0.1272469</v>
      </c>
      <c r="U3315">
        <v>0.121780399999999</v>
      </c>
      <c r="V3315">
        <v>-2.490071E-2</v>
      </c>
      <c r="W3315">
        <v>0.1865774</v>
      </c>
      <c r="X3315">
        <v>0.98212460000000001</v>
      </c>
      <c r="Y3315">
        <v>4.5667560000000003E-2</v>
      </c>
      <c r="Z3315">
        <v>1.3621939999999999E-3</v>
      </c>
      <c r="AA3315">
        <v>0.99895579999999995</v>
      </c>
      <c r="AB3315">
        <v>35</v>
      </c>
      <c r="AC3315">
        <v>-26.4755</v>
      </c>
      <c r="AD3315">
        <v>-1.109219804976</v>
      </c>
      <c r="AE3315">
        <v>1.0632999999999899</v>
      </c>
      <c r="AF3315">
        <v>1.22481022549462</v>
      </c>
      <c r="AG3315">
        <v>-1.109219804976</v>
      </c>
      <c r="AH3315">
        <v>26.422116934806599</v>
      </c>
      <c r="AI3315">
        <v>92.401331595387205</v>
      </c>
      <c r="AJ3315">
        <v>87.345925925984801</v>
      </c>
      <c r="AK3315">
        <v>26.473737778802999</v>
      </c>
      <c r="AL3315">
        <v>79.246887299469705</v>
      </c>
      <c r="AM3315">
        <v>91.452361545710502</v>
      </c>
      <c r="AN3315">
        <v>0.99999995073721004</v>
      </c>
    </row>
    <row r="3316" spans="1:40" x14ac:dyDescent="0.25">
      <c r="A3316" t="str">
        <f>"20190304155437683"</f>
        <v>20190304155437683</v>
      </c>
      <c r="B3316" t="str">
        <f>"1551686077680744"</f>
        <v>1551686077680744</v>
      </c>
      <c r="C3316" t="s">
        <v>40</v>
      </c>
      <c r="D3316">
        <v>4.6761990000000004</v>
      </c>
      <c r="E3316">
        <v>0.52153799999999995</v>
      </c>
      <c r="F3316" t="s">
        <v>46</v>
      </c>
      <c r="G3316">
        <v>-271.68610000000001</v>
      </c>
      <c r="H3316" s="1">
        <v>-4.2413499999999996E-6</v>
      </c>
      <c r="I3316">
        <v>142.65539999999999</v>
      </c>
      <c r="J3316">
        <v>-243.9375</v>
      </c>
      <c r="K3316">
        <v>1.10921</v>
      </c>
      <c r="L3316">
        <v>141.71360000000001</v>
      </c>
      <c r="M3316">
        <v>-0.99993639999999995</v>
      </c>
      <c r="N3316">
        <v>-9.8016779999999994E-3</v>
      </c>
      <c r="O3316">
        <v>-5.5978390000000003E-3</v>
      </c>
      <c r="P3316">
        <v>-0.98388109999999995</v>
      </c>
      <c r="Q3316">
        <v>0.17616670000000001</v>
      </c>
      <c r="R3316">
        <v>-3.071637E-2</v>
      </c>
      <c r="S3316">
        <v>-3.074722</v>
      </c>
      <c r="T3316">
        <v>-0.1215113</v>
      </c>
      <c r="U3316">
        <v>0.1030273</v>
      </c>
      <c r="V3316">
        <v>-2.49436E-2</v>
      </c>
      <c r="W3316">
        <v>0.18583910000000001</v>
      </c>
      <c r="X3316">
        <v>0.98226360000000001</v>
      </c>
      <c r="Y3316">
        <v>3.9043029999999999E-2</v>
      </c>
      <c r="Z3316">
        <v>1.1287000000000001E-3</v>
      </c>
      <c r="AA3316">
        <v>0.99923689999999998</v>
      </c>
      <c r="AB3316">
        <v>35</v>
      </c>
      <c r="AC3316">
        <v>-27.7486</v>
      </c>
      <c r="AD3316">
        <v>-1.1092142413499999</v>
      </c>
      <c r="AE3316">
        <v>0.94179999999997199</v>
      </c>
      <c r="AF3316">
        <v>1.0953765985434101</v>
      </c>
      <c r="AG3316">
        <v>-1.1092142413499999</v>
      </c>
      <c r="AH3316">
        <v>27.698684183359401</v>
      </c>
      <c r="AI3316">
        <v>92.2914372521182</v>
      </c>
      <c r="AJ3316">
        <v>87.735351999974895</v>
      </c>
      <c r="AK3316">
        <v>27.742518119581899</v>
      </c>
      <c r="AL3316">
        <v>79.2899430475846</v>
      </c>
      <c r="AM3316">
        <v>91.454656289443193</v>
      </c>
      <c r="AN3316">
        <v>1.0000000670773601</v>
      </c>
    </row>
    <row r="3317" spans="1:40" x14ac:dyDescent="0.25">
      <c r="A3317" t="str">
        <f>"20190304155437706"</f>
        <v>20190304155437706</v>
      </c>
      <c r="B3317" t="str">
        <f>"1551686077700264"</f>
        <v>1551686077700264</v>
      </c>
      <c r="C3317" t="s">
        <v>40</v>
      </c>
      <c r="D3317">
        <v>4.6871850000000004</v>
      </c>
      <c r="E3317">
        <v>0.52045589999999997</v>
      </c>
      <c r="F3317" t="s">
        <v>46</v>
      </c>
      <c r="G3317">
        <v>-273.0727</v>
      </c>
      <c r="H3317" s="1">
        <v>-3.748179E-6</v>
      </c>
      <c r="I3317">
        <v>142.60050000000001</v>
      </c>
      <c r="J3317">
        <v>-244.28270000000001</v>
      </c>
      <c r="K3317">
        <v>1.1092</v>
      </c>
      <c r="L3317">
        <v>141.7122</v>
      </c>
      <c r="M3317">
        <v>-0.99993969999999999</v>
      </c>
      <c r="N3317">
        <v>-9.8073099999999996E-3</v>
      </c>
      <c r="O3317">
        <v>-4.9661009999999997E-3</v>
      </c>
      <c r="P3317">
        <v>-0.98394919999999997</v>
      </c>
      <c r="Q3317">
        <v>0.1758777</v>
      </c>
      <c r="R3317">
        <v>-3.0185259999999998E-2</v>
      </c>
      <c r="S3317">
        <v>-3.0729980000000001</v>
      </c>
      <c r="T3317">
        <v>-0.11699320000000001</v>
      </c>
      <c r="U3317">
        <v>9.3551640000000005E-2</v>
      </c>
      <c r="V3317">
        <v>-2.5030210000000001E-2</v>
      </c>
      <c r="W3317">
        <v>0.185557</v>
      </c>
      <c r="X3317">
        <v>0.98231460000000004</v>
      </c>
      <c r="Y3317">
        <v>3.5358510000000003E-2</v>
      </c>
      <c r="Z3317">
        <v>9.8645979999999992E-4</v>
      </c>
      <c r="AA3317">
        <v>0.99937419999999999</v>
      </c>
      <c r="AB3317">
        <v>35</v>
      </c>
      <c r="AC3317">
        <v>-28.7899999999999</v>
      </c>
      <c r="AD3317">
        <v>-1.109203748179</v>
      </c>
      <c r="AE3317">
        <v>0.88830000000001497</v>
      </c>
      <c r="AF3317">
        <v>1.02974289580929</v>
      </c>
      <c r="AG3317">
        <v>-1.109203748179</v>
      </c>
      <c r="AH3317">
        <v>28.742609542406701</v>
      </c>
      <c r="AI3317">
        <v>92.208584666030404</v>
      </c>
      <c r="AJ3317">
        <v>87.948178693656999</v>
      </c>
      <c r="AK3317">
        <v>28.782430520956598</v>
      </c>
      <c r="AL3317">
        <v>79.306390942278398</v>
      </c>
      <c r="AM3317">
        <v>91.459629261575003</v>
      </c>
      <c r="AN3317">
        <v>0.99999994251739999</v>
      </c>
    </row>
    <row r="3318" spans="1:40" x14ac:dyDescent="0.25">
      <c r="A3318" t="str">
        <f>"20190304155437729"</f>
        <v>20190304155437729</v>
      </c>
      <c r="B3318" t="str">
        <f>"1551686077720760"</f>
        <v>1551686077720760</v>
      </c>
      <c r="C3318" t="s">
        <v>40</v>
      </c>
      <c r="D3318">
        <v>4.5981069999999997</v>
      </c>
      <c r="E3318">
        <v>0.51947140000000003</v>
      </c>
      <c r="F3318" t="s">
        <v>46</v>
      </c>
      <c r="G3318">
        <v>-274.44940000000003</v>
      </c>
      <c r="H3318" s="1">
        <v>-3.148691E-6</v>
      </c>
      <c r="I3318">
        <v>142.56720000000001</v>
      </c>
      <c r="J3318">
        <v>-244.64789999999999</v>
      </c>
      <c r="K3318">
        <v>1.109192</v>
      </c>
      <c r="L3318">
        <v>141.71109999999999</v>
      </c>
      <c r="M3318">
        <v>-0.99994280000000002</v>
      </c>
      <c r="N3318">
        <v>-9.8132440000000005E-3</v>
      </c>
      <c r="O3318">
        <v>-4.2981399999999998E-3</v>
      </c>
      <c r="P3318">
        <v>-0.98416689999999996</v>
      </c>
      <c r="Q3318">
        <v>0.17469499999999999</v>
      </c>
      <c r="R3318">
        <v>-2.9959240000000002E-2</v>
      </c>
      <c r="S3318">
        <v>-3.0718079999999999</v>
      </c>
      <c r="T3318">
        <v>-0.11294750000000001</v>
      </c>
      <c r="U3318">
        <v>8.7066649999999995E-2</v>
      </c>
      <c r="V3318">
        <v>-2.545936E-2</v>
      </c>
      <c r="W3318">
        <v>0.18438309999999999</v>
      </c>
      <c r="X3318">
        <v>0.98252459999999997</v>
      </c>
      <c r="Y3318">
        <v>3.2599299999999998E-2</v>
      </c>
      <c r="Z3318">
        <v>8.7485220000000003E-4</v>
      </c>
      <c r="AA3318">
        <v>0.99946809999999997</v>
      </c>
      <c r="AB3318">
        <v>35</v>
      </c>
      <c r="AC3318">
        <v>-29.801500000000001</v>
      </c>
      <c r="AD3318">
        <v>-1.1091951486910001</v>
      </c>
      <c r="AE3318">
        <v>0.85610000000002595</v>
      </c>
      <c r="AF3318">
        <v>0.98282887729149704</v>
      </c>
      <c r="AG3318">
        <v>-1.1091951486910001</v>
      </c>
      <c r="AH3318">
        <v>29.756357782609001</v>
      </c>
      <c r="AI3318">
        <v>92.133601210949905</v>
      </c>
      <c r="AJ3318">
        <v>88.108253603424401</v>
      </c>
      <c r="AK3318">
        <v>29.793239081485499</v>
      </c>
      <c r="AL3318">
        <v>79.374831525016702</v>
      </c>
      <c r="AM3318">
        <v>91.484326731651706</v>
      </c>
      <c r="AN3318">
        <v>0.99999994809118797</v>
      </c>
    </row>
    <row r="3319" spans="1:40" x14ac:dyDescent="0.25">
      <c r="A3319" t="str">
        <f>"20190304155437751"</f>
        <v>20190304155437751</v>
      </c>
      <c r="B3319" t="str">
        <f>"1551686077740283"</f>
        <v>1551686077740283</v>
      </c>
      <c r="C3319" t="s">
        <v>40</v>
      </c>
      <c r="D3319">
        <v>4.7684449999999998</v>
      </c>
      <c r="E3319">
        <v>0.51825730000000003</v>
      </c>
      <c r="F3319" t="s">
        <v>46</v>
      </c>
      <c r="G3319">
        <v>-274.17009999999999</v>
      </c>
      <c r="H3319" s="1">
        <v>-3.2460139999999999E-6</v>
      </c>
      <c r="I3319">
        <v>142.48269999999999</v>
      </c>
      <c r="J3319">
        <v>-245.00229999999999</v>
      </c>
      <c r="K3319">
        <v>1.1091759999999999</v>
      </c>
      <c r="L3319">
        <v>141.71019999999999</v>
      </c>
      <c r="M3319">
        <v>-0.99994519999999998</v>
      </c>
      <c r="N3319">
        <v>-9.8188849999999994E-3</v>
      </c>
      <c r="O3319">
        <v>-3.6505779999999998E-3</v>
      </c>
      <c r="P3319">
        <v>-0.98430499999999999</v>
      </c>
      <c r="Q3319">
        <v>0.17384869999999999</v>
      </c>
      <c r="R3319">
        <v>-3.034067E-2</v>
      </c>
      <c r="S3319">
        <v>-3.0711819999999999</v>
      </c>
      <c r="T3319">
        <v>-0.1153892</v>
      </c>
      <c r="U3319">
        <v>8.0276490000000006E-2</v>
      </c>
      <c r="V3319">
        <v>-2.6476010000000001E-2</v>
      </c>
      <c r="W3319">
        <v>0.18354509999999999</v>
      </c>
      <c r="X3319">
        <v>0.98265469999999999</v>
      </c>
      <c r="Y3319">
        <v>2.9751159999999999E-2</v>
      </c>
      <c r="Z3319">
        <v>8.0601999999999996E-4</v>
      </c>
      <c r="AA3319">
        <v>0.99955700000000003</v>
      </c>
      <c r="AB3319">
        <v>35</v>
      </c>
      <c r="AC3319">
        <v>-29.1678</v>
      </c>
      <c r="AD3319">
        <v>-1.109179246014</v>
      </c>
      <c r="AE3319">
        <v>0.77250000000000696</v>
      </c>
      <c r="AF3319">
        <v>0.87771094511673897</v>
      </c>
      <c r="AG3319">
        <v>-1.109179246014</v>
      </c>
      <c r="AH3319">
        <v>29.122700813603402</v>
      </c>
      <c r="AI3319">
        <v>92.1801476073054</v>
      </c>
      <c r="AJ3319">
        <v>88.273720725151605</v>
      </c>
      <c r="AK3319">
        <v>29.157029303096401</v>
      </c>
      <c r="AL3319">
        <v>79.423679856819902</v>
      </c>
      <c r="AM3319">
        <v>91.543366875667303</v>
      </c>
      <c r="AN3319">
        <v>1.0000000211358</v>
      </c>
    </row>
    <row r="3320" spans="1:40" x14ac:dyDescent="0.25">
      <c r="A3320" t="str">
        <f>"20190304155437773"</f>
        <v>20190304155437773</v>
      </c>
      <c r="B3320" t="str">
        <f>"1551686077770536"</f>
        <v>1551686077770536</v>
      </c>
      <c r="C3320" t="s">
        <v>40</v>
      </c>
      <c r="D3320">
        <v>4.733053</v>
      </c>
      <c r="E3320">
        <v>0.51720569999999999</v>
      </c>
      <c r="F3320" t="s">
        <v>46</v>
      </c>
      <c r="G3320">
        <v>-274.7122</v>
      </c>
      <c r="H3320" s="1">
        <v>-2.9861990000000001E-6</v>
      </c>
      <c r="I3320">
        <v>142.3802</v>
      </c>
      <c r="J3320">
        <v>-245.3443</v>
      </c>
      <c r="K3320">
        <v>1.109167</v>
      </c>
      <c r="L3320">
        <v>141.70949999999999</v>
      </c>
      <c r="M3320">
        <v>-0.99994720000000004</v>
      </c>
      <c r="N3320">
        <v>-9.8243059999999997E-3</v>
      </c>
      <c r="O3320">
        <v>-3.026272E-3</v>
      </c>
      <c r="P3320">
        <v>-0.98450859999999996</v>
      </c>
      <c r="Q3320">
        <v>0.1725661</v>
      </c>
      <c r="R3320">
        <v>-3.1043419999999999E-2</v>
      </c>
      <c r="S3320">
        <v>-3.0702060000000002</v>
      </c>
      <c r="T3320">
        <v>-0.1146221</v>
      </c>
      <c r="U3320">
        <v>6.9244379999999994E-2</v>
      </c>
      <c r="V3320">
        <v>-2.7792790000000001E-2</v>
      </c>
      <c r="W3320">
        <v>0.1822723</v>
      </c>
      <c r="X3320">
        <v>0.98285520000000004</v>
      </c>
      <c r="Y3320">
        <v>2.5549860000000001E-2</v>
      </c>
      <c r="Z3320">
        <v>6.8549649999999904E-4</v>
      </c>
      <c r="AA3320">
        <v>0.99967329999999999</v>
      </c>
      <c r="AB3320">
        <v>35</v>
      </c>
      <c r="AC3320">
        <v>-29.367899999999899</v>
      </c>
      <c r="AD3320">
        <v>-1.1091699861990001</v>
      </c>
      <c r="AE3320">
        <v>0.67070000000000995</v>
      </c>
      <c r="AF3320">
        <v>0.75849509168256102</v>
      </c>
      <c r="AG3320">
        <v>-1.1091699861990001</v>
      </c>
      <c r="AH3320">
        <v>29.3239289639181</v>
      </c>
      <c r="AI3320">
        <v>92.165441711877904</v>
      </c>
      <c r="AJ3320">
        <v>88.518313168984207</v>
      </c>
      <c r="AK3320">
        <v>29.354699500136402</v>
      </c>
      <c r="AL3320">
        <v>79.4978569508866</v>
      </c>
      <c r="AM3320">
        <v>91.619755716852694</v>
      </c>
      <c r="AN3320">
        <v>0.99999998734515605</v>
      </c>
    </row>
    <row r="3321" spans="1:40" x14ac:dyDescent="0.25">
      <c r="A3321" t="str">
        <f>"20190304155437794"</f>
        <v>20190304155437794</v>
      </c>
      <c r="B3321" t="str">
        <f>"1551686077791032"</f>
        <v>1551686077791032</v>
      </c>
      <c r="C3321" t="s">
        <v>40</v>
      </c>
      <c r="D3321">
        <v>4.7092479999999997</v>
      </c>
      <c r="E3321">
        <v>0.51671670000000003</v>
      </c>
      <c r="F3321" t="s">
        <v>46</v>
      </c>
      <c r="G3321">
        <v>-275.03489999999999</v>
      </c>
      <c r="H3321" s="1">
        <v>-2.8208979999999999E-6</v>
      </c>
      <c r="I3321">
        <v>142.2792</v>
      </c>
      <c r="J3321">
        <v>-245.68289999999999</v>
      </c>
      <c r="K3321">
        <v>1.109156</v>
      </c>
      <c r="L3321">
        <v>141.70910000000001</v>
      </c>
      <c r="M3321">
        <v>-0.99994890000000003</v>
      </c>
      <c r="N3321">
        <v>-9.8297139999999998E-3</v>
      </c>
      <c r="O3321">
        <v>-2.4087689999999998E-3</v>
      </c>
      <c r="P3321">
        <v>-0.98461100000000001</v>
      </c>
      <c r="Q3321">
        <v>0.17182700000000001</v>
      </c>
      <c r="R3321">
        <v>-3.1892499999999997E-2</v>
      </c>
      <c r="S3321">
        <v>-3.0691220000000001</v>
      </c>
      <c r="T3321">
        <v>-0.1146553</v>
      </c>
      <c r="U3321">
        <v>5.8898930000000002E-2</v>
      </c>
      <c r="V3321">
        <v>-2.924916E-2</v>
      </c>
      <c r="W3321">
        <v>0.1815418</v>
      </c>
      <c r="X3321">
        <v>0.98294809999999999</v>
      </c>
      <c r="Y3321">
        <v>2.157574E-2</v>
      </c>
      <c r="Z3321">
        <v>5.7521000000000004E-4</v>
      </c>
      <c r="AA3321">
        <v>0.99976710000000002</v>
      </c>
      <c r="AB3321">
        <v>35</v>
      </c>
      <c r="AC3321">
        <v>-29.352</v>
      </c>
      <c r="AD3321">
        <v>-1.1091588208980001</v>
      </c>
      <c r="AE3321">
        <v>0.57009999999999605</v>
      </c>
      <c r="AF3321">
        <v>0.63989055633656</v>
      </c>
      <c r="AG3321">
        <v>-1.1091588208980001</v>
      </c>
      <c r="AH3321">
        <v>29.308706038201699</v>
      </c>
      <c r="AI3321">
        <v>92.166751676988696</v>
      </c>
      <c r="AJ3321">
        <v>88.749272504435297</v>
      </c>
      <c r="AK3321">
        <v>29.3366655032194</v>
      </c>
      <c r="AL3321">
        <v>79.540421316541199</v>
      </c>
      <c r="AM3321">
        <v>91.704422700429205</v>
      </c>
      <c r="AN3321">
        <v>0.99999995290077603</v>
      </c>
    </row>
    <row r="3322" spans="1:40" x14ac:dyDescent="0.25">
      <c r="A3322" t="str">
        <f>"20190304155437819"</f>
        <v>20190304155437819</v>
      </c>
      <c r="B3322" t="str">
        <f>"1551686077810175"</f>
        <v>1551686077810175</v>
      </c>
      <c r="C3322" t="s">
        <v>40</v>
      </c>
      <c r="D3322">
        <v>4.7037950000000004</v>
      </c>
      <c r="E3322">
        <v>0.51649389999999995</v>
      </c>
      <c r="F3322" t="s">
        <v>46</v>
      </c>
      <c r="G3322">
        <v>-275.26209999999998</v>
      </c>
      <c r="H3322" s="1">
        <v>-2.7061580000000001E-6</v>
      </c>
      <c r="I3322">
        <v>142.21420000000001</v>
      </c>
      <c r="J3322">
        <v>-246.07040000000001</v>
      </c>
      <c r="K3322">
        <v>1.109151</v>
      </c>
      <c r="L3322">
        <v>141.7088</v>
      </c>
      <c r="M3322">
        <v>-0.99995020000000001</v>
      </c>
      <c r="N3322">
        <v>-9.8359209999999992E-3</v>
      </c>
      <c r="O3322">
        <v>-1.7018669999999999E-3</v>
      </c>
      <c r="P3322">
        <v>-0.98462400000000005</v>
      </c>
      <c r="Q3322">
        <v>0.17167260000000001</v>
      </c>
      <c r="R3322">
        <v>-3.2313359999999999E-2</v>
      </c>
      <c r="S3322">
        <v>-3.0686650000000002</v>
      </c>
      <c r="T3322">
        <v>-0.1150688</v>
      </c>
      <c r="U3322">
        <v>5.2413939999999999E-2</v>
      </c>
      <c r="V3322">
        <v>-3.0365030000000001E-2</v>
      </c>
      <c r="W3322">
        <v>0.18139549999999999</v>
      </c>
      <c r="X3322">
        <v>0.98294130000000002</v>
      </c>
      <c r="Y3322">
        <v>1.8762270000000001E-2</v>
      </c>
      <c r="Z3322">
        <v>4.9100209999999997E-4</v>
      </c>
      <c r="AA3322">
        <v>0.99982389999999999</v>
      </c>
      <c r="AB3322">
        <v>35</v>
      </c>
      <c r="AC3322">
        <v>-29.191699999999901</v>
      </c>
      <c r="AD3322">
        <v>-1.1091537061579999</v>
      </c>
      <c r="AE3322">
        <v>0.50540000000000795</v>
      </c>
      <c r="AF3322">
        <v>0.55428210647214005</v>
      </c>
      <c r="AG3322">
        <v>-1.1091537061579999</v>
      </c>
      <c r="AH3322">
        <v>29.1487293332771</v>
      </c>
      <c r="AI3322">
        <v>92.178747158819604</v>
      </c>
      <c r="AJ3322">
        <v>88.910614662493799</v>
      </c>
      <c r="AK3322">
        <v>29.175089928603299</v>
      </c>
      <c r="AL3322">
        <v>79.548945509520706</v>
      </c>
      <c r="AM3322">
        <v>91.769418931251096</v>
      </c>
      <c r="AN3322">
        <v>0.99999998085641995</v>
      </c>
    </row>
    <row r="3323" spans="1:40" x14ac:dyDescent="0.25">
      <c r="A3323" t="str">
        <f>"20190304155437863"</f>
        <v>20190304155437863</v>
      </c>
      <c r="B3323" t="str">
        <f>"1551686077860928"</f>
        <v>1551686077860928</v>
      </c>
      <c r="C3323" t="s">
        <v>40</v>
      </c>
      <c r="D3323">
        <v>4.7497740000000004</v>
      </c>
      <c r="E3323">
        <v>0.57140789999999997</v>
      </c>
      <c r="F3323" t="s">
        <v>46</v>
      </c>
      <c r="G3323">
        <v>-275.39929999999998</v>
      </c>
      <c r="H3323" s="1">
        <v>-2.6376290000000001E-6</v>
      </c>
      <c r="I3323">
        <v>142.17789999999999</v>
      </c>
      <c r="J3323">
        <v>-246.7603</v>
      </c>
      <c r="K3323">
        <v>1.109132</v>
      </c>
      <c r="L3323">
        <v>141.709</v>
      </c>
      <c r="M3323">
        <v>-0.99995149999999999</v>
      </c>
      <c r="N3323">
        <v>-9.8470150000000006E-3</v>
      </c>
      <c r="O3323">
        <v>-4.4471309999999999E-4</v>
      </c>
      <c r="P3323">
        <v>-0.98521550000000002</v>
      </c>
      <c r="Q3323">
        <v>0.16808020000000001</v>
      </c>
      <c r="R3323">
        <v>-3.3160719999999998E-2</v>
      </c>
      <c r="S3323">
        <v>-3.0687099999999998</v>
      </c>
      <c r="T3323">
        <v>-0.1160524</v>
      </c>
      <c r="U3323">
        <v>4.9087520000000003E-2</v>
      </c>
      <c r="V3323">
        <v>-3.2453460000000003E-2</v>
      </c>
      <c r="W3323">
        <v>0.17782290000000001</v>
      </c>
      <c r="X3323">
        <v>0.98352720000000005</v>
      </c>
      <c r="Y3323">
        <v>1.6423799999999999E-2</v>
      </c>
      <c r="Z3323">
        <v>4.0376609999999999E-4</v>
      </c>
      <c r="AA3323">
        <v>0.99986509999999995</v>
      </c>
      <c r="AB3323">
        <v>35</v>
      </c>
      <c r="AC3323">
        <v>-28.6389999999999</v>
      </c>
      <c r="AD3323">
        <v>-1.1091346376289899</v>
      </c>
      <c r="AE3323">
        <v>0.46889999999998999</v>
      </c>
      <c r="AF3323">
        <v>0.480915592308091</v>
      </c>
      <c r="AG3323">
        <v>-1.1091346376289899</v>
      </c>
      <c r="AH3323">
        <v>28.5959100555744</v>
      </c>
      <c r="AI3323">
        <v>92.220874364380194</v>
      </c>
      <c r="AJ3323">
        <v>89.036511292628006</v>
      </c>
      <c r="AK3323">
        <v>28.621452292953499</v>
      </c>
      <c r="AL3323">
        <v>79.757024319561495</v>
      </c>
      <c r="AM3323">
        <v>91.889903880950996</v>
      </c>
      <c r="AN3323">
        <v>0.99999998198510998</v>
      </c>
    </row>
    <row r="3324" spans="1:40" x14ac:dyDescent="0.25">
      <c r="A3324" t="str">
        <f>"20190304155437884"</f>
        <v>20190304155437884</v>
      </c>
      <c r="B3324" t="str">
        <f>"1551686077880446"</f>
        <v>1551686077880446</v>
      </c>
      <c r="C3324" t="s">
        <v>40</v>
      </c>
      <c r="D3324">
        <v>4.7003170000000001</v>
      </c>
      <c r="E3324">
        <v>0.57514350000000003</v>
      </c>
      <c r="F3324" t="s">
        <v>81</v>
      </c>
      <c r="G3324">
        <v>-449.86219999999997</v>
      </c>
      <c r="H3324">
        <v>1.1204510000000001</v>
      </c>
      <c r="I3324">
        <v>173.67160000000001</v>
      </c>
      <c r="J3324">
        <v>-247.095</v>
      </c>
      <c r="K3324">
        <v>1.1091230000000001</v>
      </c>
      <c r="L3324">
        <v>141.70939999999999</v>
      </c>
      <c r="M3324">
        <v>-0.99995160000000005</v>
      </c>
      <c r="N3324">
        <v>-9.8523139999999992E-3</v>
      </c>
      <c r="O3324">
        <v>1.653821E-4</v>
      </c>
      <c r="P3324">
        <v>-0.98541670000000003</v>
      </c>
      <c r="Q3324">
        <v>0.16688649999999999</v>
      </c>
      <c r="R3324">
        <v>-3.3215590000000003E-2</v>
      </c>
      <c r="S3324">
        <v>-3.0612180000000002</v>
      </c>
      <c r="T3324">
        <v>1.717806E-4</v>
      </c>
      <c r="U3324">
        <v>0.48175050000000003</v>
      </c>
      <c r="V3324">
        <v>-3.3110639999999997E-2</v>
      </c>
      <c r="W3324">
        <v>0.1766375</v>
      </c>
      <c r="X3324">
        <v>0.98371889999999995</v>
      </c>
      <c r="Y3324">
        <v>0.1552955</v>
      </c>
      <c r="Z3324">
        <v>7.6700559999999995E-4</v>
      </c>
      <c r="AA3324">
        <v>0.98786779999999996</v>
      </c>
      <c r="AB3324">
        <v>35</v>
      </c>
      <c r="AC3324">
        <v>-202.7672</v>
      </c>
      <c r="AD3324">
        <v>1.1328000000000201E-2</v>
      </c>
      <c r="AE3324">
        <v>31.962199999999999</v>
      </c>
      <c r="AF3324">
        <v>31.928663777601699</v>
      </c>
      <c r="AG3324">
        <v>1.1328000000000201E-2</v>
      </c>
      <c r="AH3324">
        <v>202.77248284076799</v>
      </c>
      <c r="AI3324">
        <v>89.996838096549695</v>
      </c>
      <c r="AJ3324">
        <v>81.051647761163295</v>
      </c>
      <c r="AK3324">
        <v>205.270844243298</v>
      </c>
      <c r="AL3324">
        <v>79.826035384771799</v>
      </c>
      <c r="AM3324">
        <v>91.927770224647404</v>
      </c>
      <c r="AN3324">
        <v>0.99999999755233404</v>
      </c>
    </row>
    <row r="3325" spans="1:40" x14ac:dyDescent="0.25">
      <c r="A3325" t="str">
        <f>"20190304155437906"</f>
        <v>20190304155437906</v>
      </c>
      <c r="B3325" t="str">
        <f>"1551686077900640"</f>
        <v>1551686077900640</v>
      </c>
      <c r="C3325" t="s">
        <v>40</v>
      </c>
      <c r="D3325">
        <v>4.7621060000000002</v>
      </c>
      <c r="E3325">
        <v>0.57412479999999999</v>
      </c>
      <c r="F3325" t="s">
        <v>81</v>
      </c>
      <c r="G3325">
        <v>-443.92579999999998</v>
      </c>
      <c r="H3325">
        <v>2.5766800000000001</v>
      </c>
      <c r="I3325">
        <v>174.60329999999999</v>
      </c>
      <c r="J3325">
        <v>-247.4444</v>
      </c>
      <c r="K3325">
        <v>1.1091070000000001</v>
      </c>
      <c r="L3325">
        <v>141.71010000000001</v>
      </c>
      <c r="M3325">
        <v>-0.99995109999999998</v>
      </c>
      <c r="N3325">
        <v>-9.8577779999999993E-3</v>
      </c>
      <c r="O3325">
        <v>8.0199899999999996E-4</v>
      </c>
      <c r="P3325">
        <v>-0.98551529999999998</v>
      </c>
      <c r="Q3325">
        <v>0.166377</v>
      </c>
      <c r="R3325">
        <v>-3.2843610000000002E-2</v>
      </c>
      <c r="S3325">
        <v>-3.0577390000000002</v>
      </c>
      <c r="T3325">
        <v>2.2798539999999999E-2</v>
      </c>
      <c r="U3325">
        <v>0.51100159999999994</v>
      </c>
      <c r="V3325">
        <v>-3.3365579999999999E-2</v>
      </c>
      <c r="W3325">
        <v>0.1761344</v>
      </c>
      <c r="X3325">
        <v>0.98380049999999997</v>
      </c>
      <c r="Y3325">
        <v>0.16404199999999999</v>
      </c>
      <c r="Z3325">
        <v>2.2058900000000001E-4</v>
      </c>
      <c r="AA3325">
        <v>0.98645340000000004</v>
      </c>
      <c r="AB3325">
        <v>35</v>
      </c>
      <c r="AC3325">
        <v>-196.48140000000001</v>
      </c>
      <c r="AD3325">
        <v>1.467573</v>
      </c>
      <c r="AE3325">
        <v>32.893199999999901</v>
      </c>
      <c r="AF3325">
        <v>32.733827445207602</v>
      </c>
      <c r="AG3325">
        <v>1.467573</v>
      </c>
      <c r="AH3325">
        <v>196.49705469189701</v>
      </c>
      <c r="AI3325">
        <v>89.577900875806705</v>
      </c>
      <c r="AJ3325">
        <v>80.542126821593996</v>
      </c>
      <c r="AK3325">
        <v>199.21031532607299</v>
      </c>
      <c r="AL3325">
        <v>79.855320133205595</v>
      </c>
      <c r="AM3325">
        <v>91.9424410287142</v>
      </c>
      <c r="AN3325">
        <v>1.00000000629617</v>
      </c>
    </row>
    <row r="3326" spans="1:40" x14ac:dyDescent="0.25">
      <c r="A3326" t="str">
        <f>"20190304155437928"</f>
        <v>20190304155437928</v>
      </c>
      <c r="B3326" t="str">
        <f>"1551686077920161"</f>
        <v>1551686077920161</v>
      </c>
      <c r="C3326" t="s">
        <v>40</v>
      </c>
      <c r="D3326">
        <v>4.7521500000000003</v>
      </c>
      <c r="E3326">
        <v>0.57275120000000002</v>
      </c>
      <c r="F3326" t="s">
        <v>81</v>
      </c>
      <c r="G3326">
        <v>-444.18770000000001</v>
      </c>
      <c r="H3326">
        <v>1.7481310000000001</v>
      </c>
      <c r="I3326">
        <v>174.1182</v>
      </c>
      <c r="J3326">
        <v>-247.80240000000001</v>
      </c>
      <c r="K3326">
        <v>1.109102</v>
      </c>
      <c r="L3326">
        <v>141.71100000000001</v>
      </c>
      <c r="M3326">
        <v>-0.99995040000000002</v>
      </c>
      <c r="N3326">
        <v>-9.8634129999999997E-3</v>
      </c>
      <c r="O3326">
        <v>1.454349E-3</v>
      </c>
      <c r="P3326">
        <v>-0.98562709999999998</v>
      </c>
      <c r="Q3326">
        <v>0.16574739999999999</v>
      </c>
      <c r="R3326">
        <v>-3.2668040000000002E-2</v>
      </c>
      <c r="S3326">
        <v>-3.0592039999999998</v>
      </c>
      <c r="T3326">
        <v>9.9368100000000008E-3</v>
      </c>
      <c r="U3326">
        <v>0.50392150000000002</v>
      </c>
      <c r="V3326">
        <v>-3.3833820000000001E-2</v>
      </c>
      <c r="W3326">
        <v>0.1755129</v>
      </c>
      <c r="X3326">
        <v>0.98389559999999998</v>
      </c>
      <c r="Y3326">
        <v>0.1610993</v>
      </c>
      <c r="Z3326">
        <v>5.5888179999999995E-4</v>
      </c>
      <c r="AA3326">
        <v>0.98693810000000004</v>
      </c>
      <c r="AB3326">
        <v>35</v>
      </c>
      <c r="AC3326">
        <v>-196.3853</v>
      </c>
      <c r="AD3326">
        <v>0.63902899999999996</v>
      </c>
      <c r="AE3326">
        <v>32.407199999999897</v>
      </c>
      <c r="AF3326">
        <v>32.121208003616502</v>
      </c>
      <c r="AG3326">
        <v>0.63902899999999996</v>
      </c>
      <c r="AH3326">
        <v>196.43020124415699</v>
      </c>
      <c r="AI3326">
        <v>89.816048586409195</v>
      </c>
      <c r="AJ3326">
        <v>80.712917328223</v>
      </c>
      <c r="AK3326">
        <v>199.04020780358499</v>
      </c>
      <c r="AL3326">
        <v>79.891493200185707</v>
      </c>
      <c r="AM3326">
        <v>91.969488959500595</v>
      </c>
      <c r="AN3326">
        <v>1.00000002857078</v>
      </c>
    </row>
    <row r="3327" spans="1:40" x14ac:dyDescent="0.25">
      <c r="A3327" t="str">
        <f>"20190304155437952"</f>
        <v>20190304155437952</v>
      </c>
      <c r="B3327" t="str">
        <f>"1551686077940656"</f>
        <v>1551686077940656</v>
      </c>
      <c r="C3327" t="s">
        <v>40</v>
      </c>
      <c r="D3327">
        <v>4.7739129999999896</v>
      </c>
      <c r="E3327">
        <v>0.57290669999999899</v>
      </c>
      <c r="F3327" t="s">
        <v>82</v>
      </c>
      <c r="G3327">
        <v>-368.36250000000001</v>
      </c>
      <c r="H3327">
        <v>0.83091630000000005</v>
      </c>
      <c r="I3327">
        <v>161.14660000000001</v>
      </c>
      <c r="J3327">
        <v>-248.16560000000001</v>
      </c>
      <c r="K3327">
        <v>1.109102</v>
      </c>
      <c r="L3327">
        <v>141.7122</v>
      </c>
      <c r="M3327">
        <v>-0.99994919999999998</v>
      </c>
      <c r="N3327">
        <v>-9.8691479999999995E-3</v>
      </c>
      <c r="O3327">
        <v>2.115759E-3</v>
      </c>
      <c r="P3327">
        <v>-0.98561240000000006</v>
      </c>
      <c r="Q3327">
        <v>0.1658877</v>
      </c>
      <c r="R3327">
        <v>-3.2405669999999998E-2</v>
      </c>
      <c r="S3327">
        <v>-3.0612949999999999</v>
      </c>
      <c r="T3327">
        <v>-7.0633889999999998E-3</v>
      </c>
      <c r="U3327">
        <v>0.49351499999999998</v>
      </c>
      <c r="V3327">
        <v>-3.4222309999999999E-2</v>
      </c>
      <c r="W3327">
        <v>0.17565890000000001</v>
      </c>
      <c r="X3327">
        <v>0.98385610000000001</v>
      </c>
      <c r="Y3327">
        <v>0.15706489999999901</v>
      </c>
      <c r="Z3327">
        <v>9.7597929999999997E-4</v>
      </c>
      <c r="AA3327">
        <v>0.98758780000000002</v>
      </c>
      <c r="AB3327">
        <v>35</v>
      </c>
      <c r="AC3327">
        <v>-120.1969</v>
      </c>
      <c r="AD3327">
        <v>-0.27818569999999998</v>
      </c>
      <c r="AE3327">
        <v>19.4344</v>
      </c>
      <c r="AF3327">
        <v>19.179936353803999</v>
      </c>
      <c r="AG3327">
        <v>-0.27818569999999998</v>
      </c>
      <c r="AH3327">
        <v>120.237123805747</v>
      </c>
      <c r="AI3327">
        <v>90.130906656574496</v>
      </c>
      <c r="AJ3327">
        <v>80.936675176060405</v>
      </c>
      <c r="AK3327">
        <v>121.757600530308</v>
      </c>
      <c r="AL3327">
        <v>79.882995923458594</v>
      </c>
      <c r="AM3327">
        <v>91.9921650154498</v>
      </c>
      <c r="AN3327">
        <v>1.00000002057907</v>
      </c>
    </row>
    <row r="3328" spans="1:40" x14ac:dyDescent="0.25">
      <c r="A3328" t="str">
        <f>"20190304155437974"</f>
        <v>20190304155437974</v>
      </c>
      <c r="B3328" t="str">
        <f>"1551686077970912"</f>
        <v>1551686077970912</v>
      </c>
      <c r="C3328" t="s">
        <v>40</v>
      </c>
      <c r="D3328">
        <v>4.8318729999999999</v>
      </c>
      <c r="E3328">
        <v>0.57372749999999995</v>
      </c>
      <c r="F3328" t="s">
        <v>82</v>
      </c>
      <c r="G3328">
        <v>-362.1465</v>
      </c>
      <c r="H3328">
        <v>0.31311990000000001</v>
      </c>
      <c r="I3328">
        <v>160.15280000000001</v>
      </c>
      <c r="J3328">
        <v>-248.51939999999999</v>
      </c>
      <c r="K3328">
        <v>1.109108</v>
      </c>
      <c r="L3328">
        <v>141.71350000000001</v>
      </c>
      <c r="M3328">
        <v>-0.99994749999999999</v>
      </c>
      <c r="N3328">
        <v>-9.8746719999999993E-3</v>
      </c>
      <c r="O3328">
        <v>2.7604790000000001E-3</v>
      </c>
      <c r="P3328">
        <v>-0.98568860000000003</v>
      </c>
      <c r="Q3328">
        <v>0.1655885</v>
      </c>
      <c r="R3328">
        <v>-3.1594570000000002E-2</v>
      </c>
      <c r="S3328">
        <v>-3.0636899999999998</v>
      </c>
      <c r="T3328">
        <v>-2.139485E-2</v>
      </c>
      <c r="U3328">
        <v>0.49566650000000001</v>
      </c>
      <c r="V3328">
        <v>-3.4046310000000003E-2</v>
      </c>
      <c r="W3328">
        <v>0.17536550000000001</v>
      </c>
      <c r="X3328">
        <v>0.98391459999999997</v>
      </c>
      <c r="Y3328">
        <v>0.156975799999999</v>
      </c>
      <c r="Z3328">
        <v>1.332586E-3</v>
      </c>
      <c r="AA3328">
        <v>0.98760159999999997</v>
      </c>
      <c r="AB3328">
        <v>35</v>
      </c>
      <c r="AC3328">
        <v>-113.6271</v>
      </c>
      <c r="AD3328">
        <v>-0.79598809999999998</v>
      </c>
      <c r="AE3328">
        <v>18.439299999999999</v>
      </c>
      <c r="AF3328">
        <v>18.124682616500099</v>
      </c>
      <c r="AG3328">
        <v>-0.79598809999999998</v>
      </c>
      <c r="AH3328">
        <v>113.672135616958</v>
      </c>
      <c r="AI3328">
        <v>90.396202000803001</v>
      </c>
      <c r="AJ3328">
        <v>80.9406186385295</v>
      </c>
      <c r="AK3328">
        <v>115.11078200031599</v>
      </c>
      <c r="AL3328">
        <v>79.900072120644396</v>
      </c>
      <c r="AM3328">
        <v>91.981810069243807</v>
      </c>
      <c r="AN3328">
        <v>1.0000000749540101</v>
      </c>
    </row>
    <row r="3329" spans="1:40" x14ac:dyDescent="0.25">
      <c r="A3329" t="str">
        <f>"20190304155437996"</f>
        <v>20190304155437996</v>
      </c>
      <c r="B3329" t="str">
        <f>"1551686077990432"</f>
        <v>1551686077990432</v>
      </c>
      <c r="C3329" t="s">
        <v>40</v>
      </c>
      <c r="D3329">
        <v>4.7812900000000003</v>
      </c>
      <c r="E3329">
        <v>0.57411499999999904</v>
      </c>
      <c r="F3329" t="s">
        <v>47</v>
      </c>
      <c r="G3329">
        <v>-355.66930000000002</v>
      </c>
      <c r="H3329">
        <v>-0.05</v>
      </c>
      <c r="I3329">
        <v>159.3663</v>
      </c>
      <c r="J3329">
        <v>-248.87200000000001</v>
      </c>
      <c r="K3329">
        <v>1.10911</v>
      </c>
      <c r="L3329">
        <v>141.71510000000001</v>
      </c>
      <c r="M3329">
        <v>-0.99994539999999998</v>
      </c>
      <c r="N3329">
        <v>-9.8799990000000004E-3</v>
      </c>
      <c r="O3329">
        <v>3.4022789999999998E-3</v>
      </c>
      <c r="P3329">
        <v>-0.98561120000000002</v>
      </c>
      <c r="Q3329">
        <v>0.166181299999999</v>
      </c>
      <c r="R3329">
        <v>-3.089766E-2</v>
      </c>
      <c r="S3329">
        <v>-3.0653079999999999</v>
      </c>
      <c r="T3329">
        <v>-3.3159380000000002E-2</v>
      </c>
      <c r="U3329">
        <v>0.50500489999999998</v>
      </c>
      <c r="V3329">
        <v>-3.3980240000000002E-2</v>
      </c>
      <c r="W3329">
        <v>0.1759626</v>
      </c>
      <c r="X3329">
        <v>0.98381019999999997</v>
      </c>
      <c r="Y3329">
        <v>0.15918160000000001</v>
      </c>
      <c r="Z3329">
        <v>1.6437170000000001E-3</v>
      </c>
      <c r="AA3329">
        <v>0.98724789999999996</v>
      </c>
      <c r="AB3329">
        <v>36</v>
      </c>
      <c r="AC3329">
        <v>-106.79730000000001</v>
      </c>
      <c r="AD3329">
        <v>-1.1591100000000001</v>
      </c>
      <c r="AE3329">
        <v>17.6511999999999</v>
      </c>
      <c r="AF3329">
        <v>17.285743840684699</v>
      </c>
      <c r="AG3329">
        <v>-1.1591100000000001</v>
      </c>
      <c r="AH3329">
        <v>106.84448791918101</v>
      </c>
      <c r="AI3329">
        <v>90.613575534689403</v>
      </c>
      <c r="AJ3329">
        <v>80.810078697612198</v>
      </c>
      <c r="AK3329">
        <v>108.23994214165999</v>
      </c>
      <c r="AL3329">
        <v>79.865319677325601</v>
      </c>
      <c r="AM3329">
        <v>91.978176973373394</v>
      </c>
      <c r="AN3329">
        <v>1.0000000014666199</v>
      </c>
    </row>
    <row r="3330" spans="1:40" x14ac:dyDescent="0.25">
      <c r="A3330" t="str">
        <f>"20190304155438018"</f>
        <v>20190304155438018</v>
      </c>
      <c r="B3330" t="str">
        <f>"1551686078010928"</f>
        <v>1551686078010928</v>
      </c>
      <c r="C3330" t="s">
        <v>40</v>
      </c>
      <c r="D3330">
        <v>4.7362250000000001</v>
      </c>
      <c r="E3330">
        <v>0.5746021</v>
      </c>
      <c r="F3330" t="s">
        <v>47</v>
      </c>
      <c r="G3330">
        <v>-344.36680000000001</v>
      </c>
      <c r="H3330">
        <v>-0.05</v>
      </c>
      <c r="I3330">
        <v>157.5993</v>
      </c>
      <c r="J3330">
        <v>-249.2311</v>
      </c>
      <c r="K3330">
        <v>1.109113</v>
      </c>
      <c r="L3330">
        <v>141.71690000000001</v>
      </c>
      <c r="M3330">
        <v>-0.99994300000000003</v>
      </c>
      <c r="N3330">
        <v>-9.8854749999999995E-3</v>
      </c>
      <c r="O3330">
        <v>4.0561770000000002E-3</v>
      </c>
      <c r="P3330">
        <v>-0.98555179999999998</v>
      </c>
      <c r="Q3330">
        <v>0.1666417</v>
      </c>
      <c r="R3330">
        <v>-3.030501E-2</v>
      </c>
      <c r="S3330">
        <v>-3.066055</v>
      </c>
      <c r="T3330">
        <v>-3.721559E-2</v>
      </c>
      <c r="U3330">
        <v>0.50999450000000002</v>
      </c>
      <c r="V3330">
        <v>-3.4030369999999997E-2</v>
      </c>
      <c r="W3330">
        <v>0.176427799999999</v>
      </c>
      <c r="X3330">
        <v>0.98372510000000002</v>
      </c>
      <c r="Y3330">
        <v>0.16005749999999999</v>
      </c>
      <c r="Z3330">
        <v>1.7522499999999999E-3</v>
      </c>
      <c r="AA3330">
        <v>0.98710609999999999</v>
      </c>
      <c r="AB3330">
        <v>36</v>
      </c>
      <c r="AC3330">
        <v>-95.1357</v>
      </c>
      <c r="AD3330">
        <v>-1.1591129999999901</v>
      </c>
      <c r="AE3330">
        <v>15.882399999999899</v>
      </c>
      <c r="AF3330">
        <v>15.4941256181864</v>
      </c>
      <c r="AG3330">
        <v>-1.1591129999999901</v>
      </c>
      <c r="AH3330">
        <v>95.185595610228802</v>
      </c>
      <c r="AI3330">
        <v>90.688616600914401</v>
      </c>
      <c r="AJ3330">
        <v>80.754593219650502</v>
      </c>
      <c r="AK3330">
        <v>96.445368386941794</v>
      </c>
      <c r="AL3330">
        <v>79.838241565517706</v>
      </c>
      <c r="AM3330">
        <v>91.981264236745204</v>
      </c>
      <c r="AN3330">
        <v>0.99999995353259197</v>
      </c>
    </row>
    <row r="3331" spans="1:40" x14ac:dyDescent="0.25">
      <c r="A3331" t="str">
        <f>"20190304155438044"</f>
        <v>20190304155438044</v>
      </c>
      <c r="B3331" t="str">
        <f>"1551686078040208"</f>
        <v>1551686078040208</v>
      </c>
      <c r="C3331" t="s">
        <v>40</v>
      </c>
      <c r="D3331">
        <v>4.7219699999999998</v>
      </c>
      <c r="E3331">
        <v>0.57467040000000003</v>
      </c>
      <c r="F3331" t="s">
        <v>47</v>
      </c>
      <c r="G3331">
        <v>-339.57560000000001</v>
      </c>
      <c r="H3331">
        <v>-0.05</v>
      </c>
      <c r="I3331">
        <v>156.9092</v>
      </c>
      <c r="J3331">
        <v>-249.62610000000001</v>
      </c>
      <c r="K3331">
        <v>1.1091089999999999</v>
      </c>
      <c r="L3331">
        <v>141.7192</v>
      </c>
      <c r="M3331">
        <v>-0.99993969999999999</v>
      </c>
      <c r="N3331">
        <v>-9.8917450000000004E-3</v>
      </c>
      <c r="O3331">
        <v>4.774922E-3</v>
      </c>
      <c r="P3331">
        <v>-0.98548999999999998</v>
      </c>
      <c r="Q3331">
        <v>0.16711309999999999</v>
      </c>
      <c r="R3331">
        <v>-2.9715430000000001E-2</v>
      </c>
      <c r="S3331">
        <v>-3.0664669999999998</v>
      </c>
      <c r="T3331">
        <v>-3.9342519999999999E-2</v>
      </c>
      <c r="U3331">
        <v>0.51565550000000004</v>
      </c>
      <c r="V3331">
        <v>-3.4147490000000003E-2</v>
      </c>
      <c r="W3331">
        <v>0.1769046</v>
      </c>
      <c r="X3331">
        <v>0.9836355</v>
      </c>
      <c r="Y3331">
        <v>0.1610972</v>
      </c>
      <c r="Z3331">
        <v>1.8146659999999999E-3</v>
      </c>
      <c r="AA3331">
        <v>0.98693690000000001</v>
      </c>
      <c r="AB3331">
        <v>36</v>
      </c>
      <c r="AC3331">
        <v>-89.9495</v>
      </c>
      <c r="AD3331">
        <v>-1.1591089999999999</v>
      </c>
      <c r="AE3331">
        <v>15.1899999999999</v>
      </c>
      <c r="AF3331">
        <v>14.7579212945232</v>
      </c>
      <c r="AG3331">
        <v>-1.1591089999999999</v>
      </c>
      <c r="AH3331">
        <v>90.006477503394507</v>
      </c>
      <c r="AI3331">
        <v>90.728096520773903</v>
      </c>
      <c r="AJ3331">
        <v>80.688348220830406</v>
      </c>
      <c r="AK3331">
        <v>91.215710089755305</v>
      </c>
      <c r="AL3331">
        <v>79.8104872883209</v>
      </c>
      <c r="AM3331">
        <v>91.988258506024906</v>
      </c>
      <c r="AN3331">
        <v>1.0000000427173501</v>
      </c>
    </row>
    <row r="3332" spans="1:40" x14ac:dyDescent="0.25">
      <c r="A3332" t="str">
        <f>"20190304155438065"</f>
        <v>20190304155438065</v>
      </c>
      <c r="B3332" t="str">
        <f>"1551686078060704"</f>
        <v>1551686078060704</v>
      </c>
      <c r="C3332" t="s">
        <v>40</v>
      </c>
      <c r="D3332">
        <v>4.8268309999999897</v>
      </c>
      <c r="E3332">
        <v>0.57496709999999995</v>
      </c>
      <c r="F3332" t="s">
        <v>46</v>
      </c>
      <c r="G3332">
        <v>-323.80779999999999</v>
      </c>
      <c r="H3332">
        <v>7.9986699999999994E-2</v>
      </c>
      <c r="I3332">
        <v>154.25880000000001</v>
      </c>
      <c r="J3332">
        <v>-249.9676</v>
      </c>
      <c r="K3332">
        <v>1.1091070000000001</v>
      </c>
      <c r="L3332">
        <v>141.72139999999999</v>
      </c>
      <c r="M3332">
        <v>-0.99993659999999995</v>
      </c>
      <c r="N3332">
        <v>-9.8972450000000007E-3</v>
      </c>
      <c r="O3332">
        <v>5.3962159999999997E-3</v>
      </c>
      <c r="P3332">
        <v>-0.98536829999999997</v>
      </c>
      <c r="Q3332">
        <v>0.16785510000000001</v>
      </c>
      <c r="R3332">
        <v>-2.9566269999999999E-2</v>
      </c>
      <c r="S3332">
        <v>-3.0670169999999999</v>
      </c>
      <c r="T3332">
        <v>-4.2548780000000001E-2</v>
      </c>
      <c r="U3332">
        <v>0.51844789999999996</v>
      </c>
      <c r="V3332">
        <v>-3.46085E-2</v>
      </c>
      <c r="W3332">
        <v>0.1776517</v>
      </c>
      <c r="X3332">
        <v>0.98348469999999999</v>
      </c>
      <c r="Y3332">
        <v>0.16132569999999999</v>
      </c>
      <c r="Z3332">
        <v>1.893867E-3</v>
      </c>
      <c r="AA3332">
        <v>0.98689939999999998</v>
      </c>
      <c r="AB3332">
        <v>36</v>
      </c>
      <c r="AC3332">
        <v>-73.840199999999896</v>
      </c>
      <c r="AD3332">
        <v>-1.0291203</v>
      </c>
      <c r="AE3332">
        <v>12.5374</v>
      </c>
      <c r="AF3332">
        <v>12.1364489426308</v>
      </c>
      <c r="AG3332">
        <v>-1.0291203</v>
      </c>
      <c r="AH3332">
        <v>73.892831617132401</v>
      </c>
      <c r="AI3332">
        <v>90.787370187198604</v>
      </c>
      <c r="AJ3332">
        <v>80.672791610301402</v>
      </c>
      <c r="AK3332">
        <v>74.889939550829098</v>
      </c>
      <c r="AL3332">
        <v>79.766992404991697</v>
      </c>
      <c r="AM3332">
        <v>92.015387835491495</v>
      </c>
      <c r="AN3332">
        <v>1.00000001495961</v>
      </c>
    </row>
    <row r="3333" spans="1:40" x14ac:dyDescent="0.25">
      <c r="A3333" t="str">
        <f>"20190304155438087"</f>
        <v>20190304155438087</v>
      </c>
      <c r="B3333" t="str">
        <f>"1551686078080224"</f>
        <v>1551686078080224</v>
      </c>
      <c r="C3333" t="s">
        <v>40</v>
      </c>
      <c r="D3333">
        <v>4.712453</v>
      </c>
      <c r="E3333">
        <v>0.57485229999999998</v>
      </c>
      <c r="F3333" t="s">
        <v>46</v>
      </c>
      <c r="G3333">
        <v>-324.149</v>
      </c>
      <c r="H3333">
        <v>7.9986810000000005E-2</v>
      </c>
      <c r="I3333">
        <v>154.3261</v>
      </c>
      <c r="J3333">
        <v>-250.32239999999999</v>
      </c>
      <c r="K3333">
        <v>1.1091120000000001</v>
      </c>
      <c r="L3333">
        <v>141.72389999999999</v>
      </c>
      <c r="M3333">
        <v>-0.99993279999999995</v>
      </c>
      <c r="N3333">
        <v>-9.9029440000000003E-3</v>
      </c>
      <c r="O3333">
        <v>6.0417079999999998E-3</v>
      </c>
      <c r="P3333">
        <v>-0.98529370000000005</v>
      </c>
      <c r="Q3333">
        <v>0.16836139999999999</v>
      </c>
      <c r="R3333">
        <v>-2.9170950000000001E-2</v>
      </c>
      <c r="S3333">
        <v>-3.0674130000000002</v>
      </c>
      <c r="T3333">
        <v>-4.2554380000000003E-2</v>
      </c>
      <c r="U3333">
        <v>0.5212097</v>
      </c>
      <c r="V3333">
        <v>-3.4847199999999898E-2</v>
      </c>
      <c r="W3333">
        <v>0.17816270000000001</v>
      </c>
      <c r="X3333">
        <v>0.98338380000000003</v>
      </c>
      <c r="Y3333">
        <v>0.16153139999999999</v>
      </c>
      <c r="Z3333">
        <v>1.894244E-3</v>
      </c>
      <c r="AA3333">
        <v>0.98686580000000002</v>
      </c>
      <c r="AB3333">
        <v>36</v>
      </c>
      <c r="AC3333">
        <v>-73.826599999999999</v>
      </c>
      <c r="AD3333">
        <v>-1.02912519</v>
      </c>
      <c r="AE3333">
        <v>12.6022</v>
      </c>
      <c r="AF3333">
        <v>12.153614590933101</v>
      </c>
      <c r="AG3333">
        <v>-1.02912519</v>
      </c>
      <c r="AH3333">
        <v>73.887443907827304</v>
      </c>
      <c r="AI3333">
        <v>90.787400551843106</v>
      </c>
      <c r="AJ3333">
        <v>80.659162576957698</v>
      </c>
      <c r="AK3333">
        <v>74.887407576400705</v>
      </c>
      <c r="AL3333">
        <v>79.737239329034793</v>
      </c>
      <c r="AM3333">
        <v>92.029484724581806</v>
      </c>
      <c r="AN3333">
        <v>0.99999998656078404</v>
      </c>
    </row>
    <row r="3334" spans="1:40" x14ac:dyDescent="0.25">
      <c r="A3334" t="str">
        <f>"20190304155438108"</f>
        <v>20190304155438108</v>
      </c>
      <c r="B3334" t="str">
        <f>"1551686078100741"</f>
        <v>1551686078100741</v>
      </c>
      <c r="C3334" t="s">
        <v>40</v>
      </c>
      <c r="D3334">
        <v>4.7397210000000003</v>
      </c>
      <c r="E3334">
        <v>0.57508899999999996</v>
      </c>
      <c r="F3334" t="s">
        <v>46</v>
      </c>
      <c r="G3334">
        <v>-324.48070000000001</v>
      </c>
      <c r="H3334">
        <v>7.9986899999999903E-2</v>
      </c>
      <c r="I3334">
        <v>154.3314</v>
      </c>
      <c r="J3334">
        <v>-250.66480000000001</v>
      </c>
      <c r="K3334">
        <v>1.1091139999999999</v>
      </c>
      <c r="L3334">
        <v>141.72659999999999</v>
      </c>
      <c r="M3334">
        <v>-0.99992859999999995</v>
      </c>
      <c r="N3334">
        <v>-9.9084110000000006E-3</v>
      </c>
      <c r="O3334">
        <v>6.6643140000000002E-3</v>
      </c>
      <c r="P3334">
        <v>-0.98525799999999997</v>
      </c>
      <c r="Q3334">
        <v>0.16861129999999999</v>
      </c>
      <c r="R3334">
        <v>-2.8929799999999999E-2</v>
      </c>
      <c r="S3334">
        <v>-3.0674899999999998</v>
      </c>
      <c r="T3334">
        <v>-4.2568920000000003E-2</v>
      </c>
      <c r="U3334">
        <v>0.52149959999999995</v>
      </c>
      <c r="V3334">
        <v>-3.5217869999999998E-2</v>
      </c>
      <c r="W3334">
        <v>0.1784184</v>
      </c>
      <c r="X3334">
        <v>0.98332419999999998</v>
      </c>
      <c r="Y3334">
        <v>0.1610036</v>
      </c>
      <c r="Z3334">
        <v>1.886326E-3</v>
      </c>
      <c r="AA3334">
        <v>0.98695200000000005</v>
      </c>
      <c r="AB3334">
        <v>36</v>
      </c>
      <c r="AC3334">
        <v>-73.815899999999999</v>
      </c>
      <c r="AD3334">
        <v>-1.0291271</v>
      </c>
      <c r="AE3334">
        <v>12.604799999999999</v>
      </c>
      <c r="AF3334">
        <v>12.110276294471801</v>
      </c>
      <c r="AG3334">
        <v>-1.0291271</v>
      </c>
      <c r="AH3334">
        <v>73.884312805105296</v>
      </c>
      <c r="AI3334">
        <v>90.787508344097901</v>
      </c>
      <c r="AJ3334">
        <v>80.691499312596306</v>
      </c>
      <c r="AK3334">
        <v>74.877296780793699</v>
      </c>
      <c r="AL3334">
        <v>79.722349895343001</v>
      </c>
      <c r="AM3334">
        <v>92.051178241713899</v>
      </c>
      <c r="AN3334">
        <v>0.99999995306576706</v>
      </c>
    </row>
    <row r="3335" spans="1:40" x14ac:dyDescent="0.25">
      <c r="A3335" t="str">
        <f>"20190304155438130"</f>
        <v>20190304155438130</v>
      </c>
      <c r="B3335" t="str">
        <f>"1551686078120263"</f>
        <v>1551686078120263</v>
      </c>
      <c r="C3335" t="s">
        <v>40</v>
      </c>
      <c r="D3335">
        <v>4.5724939999999998</v>
      </c>
      <c r="E3335">
        <v>0.57629469999999905</v>
      </c>
      <c r="F3335" t="s">
        <v>47</v>
      </c>
      <c r="G3335">
        <v>-342.85739999999998</v>
      </c>
      <c r="H3335">
        <v>-0.05</v>
      </c>
      <c r="I3335">
        <v>157.5077</v>
      </c>
      <c r="J3335">
        <v>-251.0275</v>
      </c>
      <c r="K3335">
        <v>1.10911</v>
      </c>
      <c r="L3335">
        <v>141.7296</v>
      </c>
      <c r="M3335">
        <v>-0.99992409999999998</v>
      </c>
      <c r="N3335">
        <v>-9.9141650000000008E-3</v>
      </c>
      <c r="O3335">
        <v>7.3235150000000001E-3</v>
      </c>
      <c r="P3335">
        <v>-0.98523870000000002</v>
      </c>
      <c r="Q3335">
        <v>0.16876079999999999</v>
      </c>
      <c r="R3335">
        <v>-2.8716120000000001E-2</v>
      </c>
      <c r="S3335">
        <v>-3.0668950000000001</v>
      </c>
      <c r="T3335">
        <v>-3.8559320000000001E-2</v>
      </c>
      <c r="U3335">
        <v>0.52497859999999996</v>
      </c>
      <c r="V3335">
        <v>-3.5652440000000001E-2</v>
      </c>
      <c r="W3335">
        <v>0.1785737</v>
      </c>
      <c r="X3335">
        <v>0.98328040000000005</v>
      </c>
      <c r="Y3335">
        <v>0.16147609999999901</v>
      </c>
      <c r="Z3335">
        <v>1.7947389999999901E-3</v>
      </c>
      <c r="AA3335">
        <v>0.98687499999999995</v>
      </c>
      <c r="AB3335">
        <v>36</v>
      </c>
      <c r="AC3335">
        <v>-91.829899999999895</v>
      </c>
      <c r="AD3335">
        <v>-1.1591100000000001</v>
      </c>
      <c r="AE3335">
        <v>15.778099999999901</v>
      </c>
      <c r="AF3335">
        <v>15.102788935764099</v>
      </c>
      <c r="AG3335">
        <v>-1.1591100000000001</v>
      </c>
      <c r="AH3335">
        <v>91.928767486717007</v>
      </c>
      <c r="AI3335">
        <v>90.712836976256298</v>
      </c>
      <c r="AJ3335">
        <v>80.670335517964304</v>
      </c>
      <c r="AK3335">
        <v>93.168321125032804</v>
      </c>
      <c r="AL3335">
        <v>79.713307159987295</v>
      </c>
      <c r="AM3335">
        <v>92.076559096003507</v>
      </c>
      <c r="AN3335">
        <v>1.0000000039168999</v>
      </c>
    </row>
    <row r="3336" spans="1:40" x14ac:dyDescent="0.25">
      <c r="A3336" t="str">
        <f>"20190304155438153"</f>
        <v>20190304155438153</v>
      </c>
      <c r="B3336" t="str">
        <f>"1551686078150518"</f>
        <v>1551686078150518</v>
      </c>
      <c r="C3336" t="s">
        <v>40</v>
      </c>
      <c r="D3336">
        <v>4.5915710000000001</v>
      </c>
      <c r="E3336">
        <v>0.57713029999999998</v>
      </c>
      <c r="F3336" t="s">
        <v>47</v>
      </c>
      <c r="G3336">
        <v>-364.52640000000002</v>
      </c>
      <c r="H3336">
        <v>-0.05</v>
      </c>
      <c r="I3336">
        <v>161.55680000000001</v>
      </c>
      <c r="J3336">
        <v>-251.38130000000001</v>
      </c>
      <c r="K3336">
        <v>1.1090990000000001</v>
      </c>
      <c r="L3336">
        <v>141.7328</v>
      </c>
      <c r="M3336">
        <v>-0.99991920000000001</v>
      </c>
      <c r="N3336">
        <v>-9.9197090000000005E-3</v>
      </c>
      <c r="O3336">
        <v>7.9666819999999992E-3</v>
      </c>
      <c r="P3336">
        <v>-0.98525090000000004</v>
      </c>
      <c r="Q3336">
        <v>0.168716899999999</v>
      </c>
      <c r="R3336">
        <v>-2.8558509999999999E-2</v>
      </c>
      <c r="S3336">
        <v>-3.065887</v>
      </c>
      <c r="T3336">
        <v>-3.1310440000000002E-2</v>
      </c>
      <c r="U3336">
        <v>0.53558349999999999</v>
      </c>
      <c r="V3336">
        <v>-3.6128590000000002E-2</v>
      </c>
      <c r="W3336">
        <v>0.17853569999999999</v>
      </c>
      <c r="X3336">
        <v>0.98326990000000003</v>
      </c>
      <c r="Y3336">
        <v>0.16421479999999999</v>
      </c>
      <c r="Z3336">
        <v>1.650583E-3</v>
      </c>
      <c r="AA3336">
        <v>0.98642319999999994</v>
      </c>
      <c r="AB3336">
        <v>36</v>
      </c>
      <c r="AC3336">
        <v>-113.1451</v>
      </c>
      <c r="AD3336">
        <v>-1.1590989999999901</v>
      </c>
      <c r="AE3336">
        <v>19.824000000000002</v>
      </c>
      <c r="AF3336">
        <v>18.920009116200202</v>
      </c>
      <c r="AG3336">
        <v>-1.1590989999999901</v>
      </c>
      <c r="AH3336">
        <v>113.28791318762499</v>
      </c>
      <c r="AI3336">
        <v>90.578190773486497</v>
      </c>
      <c r="AJ3336">
        <v>80.518639967487999</v>
      </c>
      <c r="AK3336">
        <v>114.862794367262</v>
      </c>
      <c r="AL3336">
        <v>79.715519749318304</v>
      </c>
      <c r="AM3336">
        <v>92.104289905264196</v>
      </c>
      <c r="AN3336">
        <v>0.99999998371794396</v>
      </c>
    </row>
    <row r="3337" spans="1:40" x14ac:dyDescent="0.25">
      <c r="A3337" t="str">
        <f>"20190304155438174"</f>
        <v>20190304155438174</v>
      </c>
      <c r="B3337" t="str">
        <f>"1551686078171014"</f>
        <v>1551686078171014</v>
      </c>
      <c r="C3337" t="s">
        <v>40</v>
      </c>
      <c r="D3337">
        <v>4.5525000000000002</v>
      </c>
      <c r="E3337">
        <v>0.57766139999999999</v>
      </c>
      <c r="F3337" t="s">
        <v>82</v>
      </c>
      <c r="G3337">
        <v>-356.59449999999998</v>
      </c>
      <c r="H3337">
        <v>0.31136229999999998</v>
      </c>
      <c r="I3337">
        <v>160.36859999999999</v>
      </c>
      <c r="J3337">
        <v>-251.73169999999999</v>
      </c>
      <c r="K3337">
        <v>1.1090990000000001</v>
      </c>
      <c r="L3337">
        <v>141.7362</v>
      </c>
      <c r="M3337">
        <v>-0.99991379999999996</v>
      </c>
      <c r="N3337">
        <v>-9.9251329999999992E-3</v>
      </c>
      <c r="O3337">
        <v>8.6032950000000004E-3</v>
      </c>
      <c r="P3337">
        <v>-0.98518720000000004</v>
      </c>
      <c r="Q3337">
        <v>0.16908239999999999</v>
      </c>
      <c r="R3337">
        <v>-2.8591479999999999E-2</v>
      </c>
      <c r="S3337">
        <v>-3.0646059999999999</v>
      </c>
      <c r="T3337">
        <v>-2.3235800000000001E-2</v>
      </c>
      <c r="U3337">
        <v>0.54281619999999997</v>
      </c>
      <c r="V3337">
        <v>-3.678667E-2</v>
      </c>
      <c r="W3337">
        <v>0.17890729999999999</v>
      </c>
      <c r="X3337">
        <v>0.983178</v>
      </c>
      <c r="Y3337">
        <v>0.1659204</v>
      </c>
      <c r="Z3337">
        <v>1.47397E-3</v>
      </c>
      <c r="AA3337">
        <v>0.98613799999999996</v>
      </c>
      <c r="AB3337">
        <v>36</v>
      </c>
      <c r="AC3337">
        <v>-104.86279999999999</v>
      </c>
      <c r="AD3337">
        <v>-0.79773669999999997</v>
      </c>
      <c r="AE3337">
        <v>18.632399999999901</v>
      </c>
      <c r="AF3337">
        <v>17.7285057819022</v>
      </c>
      <c r="AG3337">
        <v>-0.79773669999999997</v>
      </c>
      <c r="AH3337">
        <v>105.013335228221</v>
      </c>
      <c r="AI3337">
        <v>90.429168004662998</v>
      </c>
      <c r="AJ3337">
        <v>80.417595494304507</v>
      </c>
      <c r="AK3337">
        <v>106.502285782307</v>
      </c>
      <c r="AL3337">
        <v>79.693880720733503</v>
      </c>
      <c r="AM3337">
        <v>92.142784095438699</v>
      </c>
      <c r="AN3337">
        <v>1.00000003038348</v>
      </c>
    </row>
    <row r="3338" spans="1:40" x14ac:dyDescent="0.25">
      <c r="A3338" t="str">
        <f>"20190304155438198"</f>
        <v>20190304155438198</v>
      </c>
      <c r="B3338" t="str">
        <f>"1551686078190533"</f>
        <v>1551686078190533</v>
      </c>
      <c r="C3338" t="s">
        <v>40</v>
      </c>
      <c r="D3338">
        <v>4.5858349999999897</v>
      </c>
      <c r="E3338">
        <v>0.5781887</v>
      </c>
      <c r="F3338" t="s">
        <v>82</v>
      </c>
      <c r="G3338">
        <v>-359.30029999999999</v>
      </c>
      <c r="H3338">
        <v>0.52299499999999999</v>
      </c>
      <c r="I3338">
        <v>160.92939999999999</v>
      </c>
      <c r="J3338">
        <v>-252.10589999999999</v>
      </c>
      <c r="K3338">
        <v>1.1090979999999999</v>
      </c>
      <c r="L3338">
        <v>141.74</v>
      </c>
      <c r="M3338">
        <v>-0.99990760000000001</v>
      </c>
      <c r="N3338">
        <v>-9.9309700000000008E-3</v>
      </c>
      <c r="O3338">
        <v>9.2831189999999994E-3</v>
      </c>
      <c r="P3338">
        <v>-0.98516800000000004</v>
      </c>
      <c r="Q3338">
        <v>0.169261299999999</v>
      </c>
      <c r="R3338">
        <v>-2.8193570000000001E-2</v>
      </c>
      <c r="S3338">
        <v>-3.0638429999999999</v>
      </c>
      <c r="T3338">
        <v>-1.6693469999999998E-2</v>
      </c>
      <c r="U3338">
        <v>0.54667659999999996</v>
      </c>
      <c r="V3338">
        <v>-3.7057319999999998E-2</v>
      </c>
      <c r="W3338">
        <v>0.17909159999999999</v>
      </c>
      <c r="X3338">
        <v>0.98313430000000002</v>
      </c>
      <c r="Y3338">
        <v>0.1665006</v>
      </c>
      <c r="Z3338">
        <v>1.324626E-3</v>
      </c>
      <c r="AA3338">
        <v>0.98604049999999999</v>
      </c>
      <c r="AB3338">
        <v>36</v>
      </c>
      <c r="AC3338">
        <v>-107.1944</v>
      </c>
      <c r="AD3338">
        <v>-0.58610299999999904</v>
      </c>
      <c r="AE3338">
        <v>19.1893999999999</v>
      </c>
      <c r="AF3338">
        <v>18.192898629175598</v>
      </c>
      <c r="AG3338">
        <v>-0.58610299999999904</v>
      </c>
      <c r="AH3338">
        <v>107.364816860953</v>
      </c>
      <c r="AI3338">
        <v>90.308377912307193</v>
      </c>
      <c r="AJ3338">
        <v>80.382621106636705</v>
      </c>
      <c r="AK3338">
        <v>108.896873127029</v>
      </c>
      <c r="AL3338">
        <v>79.683147956873597</v>
      </c>
      <c r="AM3338">
        <v>92.158630164961295</v>
      </c>
      <c r="AN3338">
        <v>1.0000000489963099</v>
      </c>
    </row>
    <row r="3339" spans="1:40" x14ac:dyDescent="0.25">
      <c r="A3339" t="str">
        <f>"20190304155438220"</f>
        <v>20190304155438220</v>
      </c>
      <c r="B3339" t="str">
        <f>"1551686078210561"</f>
        <v>1551686078210561</v>
      </c>
      <c r="C3339" t="s">
        <v>40</v>
      </c>
      <c r="D3339">
        <v>4.6427550000000002</v>
      </c>
      <c r="E3339">
        <v>0.57872419999999902</v>
      </c>
      <c r="F3339" t="s">
        <v>82</v>
      </c>
      <c r="G3339">
        <v>-359.26549999999997</v>
      </c>
      <c r="H3339">
        <v>0.70470089999999996</v>
      </c>
      <c r="I3339">
        <v>161.05760000000001</v>
      </c>
      <c r="J3339">
        <v>-252.46870000000001</v>
      </c>
      <c r="K3339">
        <v>1.1090899999999999</v>
      </c>
      <c r="L3339">
        <v>141.744</v>
      </c>
      <c r="M3339">
        <v>-0.99990120000000005</v>
      </c>
      <c r="N3339">
        <v>-9.9366590000000005E-3</v>
      </c>
      <c r="O3339">
        <v>9.9417840000000004E-3</v>
      </c>
      <c r="P3339">
        <v>-0.98515090000000005</v>
      </c>
      <c r="Q3339">
        <v>0.16937940000000001</v>
      </c>
      <c r="R3339">
        <v>-2.8079300000000001E-2</v>
      </c>
      <c r="S3339">
        <v>-3.0629430000000002</v>
      </c>
      <c r="T3339">
        <v>-1.1558529999999999E-2</v>
      </c>
      <c r="U3339">
        <v>0.55215449999999999</v>
      </c>
      <c r="V3339">
        <v>-3.7591350000000003E-2</v>
      </c>
      <c r="W3339">
        <v>0.17921599999999999</v>
      </c>
      <c r="X3339">
        <v>0.9830913</v>
      </c>
      <c r="Y3339">
        <v>0.16761219999999999</v>
      </c>
      <c r="Z3339">
        <v>1.213986E-3</v>
      </c>
      <c r="AA3339">
        <v>0.98585219999999996</v>
      </c>
      <c r="AB3339">
        <v>36</v>
      </c>
      <c r="AC3339">
        <v>-106.796799999999</v>
      </c>
      <c r="AD3339">
        <v>-0.4043891</v>
      </c>
      <c r="AE3339">
        <v>19.313600000000001</v>
      </c>
      <c r="AF3339">
        <v>18.250588880782001</v>
      </c>
      <c r="AG3339">
        <v>-0.4043891</v>
      </c>
      <c r="AH3339">
        <v>106.98205731068801</v>
      </c>
      <c r="AI3339">
        <v>90.213491102152602</v>
      </c>
      <c r="AJ3339">
        <v>80.318832415126906</v>
      </c>
      <c r="AK3339">
        <v>108.528374683614</v>
      </c>
      <c r="AL3339">
        <v>79.675902577090497</v>
      </c>
      <c r="AM3339">
        <v>92.189803624094907</v>
      </c>
      <c r="AN3339">
        <v>0.99999999419325603</v>
      </c>
    </row>
    <row r="3340" spans="1:40" x14ac:dyDescent="0.25">
      <c r="A3340" t="str">
        <f>"20190304155438244"</f>
        <v>20190304155438244</v>
      </c>
      <c r="B3340" t="str">
        <f>"1551686078240817"</f>
        <v>1551686078240817</v>
      </c>
      <c r="C3340" t="s">
        <v>40</v>
      </c>
      <c r="D3340">
        <v>4.324522</v>
      </c>
      <c r="E3340">
        <v>0.57930230000000005</v>
      </c>
      <c r="F3340" t="s">
        <v>82</v>
      </c>
      <c r="G3340">
        <v>-359.3091</v>
      </c>
      <c r="H3340">
        <v>0.86454920000000002</v>
      </c>
      <c r="I3340">
        <v>161.1703</v>
      </c>
      <c r="J3340">
        <v>-252.8339</v>
      </c>
      <c r="K3340">
        <v>1.1090869999999999</v>
      </c>
      <c r="L3340">
        <v>141.7482</v>
      </c>
      <c r="M3340">
        <v>-0.99989430000000001</v>
      </c>
      <c r="N3340">
        <v>-9.9423659999999994E-3</v>
      </c>
      <c r="O3340">
        <v>1.060474E-2</v>
      </c>
      <c r="P3340">
        <v>-0.98508929999999995</v>
      </c>
      <c r="Q3340">
        <v>0.16978270000000001</v>
      </c>
      <c r="R3340">
        <v>-2.7796169999999999E-2</v>
      </c>
      <c r="S3340">
        <v>-3.0623170000000002</v>
      </c>
      <c r="T3340">
        <v>-7.0087910000000003E-3</v>
      </c>
      <c r="U3340">
        <v>0.55680850000000004</v>
      </c>
      <c r="V3340">
        <v>-3.7958800000000001E-2</v>
      </c>
      <c r="W3340">
        <v>0.17962449999999999</v>
      </c>
      <c r="X3340">
        <v>0.98300259999999995</v>
      </c>
      <c r="Y3340">
        <v>0.1684465</v>
      </c>
      <c r="Z3340">
        <v>1.115951E-3</v>
      </c>
      <c r="AA3340">
        <v>0.98571019999999998</v>
      </c>
      <c r="AB3340">
        <v>36</v>
      </c>
      <c r="AC3340">
        <v>-106.4752</v>
      </c>
      <c r="AD3340">
        <v>-0.2445378</v>
      </c>
      <c r="AE3340">
        <v>19.4221</v>
      </c>
      <c r="AF3340">
        <v>18.291716707151799</v>
      </c>
      <c r="AG3340">
        <v>-0.2445378</v>
      </c>
      <c r="AH3340">
        <v>106.6746440669</v>
      </c>
      <c r="AI3340">
        <v>90.129453575446405</v>
      </c>
      <c r="AJ3340">
        <v>80.270003112958705</v>
      </c>
      <c r="AK3340">
        <v>108.23181780618</v>
      </c>
      <c r="AL3340">
        <v>79.652110939520796</v>
      </c>
      <c r="AM3340">
        <v>92.211386818420706</v>
      </c>
      <c r="AN3340">
        <v>0.99999997155222398</v>
      </c>
    </row>
    <row r="3341" spans="1:40" x14ac:dyDescent="0.25">
      <c r="A3341" t="str">
        <f>"20190304155438267"</f>
        <v>20190304155438267</v>
      </c>
      <c r="B3341" t="str">
        <f>"1551686078260338"</f>
        <v>1551686078260338</v>
      </c>
      <c r="C3341" t="s">
        <v>40</v>
      </c>
      <c r="D3341">
        <v>4.5923730000000003</v>
      </c>
      <c r="E3341">
        <v>0.57764969999999904</v>
      </c>
      <c r="F3341" t="s">
        <v>81</v>
      </c>
      <c r="G3341">
        <v>-442.80790000000002</v>
      </c>
      <c r="H3341">
        <v>1.0186539999999999</v>
      </c>
      <c r="I3341">
        <v>176.62899999999999</v>
      </c>
      <c r="J3341">
        <v>-253.2081</v>
      </c>
      <c r="K3341">
        <v>1.1090869999999999</v>
      </c>
      <c r="L3341">
        <v>141.75280000000001</v>
      </c>
      <c r="M3341">
        <v>-0.99988699999999997</v>
      </c>
      <c r="N3341">
        <v>-9.9482029999999992E-3</v>
      </c>
      <c r="O3341">
        <v>1.128409E-2</v>
      </c>
      <c r="P3341">
        <v>-0.98503010000000002</v>
      </c>
      <c r="Q3341">
        <v>0.17021729999999999</v>
      </c>
      <c r="R3341">
        <v>-2.7250110000000001E-2</v>
      </c>
      <c r="S3341">
        <v>-3.0615079999999999</v>
      </c>
      <c r="T3341">
        <v>-1.457095E-3</v>
      </c>
      <c r="U3341">
        <v>0.56211849999999997</v>
      </c>
      <c r="V3341">
        <v>-3.80799E-2</v>
      </c>
      <c r="W3341">
        <v>0.180065</v>
      </c>
      <c r="X3341">
        <v>0.98291740000000005</v>
      </c>
      <c r="Y3341">
        <v>0.16947899999999999</v>
      </c>
      <c r="Z3341">
        <v>9.9604719999999997E-4</v>
      </c>
      <c r="AA3341">
        <v>0.98553329999999995</v>
      </c>
      <c r="AB3341">
        <v>36</v>
      </c>
      <c r="AC3341">
        <v>-189.59979999999999</v>
      </c>
      <c r="AD3341">
        <v>-9.0432999999999999E-2</v>
      </c>
      <c r="AE3341">
        <v>34.876199999999997</v>
      </c>
      <c r="AF3341">
        <v>32.734405350761399</v>
      </c>
      <c r="AG3341">
        <v>-9.0432999999999999E-2</v>
      </c>
      <c r="AH3341">
        <v>189.98125127644099</v>
      </c>
      <c r="AI3341">
        <v>90.026877314666194</v>
      </c>
      <c r="AJ3341">
        <v>80.223738528297602</v>
      </c>
      <c r="AK3341">
        <v>192.78077006889899</v>
      </c>
      <c r="AL3341">
        <v>79.626454621833503</v>
      </c>
      <c r="AM3341">
        <v>92.218626873798101</v>
      </c>
      <c r="AN3341">
        <v>1.00000004911588</v>
      </c>
    </row>
    <row r="3342" spans="1:40" x14ac:dyDescent="0.25">
      <c r="A3342" t="str">
        <f>"20190304155438287"</f>
        <v>20190304155438287</v>
      </c>
      <c r="B3342" t="str">
        <f>"1551686078280833"</f>
        <v>1551686078280833</v>
      </c>
      <c r="C3342" t="s">
        <v>40</v>
      </c>
      <c r="D3342">
        <v>4.6113049999999998</v>
      </c>
      <c r="E3342">
        <v>0.51841809999999999</v>
      </c>
      <c r="F3342" t="s">
        <v>81</v>
      </c>
      <c r="G3342">
        <v>-443.19049999999999</v>
      </c>
      <c r="H3342">
        <v>1.335977</v>
      </c>
      <c r="I3342">
        <v>175.9359</v>
      </c>
      <c r="J3342">
        <v>-253.548</v>
      </c>
      <c r="K3342">
        <v>1.1090930000000001</v>
      </c>
      <c r="L3342">
        <v>141.75720000000001</v>
      </c>
      <c r="M3342">
        <v>-0.99987969999999904</v>
      </c>
      <c r="N3342">
        <v>-9.953478E-3</v>
      </c>
      <c r="O3342">
        <v>1.1900849999999999E-2</v>
      </c>
      <c r="P3342">
        <v>-0.98492349999999995</v>
      </c>
      <c r="Q3342">
        <v>0.17084260000000001</v>
      </c>
      <c r="R3342">
        <v>-2.7178109999999998E-2</v>
      </c>
      <c r="S3342">
        <v>-3.0601959999999999</v>
      </c>
      <c r="T3342">
        <v>3.6549569999999999E-3</v>
      </c>
      <c r="U3342">
        <v>0.55061340000000003</v>
      </c>
      <c r="V3342">
        <v>-3.8612479999999998E-2</v>
      </c>
      <c r="W3342">
        <v>0.18069540000000001</v>
      </c>
      <c r="X3342">
        <v>0.98278089999999996</v>
      </c>
      <c r="Y3342">
        <v>0.16535949999999999</v>
      </c>
      <c r="Z3342">
        <v>8.6320649999999902E-4</v>
      </c>
      <c r="AA3342">
        <v>0.98623300000000003</v>
      </c>
      <c r="AB3342">
        <v>36</v>
      </c>
      <c r="AC3342">
        <v>-189.64250000000001</v>
      </c>
      <c r="AD3342">
        <v>0.226883999999999</v>
      </c>
      <c r="AE3342">
        <v>34.1786999999999</v>
      </c>
      <c r="AF3342">
        <v>31.919216436018601</v>
      </c>
      <c r="AG3342">
        <v>0.226883999999999</v>
      </c>
      <c r="AH3342">
        <v>190.03558090411801</v>
      </c>
      <c r="AI3342">
        <v>89.932539425516893</v>
      </c>
      <c r="AJ3342">
        <v>80.465346788330393</v>
      </c>
      <c r="AK3342">
        <v>192.697716291098</v>
      </c>
      <c r="AL3342">
        <v>79.589732756477005</v>
      </c>
      <c r="AM3342">
        <v>92.249936741901905</v>
      </c>
      <c r="AN3342">
        <v>1.00000002429885</v>
      </c>
    </row>
    <row r="3343" spans="1:40" x14ac:dyDescent="0.25">
      <c r="A3343" t="str">
        <f>"20190304155438310"</f>
        <v>20190304155438310</v>
      </c>
      <c r="B3343" t="str">
        <f>"1551686078300354"</f>
        <v>1551686078300354</v>
      </c>
      <c r="C3343" t="s">
        <v>40</v>
      </c>
      <c r="D3343">
        <v>4.5986159999999998</v>
      </c>
      <c r="E3343">
        <v>0.51672819999999997</v>
      </c>
      <c r="F3343" t="s">
        <v>46</v>
      </c>
      <c r="G3343">
        <v>-345.53219999999999</v>
      </c>
      <c r="H3343" s="1">
        <v>-3.1062250000000001E-6</v>
      </c>
      <c r="I3343">
        <v>144.15350000000001</v>
      </c>
      <c r="J3343">
        <v>-253.90309999999999</v>
      </c>
      <c r="K3343">
        <v>1.1090899999999999</v>
      </c>
      <c r="L3343">
        <v>141.7621</v>
      </c>
      <c r="M3343">
        <v>-0.99987190000000004</v>
      </c>
      <c r="N3343">
        <v>-9.9589680000000003E-3</v>
      </c>
      <c r="O3343">
        <v>1.254509E-2</v>
      </c>
      <c r="P3343">
        <v>-0.98482539999999996</v>
      </c>
      <c r="Q3343">
        <v>0.17139170000000001</v>
      </c>
      <c r="R3343">
        <v>-2.727806E-2</v>
      </c>
      <c r="S3343">
        <v>-3.0545040000000001</v>
      </c>
      <c r="T3343">
        <v>-3.6829590000000002E-2</v>
      </c>
      <c r="U3343">
        <v>7.9574580000000006E-2</v>
      </c>
      <c r="V3343">
        <v>-3.9344589999999999E-2</v>
      </c>
      <c r="W3343">
        <v>0.1812492</v>
      </c>
      <c r="X3343">
        <v>0.98264989999999997</v>
      </c>
      <c r="Y3343">
        <v>1.3497449999999999E-2</v>
      </c>
      <c r="Z3343">
        <v>1.2228670000000001E-4</v>
      </c>
      <c r="AA3343">
        <v>0.99990889999999999</v>
      </c>
      <c r="AB3343">
        <v>36</v>
      </c>
      <c r="AC3343">
        <v>-91.629099999999994</v>
      </c>
      <c r="AD3343">
        <v>-1.109093106225</v>
      </c>
      <c r="AE3343">
        <v>2.3914</v>
      </c>
      <c r="AF3343">
        <v>1.2414779317995699</v>
      </c>
      <c r="AG3343">
        <v>-1.109093106225</v>
      </c>
      <c r="AH3343">
        <v>91.638473680368307</v>
      </c>
      <c r="AI3343">
        <v>90.693348755651897</v>
      </c>
      <c r="AJ3343">
        <v>89.223829340060306</v>
      </c>
      <c r="AK3343">
        <v>91.653593565342405</v>
      </c>
      <c r="AL3343">
        <v>79.557469877868797</v>
      </c>
      <c r="AM3343">
        <v>92.292856760889904</v>
      </c>
      <c r="AN3343">
        <v>1.0000000476164499</v>
      </c>
    </row>
    <row r="3344" spans="1:40" x14ac:dyDescent="0.25">
      <c r="A3344" t="str">
        <f>"20190304155438332"</f>
        <v>20190304155438332</v>
      </c>
      <c r="B3344" t="str">
        <f>"1551686078320854"</f>
        <v>1551686078320854</v>
      </c>
      <c r="C3344" t="s">
        <v>40</v>
      </c>
      <c r="D3344">
        <v>4.5473689999999998</v>
      </c>
      <c r="E3344">
        <v>0.51647969999999999</v>
      </c>
      <c r="F3344" t="s">
        <v>46</v>
      </c>
      <c r="G3344">
        <v>-324.0797</v>
      </c>
      <c r="H3344" s="1">
        <v>-3.497109E-6</v>
      </c>
      <c r="I3344">
        <v>143.2807</v>
      </c>
      <c r="J3344">
        <v>-254.2698</v>
      </c>
      <c r="K3344">
        <v>1.1090880000000001</v>
      </c>
      <c r="L3344">
        <v>141.76730000000001</v>
      </c>
      <c r="M3344">
        <v>-0.9998631</v>
      </c>
      <c r="N3344">
        <v>-9.9645989999999993E-3</v>
      </c>
      <c r="O3344">
        <v>1.3210309999999999E-2</v>
      </c>
      <c r="P3344">
        <v>-0.98474629999999996</v>
      </c>
      <c r="Q3344">
        <v>0.17191029999999999</v>
      </c>
      <c r="R3344">
        <v>-2.6864929999999999E-2</v>
      </c>
      <c r="S3344">
        <v>-3.0564269999999998</v>
      </c>
      <c r="T3344">
        <v>-4.8304800000000002E-2</v>
      </c>
      <c r="U3344">
        <v>6.6146849999999993E-2</v>
      </c>
      <c r="V3344">
        <v>-3.9583880000000002E-2</v>
      </c>
      <c r="W3344">
        <v>0.18177299999999999</v>
      </c>
      <c r="X3344">
        <v>0.98254350000000001</v>
      </c>
      <c r="Y3344">
        <v>8.4255719999999992E-3</v>
      </c>
      <c r="Z3344" s="1">
        <v>3.1454459999999999E-5</v>
      </c>
      <c r="AA3344">
        <v>0.99996450000000003</v>
      </c>
      <c r="AB3344">
        <v>36</v>
      </c>
      <c r="AC3344">
        <v>-69.809899999999999</v>
      </c>
      <c r="AD3344">
        <v>-1.10909149710899</v>
      </c>
      <c r="AE3344">
        <v>1.5133999999999801</v>
      </c>
      <c r="AF3344">
        <v>0.59086266317883895</v>
      </c>
      <c r="AG3344">
        <v>-1.10909149710899</v>
      </c>
      <c r="AH3344">
        <v>69.806189995434195</v>
      </c>
      <c r="AI3344">
        <v>90.910214981496694</v>
      </c>
      <c r="AJ3344">
        <v>89.515041167240696</v>
      </c>
      <c r="AK3344">
        <v>69.817500415829599</v>
      </c>
      <c r="AL3344">
        <v>79.526951092952402</v>
      </c>
      <c r="AM3344">
        <v>92.307036208333997</v>
      </c>
      <c r="AN3344">
        <v>1.00000001823855</v>
      </c>
    </row>
    <row r="3345" spans="1:40" x14ac:dyDescent="0.25">
      <c r="A3345" t="str">
        <f>"20190304155438353"</f>
        <v>20190304155438353</v>
      </c>
      <c r="B3345" t="str">
        <f>"1551686078350129"</f>
        <v>1551686078350129</v>
      </c>
      <c r="C3345" t="s">
        <v>40</v>
      </c>
      <c r="D3345">
        <v>4.5880359999999998</v>
      </c>
      <c r="E3345">
        <v>0.51593800000000001</v>
      </c>
      <c r="F3345" t="s">
        <v>62</v>
      </c>
      <c r="G3345">
        <v>-318.45670000000001</v>
      </c>
      <c r="H3345" s="1">
        <v>-6.9837170000000004E-6</v>
      </c>
      <c r="I3345">
        <v>143.14340000000001</v>
      </c>
      <c r="J3345">
        <v>-254.60939999999999</v>
      </c>
      <c r="K3345">
        <v>1.109084</v>
      </c>
      <c r="L3345">
        <v>141.7723</v>
      </c>
      <c r="M3345">
        <v>-0.99985469999999999</v>
      </c>
      <c r="N3345">
        <v>-9.9697910000000004E-3</v>
      </c>
      <c r="O3345">
        <v>1.3826E-2</v>
      </c>
      <c r="P3345">
        <v>-0.9847456</v>
      </c>
      <c r="Q3345">
        <v>0.17193699999999901</v>
      </c>
      <c r="R3345">
        <v>-2.6720239999999999E-2</v>
      </c>
      <c r="S3345">
        <v>-3.0574949999999999</v>
      </c>
      <c r="T3345">
        <v>-5.2830929999999998E-2</v>
      </c>
      <c r="U3345">
        <v>6.5551760000000001E-2</v>
      </c>
      <c r="V3345">
        <v>-4.0044660000000003E-2</v>
      </c>
      <c r="W3345">
        <v>0.18180579999999999</v>
      </c>
      <c r="X3345">
        <v>0.98251869999999997</v>
      </c>
      <c r="Y3345">
        <v>7.6077860000000001E-3</v>
      </c>
      <c r="Z3345" s="1">
        <v>2.641567E-6</v>
      </c>
      <c r="AA3345">
        <v>0.99997100000000005</v>
      </c>
      <c r="AB3345">
        <v>36</v>
      </c>
      <c r="AC3345">
        <v>-63.847299999999997</v>
      </c>
      <c r="AD3345">
        <v>-1.109090983717</v>
      </c>
      <c r="AE3345">
        <v>1.37110000000001</v>
      </c>
      <c r="AF3345">
        <v>0.48802508280064899</v>
      </c>
      <c r="AG3345">
        <v>-1.109090983717</v>
      </c>
      <c r="AH3345">
        <v>63.840899202432098</v>
      </c>
      <c r="AI3345">
        <v>90.995255162975994</v>
      </c>
      <c r="AJ3345">
        <v>89.562016932029806</v>
      </c>
      <c r="AK3345">
        <v>63.852397466866499</v>
      </c>
      <c r="AL3345">
        <v>79.525039327647505</v>
      </c>
      <c r="AM3345">
        <v>92.333920806310005</v>
      </c>
      <c r="AN3345">
        <v>0.99999995977892098</v>
      </c>
    </row>
    <row r="3346" spans="1:40" x14ac:dyDescent="0.25">
      <c r="A3346" t="str">
        <f>"20190304155438375"</f>
        <v>20190304155438375</v>
      </c>
      <c r="B3346" t="str">
        <f>"1551686078370625"</f>
        <v>1551686078370625</v>
      </c>
      <c r="C3346" t="s">
        <v>40</v>
      </c>
      <c r="D3346">
        <v>4.6334770000000001</v>
      </c>
      <c r="E3346">
        <v>0.51575569999999904</v>
      </c>
      <c r="F3346" t="s">
        <v>62</v>
      </c>
      <c r="G3346">
        <v>-311.86669999999998</v>
      </c>
      <c r="H3346" s="1">
        <v>-9.6440639999999996E-6</v>
      </c>
      <c r="I3346">
        <v>142.93549999999999</v>
      </c>
      <c r="J3346">
        <v>-254.9768</v>
      </c>
      <c r="K3346">
        <v>1.1090799999999901</v>
      </c>
      <c r="L3346">
        <v>141.77799999999999</v>
      </c>
      <c r="M3346">
        <v>-0.99984530000000005</v>
      </c>
      <c r="N3346">
        <v>-9.9754430000000005E-3</v>
      </c>
      <c r="O3346">
        <v>1.4491820000000001E-2</v>
      </c>
      <c r="P3346">
        <v>-0.98467360000000004</v>
      </c>
      <c r="Q3346">
        <v>0.17240349999999999</v>
      </c>
      <c r="R3346">
        <v>-2.6364579999999999E-2</v>
      </c>
      <c r="S3346">
        <v>-3.058487</v>
      </c>
      <c r="T3346">
        <v>-5.9243919999999999E-2</v>
      </c>
      <c r="U3346">
        <v>6.2133790000000001E-2</v>
      </c>
      <c r="V3346">
        <v>-4.0341849999999999E-2</v>
      </c>
      <c r="W3346">
        <v>0.18227699999999999</v>
      </c>
      <c r="X3346">
        <v>0.9824193</v>
      </c>
      <c r="Y3346">
        <v>5.8183169999999999E-3</v>
      </c>
      <c r="Z3346" s="1">
        <v>-5.0716610000000002E-5</v>
      </c>
      <c r="AA3346">
        <v>0.99998310000000001</v>
      </c>
      <c r="AB3346">
        <v>36</v>
      </c>
      <c r="AC3346">
        <v>-56.889899999999898</v>
      </c>
      <c r="AD3346">
        <v>-1.1090896440639999</v>
      </c>
      <c r="AE3346">
        <v>1.15749999999999</v>
      </c>
      <c r="AF3346">
        <v>0.332772859054975</v>
      </c>
      <c r="AG3346">
        <v>-1.1090896440639999</v>
      </c>
      <c r="AH3346">
        <v>56.879091343517601</v>
      </c>
      <c r="AI3346">
        <v>91.117054003881407</v>
      </c>
      <c r="AJ3346">
        <v>89.664793118628694</v>
      </c>
      <c r="AK3346">
        <v>56.890876682281103</v>
      </c>
      <c r="AL3346">
        <v>79.497583475774505</v>
      </c>
      <c r="AM3346">
        <v>92.351460174424105</v>
      </c>
      <c r="AN3346">
        <v>1.00000002530145</v>
      </c>
    </row>
    <row r="3347" spans="1:40" x14ac:dyDescent="0.25">
      <c r="A3347" t="str">
        <f>"20190304155438397"</f>
        <v>20190304155438397</v>
      </c>
      <c r="B3347" t="str">
        <f>"1551686078390146"</f>
        <v>1551686078390146</v>
      </c>
      <c r="C3347" t="s">
        <v>40</v>
      </c>
      <c r="D3347">
        <v>4.5811679999999999</v>
      </c>
      <c r="E3347">
        <v>0.51533629999999997</v>
      </c>
      <c r="F3347" t="s">
        <v>62</v>
      </c>
      <c r="G3347">
        <v>-314.86810000000003</v>
      </c>
      <c r="H3347" s="1">
        <v>-8.5303319999999995E-6</v>
      </c>
      <c r="I3347">
        <v>142.9966</v>
      </c>
      <c r="J3347">
        <v>-255.3347</v>
      </c>
      <c r="K3347">
        <v>1.1090789999999999</v>
      </c>
      <c r="L3347">
        <v>141.78380000000001</v>
      </c>
      <c r="M3347">
        <v>-0.99983560000000005</v>
      </c>
      <c r="N3347">
        <v>-9.9808829999999994E-3</v>
      </c>
      <c r="O3347">
        <v>1.514041E-2</v>
      </c>
      <c r="P3347">
        <v>-0.98460210000000004</v>
      </c>
      <c r="Q3347">
        <v>0.172810299999999</v>
      </c>
      <c r="R3347">
        <v>-2.6374290000000002E-2</v>
      </c>
      <c r="S3347">
        <v>-3.0582729999999998</v>
      </c>
      <c r="T3347">
        <v>-5.6634190000000001E-2</v>
      </c>
      <c r="U3347">
        <v>6.2225339999999997E-2</v>
      </c>
      <c r="V3347">
        <v>-4.0987929999999999E-2</v>
      </c>
      <c r="W3347">
        <v>0.18268960000000001</v>
      </c>
      <c r="X3347">
        <v>0.98231590000000002</v>
      </c>
      <c r="Y3347">
        <v>5.2011649999999998E-3</v>
      </c>
      <c r="Z3347" s="1">
        <v>-5.5084390000000003E-5</v>
      </c>
      <c r="AA3347">
        <v>0.9999865</v>
      </c>
      <c r="AB3347">
        <v>36</v>
      </c>
      <c r="AC3347">
        <v>-59.5334</v>
      </c>
      <c r="AD3347">
        <v>-1.109087530332</v>
      </c>
      <c r="AE3347">
        <v>1.2127999999999799</v>
      </c>
      <c r="AF3347">
        <v>0.31114807905819097</v>
      </c>
      <c r="AG3347">
        <v>-1.109087530332</v>
      </c>
      <c r="AH3347">
        <v>59.524288450986802</v>
      </c>
      <c r="AI3347">
        <v>91.067426695172202</v>
      </c>
      <c r="AJ3347">
        <v>89.700503612440698</v>
      </c>
      <c r="AK3347">
        <v>59.535433179522002</v>
      </c>
      <c r="AL3347">
        <v>79.473539392617198</v>
      </c>
      <c r="AM3347">
        <v>92.3893270103205</v>
      </c>
      <c r="AN3347">
        <v>1.00000001387332</v>
      </c>
    </row>
    <row r="3348" spans="1:40" x14ac:dyDescent="0.25">
      <c r="A3348" t="str">
        <f>"20190304155438421"</f>
        <v>20190304155438421</v>
      </c>
      <c r="B3348" t="str">
        <f>"1551686078410645"</f>
        <v>1551686078410645</v>
      </c>
      <c r="C3348" t="s">
        <v>40</v>
      </c>
      <c r="D3348">
        <v>4.5797589999999904</v>
      </c>
      <c r="E3348">
        <v>0.51516799999999996</v>
      </c>
      <c r="F3348" t="s">
        <v>62</v>
      </c>
      <c r="G3348">
        <v>-315.51560000000001</v>
      </c>
      <c r="H3348" s="1">
        <v>-8.2365109999999999E-6</v>
      </c>
      <c r="I3348">
        <v>142.9485</v>
      </c>
      <c r="J3348">
        <v>-255.71559999999999</v>
      </c>
      <c r="K3348">
        <v>1.1090789999999999</v>
      </c>
      <c r="L3348">
        <v>141.7902</v>
      </c>
      <c r="M3348">
        <v>-0.99982479999999996</v>
      </c>
      <c r="N3348">
        <v>-9.9865869999999999E-3</v>
      </c>
      <c r="O3348">
        <v>1.583037E-2</v>
      </c>
      <c r="P3348">
        <v>-0.98449929999999997</v>
      </c>
      <c r="Q3348">
        <v>0.17342560000000001</v>
      </c>
      <c r="R3348">
        <v>-2.6169109999999999E-2</v>
      </c>
      <c r="S3348">
        <v>-3.0583800000000001</v>
      </c>
      <c r="T3348">
        <v>-5.6363580000000003E-2</v>
      </c>
      <c r="U3348">
        <v>5.918884E-2</v>
      </c>
      <c r="V3348">
        <v>-4.1458479999999999E-2</v>
      </c>
      <c r="W3348">
        <v>0.18331020000000001</v>
      </c>
      <c r="X3348">
        <v>0.98218050000000001</v>
      </c>
      <c r="Y3348">
        <v>3.5184040000000001E-3</v>
      </c>
      <c r="Z3348" s="1">
        <v>-8.3595970000000002E-5</v>
      </c>
      <c r="AA3348">
        <v>0.99999380000000004</v>
      </c>
      <c r="AB3348">
        <v>36</v>
      </c>
      <c r="AC3348">
        <v>-59.8</v>
      </c>
      <c r="AD3348">
        <v>-1.1090872365110001</v>
      </c>
      <c r="AE3348">
        <v>1.1582999999999899</v>
      </c>
      <c r="AF3348">
        <v>0.21137880610332399</v>
      </c>
      <c r="AG3348">
        <v>-1.1090872365110001</v>
      </c>
      <c r="AH3348">
        <v>59.790284304286097</v>
      </c>
      <c r="AI3348">
        <v>91.062686597739997</v>
      </c>
      <c r="AJ3348">
        <v>89.797440952954403</v>
      </c>
      <c r="AK3348">
        <v>59.8009435768803</v>
      </c>
      <c r="AL3348">
        <v>79.4373705402935</v>
      </c>
      <c r="AM3348">
        <v>92.417057411148903</v>
      </c>
      <c r="AN3348">
        <v>0.99999998478410002</v>
      </c>
    </row>
    <row r="3349" spans="1:40" x14ac:dyDescent="0.25">
      <c r="A3349" t="str">
        <f>"20190304155438444"</f>
        <v>20190304155438444</v>
      </c>
      <c r="B3349" t="str">
        <f>"1551686078440897"</f>
        <v>1551686078440897</v>
      </c>
      <c r="C3349" t="s">
        <v>40</v>
      </c>
      <c r="D3349">
        <v>4.6732149999999999</v>
      </c>
      <c r="E3349">
        <v>0.51517469999999999</v>
      </c>
      <c r="F3349" t="s">
        <v>62</v>
      </c>
      <c r="G3349">
        <v>-317.57029999999997</v>
      </c>
      <c r="H3349" s="1">
        <v>-7.3327149999999902E-6</v>
      </c>
      <c r="I3349">
        <v>142.97640000000001</v>
      </c>
      <c r="J3349">
        <v>-256.09469999999999</v>
      </c>
      <c r="K3349">
        <v>1.109086</v>
      </c>
      <c r="L3349">
        <v>141.79689999999999</v>
      </c>
      <c r="M3349">
        <v>-0.99981370000000003</v>
      </c>
      <c r="N3349">
        <v>-9.9921769999999997E-3</v>
      </c>
      <c r="O3349">
        <v>1.6516929999999999E-2</v>
      </c>
      <c r="P3349">
        <v>-0.98447070000000003</v>
      </c>
      <c r="Q3349">
        <v>0.1735594</v>
      </c>
      <c r="R3349">
        <v>-2.6359730000000001E-2</v>
      </c>
      <c r="S3349">
        <v>-3.0584720000000001</v>
      </c>
      <c r="T3349">
        <v>-5.4839970000000002E-2</v>
      </c>
      <c r="U3349">
        <v>5.8654789999999998E-2</v>
      </c>
      <c r="V3349">
        <v>-4.2323779999999998E-2</v>
      </c>
      <c r="W3349">
        <v>0.1834499</v>
      </c>
      <c r="X3349">
        <v>0.98211749999999998</v>
      </c>
      <c r="Y3349">
        <v>2.6568109999999998E-3</v>
      </c>
      <c r="Z3349" s="1">
        <v>-9.3957100000000002E-5</v>
      </c>
      <c r="AA3349">
        <v>0.99999649999999995</v>
      </c>
      <c r="AB3349">
        <v>36</v>
      </c>
      <c r="AC3349">
        <v>-61.475599999999901</v>
      </c>
      <c r="AD3349">
        <v>-1.1090933327150001</v>
      </c>
      <c r="AE3349">
        <v>1.17950000000001</v>
      </c>
      <c r="AF3349">
        <v>0.16384694243305301</v>
      </c>
      <c r="AG3349">
        <v>-1.1090933327150001</v>
      </c>
      <c r="AH3349">
        <v>61.466696624351698</v>
      </c>
      <c r="AI3349">
        <v>91.0337182529898</v>
      </c>
      <c r="AJ3349">
        <v>89.847271505250504</v>
      </c>
      <c r="AK3349">
        <v>61.476920285187603</v>
      </c>
      <c r="AL3349">
        <v>79.429228149367603</v>
      </c>
      <c r="AM3349">
        <v>92.467601355880902</v>
      </c>
      <c r="AN3349">
        <v>0.999999975984873</v>
      </c>
    </row>
    <row r="3350" spans="1:40" x14ac:dyDescent="0.25">
      <c r="A3350" t="str">
        <f>"20190304155438476"</f>
        <v>20190304155438476</v>
      </c>
      <c r="B3350" t="str">
        <f>"1551686078470178"</f>
        <v>1551686078470178</v>
      </c>
      <c r="C3350" t="s">
        <v>40</v>
      </c>
      <c r="D3350">
        <v>4.6123989999999999</v>
      </c>
      <c r="E3350">
        <v>0.51516930000000005</v>
      </c>
      <c r="F3350" t="s">
        <v>62</v>
      </c>
      <c r="G3350">
        <v>-315.85969999999998</v>
      </c>
      <c r="H3350" s="1">
        <v>-8.0806179999999994E-6</v>
      </c>
      <c r="I3350">
        <v>142.93600000000001</v>
      </c>
      <c r="J3350">
        <v>-256.61660000000001</v>
      </c>
      <c r="K3350">
        <v>1.109094</v>
      </c>
      <c r="L3350">
        <v>141.8065</v>
      </c>
      <c r="M3350">
        <v>-0.99979759999999995</v>
      </c>
      <c r="N3350">
        <v>-9.9999230000000008E-3</v>
      </c>
      <c r="O3350">
        <v>1.7461979999999998E-2</v>
      </c>
      <c r="P3350">
        <v>-0.98409780000000002</v>
      </c>
      <c r="Q3350">
        <v>0.17558119999999999</v>
      </c>
      <c r="R3350">
        <v>-2.6888860000000001E-2</v>
      </c>
      <c r="S3350">
        <v>-3.0588989999999998</v>
      </c>
      <c r="T3350">
        <v>-5.6765789999999997E-2</v>
      </c>
      <c r="U3350">
        <v>5.8303830000000001E-2</v>
      </c>
      <c r="V3350">
        <v>-4.3771650000000002E-2</v>
      </c>
      <c r="W3350">
        <v>0.1854778</v>
      </c>
      <c r="X3350">
        <v>0.98167309999999997</v>
      </c>
      <c r="Y3350">
        <v>1.5945670000000001E-3</v>
      </c>
      <c r="Z3350">
        <v>-1.265874E-4</v>
      </c>
      <c r="AA3350">
        <v>0.99999870000000002</v>
      </c>
      <c r="AB3350">
        <v>36</v>
      </c>
      <c r="AC3350">
        <v>-59.243099999999899</v>
      </c>
      <c r="AD3350">
        <v>-1.1091020806180001</v>
      </c>
      <c r="AE3350">
        <v>1.1294999999999999</v>
      </c>
      <c r="AF3350">
        <v>9.4741099911678603E-2</v>
      </c>
      <c r="AG3350">
        <v>-1.1091020806180001</v>
      </c>
      <c r="AH3350">
        <v>59.233037820600003</v>
      </c>
      <c r="AI3350">
        <v>91.072701390094494</v>
      </c>
      <c r="AJ3350">
        <v>89.908357552776494</v>
      </c>
      <c r="AK3350">
        <v>59.243496290798703</v>
      </c>
      <c r="AL3350">
        <v>79.311009807334102</v>
      </c>
      <c r="AM3350">
        <v>92.553060411360903</v>
      </c>
      <c r="AN3350">
        <v>1.0000000234500801</v>
      </c>
    </row>
    <row r="3351" spans="1:40" x14ac:dyDescent="0.25">
      <c r="A3351" t="str">
        <f>"20190304155438498"</f>
        <v>20190304155438498</v>
      </c>
      <c r="B3351" t="str">
        <f>"1551686078490674"</f>
        <v>1551686078490674</v>
      </c>
      <c r="C3351" t="s">
        <v>40</v>
      </c>
      <c r="D3351">
        <v>4.6122649999999998</v>
      </c>
      <c r="E3351">
        <v>0.51506730000000001</v>
      </c>
      <c r="F3351" t="s">
        <v>46</v>
      </c>
      <c r="G3351">
        <v>-320.65019999999998</v>
      </c>
      <c r="H3351" s="1">
        <v>-4.6547429999999998E-6</v>
      </c>
      <c r="I3351">
        <v>142.99889999999999</v>
      </c>
      <c r="J3351">
        <v>-256.97820000000002</v>
      </c>
      <c r="K3351">
        <v>1.109102</v>
      </c>
      <c r="L3351">
        <v>141.8134</v>
      </c>
      <c r="M3351">
        <v>-0.99978590000000001</v>
      </c>
      <c r="N3351">
        <v>-1.000533E-2</v>
      </c>
      <c r="O3351">
        <v>1.8116710000000001E-2</v>
      </c>
      <c r="P3351">
        <v>-0.98360170000000002</v>
      </c>
      <c r="Q3351">
        <v>0.17828369999999999</v>
      </c>
      <c r="R3351">
        <v>-2.7259930000000002E-2</v>
      </c>
      <c r="S3351">
        <v>-3.0595089999999998</v>
      </c>
      <c r="T3351">
        <v>-5.2992459999999998E-2</v>
      </c>
      <c r="U3351">
        <v>5.6976319999999997E-2</v>
      </c>
      <c r="V3351">
        <v>-4.4773309999999997E-2</v>
      </c>
      <c r="W3351">
        <v>0.18818170000000001</v>
      </c>
      <c r="X3351">
        <v>0.98111309999999996</v>
      </c>
      <c r="Y3351">
        <v>5.0230709999999896E-4</v>
      </c>
      <c r="Z3351">
        <v>-1.255904E-4</v>
      </c>
      <c r="AA3351">
        <v>0.99999990000000005</v>
      </c>
      <c r="AB3351">
        <v>36</v>
      </c>
      <c r="AC3351">
        <v>-63.671999999999898</v>
      </c>
      <c r="AD3351">
        <v>-1.109106654743</v>
      </c>
      <c r="AE3351">
        <v>1.18549999999999</v>
      </c>
      <c r="AF3351">
        <v>3.1710991897130503E-2</v>
      </c>
      <c r="AG3351">
        <v>-1.109106654743</v>
      </c>
      <c r="AH3351">
        <v>63.663717079825503</v>
      </c>
      <c r="AI3351">
        <v>90.998067622204999</v>
      </c>
      <c r="AJ3351">
        <v>89.971460889609304</v>
      </c>
      <c r="AK3351">
        <v>63.673385300128899</v>
      </c>
      <c r="AL3351">
        <v>79.153310270405996</v>
      </c>
      <c r="AM3351">
        <v>92.612892536466902</v>
      </c>
      <c r="AN3351">
        <v>0.99999995824742705</v>
      </c>
    </row>
    <row r="3352" spans="1:40" x14ac:dyDescent="0.25">
      <c r="A3352" t="str">
        <f>"20190304155438520"</f>
        <v>20190304155438520</v>
      </c>
      <c r="B3352" t="str">
        <f>"1551686078510194"</f>
        <v>1551686078510194</v>
      </c>
      <c r="C3352" t="s">
        <v>40</v>
      </c>
      <c r="D3352">
        <v>4.7059739999999897</v>
      </c>
      <c r="E3352">
        <v>0.51537869999999997</v>
      </c>
      <c r="F3352" t="s">
        <v>46</v>
      </c>
      <c r="G3352">
        <v>-330.93259999999998</v>
      </c>
      <c r="H3352" s="1">
        <v>-4.9774510000000003E-6</v>
      </c>
      <c r="I3352">
        <v>143.13589999999999</v>
      </c>
      <c r="J3352">
        <v>-257.34960000000001</v>
      </c>
      <c r="K3352">
        <v>1.109102</v>
      </c>
      <c r="L3352">
        <v>141.82069999999999</v>
      </c>
      <c r="M3352">
        <v>-0.99977329999999998</v>
      </c>
      <c r="N3352">
        <v>-1.001088E-2</v>
      </c>
      <c r="O3352">
        <v>1.878896E-2</v>
      </c>
      <c r="P3352">
        <v>-0.98328769999999999</v>
      </c>
      <c r="Q3352">
        <v>0.17990129999999999</v>
      </c>
      <c r="R3352">
        <v>-2.794439E-2</v>
      </c>
      <c r="S3352">
        <v>-3.0598450000000001</v>
      </c>
      <c r="T3352">
        <v>-4.5889020000000003E-2</v>
      </c>
      <c r="U3352">
        <v>5.4718019999999999E-2</v>
      </c>
      <c r="V3352">
        <v>-4.6109240000000003E-2</v>
      </c>
      <c r="W3352">
        <v>0.18980369999999999</v>
      </c>
      <c r="X3352">
        <v>0.98073880000000002</v>
      </c>
      <c r="Y3352">
        <v>-9.0990329999999999E-4</v>
      </c>
      <c r="Z3352">
        <v>-1.049998E-4</v>
      </c>
      <c r="AA3352">
        <v>0.99999959999999999</v>
      </c>
      <c r="AB3352">
        <v>36</v>
      </c>
      <c r="AC3352">
        <v>-73.582999999999899</v>
      </c>
      <c r="AD3352">
        <v>-1.1091069774510001</v>
      </c>
      <c r="AE3352">
        <v>1.3151999999999999</v>
      </c>
      <c r="AF3352">
        <v>-6.7634232021362706E-2</v>
      </c>
      <c r="AG3352">
        <v>-1.1091069774510001</v>
      </c>
      <c r="AH3352">
        <v>73.578010757095001</v>
      </c>
      <c r="AI3352">
        <v>90.863604613516699</v>
      </c>
      <c r="AJ3352">
        <v>90.0526672971191</v>
      </c>
      <c r="AK3352">
        <v>73.586400643379505</v>
      </c>
      <c r="AL3352">
        <v>79.058671975502605</v>
      </c>
      <c r="AM3352">
        <v>92.691767581174801</v>
      </c>
      <c r="AN3352">
        <v>1.00000005018625</v>
      </c>
    </row>
    <row r="3353" spans="1:40" x14ac:dyDescent="0.25">
      <c r="A3353" t="str">
        <f>"20190304155438545"</f>
        <v>20190304155438545</v>
      </c>
      <c r="B3353" t="str">
        <f>"1551686078540450"</f>
        <v>1551686078540450</v>
      </c>
      <c r="C3353" t="s">
        <v>40</v>
      </c>
      <c r="D3353">
        <v>4.7916439999999998</v>
      </c>
      <c r="E3353">
        <v>0.51520189999999999</v>
      </c>
      <c r="F3353" t="s">
        <v>46</v>
      </c>
      <c r="G3353">
        <v>-333.59399999999999</v>
      </c>
      <c r="H3353" s="1">
        <v>-3.9595620000000004E-6</v>
      </c>
      <c r="I3353">
        <v>143.1902</v>
      </c>
      <c r="J3353">
        <v>-257.73390000000001</v>
      </c>
      <c r="K3353">
        <v>1.109108</v>
      </c>
      <c r="L3353">
        <v>141.82859999999999</v>
      </c>
      <c r="M3353">
        <v>-0.99976010000000004</v>
      </c>
      <c r="N3353">
        <v>-1.0016590000000001E-2</v>
      </c>
      <c r="O3353">
        <v>1.9484339999999999E-2</v>
      </c>
      <c r="P3353">
        <v>-0.98305399999999998</v>
      </c>
      <c r="Q3353">
        <v>0.18106729999999999</v>
      </c>
      <c r="R3353">
        <v>-2.8627860000000002E-2</v>
      </c>
      <c r="S3353">
        <v>-3.06073</v>
      </c>
      <c r="T3353">
        <v>-4.4523600000000003E-2</v>
      </c>
      <c r="U3353">
        <v>5.4977419999999999E-2</v>
      </c>
      <c r="V3353">
        <v>-4.7468900000000001E-2</v>
      </c>
      <c r="W3353">
        <v>0.1909748</v>
      </c>
      <c r="X3353">
        <v>0.9804465</v>
      </c>
      <c r="Y3353">
        <v>-1.52582E-3</v>
      </c>
      <c r="Z3353">
        <v>-1.069388E-4</v>
      </c>
      <c r="AA3353">
        <v>0.99999879999999997</v>
      </c>
      <c r="AB3353">
        <v>37</v>
      </c>
      <c r="AC3353">
        <v>-75.860099999999903</v>
      </c>
      <c r="AD3353">
        <v>-1.109111959562</v>
      </c>
      <c r="AE3353">
        <v>1.3616000000000099</v>
      </c>
      <c r="AF3353">
        <v>-0.116791518484929</v>
      </c>
      <c r="AG3353">
        <v>-1.109111959562</v>
      </c>
      <c r="AH3353">
        <v>75.856018983384899</v>
      </c>
      <c r="AI3353">
        <v>90.837676851370802</v>
      </c>
      <c r="AJ3353">
        <v>90.088215225294405</v>
      </c>
      <c r="AK3353">
        <v>75.864216766571104</v>
      </c>
      <c r="AL3353">
        <v>78.990322185198707</v>
      </c>
      <c r="AM3353">
        <v>92.7718447703284</v>
      </c>
      <c r="AN3353">
        <v>1.00000000503225</v>
      </c>
    </row>
    <row r="3354" spans="1:40" x14ac:dyDescent="0.25">
      <c r="A3354" t="str">
        <f>"20190304155438567"</f>
        <v>20190304155438567</v>
      </c>
      <c r="B3354" t="str">
        <f>"1551686078560946"</f>
        <v>1551686078560946</v>
      </c>
      <c r="C3354" t="s">
        <v>40</v>
      </c>
      <c r="D3354">
        <v>4.6041980000000002</v>
      </c>
      <c r="E3354">
        <v>0.51527539999999905</v>
      </c>
      <c r="F3354" t="s">
        <v>46</v>
      </c>
      <c r="G3354">
        <v>-338.19830000000002</v>
      </c>
      <c r="H3354" s="1">
        <v>-1.7823679999999901E-6</v>
      </c>
      <c r="I3354">
        <v>143.1876</v>
      </c>
      <c r="J3354">
        <v>-258.10469999999998</v>
      </c>
      <c r="K3354">
        <v>1.1091070000000001</v>
      </c>
      <c r="L3354">
        <v>141.8365</v>
      </c>
      <c r="M3354">
        <v>-0.99974669999999999</v>
      </c>
      <c r="N3354">
        <v>-1.0022140000000001E-2</v>
      </c>
      <c r="O3354">
        <v>2.015511E-2</v>
      </c>
      <c r="P3354">
        <v>-0.98289590000000004</v>
      </c>
      <c r="Q3354">
        <v>0.18189140000000001</v>
      </c>
      <c r="R3354">
        <v>-2.8833000000000001E-2</v>
      </c>
      <c r="S3354">
        <v>-3.0610050000000002</v>
      </c>
      <c r="T3354">
        <v>-4.2192460000000001E-2</v>
      </c>
      <c r="U3354">
        <v>5.1696779999999998E-2</v>
      </c>
      <c r="V3354">
        <v>-4.8328160000000002E-2</v>
      </c>
      <c r="W3354">
        <v>0.19180369999999999</v>
      </c>
      <c r="X3354">
        <v>0.98024270000000002</v>
      </c>
      <c r="Y3354">
        <v>-3.2695760000000002E-3</v>
      </c>
      <c r="Z3354">
        <v>-1.1467010000000001E-4</v>
      </c>
      <c r="AA3354">
        <v>0.99999459999999996</v>
      </c>
      <c r="AB3354">
        <v>37</v>
      </c>
      <c r="AC3354">
        <v>-80.093599999999995</v>
      </c>
      <c r="AD3354">
        <v>-1.1091087823679999</v>
      </c>
      <c r="AE3354">
        <v>1.3511</v>
      </c>
      <c r="AF3354">
        <v>-0.26350025649012498</v>
      </c>
      <c r="AG3354">
        <v>-1.1091087823679999</v>
      </c>
      <c r="AH3354">
        <v>80.089208152387798</v>
      </c>
      <c r="AI3354">
        <v>90.793400858596598</v>
      </c>
      <c r="AJ3354">
        <v>90.188507271719004</v>
      </c>
      <c r="AK3354">
        <v>80.097320911206396</v>
      </c>
      <c r="AL3354">
        <v>78.9419353044442</v>
      </c>
      <c r="AM3354">
        <v>92.822524789300303</v>
      </c>
      <c r="AN3354">
        <v>1.0000000106429801</v>
      </c>
    </row>
    <row r="3355" spans="1:40" x14ac:dyDescent="0.25">
      <c r="A3355" t="str">
        <f>"20190304155438589"</f>
        <v>20190304155438589</v>
      </c>
      <c r="B3355" t="str">
        <f>"1551686078580466"</f>
        <v>1551686078580466</v>
      </c>
      <c r="C3355" t="s">
        <v>40</v>
      </c>
      <c r="D3355">
        <v>4.6222469999999998</v>
      </c>
      <c r="E3355">
        <v>0.51521640000000002</v>
      </c>
      <c r="F3355" t="s">
        <v>46</v>
      </c>
      <c r="G3355">
        <v>-336.98700000000002</v>
      </c>
      <c r="H3355" s="1">
        <v>-2.3506879999999999E-6</v>
      </c>
      <c r="I3355">
        <v>143.17150000000001</v>
      </c>
      <c r="J3355">
        <v>-258.4588</v>
      </c>
      <c r="K3355">
        <v>1.10911</v>
      </c>
      <c r="L3355">
        <v>141.8442</v>
      </c>
      <c r="M3355">
        <v>-0.9997336</v>
      </c>
      <c r="N3355">
        <v>-1.0027390000000001E-2</v>
      </c>
      <c r="O3355">
        <v>2.0795299999999999E-2</v>
      </c>
      <c r="P3355">
        <v>-0.98286249999999997</v>
      </c>
      <c r="Q3355">
        <v>0.18206910000000001</v>
      </c>
      <c r="R3355">
        <v>-2.885163E-2</v>
      </c>
      <c r="S3355">
        <v>-3.0617070000000002</v>
      </c>
      <c r="T3355">
        <v>-4.3048500000000003E-2</v>
      </c>
      <c r="U3355">
        <v>5.181885E-2</v>
      </c>
      <c r="V3355">
        <v>-4.8974200000000002E-2</v>
      </c>
      <c r="W3355">
        <v>0.19198670000000001</v>
      </c>
      <c r="X3355">
        <v>0.98017480000000001</v>
      </c>
      <c r="Y3355">
        <v>-3.8737950000000002E-3</v>
      </c>
      <c r="Z3355">
        <v>-1.304492E-4</v>
      </c>
      <c r="AA3355">
        <v>0.99999249999999995</v>
      </c>
      <c r="AB3355">
        <v>37</v>
      </c>
      <c r="AC3355">
        <v>-78.528199999999899</v>
      </c>
      <c r="AD3355">
        <v>-1.1091123506880001</v>
      </c>
      <c r="AE3355">
        <v>1.3272999999999999</v>
      </c>
      <c r="AF3355">
        <v>-0.30602538985956201</v>
      </c>
      <c r="AG3355">
        <v>-1.1091123506880001</v>
      </c>
      <c r="AH3355">
        <v>78.523160560001799</v>
      </c>
      <c r="AI3355">
        <v>90.809223014273996</v>
      </c>
      <c r="AJ3355">
        <v>90.223295577586399</v>
      </c>
      <c r="AK3355">
        <v>78.531589351531096</v>
      </c>
      <c r="AL3355">
        <v>78.931251527222102</v>
      </c>
      <c r="AM3355">
        <v>92.8603912337704</v>
      </c>
      <c r="AN3355">
        <v>1.00000000189878</v>
      </c>
    </row>
    <row r="3356" spans="1:40" x14ac:dyDescent="0.25">
      <c r="A3356" t="str">
        <f>"20190304155438611"</f>
        <v>20190304155438611</v>
      </c>
      <c r="B3356" t="str">
        <f>"1551686078600962"</f>
        <v>1551686078600962</v>
      </c>
      <c r="C3356" t="s">
        <v>40</v>
      </c>
      <c r="D3356">
        <v>4.6207760000000002</v>
      </c>
      <c r="E3356">
        <v>0.51509499999999997</v>
      </c>
      <c r="F3356" t="s">
        <v>46</v>
      </c>
      <c r="G3356">
        <v>-336.05020000000002</v>
      </c>
      <c r="H3356" s="1">
        <v>-2.7848169999999998E-6</v>
      </c>
      <c r="I3356">
        <v>143.1388</v>
      </c>
      <c r="J3356">
        <v>-258.82769999999999</v>
      </c>
      <c r="K3356">
        <v>1.1090979999999999</v>
      </c>
      <c r="L3356">
        <v>141.85249999999999</v>
      </c>
      <c r="M3356">
        <v>-0.99971929999999998</v>
      </c>
      <c r="N3356">
        <v>-1.003272E-2</v>
      </c>
      <c r="O3356">
        <v>2.1462129999999999E-2</v>
      </c>
      <c r="P3356">
        <v>-0.98273619999999995</v>
      </c>
      <c r="Q3356">
        <v>0.18271419999999999</v>
      </c>
      <c r="R3356">
        <v>-2.9072799999999999E-2</v>
      </c>
      <c r="S3356">
        <v>-3.0619200000000002</v>
      </c>
      <c r="T3356">
        <v>-4.3767929999999997E-2</v>
      </c>
      <c r="U3356">
        <v>5.1086430000000002E-2</v>
      </c>
      <c r="V3356">
        <v>-4.9844989999999999E-2</v>
      </c>
      <c r="W3356">
        <v>0.19263710000000001</v>
      </c>
      <c r="X3356">
        <v>0.98000330000000002</v>
      </c>
      <c r="Y3356">
        <v>-4.7809219999999999E-3</v>
      </c>
      <c r="Z3356">
        <v>-1.4953739999999999E-4</v>
      </c>
      <c r="AA3356">
        <v>0.99998860000000001</v>
      </c>
      <c r="AB3356">
        <v>37</v>
      </c>
      <c r="AC3356">
        <v>-77.222499999999997</v>
      </c>
      <c r="AD3356">
        <v>-1.10910078481699</v>
      </c>
      <c r="AE3356">
        <v>1.28630000000001</v>
      </c>
      <c r="AF3356">
        <v>-0.37136251751159599</v>
      </c>
      <c r="AG3356">
        <v>-1.10910078481699</v>
      </c>
      <c r="AH3356">
        <v>77.216395380329999</v>
      </c>
      <c r="AI3356">
        <v>90.822904117132097</v>
      </c>
      <c r="AJ3356">
        <v>90.275554702730204</v>
      </c>
      <c r="AK3356">
        <v>77.225253189625306</v>
      </c>
      <c r="AL3356">
        <v>78.893277745599306</v>
      </c>
      <c r="AM3356">
        <v>92.911672517980605</v>
      </c>
      <c r="AN3356">
        <v>1.0000000216676901</v>
      </c>
    </row>
    <row r="3357" spans="1:40" x14ac:dyDescent="0.25">
      <c r="A3357" t="str">
        <f>"20190304155438633"</f>
        <v>20190304155438633</v>
      </c>
      <c r="B3357" t="str">
        <f>"1551686078630242"</f>
        <v>1551686078630242</v>
      </c>
      <c r="C3357" t="s">
        <v>40</v>
      </c>
      <c r="D3357">
        <v>4.5446609999999996</v>
      </c>
      <c r="E3357">
        <v>0.51502190000000003</v>
      </c>
      <c r="F3357" t="s">
        <v>46</v>
      </c>
      <c r="G3357">
        <v>-337.88810000000001</v>
      </c>
      <c r="H3357" s="1">
        <v>-1.910784E-6</v>
      </c>
      <c r="I3357">
        <v>143.119</v>
      </c>
      <c r="J3357">
        <v>-259.1816</v>
      </c>
      <c r="K3357">
        <v>1.1090930000000001</v>
      </c>
      <c r="L3357">
        <v>141.86070000000001</v>
      </c>
      <c r="M3357">
        <v>-0.99970539999999997</v>
      </c>
      <c r="N3357">
        <v>-1.003778E-2</v>
      </c>
      <c r="O3357">
        <v>2.2101539999999999E-2</v>
      </c>
      <c r="P3357">
        <v>-0.98263500000000004</v>
      </c>
      <c r="Q3357">
        <v>0.18314340000000001</v>
      </c>
      <c r="R3357">
        <v>-2.9784649999999999E-2</v>
      </c>
      <c r="S3357">
        <v>-3.0621339999999999</v>
      </c>
      <c r="T3357">
        <v>-4.2957189999999999E-2</v>
      </c>
      <c r="U3357">
        <v>4.9057009999999998E-2</v>
      </c>
      <c r="V3357">
        <v>-5.1181629999999999E-2</v>
      </c>
      <c r="W3357">
        <v>0.1930723</v>
      </c>
      <c r="X3357">
        <v>0.97984870000000002</v>
      </c>
      <c r="Y3357">
        <v>-6.0840540000000002E-3</v>
      </c>
      <c r="Z3357">
        <v>-1.613327E-4</v>
      </c>
      <c r="AA3357">
        <v>0.99998149999999997</v>
      </c>
      <c r="AB3357">
        <v>37</v>
      </c>
      <c r="AC3357">
        <v>-78.706500000000005</v>
      </c>
      <c r="AD3357">
        <v>-1.109094910784</v>
      </c>
      <c r="AE3357">
        <v>1.25829999999999</v>
      </c>
      <c r="AF3357">
        <v>-0.48153419385875101</v>
      </c>
      <c r="AG3357">
        <v>-1.109094910784</v>
      </c>
      <c r="AH3357">
        <v>78.699460832453994</v>
      </c>
      <c r="AI3357">
        <v>90.807388781670895</v>
      </c>
      <c r="AJ3357">
        <v>90.350568255658501</v>
      </c>
      <c r="AK3357">
        <v>78.708748573585794</v>
      </c>
      <c r="AL3357">
        <v>78.867865026047298</v>
      </c>
      <c r="AM3357">
        <v>92.990082784018796</v>
      </c>
      <c r="AN3357">
        <v>0.99999997358421799</v>
      </c>
    </row>
    <row r="3358" spans="1:40" x14ac:dyDescent="0.25">
      <c r="A3358" t="str">
        <f>"20190304155438657"</f>
        <v>20190304155438657</v>
      </c>
      <c r="B3358" t="str">
        <f>"1551686078650737"</f>
        <v>1551686078650737</v>
      </c>
      <c r="C3358" t="s">
        <v>40</v>
      </c>
      <c r="D3358">
        <v>4.4792360000000002</v>
      </c>
      <c r="E3358">
        <v>0.53127729999999995</v>
      </c>
      <c r="F3358" t="s">
        <v>46</v>
      </c>
      <c r="G3358">
        <v>-337.93110000000001</v>
      </c>
      <c r="H3358" s="1">
        <v>-1.873634E-6</v>
      </c>
      <c r="I3358">
        <v>143.0558</v>
      </c>
      <c r="J3358">
        <v>-259.5847</v>
      </c>
      <c r="K3358">
        <v>1.109089</v>
      </c>
      <c r="L3358">
        <v>141.87029999999999</v>
      </c>
      <c r="M3358">
        <v>-0.99968900000000005</v>
      </c>
      <c r="N3358">
        <v>-1.004385E-2</v>
      </c>
      <c r="O3358">
        <v>2.28294E-2</v>
      </c>
      <c r="P3358">
        <v>-0.98259949999999996</v>
      </c>
      <c r="Q3358">
        <v>0.1832232</v>
      </c>
      <c r="R3358">
        <v>-3.0461209999999999E-2</v>
      </c>
      <c r="S3358">
        <v>-3.0624690000000001</v>
      </c>
      <c r="T3358">
        <v>-4.3131349999999999E-2</v>
      </c>
      <c r="U3358">
        <v>4.6478270000000002E-2</v>
      </c>
      <c r="V3358">
        <v>-5.2571130000000001E-2</v>
      </c>
      <c r="W3358">
        <v>0.19315979999999999</v>
      </c>
      <c r="X3358">
        <v>0.97975789999999996</v>
      </c>
      <c r="Y3358">
        <v>-7.6554119999999899E-3</v>
      </c>
      <c r="Z3358">
        <v>-1.8450159999999999E-4</v>
      </c>
      <c r="AA3358">
        <v>0.99997069999999999</v>
      </c>
      <c r="AB3358">
        <v>37</v>
      </c>
      <c r="AC3358">
        <v>-78.346400000000003</v>
      </c>
      <c r="AD3358">
        <v>-1.1090908736339999</v>
      </c>
      <c r="AE3358">
        <v>1.18550000000001</v>
      </c>
      <c r="AF3358">
        <v>-0.60337949909803401</v>
      </c>
      <c r="AG3358">
        <v>-1.1090908736339999</v>
      </c>
      <c r="AH3358">
        <v>78.337349396149307</v>
      </c>
      <c r="AI3358">
        <v>90.811108581023802</v>
      </c>
      <c r="AJ3358">
        <v>90.441301823224094</v>
      </c>
      <c r="AK3358">
        <v>78.347523635404599</v>
      </c>
      <c r="AL3358">
        <v>78.862755617415104</v>
      </c>
      <c r="AM3358">
        <v>93.071389511968803</v>
      </c>
      <c r="AN3358">
        <v>0.999999987328963</v>
      </c>
    </row>
    <row r="3359" spans="1:40" x14ac:dyDescent="0.25">
      <c r="A3359" t="str">
        <f>"20190304155438744"</f>
        <v>20190304155438744</v>
      </c>
      <c r="B3359" t="str">
        <f>"1551686078740531"</f>
        <v>1551686078740531</v>
      </c>
      <c r="C3359" t="s">
        <v>40</v>
      </c>
      <c r="D3359">
        <v>5.6466750000000001</v>
      </c>
      <c r="E3359">
        <v>0.52849009999999996</v>
      </c>
      <c r="F3359" t="s">
        <v>48</v>
      </c>
      <c r="G3359">
        <v>-261.6764</v>
      </c>
      <c r="H3359">
        <v>0.99140170000000005</v>
      </c>
      <c r="I3359">
        <v>141.9504</v>
      </c>
      <c r="J3359">
        <v>-261.01900000000001</v>
      </c>
      <c r="K3359">
        <v>1.1091089999999999</v>
      </c>
      <c r="L3359">
        <v>141.9067</v>
      </c>
      <c r="M3359">
        <v>-0.99962620000000002</v>
      </c>
      <c r="N3359">
        <v>-1.0066159999999999E-2</v>
      </c>
      <c r="O3359">
        <v>2.541935E-2</v>
      </c>
      <c r="P3359">
        <v>-0.98165919999999895</v>
      </c>
      <c r="Q3359">
        <v>0.1878013</v>
      </c>
      <c r="R3359">
        <v>-3.2798029999999999E-2</v>
      </c>
      <c r="S3359">
        <v>-3.1277159999999999</v>
      </c>
      <c r="T3359">
        <v>-0.35729529999999998</v>
      </c>
      <c r="U3359">
        <v>0.16218569999999999</v>
      </c>
      <c r="V3359">
        <v>-5.7417089999999997E-2</v>
      </c>
      <c r="W3359">
        <v>0.19775670000000001</v>
      </c>
      <c r="X3359">
        <v>0.97856810000000005</v>
      </c>
      <c r="Y3359">
        <v>2.6332589999999999E-2</v>
      </c>
      <c r="Z3359">
        <v>-1.0054459999999999E-3</v>
      </c>
      <c r="AA3359">
        <v>0.99965269999999995</v>
      </c>
      <c r="AB3359">
        <v>37</v>
      </c>
      <c r="AC3359">
        <v>-0.65739999999999499</v>
      </c>
      <c r="AD3359">
        <v>-0.1177073</v>
      </c>
      <c r="AE3359">
        <v>4.3700000000001099E-2</v>
      </c>
      <c r="AF3359">
        <v>2.6140019580467501E-2</v>
      </c>
      <c r="AG3359">
        <v>-0.1177073</v>
      </c>
      <c r="AH3359">
        <v>0.63793691378490203</v>
      </c>
      <c r="AI3359">
        <v>100.445633034588</v>
      </c>
      <c r="AJ3359">
        <v>87.653568278313699</v>
      </c>
      <c r="AK3359">
        <v>0.64923171138381996</v>
      </c>
      <c r="AL3359">
        <v>78.594192253673498</v>
      </c>
      <c r="AM3359">
        <v>93.357956879364096</v>
      </c>
      <c r="AN3359">
        <v>0.99999998047828298</v>
      </c>
    </row>
    <row r="3360" spans="1:40" x14ac:dyDescent="0.25">
      <c r="A3360" t="str">
        <f>"20190304155438766"</f>
        <v>20190304155438766</v>
      </c>
      <c r="B3360" t="str">
        <f>"1551686078761026"</f>
        <v>1551686078761026</v>
      </c>
      <c r="C3360" t="s">
        <v>40</v>
      </c>
      <c r="D3360">
        <v>4.5569730000000002</v>
      </c>
      <c r="E3360">
        <v>0.52735880000000002</v>
      </c>
      <c r="F3360" t="s">
        <v>48</v>
      </c>
      <c r="G3360">
        <v>-262.02640000000002</v>
      </c>
      <c r="H3360">
        <v>1.030432</v>
      </c>
      <c r="I3360">
        <v>141.9554</v>
      </c>
      <c r="J3360">
        <v>-261.3854</v>
      </c>
      <c r="K3360">
        <v>1.1091120000000001</v>
      </c>
      <c r="L3360">
        <v>141.91669999999999</v>
      </c>
      <c r="M3360">
        <v>-0.99960919999999998</v>
      </c>
      <c r="N3360">
        <v>-1.007182E-2</v>
      </c>
      <c r="O3360">
        <v>2.607957E-2</v>
      </c>
      <c r="P3360">
        <v>-0.98119179999999995</v>
      </c>
      <c r="Q3360">
        <v>0.19014420000000001</v>
      </c>
      <c r="R3360">
        <v>-3.3287589999999999E-2</v>
      </c>
      <c r="S3360">
        <v>-3.1074830000000002</v>
      </c>
      <c r="T3360">
        <v>-0.24273990000000001</v>
      </c>
      <c r="U3360">
        <v>0.14929200000000001</v>
      </c>
      <c r="V3360">
        <v>-5.8536959999999999E-2</v>
      </c>
      <c r="W3360">
        <v>0.20010159999999999</v>
      </c>
      <c r="X3360">
        <v>0.97802500000000003</v>
      </c>
      <c r="Y3360">
        <v>2.1905150000000002E-2</v>
      </c>
      <c r="Z3360">
        <v>-8.0586669999999896E-4</v>
      </c>
      <c r="AA3360">
        <v>0.99975970000000003</v>
      </c>
      <c r="AB3360">
        <v>37</v>
      </c>
      <c r="AC3360">
        <v>-0.641000000000019</v>
      </c>
      <c r="AD3360">
        <v>-7.868E-2</v>
      </c>
      <c r="AE3360">
        <v>3.8700000000005702E-2</v>
      </c>
      <c r="AF3360">
        <v>2.1644068250694901E-2</v>
      </c>
      <c r="AG3360">
        <v>-7.868E-2</v>
      </c>
      <c r="AH3360">
        <v>0.63229934009909505</v>
      </c>
      <c r="AI3360">
        <v>97.089015272190693</v>
      </c>
      <c r="AJ3360">
        <v>88.039489116854597</v>
      </c>
      <c r="AK3360">
        <v>0.63754330329805198</v>
      </c>
      <c r="AL3360">
        <v>78.457100355578802</v>
      </c>
      <c r="AM3360">
        <v>93.4251930543561</v>
      </c>
      <c r="AN3360">
        <v>1.00000006331679</v>
      </c>
    </row>
    <row r="3361" spans="1:40" x14ac:dyDescent="0.25">
      <c r="A3361" t="str">
        <f>"20190304155438789"</f>
        <v>20190304155438789</v>
      </c>
      <c r="B3361" t="str">
        <f>"1551686078780546"</f>
        <v>1551686078780546</v>
      </c>
      <c r="C3361" t="s">
        <v>40</v>
      </c>
      <c r="D3361">
        <v>4.7242749999999996</v>
      </c>
      <c r="E3361">
        <v>0.52692869999999903</v>
      </c>
      <c r="F3361" t="s">
        <v>48</v>
      </c>
      <c r="G3361">
        <v>-262.3689</v>
      </c>
      <c r="H3361">
        <v>1.0464739999999999</v>
      </c>
      <c r="I3361">
        <v>141.9605</v>
      </c>
      <c r="J3361">
        <v>-261.76229999999998</v>
      </c>
      <c r="K3361">
        <v>1.1091260000000001</v>
      </c>
      <c r="L3361">
        <v>141.9271</v>
      </c>
      <c r="M3361">
        <v>-0.99959140000000002</v>
      </c>
      <c r="N3361">
        <v>-1.0077559999999999E-2</v>
      </c>
      <c r="O3361">
        <v>2.6754719999999999E-2</v>
      </c>
      <c r="P3361">
        <v>-0.98085120000000003</v>
      </c>
      <c r="Q3361">
        <v>0.19169910000000001</v>
      </c>
      <c r="R3361">
        <v>-3.4386800000000002E-2</v>
      </c>
      <c r="S3361">
        <v>-3.1004640000000001</v>
      </c>
      <c r="T3361">
        <v>-0.19748279999999999</v>
      </c>
      <c r="U3361">
        <v>0.13797000000000001</v>
      </c>
      <c r="V3361">
        <v>-6.0286550000000001E-2</v>
      </c>
      <c r="W3361">
        <v>0.2016608</v>
      </c>
      <c r="X3361">
        <v>0.97759830000000003</v>
      </c>
      <c r="Y3361">
        <v>1.770708E-2</v>
      </c>
      <c r="Z3361">
        <v>-7.7938360000000002E-4</v>
      </c>
      <c r="AA3361">
        <v>0.99984289999999998</v>
      </c>
      <c r="AB3361">
        <v>37</v>
      </c>
      <c r="AC3361">
        <v>-0.60660000000001402</v>
      </c>
      <c r="AD3361">
        <v>-6.2652000000000097E-2</v>
      </c>
      <c r="AE3361">
        <v>3.3400000000000298E-2</v>
      </c>
      <c r="AF3361">
        <v>1.69772495541359E-2</v>
      </c>
      <c r="AG3361">
        <v>-6.2652000000000097E-2</v>
      </c>
      <c r="AH3361">
        <v>0.60088587411635197</v>
      </c>
      <c r="AI3361">
        <v>95.950139045103697</v>
      </c>
      <c r="AJ3361">
        <v>88.381612748547298</v>
      </c>
      <c r="AK3361">
        <v>0.60438177819900896</v>
      </c>
      <c r="AL3361">
        <v>78.365904976629693</v>
      </c>
      <c r="AM3361">
        <v>93.5288483773613</v>
      </c>
      <c r="AN3361">
        <v>0.99999999126521599</v>
      </c>
    </row>
    <row r="3362" spans="1:40" x14ac:dyDescent="0.25">
      <c r="A3362" t="str">
        <f>"20190304155438813"</f>
        <v>20190304155438813</v>
      </c>
      <c r="B3362" t="str">
        <f>"1551686078810802"</f>
        <v>1551686078810802</v>
      </c>
      <c r="C3362" t="s">
        <v>40</v>
      </c>
      <c r="D3362">
        <v>4.6341080000000003</v>
      </c>
      <c r="E3362">
        <v>0.52410270000000003</v>
      </c>
      <c r="F3362" t="s">
        <v>62</v>
      </c>
      <c r="G3362">
        <v>-283.48390000000001</v>
      </c>
      <c r="H3362" s="1">
        <v>-6.2067030000000001E-6</v>
      </c>
      <c r="I3362">
        <v>142.8432</v>
      </c>
      <c r="J3362">
        <v>-262.15469999999999</v>
      </c>
      <c r="K3362">
        <v>1.1091340000000001</v>
      </c>
      <c r="L3362">
        <v>141.9383</v>
      </c>
      <c r="M3362">
        <v>-0.99957260000000003</v>
      </c>
      <c r="N3362">
        <v>-1.0083389999999999E-2</v>
      </c>
      <c r="O3362">
        <v>2.7444719999999999E-2</v>
      </c>
      <c r="P3362">
        <v>-0.98068449999999996</v>
      </c>
      <c r="Q3362">
        <v>0.1924699</v>
      </c>
      <c r="R3362">
        <v>-3.484135E-2</v>
      </c>
      <c r="S3362">
        <v>-3.0940249999999998</v>
      </c>
      <c r="T3362">
        <v>-0.15798409999999999</v>
      </c>
      <c r="U3362">
        <v>0.13047790000000001</v>
      </c>
      <c r="V3362">
        <v>-6.141344E-2</v>
      </c>
      <c r="W3362">
        <v>0.20243610000000001</v>
      </c>
      <c r="X3362">
        <v>0.97736789999999996</v>
      </c>
      <c r="Y3362">
        <v>1.4695949999999999E-2</v>
      </c>
      <c r="Z3362">
        <v>-6.7397710000000001E-4</v>
      </c>
      <c r="AA3362">
        <v>0.9998918</v>
      </c>
      <c r="AB3362">
        <v>37</v>
      </c>
      <c r="AC3362">
        <v>-21.3292</v>
      </c>
      <c r="AD3362">
        <v>-1.1091402067030001</v>
      </c>
      <c r="AE3362">
        <v>0.90489999999999704</v>
      </c>
      <c r="AF3362">
        <v>0.318296345510167</v>
      </c>
      <c r="AG3362">
        <v>-1.1091402067030001</v>
      </c>
      <c r="AH3362">
        <v>21.2885379051237</v>
      </c>
      <c r="AI3362">
        <v>92.982100677426203</v>
      </c>
      <c r="AJ3362">
        <v>89.143403903923499</v>
      </c>
      <c r="AK3362">
        <v>21.319787773324101</v>
      </c>
      <c r="AL3362">
        <v>78.320548181863401</v>
      </c>
      <c r="AM3362">
        <v>93.595484207689395</v>
      </c>
      <c r="AN3362">
        <v>0.99999999857312605</v>
      </c>
    </row>
    <row r="3363" spans="1:40" x14ac:dyDescent="0.25">
      <c r="A3363" t="str">
        <f>"20190304155438833"</f>
        <v>20190304155438833</v>
      </c>
      <c r="B3363" t="str">
        <f>"1551686078830322"</f>
        <v>1551686078830322</v>
      </c>
      <c r="C3363" t="s">
        <v>40</v>
      </c>
      <c r="D3363">
        <v>4.6479980000000003</v>
      </c>
      <c r="E3363">
        <v>0.52273259999999999</v>
      </c>
      <c r="F3363" t="s">
        <v>62</v>
      </c>
      <c r="G3363">
        <v>-287.93860000000001</v>
      </c>
      <c r="H3363" s="1">
        <v>-8.7106749999999994E-6</v>
      </c>
      <c r="I3363">
        <v>142.82689999999999</v>
      </c>
      <c r="J3363">
        <v>-262.49459999999999</v>
      </c>
      <c r="K3363">
        <v>1.109148</v>
      </c>
      <c r="L3363">
        <v>141.94810000000001</v>
      </c>
      <c r="M3363">
        <v>-0.99955640000000001</v>
      </c>
      <c r="N3363">
        <v>-1.0088440000000001E-2</v>
      </c>
      <c r="O3363">
        <v>2.8022849999999998E-2</v>
      </c>
      <c r="P3363">
        <v>-0.98054439999999998</v>
      </c>
      <c r="Q3363">
        <v>0.19299350000000001</v>
      </c>
      <c r="R3363">
        <v>-3.5868709999999998E-2</v>
      </c>
      <c r="S3363">
        <v>-3.0889280000000001</v>
      </c>
      <c r="T3363">
        <v>-0.13287639999999901</v>
      </c>
      <c r="U3363">
        <v>0.1064606</v>
      </c>
      <c r="V3363">
        <v>-6.3007670000000002E-2</v>
      </c>
      <c r="W3363">
        <v>0.20296320000000001</v>
      </c>
      <c r="X3363">
        <v>0.9771571</v>
      </c>
      <c r="Y3363">
        <v>6.4314100000000003E-3</v>
      </c>
      <c r="Z3363">
        <v>-7.509932E-4</v>
      </c>
      <c r="AA3363">
        <v>0.99997899999999995</v>
      </c>
      <c r="AB3363">
        <v>37</v>
      </c>
      <c r="AC3363">
        <v>-25.443999999999999</v>
      </c>
      <c r="AD3363">
        <v>-1.109156710675</v>
      </c>
      <c r="AE3363">
        <v>0.87879999999998404</v>
      </c>
      <c r="AF3363">
        <v>0.165091836817196</v>
      </c>
      <c r="AG3363">
        <v>-1.109156710675</v>
      </c>
      <c r="AH3363">
        <v>25.410405352168301</v>
      </c>
      <c r="AI3363">
        <v>92.499304687660995</v>
      </c>
      <c r="AJ3363">
        <v>89.627753581218599</v>
      </c>
      <c r="AK3363">
        <v>25.435136800986999</v>
      </c>
      <c r="AL3363">
        <v>78.289707515939597</v>
      </c>
      <c r="AM3363">
        <v>93.689358399884199</v>
      </c>
      <c r="AN3363">
        <v>1.0000000125567301</v>
      </c>
    </row>
    <row r="3364" spans="1:40" x14ac:dyDescent="0.25">
      <c r="A3364" t="str">
        <f>"20190304155438859"</f>
        <v>20190304155438859</v>
      </c>
      <c r="B3364" t="str">
        <f>"1551686078850818"</f>
        <v>1551686078850818</v>
      </c>
      <c r="C3364" t="s">
        <v>40</v>
      </c>
      <c r="D3364">
        <v>4.5958430000000003</v>
      </c>
      <c r="E3364">
        <v>0.52126720000000004</v>
      </c>
      <c r="F3364" t="s">
        <v>62</v>
      </c>
      <c r="G3364">
        <v>-290.61520000000002</v>
      </c>
      <c r="H3364" s="1">
        <v>-9.7319439999999995E-6</v>
      </c>
      <c r="I3364">
        <v>142.78489999999999</v>
      </c>
      <c r="J3364">
        <v>-262.91879999999998</v>
      </c>
      <c r="K3364">
        <v>1.1091709999999999</v>
      </c>
      <c r="L3364">
        <v>141.9606</v>
      </c>
      <c r="M3364">
        <v>-0.99953689999999995</v>
      </c>
      <c r="N3364">
        <v>-1.0094759999999999E-2</v>
      </c>
      <c r="O3364">
        <v>2.8706570000000001E-2</v>
      </c>
      <c r="P3364">
        <v>-0.98053170000000001</v>
      </c>
      <c r="Q3364">
        <v>0.19314410000000001</v>
      </c>
      <c r="R3364">
        <v>-3.540488E-2</v>
      </c>
      <c r="S3364">
        <v>-3.0868530000000001</v>
      </c>
      <c r="T3364">
        <v>-0.121754399999999</v>
      </c>
      <c r="U3364">
        <v>9.1857910000000001E-2</v>
      </c>
      <c r="V3364">
        <v>-6.3225539999999997E-2</v>
      </c>
      <c r="W3364">
        <v>0.20311589999999999</v>
      </c>
      <c r="X3364">
        <v>0.97711130000000002</v>
      </c>
      <c r="Y3364">
        <v>1.048343E-3</v>
      </c>
      <c r="Z3364">
        <v>-8.1567869999999896E-4</v>
      </c>
      <c r="AA3364">
        <v>0.99999910000000003</v>
      </c>
      <c r="AB3364">
        <v>37</v>
      </c>
      <c r="AC3364">
        <v>-27.696400000000001</v>
      </c>
      <c r="AD3364">
        <v>-1.1091807319439999</v>
      </c>
      <c r="AE3364">
        <v>0.82429999999999304</v>
      </c>
      <c r="AF3364">
        <v>2.8804934291644199E-2</v>
      </c>
      <c r="AG3364">
        <v>-1.1091807319439999</v>
      </c>
      <c r="AH3364">
        <v>27.6643191054537</v>
      </c>
      <c r="AI3364">
        <v>92.296001532215001</v>
      </c>
      <c r="AJ3364">
        <v>89.940341905349698</v>
      </c>
      <c r="AK3364">
        <v>27.6865610574648</v>
      </c>
      <c r="AL3364">
        <v>78.280772366498198</v>
      </c>
      <c r="AM3364">
        <v>93.702253213369801</v>
      </c>
      <c r="AN3364">
        <v>1.00000001516439</v>
      </c>
    </row>
    <row r="3365" spans="1:40" x14ac:dyDescent="0.25">
      <c r="A3365" t="str">
        <f>"20190304155438881"</f>
        <v>20190304155438881</v>
      </c>
      <c r="B3365" t="str">
        <f>"1551686078870338"</f>
        <v>1551686078870338</v>
      </c>
      <c r="C3365" t="s">
        <v>40</v>
      </c>
      <c r="D3365">
        <v>4.5963029999999998</v>
      </c>
      <c r="E3365">
        <v>0.52033890000000005</v>
      </c>
      <c r="F3365" t="s">
        <v>62</v>
      </c>
      <c r="G3365">
        <v>-293.29289999999997</v>
      </c>
      <c r="H3365" s="1">
        <v>-9.4646290000000001E-6</v>
      </c>
      <c r="I3365">
        <v>142.75909999999999</v>
      </c>
      <c r="J3365">
        <v>-263.27140000000003</v>
      </c>
      <c r="K3365">
        <v>1.1091979999999999</v>
      </c>
      <c r="L3365">
        <v>141.97120000000001</v>
      </c>
      <c r="M3365">
        <v>-0.99952180000000002</v>
      </c>
      <c r="N3365">
        <v>-1.0099800000000001E-2</v>
      </c>
      <c r="O3365">
        <v>2.9229649999999999E-2</v>
      </c>
      <c r="P3365">
        <v>-0.98046279999999997</v>
      </c>
      <c r="Q3365">
        <v>0.19346530000000001</v>
      </c>
      <c r="R3365">
        <v>-3.5556030000000002E-2</v>
      </c>
      <c r="S3365">
        <v>-3.084686</v>
      </c>
      <c r="T3365">
        <v>-0.11264440000000001</v>
      </c>
      <c r="U3365">
        <v>8.1085210000000005E-2</v>
      </c>
      <c r="V3365">
        <v>-6.3902349999999997E-2</v>
      </c>
      <c r="W3365">
        <v>0.2034376</v>
      </c>
      <c r="X3365">
        <v>0.97700030000000004</v>
      </c>
      <c r="Y3365">
        <v>-2.942301E-3</v>
      </c>
      <c r="Z3365">
        <v>-8.4003619999999904E-4</v>
      </c>
      <c r="AA3365">
        <v>0.99999530000000003</v>
      </c>
      <c r="AB3365">
        <v>37</v>
      </c>
      <c r="AC3365">
        <v>-30.0214999999999</v>
      </c>
      <c r="AD3365">
        <v>-1.109207464629</v>
      </c>
      <c r="AE3365">
        <v>0.78789999999997895</v>
      </c>
      <c r="AF3365">
        <v>-8.9876687105392594E-2</v>
      </c>
      <c r="AG3365">
        <v>-1.109207464629</v>
      </c>
      <c r="AH3365">
        <v>29.9907904931659</v>
      </c>
      <c r="AI3365">
        <v>92.118105803649499</v>
      </c>
      <c r="AJ3365">
        <v>90.171704024713506</v>
      </c>
      <c r="AK3365">
        <v>30.011430046291402</v>
      </c>
      <c r="AL3365">
        <v>78.261946814767299</v>
      </c>
      <c r="AM3365">
        <v>93.742196610637606</v>
      </c>
      <c r="AN3365">
        <v>0.999999976814686</v>
      </c>
    </row>
    <row r="3366" spans="1:40" x14ac:dyDescent="0.25">
      <c r="A3366" t="str">
        <f>"20190304155438902"</f>
        <v>20190304155438902</v>
      </c>
      <c r="B3366" t="str">
        <f>"1551686078890838"</f>
        <v>1551686078890838</v>
      </c>
      <c r="C3366" t="s">
        <v>40</v>
      </c>
      <c r="D3366">
        <v>4.5483580000000003</v>
      </c>
      <c r="E3366">
        <v>0.51967099999999999</v>
      </c>
      <c r="F3366" t="s">
        <v>62</v>
      </c>
      <c r="G3366">
        <v>-295.01159999999999</v>
      </c>
      <c r="H3366" s="1">
        <v>-9.3041189999999999E-6</v>
      </c>
      <c r="I3366">
        <v>142.72290000000001</v>
      </c>
      <c r="J3366">
        <v>-263.63319999999999</v>
      </c>
      <c r="K3366">
        <v>1.109232</v>
      </c>
      <c r="L3366">
        <v>141.98230000000001</v>
      </c>
      <c r="M3366">
        <v>-0.99950740000000005</v>
      </c>
      <c r="N3366">
        <v>-1.010489E-2</v>
      </c>
      <c r="O3366">
        <v>2.971215E-2</v>
      </c>
      <c r="P3366">
        <v>-0.98059830000000003</v>
      </c>
      <c r="Q3366">
        <v>0.192857</v>
      </c>
      <c r="R3366">
        <v>-3.5116540000000002E-2</v>
      </c>
      <c r="S3366">
        <v>-3.0836489999999999</v>
      </c>
      <c r="T3366">
        <v>-0.1077625</v>
      </c>
      <c r="U3366">
        <v>7.3028560000000006E-2</v>
      </c>
      <c r="V3366">
        <v>-6.3960909999999996E-2</v>
      </c>
      <c r="W3366">
        <v>0.2028288</v>
      </c>
      <c r="X3366">
        <v>0.97712310000000002</v>
      </c>
      <c r="Y3366">
        <v>-6.026025E-3</v>
      </c>
      <c r="Z3366">
        <v>-8.7317739999999997E-4</v>
      </c>
      <c r="AA3366">
        <v>0.99998149999999997</v>
      </c>
      <c r="AB3366">
        <v>37</v>
      </c>
      <c r="AC3366">
        <v>-31.378399999999999</v>
      </c>
      <c r="AD3366">
        <v>-1.1092413041189999</v>
      </c>
      <c r="AE3366">
        <v>0.74060000000000004</v>
      </c>
      <c r="AF3366">
        <v>-0.19185473921549501</v>
      </c>
      <c r="AG3366">
        <v>-1.1092413041189999</v>
      </c>
      <c r="AH3366">
        <v>31.347399201451498</v>
      </c>
      <c r="AI3366">
        <v>92.026552493699</v>
      </c>
      <c r="AJ3366">
        <v>90.350661613677701</v>
      </c>
      <c r="AK3366">
        <v>31.3676052832678</v>
      </c>
      <c r="AL3366">
        <v>78.297571922297706</v>
      </c>
      <c r="AM3366">
        <v>93.745146804411405</v>
      </c>
      <c r="AN3366">
        <v>1.0000000363355299</v>
      </c>
    </row>
    <row r="3367" spans="1:40" x14ac:dyDescent="0.25">
      <c r="A3367" t="str">
        <f>"20190304155438924"</f>
        <v>20190304155438924</v>
      </c>
      <c r="B3367" t="str">
        <f>"1551686078921090"</f>
        <v>1551686078921090</v>
      </c>
      <c r="C3367" t="s">
        <v>40</v>
      </c>
      <c r="D3367">
        <v>4.5112319999999997</v>
      </c>
      <c r="E3367">
        <v>0.51893809999999996</v>
      </c>
      <c r="F3367" t="s">
        <v>62</v>
      </c>
      <c r="G3367">
        <v>-295.99009999999998</v>
      </c>
      <c r="H3367" s="1">
        <v>-9.2140539999999996E-6</v>
      </c>
      <c r="I3367">
        <v>142.7073</v>
      </c>
      <c r="J3367">
        <v>-263.98939999999999</v>
      </c>
      <c r="K3367">
        <v>1.1092770000000001</v>
      </c>
      <c r="L3367">
        <v>141.9932</v>
      </c>
      <c r="M3367">
        <v>-0.99949500000000002</v>
      </c>
      <c r="N3367">
        <v>-1.010992E-2</v>
      </c>
      <c r="O3367">
        <v>3.0123879999999999E-2</v>
      </c>
      <c r="P3367">
        <v>-0.98083200000000004</v>
      </c>
      <c r="Q3367">
        <v>0.19177089999999999</v>
      </c>
      <c r="R3367">
        <v>-3.4537209999999999E-2</v>
      </c>
      <c r="S3367">
        <v>-3.0826419999999999</v>
      </c>
      <c r="T3367">
        <v>-0.1056777</v>
      </c>
      <c r="U3367">
        <v>6.9076540000000006E-2</v>
      </c>
      <c r="V3367">
        <v>-6.3817579999999999E-2</v>
      </c>
      <c r="W3367">
        <v>0.20174210000000001</v>
      </c>
      <c r="X3367">
        <v>0.97735740000000004</v>
      </c>
      <c r="Y3367">
        <v>-7.7107749999999996E-3</v>
      </c>
      <c r="Z3367">
        <v>-8.9865129999999998E-4</v>
      </c>
      <c r="AA3367">
        <v>0.99996980000000002</v>
      </c>
      <c r="AB3367">
        <v>37</v>
      </c>
      <c r="AC3367">
        <v>-32.000699999999902</v>
      </c>
      <c r="AD3367">
        <v>-1.1092862140539901</v>
      </c>
      <c r="AE3367">
        <v>0.71410000000000196</v>
      </c>
      <c r="AF3367">
        <v>-0.24995846150425399</v>
      </c>
      <c r="AG3367">
        <v>-1.1092862140539901</v>
      </c>
      <c r="AH3367">
        <v>31.969292372684201</v>
      </c>
      <c r="AI3367">
        <v>91.987219120538299</v>
      </c>
      <c r="AJ3367">
        <v>90.447969661184004</v>
      </c>
      <c r="AK3367">
        <v>31.989508435537601</v>
      </c>
      <c r="AL3367">
        <v>78.361149455181902</v>
      </c>
      <c r="AM3367">
        <v>93.735884836535604</v>
      </c>
      <c r="AN3367">
        <v>1.00000002288211</v>
      </c>
    </row>
    <row r="3368" spans="1:40" x14ac:dyDescent="0.25">
      <c r="A3368" t="str">
        <f>"20190304155438945"</f>
        <v>20190304155438945</v>
      </c>
      <c r="B3368" t="str">
        <f>"1551686078940610"</f>
        <v>1551686078940610</v>
      </c>
      <c r="C3368" t="s">
        <v>40</v>
      </c>
      <c r="D3368">
        <v>4.5421649999999998</v>
      </c>
      <c r="E3368">
        <v>0.51832049999999996</v>
      </c>
      <c r="F3368" t="s">
        <v>62</v>
      </c>
      <c r="G3368">
        <v>-297.67450000000002</v>
      </c>
      <c r="H3368" s="1">
        <v>-9.0662559999999995E-6</v>
      </c>
      <c r="I3368">
        <v>142.708</v>
      </c>
      <c r="J3368">
        <v>-264.3553</v>
      </c>
      <c r="K3368">
        <v>1.109324</v>
      </c>
      <c r="L3368">
        <v>142.00460000000001</v>
      </c>
      <c r="M3368">
        <v>-0.99948380000000003</v>
      </c>
      <c r="N3368">
        <v>-1.011511E-2</v>
      </c>
      <c r="O3368">
        <v>3.0492330000000002E-2</v>
      </c>
      <c r="P3368">
        <v>-0.98100319999999996</v>
      </c>
      <c r="Q3368">
        <v>0.19100819999999999</v>
      </c>
      <c r="R3368">
        <v>-3.3896519999999999E-2</v>
      </c>
      <c r="S3368">
        <v>-3.0807799999999999</v>
      </c>
      <c r="T3368">
        <v>-0.10145319999999999</v>
      </c>
      <c r="U3368">
        <v>6.536865E-2</v>
      </c>
      <c r="V3368">
        <v>-6.3568169999999993E-2</v>
      </c>
      <c r="W3368">
        <v>0.2009784</v>
      </c>
      <c r="X3368">
        <v>0.97753100000000004</v>
      </c>
      <c r="Y3368">
        <v>-9.2689599999999997E-3</v>
      </c>
      <c r="Z3368">
        <v>-8.9461199999999895E-4</v>
      </c>
      <c r="AA3368">
        <v>0.99995670000000003</v>
      </c>
      <c r="AB3368">
        <v>37</v>
      </c>
      <c r="AC3368">
        <v>-33.319200000000002</v>
      </c>
      <c r="AD3368">
        <v>-1.1093330662559999</v>
      </c>
      <c r="AE3368">
        <v>0.70339999999998704</v>
      </c>
      <c r="AF3368">
        <v>-0.31261277695585699</v>
      </c>
      <c r="AG3368">
        <v>-1.1093330662559999</v>
      </c>
      <c r="AH3368">
        <v>33.288270881914698</v>
      </c>
      <c r="AI3368">
        <v>91.908593874624501</v>
      </c>
      <c r="AJ3368">
        <v>90.538053366709406</v>
      </c>
      <c r="AK3368">
        <v>33.308217077891399</v>
      </c>
      <c r="AL3368">
        <v>78.405821476454307</v>
      </c>
      <c r="AM3368">
        <v>93.720666452080806</v>
      </c>
      <c r="AN3368">
        <v>1.0000000427323501</v>
      </c>
    </row>
    <row r="3369" spans="1:40" x14ac:dyDescent="0.25">
      <c r="A3369" t="str">
        <f>"20190304155438967"</f>
        <v>20190304155438967</v>
      </c>
      <c r="B3369" t="str">
        <f>"1551686078960130"</f>
        <v>1551686078960130</v>
      </c>
      <c r="C3369" t="s">
        <v>40</v>
      </c>
      <c r="D3369">
        <v>4.5283309999999997</v>
      </c>
      <c r="E3369">
        <v>0.51781390000000005</v>
      </c>
      <c r="F3369" t="s">
        <v>62</v>
      </c>
      <c r="G3369">
        <v>-298.2149</v>
      </c>
      <c r="H3369" s="1">
        <v>-9.0141439999999993E-6</v>
      </c>
      <c r="I3369">
        <v>142.69040000000001</v>
      </c>
      <c r="J3369">
        <v>-264.72809999999998</v>
      </c>
      <c r="K3369">
        <v>1.1093679999999999</v>
      </c>
      <c r="L3369">
        <v>142.0163</v>
      </c>
      <c r="M3369">
        <v>-0.99947410000000003</v>
      </c>
      <c r="N3369">
        <v>-1.0120489999999999E-2</v>
      </c>
      <c r="O3369">
        <v>3.080896E-2</v>
      </c>
      <c r="P3369">
        <v>-0.98106689999999996</v>
      </c>
      <c r="Q3369">
        <v>0.19084899999999999</v>
      </c>
      <c r="R3369">
        <v>-3.2932799999999998E-2</v>
      </c>
      <c r="S3369">
        <v>-3.079895</v>
      </c>
      <c r="T3369">
        <v>-0.1009055</v>
      </c>
      <c r="U3369">
        <v>6.2377929999999998E-2</v>
      </c>
      <c r="V3369">
        <v>-6.294197E-2</v>
      </c>
      <c r="W3369">
        <v>0.20081679999999999</v>
      </c>
      <c r="X3369">
        <v>0.97760469999999999</v>
      </c>
      <c r="Y3369">
        <v>-1.054943E-2</v>
      </c>
      <c r="Z3369">
        <v>-9.2318749999999996E-4</v>
      </c>
      <c r="AA3369">
        <v>0.9999439</v>
      </c>
      <c r="AB3369">
        <v>37</v>
      </c>
      <c r="AC3369">
        <v>-33.486800000000002</v>
      </c>
      <c r="AD3369">
        <v>-1.109377014144</v>
      </c>
      <c r="AE3369">
        <v>0.67410000000000903</v>
      </c>
      <c r="AF3369">
        <v>-0.357574022586715</v>
      </c>
      <c r="AG3369">
        <v>-1.109377014144</v>
      </c>
      <c r="AH3369">
        <v>33.454968775783001</v>
      </c>
      <c r="AI3369">
        <v>91.899141269684193</v>
      </c>
      <c r="AJ3369">
        <v>90.612366503723507</v>
      </c>
      <c r="AK3369">
        <v>33.475267173388701</v>
      </c>
      <c r="AL3369">
        <v>78.415272836652093</v>
      </c>
      <c r="AM3369">
        <v>93.683839220363296</v>
      </c>
      <c r="AN3369">
        <v>1.0000000141059</v>
      </c>
    </row>
    <row r="3370" spans="1:40" x14ac:dyDescent="0.25">
      <c r="A3370" t="str">
        <f>"20190304155438991"</f>
        <v>20190304155438991</v>
      </c>
      <c r="B3370" t="str">
        <f>"1551686078980629"</f>
        <v>1551686078980629</v>
      </c>
      <c r="C3370" t="s">
        <v>40</v>
      </c>
      <c r="D3370">
        <v>4.550433</v>
      </c>
      <c r="E3370">
        <v>0.51736490000000002</v>
      </c>
      <c r="F3370" t="s">
        <v>62</v>
      </c>
      <c r="G3370">
        <v>-299.27640000000002</v>
      </c>
      <c r="H3370" s="1">
        <v>-8.9246790000000003E-6</v>
      </c>
      <c r="I3370">
        <v>142.7047</v>
      </c>
      <c r="J3370">
        <v>-265.12119999999999</v>
      </c>
      <c r="K3370">
        <v>1.1094139999999999</v>
      </c>
      <c r="L3370">
        <v>142.02860000000001</v>
      </c>
      <c r="M3370">
        <v>-0.99946570000000001</v>
      </c>
      <c r="N3370">
        <v>-1.0126039999999999E-2</v>
      </c>
      <c r="O3370">
        <v>3.1075729999999999E-2</v>
      </c>
      <c r="P3370">
        <v>-0.98107310000000003</v>
      </c>
      <c r="Q3370">
        <v>0.19089100000000001</v>
      </c>
      <c r="R3370">
        <v>-3.2495870000000003E-2</v>
      </c>
      <c r="S3370">
        <v>-3.0791930000000001</v>
      </c>
      <c r="T3370">
        <v>-9.8875879999999999E-2</v>
      </c>
      <c r="U3370">
        <v>6.1355590000000002E-2</v>
      </c>
      <c r="V3370">
        <v>-6.2792730000000005E-2</v>
      </c>
      <c r="W3370">
        <v>0.20085649999999999</v>
      </c>
      <c r="X3370">
        <v>0.97760610000000003</v>
      </c>
      <c r="Y3370">
        <v>-1.114382E-2</v>
      </c>
      <c r="Z3370">
        <v>-9.1796330000000004E-4</v>
      </c>
      <c r="AA3370">
        <v>0.99993750000000003</v>
      </c>
      <c r="AB3370">
        <v>37</v>
      </c>
      <c r="AC3370">
        <v>-34.155200000000001</v>
      </c>
      <c r="AD3370">
        <v>-1.1094229246789999</v>
      </c>
      <c r="AE3370">
        <v>0.67609999999999004</v>
      </c>
      <c r="AF3370">
        <v>-0.38527247237923601</v>
      </c>
      <c r="AG3370">
        <v>-1.1094229246789999</v>
      </c>
      <c r="AH3370">
        <v>34.123725085647898</v>
      </c>
      <c r="AI3370">
        <v>91.862013072069502</v>
      </c>
      <c r="AJ3370">
        <v>90.6468680857284</v>
      </c>
      <c r="AK3370">
        <v>34.143928711041099</v>
      </c>
      <c r="AL3370">
        <v>78.412950408538904</v>
      </c>
      <c r="AM3370">
        <v>93.675123287177399</v>
      </c>
      <c r="AN3370">
        <v>0.99999997364515603</v>
      </c>
    </row>
    <row r="3371" spans="1:40" x14ac:dyDescent="0.25">
      <c r="A3371" t="str">
        <f>"20190304155439011"</f>
        <v>20190304155439011</v>
      </c>
      <c r="B3371" t="str">
        <f>"1551686079000149"</f>
        <v>1551686079000149</v>
      </c>
      <c r="C3371" t="s">
        <v>40</v>
      </c>
      <c r="D3371">
        <v>4.5236780000000003</v>
      </c>
      <c r="E3371">
        <v>0.51710670000000003</v>
      </c>
      <c r="F3371" t="s">
        <v>62</v>
      </c>
      <c r="G3371">
        <v>-300.22059999999999</v>
      </c>
      <c r="H3371" s="1">
        <v>-8.9119459999999993E-6</v>
      </c>
      <c r="I3371">
        <v>142.70660000000001</v>
      </c>
      <c r="J3371">
        <v>-265.47460000000001</v>
      </c>
      <c r="K3371">
        <v>1.109469</v>
      </c>
      <c r="L3371">
        <v>142.03980000000001</v>
      </c>
      <c r="M3371">
        <v>-0.99946020000000002</v>
      </c>
      <c r="N3371">
        <v>-1.0131050000000001E-2</v>
      </c>
      <c r="O3371">
        <v>3.1257E-2</v>
      </c>
      <c r="P3371">
        <v>-0.98110430000000004</v>
      </c>
      <c r="Q3371">
        <v>0.1907876</v>
      </c>
      <c r="R3371">
        <v>-3.2168919999999997E-2</v>
      </c>
      <c r="S3371">
        <v>-3.0787659999999999</v>
      </c>
      <c r="T3371">
        <v>-9.7313520000000001E-2</v>
      </c>
      <c r="U3371">
        <v>5.9463500000000002E-2</v>
      </c>
      <c r="V3371">
        <v>-6.2668269999999998E-2</v>
      </c>
      <c r="W3371">
        <v>0.20075000000000001</v>
      </c>
      <c r="X3371">
        <v>0.97763599999999995</v>
      </c>
      <c r="Y3371">
        <v>-1.193667E-2</v>
      </c>
      <c r="Z3371">
        <v>-9.1985739999999997E-4</v>
      </c>
      <c r="AA3371">
        <v>0.99992840000000005</v>
      </c>
      <c r="AB3371">
        <v>37</v>
      </c>
      <c r="AC3371">
        <v>-34.745999999999903</v>
      </c>
      <c r="AD3371">
        <v>-1.1094779119460001</v>
      </c>
      <c r="AE3371">
        <v>0.66679999999999495</v>
      </c>
      <c r="AF3371">
        <v>-0.419209860509619</v>
      </c>
      <c r="AG3371">
        <v>-1.1094779119460001</v>
      </c>
      <c r="AH3371">
        <v>34.714482245148098</v>
      </c>
      <c r="AI3371">
        <v>91.830421692688006</v>
      </c>
      <c r="AJ3371">
        <v>90.691866527715007</v>
      </c>
      <c r="AK3371">
        <v>34.734737017759997</v>
      </c>
      <c r="AL3371">
        <v>78.4191797262732</v>
      </c>
      <c r="AM3371">
        <v>93.667746944478495</v>
      </c>
      <c r="AN3371">
        <v>1.00000001153039</v>
      </c>
    </row>
    <row r="3372" spans="1:40" x14ac:dyDescent="0.25">
      <c r="A3372" t="str">
        <f>"20190304155439035"</f>
        <v>20190304155439035</v>
      </c>
      <c r="B3372" t="str">
        <f>"1551686079030404"</f>
        <v>1551686079030404</v>
      </c>
      <c r="C3372" t="s">
        <v>40</v>
      </c>
      <c r="D3372">
        <v>4.4839200000000003</v>
      </c>
      <c r="E3372">
        <v>0.51682220000000001</v>
      </c>
      <c r="F3372" t="s">
        <v>62</v>
      </c>
      <c r="G3372">
        <v>-300.96660000000003</v>
      </c>
      <c r="H3372" s="1">
        <v>-9.0467129999999999E-6</v>
      </c>
      <c r="I3372">
        <v>142.7159</v>
      </c>
      <c r="J3372">
        <v>-265.86239999999998</v>
      </c>
      <c r="K3372">
        <v>1.1095269999999999</v>
      </c>
      <c r="L3372">
        <v>142.0521</v>
      </c>
      <c r="M3372">
        <v>-0.9994556</v>
      </c>
      <c r="N3372">
        <v>-1.0136539999999999E-2</v>
      </c>
      <c r="O3372">
        <v>3.1397179999999997E-2</v>
      </c>
      <c r="P3372">
        <v>-0.98101590000000005</v>
      </c>
      <c r="Q3372">
        <v>0.19127</v>
      </c>
      <c r="R3372">
        <v>-3.1998569999999997E-2</v>
      </c>
      <c r="S3372">
        <v>-3.0784609999999999</v>
      </c>
      <c r="T3372">
        <v>-9.6232769999999995E-2</v>
      </c>
      <c r="U3372">
        <v>5.8639530000000002E-2</v>
      </c>
      <c r="V3372">
        <v>-6.2659199999999998E-2</v>
      </c>
      <c r="W3372">
        <v>0.2012284</v>
      </c>
      <c r="X3372">
        <v>0.97753820000000002</v>
      </c>
      <c r="Y3372">
        <v>-1.234264E-2</v>
      </c>
      <c r="Z3372">
        <v>-9.1813949999999995E-4</v>
      </c>
      <c r="AA3372">
        <v>0.99992340000000002</v>
      </c>
      <c r="AB3372">
        <v>37</v>
      </c>
      <c r="AC3372">
        <v>-35.104199999999999</v>
      </c>
      <c r="AD3372">
        <v>-1.109536046713</v>
      </c>
      <c r="AE3372">
        <v>0.66380000000000905</v>
      </c>
      <c r="AF3372">
        <v>-0.438319070747274</v>
      </c>
      <c r="AG3372">
        <v>-1.109536046713</v>
      </c>
      <c r="AH3372">
        <v>35.072708867170803</v>
      </c>
      <c r="AI3372">
        <v>91.811824097120905</v>
      </c>
      <c r="AJ3372">
        <v>90.716013284720503</v>
      </c>
      <c r="AK3372">
        <v>35.092992193998803</v>
      </c>
      <c r="AL3372">
        <v>78.391198151304295</v>
      </c>
      <c r="AM3372">
        <v>93.667583452538594</v>
      </c>
      <c r="AN3372">
        <v>0.99999998838521997</v>
      </c>
    </row>
    <row r="3373" spans="1:40" x14ac:dyDescent="0.25">
      <c r="A3373" t="str">
        <f>"20190304155439058"</f>
        <v>20190304155439058</v>
      </c>
      <c r="B3373" t="str">
        <f>"1551686079050898"</f>
        <v>1551686079050898</v>
      </c>
      <c r="C3373" t="s">
        <v>40</v>
      </c>
      <c r="D3373">
        <v>4.5193820000000002</v>
      </c>
      <c r="E3373">
        <v>0.51673709999999995</v>
      </c>
      <c r="F3373" t="s">
        <v>62</v>
      </c>
      <c r="G3373">
        <v>-303.31369999999998</v>
      </c>
      <c r="H3373" s="1">
        <v>-9.4633540000000007E-6</v>
      </c>
      <c r="I3373">
        <v>142.74600000000001</v>
      </c>
      <c r="J3373">
        <v>-266.24650000000003</v>
      </c>
      <c r="K3373">
        <v>1.109578</v>
      </c>
      <c r="L3373">
        <v>142.0642</v>
      </c>
      <c r="M3373">
        <v>-0.99945269999999997</v>
      </c>
      <c r="N3373">
        <v>-1.0141860000000001E-2</v>
      </c>
      <c r="O3373">
        <v>3.1486779999999999E-2</v>
      </c>
      <c r="P3373">
        <v>-0.98099610000000004</v>
      </c>
      <c r="Q3373">
        <v>0.1913958</v>
      </c>
      <c r="R3373">
        <v>-3.1847830000000001E-2</v>
      </c>
      <c r="S3373">
        <v>-3.0776669999999999</v>
      </c>
      <c r="T3373">
        <v>-9.1179250000000003E-2</v>
      </c>
      <c r="U3373">
        <v>5.7022089999999998E-2</v>
      </c>
      <c r="V3373">
        <v>-6.2621679999999999E-2</v>
      </c>
      <c r="W3373">
        <v>0.20135159999999999</v>
      </c>
      <c r="X3373">
        <v>0.97751520000000003</v>
      </c>
      <c r="Y3373">
        <v>-1.295407E-2</v>
      </c>
      <c r="Z3373">
        <v>-8.705764E-4</v>
      </c>
      <c r="AA3373">
        <v>0.99991569999999996</v>
      </c>
      <c r="AB3373">
        <v>37</v>
      </c>
      <c r="AC3373">
        <v>-37.0671999999999</v>
      </c>
      <c r="AD3373">
        <v>-1.1095874633539999</v>
      </c>
      <c r="AE3373">
        <v>0.68180000000000895</v>
      </c>
      <c r="AF3373">
        <v>-0.48529019935214701</v>
      </c>
      <c r="AG3373">
        <v>-1.1095874633539999</v>
      </c>
      <c r="AH3373">
        <v>37.037111070550097</v>
      </c>
      <c r="AI3373">
        <v>91.715852430820604</v>
      </c>
      <c r="AJ3373">
        <v>90.750692707845502</v>
      </c>
      <c r="AK3373">
        <v>37.056906068487201</v>
      </c>
      <c r="AL3373">
        <v>78.383991403746506</v>
      </c>
      <c r="AM3373">
        <v>93.665479319666204</v>
      </c>
      <c r="AN3373">
        <v>0.99999995392981</v>
      </c>
    </row>
    <row r="3374" spans="1:40" x14ac:dyDescent="0.25">
      <c r="A3374" t="str">
        <f>"20190304155439082"</f>
        <v>20190304155439082</v>
      </c>
      <c r="B3374" t="str">
        <f>"1551686079071394"</f>
        <v>1551686079071394</v>
      </c>
      <c r="C3374" t="s">
        <v>40</v>
      </c>
      <c r="D3374">
        <v>4.4963189999999997</v>
      </c>
      <c r="E3374">
        <v>0.51661899999999905</v>
      </c>
      <c r="F3374" t="s">
        <v>62</v>
      </c>
      <c r="G3374">
        <v>-304.94080000000002</v>
      </c>
      <c r="H3374" s="1">
        <v>-9.7067770000000004E-6</v>
      </c>
      <c r="I3374">
        <v>142.77879999999999</v>
      </c>
      <c r="J3374">
        <v>-266.63819999999998</v>
      </c>
      <c r="K3374">
        <v>1.109621</v>
      </c>
      <c r="L3374">
        <v>142.07669999999999</v>
      </c>
      <c r="M3374">
        <v>-0.99945099999999998</v>
      </c>
      <c r="N3374">
        <v>-1.0147379999999999E-2</v>
      </c>
      <c r="O3374">
        <v>3.1541350000000003E-2</v>
      </c>
      <c r="P3374">
        <v>-0.98096870000000003</v>
      </c>
      <c r="Q3374">
        <v>0.1914653</v>
      </c>
      <c r="R3374">
        <v>-3.2272769999999999E-2</v>
      </c>
      <c r="S3374">
        <v>-3.0771480000000002</v>
      </c>
      <c r="T3374">
        <v>-8.823955E-2</v>
      </c>
      <c r="U3374">
        <v>5.6823730000000003E-2</v>
      </c>
      <c r="V3374">
        <v>-6.3120449999999995E-2</v>
      </c>
      <c r="W3374">
        <v>0.2014194</v>
      </c>
      <c r="X3374">
        <v>0.97746920000000004</v>
      </c>
      <c r="Y3374">
        <v>-1.30709E-2</v>
      </c>
      <c r="Z3374">
        <v>-8.3766530000000002E-4</v>
      </c>
      <c r="AA3374">
        <v>0.99991419999999998</v>
      </c>
      <c r="AB3374">
        <v>37</v>
      </c>
      <c r="AC3374">
        <v>-38.302599999999998</v>
      </c>
      <c r="AD3374">
        <v>-1.1096307067769999</v>
      </c>
      <c r="AE3374">
        <v>0.70210000000000095</v>
      </c>
      <c r="AF3374">
        <v>-0.50600267805547905</v>
      </c>
      <c r="AG3374">
        <v>-1.1096307067769999</v>
      </c>
      <c r="AH3374">
        <v>38.273575838498097</v>
      </c>
      <c r="AI3374">
        <v>91.660513814529196</v>
      </c>
      <c r="AJ3374">
        <v>90.757445007216404</v>
      </c>
      <c r="AK3374">
        <v>38.293001011684701</v>
      </c>
      <c r="AL3374">
        <v>78.380026056051804</v>
      </c>
      <c r="AM3374">
        <v>93.694767022338894</v>
      </c>
      <c r="AN3374">
        <v>1.0000000014265999</v>
      </c>
    </row>
    <row r="3375" spans="1:40" x14ac:dyDescent="0.25">
      <c r="A3375" t="str">
        <f>"20190304155439103"</f>
        <v>20190304155439103</v>
      </c>
      <c r="B3375" t="str">
        <f>"1551686079100674"</f>
        <v>1551686079100674</v>
      </c>
      <c r="C3375" t="s">
        <v>40</v>
      </c>
      <c r="D3375">
        <v>4.4989119999999998</v>
      </c>
      <c r="E3375">
        <v>0.5163375</v>
      </c>
      <c r="F3375" t="s">
        <v>62</v>
      </c>
      <c r="G3375">
        <v>-306.26150000000001</v>
      </c>
      <c r="H3375" s="1">
        <v>-9.8974400000000006E-6</v>
      </c>
      <c r="I3375">
        <v>142.78210000000001</v>
      </c>
      <c r="J3375">
        <v>-267.00229999999999</v>
      </c>
      <c r="K3375">
        <v>1.109658</v>
      </c>
      <c r="L3375">
        <v>142.0882</v>
      </c>
      <c r="M3375">
        <v>-0.99945039999999996</v>
      </c>
      <c r="N3375">
        <v>-1.015253E-2</v>
      </c>
      <c r="O3375">
        <v>3.1560640000000001E-2</v>
      </c>
      <c r="P3375">
        <v>-0.98094769999999998</v>
      </c>
      <c r="Q3375">
        <v>0.19147639999999999</v>
      </c>
      <c r="R3375">
        <v>-3.284492E-2</v>
      </c>
      <c r="S3375">
        <v>-3.0767820000000001</v>
      </c>
      <c r="T3375">
        <v>-8.616364E-2</v>
      </c>
      <c r="U3375">
        <v>5.4779050000000003E-2</v>
      </c>
      <c r="V3375">
        <v>-6.3728090000000001E-2</v>
      </c>
      <c r="W3375">
        <v>0.20142969999999999</v>
      </c>
      <c r="X3375">
        <v>0.97742770000000001</v>
      </c>
      <c r="Y3375">
        <v>-1.375258E-2</v>
      </c>
      <c r="Z3375">
        <v>-8.2534939999999999E-4</v>
      </c>
      <c r="AA3375">
        <v>0.99990509999999999</v>
      </c>
      <c r="AB3375">
        <v>38</v>
      </c>
      <c r="AC3375">
        <v>-39.2592</v>
      </c>
      <c r="AD3375">
        <v>-1.1096678974400001</v>
      </c>
      <c r="AE3375">
        <v>0.69390000000001295</v>
      </c>
      <c r="AF3375">
        <v>-0.54511952336236302</v>
      </c>
      <c r="AG3375">
        <v>-1.1096678974400001</v>
      </c>
      <c r="AH3375">
        <v>39.2302096360688</v>
      </c>
      <c r="AI3375">
        <v>91.620083274451503</v>
      </c>
      <c r="AJ3375">
        <v>90.796096639799998</v>
      </c>
      <c r="AK3375">
        <v>39.249686192723502</v>
      </c>
      <c r="AL3375">
        <v>78.379424146225503</v>
      </c>
      <c r="AM3375">
        <v>93.730393326939094</v>
      </c>
      <c r="AN3375">
        <v>1.00000005111221</v>
      </c>
    </row>
    <row r="3376" spans="1:40" x14ac:dyDescent="0.25">
      <c r="A3376" t="str">
        <f>"20190304155439124"</f>
        <v>20190304155439124</v>
      </c>
      <c r="B3376" t="str">
        <f>"1551686079120195"</f>
        <v>1551686079120195</v>
      </c>
      <c r="C3376" t="s">
        <v>40</v>
      </c>
      <c r="D3376">
        <v>4.5232340000000004</v>
      </c>
      <c r="E3376">
        <v>0.51620749999999904</v>
      </c>
      <c r="F3376" t="s">
        <v>62</v>
      </c>
      <c r="G3376">
        <v>-307.34769999999997</v>
      </c>
      <c r="H3376" s="1">
        <v>-1.0046520000000001E-5</v>
      </c>
      <c r="I3376">
        <v>142.75890000000001</v>
      </c>
      <c r="J3376">
        <v>-267.34789999999998</v>
      </c>
      <c r="K3376">
        <v>1.1096889999999999</v>
      </c>
      <c r="L3376">
        <v>142.09909999999999</v>
      </c>
      <c r="M3376">
        <v>-0.99945070000000003</v>
      </c>
      <c r="N3376">
        <v>-1.015744E-2</v>
      </c>
      <c r="O3376">
        <v>3.154825E-2</v>
      </c>
      <c r="P3376">
        <v>-0.98094119999999996</v>
      </c>
      <c r="Q3376">
        <v>0.1913456</v>
      </c>
      <c r="R3376">
        <v>-3.3784809999999998E-2</v>
      </c>
      <c r="S3376">
        <v>-3.076508</v>
      </c>
      <c r="T3376">
        <v>-8.4616899999999995E-2</v>
      </c>
      <c r="U3376">
        <v>5.1147459999999999E-2</v>
      </c>
      <c r="V3376">
        <v>-6.4670839999999993E-2</v>
      </c>
      <c r="W3376">
        <v>0.2012989</v>
      </c>
      <c r="X3376">
        <v>0.9773927</v>
      </c>
      <c r="Y3376">
        <v>-1.491846E-2</v>
      </c>
      <c r="Z3376">
        <v>-8.2776330000000002E-4</v>
      </c>
      <c r="AA3376">
        <v>0.99988840000000001</v>
      </c>
      <c r="AB3376">
        <v>38</v>
      </c>
      <c r="AC3376">
        <v>-39.999799999999901</v>
      </c>
      <c r="AD3376">
        <v>-1.1096990465199901</v>
      </c>
      <c r="AE3376">
        <v>0.65980000000001804</v>
      </c>
      <c r="AF3376">
        <v>-0.60205390443013396</v>
      </c>
      <c r="AG3376">
        <v>-1.1096990465199901</v>
      </c>
      <c r="AH3376">
        <v>39.969949247732998</v>
      </c>
      <c r="AI3376">
        <v>91.590133050214206</v>
      </c>
      <c r="AJ3376">
        <v>90.862961799309204</v>
      </c>
      <c r="AK3376">
        <v>39.989883017383796</v>
      </c>
      <c r="AL3376">
        <v>78.387074874026595</v>
      </c>
      <c r="AM3376">
        <v>93.7855541043145</v>
      </c>
      <c r="AN3376">
        <v>1.0000000273503999</v>
      </c>
    </row>
    <row r="3377" spans="1:40" x14ac:dyDescent="0.25">
      <c r="A3377" t="str">
        <f>"20190304155439146"</f>
        <v>20190304155439146</v>
      </c>
      <c r="B3377" t="str">
        <f>"1551686079140690"</f>
        <v>1551686079140690</v>
      </c>
      <c r="C3377" t="s">
        <v>40</v>
      </c>
      <c r="D3377">
        <v>4.507155</v>
      </c>
      <c r="E3377">
        <v>0.51605559999999995</v>
      </c>
      <c r="F3377" t="s">
        <v>62</v>
      </c>
      <c r="G3377">
        <v>-307.97559999999999</v>
      </c>
      <c r="H3377" s="1">
        <v>-1.0126650000000001E-5</v>
      </c>
      <c r="I3377">
        <v>142.7252</v>
      </c>
      <c r="J3377">
        <v>-267.73660000000001</v>
      </c>
      <c r="K3377">
        <v>1.109718</v>
      </c>
      <c r="L3377">
        <v>142.1113</v>
      </c>
      <c r="M3377">
        <v>-0.99945209999999995</v>
      </c>
      <c r="N3377">
        <v>-1.0162930000000001E-2</v>
      </c>
      <c r="O3377">
        <v>3.1502380000000003E-2</v>
      </c>
      <c r="P3377">
        <v>-0.98097440000000002</v>
      </c>
      <c r="Q3377">
        <v>0.19097239999999999</v>
      </c>
      <c r="R3377">
        <v>-3.4914059999999997E-2</v>
      </c>
      <c r="S3377">
        <v>-3.0763240000000001</v>
      </c>
      <c r="T3377">
        <v>-8.4026340000000005E-2</v>
      </c>
      <c r="U3377">
        <v>4.7409060000000003E-2</v>
      </c>
      <c r="V3377">
        <v>-6.577305E-2</v>
      </c>
      <c r="W3377">
        <v>0.2009252</v>
      </c>
      <c r="X3377">
        <v>0.97739600000000004</v>
      </c>
      <c r="Y3377">
        <v>-1.608594E-2</v>
      </c>
      <c r="Z3377">
        <v>-8.41313E-4</v>
      </c>
      <c r="AA3377">
        <v>0.99987020000000004</v>
      </c>
      <c r="AB3377">
        <v>38</v>
      </c>
      <c r="AC3377">
        <v>-40.238999999999898</v>
      </c>
      <c r="AD3377">
        <v>-1.1097281266500001</v>
      </c>
      <c r="AE3377">
        <v>0.613900000000001</v>
      </c>
      <c r="AF3377">
        <v>-0.65359735356996795</v>
      </c>
      <c r="AG3377">
        <v>-1.1097281266500001</v>
      </c>
      <c r="AH3377">
        <v>40.207793002046998</v>
      </c>
      <c r="AI3377">
        <v>91.580743518673003</v>
      </c>
      <c r="AJ3377">
        <v>90.931288914995207</v>
      </c>
      <c r="AK3377">
        <v>40.228414138654898</v>
      </c>
      <c r="AL3377">
        <v>78.408932412018501</v>
      </c>
      <c r="AM3377">
        <v>93.849867395550802</v>
      </c>
      <c r="AN3377">
        <v>0.99999998545867097</v>
      </c>
    </row>
    <row r="3378" spans="1:40" x14ac:dyDescent="0.25">
      <c r="A3378" t="str">
        <f>"20190304155439168"</f>
        <v>20190304155439168</v>
      </c>
      <c r="B3378" t="str">
        <f>"1551686079160211"</f>
        <v>1551686079160211</v>
      </c>
      <c r="C3378" t="s">
        <v>40</v>
      </c>
      <c r="D3378">
        <v>4.4954330000000002</v>
      </c>
      <c r="E3378">
        <v>0.5158954</v>
      </c>
      <c r="F3378" t="s">
        <v>62</v>
      </c>
      <c r="G3378">
        <v>-308.28449999999998</v>
      </c>
      <c r="H3378" s="1">
        <v>-1.015713E-5</v>
      </c>
      <c r="I3378">
        <v>142.67850000000001</v>
      </c>
      <c r="J3378">
        <v>-268.096</v>
      </c>
      <c r="K3378">
        <v>1.1097520000000001</v>
      </c>
      <c r="L3378">
        <v>142.12260000000001</v>
      </c>
      <c r="M3378">
        <v>-0.99945430000000002</v>
      </c>
      <c r="N3378">
        <v>-1.0168079999999999E-2</v>
      </c>
      <c r="O3378">
        <v>3.1428419999999999E-2</v>
      </c>
      <c r="P3378">
        <v>-0.9810487</v>
      </c>
      <c r="Q3378">
        <v>0.190416</v>
      </c>
      <c r="R3378">
        <v>-3.584706E-2</v>
      </c>
      <c r="S3378">
        <v>-3.0761409999999998</v>
      </c>
      <c r="T3378">
        <v>-8.4188940000000004E-2</v>
      </c>
      <c r="U3378">
        <v>4.3029789999999998E-2</v>
      </c>
      <c r="V3378">
        <v>-6.6653240000000002E-2</v>
      </c>
      <c r="W3378">
        <v>0.20036880000000001</v>
      </c>
      <c r="X3378">
        <v>0.97745059999999995</v>
      </c>
      <c r="Y3378">
        <v>-1.7433420000000002E-2</v>
      </c>
      <c r="Z3378">
        <v>-8.6737610000000003E-4</v>
      </c>
      <c r="AA3378">
        <v>0.99984770000000001</v>
      </c>
      <c r="AB3378">
        <v>38</v>
      </c>
      <c r="AC3378">
        <v>-40.188499999999898</v>
      </c>
      <c r="AD3378">
        <v>-1.10976215713</v>
      </c>
      <c r="AE3378">
        <v>0.55590000000000805</v>
      </c>
      <c r="AF3378">
        <v>-0.70696199946867599</v>
      </c>
      <c r="AG3378">
        <v>-1.10976215713</v>
      </c>
      <c r="AH3378">
        <v>40.155503130060602</v>
      </c>
      <c r="AI3378">
        <v>91.582813252817502</v>
      </c>
      <c r="AJ3378">
        <v>91.008622764712001</v>
      </c>
      <c r="AK3378">
        <v>40.177055628086997</v>
      </c>
      <c r="AL3378">
        <v>78.441473641712193</v>
      </c>
      <c r="AM3378">
        <v>93.901011910536596</v>
      </c>
      <c r="AN3378">
        <v>0.99999999292814801</v>
      </c>
    </row>
    <row r="3379" spans="1:40" x14ac:dyDescent="0.25">
      <c r="A3379" t="str">
        <f>"20190304155439192"</f>
        <v>20190304155439192</v>
      </c>
      <c r="B3379" t="str">
        <f>"1551686079180709"</f>
        <v>1551686079180709</v>
      </c>
      <c r="C3379" t="s">
        <v>40</v>
      </c>
      <c r="D3379">
        <v>4.4712300000000003</v>
      </c>
      <c r="E3379">
        <v>0.51580340000000002</v>
      </c>
      <c r="F3379" t="s">
        <v>62</v>
      </c>
      <c r="G3379">
        <v>-308.29849999999999</v>
      </c>
      <c r="H3379" s="1">
        <v>-1.0147139999999999E-5</v>
      </c>
      <c r="I3379">
        <v>142.63820000000001</v>
      </c>
      <c r="J3379">
        <v>-268.49590000000001</v>
      </c>
      <c r="K3379">
        <v>1.1097980000000001</v>
      </c>
      <c r="L3379">
        <v>142.13509999999999</v>
      </c>
      <c r="M3379">
        <v>-0.99945839999999997</v>
      </c>
      <c r="N3379">
        <v>-1.017391E-2</v>
      </c>
      <c r="O3379">
        <v>3.129974E-2</v>
      </c>
      <c r="P3379">
        <v>-0.9809274</v>
      </c>
      <c r="Q3379">
        <v>0.1908734</v>
      </c>
      <c r="R3379">
        <v>-3.6724960000000001E-2</v>
      </c>
      <c r="S3379">
        <v>-3.0758670000000001</v>
      </c>
      <c r="T3379">
        <v>-8.4907170000000004E-2</v>
      </c>
      <c r="U3379">
        <v>3.9443970000000002E-2</v>
      </c>
      <c r="V3379">
        <v>-6.7422850000000006E-2</v>
      </c>
      <c r="W3379">
        <v>0.2008229</v>
      </c>
      <c r="X3379">
        <v>0.97730459999999997</v>
      </c>
      <c r="Y3379">
        <v>-1.846805E-2</v>
      </c>
      <c r="Z3379">
        <v>-8.9402250000000002E-4</v>
      </c>
      <c r="AA3379">
        <v>0.99982910000000003</v>
      </c>
      <c r="AB3379">
        <v>38</v>
      </c>
      <c r="AC3379">
        <v>-39.802599999999899</v>
      </c>
      <c r="AD3379">
        <v>-1.1098081471400001</v>
      </c>
      <c r="AE3379">
        <v>0.50310000000001698</v>
      </c>
      <c r="AF3379">
        <v>-0.742444741363952</v>
      </c>
      <c r="AG3379">
        <v>-1.1098081471400001</v>
      </c>
      <c r="AH3379">
        <v>39.767931467382503</v>
      </c>
      <c r="AI3379">
        <v>91.598266511621404</v>
      </c>
      <c r="AJ3379">
        <v>91.069555478013498</v>
      </c>
      <c r="AK3379">
        <v>39.7903414349747</v>
      </c>
      <c r="AL3379">
        <v>78.414915658116499</v>
      </c>
      <c r="AM3379">
        <v>93.9465009865268</v>
      </c>
      <c r="AN3379">
        <v>0.99999997952384601</v>
      </c>
    </row>
    <row r="3380" spans="1:40" x14ac:dyDescent="0.25">
      <c r="A3380" t="str">
        <f>"20190304155439213"</f>
        <v>20190304155439213</v>
      </c>
      <c r="B3380" t="str">
        <f>"1551686079210962"</f>
        <v>1551686079210962</v>
      </c>
      <c r="C3380" t="s">
        <v>40</v>
      </c>
      <c r="D3380">
        <v>4.5416019999999904</v>
      </c>
      <c r="E3380">
        <v>0.51601560000000002</v>
      </c>
      <c r="F3380" t="s">
        <v>62</v>
      </c>
      <c r="G3380">
        <v>-309.73930000000001</v>
      </c>
      <c r="H3380" s="1">
        <v>-1.0345180000000001E-5</v>
      </c>
      <c r="I3380">
        <v>142.60839999999999</v>
      </c>
      <c r="J3380">
        <v>-268.85770000000002</v>
      </c>
      <c r="K3380">
        <v>1.1098479999999999</v>
      </c>
      <c r="L3380">
        <v>142.1463</v>
      </c>
      <c r="M3380">
        <v>-0.99946349999999995</v>
      </c>
      <c r="N3380">
        <v>-1.0179000000000001E-2</v>
      </c>
      <c r="O3380">
        <v>3.1133649999999999E-2</v>
      </c>
      <c r="P3380">
        <v>-0.98096879999999997</v>
      </c>
      <c r="Q3380">
        <v>0.19045809999999999</v>
      </c>
      <c r="R3380">
        <v>-3.7762690000000002E-2</v>
      </c>
      <c r="S3380">
        <v>-3.0757750000000001</v>
      </c>
      <c r="T3380">
        <v>-8.2765340000000007E-2</v>
      </c>
      <c r="U3380">
        <v>3.5293579999999998E-2</v>
      </c>
      <c r="V3380">
        <v>-6.8322140000000003E-2</v>
      </c>
      <c r="W3380">
        <v>0.20040479999999999</v>
      </c>
      <c r="X3380">
        <v>0.97732799999999997</v>
      </c>
      <c r="Y3380">
        <v>-1.965068E-2</v>
      </c>
      <c r="Z3380">
        <v>-8.8490029999999998E-4</v>
      </c>
      <c r="AA3380">
        <v>0.99980650000000004</v>
      </c>
      <c r="AB3380">
        <v>38</v>
      </c>
      <c r="AC3380">
        <v>-40.881599999999899</v>
      </c>
      <c r="AD3380">
        <v>-1.1098583451799999</v>
      </c>
      <c r="AE3380">
        <v>0.46209999999999202</v>
      </c>
      <c r="AF3380">
        <v>-0.81038608012357805</v>
      </c>
      <c r="AG3380">
        <v>-1.1098583451799999</v>
      </c>
      <c r="AH3380">
        <v>40.8460668707446</v>
      </c>
      <c r="AI3380">
        <v>91.556136460064394</v>
      </c>
      <c r="AJ3380">
        <v>91.136599308700298</v>
      </c>
      <c r="AK3380">
        <v>40.869177749920098</v>
      </c>
      <c r="AL3380">
        <v>78.439368480400802</v>
      </c>
      <c r="AM3380">
        <v>93.9988745527818</v>
      </c>
      <c r="AN3380">
        <v>1.0000000091306001</v>
      </c>
    </row>
    <row r="3381" spans="1:40" x14ac:dyDescent="0.25">
      <c r="A3381" t="str">
        <f>"20190304155439235"</f>
        <v>20190304155439235</v>
      </c>
      <c r="B3381" t="str">
        <f>"1551686079230482"</f>
        <v>1551686079230482</v>
      </c>
      <c r="C3381" t="s">
        <v>40</v>
      </c>
      <c r="D3381">
        <v>4.4866149999999996</v>
      </c>
      <c r="E3381">
        <v>0.53174500000000002</v>
      </c>
      <c r="F3381" t="s">
        <v>62</v>
      </c>
      <c r="G3381">
        <v>-309.90499999999997</v>
      </c>
      <c r="H3381" s="1">
        <v>-1.03661899999999E-5</v>
      </c>
      <c r="I3381">
        <v>142.59899999999999</v>
      </c>
      <c r="J3381">
        <v>-269.2319</v>
      </c>
      <c r="K3381">
        <v>1.1099030000000001</v>
      </c>
      <c r="L3381">
        <v>142.15780000000001</v>
      </c>
      <c r="M3381">
        <v>-0.99947050000000004</v>
      </c>
      <c r="N3381">
        <v>-1.018433E-2</v>
      </c>
      <c r="O3381">
        <v>3.090325E-2</v>
      </c>
      <c r="P3381">
        <v>-0.98114970000000001</v>
      </c>
      <c r="Q3381">
        <v>0.1893811</v>
      </c>
      <c r="R3381">
        <v>-3.8471869999999998E-2</v>
      </c>
      <c r="S3381">
        <v>-3.075653</v>
      </c>
      <c r="T3381">
        <v>-8.3161120000000005E-2</v>
      </c>
      <c r="U3381">
        <v>3.3920289999999999E-2</v>
      </c>
      <c r="V3381">
        <v>-6.8837659999999995E-2</v>
      </c>
      <c r="W3381">
        <v>0.19932510000000001</v>
      </c>
      <c r="X3381">
        <v>0.97751259999999995</v>
      </c>
      <c r="Y3381">
        <v>-1.9865890000000001E-2</v>
      </c>
      <c r="Z3381">
        <v>-8.9022850000000002E-4</v>
      </c>
      <c r="AA3381">
        <v>0.99980219999999997</v>
      </c>
      <c r="AB3381">
        <v>38</v>
      </c>
      <c r="AC3381">
        <v>-40.673099999999899</v>
      </c>
      <c r="AD3381">
        <v>-1.10991336619</v>
      </c>
      <c r="AE3381">
        <v>0.44119999999998</v>
      </c>
      <c r="AF3381">
        <v>-0.81539977563830601</v>
      </c>
      <c r="AG3381">
        <v>-1.10991336619</v>
      </c>
      <c r="AH3381">
        <v>40.6370493261307</v>
      </c>
      <c r="AI3381">
        <v>91.564206989737698</v>
      </c>
      <c r="AJ3381">
        <v>91.149510066073702</v>
      </c>
      <c r="AK3381">
        <v>40.6603807459907</v>
      </c>
      <c r="AL3381">
        <v>78.502504511105897</v>
      </c>
      <c r="AM3381">
        <v>94.028190440352105</v>
      </c>
      <c r="AN3381">
        <v>1.00000000104152</v>
      </c>
    </row>
    <row r="3382" spans="1:40" x14ac:dyDescent="0.25">
      <c r="A3382" t="str">
        <f>"20190304155439259"</f>
        <v>20190304155439259</v>
      </c>
      <c r="B3382" t="str">
        <f>"1551686079250979"</f>
        <v>1551686079250979</v>
      </c>
      <c r="C3382" t="s">
        <v>40</v>
      </c>
      <c r="D3382">
        <v>4.4808399999999997</v>
      </c>
      <c r="E3382">
        <v>0.5319159</v>
      </c>
      <c r="F3382" t="s">
        <v>62</v>
      </c>
      <c r="G3382">
        <v>-315.084</v>
      </c>
      <c r="H3382" s="1">
        <v>-8.837427E-6</v>
      </c>
      <c r="I3382">
        <v>144.49979999999999</v>
      </c>
      <c r="J3382">
        <v>-269.62740000000002</v>
      </c>
      <c r="K3382">
        <v>1.10996299999999</v>
      </c>
      <c r="L3382">
        <v>142.16980000000001</v>
      </c>
      <c r="M3382">
        <v>-0.99948029999999999</v>
      </c>
      <c r="N3382">
        <v>-1.019026E-2</v>
      </c>
      <c r="O3382">
        <v>3.0586700000000001E-2</v>
      </c>
      <c r="P3382">
        <v>-0.98125340000000005</v>
      </c>
      <c r="Q3382">
        <v>0.18877949999999999</v>
      </c>
      <c r="R3382">
        <v>-3.8787200000000001E-2</v>
      </c>
      <c r="S3382">
        <v>-3.0781559999999999</v>
      </c>
      <c r="T3382">
        <v>-7.4510930000000003E-2</v>
      </c>
      <c r="U3382">
        <v>0.15722659999999999</v>
      </c>
      <c r="V3382">
        <v>-6.8877530000000006E-2</v>
      </c>
      <c r="W3382">
        <v>0.1987199</v>
      </c>
      <c r="X3382">
        <v>0.97763299999999997</v>
      </c>
      <c r="Y3382">
        <v>2.0433840000000002E-2</v>
      </c>
      <c r="Z3382" s="1">
        <v>-7.6686249999999994E-5</v>
      </c>
      <c r="AA3382">
        <v>0.99979119999999999</v>
      </c>
      <c r="AB3382">
        <v>38</v>
      </c>
      <c r="AC3382">
        <v>-45.456599999999902</v>
      </c>
      <c r="AD3382">
        <v>-1.10997183742699</v>
      </c>
      <c r="AE3382">
        <v>2.3299999999999801</v>
      </c>
      <c r="AF3382">
        <v>0.937912551142011</v>
      </c>
      <c r="AG3382">
        <v>-1.10997183742699</v>
      </c>
      <c r="AH3382">
        <v>45.4795539220138</v>
      </c>
      <c r="AI3382">
        <v>91.397783447095705</v>
      </c>
      <c r="AJ3382">
        <v>88.818572088367901</v>
      </c>
      <c r="AK3382">
        <v>45.502764118005302</v>
      </c>
      <c r="AL3382">
        <v>78.5378877238618</v>
      </c>
      <c r="AM3382">
        <v>94.0300210950588</v>
      </c>
      <c r="AN3382">
        <v>0.99999999774195503</v>
      </c>
    </row>
    <row r="3383" spans="1:40" x14ac:dyDescent="0.25">
      <c r="A3383" t="str">
        <f>"20190304155439285"</f>
        <v>20190304155439285</v>
      </c>
      <c r="B3383" t="str">
        <f>"1551686079280258"</f>
        <v>1551686079280258</v>
      </c>
      <c r="C3383" t="s">
        <v>40</v>
      </c>
      <c r="D3383">
        <v>4.4729570000000001</v>
      </c>
      <c r="E3383">
        <v>0.53231130000000004</v>
      </c>
      <c r="F3383" t="s">
        <v>62</v>
      </c>
      <c r="G3383">
        <v>-315.69889999999998</v>
      </c>
      <c r="H3383" s="1">
        <v>-8.5739980000000008E-6</v>
      </c>
      <c r="I3383">
        <v>144.53489999999999</v>
      </c>
      <c r="J3383">
        <v>-270.05399999999997</v>
      </c>
      <c r="K3383">
        <v>1.1100369999999999</v>
      </c>
      <c r="L3383">
        <v>142.1824</v>
      </c>
      <c r="M3383">
        <v>-0.99949359999999998</v>
      </c>
      <c r="N3383">
        <v>-1.0196790000000001E-2</v>
      </c>
      <c r="O3383">
        <v>3.0147380000000001E-2</v>
      </c>
      <c r="P3383">
        <v>-0.98139290000000001</v>
      </c>
      <c r="Q3383">
        <v>0.1878794</v>
      </c>
      <c r="R3383">
        <v>-3.9618059999999997E-2</v>
      </c>
      <c r="S3383">
        <v>-3.07782</v>
      </c>
      <c r="T3383">
        <v>-7.4151990000000001E-2</v>
      </c>
      <c r="U3383">
        <v>0.158004799999999</v>
      </c>
      <c r="V3383">
        <v>-6.9319350000000002E-2</v>
      </c>
      <c r="W3383">
        <v>0.19781409999999999</v>
      </c>
      <c r="X3383">
        <v>0.97778549999999997</v>
      </c>
      <c r="Y3383">
        <v>2.1130659999999999E-2</v>
      </c>
      <c r="Z3383" s="1">
        <v>-5.6067389999999997E-5</v>
      </c>
      <c r="AA3383">
        <v>0.99977669999999996</v>
      </c>
      <c r="AB3383">
        <v>38</v>
      </c>
      <c r="AC3383">
        <v>-45.6448999999999</v>
      </c>
      <c r="AD3383">
        <v>-1.110045573998</v>
      </c>
      <c r="AE3383">
        <v>2.3524999999999898</v>
      </c>
      <c r="AF3383">
        <v>0.97471017091814405</v>
      </c>
      <c r="AG3383">
        <v>-1.110045573998</v>
      </c>
      <c r="AH3383">
        <v>45.668138441754202</v>
      </c>
      <c r="AI3383">
        <v>91.392085044155394</v>
      </c>
      <c r="AJ3383">
        <v>88.777302882076299</v>
      </c>
      <c r="AK3383">
        <v>45.692024794583901</v>
      </c>
      <c r="AL3383">
        <v>78.590837854038995</v>
      </c>
      <c r="AM3383">
        <v>94.055155518678106</v>
      </c>
      <c r="AN3383">
        <v>1.0000000372267399</v>
      </c>
    </row>
    <row r="3384" spans="1:40" x14ac:dyDescent="0.25">
      <c r="A3384" t="str">
        <f>"20190304155439305"</f>
        <v>20190304155439305</v>
      </c>
      <c r="B3384" t="str">
        <f>"1551686079300754"</f>
        <v>1551686079300754</v>
      </c>
      <c r="C3384" t="s">
        <v>40</v>
      </c>
      <c r="D3384">
        <v>4.4923460000000004</v>
      </c>
      <c r="E3384">
        <v>0.53260369999999901</v>
      </c>
      <c r="F3384" t="s">
        <v>62</v>
      </c>
      <c r="G3384">
        <v>-314.99419999999998</v>
      </c>
      <c r="H3384" s="1">
        <v>-8.8765009999999999E-6</v>
      </c>
      <c r="I3384">
        <v>144.49700000000001</v>
      </c>
      <c r="J3384">
        <v>-270.40339999999998</v>
      </c>
      <c r="K3384">
        <v>1.110098</v>
      </c>
      <c r="L3384">
        <v>142.1926</v>
      </c>
      <c r="M3384">
        <v>-0.99950669999999997</v>
      </c>
      <c r="N3384">
        <v>-1.0202340000000001E-2</v>
      </c>
      <c r="O3384">
        <v>2.970627E-2</v>
      </c>
      <c r="P3384">
        <v>-0.98151370000000004</v>
      </c>
      <c r="Q3384">
        <v>0.1871881</v>
      </c>
      <c r="R3384">
        <v>-3.9895350000000003E-2</v>
      </c>
      <c r="S3384">
        <v>-3.0778810000000001</v>
      </c>
      <c r="T3384">
        <v>-7.6025129999999996E-2</v>
      </c>
      <c r="U3384">
        <v>0.15852359999999999</v>
      </c>
      <c r="V3384">
        <v>-6.9200559999999994E-2</v>
      </c>
      <c r="W3384">
        <v>0.19711809999999999</v>
      </c>
      <c r="X3384">
        <v>0.97793439999999998</v>
      </c>
      <c r="Y3384">
        <v>2.1738520000000001E-2</v>
      </c>
      <c r="Z3384" s="1">
        <v>-5.0746460000000003E-5</v>
      </c>
      <c r="AA3384">
        <v>0.99976370000000003</v>
      </c>
      <c r="AB3384">
        <v>38</v>
      </c>
      <c r="AC3384">
        <v>-44.590800000000002</v>
      </c>
      <c r="AD3384">
        <v>-1.11010687650099</v>
      </c>
      <c r="AE3384">
        <v>2.30440000000001</v>
      </c>
      <c r="AF3384">
        <v>0.97808315265572399</v>
      </c>
      <c r="AG3384">
        <v>-1.11010687650099</v>
      </c>
      <c r="AH3384">
        <v>44.6120013690118</v>
      </c>
      <c r="AI3384">
        <v>91.425088372951095</v>
      </c>
      <c r="AJ3384">
        <v>88.744036165504497</v>
      </c>
      <c r="AK3384">
        <v>44.636528203697402</v>
      </c>
      <c r="AL3384">
        <v>78.631515997505502</v>
      </c>
      <c r="AM3384">
        <v>94.047615139694898</v>
      </c>
      <c r="AN3384">
        <v>0.99999997677764096</v>
      </c>
    </row>
    <row r="3385" spans="1:40" x14ac:dyDescent="0.25">
      <c r="A3385" t="str">
        <f>"20190304155439325"</f>
        <v>20190304155439325</v>
      </c>
      <c r="B3385" t="str">
        <f>"1551686079320275"</f>
        <v>1551686079320275</v>
      </c>
      <c r="C3385" t="s">
        <v>40</v>
      </c>
      <c r="D3385">
        <v>4.4950919999999996</v>
      </c>
      <c r="E3385">
        <v>0.53275139999999999</v>
      </c>
      <c r="F3385" t="s">
        <v>62</v>
      </c>
      <c r="G3385">
        <v>-314.03019999999998</v>
      </c>
      <c r="H3385" s="1">
        <v>-9.2328260000000002E-6</v>
      </c>
      <c r="I3385">
        <v>144.46279999999999</v>
      </c>
      <c r="J3385">
        <v>-270.74950000000001</v>
      </c>
      <c r="K3385">
        <v>1.110158</v>
      </c>
      <c r="L3385">
        <v>142.20240000000001</v>
      </c>
      <c r="M3385">
        <v>-0.99952129999999995</v>
      </c>
      <c r="N3385">
        <v>-1.020798E-2</v>
      </c>
      <c r="O3385">
        <v>2.9206759999999998E-2</v>
      </c>
      <c r="P3385">
        <v>-0.9816201</v>
      </c>
      <c r="Q3385">
        <v>0.18653529999999999</v>
      </c>
      <c r="R3385">
        <v>-4.0330940000000003E-2</v>
      </c>
      <c r="S3385">
        <v>-3.0779420000000002</v>
      </c>
      <c r="T3385">
        <v>-7.8319910000000006E-2</v>
      </c>
      <c r="U3385">
        <v>0.16017149999999999</v>
      </c>
      <c r="V3385">
        <v>-6.9180499999999895E-2</v>
      </c>
      <c r="W3385">
        <v>0.19646079999999999</v>
      </c>
      <c r="X3385">
        <v>0.9780681</v>
      </c>
      <c r="Y3385">
        <v>2.277028E-2</v>
      </c>
      <c r="Z3385" s="1">
        <v>-3.8545830000000002E-5</v>
      </c>
      <c r="AA3385">
        <v>0.99974070000000004</v>
      </c>
      <c r="AB3385">
        <v>38</v>
      </c>
      <c r="AC3385">
        <v>-43.280699999999896</v>
      </c>
      <c r="AD3385">
        <v>-1.1101672328259999</v>
      </c>
      <c r="AE3385">
        <v>2.26039999999997</v>
      </c>
      <c r="AF3385">
        <v>0.994628124147383</v>
      </c>
      <c r="AG3385">
        <v>-1.1101672328259999</v>
      </c>
      <c r="AH3385">
        <v>43.299845229796396</v>
      </c>
      <c r="AI3385">
        <v>91.4683008808544</v>
      </c>
      <c r="AJ3385">
        <v>88.684106761478205</v>
      </c>
      <c r="AK3385">
        <v>43.325493111036998</v>
      </c>
      <c r="AL3385">
        <v>78.669927867012603</v>
      </c>
      <c r="AM3385">
        <v>94.045894402740302</v>
      </c>
      <c r="AN3385">
        <v>0.99999999787725002</v>
      </c>
    </row>
    <row r="3386" spans="1:40" x14ac:dyDescent="0.25">
      <c r="A3386" t="str">
        <f>"20190304155439347"</f>
        <v>20190304155439347</v>
      </c>
      <c r="B3386" t="str">
        <f>"1551686079340771"</f>
        <v>1551686079340771</v>
      </c>
      <c r="C3386" t="s">
        <v>40</v>
      </c>
      <c r="D3386">
        <v>4.4833189999999998</v>
      </c>
      <c r="E3386">
        <v>0.53297659999999902</v>
      </c>
      <c r="F3386" t="s">
        <v>62</v>
      </c>
      <c r="G3386">
        <v>-313.68599999999998</v>
      </c>
      <c r="H3386" s="1">
        <v>-9.3547980000000001E-6</v>
      </c>
      <c r="I3386">
        <v>144.4341</v>
      </c>
      <c r="J3386">
        <v>-271.13279999999997</v>
      </c>
      <c r="K3386">
        <v>1.1102270000000001</v>
      </c>
      <c r="L3386">
        <v>142.2131</v>
      </c>
      <c r="M3386">
        <v>-0.99953950000000003</v>
      </c>
      <c r="N3386">
        <v>-1.02142E-2</v>
      </c>
      <c r="O3386">
        <v>2.8576069999999999E-2</v>
      </c>
      <c r="P3386">
        <v>-0.98169379999999995</v>
      </c>
      <c r="Q3386">
        <v>0.18603529999999999</v>
      </c>
      <c r="R3386">
        <v>-4.0843919999999999E-2</v>
      </c>
      <c r="S3386">
        <v>-3.07782</v>
      </c>
      <c r="T3386">
        <v>-7.9580070000000003E-2</v>
      </c>
      <c r="U3386">
        <v>0.15997310000000001</v>
      </c>
      <c r="V3386">
        <v>-6.9111590000000001E-2</v>
      </c>
      <c r="W3386">
        <v>0.19595580000000001</v>
      </c>
      <c r="X3386">
        <v>0.97817430000000005</v>
      </c>
      <c r="Y3386">
        <v>2.333845E-2</v>
      </c>
      <c r="Z3386" s="1">
        <v>-2.5513359999999999E-5</v>
      </c>
      <c r="AA3386">
        <v>0.99972760000000005</v>
      </c>
      <c r="AB3386">
        <v>38</v>
      </c>
      <c r="AC3386">
        <v>-42.553199999999997</v>
      </c>
      <c r="AD3386">
        <v>-1.1102363547980001</v>
      </c>
      <c r="AE3386">
        <v>2.2210000000000001</v>
      </c>
      <c r="AF3386">
        <v>1.0033451784412699</v>
      </c>
      <c r="AG3386">
        <v>-1.1102363547980001</v>
      </c>
      <c r="AH3386">
        <v>42.570391450653297</v>
      </c>
      <c r="AI3386">
        <v>91.493521435597799</v>
      </c>
      <c r="AJ3386">
        <v>88.649840865563405</v>
      </c>
      <c r="AK3386">
        <v>42.596684783824102</v>
      </c>
      <c r="AL3386">
        <v>78.699436106907399</v>
      </c>
      <c r="AM3386">
        <v>94.041440320815497</v>
      </c>
      <c r="AN3386">
        <v>1.0000000243032201</v>
      </c>
    </row>
    <row r="3387" spans="1:40" x14ac:dyDescent="0.25">
      <c r="A3387" t="str">
        <f>"20190304155439370"</f>
        <v>20190304155439370</v>
      </c>
      <c r="B3387" t="str">
        <f>"1551686079360294"</f>
        <v>1551686079360294</v>
      </c>
      <c r="C3387" t="s">
        <v>40</v>
      </c>
      <c r="D3387">
        <v>4.5017329999999998</v>
      </c>
      <c r="E3387">
        <v>0.53308889999999998</v>
      </c>
      <c r="F3387" t="s">
        <v>62</v>
      </c>
      <c r="G3387">
        <v>-313.78039999999999</v>
      </c>
      <c r="H3387" s="1">
        <v>-9.321523E-6</v>
      </c>
      <c r="I3387">
        <v>144.4427</v>
      </c>
      <c r="J3387">
        <v>-271.52280000000002</v>
      </c>
      <c r="K3387">
        <v>1.110309</v>
      </c>
      <c r="L3387">
        <v>142.2236</v>
      </c>
      <c r="M3387">
        <v>-0.99956</v>
      </c>
      <c r="N3387">
        <v>-1.022031E-2</v>
      </c>
      <c r="O3387">
        <v>2.7846900000000001E-2</v>
      </c>
      <c r="P3387">
        <v>-0.981715</v>
      </c>
      <c r="Q3387">
        <v>0.18580630000000001</v>
      </c>
      <c r="R3387">
        <v>-4.1374550000000003E-2</v>
      </c>
      <c r="S3387">
        <v>-3.07782</v>
      </c>
      <c r="T3387">
        <v>-8.0124260000000003E-2</v>
      </c>
      <c r="U3387">
        <v>0.16090389999999999</v>
      </c>
      <c r="V3387">
        <v>-6.8963769999999994E-2</v>
      </c>
      <c r="W3387">
        <v>0.19572110000000001</v>
      </c>
      <c r="X3387">
        <v>0.97823170000000004</v>
      </c>
      <c r="Y3387">
        <v>2.4368620000000001E-2</v>
      </c>
      <c r="Z3387" s="1">
        <v>1.9202420000000002E-6</v>
      </c>
      <c r="AA3387">
        <v>0.99970300000000001</v>
      </c>
      <c r="AB3387">
        <v>38</v>
      </c>
      <c r="AC3387">
        <v>-42.257599999999897</v>
      </c>
      <c r="AD3387">
        <v>-1.1103183215229999</v>
      </c>
      <c r="AE3387">
        <v>2.2190999999999899</v>
      </c>
      <c r="AF3387">
        <v>1.0407182657910401</v>
      </c>
      <c r="AG3387">
        <v>-1.1103183215229999</v>
      </c>
      <c r="AH3387">
        <v>42.273904461884101</v>
      </c>
      <c r="AI3387">
        <v>91.504064414404894</v>
      </c>
      <c r="AJ3387">
        <v>88.589751217449802</v>
      </c>
      <c r="AK3387">
        <v>42.301287211341098</v>
      </c>
      <c r="AL3387">
        <v>78.713148735452407</v>
      </c>
      <c r="AM3387">
        <v>94.032588943868504</v>
      </c>
      <c r="AN3387">
        <v>1.00000000472135</v>
      </c>
    </row>
    <row r="3388" spans="1:40" x14ac:dyDescent="0.25">
      <c r="A3388" t="str">
        <f>"20190304155439393"</f>
        <v>20190304155439393</v>
      </c>
      <c r="B3388" t="str">
        <f>"1551686079390547"</f>
        <v>1551686079390547</v>
      </c>
      <c r="C3388" t="s">
        <v>40</v>
      </c>
      <c r="D3388">
        <v>4.5272329999999998</v>
      </c>
      <c r="E3388">
        <v>0.5332479</v>
      </c>
      <c r="F3388" t="s">
        <v>62</v>
      </c>
      <c r="G3388">
        <v>-313.37060000000002</v>
      </c>
      <c r="H3388" s="1">
        <v>-9.4652739999999995E-6</v>
      </c>
      <c r="I3388">
        <v>144.40289999999999</v>
      </c>
      <c r="J3388">
        <v>-271.9135</v>
      </c>
      <c r="K3388">
        <v>1.1103959999999999</v>
      </c>
      <c r="L3388">
        <v>142.2338</v>
      </c>
      <c r="M3388">
        <v>-0.99958259999999999</v>
      </c>
      <c r="N3388">
        <v>-1.022642E-2</v>
      </c>
      <c r="O3388">
        <v>2.7025070000000002E-2</v>
      </c>
      <c r="P3388">
        <v>-0.98165769999999997</v>
      </c>
      <c r="Q3388">
        <v>0.18593390000000001</v>
      </c>
      <c r="R3388">
        <v>-4.215733E-2</v>
      </c>
      <c r="S3388">
        <v>-3.0780940000000001</v>
      </c>
      <c r="T3388">
        <v>-8.1668850000000001E-2</v>
      </c>
      <c r="U3388">
        <v>0.16029360000000001</v>
      </c>
      <c r="V3388">
        <v>-6.8978880000000006E-2</v>
      </c>
      <c r="W3388">
        <v>0.19583990000000001</v>
      </c>
      <c r="X3388">
        <v>0.97820689999999999</v>
      </c>
      <c r="Y3388">
        <v>2.4987639999999998E-2</v>
      </c>
      <c r="Z3388" s="1">
        <v>1.9094889999999998E-5</v>
      </c>
      <c r="AA3388">
        <v>0.99968769999999996</v>
      </c>
      <c r="AB3388">
        <v>38</v>
      </c>
      <c r="AC3388">
        <v>-41.457099999999997</v>
      </c>
      <c r="AD3388">
        <v>-1.1104054652740001</v>
      </c>
      <c r="AE3388">
        <v>2.1690999999999798</v>
      </c>
      <c r="AF3388">
        <v>1.04711906168821</v>
      </c>
      <c r="AG3388">
        <v>-1.1104054652740001</v>
      </c>
      <c r="AH3388">
        <v>41.470909324688101</v>
      </c>
      <c r="AI3388">
        <v>91.533269800978502</v>
      </c>
      <c r="AJ3388">
        <v>88.553618453010003</v>
      </c>
      <c r="AK3388">
        <v>41.498985274861397</v>
      </c>
      <c r="AL3388">
        <v>78.706208141235606</v>
      </c>
      <c r="AM3388">
        <v>94.033571491491799</v>
      </c>
      <c r="AN3388">
        <v>1.00000004576283</v>
      </c>
    </row>
    <row r="3389" spans="1:40" x14ac:dyDescent="0.25">
      <c r="A3389" t="str">
        <f>"20190304155439413"</f>
        <v>20190304155439413</v>
      </c>
      <c r="B3389" t="str">
        <f>"1551686079410876"</f>
        <v>1551686079410876</v>
      </c>
      <c r="C3389" t="s">
        <v>40</v>
      </c>
      <c r="D3389">
        <v>4.5254149999999997</v>
      </c>
      <c r="E3389">
        <v>0.53327179999999996</v>
      </c>
      <c r="F3389" t="s">
        <v>62</v>
      </c>
      <c r="G3389">
        <v>-314.30720000000002</v>
      </c>
      <c r="H3389" s="1">
        <v>-9.1176879999999996E-6</v>
      </c>
      <c r="I3389">
        <v>144.42160000000001</v>
      </c>
      <c r="J3389">
        <v>-272.26060000000001</v>
      </c>
      <c r="K3389">
        <v>1.110482</v>
      </c>
      <c r="L3389">
        <v>142.24250000000001</v>
      </c>
      <c r="M3389">
        <v>-0.99960400000000005</v>
      </c>
      <c r="N3389">
        <v>-1.0232099999999999E-2</v>
      </c>
      <c r="O3389">
        <v>2.621509E-2</v>
      </c>
      <c r="P3389">
        <v>-0.98146580000000005</v>
      </c>
      <c r="Q3389">
        <v>0.1866526</v>
      </c>
      <c r="R3389">
        <v>-4.3428130000000002E-2</v>
      </c>
      <c r="S3389">
        <v>-3.0781860000000001</v>
      </c>
      <c r="T3389">
        <v>-8.0626130000000004E-2</v>
      </c>
      <c r="U3389">
        <v>0.15885929999999901</v>
      </c>
      <c r="V3389">
        <v>-6.9488910000000001E-2</v>
      </c>
      <c r="W3389">
        <v>0.19654859999999999</v>
      </c>
      <c r="X3389">
        <v>0.97802860000000003</v>
      </c>
      <c r="Y3389">
        <v>2.533142E-2</v>
      </c>
      <c r="Z3389" s="1">
        <v>4.3398130000000003E-5</v>
      </c>
      <c r="AA3389">
        <v>0.99967910000000004</v>
      </c>
      <c r="AB3389">
        <v>38</v>
      </c>
      <c r="AC3389">
        <v>-42.046599999999998</v>
      </c>
      <c r="AD3389">
        <v>-1.1104911176879999</v>
      </c>
      <c r="AE3389">
        <v>2.1791</v>
      </c>
      <c r="AF3389">
        <v>1.0752899107354701</v>
      </c>
      <c r="AG3389">
        <v>-1.1104911176879999</v>
      </c>
      <c r="AH3389">
        <v>42.060016526744597</v>
      </c>
      <c r="AI3389">
        <v>91.511908759153599</v>
      </c>
      <c r="AJ3389">
        <v>88.535517545954605</v>
      </c>
      <c r="AK3389">
        <v>42.088412053017898</v>
      </c>
      <c r="AL3389">
        <v>78.664797308337597</v>
      </c>
      <c r="AM3389">
        <v>94.064034475478095</v>
      </c>
      <c r="AN3389">
        <v>1.0000000015964501</v>
      </c>
    </row>
    <row r="3390" spans="1:40" x14ac:dyDescent="0.25">
      <c r="A3390" t="str">
        <f>"20190304155439436"</f>
        <v>20190304155439436</v>
      </c>
      <c r="B3390" t="str">
        <f>"1551686079430395"</f>
        <v>1551686079430395</v>
      </c>
      <c r="C3390" t="s">
        <v>40</v>
      </c>
      <c r="D3390">
        <v>4.5244799999999996</v>
      </c>
      <c r="E3390">
        <v>0.53347739999999999</v>
      </c>
      <c r="F3390" t="s">
        <v>62</v>
      </c>
      <c r="G3390">
        <v>-316.08909999999997</v>
      </c>
      <c r="H3390" s="1">
        <v>-8.379684E-6</v>
      </c>
      <c r="I3390">
        <v>144.45429999999999</v>
      </c>
      <c r="J3390">
        <v>-272.63900000000001</v>
      </c>
      <c r="K3390">
        <v>1.110573</v>
      </c>
      <c r="L3390">
        <v>142.2516</v>
      </c>
      <c r="M3390">
        <v>-0.99962879999999998</v>
      </c>
      <c r="N3390">
        <v>-1.023836E-2</v>
      </c>
      <c r="O3390">
        <v>2.524614E-2</v>
      </c>
      <c r="P3390">
        <v>-0.98121009999999997</v>
      </c>
      <c r="Q3390">
        <v>0.1877354</v>
      </c>
      <c r="R3390">
        <v>-4.4520549999999999E-2</v>
      </c>
      <c r="S3390">
        <v>-3.0783390000000002</v>
      </c>
      <c r="T3390">
        <v>-7.7996369999999995E-2</v>
      </c>
      <c r="U3390">
        <v>0.15534970000000001</v>
      </c>
      <c r="V3390">
        <v>-6.9669949999999994E-2</v>
      </c>
      <c r="W3390">
        <v>0.19761970000000001</v>
      </c>
      <c r="X3390">
        <v>0.9777998</v>
      </c>
      <c r="Y3390">
        <v>2.516142E-2</v>
      </c>
      <c r="Z3390" s="1">
        <v>6.6780599999999996E-5</v>
      </c>
      <c r="AA3390">
        <v>0.9996834</v>
      </c>
      <c r="AB3390">
        <v>38</v>
      </c>
      <c r="AC3390">
        <v>-43.4500999999999</v>
      </c>
      <c r="AD3390">
        <v>-1.1105813796840001</v>
      </c>
      <c r="AE3390">
        <v>2.2026999999999899</v>
      </c>
      <c r="AF3390">
        <v>1.1042734221739201</v>
      </c>
      <c r="AG3390">
        <v>-1.1105813796840001</v>
      </c>
      <c r="AH3390">
        <v>43.463539715224897</v>
      </c>
      <c r="AI3390">
        <v>91.463232610847101</v>
      </c>
      <c r="AJ3390">
        <v>88.544605470447607</v>
      </c>
      <c r="AK3390">
        <v>43.491747439816102</v>
      </c>
      <c r="AL3390">
        <v>78.602199433606501</v>
      </c>
      <c r="AM3390">
        <v>94.075537139596804</v>
      </c>
      <c r="AN3390">
        <v>0.99999994832056405</v>
      </c>
    </row>
    <row r="3391" spans="1:40" x14ac:dyDescent="0.25">
      <c r="A3391" t="str">
        <f>"20190304155439459"</f>
        <v>20190304155439459</v>
      </c>
      <c r="B3391" t="str">
        <f>"1551686079450892"</f>
        <v>1551686079450892</v>
      </c>
      <c r="C3391" t="s">
        <v>40</v>
      </c>
      <c r="D3391">
        <v>4.6144509999999999</v>
      </c>
      <c r="E3391">
        <v>0.53312930000000003</v>
      </c>
      <c r="F3391" t="s">
        <v>62</v>
      </c>
      <c r="G3391">
        <v>-318.81220000000002</v>
      </c>
      <c r="H3391" s="1">
        <v>-7.1996520000000002E-6</v>
      </c>
      <c r="I3391">
        <v>144.55869999999999</v>
      </c>
      <c r="J3391">
        <v>-273.03199999999998</v>
      </c>
      <c r="K3391">
        <v>1.11067</v>
      </c>
      <c r="L3391">
        <v>142.26060000000001</v>
      </c>
      <c r="M3391">
        <v>-0.99965599999999999</v>
      </c>
      <c r="N3391">
        <v>-1.024509E-2</v>
      </c>
      <c r="O3391">
        <v>2.4147200000000001E-2</v>
      </c>
      <c r="P3391">
        <v>-0.98103379999999996</v>
      </c>
      <c r="Q3391">
        <v>0.1883329</v>
      </c>
      <c r="R3391">
        <v>-4.5866869999999997E-2</v>
      </c>
      <c r="S3391">
        <v>-3.0785520000000002</v>
      </c>
      <c r="T3391">
        <v>-7.4046849999999997E-2</v>
      </c>
      <c r="U3391">
        <v>0.15382390000000001</v>
      </c>
      <c r="V3391">
        <v>-6.9980870000000001E-2</v>
      </c>
      <c r="W3391">
        <v>0.19820579999999999</v>
      </c>
      <c r="X3391">
        <v>0.97765899999999994</v>
      </c>
      <c r="Y3391">
        <v>2.5762790000000001E-2</v>
      </c>
      <c r="Z3391">
        <v>1.0872859999999999E-4</v>
      </c>
      <c r="AA3391">
        <v>0.99966809999999995</v>
      </c>
      <c r="AB3391">
        <v>38</v>
      </c>
      <c r="AC3391">
        <v>-45.780200000000001</v>
      </c>
      <c r="AD3391">
        <v>-1.110677199652</v>
      </c>
      <c r="AE3391">
        <v>2.2980999999999701</v>
      </c>
      <c r="AF3391">
        <v>1.19120887914</v>
      </c>
      <c r="AG3391">
        <v>-1.110677199652</v>
      </c>
      <c r="AH3391">
        <v>45.795457858784502</v>
      </c>
      <c r="AI3391">
        <v>91.388852545765801</v>
      </c>
      <c r="AJ3391">
        <v>88.509986408398802</v>
      </c>
      <c r="AK3391">
        <v>45.824409902706599</v>
      </c>
      <c r="AL3391">
        <v>78.567941217475394</v>
      </c>
      <c r="AM3391">
        <v>94.0942511244602</v>
      </c>
      <c r="AN3391">
        <v>0.999999990800298</v>
      </c>
    </row>
    <row r="3392" spans="1:40" x14ac:dyDescent="0.25">
      <c r="A3392" t="str">
        <f>"20190304155439484"</f>
        <v>20190304155439484</v>
      </c>
      <c r="B3392" t="str">
        <f>"1551686079480171"</f>
        <v>1551686079480171</v>
      </c>
      <c r="C3392" t="s">
        <v>40</v>
      </c>
      <c r="D3392">
        <v>4.6362059999999996</v>
      </c>
      <c r="E3392">
        <v>0.53255109999999894</v>
      </c>
      <c r="F3392" t="s">
        <v>62</v>
      </c>
      <c r="G3392">
        <v>-318.75490000000002</v>
      </c>
      <c r="H3392" s="1">
        <v>-7.1915009999999999E-6</v>
      </c>
      <c r="I3392">
        <v>144.4314</v>
      </c>
      <c r="J3392">
        <v>-273.43400000000003</v>
      </c>
      <c r="K3392">
        <v>1.1107689999999999</v>
      </c>
      <c r="L3392">
        <v>142.26920000000001</v>
      </c>
      <c r="M3392">
        <v>-0.99968480000000004</v>
      </c>
      <c r="N3392">
        <v>-1.025234E-2</v>
      </c>
      <c r="O3392">
        <v>2.2922640000000001E-2</v>
      </c>
      <c r="P3392">
        <v>-0.98091969999999995</v>
      </c>
      <c r="Q3392">
        <v>0.1886757</v>
      </c>
      <c r="R3392">
        <v>-4.6887579999999998E-2</v>
      </c>
      <c r="S3392">
        <v>-3.079224</v>
      </c>
      <c r="T3392">
        <v>-7.4798939999999994E-2</v>
      </c>
      <c r="U3392">
        <v>0.14619450000000001</v>
      </c>
      <c r="V3392">
        <v>-6.9845530000000003E-2</v>
      </c>
      <c r="W3392">
        <v>0.1985391</v>
      </c>
      <c r="X3392">
        <v>0.9776011</v>
      </c>
      <c r="Y3392">
        <v>2.4505760000000001E-2</v>
      </c>
      <c r="Z3392">
        <v>1.017448E-4</v>
      </c>
      <c r="AA3392">
        <v>0.99969969999999997</v>
      </c>
      <c r="AB3392">
        <v>38</v>
      </c>
      <c r="AC3392">
        <v>-45.320900000000002</v>
      </c>
      <c r="AD3392">
        <v>-1.1107761915009999</v>
      </c>
      <c r="AE3392">
        <v>2.1621999999999799</v>
      </c>
      <c r="AF3392">
        <v>1.12203018992919</v>
      </c>
      <c r="AG3392">
        <v>-1.1107761915009999</v>
      </c>
      <c r="AH3392">
        <v>45.331387614462699</v>
      </c>
      <c r="AI3392">
        <v>91.403234790559296</v>
      </c>
      <c r="AJ3392">
        <v>88.582119938989706</v>
      </c>
      <c r="AK3392">
        <v>45.358874308644097</v>
      </c>
      <c r="AL3392">
        <v>78.548457913373397</v>
      </c>
      <c r="AM3392">
        <v>94.086601069141906</v>
      </c>
      <c r="AN3392">
        <v>1.0000000415054899</v>
      </c>
    </row>
    <row r="3393" spans="1:40" x14ac:dyDescent="0.25">
      <c r="A3393" t="str">
        <f>"20190304155439505"</f>
        <v>20190304155439505</v>
      </c>
      <c r="B3393" t="str">
        <f>"1551686079500667"</f>
        <v>1551686079500667</v>
      </c>
      <c r="C3393" t="s">
        <v>40</v>
      </c>
      <c r="D3393">
        <v>4.6212330000000001</v>
      </c>
      <c r="E3393">
        <v>0.5246054</v>
      </c>
      <c r="F3393" t="s">
        <v>62</v>
      </c>
      <c r="G3393">
        <v>-319.09289999999999</v>
      </c>
      <c r="H3393" s="1">
        <v>-7.0125540000000004E-6</v>
      </c>
      <c r="I3393">
        <v>144.32149999999999</v>
      </c>
      <c r="J3393">
        <v>-273.81819999999999</v>
      </c>
      <c r="K3393">
        <v>1.11086</v>
      </c>
      <c r="L3393">
        <v>142.27690000000001</v>
      </c>
      <c r="M3393">
        <v>-0.99971259999999995</v>
      </c>
      <c r="N3393">
        <v>-1.026823E-2</v>
      </c>
      <c r="O3393">
        <v>2.1659299999999999E-2</v>
      </c>
      <c r="P3393">
        <v>-0.98078180000000004</v>
      </c>
      <c r="Q3393">
        <v>0.1889817</v>
      </c>
      <c r="R3393">
        <v>-4.8505810000000003E-2</v>
      </c>
      <c r="S3393">
        <v>-3.0793759999999999</v>
      </c>
      <c r="T3393">
        <v>-7.4914099999999997E-2</v>
      </c>
      <c r="U3393">
        <v>0.13841249999999999</v>
      </c>
      <c r="V3393">
        <v>-7.0266699999999904E-2</v>
      </c>
      <c r="W3393">
        <v>0.19884370000000001</v>
      </c>
      <c r="X3393">
        <v>0.97750899999999996</v>
      </c>
      <c r="Y3393">
        <v>2.324613E-2</v>
      </c>
      <c r="Z3393" s="1">
        <v>9.7849869999999998E-5</v>
      </c>
      <c r="AA3393">
        <v>0.9997298</v>
      </c>
      <c r="AB3393">
        <v>38</v>
      </c>
      <c r="AC3393">
        <v>-45.274700000000003</v>
      </c>
      <c r="AD3393">
        <v>-1.1108670125540001</v>
      </c>
      <c r="AE3393">
        <v>2.0445999999999702</v>
      </c>
      <c r="AF3393">
        <v>1.06281168502922</v>
      </c>
      <c r="AG3393">
        <v>-1.1108670125540001</v>
      </c>
      <c r="AH3393">
        <v>45.281160011104497</v>
      </c>
      <c r="AI3393">
        <v>91.404948832768198</v>
      </c>
      <c r="AJ3393">
        <v>88.655435389831496</v>
      </c>
      <c r="AK3393">
        <v>45.307251584582602</v>
      </c>
      <c r="AL3393">
        <v>78.530650510401799</v>
      </c>
      <c r="AM3393">
        <v>94.111545137801102</v>
      </c>
      <c r="AN3393">
        <v>1.00000003561978</v>
      </c>
    </row>
    <row r="3394" spans="1:40" x14ac:dyDescent="0.25">
      <c r="A3394" t="str">
        <f>"20190304155439526"</f>
        <v>20190304155439526</v>
      </c>
      <c r="B3394" t="str">
        <f>"1551686079521004"</f>
        <v>1551686079521004</v>
      </c>
      <c r="C3394" t="s">
        <v>40</v>
      </c>
      <c r="D3394">
        <v>4.6245039999999999</v>
      </c>
      <c r="E3394">
        <v>0.52984489999999995</v>
      </c>
      <c r="F3394" t="s">
        <v>62</v>
      </c>
      <c r="G3394">
        <v>-305.95420000000001</v>
      </c>
      <c r="H3394" s="1">
        <v>-9.9249319999999997E-6</v>
      </c>
      <c r="I3394">
        <v>143.02289999999999</v>
      </c>
      <c r="J3394">
        <v>-274.17759999999998</v>
      </c>
      <c r="K3394">
        <v>1.1109370000000001</v>
      </c>
      <c r="L3394">
        <v>142.28360000000001</v>
      </c>
      <c r="M3394">
        <v>-0.99973869999999998</v>
      </c>
      <c r="N3394">
        <v>-1.0289070000000001E-2</v>
      </c>
      <c r="O3394">
        <v>2.0414999999999999E-2</v>
      </c>
      <c r="P3394">
        <v>-0.98075780000000001</v>
      </c>
      <c r="Q3394">
        <v>0.18886700000000001</v>
      </c>
      <c r="R3394">
        <v>-4.9432120000000003E-2</v>
      </c>
      <c r="S3394">
        <v>-3.0828549999999999</v>
      </c>
      <c r="T3394">
        <v>-0.1065675</v>
      </c>
      <c r="U3394">
        <v>7.1563719999999997E-2</v>
      </c>
      <c r="V3394">
        <v>-7.0009539999999995E-2</v>
      </c>
      <c r="W3394">
        <v>0.19873769999999999</v>
      </c>
      <c r="X3394">
        <v>0.977549</v>
      </c>
      <c r="Y3394">
        <v>2.7956320000000002E-3</v>
      </c>
      <c r="Z3394">
        <v>-4.326205E-4</v>
      </c>
      <c r="AA3394">
        <v>0.999996</v>
      </c>
      <c r="AB3394">
        <v>38</v>
      </c>
      <c r="AC3394">
        <v>-31.776599999999998</v>
      </c>
      <c r="AD3394">
        <v>-1.1109469249320001</v>
      </c>
      <c r="AE3394">
        <v>0.73929999999998497</v>
      </c>
      <c r="AF3394">
        <v>9.0282021478580304E-2</v>
      </c>
      <c r="AG3394">
        <v>-1.1109469249320001</v>
      </c>
      <c r="AH3394">
        <v>31.7462884586249</v>
      </c>
      <c r="AI3394">
        <v>92.004213776818702</v>
      </c>
      <c r="AJ3394">
        <v>89.837059224784099</v>
      </c>
      <c r="AK3394">
        <v>31.7658493481858</v>
      </c>
      <c r="AL3394">
        <v>78.536847457730204</v>
      </c>
      <c r="AM3394">
        <v>94.096382093711597</v>
      </c>
      <c r="AN3394">
        <v>1.0000000282466499</v>
      </c>
    </row>
    <row r="3395" spans="1:40" x14ac:dyDescent="0.25">
      <c r="A3395" t="str">
        <f>"20190304155439549"</f>
        <v>20190304155439549</v>
      </c>
      <c r="B3395" t="str">
        <f>"1551686079540525"</f>
        <v>1551686079540525</v>
      </c>
      <c r="C3395" t="s">
        <v>40</v>
      </c>
      <c r="D3395">
        <v>4.6677359999999997</v>
      </c>
      <c r="E3395">
        <v>0.52842040000000001</v>
      </c>
      <c r="F3395" t="s">
        <v>62</v>
      </c>
      <c r="G3395">
        <v>-313.02690000000001</v>
      </c>
      <c r="H3395" s="1">
        <v>-9.401809E-6</v>
      </c>
      <c r="I3395">
        <v>143.6722</v>
      </c>
      <c r="J3395">
        <v>-274.56810000000002</v>
      </c>
      <c r="K3395">
        <v>1.111011</v>
      </c>
      <c r="L3395">
        <v>142.29040000000001</v>
      </c>
      <c r="M3395">
        <v>-0.9997663</v>
      </c>
      <c r="N3395">
        <v>-1.0314749999999999E-2</v>
      </c>
      <c r="O3395">
        <v>1.899708E-2</v>
      </c>
      <c r="P3395">
        <v>-0.98071220000000003</v>
      </c>
      <c r="Q3395">
        <v>0.18860399999999999</v>
      </c>
      <c r="R3395">
        <v>-5.1305799999999999E-2</v>
      </c>
      <c r="S3395">
        <v>-3.0814210000000002</v>
      </c>
      <c r="T3395">
        <v>-8.8117239999999999E-2</v>
      </c>
      <c r="U3395">
        <v>0.1101379</v>
      </c>
      <c r="V3395">
        <v>-7.0528750000000001E-2</v>
      </c>
      <c r="W3395">
        <v>0.19848579999999999</v>
      </c>
      <c r="X3395">
        <v>0.97756279999999995</v>
      </c>
      <c r="Y3395">
        <v>1.6721239999999998E-2</v>
      </c>
      <c r="Z3395" s="1">
        <v>-2.174932E-5</v>
      </c>
      <c r="AA3395">
        <v>0.99986019999999998</v>
      </c>
      <c r="AB3395">
        <v>38</v>
      </c>
      <c r="AC3395">
        <v>-38.458799999999997</v>
      </c>
      <c r="AD3395">
        <v>-1.111020401809</v>
      </c>
      <c r="AE3395">
        <v>1.3817999999999899</v>
      </c>
      <c r="AF3395">
        <v>0.65036475807517702</v>
      </c>
      <c r="AG3395">
        <v>-1.111020401809</v>
      </c>
      <c r="AH3395">
        <v>38.446066700083698</v>
      </c>
      <c r="AI3395">
        <v>91.6550449975162</v>
      </c>
      <c r="AJ3395">
        <v>89.030860497012895</v>
      </c>
      <c r="AK3395">
        <v>38.467614760458801</v>
      </c>
      <c r="AL3395">
        <v>78.551572990491806</v>
      </c>
      <c r="AM3395">
        <v>94.126599366968193</v>
      </c>
      <c r="AN3395">
        <v>0.99999997266102003</v>
      </c>
    </row>
    <row r="3396" spans="1:40" x14ac:dyDescent="0.25">
      <c r="A3396" t="str">
        <f>"20190304155439572"</f>
        <v>20190304155439572</v>
      </c>
      <c r="B3396" t="str">
        <f>"1551686079561021"</f>
        <v>1551686079561021</v>
      </c>
      <c r="C3396" t="s">
        <v>40</v>
      </c>
      <c r="D3396">
        <v>4.6026059999999998</v>
      </c>
      <c r="E3396">
        <v>0.52790839999999895</v>
      </c>
      <c r="F3396" t="s">
        <v>62</v>
      </c>
      <c r="G3396">
        <v>-312.48320000000001</v>
      </c>
      <c r="H3396" s="1">
        <v>-9.5433709999999998E-6</v>
      </c>
      <c r="I3396">
        <v>143.4333</v>
      </c>
      <c r="J3396">
        <v>-274.9606</v>
      </c>
      <c r="K3396">
        <v>1.1110850000000001</v>
      </c>
      <c r="L3396">
        <v>142.29650000000001</v>
      </c>
      <c r="M3396">
        <v>-0.99979320000000005</v>
      </c>
      <c r="N3396">
        <v>-1.034446E-2</v>
      </c>
      <c r="O3396">
        <v>1.7507950000000001E-2</v>
      </c>
      <c r="P3396">
        <v>-0.98076779999999997</v>
      </c>
      <c r="Q3396">
        <v>0.1878427</v>
      </c>
      <c r="R3396">
        <v>-5.3007899999999997E-2</v>
      </c>
      <c r="S3396">
        <v>-3.0812379999999999</v>
      </c>
      <c r="T3396">
        <v>-9.0288999999999994E-2</v>
      </c>
      <c r="U3396">
        <v>9.2880249999999998E-2</v>
      </c>
      <c r="V3396">
        <v>-7.0804389999999995E-2</v>
      </c>
      <c r="W3396">
        <v>0.19774130000000001</v>
      </c>
      <c r="X3396">
        <v>0.97769379999999995</v>
      </c>
      <c r="Y3396">
        <v>1.262039E-2</v>
      </c>
      <c r="Z3396" s="1">
        <v>-8.1548899999999994E-5</v>
      </c>
      <c r="AA3396">
        <v>0.99992040000000004</v>
      </c>
      <c r="AB3396">
        <v>38</v>
      </c>
      <c r="AC3396">
        <v>-37.522599999999997</v>
      </c>
      <c r="AD3396">
        <v>-1.111094543371</v>
      </c>
      <c r="AE3396">
        <v>1.13679999999999</v>
      </c>
      <c r="AF3396">
        <v>0.47922695782277402</v>
      </c>
      <c r="AG3396">
        <v>-1.111094543371</v>
      </c>
      <c r="AH3396">
        <v>37.503897731013403</v>
      </c>
      <c r="AI3396">
        <v>91.696816180331993</v>
      </c>
      <c r="AJ3396">
        <v>89.267911083888606</v>
      </c>
      <c r="AK3396">
        <v>37.523413152053799</v>
      </c>
      <c r="AL3396">
        <v>78.595092898007806</v>
      </c>
      <c r="AM3396">
        <v>94.142117736476806</v>
      </c>
      <c r="AN3396">
        <v>1.0000000249637</v>
      </c>
    </row>
    <row r="3397" spans="1:40" x14ac:dyDescent="0.25">
      <c r="A3397" t="str">
        <f>"20190304155439594"</f>
        <v>20190304155439594</v>
      </c>
      <c r="B3397" t="str">
        <f>"1551686079590300"</f>
        <v>1551686079590300</v>
      </c>
      <c r="C3397" t="s">
        <v>40</v>
      </c>
      <c r="D3397">
        <v>4.5520149999999999</v>
      </c>
      <c r="E3397">
        <v>0.5258294</v>
      </c>
      <c r="F3397" t="s">
        <v>62</v>
      </c>
      <c r="G3397">
        <v>-310.80180000000001</v>
      </c>
      <c r="H3397" s="1">
        <v>-1.0199789999999999E-5</v>
      </c>
      <c r="I3397">
        <v>143.2723</v>
      </c>
      <c r="J3397">
        <v>-275.33080000000001</v>
      </c>
      <c r="K3397">
        <v>1.111156</v>
      </c>
      <c r="L3397">
        <v>142.30179999999999</v>
      </c>
      <c r="M3397">
        <v>-0.99981739999999997</v>
      </c>
      <c r="N3397">
        <v>-1.037619E-2</v>
      </c>
      <c r="O3397">
        <v>1.604918E-2</v>
      </c>
      <c r="P3397">
        <v>-0.98074890000000003</v>
      </c>
      <c r="Q3397">
        <v>0.18747159999999999</v>
      </c>
      <c r="R3397">
        <v>-5.4647269999999998E-2</v>
      </c>
      <c r="S3397">
        <v>-3.0816349999999999</v>
      </c>
      <c r="T3397">
        <v>-9.5532300000000001E-2</v>
      </c>
      <c r="U3397">
        <v>8.3892820000000007E-2</v>
      </c>
      <c r="V3397">
        <v>-7.1044010000000005E-2</v>
      </c>
      <c r="W3397">
        <v>0.1973907</v>
      </c>
      <c r="X3397">
        <v>0.97774729999999999</v>
      </c>
      <c r="Y3397">
        <v>1.116205E-2</v>
      </c>
      <c r="Z3397" s="1">
        <v>-9.9905739999999997E-5</v>
      </c>
      <c r="AA3397">
        <v>0.99993770000000004</v>
      </c>
      <c r="AB3397">
        <v>38</v>
      </c>
      <c r="AC3397">
        <v>-35.470999999999997</v>
      </c>
      <c r="AD3397">
        <v>-1.11116619979</v>
      </c>
      <c r="AE3397">
        <v>0.97050000000001502</v>
      </c>
      <c r="AF3397">
        <v>0.400671005993322</v>
      </c>
      <c r="AG3397">
        <v>-1.11116619979</v>
      </c>
      <c r="AH3397">
        <v>35.447248423102501</v>
      </c>
      <c r="AI3397">
        <v>91.795350352265899</v>
      </c>
      <c r="AJ3397">
        <v>89.352395996154499</v>
      </c>
      <c r="AK3397">
        <v>35.466923299713201</v>
      </c>
      <c r="AL3397">
        <v>78.615585118160894</v>
      </c>
      <c r="AM3397">
        <v>94.155860060387695</v>
      </c>
      <c r="AN3397">
        <v>1.0000000612303199</v>
      </c>
    </row>
    <row r="3398" spans="1:40" x14ac:dyDescent="0.25">
      <c r="A3398" t="str">
        <f>"20190304155439615"</f>
        <v>20190304155439615</v>
      </c>
      <c r="B3398" t="str">
        <f>"1551686079610797"</f>
        <v>1551686079610797</v>
      </c>
      <c r="C3398" t="s">
        <v>40</v>
      </c>
      <c r="D3398">
        <v>4.5596430000000003</v>
      </c>
      <c r="E3398">
        <v>0.50443850000000001</v>
      </c>
      <c r="F3398" t="s">
        <v>62</v>
      </c>
      <c r="G3398">
        <v>-312.33080000000001</v>
      </c>
      <c r="H3398" s="1">
        <v>-9.4989320000000007E-6</v>
      </c>
      <c r="I3398">
        <v>143.04759999999999</v>
      </c>
      <c r="J3398">
        <v>-275.70609999999999</v>
      </c>
      <c r="K3398">
        <v>1.111226</v>
      </c>
      <c r="L3398">
        <v>142.3065</v>
      </c>
      <c r="M3398">
        <v>-0.99984039999999996</v>
      </c>
      <c r="N3398">
        <v>-1.0411760000000001E-2</v>
      </c>
      <c r="O3398">
        <v>1.4521839999999999E-2</v>
      </c>
      <c r="P3398">
        <v>-0.98072680000000001</v>
      </c>
      <c r="Q3398">
        <v>0.18714500000000001</v>
      </c>
      <c r="R3398">
        <v>-5.6141129999999997E-2</v>
      </c>
      <c r="S3398">
        <v>-3.079987</v>
      </c>
      <c r="T3398">
        <v>-9.2496510000000004E-2</v>
      </c>
      <c r="U3398">
        <v>6.2088009999999999E-2</v>
      </c>
      <c r="V3398">
        <v>-7.1070330000000001E-2</v>
      </c>
      <c r="W3398">
        <v>0.19708819999999999</v>
      </c>
      <c r="X3398">
        <v>0.97780630000000002</v>
      </c>
      <c r="Y3398">
        <v>5.6320099999999998E-3</v>
      </c>
      <c r="Z3398">
        <v>-1.708949E-4</v>
      </c>
      <c r="AA3398">
        <v>0.99998410000000004</v>
      </c>
      <c r="AB3398">
        <v>38</v>
      </c>
      <c r="AC3398">
        <v>-36.624699999999997</v>
      </c>
      <c r="AD3398">
        <v>-1.1112354989319999</v>
      </c>
      <c r="AE3398">
        <v>0.74109999999998799</v>
      </c>
      <c r="AF3398">
        <v>0.20894274008570701</v>
      </c>
      <c r="AG3398">
        <v>-1.1112354989319999</v>
      </c>
      <c r="AH3398">
        <v>36.597922595803603</v>
      </c>
      <c r="AI3398">
        <v>91.739129097398603</v>
      </c>
      <c r="AJ3398">
        <v>89.672893807837198</v>
      </c>
      <c r="AK3398">
        <v>36.615385287214401</v>
      </c>
      <c r="AL3398">
        <v>78.633263174208494</v>
      </c>
      <c r="AM3398">
        <v>94.157144329323998</v>
      </c>
      <c r="AN3398">
        <v>0.99999995535261799</v>
      </c>
    </row>
    <row r="3399" spans="1:40" x14ac:dyDescent="0.25">
      <c r="A3399" t="str">
        <f>"20190304155439637"</f>
        <v>20190304155439637</v>
      </c>
      <c r="B3399" t="str">
        <f>"1551686079630317"</f>
        <v>1551686079630317</v>
      </c>
      <c r="C3399" t="s">
        <v>40</v>
      </c>
      <c r="D3399">
        <v>4.5430549999999998</v>
      </c>
      <c r="E3399">
        <v>0.5063415</v>
      </c>
      <c r="F3399" t="s">
        <v>62</v>
      </c>
      <c r="G3399">
        <v>-312.36619999999999</v>
      </c>
      <c r="H3399" s="1">
        <v>-8.9331379999999999E-6</v>
      </c>
      <c r="I3399">
        <v>140.95480000000001</v>
      </c>
      <c r="J3399">
        <v>-276.07560000000001</v>
      </c>
      <c r="K3399">
        <v>1.111283</v>
      </c>
      <c r="L3399">
        <v>142.31049999999999</v>
      </c>
      <c r="M3399">
        <v>-0.99986129999999995</v>
      </c>
      <c r="N3399">
        <v>-1.0450340000000001E-2</v>
      </c>
      <c r="O3399">
        <v>1.297397E-2</v>
      </c>
      <c r="P3399">
        <v>-0.98064289999999998</v>
      </c>
      <c r="Q3399">
        <v>0.18693750000000001</v>
      </c>
      <c r="R3399">
        <v>-5.8256860000000001E-2</v>
      </c>
      <c r="S3399">
        <v>-3.0702509999999998</v>
      </c>
      <c r="T3399">
        <v>-9.3064789999999994E-2</v>
      </c>
      <c r="U3399">
        <v>-0.113205</v>
      </c>
      <c r="V3399">
        <v>-7.1696380000000004E-2</v>
      </c>
      <c r="W3399">
        <v>0.19690589999999999</v>
      </c>
      <c r="X3399">
        <v>0.97779740000000004</v>
      </c>
      <c r="Y3399">
        <v>-4.9776019999999997E-2</v>
      </c>
      <c r="Z3399">
        <v>-1.2717760000000001E-3</v>
      </c>
      <c r="AA3399">
        <v>0.99875959999999997</v>
      </c>
      <c r="AB3399">
        <v>38</v>
      </c>
      <c r="AC3399">
        <v>-36.290599999999898</v>
      </c>
      <c r="AD3399">
        <v>-1.111291933138</v>
      </c>
      <c r="AE3399">
        <v>-1.3556999999999799</v>
      </c>
      <c r="AF3399">
        <v>-1.82473602932685</v>
      </c>
      <c r="AG3399">
        <v>-1.111291933138</v>
      </c>
      <c r="AH3399">
        <v>36.236023991469096</v>
      </c>
      <c r="AI3399">
        <v>91.754383558895199</v>
      </c>
      <c r="AJ3399">
        <v>92.8828061896332</v>
      </c>
      <c r="AK3399">
        <v>36.298954062723404</v>
      </c>
      <c r="AL3399">
        <v>78.643917824025607</v>
      </c>
      <c r="AM3399">
        <v>94.193672070528095</v>
      </c>
      <c r="AN3399">
        <v>1.00000002990333</v>
      </c>
    </row>
    <row r="3400" spans="1:40" x14ac:dyDescent="0.25">
      <c r="A3400" t="str">
        <f>"20190304155439660"</f>
        <v>20190304155439660</v>
      </c>
      <c r="B3400" t="str">
        <f>"1551686079650812"</f>
        <v>1551686079650812</v>
      </c>
      <c r="C3400" t="s">
        <v>40</v>
      </c>
      <c r="D3400">
        <v>4.5411720000000004</v>
      </c>
      <c r="E3400">
        <v>0.50685559999999996</v>
      </c>
      <c r="F3400" t="s">
        <v>62</v>
      </c>
      <c r="G3400">
        <v>-314.95139999999998</v>
      </c>
      <c r="H3400" s="1">
        <v>-7.9668930000000008E-6</v>
      </c>
      <c r="I3400">
        <v>140.98099999999999</v>
      </c>
      <c r="J3400">
        <v>-276.47840000000002</v>
      </c>
      <c r="K3400">
        <v>1.1113500000000001</v>
      </c>
      <c r="L3400">
        <v>142.3143</v>
      </c>
      <c r="M3400">
        <v>-0.99988169999999998</v>
      </c>
      <c r="N3400">
        <v>-1.0498179999999999E-2</v>
      </c>
      <c r="O3400">
        <v>1.1244280000000001E-2</v>
      </c>
      <c r="P3400">
        <v>-0.98061679999999996</v>
      </c>
      <c r="Q3400">
        <v>0.1865455</v>
      </c>
      <c r="R3400">
        <v>-5.9931739999999997E-2</v>
      </c>
      <c r="S3400">
        <v>-3.0697019999999999</v>
      </c>
      <c r="T3400">
        <v>-8.7749480000000005E-2</v>
      </c>
      <c r="U3400">
        <v>-0.1049805</v>
      </c>
      <c r="V3400">
        <v>-7.170253E-2</v>
      </c>
      <c r="W3400">
        <v>0.19655059999999999</v>
      </c>
      <c r="X3400">
        <v>0.97786839999999997</v>
      </c>
      <c r="Y3400">
        <v>-4.538793E-2</v>
      </c>
      <c r="Z3400">
        <v>-1.0900700000000001E-3</v>
      </c>
      <c r="AA3400">
        <v>0.99896879999999999</v>
      </c>
      <c r="AB3400">
        <v>38</v>
      </c>
      <c r="AC3400">
        <v>-38.4729999999999</v>
      </c>
      <c r="AD3400">
        <v>-1.111357966893</v>
      </c>
      <c r="AE3400">
        <v>-1.3332999999999999</v>
      </c>
      <c r="AF3400">
        <v>-1.7643702158874399</v>
      </c>
      <c r="AG3400">
        <v>-1.111357966893</v>
      </c>
      <c r="AH3400">
        <v>38.423550946392503</v>
      </c>
      <c r="AI3400">
        <v>91.655011084257197</v>
      </c>
      <c r="AJ3400">
        <v>92.629116837508604</v>
      </c>
      <c r="AK3400">
        <v>38.480090775871503</v>
      </c>
      <c r="AL3400">
        <v>78.664680412348204</v>
      </c>
      <c r="AM3400">
        <v>94.193727084308406</v>
      </c>
      <c r="AN3400">
        <v>0.99999999944366003</v>
      </c>
    </row>
    <row r="3401" spans="1:40" x14ac:dyDescent="0.25">
      <c r="A3401" t="str">
        <f>"20190304155439684"</f>
        <v>20190304155439684</v>
      </c>
      <c r="B3401" t="str">
        <f>"1551686079681068"</f>
        <v>1551686079681068</v>
      </c>
      <c r="C3401" t="s">
        <v>40</v>
      </c>
      <c r="D3401">
        <v>4.5164289999999996</v>
      </c>
      <c r="E3401">
        <v>0.50794280000000003</v>
      </c>
      <c r="F3401" t="s">
        <v>62</v>
      </c>
      <c r="G3401">
        <v>-316.10829999999999</v>
      </c>
      <c r="H3401" s="1">
        <v>-7.4451930000000003E-6</v>
      </c>
      <c r="I3401">
        <v>140.94649999999999</v>
      </c>
      <c r="J3401">
        <v>-276.87529999999998</v>
      </c>
      <c r="K3401">
        <v>1.1114059999999999</v>
      </c>
      <c r="L3401">
        <v>142.31720000000001</v>
      </c>
      <c r="M3401">
        <v>-0.99989919999999999</v>
      </c>
      <c r="N3401">
        <v>-1.055327E-2</v>
      </c>
      <c r="O3401">
        <v>9.5003489999999999E-3</v>
      </c>
      <c r="P3401">
        <v>-0.98061969999999998</v>
      </c>
      <c r="Q3401">
        <v>0.18596789999999999</v>
      </c>
      <c r="R3401">
        <v>-6.16518E-2</v>
      </c>
      <c r="S3401">
        <v>-3.0691830000000002</v>
      </c>
      <c r="T3401">
        <v>-8.6070300000000002E-2</v>
      </c>
      <c r="U3401">
        <v>-0.10592650000000001</v>
      </c>
      <c r="V3401">
        <v>-7.1736889999999998E-2</v>
      </c>
      <c r="W3401">
        <v>0.1960189</v>
      </c>
      <c r="X3401">
        <v>0.97797259999999997</v>
      </c>
      <c r="Y3401">
        <v>-4.3960850000000003E-2</v>
      </c>
      <c r="Z3401">
        <v>-1.014285E-3</v>
      </c>
      <c r="AA3401">
        <v>0.9990327</v>
      </c>
      <c r="AB3401">
        <v>38</v>
      </c>
      <c r="AC3401">
        <v>-39.232999999999997</v>
      </c>
      <c r="AD3401">
        <v>-1.111413445193</v>
      </c>
      <c r="AE3401">
        <v>-1.37070000000002</v>
      </c>
      <c r="AF3401">
        <v>-1.7419898239577201</v>
      </c>
      <c r="AG3401">
        <v>-1.111413445193</v>
      </c>
      <c r="AH3401">
        <v>39.186797091829199</v>
      </c>
      <c r="AI3401">
        <v>91.622981793335896</v>
      </c>
      <c r="AJ3401">
        <v>92.545321529789405</v>
      </c>
      <c r="AK3401">
        <v>39.241238954817902</v>
      </c>
      <c r="AL3401">
        <v>78.6957489456791</v>
      </c>
      <c r="AM3401">
        <v>94.195284105880404</v>
      </c>
      <c r="AN3401">
        <v>0.99999999844742105</v>
      </c>
    </row>
    <row r="3402" spans="1:40" x14ac:dyDescent="0.25">
      <c r="A3402" t="str">
        <f>"20190304155439707"</f>
        <v>20190304155439707</v>
      </c>
      <c r="B3402" t="str">
        <f>"1551686079700589"</f>
        <v>1551686079700589</v>
      </c>
      <c r="C3402" t="s">
        <v>40</v>
      </c>
      <c r="D3402">
        <v>4.5334890000000003</v>
      </c>
      <c r="E3402">
        <v>0.50846340000000001</v>
      </c>
      <c r="F3402" t="s">
        <v>62</v>
      </c>
      <c r="G3402">
        <v>-317.43209999999999</v>
      </c>
      <c r="H3402" s="1">
        <v>-6.86256099999999E-6</v>
      </c>
      <c r="I3402">
        <v>140.9632</v>
      </c>
      <c r="J3402">
        <v>-277.2688</v>
      </c>
      <c r="K3402">
        <v>1.111453</v>
      </c>
      <c r="L3402">
        <v>142.3194</v>
      </c>
      <c r="M3402">
        <v>-0.99991379999999996</v>
      </c>
      <c r="N3402">
        <v>-1.0610090000000001E-2</v>
      </c>
      <c r="O3402">
        <v>7.7439730000000003E-3</v>
      </c>
      <c r="P3402">
        <v>-0.98058380000000001</v>
      </c>
      <c r="Q3402">
        <v>0.18568309999999999</v>
      </c>
      <c r="R3402">
        <v>-6.3068139999999995E-2</v>
      </c>
      <c r="S3402">
        <v>-3.068756</v>
      </c>
      <c r="T3402">
        <v>-8.4095840000000005E-2</v>
      </c>
      <c r="U3402">
        <v>-0.1024475</v>
      </c>
      <c r="V3402">
        <v>-7.1450699999999895E-2</v>
      </c>
      <c r="W3402">
        <v>0.19578470000000001</v>
      </c>
      <c r="X3402">
        <v>0.97804049999999998</v>
      </c>
      <c r="Y3402">
        <v>-4.1082100000000003E-2</v>
      </c>
      <c r="Z3402">
        <v>-9.1069719999999999E-4</v>
      </c>
      <c r="AA3402">
        <v>0.99915529999999997</v>
      </c>
      <c r="AB3402">
        <v>39</v>
      </c>
      <c r="AC3402">
        <v>-40.1632999999999</v>
      </c>
      <c r="AD3402">
        <v>-1.1114598625609999</v>
      </c>
      <c r="AE3402">
        <v>-1.3562000000000001</v>
      </c>
      <c r="AF3402">
        <v>-1.6659259726808</v>
      </c>
      <c r="AG3402">
        <v>-1.1114598625609999</v>
      </c>
      <c r="AH3402">
        <v>40.120902058341898</v>
      </c>
      <c r="AI3402">
        <v>91.585480076510905</v>
      </c>
      <c r="AJ3402">
        <v>92.377706447902298</v>
      </c>
      <c r="AK3402">
        <v>40.170853044808403</v>
      </c>
      <c r="AL3402">
        <v>78.709433184919703</v>
      </c>
      <c r="AM3402">
        <v>94.178317604485201</v>
      </c>
      <c r="AN3402">
        <v>1.0000000354624099</v>
      </c>
    </row>
    <row r="3403" spans="1:40" x14ac:dyDescent="0.25">
      <c r="A3403" t="str">
        <f>"20190304155439725"</f>
        <v>20190304155439725</v>
      </c>
      <c r="B3403" t="str">
        <f>"1551686079721084"</f>
        <v>1551686079721084</v>
      </c>
      <c r="C3403" t="s">
        <v>40</v>
      </c>
      <c r="D3403">
        <v>4.5334680000000001</v>
      </c>
      <c r="E3403">
        <v>0.50878369999999995</v>
      </c>
      <c r="F3403" t="s">
        <v>62</v>
      </c>
      <c r="G3403">
        <v>-318.66460000000001</v>
      </c>
      <c r="H3403" s="1">
        <v>-6.3081319999999998E-6</v>
      </c>
      <c r="I3403">
        <v>140.93350000000001</v>
      </c>
      <c r="J3403">
        <v>-277.60809999999998</v>
      </c>
      <c r="K3403">
        <v>1.111486</v>
      </c>
      <c r="L3403">
        <v>142.32069999999999</v>
      </c>
      <c r="M3403">
        <v>-0.99992400000000004</v>
      </c>
      <c r="N3403">
        <v>-1.065817E-2</v>
      </c>
      <c r="O3403">
        <v>6.2141899999999996E-3</v>
      </c>
      <c r="P3403">
        <v>-0.98047949999999995</v>
      </c>
      <c r="Q3403">
        <v>0.1860136</v>
      </c>
      <c r="R3403">
        <v>-6.3712690000000002E-2</v>
      </c>
      <c r="S3403">
        <v>-3.06839</v>
      </c>
      <c r="T3403">
        <v>-8.2384819999999997E-2</v>
      </c>
      <c r="U3403">
        <v>-0.1027222</v>
      </c>
      <c r="V3403">
        <v>-7.0611409999999999E-2</v>
      </c>
      <c r="W3403">
        <v>0.19616020000000001</v>
      </c>
      <c r="X3403">
        <v>0.97802619999999896</v>
      </c>
      <c r="Y3403">
        <v>-3.9648460000000003E-2</v>
      </c>
      <c r="Z3403">
        <v>-8.4400289999999895E-4</v>
      </c>
      <c r="AA3403">
        <v>0.99921329999999997</v>
      </c>
      <c r="AB3403">
        <v>39</v>
      </c>
      <c r="AC3403">
        <v>-41.0565</v>
      </c>
      <c r="AD3403">
        <v>-1.1114923081320001</v>
      </c>
      <c r="AE3403">
        <v>-1.38719999999997</v>
      </c>
      <c r="AF3403">
        <v>-1.6411191519928301</v>
      </c>
      <c r="AG3403">
        <v>-1.1114923081320001</v>
      </c>
      <c r="AH3403">
        <v>41.017058942688998</v>
      </c>
      <c r="AI3403">
        <v>91.550997632147002</v>
      </c>
      <c r="AJ3403">
        <v>92.291219215521494</v>
      </c>
      <c r="AK3403">
        <v>41.064921910678201</v>
      </c>
      <c r="AL3403">
        <v>78.687493031701294</v>
      </c>
      <c r="AM3403">
        <v>94.129468282046702</v>
      </c>
      <c r="AN3403">
        <v>1.0000000215863301</v>
      </c>
    </row>
    <row r="3404" spans="1:40" x14ac:dyDescent="0.25">
      <c r="A3404" t="str">
        <f>"20190304155439749"</f>
        <v>20190304155439749</v>
      </c>
      <c r="B3404" t="str">
        <f>"1551686079740604"</f>
        <v>1551686079740604</v>
      </c>
      <c r="C3404" t="s">
        <v>40</v>
      </c>
      <c r="D3404">
        <v>4.5514010000000003</v>
      </c>
      <c r="E3404">
        <v>0.50893429999999995</v>
      </c>
      <c r="F3404" t="s">
        <v>46</v>
      </c>
      <c r="G3404">
        <v>-320.94080000000002</v>
      </c>
      <c r="H3404" s="1">
        <v>-4.1792870000000002E-6</v>
      </c>
      <c r="I3404">
        <v>140.876</v>
      </c>
      <c r="J3404">
        <v>-278.00549999999998</v>
      </c>
      <c r="K3404">
        <v>1.1115269999999999</v>
      </c>
      <c r="L3404">
        <v>142.32159999999999</v>
      </c>
      <c r="M3404">
        <v>-0.99993290000000001</v>
      </c>
      <c r="N3404">
        <v>-1.0716120000000001E-2</v>
      </c>
      <c r="O3404">
        <v>4.4107290000000004E-3</v>
      </c>
      <c r="P3404">
        <v>-0.98037859999999999</v>
      </c>
      <c r="Q3404">
        <v>0.1860858</v>
      </c>
      <c r="R3404">
        <v>-6.503892E-2</v>
      </c>
      <c r="S3404">
        <v>-3.067993</v>
      </c>
      <c r="T3404">
        <v>-7.869458E-2</v>
      </c>
      <c r="U3404">
        <v>-0.1022797</v>
      </c>
      <c r="V3404">
        <v>-7.0183330000000002E-2</v>
      </c>
      <c r="W3404">
        <v>0.1962864</v>
      </c>
      <c r="X3404">
        <v>0.97803169999999995</v>
      </c>
      <c r="Y3404">
        <v>-3.7709279999999998E-2</v>
      </c>
      <c r="Z3404">
        <v>-7.5140759999999895E-4</v>
      </c>
      <c r="AA3404">
        <v>0.99928850000000002</v>
      </c>
      <c r="AB3404">
        <v>39</v>
      </c>
      <c r="AC3404">
        <v>-42.935299999999998</v>
      </c>
      <c r="AD3404">
        <v>-1.111531179287</v>
      </c>
      <c r="AE3404">
        <v>-1.44559999999998</v>
      </c>
      <c r="AF3404">
        <v>-1.63387896433507</v>
      </c>
      <c r="AG3404">
        <v>-1.111531179287</v>
      </c>
      <c r="AH3404">
        <v>42.899786258032101</v>
      </c>
      <c r="AI3404">
        <v>91.483123737195299</v>
      </c>
      <c r="AJ3404">
        <v>92.181109805718094</v>
      </c>
      <c r="AK3404">
        <v>42.945275910366099</v>
      </c>
      <c r="AL3404">
        <v>78.680119025018001</v>
      </c>
      <c r="AM3404">
        <v>94.104496298003696</v>
      </c>
      <c r="AN3404">
        <v>1.00000002841986</v>
      </c>
    </row>
    <row r="3405" spans="1:40" x14ac:dyDescent="0.25">
      <c r="A3405" t="str">
        <f>"20190304155439771"</f>
        <v>20190304155439771</v>
      </c>
      <c r="B3405" t="str">
        <f>"1551686079761100"</f>
        <v>1551686079761100</v>
      </c>
      <c r="C3405" t="s">
        <v>40</v>
      </c>
      <c r="D3405">
        <v>4.6906549999999996</v>
      </c>
      <c r="E3405">
        <v>0.53730959999999905</v>
      </c>
      <c r="F3405" t="s">
        <v>46</v>
      </c>
      <c r="G3405">
        <v>-322.1696</v>
      </c>
      <c r="H3405" s="1">
        <v>-3.6554140000000002E-6</v>
      </c>
      <c r="I3405">
        <v>140.7961</v>
      </c>
      <c r="J3405">
        <v>-278.38529999999997</v>
      </c>
      <c r="K3405">
        <v>1.111556</v>
      </c>
      <c r="L3405">
        <v>142.32169999999999</v>
      </c>
      <c r="M3405">
        <v>-0.99993829999999995</v>
      </c>
      <c r="N3405">
        <v>-1.0774550000000001E-2</v>
      </c>
      <c r="O3405">
        <v>2.679861E-3</v>
      </c>
      <c r="P3405">
        <v>-0.98033060000000005</v>
      </c>
      <c r="Q3405">
        <v>0.18596470000000001</v>
      </c>
      <c r="R3405">
        <v>-6.6096879999999997E-2</v>
      </c>
      <c r="S3405">
        <v>-3.0676269999999999</v>
      </c>
      <c r="T3405">
        <v>-7.7206730000000001E-2</v>
      </c>
      <c r="U3405">
        <v>-0.105957</v>
      </c>
      <c r="V3405">
        <v>-6.9555099999999995E-2</v>
      </c>
      <c r="W3405">
        <v>0.19622239999999999</v>
      </c>
      <c r="X3405">
        <v>0.9780894</v>
      </c>
      <c r="Y3405">
        <v>-3.7181020000000002E-2</v>
      </c>
      <c r="Z3405">
        <v>-7.0664570000000002E-4</v>
      </c>
      <c r="AA3405">
        <v>0.99930830000000004</v>
      </c>
      <c r="AB3405">
        <v>39</v>
      </c>
      <c r="AC3405">
        <v>-43.784300000000002</v>
      </c>
      <c r="AD3405">
        <v>-1.1115596554139999</v>
      </c>
      <c r="AE3405">
        <v>-1.5255999999999901</v>
      </c>
      <c r="AF3405">
        <v>-1.6418802550343199</v>
      </c>
      <c r="AG3405">
        <v>-1.1115596554139999</v>
      </c>
      <c r="AH3405">
        <v>43.751889849427201</v>
      </c>
      <c r="AI3405">
        <v>91.454319136188403</v>
      </c>
      <c r="AJ3405">
        <v>92.149134274252503</v>
      </c>
      <c r="AK3405">
        <v>43.796794415069101</v>
      </c>
      <c r="AL3405">
        <v>78.683858449075899</v>
      </c>
      <c r="AM3405">
        <v>94.067640565296202</v>
      </c>
      <c r="AN3405">
        <v>1.00000000829506</v>
      </c>
    </row>
    <row r="3406" spans="1:40" x14ac:dyDescent="0.25">
      <c r="A3406" t="str">
        <f>"20190304155439793"</f>
        <v>20190304155439793</v>
      </c>
      <c r="B3406" t="str">
        <f>"1551686079790381"</f>
        <v>1551686079790381</v>
      </c>
      <c r="C3406" t="s">
        <v>40</v>
      </c>
      <c r="D3406">
        <v>4.610894</v>
      </c>
      <c r="E3406">
        <v>0.63000040000000002</v>
      </c>
      <c r="F3406" t="s">
        <v>62</v>
      </c>
      <c r="G3406">
        <v>-313.1422</v>
      </c>
      <c r="H3406" s="1">
        <v>-9.3491679999999993E-6</v>
      </c>
      <c r="I3406">
        <v>143.63730000000001</v>
      </c>
      <c r="J3406">
        <v>-278.77109999999999</v>
      </c>
      <c r="K3406">
        <v>1.11158</v>
      </c>
      <c r="L3406">
        <v>142.3212</v>
      </c>
      <c r="M3406">
        <v>-0.99994090000000002</v>
      </c>
      <c r="N3406">
        <v>-1.0835330000000001E-2</v>
      </c>
      <c r="O3406">
        <v>9.1780910000000004E-4</v>
      </c>
      <c r="P3406">
        <v>-0.98032059999999999</v>
      </c>
      <c r="Q3406">
        <v>0.1855088</v>
      </c>
      <c r="R3406">
        <v>-6.7512119999999995E-2</v>
      </c>
      <c r="S3406">
        <v>-3.086792</v>
      </c>
      <c r="T3406">
        <v>-9.8719000000000001E-2</v>
      </c>
      <c r="U3406">
        <v>0.1168365</v>
      </c>
      <c r="V3406">
        <v>-6.9249619999999998E-2</v>
      </c>
      <c r="W3406">
        <v>0.19582540000000001</v>
      </c>
      <c r="X3406">
        <v>0.97819069999999997</v>
      </c>
      <c r="Y3406">
        <v>3.6881150000000001E-2</v>
      </c>
      <c r="Z3406">
        <v>7.6994909999999995E-4</v>
      </c>
      <c r="AA3406">
        <v>0.99931939999999997</v>
      </c>
      <c r="AB3406">
        <v>39</v>
      </c>
      <c r="AC3406">
        <v>-34.371099999999998</v>
      </c>
      <c r="AD3406">
        <v>-1.111589349168</v>
      </c>
      <c r="AE3406">
        <v>1.3161</v>
      </c>
      <c r="AF3406">
        <v>1.2832113040754101</v>
      </c>
      <c r="AG3406">
        <v>-1.111589349168</v>
      </c>
      <c r="AH3406">
        <v>34.336432655271899</v>
      </c>
      <c r="AI3406">
        <v>91.8529228260455</v>
      </c>
      <c r="AJ3406">
        <v>87.859754593007594</v>
      </c>
      <c r="AK3406">
        <v>34.378377937624002</v>
      </c>
      <c r="AL3406">
        <v>78.707055626791004</v>
      </c>
      <c r="AM3406">
        <v>94.049417412406399</v>
      </c>
      <c r="AN3406">
        <v>1.0000000713608901</v>
      </c>
    </row>
    <row r="3407" spans="1:40" x14ac:dyDescent="0.25">
      <c r="A3407" t="str">
        <f>"20190304155439816"</f>
        <v>20190304155439816</v>
      </c>
      <c r="B3407" t="str">
        <f>"1551686079810877"</f>
        <v>1551686079810877</v>
      </c>
      <c r="C3407" t="s">
        <v>40</v>
      </c>
      <c r="D3407">
        <v>4.5023849999999896</v>
      </c>
      <c r="E3407">
        <v>0.63793559999999905</v>
      </c>
      <c r="F3407" t="s">
        <v>62</v>
      </c>
      <c r="G3407">
        <v>-292.88130000000001</v>
      </c>
      <c r="H3407" s="1">
        <v>-1.04255E-5</v>
      </c>
      <c r="I3407">
        <v>146.1285</v>
      </c>
      <c r="J3407">
        <v>-279.15960000000001</v>
      </c>
      <c r="K3407">
        <v>1.111604</v>
      </c>
      <c r="L3407">
        <v>142.32</v>
      </c>
      <c r="M3407">
        <v>-0.9999403</v>
      </c>
      <c r="N3407">
        <v>-1.0902179999999999E-2</v>
      </c>
      <c r="O3407">
        <v>-8.5771350000000003E-4</v>
      </c>
      <c r="P3407">
        <v>-0.98017679999999996</v>
      </c>
      <c r="Q3407">
        <v>0.18572520000000001</v>
      </c>
      <c r="R3407">
        <v>-6.8990170000000003E-2</v>
      </c>
      <c r="S3407">
        <v>-3.1662599999999999</v>
      </c>
      <c r="T3407">
        <v>-0.2494353</v>
      </c>
      <c r="U3407">
        <v>0.85433959999999998</v>
      </c>
      <c r="V3407">
        <v>-6.8994730000000004E-2</v>
      </c>
      <c r="W3407">
        <v>0.1961059</v>
      </c>
      <c r="X3407">
        <v>0.97815249999999998</v>
      </c>
      <c r="Y3407">
        <v>0.26047290000000001</v>
      </c>
      <c r="Z3407">
        <v>1.15692E-2</v>
      </c>
      <c r="AA3407">
        <v>0.96541180000000004</v>
      </c>
      <c r="AB3407">
        <v>39</v>
      </c>
      <c r="AC3407">
        <v>-13.721699999999901</v>
      </c>
      <c r="AD3407">
        <v>-1.1116144255</v>
      </c>
      <c r="AE3407">
        <v>3.8085</v>
      </c>
      <c r="AF3407">
        <v>3.7971310017768101</v>
      </c>
      <c r="AG3407">
        <v>-1.1116144255</v>
      </c>
      <c r="AH3407">
        <v>13.635342043273999</v>
      </c>
      <c r="AI3407">
        <v>94.490571655676504</v>
      </c>
      <c r="AJ3407">
        <v>74.438695800652795</v>
      </c>
      <c r="AK3407">
        <v>14.197761905057799</v>
      </c>
      <c r="AL3407">
        <v>78.690666199624999</v>
      </c>
      <c r="AM3407">
        <v>94.034718904809793</v>
      </c>
      <c r="AN3407">
        <v>1.0000000550194099</v>
      </c>
    </row>
    <row r="3408" spans="1:40" x14ac:dyDescent="0.25">
      <c r="A3408" t="str">
        <f>"20190304155439839"</f>
        <v>20190304155439839</v>
      </c>
      <c r="B3408" t="str">
        <f>"1551686079830396"</f>
        <v>1551686079830396</v>
      </c>
      <c r="C3408" t="s">
        <v>40</v>
      </c>
      <c r="D3408">
        <v>4.4600600000000004</v>
      </c>
      <c r="E3408">
        <v>0.64681730000000004</v>
      </c>
      <c r="F3408" t="s">
        <v>62</v>
      </c>
      <c r="G3408">
        <v>-293.60829999999999</v>
      </c>
      <c r="H3408" s="1">
        <v>-1.045E-5</v>
      </c>
      <c r="I3408">
        <v>146.47799999999901</v>
      </c>
      <c r="J3408">
        <v>-279.5376</v>
      </c>
      <c r="K3408">
        <v>1.111623</v>
      </c>
      <c r="L3408">
        <v>142.31819999999999</v>
      </c>
      <c r="M3408">
        <v>-0.99993650000000001</v>
      </c>
      <c r="N3408">
        <v>-1.097588E-2</v>
      </c>
      <c r="O3408">
        <v>-2.5847299999999999E-3</v>
      </c>
      <c r="P3408">
        <v>-0.98001609999999995</v>
      </c>
      <c r="Q3408">
        <v>0.18608150000000001</v>
      </c>
      <c r="R3408">
        <v>-7.0303350000000001E-2</v>
      </c>
      <c r="S3408">
        <v>-3.1711429999999998</v>
      </c>
      <c r="T3408">
        <v>-0.24397179999999999</v>
      </c>
      <c r="U3408">
        <v>0.91258240000000002</v>
      </c>
      <c r="V3408">
        <v>-6.8623080000000003E-2</v>
      </c>
      <c r="W3408">
        <v>0.19653280000000001</v>
      </c>
      <c r="X3408">
        <v>0.97809290000000004</v>
      </c>
      <c r="Y3408">
        <v>0.27815640000000003</v>
      </c>
      <c r="Z3408">
        <v>1.2198789999999999E-2</v>
      </c>
      <c r="AA3408">
        <v>0.96045829999999999</v>
      </c>
      <c r="AB3408">
        <v>39</v>
      </c>
      <c r="AC3408">
        <v>-14.070699999999899</v>
      </c>
      <c r="AD3408">
        <v>-1.11163345</v>
      </c>
      <c r="AE3408">
        <v>4.15979999999999</v>
      </c>
      <c r="AF3408">
        <v>4.1722092982613903</v>
      </c>
      <c r="AG3408">
        <v>-1.11163345</v>
      </c>
      <c r="AH3408">
        <v>13.979658913588899</v>
      </c>
      <c r="AI3408">
        <v>94.357336155509202</v>
      </c>
      <c r="AJ3408">
        <v>73.3823410402902</v>
      </c>
      <c r="AK3408">
        <v>14.631265245902201</v>
      </c>
      <c r="AL3408">
        <v>78.665720511670301</v>
      </c>
      <c r="AM3408">
        <v>94.013300250706394</v>
      </c>
      <c r="AN3408">
        <v>0.99999999480746804</v>
      </c>
    </row>
    <row r="3409" spans="1:40" x14ac:dyDescent="0.25">
      <c r="A3409" t="str">
        <f>"20190304155439862"</f>
        <v>20190304155439862</v>
      </c>
      <c r="B3409" t="str">
        <f>"1551686079850896"</f>
        <v>1551686079850896</v>
      </c>
      <c r="C3409" t="s">
        <v>40</v>
      </c>
      <c r="D3409">
        <v>4.4712440000000004</v>
      </c>
      <c r="E3409">
        <v>0.65371190000000001</v>
      </c>
      <c r="F3409" t="s">
        <v>62</v>
      </c>
      <c r="G3409">
        <v>-292.85770000000002</v>
      </c>
      <c r="H3409" s="1">
        <v>-1.050652E-5</v>
      </c>
      <c r="I3409">
        <v>146.416</v>
      </c>
      <c r="J3409">
        <v>-279.94940000000003</v>
      </c>
      <c r="K3409">
        <v>1.1116459999999999</v>
      </c>
      <c r="L3409">
        <v>142.31549999999999</v>
      </c>
      <c r="M3409">
        <v>-0.99992879999999995</v>
      </c>
      <c r="N3409">
        <v>-1.106816E-2</v>
      </c>
      <c r="O3409">
        <v>-4.4621799999999996E-3</v>
      </c>
      <c r="P3409">
        <v>-0.97991600000000001</v>
      </c>
      <c r="Q3409">
        <v>0.18627270000000001</v>
      </c>
      <c r="R3409">
        <v>-7.1184940000000002E-2</v>
      </c>
      <c r="S3409">
        <v>-3.1818240000000002</v>
      </c>
      <c r="T3409">
        <v>-0.26554060000000002</v>
      </c>
      <c r="U3409">
        <v>0.97886660000000003</v>
      </c>
      <c r="V3409">
        <v>-6.7670930000000004E-2</v>
      </c>
      <c r="W3409">
        <v>0.19681709999999999</v>
      </c>
      <c r="X3409">
        <v>0.97810209999999997</v>
      </c>
      <c r="Y3409">
        <v>0.29721540000000002</v>
      </c>
      <c r="Z3409">
        <v>1.4102419999999999E-2</v>
      </c>
      <c r="AA3409">
        <v>0.95470630000000001</v>
      </c>
      <c r="AB3409">
        <v>39</v>
      </c>
      <c r="AC3409">
        <v>-12.908299999999899</v>
      </c>
      <c r="AD3409">
        <v>-1.1116565065199999</v>
      </c>
      <c r="AE3409">
        <v>4.10050000000001</v>
      </c>
      <c r="AF3409">
        <v>4.1302374324243099</v>
      </c>
      <c r="AG3409">
        <v>-1.1116565065199999</v>
      </c>
      <c r="AH3409">
        <v>12.8036182589383</v>
      </c>
      <c r="AI3409">
        <v>94.723660069459996</v>
      </c>
      <c r="AJ3409">
        <v>72.121149406820706</v>
      </c>
      <c r="AK3409">
        <v>13.499158564788599</v>
      </c>
      <c r="AL3409">
        <v>78.649107146205793</v>
      </c>
      <c r="AM3409">
        <v>93.957756527975604</v>
      </c>
      <c r="AN3409">
        <v>1.00000002182194</v>
      </c>
    </row>
    <row r="3410" spans="1:40" x14ac:dyDescent="0.25">
      <c r="A3410" t="str">
        <f>"20190304155439884"</f>
        <v>20190304155439884</v>
      </c>
      <c r="B3410" t="str">
        <f>"1551686079880172"</f>
        <v>1551686079880172</v>
      </c>
      <c r="C3410" t="s">
        <v>40</v>
      </c>
      <c r="D3410">
        <v>4.54678</v>
      </c>
      <c r="E3410">
        <v>0.65525599999999995</v>
      </c>
      <c r="F3410" t="s">
        <v>62</v>
      </c>
      <c r="G3410">
        <v>-292.6995</v>
      </c>
      <c r="H3410" s="1">
        <v>-1.0527360000000001E-5</v>
      </c>
      <c r="I3410">
        <v>146.43559999999999</v>
      </c>
      <c r="J3410">
        <v>-280.32679999999999</v>
      </c>
      <c r="K3410">
        <v>1.1116680000000001</v>
      </c>
      <c r="L3410">
        <v>142.31229999999999</v>
      </c>
      <c r="M3410">
        <v>-0.99991859999999999</v>
      </c>
      <c r="N3410">
        <v>-1.1170279999999999E-2</v>
      </c>
      <c r="O3410">
        <v>-6.1723439999999997E-3</v>
      </c>
      <c r="P3410">
        <v>-0.97981510000000005</v>
      </c>
      <c r="Q3410">
        <v>0.1861342</v>
      </c>
      <c r="R3410">
        <v>-7.2914610000000005E-2</v>
      </c>
      <c r="S3410">
        <v>-3.1892399999999999</v>
      </c>
      <c r="T3410">
        <v>-0.27806429999999999</v>
      </c>
      <c r="U3410">
        <v>1.0305789999999999</v>
      </c>
      <c r="V3410">
        <v>-6.7726510000000004E-2</v>
      </c>
      <c r="W3410">
        <v>0.1967778</v>
      </c>
      <c r="X3410">
        <v>0.97810609999999998</v>
      </c>
      <c r="Y3410">
        <v>0.31211680000000003</v>
      </c>
      <c r="Z3410">
        <v>1.5492199999999999E-2</v>
      </c>
      <c r="AA3410">
        <v>0.94991740000000002</v>
      </c>
      <c r="AB3410">
        <v>39</v>
      </c>
      <c r="AC3410">
        <v>-12.3727</v>
      </c>
      <c r="AD3410">
        <v>-1.1116785273600001</v>
      </c>
      <c r="AE3410">
        <v>4.1233000000000004</v>
      </c>
      <c r="AF3410">
        <v>4.1693008895788797</v>
      </c>
      <c r="AG3410">
        <v>-1.1116785273600001</v>
      </c>
      <c r="AH3410">
        <v>12.257946798686</v>
      </c>
      <c r="AI3410">
        <v>94.907369927947897</v>
      </c>
      <c r="AJ3410">
        <v>71.215267597925504</v>
      </c>
      <c r="AK3410">
        <v>12.995236003068699</v>
      </c>
      <c r="AL3410">
        <v>78.651403104144194</v>
      </c>
      <c r="AM3410">
        <v>93.960980652447404</v>
      </c>
      <c r="AN3410">
        <v>0.99999996279341397</v>
      </c>
    </row>
    <row r="3411" spans="1:40" x14ac:dyDescent="0.25">
      <c r="A3411" t="str">
        <f>"20190304155439927"</f>
        <v>20190304155439927</v>
      </c>
      <c r="B3411" t="str">
        <f>"1551686079921165"</f>
        <v>1551686079921165</v>
      </c>
      <c r="C3411" t="s">
        <v>40</v>
      </c>
      <c r="D3411">
        <v>4.560651</v>
      </c>
      <c r="E3411">
        <v>0.65431700000000004</v>
      </c>
      <c r="F3411" t="s">
        <v>62</v>
      </c>
      <c r="G3411">
        <v>-292.37950000000001</v>
      </c>
      <c r="H3411" s="1">
        <v>-1.05013899999999E-5</v>
      </c>
      <c r="I3411">
        <v>146.22630000000001</v>
      </c>
      <c r="J3411">
        <v>-281.08280000000002</v>
      </c>
      <c r="K3411">
        <v>1.1117049999999999</v>
      </c>
      <c r="L3411">
        <v>142.3039</v>
      </c>
      <c r="M3411">
        <v>-0.99988929999999998</v>
      </c>
      <c r="N3411">
        <v>-1.1412169999999999E-2</v>
      </c>
      <c r="O3411">
        <v>-9.5537980000000005E-3</v>
      </c>
      <c r="P3411">
        <v>-0.97961909999999996</v>
      </c>
      <c r="Q3411">
        <v>0.18646109999999999</v>
      </c>
      <c r="R3411">
        <v>-7.4692800000000004E-2</v>
      </c>
      <c r="S3411">
        <v>-3.1950379999999998</v>
      </c>
      <c r="T3411">
        <v>-0.2946955</v>
      </c>
      <c r="U3411">
        <v>1.0375669999999999</v>
      </c>
      <c r="V3411">
        <v>-6.6189360000000003E-2</v>
      </c>
      <c r="W3411">
        <v>0.19734950000000001</v>
      </c>
      <c r="X3411">
        <v>0.97809619999999997</v>
      </c>
      <c r="Y3411">
        <v>0.31653029999999999</v>
      </c>
      <c r="Z3411">
        <v>1.681094E-2</v>
      </c>
      <c r="AA3411">
        <v>0.94843339999999998</v>
      </c>
      <c r="AB3411">
        <v>39</v>
      </c>
      <c r="AC3411">
        <v>-11.2966999999999</v>
      </c>
      <c r="AD3411">
        <v>-1.11171550139</v>
      </c>
      <c r="AE3411">
        <v>3.9224000000000001</v>
      </c>
      <c r="AF3411">
        <v>3.9956214292480801</v>
      </c>
      <c r="AG3411">
        <v>-1.11171550139</v>
      </c>
      <c r="AH3411">
        <v>11.1622362827587</v>
      </c>
      <c r="AI3411">
        <v>95.356937477659201</v>
      </c>
      <c r="AJ3411">
        <v>70.304721755771595</v>
      </c>
      <c r="AK3411">
        <v>11.9078302303162</v>
      </c>
      <c r="AL3411">
        <v>78.617992554816794</v>
      </c>
      <c r="AM3411">
        <v>93.871396127820802</v>
      </c>
      <c r="AN3411">
        <v>1.0000000164909399</v>
      </c>
    </row>
    <row r="3412" spans="1:40" x14ac:dyDescent="0.25">
      <c r="A3412" t="str">
        <f>"20190304155439949"</f>
        <v>20190304155439949</v>
      </c>
      <c r="B3412" t="str">
        <f>"1551686079940684"</f>
        <v>1551686079940684</v>
      </c>
      <c r="C3412" t="s">
        <v>40</v>
      </c>
      <c r="D3412">
        <v>4.4934260000000004</v>
      </c>
      <c r="E3412">
        <v>0.65542809999999996</v>
      </c>
      <c r="F3412" t="s">
        <v>62</v>
      </c>
      <c r="G3412">
        <v>-292.96719999999999</v>
      </c>
      <c r="H3412" s="1">
        <v>-1.04114E-5</v>
      </c>
      <c r="I3412">
        <v>146.1078</v>
      </c>
      <c r="J3412">
        <v>-281.46420000000001</v>
      </c>
      <c r="K3412">
        <v>1.1117079999999999</v>
      </c>
      <c r="L3412">
        <v>142.2987</v>
      </c>
      <c r="M3412">
        <v>-0.99987040000000005</v>
      </c>
      <c r="N3412">
        <v>-1.156446E-2</v>
      </c>
      <c r="O3412">
        <v>-1.1219130000000001E-2</v>
      </c>
      <c r="P3412">
        <v>-0.97963979999999995</v>
      </c>
      <c r="Q3412">
        <v>0.18600539999999999</v>
      </c>
      <c r="R3412">
        <v>-7.5553040000000002E-2</v>
      </c>
      <c r="S3412">
        <v>-3.1973880000000001</v>
      </c>
      <c r="T3412">
        <v>-0.29909479999999999</v>
      </c>
      <c r="U3412">
        <v>1.0233920000000001</v>
      </c>
      <c r="V3412">
        <v>-6.5407469999999995E-2</v>
      </c>
      <c r="W3412">
        <v>0.19705130000000001</v>
      </c>
      <c r="X3412">
        <v>0.97820890000000005</v>
      </c>
      <c r="Y3412">
        <v>0.31405820000000001</v>
      </c>
      <c r="Z3412">
        <v>1.7062259999999999E-2</v>
      </c>
      <c r="AA3412">
        <v>0.94925040000000005</v>
      </c>
      <c r="AB3412">
        <v>39</v>
      </c>
      <c r="AC3412">
        <v>-11.502999999999901</v>
      </c>
      <c r="AD3412">
        <v>-1.1117184113999901</v>
      </c>
      <c r="AE3412">
        <v>3.8090999999999999</v>
      </c>
      <c r="AF3412">
        <v>3.9050519565976498</v>
      </c>
      <c r="AG3412">
        <v>-1.1117184113999901</v>
      </c>
      <c r="AH3412">
        <v>11.3638835146788</v>
      </c>
      <c r="AI3412">
        <v>95.285893233009503</v>
      </c>
      <c r="AJ3412">
        <v>71.035377580846102</v>
      </c>
      <c r="AK3412">
        <v>12.0674436872588</v>
      </c>
      <c r="AL3412">
        <v>78.635420215974307</v>
      </c>
      <c r="AM3412">
        <v>93.825360770970207</v>
      </c>
      <c r="AN3412">
        <v>1.00000000200135</v>
      </c>
    </row>
    <row r="3413" spans="1:40" x14ac:dyDescent="0.25">
      <c r="A3413" t="str">
        <f>"20190304155439972"</f>
        <v>20190304155439972</v>
      </c>
      <c r="B3413" t="str">
        <f>"1551686079960205"</f>
        <v>1551686079960205</v>
      </c>
      <c r="C3413" t="s">
        <v>40</v>
      </c>
      <c r="D3413">
        <v>4.5546550000000003</v>
      </c>
      <c r="E3413">
        <v>0.65482229999999997</v>
      </c>
      <c r="F3413" t="s">
        <v>62</v>
      </c>
      <c r="G3413">
        <v>-293.08780000000002</v>
      </c>
      <c r="H3413" s="1">
        <v>-1.0381239999999999E-5</v>
      </c>
      <c r="I3413">
        <v>146.04069999999999</v>
      </c>
      <c r="J3413">
        <v>-281.85410000000002</v>
      </c>
      <c r="K3413">
        <v>1.1117030000000001</v>
      </c>
      <c r="L3413">
        <v>142.2928</v>
      </c>
      <c r="M3413">
        <v>-0.99984819999999996</v>
      </c>
      <c r="N3413">
        <v>-1.1744310000000001E-2</v>
      </c>
      <c r="O3413">
        <v>-1.287491E-2</v>
      </c>
      <c r="P3413">
        <v>-0.97962899999999997</v>
      </c>
      <c r="Q3413">
        <v>0.18552669999999999</v>
      </c>
      <c r="R3413">
        <v>-7.685823E-2</v>
      </c>
      <c r="S3413">
        <v>-3.1999209999999998</v>
      </c>
      <c r="T3413">
        <v>-0.30605110000000002</v>
      </c>
      <c r="U3413">
        <v>1.030151</v>
      </c>
      <c r="V3413">
        <v>-6.5073229999999996E-2</v>
      </c>
      <c r="W3413">
        <v>0.19675529999999999</v>
      </c>
      <c r="X3413">
        <v>0.97829069999999996</v>
      </c>
      <c r="Y3413">
        <v>0.31714419999999999</v>
      </c>
      <c r="Z3413">
        <v>1.7725870000000001E-2</v>
      </c>
      <c r="AA3413">
        <v>0.94821169999999999</v>
      </c>
      <c r="AB3413">
        <v>39</v>
      </c>
      <c r="AC3413">
        <v>-11.233700000000001</v>
      </c>
      <c r="AD3413">
        <v>-1.11171338124</v>
      </c>
      <c r="AE3413">
        <v>3.74789999999998</v>
      </c>
      <c r="AF3413">
        <v>3.8582310209441899</v>
      </c>
      <c r="AG3413">
        <v>-1.11171338124</v>
      </c>
      <c r="AH3413">
        <v>11.086807709791501</v>
      </c>
      <c r="AI3413">
        <v>95.409939500835407</v>
      </c>
      <c r="AJ3413">
        <v>70.812002268697398</v>
      </c>
      <c r="AK3413">
        <v>11.791486693665799</v>
      </c>
      <c r="AL3413">
        <v>78.652717627719696</v>
      </c>
      <c r="AM3413">
        <v>93.805553023072093</v>
      </c>
      <c r="AN3413">
        <v>0.99999993352360395</v>
      </c>
    </row>
    <row r="3414" spans="1:40" x14ac:dyDescent="0.25">
      <c r="A3414" t="str">
        <f>"20190304155439994"</f>
        <v>20190304155439994</v>
      </c>
      <c r="B3414" t="str">
        <f>"1551686079990461"</f>
        <v>1551686079990461</v>
      </c>
      <c r="C3414" t="s">
        <v>40</v>
      </c>
      <c r="D3414">
        <v>4.5713489999999997</v>
      </c>
      <c r="E3414">
        <v>0.65458819999999995</v>
      </c>
      <c r="F3414" t="s">
        <v>62</v>
      </c>
      <c r="G3414">
        <v>-293.35750000000002</v>
      </c>
      <c r="H3414" s="1">
        <v>-1.033434E-5</v>
      </c>
      <c r="I3414">
        <v>145.9659</v>
      </c>
      <c r="J3414">
        <v>-282.22710000000001</v>
      </c>
      <c r="K3414">
        <v>1.111686</v>
      </c>
      <c r="L3414">
        <v>142.28659999999999</v>
      </c>
      <c r="M3414">
        <v>-0.99982510000000002</v>
      </c>
      <c r="N3414">
        <v>-1.195065E-2</v>
      </c>
      <c r="O3414">
        <v>-1.438389E-2</v>
      </c>
      <c r="P3414">
        <v>-0.97957249999999996</v>
      </c>
      <c r="Q3414">
        <v>0.18517890000000001</v>
      </c>
      <c r="R3414">
        <v>-7.8399350000000007E-2</v>
      </c>
      <c r="S3414">
        <v>-3.2011720000000001</v>
      </c>
      <c r="T3414">
        <v>-0.30936970000000003</v>
      </c>
      <c r="U3414">
        <v>1.022141</v>
      </c>
      <c r="V3414">
        <v>-6.5110970000000004E-2</v>
      </c>
      <c r="W3414">
        <v>0.1966184</v>
      </c>
      <c r="X3414">
        <v>0.97831579999999996</v>
      </c>
      <c r="Y3414">
        <v>0.31627929999999999</v>
      </c>
      <c r="Z3414">
        <v>1.800711E-2</v>
      </c>
      <c r="AA3414">
        <v>0.94849519999999998</v>
      </c>
      <c r="AB3414">
        <v>39</v>
      </c>
      <c r="AC3414">
        <v>-11.1304</v>
      </c>
      <c r="AD3414">
        <v>-1.1116963343399999</v>
      </c>
      <c r="AE3414">
        <v>3.6793000000000098</v>
      </c>
      <c r="AF3414">
        <v>3.8048118801894302</v>
      </c>
      <c r="AG3414">
        <v>-1.1116963343399999</v>
      </c>
      <c r="AH3414">
        <v>10.9775985301348</v>
      </c>
      <c r="AI3414">
        <v>95.465715842175101</v>
      </c>
      <c r="AJ3414">
        <v>70.883794422041703</v>
      </c>
      <c r="AK3414">
        <v>11.6713380412116</v>
      </c>
      <c r="AL3414">
        <v>78.660718673868203</v>
      </c>
      <c r="AM3414">
        <v>93.807656202584099</v>
      </c>
      <c r="AN3414">
        <v>1.0000000190812699</v>
      </c>
    </row>
    <row r="3415" spans="1:40" x14ac:dyDescent="0.25">
      <c r="A3415" t="str">
        <f>"20190304155440017"</f>
        <v>20190304155440017</v>
      </c>
      <c r="B3415" t="str">
        <f>"1551686080010957"</f>
        <v>1551686080010957</v>
      </c>
      <c r="C3415" t="s">
        <v>40</v>
      </c>
      <c r="D3415">
        <v>4.4619530000000003</v>
      </c>
      <c r="E3415">
        <v>0.65453329999999998</v>
      </c>
      <c r="F3415" t="s">
        <v>62</v>
      </c>
      <c r="G3415">
        <v>-293.35129999999998</v>
      </c>
      <c r="H3415" s="1">
        <v>-1.02933E-5</v>
      </c>
      <c r="I3415">
        <v>145.81379999999999</v>
      </c>
      <c r="J3415">
        <v>-282.62569999999999</v>
      </c>
      <c r="K3415">
        <v>1.111653</v>
      </c>
      <c r="L3415">
        <v>142.27950000000001</v>
      </c>
      <c r="M3415">
        <v>-0.99979929999999995</v>
      </c>
      <c r="N3415">
        <v>-1.219921E-2</v>
      </c>
      <c r="O3415">
        <v>-1.589527E-2</v>
      </c>
      <c r="P3415">
        <v>-0.97952099999999998</v>
      </c>
      <c r="Q3415">
        <v>0.18441879999999999</v>
      </c>
      <c r="R3415">
        <v>-8.0798369999999994E-2</v>
      </c>
      <c r="S3415">
        <v>-3.2043759999999999</v>
      </c>
      <c r="T3415">
        <v>-0.32023079999999998</v>
      </c>
      <c r="U3415">
        <v>1.016006</v>
      </c>
      <c r="V3415">
        <v>-6.5988279999999996E-2</v>
      </c>
      <c r="W3415">
        <v>0.19611110000000001</v>
      </c>
      <c r="X3415">
        <v>0.97835879999999997</v>
      </c>
      <c r="Y3415">
        <v>0.315679299999999</v>
      </c>
      <c r="Z3415">
        <v>1.8696129999999998E-2</v>
      </c>
      <c r="AA3415">
        <v>0.94868180000000002</v>
      </c>
      <c r="AB3415">
        <v>39</v>
      </c>
      <c r="AC3415">
        <v>-10.725599999999901</v>
      </c>
      <c r="AD3415">
        <v>-1.1116632932999999</v>
      </c>
      <c r="AE3415">
        <v>3.5342999999999698</v>
      </c>
      <c r="AF3415">
        <v>3.6688008086169099</v>
      </c>
      <c r="AG3415">
        <v>-1.1116632932999999</v>
      </c>
      <c r="AH3415">
        <v>10.565677867634699</v>
      </c>
      <c r="AI3415">
        <v>95.676154763519904</v>
      </c>
      <c r="AJ3415">
        <v>70.851075373149101</v>
      </c>
      <c r="AK3415">
        <v>11.2396371584497</v>
      </c>
      <c r="AL3415">
        <v>78.690361491650705</v>
      </c>
      <c r="AM3415">
        <v>93.858637780983102</v>
      </c>
      <c r="AN3415">
        <v>0.99999997908900395</v>
      </c>
    </row>
    <row r="3416" spans="1:40" x14ac:dyDescent="0.25">
      <c r="A3416" t="str">
        <f>"20190304155440039"</f>
        <v>20190304155440039</v>
      </c>
      <c r="B3416" t="str">
        <f>"1551686080030476"</f>
        <v>1551686080030476</v>
      </c>
      <c r="C3416" t="s">
        <v>40</v>
      </c>
      <c r="D3416">
        <v>5.450386</v>
      </c>
      <c r="E3416">
        <v>0.58294860000000004</v>
      </c>
      <c r="F3416" t="s">
        <v>62</v>
      </c>
      <c r="G3416">
        <v>-293.57069999999999</v>
      </c>
      <c r="H3416" s="1">
        <v>-1.024586E-5</v>
      </c>
      <c r="I3416">
        <v>145.71899999999999</v>
      </c>
      <c r="J3416">
        <v>-283.00459999999998</v>
      </c>
      <c r="K3416">
        <v>1.1115969999999999</v>
      </c>
      <c r="L3416">
        <v>142.2722</v>
      </c>
      <c r="M3416">
        <v>-0.9997743</v>
      </c>
      <c r="N3416">
        <v>-1.245312E-2</v>
      </c>
      <c r="O3416">
        <v>-1.7214520000000001E-2</v>
      </c>
      <c r="P3416">
        <v>-0.97942810000000002</v>
      </c>
      <c r="Q3416">
        <v>0.18385309999999999</v>
      </c>
      <c r="R3416">
        <v>-8.3179790000000003E-2</v>
      </c>
      <c r="S3416">
        <v>-3.2071529999999999</v>
      </c>
      <c r="T3416">
        <v>-0.32574239999999999</v>
      </c>
      <c r="U3416">
        <v>1.007843</v>
      </c>
      <c r="V3416">
        <v>-6.7029950000000005E-2</v>
      </c>
      <c r="W3416">
        <v>0.19580529999999999</v>
      </c>
      <c r="X3416">
        <v>0.97834929999999998</v>
      </c>
      <c r="Y3416">
        <v>0.31444179999999999</v>
      </c>
      <c r="Z3416">
        <v>1.9060089999999998E-2</v>
      </c>
      <c r="AA3416">
        <v>0.94908539999999997</v>
      </c>
      <c r="AB3416">
        <v>39</v>
      </c>
      <c r="AC3416">
        <v>-10.5661</v>
      </c>
      <c r="AD3416">
        <v>-1.1116072458599999</v>
      </c>
      <c r="AE3416">
        <v>3.4467999999999899</v>
      </c>
      <c r="AF3416">
        <v>3.5922581834070799</v>
      </c>
      <c r="AG3416">
        <v>-1.1116072458599999</v>
      </c>
      <c r="AH3416">
        <v>10.401145808058301</v>
      </c>
      <c r="AI3416">
        <v>95.768360331869104</v>
      </c>
      <c r="AJ3416">
        <v>70.946552100311806</v>
      </c>
      <c r="AK3416">
        <v>11.060010110564701</v>
      </c>
      <c r="AL3416">
        <v>78.708229662564605</v>
      </c>
      <c r="AM3416">
        <v>93.919398578123094</v>
      </c>
      <c r="AN3416">
        <v>1.0000000412577901</v>
      </c>
    </row>
    <row r="3417" spans="1:40" x14ac:dyDescent="0.25">
      <c r="A3417" t="str">
        <f>"20190304155440061"</f>
        <v>20190304155440061</v>
      </c>
      <c r="B3417" t="str">
        <f>"1551686080050972"</f>
        <v>1551686080050972</v>
      </c>
      <c r="C3417" t="s">
        <v>40</v>
      </c>
      <c r="D3417">
        <v>4.5758269999999897</v>
      </c>
      <c r="E3417">
        <v>0.51986449999999995</v>
      </c>
      <c r="F3417" t="s">
        <v>62</v>
      </c>
      <c r="G3417">
        <v>-300.27260000000001</v>
      </c>
      <c r="H3417" s="1">
        <v>-9.4284480000000007E-6</v>
      </c>
      <c r="I3417">
        <v>144.6302</v>
      </c>
      <c r="J3417">
        <v>-283.38729999999998</v>
      </c>
      <c r="K3417">
        <v>1.1115170000000001</v>
      </c>
      <c r="L3417">
        <v>142.2645</v>
      </c>
      <c r="M3417">
        <v>-0.99974980000000002</v>
      </c>
      <c r="N3417">
        <v>-1.271159E-2</v>
      </c>
      <c r="O3417">
        <v>-1.841245E-2</v>
      </c>
      <c r="P3417">
        <v>-0.97928709999999997</v>
      </c>
      <c r="Q3417">
        <v>0.1834887</v>
      </c>
      <c r="R3417">
        <v>-8.561009E-2</v>
      </c>
      <c r="S3417">
        <v>-3.1372680000000002</v>
      </c>
      <c r="T3417">
        <v>-0.20195840000000001</v>
      </c>
      <c r="U3417">
        <v>0.42839050000000001</v>
      </c>
      <c r="V3417">
        <v>-6.8232509999999996E-2</v>
      </c>
      <c r="W3417">
        <v>0.19570799999999999</v>
      </c>
      <c r="X3417">
        <v>0.97828559999999998</v>
      </c>
      <c r="Y3417">
        <v>0.15311720000000001</v>
      </c>
      <c r="Z3417">
        <v>6.8257200000000004E-3</v>
      </c>
      <c r="AA3417">
        <v>0.98818450000000002</v>
      </c>
      <c r="AB3417">
        <v>39</v>
      </c>
      <c r="AC3417">
        <v>-16.885300000000001</v>
      </c>
      <c r="AD3417">
        <v>-1.111526428448</v>
      </c>
      <c r="AE3417">
        <v>2.3656999999999999</v>
      </c>
      <c r="AF3417">
        <v>2.6648981371753502</v>
      </c>
      <c r="AG3417">
        <v>-1.111526428448</v>
      </c>
      <c r="AH3417">
        <v>16.767614376701001</v>
      </c>
      <c r="AI3417">
        <v>93.745717269892594</v>
      </c>
      <c r="AJ3417">
        <v>80.9694386460381</v>
      </c>
      <c r="AK3417">
        <v>17.014407570303799</v>
      </c>
      <c r="AL3417">
        <v>78.713914125621201</v>
      </c>
      <c r="AM3417">
        <v>93.989748951582698</v>
      </c>
      <c r="AN3417">
        <v>1.00000000592612</v>
      </c>
    </row>
    <row r="3418" spans="1:40" x14ac:dyDescent="0.25">
      <c r="A3418" t="str">
        <f>"20190304155440086"</f>
        <v>20190304155440086</v>
      </c>
      <c r="B3418" t="str">
        <f>"1551686080080255"</f>
        <v>1551686080080255</v>
      </c>
      <c r="C3418" t="s">
        <v>40</v>
      </c>
      <c r="D3418">
        <v>4.6537579999999998</v>
      </c>
      <c r="E3418">
        <v>0.51417429999999997</v>
      </c>
      <c r="F3418" t="s">
        <v>43</v>
      </c>
      <c r="G3418">
        <v>0</v>
      </c>
      <c r="H3418">
        <v>0</v>
      </c>
      <c r="I3418">
        <v>0</v>
      </c>
      <c r="J3418">
        <v>-283.79669999999999</v>
      </c>
      <c r="K3418">
        <v>1.1114139999999999</v>
      </c>
      <c r="L3418">
        <v>142.2559</v>
      </c>
      <c r="M3418">
        <v>-0.99972539999999999</v>
      </c>
      <c r="N3418">
        <v>-1.297603E-2</v>
      </c>
      <c r="O3418">
        <v>-1.9514409999999999E-2</v>
      </c>
      <c r="P3418">
        <v>-0.97909009999999996</v>
      </c>
      <c r="Q3418">
        <v>0.18353069999999999</v>
      </c>
      <c r="R3418">
        <v>-8.7747399999999906E-2</v>
      </c>
      <c r="S3418">
        <v>-3.028381</v>
      </c>
      <c r="T3418">
        <v>0.1456411</v>
      </c>
      <c r="U3418">
        <v>-8.9004520000000004E-2</v>
      </c>
      <c r="V3418">
        <v>-6.9228579999999998E-2</v>
      </c>
      <c r="W3418">
        <v>0.1960269</v>
      </c>
      <c r="X3418">
        <v>0.97815169999999996</v>
      </c>
      <c r="Y3418">
        <v>-9.892217E-3</v>
      </c>
      <c r="Z3418">
        <v>-1.0171970000000001E-3</v>
      </c>
      <c r="AA3418">
        <v>0.99995049999999996</v>
      </c>
      <c r="AB3418">
        <v>38</v>
      </c>
      <c r="AC3418">
        <v>-3.028381</v>
      </c>
      <c r="AD3418">
        <v>0.1456411</v>
      </c>
      <c r="AE3418">
        <v>-8.9004520000000004E-2</v>
      </c>
      <c r="AF3418">
        <v>-2.9816624277238399E-2</v>
      </c>
      <c r="AG3418">
        <v>0.1456411</v>
      </c>
      <c r="AH3418">
        <v>3.0225565654795599</v>
      </c>
      <c r="AI3418">
        <v>87.2414854731893</v>
      </c>
      <c r="AJ3418">
        <v>90.565187542917897</v>
      </c>
      <c r="AK3418">
        <v>3.0262102624596499</v>
      </c>
      <c r="AL3418">
        <v>78.695280898861</v>
      </c>
      <c r="AM3418">
        <v>94.048352044793006</v>
      </c>
      <c r="AN3418">
        <v>0.99999994501265599</v>
      </c>
    </row>
    <row r="3419" spans="1:40" x14ac:dyDescent="0.25">
      <c r="A3419" t="str">
        <f>"20190304155440108"</f>
        <v>20190304155440108</v>
      </c>
      <c r="B3419" t="str">
        <f>"1551686080100748"</f>
        <v>1551686080100748</v>
      </c>
      <c r="C3419" t="s">
        <v>40</v>
      </c>
      <c r="D3419">
        <v>4.4777149999999999</v>
      </c>
      <c r="E3419">
        <v>0.51338050000000002</v>
      </c>
      <c r="F3419" t="s">
        <v>43</v>
      </c>
      <c r="G3419">
        <v>0</v>
      </c>
      <c r="H3419">
        <v>0</v>
      </c>
      <c r="I3419">
        <v>0</v>
      </c>
      <c r="J3419">
        <v>-284.18259999999998</v>
      </c>
      <c r="K3419">
        <v>1.111318</v>
      </c>
      <c r="L3419">
        <v>142.2474</v>
      </c>
      <c r="M3419">
        <v>-0.99970440000000005</v>
      </c>
      <c r="N3419">
        <v>-1.3207979999999999E-2</v>
      </c>
      <c r="O3419">
        <v>-2.0419030000000001E-2</v>
      </c>
      <c r="P3419">
        <v>-0.97899510000000001</v>
      </c>
      <c r="Q3419">
        <v>0.18334800000000001</v>
      </c>
      <c r="R3419">
        <v>-8.9175649999999995E-2</v>
      </c>
      <c r="S3419">
        <v>-3.0411679999999999</v>
      </c>
      <c r="T3419">
        <v>5.5853720000000003E-2</v>
      </c>
      <c r="U3419">
        <v>-0.1386261</v>
      </c>
      <c r="V3419">
        <v>-6.9711350000000005E-2</v>
      </c>
      <c r="W3419">
        <v>0.1960905</v>
      </c>
      <c r="X3419">
        <v>0.97810469999999905</v>
      </c>
      <c r="Y3419">
        <v>-2.513574E-2</v>
      </c>
      <c r="Z3419">
        <v>-5.7970929999999997E-4</v>
      </c>
      <c r="AA3419">
        <v>0.99968389999999996</v>
      </c>
      <c r="AB3419">
        <v>38</v>
      </c>
      <c r="AC3419">
        <v>-3.0411679999999999</v>
      </c>
      <c r="AD3419">
        <v>5.5853720000000003E-2</v>
      </c>
      <c r="AE3419">
        <v>-0.1386261</v>
      </c>
      <c r="AF3419">
        <v>-7.6468343790379298E-2</v>
      </c>
      <c r="AG3419">
        <v>5.5853720000000003E-2</v>
      </c>
      <c r="AH3419">
        <v>3.0423406227773699</v>
      </c>
      <c r="AI3419">
        <v>88.948568449281893</v>
      </c>
      <c r="AJ3419">
        <v>91.439809548461497</v>
      </c>
      <c r="AK3419">
        <v>3.0438139743816901</v>
      </c>
      <c r="AL3419">
        <v>78.691565169661899</v>
      </c>
      <c r="AM3419">
        <v>94.076683865623494</v>
      </c>
      <c r="AN3419">
        <v>0.99999998033558002</v>
      </c>
    </row>
    <row r="3420" spans="1:40" x14ac:dyDescent="0.25">
      <c r="A3420" t="str">
        <f>"20190304155440130"</f>
        <v>20190304155440130</v>
      </c>
      <c r="B3420" t="str">
        <f>"1551686080121245"</f>
        <v>1551686080121245</v>
      </c>
      <c r="C3420" t="s">
        <v>40</v>
      </c>
      <c r="D3420">
        <v>4.4639430000000004</v>
      </c>
      <c r="E3420">
        <v>0.51267669999999999</v>
      </c>
      <c r="F3420" t="s">
        <v>43</v>
      </c>
      <c r="G3420">
        <v>0</v>
      </c>
      <c r="H3420">
        <v>0</v>
      </c>
      <c r="I3420">
        <v>0</v>
      </c>
      <c r="J3420">
        <v>-284.54730000000001</v>
      </c>
      <c r="K3420">
        <v>1.1112219999999999</v>
      </c>
      <c r="L3420">
        <v>142.23929999999999</v>
      </c>
      <c r="M3420">
        <v>-0.99968650000000003</v>
      </c>
      <c r="N3420">
        <v>-1.340949E-2</v>
      </c>
      <c r="O3420">
        <v>-2.114595E-2</v>
      </c>
      <c r="P3420">
        <v>-0.97887120000000005</v>
      </c>
      <c r="Q3420">
        <v>0.18342559999999999</v>
      </c>
      <c r="R3420">
        <v>-9.0368599999999993E-2</v>
      </c>
      <c r="S3420">
        <v>-3.0448</v>
      </c>
      <c r="T3420">
        <v>3.1988620000000002E-2</v>
      </c>
      <c r="U3420">
        <v>-0.1489868</v>
      </c>
      <c r="V3420">
        <v>-7.0138590000000001E-2</v>
      </c>
      <c r="W3420">
        <v>0.19638320000000001</v>
      </c>
      <c r="X3420">
        <v>0.97801539999999998</v>
      </c>
      <c r="Y3420">
        <v>-2.774604E-2</v>
      </c>
      <c r="Z3420">
        <v>-5.4590319999999999E-4</v>
      </c>
      <c r="AA3420">
        <v>0.99961480000000003</v>
      </c>
      <c r="AB3420">
        <v>38</v>
      </c>
      <c r="AC3420">
        <v>-3.0448</v>
      </c>
      <c r="AD3420">
        <v>3.1988620000000002E-2</v>
      </c>
      <c r="AE3420">
        <v>-0.1489868</v>
      </c>
      <c r="AF3420">
        <v>-8.4553194170441798E-2</v>
      </c>
      <c r="AG3420">
        <v>3.1988620000000002E-2</v>
      </c>
      <c r="AH3420">
        <v>3.04693430488497</v>
      </c>
      <c r="AI3420">
        <v>89.398726659876303</v>
      </c>
      <c r="AJ3420">
        <v>91.589564363460795</v>
      </c>
      <c r="AK3420">
        <v>3.0482751143456199</v>
      </c>
      <c r="AL3420">
        <v>78.674461837014306</v>
      </c>
      <c r="AM3420">
        <v>94.101956855515596</v>
      </c>
      <c r="AN3420">
        <v>0.99999995284329202</v>
      </c>
    </row>
    <row r="3421" spans="1:40" x14ac:dyDescent="0.25">
      <c r="A3421" t="str">
        <f>"20190304155440151"</f>
        <v>20190304155440151</v>
      </c>
      <c r="B3421" t="str">
        <f>"1551686080140764"</f>
        <v>1551686080140764</v>
      </c>
      <c r="C3421" t="s">
        <v>40</v>
      </c>
      <c r="D3421">
        <v>4.4479930000000003</v>
      </c>
      <c r="E3421">
        <v>0.51263019999999904</v>
      </c>
      <c r="F3421" t="s">
        <v>43</v>
      </c>
      <c r="G3421">
        <v>0</v>
      </c>
      <c r="H3421">
        <v>0</v>
      </c>
      <c r="I3421">
        <v>0</v>
      </c>
      <c r="J3421">
        <v>-284.92439999999999</v>
      </c>
      <c r="K3421">
        <v>1.1111180000000001</v>
      </c>
      <c r="L3421">
        <v>142.23060000000001</v>
      </c>
      <c r="M3421">
        <v>-0.99967090000000003</v>
      </c>
      <c r="N3421">
        <v>-1.359845E-2</v>
      </c>
      <c r="O3421">
        <v>-2.175504E-2</v>
      </c>
      <c r="P3421">
        <v>-0.97867979999999999</v>
      </c>
      <c r="Q3421">
        <v>0.18402840000000001</v>
      </c>
      <c r="R3421">
        <v>-9.1212269999999998E-2</v>
      </c>
      <c r="S3421">
        <v>-3.0469360000000001</v>
      </c>
      <c r="T3421">
        <v>1.7184140000000001E-2</v>
      </c>
      <c r="U3421">
        <v>-0.15812679999999901</v>
      </c>
      <c r="V3421">
        <v>-7.0329349999999999E-2</v>
      </c>
      <c r="W3421">
        <v>0.19719010000000001</v>
      </c>
      <c r="X3421">
        <v>0.97783940000000003</v>
      </c>
      <c r="Y3421">
        <v>-3.009185E-2</v>
      </c>
      <c r="Z3421">
        <v>-5.3823469999999998E-4</v>
      </c>
      <c r="AA3421">
        <v>0.99954699999999996</v>
      </c>
      <c r="AB3421">
        <v>38</v>
      </c>
      <c r="AC3421">
        <v>-3.0469360000000001</v>
      </c>
      <c r="AD3421">
        <v>1.7184140000000001E-2</v>
      </c>
      <c r="AE3421">
        <v>-0.15812679999999901</v>
      </c>
      <c r="AF3421">
        <v>-9.1794116910989598E-2</v>
      </c>
      <c r="AG3421">
        <v>1.7184140000000001E-2</v>
      </c>
      <c r="AH3421">
        <v>3.0495583863635898</v>
      </c>
      <c r="AI3421">
        <v>89.677290143169401</v>
      </c>
      <c r="AJ3421">
        <v>91.724127639339599</v>
      </c>
      <c r="AK3421">
        <v>3.0509880049596299</v>
      </c>
      <c r="AL3421">
        <v>78.627308639122901</v>
      </c>
      <c r="AM3421">
        <v>94.113812714363803</v>
      </c>
      <c r="AN3421">
        <v>1.00000002260089</v>
      </c>
    </row>
    <row r="3422" spans="1:40" x14ac:dyDescent="0.25">
      <c r="A3422" t="str">
        <f>"20190304155440173"</f>
        <v>20190304155440173</v>
      </c>
      <c r="B3422" t="str">
        <f>"1551686080171022"</f>
        <v>1551686080171022</v>
      </c>
      <c r="C3422" t="s">
        <v>40</v>
      </c>
      <c r="D3422">
        <v>4.4204879999999998</v>
      </c>
      <c r="E3422">
        <v>0.51304300000000003</v>
      </c>
      <c r="F3422" t="s">
        <v>43</v>
      </c>
      <c r="G3422">
        <v>0</v>
      </c>
      <c r="H3422">
        <v>0</v>
      </c>
      <c r="I3422">
        <v>0</v>
      </c>
      <c r="J3422">
        <v>-285.29270000000002</v>
      </c>
      <c r="K3422">
        <v>1.110995</v>
      </c>
      <c r="L3422">
        <v>142.22210000000001</v>
      </c>
      <c r="M3422">
        <v>-0.99965859999999995</v>
      </c>
      <c r="N3422">
        <v>-1.376366E-2</v>
      </c>
      <c r="O3422">
        <v>-2.2208740000000001E-2</v>
      </c>
      <c r="P3422">
        <v>-0.97863420000000001</v>
      </c>
      <c r="Q3422">
        <v>0.1841449</v>
      </c>
      <c r="R3422">
        <v>-9.1465989999999997E-2</v>
      </c>
      <c r="S3422">
        <v>-3.0488590000000002</v>
      </c>
      <c r="T3422">
        <v>8.0302949999999998E-3</v>
      </c>
      <c r="U3422">
        <v>-0.1608734</v>
      </c>
      <c r="V3422">
        <v>-7.0075559999999995E-2</v>
      </c>
      <c r="W3422">
        <v>0.19749159999999999</v>
      </c>
      <c r="X3422">
        <v>0.97779669999999996</v>
      </c>
      <c r="Y3422">
        <v>-3.0502270000000001E-2</v>
      </c>
      <c r="Z3422">
        <v>-5.3390230000000005E-4</v>
      </c>
      <c r="AA3422">
        <v>0.99953449999999999</v>
      </c>
      <c r="AB3422">
        <v>38</v>
      </c>
      <c r="AC3422">
        <v>-3.0488590000000002</v>
      </c>
      <c r="AD3422">
        <v>8.0302949999999998E-3</v>
      </c>
      <c r="AE3422">
        <v>-0.1608734</v>
      </c>
      <c r="AF3422">
        <v>-9.3115337897845402E-2</v>
      </c>
      <c r="AG3422">
        <v>8.0302949999999998E-3</v>
      </c>
      <c r="AH3422">
        <v>3.0516588958498398</v>
      </c>
      <c r="AI3422">
        <v>89.849299371707005</v>
      </c>
      <c r="AJ3422">
        <v>91.747725165977897</v>
      </c>
      <c r="AK3422">
        <v>3.0530897412963598</v>
      </c>
      <c r="AL3422">
        <v>78.609686617568499</v>
      </c>
      <c r="AM3422">
        <v>94.099196723299698</v>
      </c>
      <c r="AN3422">
        <v>0.99999995135538</v>
      </c>
    </row>
    <row r="3423" spans="1:40" x14ac:dyDescent="0.25">
      <c r="A3423" t="str">
        <f>"20190304155440195"</f>
        <v>20190304155440195</v>
      </c>
      <c r="B3423" t="str">
        <f>"1551686080190540"</f>
        <v>1551686080190540</v>
      </c>
      <c r="C3423" t="s">
        <v>40</v>
      </c>
      <c r="D3423">
        <v>4.3730079999999996</v>
      </c>
      <c r="E3423">
        <v>0.51353389999999999</v>
      </c>
      <c r="F3423" t="s">
        <v>43</v>
      </c>
      <c r="G3423">
        <v>0</v>
      </c>
      <c r="H3423">
        <v>0</v>
      </c>
      <c r="I3423">
        <v>0</v>
      </c>
      <c r="J3423">
        <v>-285.66579999999999</v>
      </c>
      <c r="K3423">
        <v>1.1108629999999999</v>
      </c>
      <c r="L3423">
        <v>142.21340000000001</v>
      </c>
      <c r="M3423">
        <v>-0.99964920000000002</v>
      </c>
      <c r="N3423">
        <v>-1.39124E-2</v>
      </c>
      <c r="O3423">
        <v>-2.2535949999999999E-2</v>
      </c>
      <c r="P3423">
        <v>-0.97855460000000005</v>
      </c>
      <c r="Q3423">
        <v>0.18461150000000001</v>
      </c>
      <c r="R3423">
        <v>-9.1375719999999994E-2</v>
      </c>
      <c r="S3423">
        <v>-3.0512389999999998</v>
      </c>
      <c r="T3423">
        <v>-2.9679540000000001E-3</v>
      </c>
      <c r="U3423">
        <v>-0.1581726</v>
      </c>
      <c r="V3423">
        <v>-6.9598789999999994E-2</v>
      </c>
      <c r="W3423">
        <v>0.19812779999999999</v>
      </c>
      <c r="X3423">
        <v>0.97770210000000002</v>
      </c>
      <c r="Y3423">
        <v>-2.9249899999999999E-2</v>
      </c>
      <c r="Z3423">
        <v>-5.0933070000000003E-4</v>
      </c>
      <c r="AA3423">
        <v>0.99957200000000002</v>
      </c>
      <c r="AB3423">
        <v>38</v>
      </c>
      <c r="AC3423">
        <v>-3.0512389999999998</v>
      </c>
      <c r="AD3423">
        <v>-2.9679540000000001E-3</v>
      </c>
      <c r="AE3423">
        <v>-0.1581726</v>
      </c>
      <c r="AF3423">
        <v>-8.9363110314040595E-2</v>
      </c>
      <c r="AG3423">
        <v>-2.9679540000000001E-3</v>
      </c>
      <c r="AH3423">
        <v>3.05402596969145</v>
      </c>
      <c r="AI3423">
        <v>90.055657166861195</v>
      </c>
      <c r="AJ3423">
        <v>91.676039626122801</v>
      </c>
      <c r="AK3423">
        <v>3.0553345476045202</v>
      </c>
      <c r="AL3423">
        <v>78.572500892867296</v>
      </c>
      <c r="AM3423">
        <v>94.071793921681902</v>
      </c>
      <c r="AN3423">
        <v>1.0000000065233501</v>
      </c>
    </row>
    <row r="3424" spans="1:40" x14ac:dyDescent="0.25">
      <c r="A3424" t="str">
        <f>"20190304155440217"</f>
        <v>20190304155440217</v>
      </c>
      <c r="B3424" t="str">
        <f>"1551686080211037"</f>
        <v>1551686080211037</v>
      </c>
      <c r="C3424" t="s">
        <v>40</v>
      </c>
      <c r="D3424">
        <v>4.3703329999999996</v>
      </c>
      <c r="E3424">
        <v>0.51398149999999998</v>
      </c>
      <c r="F3424" t="s">
        <v>67</v>
      </c>
      <c r="G3424">
        <v>-890.65219999999999</v>
      </c>
      <c r="H3424">
        <v>-0.1</v>
      </c>
      <c r="I3424">
        <v>111.7482</v>
      </c>
      <c r="J3424">
        <v>-286.04880000000003</v>
      </c>
      <c r="K3424">
        <v>1.11073</v>
      </c>
      <c r="L3424">
        <v>142.2045</v>
      </c>
      <c r="M3424">
        <v>-0.99964240000000004</v>
      </c>
      <c r="N3424">
        <v>-1.4046970000000001E-2</v>
      </c>
      <c r="O3424">
        <v>-2.2756309999999998E-2</v>
      </c>
      <c r="P3424">
        <v>-0.97847419999999996</v>
      </c>
      <c r="Q3424">
        <v>0.1849256</v>
      </c>
      <c r="R3424">
        <v>-9.1601950000000001E-2</v>
      </c>
      <c r="S3424">
        <v>-3.0525509999999998</v>
      </c>
      <c r="T3424">
        <v>-6.1095949999999998E-3</v>
      </c>
      <c r="U3424">
        <v>-0.15371699999999999</v>
      </c>
      <c r="V3424">
        <v>-6.9543590000000002E-2</v>
      </c>
      <c r="W3424">
        <v>0.1985961</v>
      </c>
      <c r="X3424">
        <v>0.97761100000000001</v>
      </c>
      <c r="Y3424">
        <v>-2.7551610000000001E-2</v>
      </c>
      <c r="Z3424">
        <v>-4.9522740000000002E-4</v>
      </c>
      <c r="AA3424">
        <v>0.99962030000000002</v>
      </c>
      <c r="AB3424">
        <v>38</v>
      </c>
      <c r="AC3424">
        <v>-604.60339999999997</v>
      </c>
      <c r="AD3424">
        <v>-1.2107299999999901</v>
      </c>
      <c r="AE3424">
        <v>-30.456299999999999</v>
      </c>
      <c r="AF3424">
        <v>-16.688445432998599</v>
      </c>
      <c r="AG3424">
        <v>-1.2107299999999901</v>
      </c>
      <c r="AH3424">
        <v>605.13752286038596</v>
      </c>
      <c r="AI3424">
        <v>90.1145909149148</v>
      </c>
      <c r="AJ3424">
        <v>91.579699092827695</v>
      </c>
      <c r="AK3424">
        <v>605.36880630877101</v>
      </c>
      <c r="AL3424">
        <v>78.545125155604097</v>
      </c>
      <c r="AM3424">
        <v>94.068953223398097</v>
      </c>
      <c r="AN3424">
        <v>0.99999999458314903</v>
      </c>
    </row>
    <row r="3425" spans="1:40" x14ac:dyDescent="0.25">
      <c r="A3425" t="str">
        <f>"20190304155440240"</f>
        <v>20190304155440240</v>
      </c>
      <c r="B3425" t="str">
        <f>"1551686080230556"</f>
        <v>1551686080230556</v>
      </c>
      <c r="C3425" t="s">
        <v>40</v>
      </c>
      <c r="D3425">
        <v>4.3766089999999904</v>
      </c>
      <c r="E3425">
        <v>0.51453819999999995</v>
      </c>
      <c r="F3425" t="s">
        <v>67</v>
      </c>
      <c r="G3425">
        <v>-724.69600000000003</v>
      </c>
      <c r="H3425">
        <v>-0.1</v>
      </c>
      <c r="I3425">
        <v>120.5784</v>
      </c>
      <c r="J3425">
        <v>-286.44060000000002</v>
      </c>
      <c r="K3425">
        <v>1.1106100000000001</v>
      </c>
      <c r="L3425">
        <v>142.19540000000001</v>
      </c>
      <c r="M3425">
        <v>-0.99963800000000003</v>
      </c>
      <c r="N3425">
        <v>-1.4167249999999999E-2</v>
      </c>
      <c r="O3425">
        <v>-2.2872920000000001E-2</v>
      </c>
      <c r="P3425">
        <v>-0.97861830000000005</v>
      </c>
      <c r="Q3425">
        <v>0.18438280000000001</v>
      </c>
      <c r="R3425">
        <v>-9.1155079999999999E-2</v>
      </c>
      <c r="S3425">
        <v>-3.0534970000000001</v>
      </c>
      <c r="T3425">
        <v>-8.4280969999999903E-3</v>
      </c>
      <c r="U3425">
        <v>-0.15054319999999999</v>
      </c>
      <c r="V3425">
        <v>-6.8915290000000004E-2</v>
      </c>
      <c r="W3425">
        <v>0.1981955</v>
      </c>
      <c r="X3425">
        <v>0.97773679999999996</v>
      </c>
      <c r="Y3425">
        <v>-2.6382610000000001E-2</v>
      </c>
      <c r="Z3425">
        <v>-4.8425140000000002E-4</v>
      </c>
      <c r="AA3425">
        <v>0.99965179999999998</v>
      </c>
      <c r="AB3425">
        <v>38</v>
      </c>
      <c r="AC3425">
        <v>-438.25540000000001</v>
      </c>
      <c r="AD3425">
        <v>-1.21061</v>
      </c>
      <c r="AE3425">
        <v>-21.617000000000001</v>
      </c>
      <c r="AF3425">
        <v>-11.5860684695072</v>
      </c>
      <c r="AG3425">
        <v>-1.21061</v>
      </c>
      <c r="AH3425">
        <v>438.63187551282999</v>
      </c>
      <c r="AI3425">
        <v>90.158078987928405</v>
      </c>
      <c r="AJ3425">
        <v>91.513064917572507</v>
      </c>
      <c r="AK3425">
        <v>438.78653668390399</v>
      </c>
      <c r="AL3425">
        <v>78.568543551273095</v>
      </c>
      <c r="AM3425">
        <v>94.031796482022401</v>
      </c>
      <c r="AN3425">
        <v>1.00000001174513</v>
      </c>
    </row>
    <row r="3426" spans="1:40" x14ac:dyDescent="0.25">
      <c r="A3426" t="str">
        <f>"20190304155440263"</f>
        <v>20190304155440263</v>
      </c>
      <c r="B3426" t="str">
        <f>"1551686080251057"</f>
        <v>1551686080251057</v>
      </c>
      <c r="C3426" t="s">
        <v>40</v>
      </c>
      <c r="D3426">
        <v>4.3389810000000004</v>
      </c>
      <c r="E3426">
        <v>0.5150304</v>
      </c>
      <c r="F3426" t="s">
        <v>47</v>
      </c>
      <c r="G3426">
        <v>-538.2183</v>
      </c>
      <c r="H3426">
        <v>-0.05</v>
      </c>
      <c r="I3426">
        <v>130.29419999999999</v>
      </c>
      <c r="J3426">
        <v>-286.81450000000001</v>
      </c>
      <c r="K3426">
        <v>1.1105</v>
      </c>
      <c r="L3426">
        <v>142.18680000000001</v>
      </c>
      <c r="M3426">
        <v>-0.99963650000000004</v>
      </c>
      <c r="N3426">
        <v>-1.426619E-2</v>
      </c>
      <c r="O3426">
        <v>-2.287575E-2</v>
      </c>
      <c r="P3426">
        <v>-0.97872809999999999</v>
      </c>
      <c r="Q3426">
        <v>0.18401780000000001</v>
      </c>
      <c r="R3426">
        <v>-9.0712669999999995E-2</v>
      </c>
      <c r="S3426">
        <v>-3.0547490000000002</v>
      </c>
      <c r="T3426">
        <v>-1.4081359999999999E-2</v>
      </c>
      <c r="U3426">
        <v>-0.14439389999999999</v>
      </c>
      <c r="V3426">
        <v>-6.8413379999999996E-2</v>
      </c>
      <c r="W3426">
        <v>0.19794829999999999</v>
      </c>
      <c r="X3426">
        <v>0.97782210000000003</v>
      </c>
      <c r="Y3426">
        <v>-2.4351040000000001E-2</v>
      </c>
      <c r="Z3426">
        <v>-4.5078590000000002E-4</v>
      </c>
      <c r="AA3426">
        <v>0.99970329999999996</v>
      </c>
      <c r="AB3426">
        <v>38</v>
      </c>
      <c r="AC3426">
        <v>-251.40379999999999</v>
      </c>
      <c r="AD3426">
        <v>-1.1605000000000001</v>
      </c>
      <c r="AE3426">
        <v>-11.8926</v>
      </c>
      <c r="AF3426">
        <v>-6.1377208369600602</v>
      </c>
      <c r="AG3426">
        <v>-1.1605000000000001</v>
      </c>
      <c r="AH3426">
        <v>251.604728766221</v>
      </c>
      <c r="AI3426">
        <v>90.264190208857698</v>
      </c>
      <c r="AJ3426">
        <v>91.397413195802599</v>
      </c>
      <c r="AK3426">
        <v>251.68225586013401</v>
      </c>
      <c r="AL3426">
        <v>78.582993098917399</v>
      </c>
      <c r="AM3426">
        <v>94.002180672329601</v>
      </c>
      <c r="AN3426">
        <v>0.99999998964216197</v>
      </c>
    </row>
    <row r="3427" spans="1:40" x14ac:dyDescent="0.25">
      <c r="A3427" t="str">
        <f>"20190304155440286"</f>
        <v>20190304155440286</v>
      </c>
      <c r="B3427" t="str">
        <f>"1551686080280332"</f>
        <v>1551686080280332</v>
      </c>
      <c r="C3427" t="s">
        <v>40</v>
      </c>
      <c r="D3427">
        <v>4.3825599999999998</v>
      </c>
      <c r="E3427">
        <v>0.51584579999999902</v>
      </c>
      <c r="F3427" t="s">
        <v>74</v>
      </c>
      <c r="G3427">
        <v>-487.33170000000001</v>
      </c>
      <c r="H3427" s="1">
        <v>-1.352536E-5</v>
      </c>
      <c r="I3427">
        <v>133.01830000000001</v>
      </c>
      <c r="J3427">
        <v>-287.20299999999997</v>
      </c>
      <c r="K3427">
        <v>1.1103940000000001</v>
      </c>
      <c r="L3427">
        <v>142.17789999999999</v>
      </c>
      <c r="M3427">
        <v>-0.99963760000000002</v>
      </c>
      <c r="N3427">
        <v>-1.4354810000000001E-2</v>
      </c>
      <c r="O3427">
        <v>-2.2775E-2</v>
      </c>
      <c r="P3427">
        <v>-0.97888560000000002</v>
      </c>
      <c r="Q3427">
        <v>0.18350469999999999</v>
      </c>
      <c r="R3427">
        <v>-9.0051399999999907E-2</v>
      </c>
      <c r="S3427">
        <v>-3.0554809999999999</v>
      </c>
      <c r="T3427">
        <v>-1.6922E-2</v>
      </c>
      <c r="U3427">
        <v>-0.13970949999999999</v>
      </c>
      <c r="V3427">
        <v>-6.7794229999999997E-2</v>
      </c>
      <c r="W3427">
        <v>0.1975421</v>
      </c>
      <c r="X3427">
        <v>0.97794740000000002</v>
      </c>
      <c r="Y3427">
        <v>-2.2910690000000001E-2</v>
      </c>
      <c r="Z3427">
        <v>-4.2874980000000003E-4</v>
      </c>
      <c r="AA3427">
        <v>0.9997374</v>
      </c>
      <c r="AB3427">
        <v>38</v>
      </c>
      <c r="AC3427">
        <v>-200.12870000000001</v>
      </c>
      <c r="AD3427">
        <v>-1.1104075253600001</v>
      </c>
      <c r="AE3427">
        <v>-9.1595999999999798</v>
      </c>
      <c r="AF3427">
        <v>-4.5986817714147001</v>
      </c>
      <c r="AG3427">
        <v>-1.1104075253600001</v>
      </c>
      <c r="AH3427">
        <v>200.27925770209899</v>
      </c>
      <c r="AI3427">
        <v>90.317577812681606</v>
      </c>
      <c r="AJ3427">
        <v>91.315357213315593</v>
      </c>
      <c r="AK3427">
        <v>200.33512409113601</v>
      </c>
      <c r="AL3427">
        <v>78.6067359181136</v>
      </c>
      <c r="AM3427">
        <v>93.9655699970873</v>
      </c>
      <c r="AN3427">
        <v>1.0000000280302299</v>
      </c>
    </row>
    <row r="3428" spans="1:40" x14ac:dyDescent="0.25">
      <c r="A3428" t="str">
        <f>"20190304155440310"</f>
        <v>20190304155440310</v>
      </c>
      <c r="B3428" t="str">
        <f>"1551686080300829"</f>
        <v>1551686080300829</v>
      </c>
      <c r="C3428" t="s">
        <v>40</v>
      </c>
      <c r="D3428">
        <v>4.3690389999999999</v>
      </c>
      <c r="E3428">
        <v>0.51628770000000002</v>
      </c>
      <c r="F3428" t="s">
        <v>46</v>
      </c>
      <c r="G3428">
        <v>-451.26819999999998</v>
      </c>
      <c r="H3428" s="1">
        <v>-3.5116599999999999E-6</v>
      </c>
      <c r="I3428">
        <v>135.1249</v>
      </c>
      <c r="J3428">
        <v>-287.61149999999998</v>
      </c>
      <c r="K3428">
        <v>1.1102920000000001</v>
      </c>
      <c r="L3428">
        <v>142.1687</v>
      </c>
      <c r="M3428">
        <v>-0.9996408</v>
      </c>
      <c r="N3428">
        <v>-1.4434779999999999E-2</v>
      </c>
      <c r="O3428">
        <v>-2.2586220000000001E-2</v>
      </c>
      <c r="P3428">
        <v>-0.97889269999999995</v>
      </c>
      <c r="Q3428">
        <v>0.18373</v>
      </c>
      <c r="R3428">
        <v>-8.9510859999999998E-2</v>
      </c>
      <c r="S3428">
        <v>-3.0564879999999999</v>
      </c>
      <c r="T3428">
        <v>-2.0686389999999999E-2</v>
      </c>
      <c r="U3428">
        <v>-0.13139339999999999</v>
      </c>
      <c r="V3428">
        <v>-6.7388749999999997E-2</v>
      </c>
      <c r="W3428">
        <v>0.19786229999999999</v>
      </c>
      <c r="X3428">
        <v>0.97791059999999996</v>
      </c>
      <c r="Y3428">
        <v>-2.036922E-2</v>
      </c>
      <c r="Z3428">
        <v>-3.8918500000000001E-4</v>
      </c>
      <c r="AA3428">
        <v>0.99979249999999997</v>
      </c>
      <c r="AB3428">
        <v>38</v>
      </c>
      <c r="AC3428">
        <v>-163.6567</v>
      </c>
      <c r="AD3428">
        <v>-1.11029551166</v>
      </c>
      <c r="AE3428">
        <v>-7.0438000000000001</v>
      </c>
      <c r="AF3428">
        <v>-3.3450781039813799</v>
      </c>
      <c r="AG3428">
        <v>-1.11029551166</v>
      </c>
      <c r="AH3428">
        <v>163.766527970326</v>
      </c>
      <c r="AI3428">
        <v>90.388363892346305</v>
      </c>
      <c r="AJ3428">
        <v>91.170154927784196</v>
      </c>
      <c r="AK3428">
        <v>163.80445044961499</v>
      </c>
      <c r="AL3428">
        <v>78.588019358445393</v>
      </c>
      <c r="AM3428">
        <v>93.942074634365397</v>
      </c>
      <c r="AN3428">
        <v>0.99999993749010396</v>
      </c>
    </row>
    <row r="3429" spans="1:40" x14ac:dyDescent="0.25">
      <c r="A3429" t="str">
        <f>"20190304155440331"</f>
        <v>20190304155440331</v>
      </c>
      <c r="B3429" t="str">
        <f>"1551686080320349"</f>
        <v>1551686080320349</v>
      </c>
      <c r="C3429" t="s">
        <v>40</v>
      </c>
      <c r="D3429">
        <v>4.3579829999999999</v>
      </c>
      <c r="E3429">
        <v>0.51662240000000004</v>
      </c>
      <c r="F3429" t="s">
        <v>46</v>
      </c>
      <c r="G3429">
        <v>-449.41030000000001</v>
      </c>
      <c r="H3429" s="1">
        <v>-2.7095049999999999E-7</v>
      </c>
      <c r="I3429">
        <v>135.49160000000001</v>
      </c>
      <c r="J3429">
        <v>-287.96370000000002</v>
      </c>
      <c r="K3429">
        <v>1.1102129999999999</v>
      </c>
      <c r="L3429">
        <v>142.1609</v>
      </c>
      <c r="M3429">
        <v>-0.9996448</v>
      </c>
      <c r="N3429">
        <v>-1.4494369999999999E-2</v>
      </c>
      <c r="O3429">
        <v>-2.2364330000000002E-2</v>
      </c>
      <c r="P3429">
        <v>-0.97898289999999999</v>
      </c>
      <c r="Q3429">
        <v>0.18379989999999999</v>
      </c>
      <c r="R3429">
        <v>-8.8375200000000001E-2</v>
      </c>
      <c r="S3429">
        <v>-3.0571290000000002</v>
      </c>
      <c r="T3429">
        <v>-2.0978569999999998E-2</v>
      </c>
      <c r="U3429">
        <v>-0.12615970000000001</v>
      </c>
      <c r="V3429">
        <v>-6.6429940000000007E-2</v>
      </c>
      <c r="W3429">
        <v>0.1980044</v>
      </c>
      <c r="X3429">
        <v>0.97794749999999997</v>
      </c>
      <c r="Y3429">
        <v>-1.8873580000000001E-2</v>
      </c>
      <c r="Z3429">
        <v>-3.7230359999999998E-4</v>
      </c>
      <c r="AA3429">
        <v>0.99982179999999998</v>
      </c>
      <c r="AB3429">
        <v>38</v>
      </c>
      <c r="AC3429">
        <v>-161.44659999999999</v>
      </c>
      <c r="AD3429">
        <v>-1.1102132709504999</v>
      </c>
      <c r="AE3429">
        <v>-6.66929999999999</v>
      </c>
      <c r="AF3429">
        <v>-3.0564628653319299</v>
      </c>
      <c r="AG3429">
        <v>-1.1102132709504999</v>
      </c>
      <c r="AH3429">
        <v>161.54775540483101</v>
      </c>
      <c r="AI3429">
        <v>90.393680195420202</v>
      </c>
      <c r="AJ3429">
        <v>91.083899499386405</v>
      </c>
      <c r="AK3429">
        <v>161.58048092233599</v>
      </c>
      <c r="AL3429">
        <v>78.579713973984994</v>
      </c>
      <c r="AM3429">
        <v>93.886013539474703</v>
      </c>
      <c r="AN3429">
        <v>0.99999999605200596</v>
      </c>
    </row>
    <row r="3430" spans="1:40" x14ac:dyDescent="0.25">
      <c r="A3430" t="str">
        <f>"20190304155440351"</f>
        <v>20190304155440351</v>
      </c>
      <c r="B3430" t="str">
        <f>"1551686080340845"</f>
        <v>1551686080340845</v>
      </c>
      <c r="C3430" t="s">
        <v>40</v>
      </c>
      <c r="D3430">
        <v>4.3515350000000002</v>
      </c>
      <c r="E3430">
        <v>0.51693509999999998</v>
      </c>
      <c r="F3430" t="s">
        <v>46</v>
      </c>
      <c r="G3430">
        <v>-442.1277</v>
      </c>
      <c r="H3430" s="1">
        <v>-2.9698509999999999E-6</v>
      </c>
      <c r="I3430">
        <v>136.10069999999999</v>
      </c>
      <c r="J3430">
        <v>-288.32130000000001</v>
      </c>
      <c r="K3430">
        <v>1.1101379999999901</v>
      </c>
      <c r="L3430">
        <v>142.15309999999999</v>
      </c>
      <c r="M3430">
        <v>-0.99965029999999999</v>
      </c>
      <c r="N3430">
        <v>-1.4546709999999999E-2</v>
      </c>
      <c r="O3430">
        <v>-2.208659E-2</v>
      </c>
      <c r="P3430">
        <v>-0.97911510000000002</v>
      </c>
      <c r="Q3430">
        <v>0.18348039999999999</v>
      </c>
      <c r="R3430">
        <v>-8.75721E-2</v>
      </c>
      <c r="S3430">
        <v>-3.0576479999999999</v>
      </c>
      <c r="T3430">
        <v>-2.2019739999999999E-2</v>
      </c>
      <c r="U3430">
        <v>-0.12019349999999999</v>
      </c>
      <c r="V3430">
        <v>-6.5859799999999996E-2</v>
      </c>
      <c r="W3430">
        <v>0.1977497</v>
      </c>
      <c r="X3430">
        <v>0.97803759999999995</v>
      </c>
      <c r="Y3430">
        <v>-1.7196590000000001E-2</v>
      </c>
      <c r="Z3430">
        <v>-3.4930490000000002E-4</v>
      </c>
      <c r="AA3430">
        <v>0.99985210000000002</v>
      </c>
      <c r="AB3430">
        <v>38</v>
      </c>
      <c r="AC3430">
        <v>-153.8064</v>
      </c>
      <c r="AD3430">
        <v>-1.1101409698510001</v>
      </c>
      <c r="AE3430">
        <v>-6.0523999999999996</v>
      </c>
      <c r="AF3430">
        <v>-2.6533671327375101</v>
      </c>
      <c r="AG3430">
        <v>-1.1101409698510001</v>
      </c>
      <c r="AH3430">
        <v>153.89455882497799</v>
      </c>
      <c r="AI3430">
        <v>90.413242924211801</v>
      </c>
      <c r="AJ3430">
        <v>90.987765115436304</v>
      </c>
      <c r="AK3430">
        <v>153.92143452439799</v>
      </c>
      <c r="AL3430">
        <v>78.594601653557106</v>
      </c>
      <c r="AM3430">
        <v>93.852408552966494</v>
      </c>
      <c r="AN3430">
        <v>1.00000000205994</v>
      </c>
    </row>
    <row r="3431" spans="1:40" x14ac:dyDescent="0.25">
      <c r="A3431" t="str">
        <f>"20190304155440374"</f>
        <v>20190304155440374</v>
      </c>
      <c r="B3431" t="str">
        <f>"1551686080371101"</f>
        <v>1551686080371101</v>
      </c>
      <c r="C3431" t="s">
        <v>40</v>
      </c>
      <c r="D3431">
        <v>4.3874779999999998</v>
      </c>
      <c r="E3431">
        <v>0.51733430000000002</v>
      </c>
      <c r="F3431" t="s">
        <v>62</v>
      </c>
      <c r="G3431">
        <v>-429.83</v>
      </c>
      <c r="H3431" s="1">
        <v>-1.010737E-5</v>
      </c>
      <c r="I3431">
        <v>136.81030000000001</v>
      </c>
      <c r="J3431">
        <v>-288.69819999999999</v>
      </c>
      <c r="K3431">
        <v>1.1100730000000001</v>
      </c>
      <c r="L3431">
        <v>142.14510000000001</v>
      </c>
      <c r="M3431">
        <v>-0.99965720000000002</v>
      </c>
      <c r="N3431">
        <v>-1.459411E-2</v>
      </c>
      <c r="O3431">
        <v>-2.1741759999999999E-2</v>
      </c>
      <c r="P3431">
        <v>-0.97920510000000005</v>
      </c>
      <c r="Q3431">
        <v>0.183642</v>
      </c>
      <c r="R3431">
        <v>-8.6214959999999993E-2</v>
      </c>
      <c r="S3431">
        <v>-3.0581670000000001</v>
      </c>
      <c r="T3431">
        <v>-2.3991579999999998E-2</v>
      </c>
      <c r="U3431">
        <v>-0.1154633</v>
      </c>
      <c r="V3431">
        <v>-6.4804230000000004E-2</v>
      </c>
      <c r="W3431">
        <v>0.19796929999999999</v>
      </c>
      <c r="X3431">
        <v>0.97806369999999998</v>
      </c>
      <c r="Y3431">
        <v>-1.599041E-2</v>
      </c>
      <c r="Z3431">
        <v>-3.2622130000000001E-4</v>
      </c>
      <c r="AA3431">
        <v>0.99987210000000004</v>
      </c>
      <c r="AB3431">
        <v>38</v>
      </c>
      <c r="AC3431">
        <v>-141.1318</v>
      </c>
      <c r="AD3431">
        <v>-1.1100831073699999</v>
      </c>
      <c r="AE3431">
        <v>-5.3348000000000004</v>
      </c>
      <c r="AF3431">
        <v>-2.2646185592549699</v>
      </c>
      <c r="AG3431">
        <v>-1.1100831073699999</v>
      </c>
      <c r="AH3431">
        <v>141.20570889457599</v>
      </c>
      <c r="AI3431">
        <v>90.450361318115895</v>
      </c>
      <c r="AJ3431">
        <v>90.918815279103697</v>
      </c>
      <c r="AK3431">
        <v>141.22823020254799</v>
      </c>
      <c r="AL3431">
        <v>78.581765907766894</v>
      </c>
      <c r="AM3431">
        <v>93.790744582689996</v>
      </c>
      <c r="AN3431">
        <v>1.0000000166130301</v>
      </c>
    </row>
    <row r="3432" spans="1:40" x14ac:dyDescent="0.25">
      <c r="A3432" t="str">
        <f>"20190304155440397"</f>
        <v>20190304155440397</v>
      </c>
      <c r="B3432" t="str">
        <f>"1551686080390621"</f>
        <v>1551686080390621</v>
      </c>
      <c r="C3432" t="s">
        <v>40</v>
      </c>
      <c r="D3432">
        <v>4.3942949999999996</v>
      </c>
      <c r="E3432">
        <v>0.51753279999999902</v>
      </c>
      <c r="F3432" t="s">
        <v>62</v>
      </c>
      <c r="G3432">
        <v>-426.60199999999998</v>
      </c>
      <c r="H3432" s="1">
        <v>-9.7980190000000004E-6</v>
      </c>
      <c r="I3432">
        <v>137.27170000000001</v>
      </c>
      <c r="J3432">
        <v>-289.08330000000001</v>
      </c>
      <c r="K3432">
        <v>1.110017</v>
      </c>
      <c r="L3432">
        <v>142.137</v>
      </c>
      <c r="M3432">
        <v>-0.99966520000000003</v>
      </c>
      <c r="N3432">
        <v>-1.463543E-2</v>
      </c>
      <c r="O3432">
        <v>-2.1341100000000002E-2</v>
      </c>
      <c r="P3432">
        <v>-0.97922640000000005</v>
      </c>
      <c r="Q3432">
        <v>0.18415709999999999</v>
      </c>
      <c r="R3432">
        <v>-8.4865650000000001E-2</v>
      </c>
      <c r="S3432">
        <v>-3.0587770000000001</v>
      </c>
      <c r="T3432">
        <v>-2.46222E-2</v>
      </c>
      <c r="U3432">
        <v>-0.1080933</v>
      </c>
      <c r="V3432">
        <v>-6.3815510000000006E-2</v>
      </c>
      <c r="W3432">
        <v>0.1985344</v>
      </c>
      <c r="X3432">
        <v>0.97801419999999994</v>
      </c>
      <c r="Y3432">
        <v>-1.3977750000000001E-2</v>
      </c>
      <c r="Z3432">
        <v>-2.9916710000000001E-4</v>
      </c>
      <c r="AA3432">
        <v>0.99990219999999996</v>
      </c>
      <c r="AB3432">
        <v>38</v>
      </c>
      <c r="AC3432">
        <v>-137.518699999999</v>
      </c>
      <c r="AD3432">
        <v>-1.1100267980189999</v>
      </c>
      <c r="AE3432">
        <v>-4.8652999999999897</v>
      </c>
      <c r="AF3432">
        <v>-1.92895171257575</v>
      </c>
      <c r="AG3432">
        <v>-1.1100267980189999</v>
      </c>
      <c r="AH3432">
        <v>137.582262885175</v>
      </c>
      <c r="AI3432">
        <v>90.462212350697001</v>
      </c>
      <c r="AJ3432">
        <v>90.803254350170107</v>
      </c>
      <c r="AK3432">
        <v>137.60026189948599</v>
      </c>
      <c r="AL3432">
        <v>78.548732787310698</v>
      </c>
      <c r="AM3432">
        <v>93.733262290975304</v>
      </c>
      <c r="AN3432">
        <v>1.0000000513507701</v>
      </c>
    </row>
    <row r="3433" spans="1:40" x14ac:dyDescent="0.25">
      <c r="A3433" t="str">
        <f>"20190304155440419"</f>
        <v>20190304155440419</v>
      </c>
      <c r="B3433" t="str">
        <f>"1551686080410293"</f>
        <v>1551686080410293</v>
      </c>
      <c r="C3433" t="s">
        <v>40</v>
      </c>
      <c r="D3433">
        <v>4.3500639999999997</v>
      </c>
      <c r="E3433">
        <v>0.51766259999999997</v>
      </c>
      <c r="F3433" t="s">
        <v>62</v>
      </c>
      <c r="G3433">
        <v>-430.87189999999998</v>
      </c>
      <c r="H3433" s="1">
        <v>-1.0009349999999999E-5</v>
      </c>
      <c r="I3433">
        <v>137.38319999999999</v>
      </c>
      <c r="J3433">
        <v>-289.44659999999999</v>
      </c>
      <c r="K3433">
        <v>1.10997099999999</v>
      </c>
      <c r="L3433">
        <v>142.12960000000001</v>
      </c>
      <c r="M3433">
        <v>-0.99967349999999999</v>
      </c>
      <c r="N3433">
        <v>-1.4668509999999999E-2</v>
      </c>
      <c r="O3433">
        <v>-2.0924129999999999E-2</v>
      </c>
      <c r="P3433">
        <v>-0.97921340000000001</v>
      </c>
      <c r="Q3433">
        <v>0.18471319999999999</v>
      </c>
      <c r="R3433">
        <v>-8.3797999999999997E-2</v>
      </c>
      <c r="S3433">
        <v>-3.0592649999999999</v>
      </c>
      <c r="T3433">
        <v>-2.3950220000000001E-2</v>
      </c>
      <c r="U3433">
        <v>-0.1025696</v>
      </c>
      <c r="V3433">
        <v>-6.3130099999999995E-2</v>
      </c>
      <c r="W3433">
        <v>0.1991298</v>
      </c>
      <c r="X3433">
        <v>0.97793759999999996</v>
      </c>
      <c r="Y3433">
        <v>-1.2586109999999999E-2</v>
      </c>
      <c r="Z3433">
        <v>-2.8476290000000002E-4</v>
      </c>
      <c r="AA3433">
        <v>0.9999207</v>
      </c>
      <c r="AB3433">
        <v>38</v>
      </c>
      <c r="AC3433">
        <v>-141.42529999999999</v>
      </c>
      <c r="AD3433">
        <v>-1.10998100934999</v>
      </c>
      <c r="AE3433">
        <v>-4.7464000000000199</v>
      </c>
      <c r="AF3433">
        <v>-1.78573111607637</v>
      </c>
      <c r="AG3433">
        <v>-1.10998100934999</v>
      </c>
      <c r="AH3433">
        <v>141.48494997403799</v>
      </c>
      <c r="AI3433">
        <v>90.449453160427794</v>
      </c>
      <c r="AJ3433">
        <v>90.723111708822699</v>
      </c>
      <c r="AK3433">
        <v>141.500572304907</v>
      </c>
      <c r="AL3433">
        <v>78.513923484876997</v>
      </c>
      <c r="AM3433">
        <v>93.693565280618898</v>
      </c>
      <c r="AN3433">
        <v>1.0000000181338999</v>
      </c>
    </row>
    <row r="3434" spans="1:40" x14ac:dyDescent="0.25">
      <c r="A3434" t="str">
        <f>"20190304155440441"</f>
        <v>20190304155440441</v>
      </c>
      <c r="B3434" t="str">
        <f>"1551686080430736"</f>
        <v>1551686080430736</v>
      </c>
      <c r="C3434" t="s">
        <v>40</v>
      </c>
      <c r="D3434">
        <v>4.3955830000000002</v>
      </c>
      <c r="E3434">
        <v>0.51776990000000001</v>
      </c>
      <c r="F3434" t="s">
        <v>62</v>
      </c>
      <c r="G3434">
        <v>-436.72800000000001</v>
      </c>
      <c r="H3434" s="1">
        <v>-7.6692049999999997E-6</v>
      </c>
      <c r="I3434">
        <v>137.41040000000001</v>
      </c>
      <c r="J3434">
        <v>-289.83429999999998</v>
      </c>
      <c r="K3434">
        <v>1.1099220000000001</v>
      </c>
      <c r="L3434">
        <v>142.12190000000001</v>
      </c>
      <c r="M3434">
        <v>-0.99968310000000005</v>
      </c>
      <c r="N3434">
        <v>-1.469842E-2</v>
      </c>
      <c r="O3434">
        <v>-2.0440440000000001E-2</v>
      </c>
      <c r="P3434">
        <v>-0.97924619999999996</v>
      </c>
      <c r="Q3434">
        <v>0.18491369999999999</v>
      </c>
      <c r="R3434">
        <v>-8.2970249999999995E-2</v>
      </c>
      <c r="S3434">
        <v>-3.059631</v>
      </c>
      <c r="T3434">
        <v>-2.3058769999999999E-2</v>
      </c>
      <c r="U3434">
        <v>-9.8037719999999995E-2</v>
      </c>
      <c r="V3434">
        <v>-6.2750680000000003E-2</v>
      </c>
      <c r="W3434">
        <v>0.19936709999999999</v>
      </c>
      <c r="X3434">
        <v>0.97791360000000005</v>
      </c>
      <c r="Y3434">
        <v>-1.1586600000000001E-2</v>
      </c>
      <c r="Z3434">
        <v>-2.75271E-4</v>
      </c>
      <c r="AA3434">
        <v>0.99993279999999995</v>
      </c>
      <c r="AB3434">
        <v>38</v>
      </c>
      <c r="AC3434">
        <v>-146.8937</v>
      </c>
      <c r="AD3434">
        <v>-1.10992966920499</v>
      </c>
      <c r="AE3434">
        <v>-4.7115</v>
      </c>
      <c r="AF3434">
        <v>-1.70752201387758</v>
      </c>
      <c r="AG3434">
        <v>-1.10992966920499</v>
      </c>
      <c r="AH3434">
        <v>146.95093747079301</v>
      </c>
      <c r="AI3434">
        <v>90.432721185334401</v>
      </c>
      <c r="AJ3434">
        <v>90.665728329409006</v>
      </c>
      <c r="AK3434">
        <v>146.96504890225901</v>
      </c>
      <c r="AL3434">
        <v>78.500048190409302</v>
      </c>
      <c r="AM3434">
        <v>93.671517236497095</v>
      </c>
      <c r="AN3434">
        <v>0.99999994873391496</v>
      </c>
    </row>
    <row r="3435" spans="1:40" x14ac:dyDescent="0.25">
      <c r="A3435" t="str">
        <f>"20190304155440463"</f>
        <v>20190304155440463</v>
      </c>
      <c r="B3435" t="str">
        <f>"1551686080460988"</f>
        <v>1551686080460988</v>
      </c>
      <c r="C3435" t="s">
        <v>40</v>
      </c>
      <c r="D3435">
        <v>4.3466639999999996</v>
      </c>
      <c r="E3435">
        <v>0.5178585</v>
      </c>
      <c r="F3435" t="s">
        <v>62</v>
      </c>
      <c r="G3435">
        <v>-435.25040000000001</v>
      </c>
      <c r="H3435" s="1">
        <v>-8.4063939999999999E-6</v>
      </c>
      <c r="I3435">
        <v>137.61160000000001</v>
      </c>
      <c r="J3435">
        <v>-290.20400000000001</v>
      </c>
      <c r="K3435">
        <v>1.1098790000000001</v>
      </c>
      <c r="L3435">
        <v>142.1148</v>
      </c>
      <c r="M3435">
        <v>-0.9996929</v>
      </c>
      <c r="N3435">
        <v>-1.4722280000000001E-2</v>
      </c>
      <c r="O3435">
        <v>-1.9937739999999999E-2</v>
      </c>
      <c r="P3435">
        <v>-0.97924359999999999</v>
      </c>
      <c r="Q3435">
        <v>0.1851806</v>
      </c>
      <c r="R3435">
        <v>-8.2401420000000003E-2</v>
      </c>
      <c r="S3435">
        <v>-3.0599669999999999</v>
      </c>
      <c r="T3435">
        <v>-2.3356080000000001E-2</v>
      </c>
      <c r="U3435">
        <v>-9.4909670000000002E-2</v>
      </c>
      <c r="V3435">
        <v>-6.2652630000000001E-2</v>
      </c>
      <c r="W3435">
        <v>0.1996638</v>
      </c>
      <c r="X3435">
        <v>0.97785940000000005</v>
      </c>
      <c r="Y3435">
        <v>-1.106474E-2</v>
      </c>
      <c r="Z3435">
        <v>-2.6508640000000002E-4</v>
      </c>
      <c r="AA3435">
        <v>0.99993869999999896</v>
      </c>
      <c r="AB3435">
        <v>38</v>
      </c>
      <c r="AC3435">
        <v>-145.04640000000001</v>
      </c>
      <c r="AD3435">
        <v>-1.1098874063940001</v>
      </c>
      <c r="AE3435">
        <v>-4.5031999999999899</v>
      </c>
      <c r="AF3435">
        <v>-1.6099998540895599</v>
      </c>
      <c r="AG3435">
        <v>-1.1098874063940001</v>
      </c>
      <c r="AH3435">
        <v>145.09886760315399</v>
      </c>
      <c r="AI3435">
        <v>90.438230228000407</v>
      </c>
      <c r="AJ3435">
        <v>90.635721096372805</v>
      </c>
      <c r="AK3435">
        <v>145.11204405321701</v>
      </c>
      <c r="AL3435">
        <v>78.482700282841193</v>
      </c>
      <c r="AM3435">
        <v>93.665998655995494</v>
      </c>
      <c r="AN3435">
        <v>0.99999999562235797</v>
      </c>
    </row>
    <row r="3436" spans="1:40" x14ac:dyDescent="0.25">
      <c r="A3436" t="str">
        <f>"20190304155440487"</f>
        <v>20190304155440487</v>
      </c>
      <c r="B3436" t="str">
        <f>"1551686080480508"</f>
        <v>1551686080480508</v>
      </c>
      <c r="C3436" t="s">
        <v>40</v>
      </c>
      <c r="D3436">
        <v>4.3818229999999998</v>
      </c>
      <c r="E3436">
        <v>0.51786390000000004</v>
      </c>
      <c r="F3436" t="s">
        <v>62</v>
      </c>
      <c r="G3436">
        <v>-432.94589999999999</v>
      </c>
      <c r="H3436" s="1">
        <v>-9.3994550000000006E-6</v>
      </c>
      <c r="I3436">
        <v>137.81610000000001</v>
      </c>
      <c r="J3436">
        <v>-290.59699999999998</v>
      </c>
      <c r="K3436">
        <v>1.109836</v>
      </c>
      <c r="L3436">
        <v>142.10749999999999</v>
      </c>
      <c r="M3436">
        <v>-0.99970389999999998</v>
      </c>
      <c r="N3436">
        <v>-1.474378E-2</v>
      </c>
      <c r="O3436">
        <v>-1.9361819999999998E-2</v>
      </c>
      <c r="P3436">
        <v>-0.9791436</v>
      </c>
      <c r="Q3436">
        <v>0.18571319999999999</v>
      </c>
      <c r="R3436">
        <v>-8.2391740000000005E-2</v>
      </c>
      <c r="S3436">
        <v>-3.0603030000000002</v>
      </c>
      <c r="T3436">
        <v>-2.379537E-2</v>
      </c>
      <c r="U3436">
        <v>-9.2163090000000003E-2</v>
      </c>
      <c r="V3436">
        <v>-6.3185669999999999E-2</v>
      </c>
      <c r="W3436">
        <v>0.20022300000000001</v>
      </c>
      <c r="X3436">
        <v>0.97771070000000004</v>
      </c>
      <c r="Y3436">
        <v>-1.074077E-2</v>
      </c>
      <c r="Z3436">
        <v>-2.5591479999999999E-4</v>
      </c>
      <c r="AA3436">
        <v>0.99994229999999995</v>
      </c>
      <c r="AB3436">
        <v>38</v>
      </c>
      <c r="AC3436">
        <v>-142.34889999999999</v>
      </c>
      <c r="AD3436">
        <v>-1.1098453994549999</v>
      </c>
      <c r="AE3436">
        <v>-4.2913999999999799</v>
      </c>
      <c r="AF3436">
        <v>-1.5340690131918899</v>
      </c>
      <c r="AG3436">
        <v>-1.1098453994549999</v>
      </c>
      <c r="AH3436">
        <v>142.396660031816</v>
      </c>
      <c r="AI3436">
        <v>90.446530698777096</v>
      </c>
      <c r="AJ3436">
        <v>90.617235542633296</v>
      </c>
      <c r="AK3436">
        <v>142.409247988902</v>
      </c>
      <c r="AL3436">
        <v>78.449999600022196</v>
      </c>
      <c r="AM3436">
        <v>93.697663062109498</v>
      </c>
      <c r="AN3436">
        <v>0.999999945758418</v>
      </c>
    </row>
    <row r="3437" spans="1:40" x14ac:dyDescent="0.25">
      <c r="A3437" t="str">
        <f>"20190304155440509"</f>
        <v>20190304155440509</v>
      </c>
      <c r="B3437" t="str">
        <f>"1551686080501005"</f>
        <v>1551686080501005</v>
      </c>
      <c r="C3437" t="s">
        <v>40</v>
      </c>
      <c r="D3437">
        <v>4.5358000000000001</v>
      </c>
      <c r="E3437">
        <v>0.51781309999999903</v>
      </c>
      <c r="F3437" t="s">
        <v>62</v>
      </c>
      <c r="G3437">
        <v>-439.63490000000002</v>
      </c>
      <c r="H3437" s="1">
        <v>-6.3852999999999997E-6</v>
      </c>
      <c r="I3437">
        <v>137.63130000000001</v>
      </c>
      <c r="J3437">
        <v>-290.96839999999997</v>
      </c>
      <c r="K3437">
        <v>1.1098049999999999</v>
      </c>
      <c r="L3437">
        <v>142.1009</v>
      </c>
      <c r="M3437">
        <v>-0.99971469999999996</v>
      </c>
      <c r="N3437">
        <v>-1.476064E-2</v>
      </c>
      <c r="O3437">
        <v>-1.8786089999999998E-2</v>
      </c>
      <c r="P3437">
        <v>-0.97909919999999995</v>
      </c>
      <c r="Q3437">
        <v>0.18620020000000001</v>
      </c>
      <c r="R3437">
        <v>-8.1821550000000007E-2</v>
      </c>
      <c r="S3437">
        <v>-3.0605159999999998</v>
      </c>
      <c r="T3437">
        <v>-2.2790789999999998E-2</v>
      </c>
      <c r="U3437">
        <v>-9.1918949999999999E-2</v>
      </c>
      <c r="V3437">
        <v>-6.3159850000000003E-2</v>
      </c>
      <c r="W3437">
        <v>0.20073179999999999</v>
      </c>
      <c r="X3437">
        <v>0.97760809999999998</v>
      </c>
      <c r="Y3437">
        <v>-1.1234879999999999E-2</v>
      </c>
      <c r="Z3437">
        <v>-2.6220269999999998E-4</v>
      </c>
      <c r="AA3437">
        <v>0.99993690000000002</v>
      </c>
      <c r="AB3437">
        <v>38</v>
      </c>
      <c r="AC3437">
        <v>-148.66650000000001</v>
      </c>
      <c r="AD3437">
        <v>-1.1098113853</v>
      </c>
      <c r="AE3437">
        <v>-4.4695999999999803</v>
      </c>
      <c r="AF3437">
        <v>-1.6755516048852801</v>
      </c>
      <c r="AG3437">
        <v>-1.1098113853</v>
      </c>
      <c r="AH3437">
        <v>148.715953805646</v>
      </c>
      <c r="AI3437">
        <v>90.427541841506098</v>
      </c>
      <c r="AJ3437">
        <v>90.645512273459801</v>
      </c>
      <c r="AK3437">
        <v>148.72953328379199</v>
      </c>
      <c r="AL3437">
        <v>78.420244155342004</v>
      </c>
      <c r="AM3437">
        <v>93.696543085991095</v>
      </c>
      <c r="AN3437">
        <v>1.0000000096844299</v>
      </c>
    </row>
    <row r="3438" spans="1:40" x14ac:dyDescent="0.25">
      <c r="A3438" t="str">
        <f>"20190304155440533"</f>
        <v>20190304155440533</v>
      </c>
      <c r="B3438" t="str">
        <f>"1551686080520524"</f>
        <v>1551686080520524</v>
      </c>
      <c r="C3438" t="s">
        <v>40</v>
      </c>
      <c r="D3438">
        <v>4.4303049999999997</v>
      </c>
      <c r="E3438">
        <v>0.53701699999999997</v>
      </c>
      <c r="F3438" t="s">
        <v>46</v>
      </c>
      <c r="G3438">
        <v>-443.41590000000002</v>
      </c>
      <c r="H3438" s="1">
        <v>-2.1512369999999998E-6</v>
      </c>
      <c r="I3438">
        <v>137.6</v>
      </c>
      <c r="J3438">
        <v>-291.36</v>
      </c>
      <c r="K3438">
        <v>1.109769</v>
      </c>
      <c r="L3438">
        <v>142.0941</v>
      </c>
      <c r="M3438">
        <v>-0.99972640000000002</v>
      </c>
      <c r="N3438">
        <v>-1.477535E-2</v>
      </c>
      <c r="O3438">
        <v>-1.8140360000000001E-2</v>
      </c>
      <c r="P3438">
        <v>-0.97914619999999997</v>
      </c>
      <c r="Q3438">
        <v>0.18620129999999999</v>
      </c>
      <c r="R3438">
        <v>-8.1251690000000001E-2</v>
      </c>
      <c r="S3438">
        <v>-3.0607600000000001</v>
      </c>
      <c r="T3438">
        <v>-2.2282119999999999E-2</v>
      </c>
      <c r="U3438">
        <v>-9.036255E-2</v>
      </c>
      <c r="V3438">
        <v>-6.3201519999999997E-2</v>
      </c>
      <c r="W3438">
        <v>0.20075380000000001</v>
      </c>
      <c r="X3438">
        <v>0.97760089999999999</v>
      </c>
      <c r="Y3438">
        <v>-1.137035E-2</v>
      </c>
      <c r="Z3438">
        <v>-2.6140810000000001E-4</v>
      </c>
      <c r="AA3438">
        <v>0.99993529999999997</v>
      </c>
      <c r="AB3438">
        <v>37</v>
      </c>
      <c r="AC3438">
        <v>-152.05590000000001</v>
      </c>
      <c r="AD3438">
        <v>-1.1097711512369901</v>
      </c>
      <c r="AE3438">
        <v>-4.4941000000000004</v>
      </c>
      <c r="AF3438">
        <v>-1.73461846970327</v>
      </c>
      <c r="AG3438">
        <v>-1.1097711512369901</v>
      </c>
      <c r="AH3438">
        <v>152.104312138062</v>
      </c>
      <c r="AI3438">
        <v>90.418002224304502</v>
      </c>
      <c r="AJ3438">
        <v>90.653380616089706</v>
      </c>
      <c r="AK3438">
        <v>152.11825092419599</v>
      </c>
      <c r="AL3438">
        <v>78.418957577399894</v>
      </c>
      <c r="AM3438">
        <v>93.699002295789001</v>
      </c>
      <c r="AN3438">
        <v>1.0000000200127801</v>
      </c>
    </row>
    <row r="3439" spans="1:40" x14ac:dyDescent="0.25">
      <c r="A3439" t="str">
        <f>"20190304155440553"</f>
        <v>20190304155440553</v>
      </c>
      <c r="B3439" t="str">
        <f>"1551686080550780"</f>
        <v>1551686080550780</v>
      </c>
      <c r="C3439" t="s">
        <v>40</v>
      </c>
      <c r="D3439">
        <v>4.4275270000000004</v>
      </c>
      <c r="E3439">
        <v>0.53990700000000003</v>
      </c>
      <c r="F3439" t="s">
        <v>46</v>
      </c>
      <c r="G3439">
        <v>-392.5104</v>
      </c>
      <c r="H3439" s="1">
        <v>-4.2374390000000003E-6</v>
      </c>
      <c r="I3439">
        <v>144.21469999999999</v>
      </c>
      <c r="J3439">
        <v>-291.71089999999998</v>
      </c>
      <c r="K3439">
        <v>1.1097300000000001</v>
      </c>
      <c r="L3439">
        <v>142.0883</v>
      </c>
      <c r="M3439">
        <v>-0.99973710000000005</v>
      </c>
      <c r="N3439">
        <v>-1.478641E-2</v>
      </c>
      <c r="O3439">
        <v>-1.7522909999999999E-2</v>
      </c>
      <c r="P3439">
        <v>-0.97917089999999996</v>
      </c>
      <c r="Q3439">
        <v>0.18635360000000001</v>
      </c>
      <c r="R3439">
        <v>-8.0603449999999993E-2</v>
      </c>
      <c r="S3439">
        <v>-3.0756839999999999</v>
      </c>
      <c r="T3439">
        <v>-3.3744929999999999E-2</v>
      </c>
      <c r="U3439">
        <v>6.4483639999999995E-2</v>
      </c>
      <c r="V3439">
        <v>-6.3139130000000002E-2</v>
      </c>
      <c r="W3439">
        <v>0.2009224</v>
      </c>
      <c r="X3439">
        <v>0.9775703</v>
      </c>
      <c r="Y3439">
        <v>3.8473229999999997E-2</v>
      </c>
      <c r="Z3439">
        <v>4.2867280000000001E-4</v>
      </c>
      <c r="AA3439">
        <v>0.99925949999999997</v>
      </c>
      <c r="AB3439">
        <v>37</v>
      </c>
      <c r="AC3439">
        <v>-100.79949999999999</v>
      </c>
      <c r="AD3439">
        <v>-1.10973423743899</v>
      </c>
      <c r="AE3439">
        <v>2.1263999999999799</v>
      </c>
      <c r="AF3439">
        <v>3.8920956372969102</v>
      </c>
      <c r="AG3439">
        <v>-1.10973423743899</v>
      </c>
      <c r="AH3439">
        <v>100.73455115365999</v>
      </c>
      <c r="AI3439">
        <v>90.630698354656303</v>
      </c>
      <c r="AJ3439">
        <v>87.787355153480306</v>
      </c>
      <c r="AK3439">
        <v>100.815820755757</v>
      </c>
      <c r="AL3439">
        <v>78.409096656377201</v>
      </c>
      <c r="AM3439">
        <v>93.695476264249095</v>
      </c>
      <c r="AN3439">
        <v>1.0000000260005</v>
      </c>
    </row>
    <row r="3440" spans="1:40" x14ac:dyDescent="0.25">
      <c r="A3440" t="str">
        <f>"20190304155440576"</f>
        <v>20190304155440576</v>
      </c>
      <c r="B3440" t="str">
        <f>"1551686080570300"</f>
        <v>1551686080570300</v>
      </c>
      <c r="C3440" t="s">
        <v>40</v>
      </c>
      <c r="D3440">
        <v>4.4506119999999996</v>
      </c>
      <c r="E3440">
        <v>0.54018100000000002</v>
      </c>
      <c r="F3440" t="s">
        <v>46</v>
      </c>
      <c r="G3440">
        <v>-397.49439999999998</v>
      </c>
      <c r="H3440" s="1">
        <v>-2.5339430000000001E-6</v>
      </c>
      <c r="I3440">
        <v>145.1661</v>
      </c>
      <c r="J3440">
        <v>-292.08420000000001</v>
      </c>
      <c r="K3440">
        <v>1.1096919999999999</v>
      </c>
      <c r="L3440">
        <v>142.08240000000001</v>
      </c>
      <c r="M3440">
        <v>-0.9997492</v>
      </c>
      <c r="N3440">
        <v>-1.479623E-2</v>
      </c>
      <c r="O3440">
        <v>-1.6821340000000001E-2</v>
      </c>
      <c r="P3440">
        <v>-0.97921309999999995</v>
      </c>
      <c r="Q3440">
        <v>0.1864952</v>
      </c>
      <c r="R3440">
        <v>-7.9758930000000006E-2</v>
      </c>
      <c r="S3440">
        <v>-3.0773320000000002</v>
      </c>
      <c r="T3440">
        <v>-3.2283069999999997E-2</v>
      </c>
      <c r="U3440">
        <v>8.9538569999999998E-2</v>
      </c>
      <c r="V3440">
        <v>-6.2959950000000001E-2</v>
      </c>
      <c r="W3440">
        <v>0.2010798</v>
      </c>
      <c r="X3440">
        <v>0.97754940000000001</v>
      </c>
      <c r="Y3440">
        <v>4.5889579999999999E-2</v>
      </c>
      <c r="Z3440">
        <v>5.0783510000000003E-4</v>
      </c>
      <c r="AA3440">
        <v>0.99894640000000001</v>
      </c>
      <c r="AB3440">
        <v>37</v>
      </c>
      <c r="AC3440">
        <v>-105.41019999999899</v>
      </c>
      <c r="AD3440">
        <v>-1.109694533943</v>
      </c>
      <c r="AE3440">
        <v>3.0836999999999901</v>
      </c>
      <c r="AF3440">
        <v>4.8560605098857499</v>
      </c>
      <c r="AG3440">
        <v>-1.109694533943</v>
      </c>
      <c r="AH3440">
        <v>105.331741232864</v>
      </c>
      <c r="AI3440">
        <v>90.602961716250306</v>
      </c>
      <c r="AJ3440">
        <v>87.360388255107296</v>
      </c>
      <c r="AK3440">
        <v>105.44945925314801</v>
      </c>
      <c r="AL3440">
        <v>78.399889344702302</v>
      </c>
      <c r="AM3440">
        <v>93.685096526621294</v>
      </c>
      <c r="AN3440">
        <v>0.99999993535619902</v>
      </c>
    </row>
    <row r="3441" spans="1:40" x14ac:dyDescent="0.25">
      <c r="A3441" t="str">
        <f>"20190304155440597"</f>
        <v>20190304155440597</v>
      </c>
      <c r="B3441" t="str">
        <f>"1551686080590797"</f>
        <v>1551686080590797</v>
      </c>
      <c r="C3441" t="s">
        <v>40</v>
      </c>
      <c r="D3441">
        <v>4.456925</v>
      </c>
      <c r="E3441">
        <v>0.53966419999999904</v>
      </c>
      <c r="F3441" t="s">
        <v>46</v>
      </c>
      <c r="G3441">
        <v>-396.726</v>
      </c>
      <c r="H3441" s="1">
        <v>-2.8986390000000001E-6</v>
      </c>
      <c r="I3441">
        <v>145.2979</v>
      </c>
      <c r="J3441">
        <v>-292.44979999999998</v>
      </c>
      <c r="K3441">
        <v>1.109653</v>
      </c>
      <c r="L3441">
        <v>142.07689999999999</v>
      </c>
      <c r="M3441">
        <v>-0.99976100000000001</v>
      </c>
      <c r="N3441">
        <v>-1.4804060000000001E-2</v>
      </c>
      <c r="O3441">
        <v>-1.6086719999999999E-2</v>
      </c>
      <c r="P3441">
        <v>-0.9792265</v>
      </c>
      <c r="Q3441">
        <v>0.18675910000000001</v>
      </c>
      <c r="R3441">
        <v>-7.8972180000000003E-2</v>
      </c>
      <c r="S3441">
        <v>-3.0776059999999998</v>
      </c>
      <c r="T3441">
        <v>-3.2637119999999999E-2</v>
      </c>
      <c r="U3441">
        <v>9.4573969999999993E-2</v>
      </c>
      <c r="V3441">
        <v>-6.2870510000000004E-2</v>
      </c>
      <c r="W3441">
        <v>0.2013577</v>
      </c>
      <c r="X3441">
        <v>0.97749799999999998</v>
      </c>
      <c r="Y3441">
        <v>4.6785689999999998E-2</v>
      </c>
      <c r="Z3441">
        <v>5.2689559999999998E-4</v>
      </c>
      <c r="AA3441">
        <v>0.99890480000000004</v>
      </c>
      <c r="AB3441">
        <v>37</v>
      </c>
      <c r="AC3441">
        <v>-104.2762</v>
      </c>
      <c r="AD3441">
        <v>-1.1096558986389999</v>
      </c>
      <c r="AE3441">
        <v>3.2210000000000001</v>
      </c>
      <c r="AF3441">
        <v>4.8976748989921104</v>
      </c>
      <c r="AG3441">
        <v>-1.1096558986389999</v>
      </c>
      <c r="AH3441">
        <v>104.19909430245001</v>
      </c>
      <c r="AI3441">
        <v>90.609468721926504</v>
      </c>
      <c r="AJ3441">
        <v>87.308904432033202</v>
      </c>
      <c r="AK3441">
        <v>104.320035511307</v>
      </c>
      <c r="AL3441">
        <v>78.3836349242479</v>
      </c>
      <c r="AM3441">
        <v>93.680068893950704</v>
      </c>
      <c r="AN3441">
        <v>0.99999998219047403</v>
      </c>
    </row>
    <row r="3442" spans="1:40" x14ac:dyDescent="0.25">
      <c r="A3442" t="str">
        <f>"20190304155440620"</f>
        <v>20190304155440620</v>
      </c>
      <c r="B3442" t="str">
        <f>"1551686080610888"</f>
        <v>1551686080610888</v>
      </c>
      <c r="C3442" t="s">
        <v>40</v>
      </c>
      <c r="D3442">
        <v>4.4629130000000004</v>
      </c>
      <c r="E3442">
        <v>0.5394101</v>
      </c>
      <c r="F3442" t="s">
        <v>46</v>
      </c>
      <c r="G3442">
        <v>-387.6669</v>
      </c>
      <c r="H3442" s="1">
        <v>-2.4044400000000001E-6</v>
      </c>
      <c r="I3442">
        <v>144.95760000000001</v>
      </c>
      <c r="J3442">
        <v>-292.82749999999999</v>
      </c>
      <c r="K3442">
        <v>1.109607</v>
      </c>
      <c r="L3442">
        <v>142.07159999999999</v>
      </c>
      <c r="M3442">
        <v>-0.99977360000000004</v>
      </c>
      <c r="N3442">
        <v>-1.4810830000000001E-2</v>
      </c>
      <c r="O3442">
        <v>-1.528006E-2</v>
      </c>
      <c r="P3442">
        <v>-0.97923760000000004</v>
      </c>
      <c r="Q3442">
        <v>0.1869623</v>
      </c>
      <c r="R3442">
        <v>-7.8354069999999998E-2</v>
      </c>
      <c r="S3442">
        <v>-3.0779719999999999</v>
      </c>
      <c r="T3442">
        <v>-3.5870550000000001E-2</v>
      </c>
      <c r="U3442">
        <v>9.3124390000000001E-2</v>
      </c>
      <c r="V3442">
        <v>-6.3019110000000003E-2</v>
      </c>
      <c r="W3442">
        <v>0.2015749</v>
      </c>
      <c r="X3442">
        <v>0.97744370000000003</v>
      </c>
      <c r="Y3442">
        <v>4.5505400000000001E-2</v>
      </c>
      <c r="Z3442">
        <v>5.5396199999999997E-4</v>
      </c>
      <c r="AA3442">
        <v>0.99896399999999996</v>
      </c>
      <c r="AB3442">
        <v>37</v>
      </c>
      <c r="AC3442">
        <v>-94.839399999999998</v>
      </c>
      <c r="AD3442">
        <v>-1.10960940444</v>
      </c>
      <c r="AE3442">
        <v>2.8860000000000201</v>
      </c>
      <c r="AF3442">
        <v>4.3343808475185002</v>
      </c>
      <c r="AG3442">
        <v>-1.10960940444</v>
      </c>
      <c r="AH3442">
        <v>94.771261308625895</v>
      </c>
      <c r="AI3442">
        <v>90.670104546152899</v>
      </c>
      <c r="AJ3442">
        <v>87.381391887928004</v>
      </c>
      <c r="AK3442">
        <v>94.876815188904899</v>
      </c>
      <c r="AL3442">
        <v>78.370930184662996</v>
      </c>
      <c r="AM3442">
        <v>93.688947429694295</v>
      </c>
      <c r="AN3442">
        <v>1.00000001760244</v>
      </c>
    </row>
    <row r="3443" spans="1:40" x14ac:dyDescent="0.25">
      <c r="A3443" t="str">
        <f>"20190304155440644"</f>
        <v>20190304155440644</v>
      </c>
      <c r="B3443" t="str">
        <f>"1551686080630397"</f>
        <v>1551686080630397</v>
      </c>
      <c r="C3443" t="s">
        <v>40</v>
      </c>
      <c r="D3443">
        <v>4.4862989999999998</v>
      </c>
      <c r="E3443">
        <v>0.53938509999999995</v>
      </c>
      <c r="F3443" t="s">
        <v>46</v>
      </c>
      <c r="G3443">
        <v>-385.62939999999998</v>
      </c>
      <c r="H3443" s="1">
        <v>-3.2576209999999999E-6</v>
      </c>
      <c r="I3443">
        <v>144.8792</v>
      </c>
      <c r="J3443">
        <v>-293.20400000000001</v>
      </c>
      <c r="K3443">
        <v>1.1095660000000001</v>
      </c>
      <c r="L3443">
        <v>142.0667</v>
      </c>
      <c r="M3443">
        <v>-0.99978630000000002</v>
      </c>
      <c r="N3443">
        <v>-1.4816040000000001E-2</v>
      </c>
      <c r="O3443">
        <v>-1.44279E-2</v>
      </c>
      <c r="P3443">
        <v>-0.97923950000000004</v>
      </c>
      <c r="Q3443">
        <v>0.18708540000000001</v>
      </c>
      <c r="R3443">
        <v>-7.8033720000000001E-2</v>
      </c>
      <c r="S3443">
        <v>-3.078125</v>
      </c>
      <c r="T3443">
        <v>-3.6804440000000001E-2</v>
      </c>
      <c r="U3443">
        <v>9.3124390000000001E-2</v>
      </c>
      <c r="V3443">
        <v>-6.3511360000000003E-2</v>
      </c>
      <c r="W3443">
        <v>0.2017099</v>
      </c>
      <c r="X3443">
        <v>0.97738400000000003</v>
      </c>
      <c r="Y3443">
        <v>4.4652310000000001E-2</v>
      </c>
      <c r="Z3443">
        <v>5.5653120000000004E-4</v>
      </c>
      <c r="AA3443">
        <v>0.99900250000000002</v>
      </c>
      <c r="AB3443">
        <v>37</v>
      </c>
      <c r="AC3443">
        <v>-92.425399999999897</v>
      </c>
      <c r="AD3443">
        <v>-1.1095692576209999</v>
      </c>
      <c r="AE3443">
        <v>2.8125</v>
      </c>
      <c r="AF3443">
        <v>4.1452609227337698</v>
      </c>
      <c r="AG3443">
        <v>-1.1095692576209999</v>
      </c>
      <c r="AH3443">
        <v>92.361895699052894</v>
      </c>
      <c r="AI3443">
        <v>90.6875850210875</v>
      </c>
      <c r="AJ3443">
        <v>87.430253251901107</v>
      </c>
      <c r="AK3443">
        <v>92.461527724658197</v>
      </c>
      <c r="AL3443">
        <v>78.363033187646806</v>
      </c>
      <c r="AM3443">
        <v>93.717908198108901</v>
      </c>
      <c r="AN3443">
        <v>1.0000000300315199</v>
      </c>
    </row>
    <row r="3444" spans="1:40" x14ac:dyDescent="0.25">
      <c r="A3444" t="str">
        <f>"20190304155440663"</f>
        <v>20190304155440663</v>
      </c>
      <c r="B3444" t="str">
        <f>"1551686080660652"</f>
        <v>1551686080660652</v>
      </c>
      <c r="C3444" t="s">
        <v>40</v>
      </c>
      <c r="D3444">
        <v>4.4936509999999998</v>
      </c>
      <c r="E3444">
        <v>0.53904160000000001</v>
      </c>
      <c r="F3444" t="s">
        <v>46</v>
      </c>
      <c r="G3444">
        <v>-380.20760000000001</v>
      </c>
      <c r="H3444" s="1">
        <v>-5.1126690000000004E-6</v>
      </c>
      <c r="I3444">
        <v>144.7311</v>
      </c>
      <c r="J3444">
        <v>-293.54840000000002</v>
      </c>
      <c r="K3444">
        <v>1.109532</v>
      </c>
      <c r="L3444">
        <v>142.0625</v>
      </c>
      <c r="M3444">
        <v>-0.99979750000000001</v>
      </c>
      <c r="N3444">
        <v>-1.481975E-2</v>
      </c>
      <c r="O3444">
        <v>-1.3614390000000001E-2</v>
      </c>
      <c r="P3444">
        <v>-0.97915200000000002</v>
      </c>
      <c r="Q3444">
        <v>0.18785689999999999</v>
      </c>
      <c r="R3444">
        <v>-7.7273729999999999E-2</v>
      </c>
      <c r="S3444">
        <v>-3.0786129999999998</v>
      </c>
      <c r="T3444">
        <v>-3.9262060000000001E-2</v>
      </c>
      <c r="U3444">
        <v>9.4284060000000003E-2</v>
      </c>
      <c r="V3444">
        <v>-6.353077E-2</v>
      </c>
      <c r="W3444">
        <v>0.20248840000000001</v>
      </c>
      <c r="X3444">
        <v>0.97722169999999997</v>
      </c>
      <c r="Y3444">
        <v>4.4210020000000003E-2</v>
      </c>
      <c r="Z3444">
        <v>5.8140820000000001E-4</v>
      </c>
      <c r="AA3444">
        <v>0.99902210000000002</v>
      </c>
      <c r="AB3444">
        <v>37</v>
      </c>
      <c r="AC3444">
        <v>-86.659199999999998</v>
      </c>
      <c r="AD3444">
        <v>-1.1095371126689999</v>
      </c>
      <c r="AE3444">
        <v>2.6685999999999899</v>
      </c>
      <c r="AF3444">
        <v>3.8476641904569702</v>
      </c>
      <c r="AG3444">
        <v>-1.1095371126689999</v>
      </c>
      <c r="AH3444">
        <v>86.600648440912494</v>
      </c>
      <c r="AI3444">
        <v>90.733316363845205</v>
      </c>
      <c r="AJ3444">
        <v>87.456023324716995</v>
      </c>
      <c r="AK3444">
        <v>86.693182561914497</v>
      </c>
      <c r="AL3444">
        <v>78.317488032187399</v>
      </c>
      <c r="AM3444">
        <v>93.719657192816101</v>
      </c>
      <c r="AN3444">
        <v>0.99999998091112097</v>
      </c>
    </row>
    <row r="3445" spans="1:40" x14ac:dyDescent="0.25">
      <c r="A3445" t="str">
        <f>"20190304155440686"</f>
        <v>20190304155440686</v>
      </c>
      <c r="B3445" t="str">
        <f>"1551686080680173"</f>
        <v>1551686080680173</v>
      </c>
      <c r="C3445" t="s">
        <v>40</v>
      </c>
      <c r="D3445">
        <v>4.5000489999999997</v>
      </c>
      <c r="E3445">
        <v>0.53908199999999995</v>
      </c>
      <c r="F3445" t="s">
        <v>46</v>
      </c>
      <c r="G3445">
        <v>-382.64479999999998</v>
      </c>
      <c r="H3445" s="1">
        <v>-4.2915789999999998E-6</v>
      </c>
      <c r="I3445">
        <v>144.77780000000001</v>
      </c>
      <c r="J3445">
        <v>-293.91129999999998</v>
      </c>
      <c r="K3445">
        <v>1.10951</v>
      </c>
      <c r="L3445">
        <v>142.05840000000001</v>
      </c>
      <c r="M3445">
        <v>-0.99980919999999895</v>
      </c>
      <c r="N3445">
        <v>-1.482257E-2</v>
      </c>
      <c r="O3445">
        <v>-1.273063E-2</v>
      </c>
      <c r="P3445">
        <v>-0.97919140000000005</v>
      </c>
      <c r="Q3445">
        <v>0.1879459</v>
      </c>
      <c r="R3445">
        <v>-7.6555650000000003E-2</v>
      </c>
      <c r="S3445">
        <v>-3.0786129999999998</v>
      </c>
      <c r="T3445">
        <v>-3.8338659999999997E-2</v>
      </c>
      <c r="U3445">
        <v>9.3826290000000007E-2</v>
      </c>
      <c r="V3445">
        <v>-6.3662720000000006E-2</v>
      </c>
      <c r="W3445">
        <v>0.20258499999999999</v>
      </c>
      <c r="X3445">
        <v>0.97719310000000004</v>
      </c>
      <c r="Y3445">
        <v>4.3178939999999999E-2</v>
      </c>
      <c r="Z3445">
        <v>5.587519E-4</v>
      </c>
      <c r="AA3445">
        <v>0.99906719999999904</v>
      </c>
      <c r="AB3445">
        <v>37</v>
      </c>
      <c r="AC3445">
        <v>-88.733499999999907</v>
      </c>
      <c r="AD3445">
        <v>-1.1095142915789999</v>
      </c>
      <c r="AE3445">
        <v>2.7193999999999998</v>
      </c>
      <c r="AF3445">
        <v>3.8483358167108102</v>
      </c>
      <c r="AG3445">
        <v>-1.1095142915789999</v>
      </c>
      <c r="AH3445">
        <v>88.677832646409399</v>
      </c>
      <c r="AI3445">
        <v>90.716158712686607</v>
      </c>
      <c r="AJ3445">
        <v>87.515104588748898</v>
      </c>
      <c r="AK3445">
        <v>88.768230315727195</v>
      </c>
      <c r="AL3445">
        <v>78.311836222888004</v>
      </c>
      <c r="AM3445">
        <v>93.727469748211504</v>
      </c>
      <c r="AN3445">
        <v>0.99999998941520396</v>
      </c>
    </row>
    <row r="3446" spans="1:40" x14ac:dyDescent="0.25">
      <c r="A3446" t="str">
        <f>"20190304155440710"</f>
        <v>20190304155440710</v>
      </c>
      <c r="B3446" t="str">
        <f>"1551686080700668"</f>
        <v>1551686080700668</v>
      </c>
      <c r="C3446" t="s">
        <v>40</v>
      </c>
      <c r="D3446">
        <v>4.4983300000000002</v>
      </c>
      <c r="E3446">
        <v>0.53882589999999997</v>
      </c>
      <c r="F3446" t="s">
        <v>46</v>
      </c>
      <c r="G3446">
        <v>-379.51710000000003</v>
      </c>
      <c r="H3446" s="1">
        <v>-1.5489600000000001E-6</v>
      </c>
      <c r="I3446">
        <v>144.72559999999999</v>
      </c>
      <c r="J3446">
        <v>-294.30990000000003</v>
      </c>
      <c r="K3446">
        <v>1.109491</v>
      </c>
      <c r="L3446">
        <v>142.05439999999999</v>
      </c>
      <c r="M3446">
        <v>-0.99982130000000002</v>
      </c>
      <c r="N3446">
        <v>-1.4824469999999999E-2</v>
      </c>
      <c r="O3446">
        <v>-1.1738119999999999E-2</v>
      </c>
      <c r="P3446">
        <v>-0.97937010000000002</v>
      </c>
      <c r="Q3446">
        <v>0.1872973</v>
      </c>
      <c r="R3446">
        <v>-7.5856399999999893E-2</v>
      </c>
      <c r="S3446">
        <v>-3.0789179999999998</v>
      </c>
      <c r="T3446">
        <v>-3.9904950000000002E-2</v>
      </c>
      <c r="U3446">
        <v>9.5932009999999998E-2</v>
      </c>
      <c r="V3446">
        <v>-6.3923439999999998E-2</v>
      </c>
      <c r="W3446">
        <v>0.20194480000000001</v>
      </c>
      <c r="X3446">
        <v>0.97730859999999997</v>
      </c>
      <c r="Y3446">
        <v>4.2866420000000002E-2</v>
      </c>
      <c r="Z3446">
        <v>5.7368999999999996E-4</v>
      </c>
      <c r="AA3446">
        <v>0.99908070000000004</v>
      </c>
      <c r="AB3446">
        <v>37</v>
      </c>
      <c r="AC3446">
        <v>-85.2072</v>
      </c>
      <c r="AD3446">
        <v>-1.10949254896</v>
      </c>
      <c r="AE3446">
        <v>2.67119999999999</v>
      </c>
      <c r="AF3446">
        <v>3.6706763475960602</v>
      </c>
      <c r="AG3446">
        <v>-1.10949254896</v>
      </c>
      <c r="AH3446">
        <v>85.155546233790801</v>
      </c>
      <c r="AI3446">
        <v>90.745772649151206</v>
      </c>
      <c r="AJ3446">
        <v>87.5317620966661</v>
      </c>
      <c r="AK3446">
        <v>85.241843556672805</v>
      </c>
      <c r="AL3446">
        <v>78.349291316187404</v>
      </c>
      <c r="AM3446">
        <v>93.742250615722995</v>
      </c>
      <c r="AN3446">
        <v>1.00000000403121</v>
      </c>
    </row>
    <row r="3447" spans="1:40" x14ac:dyDescent="0.25">
      <c r="A3447" t="str">
        <f>"20190304155440732"</f>
        <v>20190304155440732</v>
      </c>
      <c r="B3447" t="str">
        <f>"1551686080720188"</f>
        <v>1551686080720188</v>
      </c>
      <c r="C3447" t="s">
        <v>40</v>
      </c>
      <c r="D3447">
        <v>4.6209280000000001</v>
      </c>
      <c r="E3447">
        <v>0.538408</v>
      </c>
      <c r="F3447" t="s">
        <v>46</v>
      </c>
      <c r="G3447">
        <v>-376.3433</v>
      </c>
      <c r="H3447" s="1">
        <v>-2.8855269999999998E-6</v>
      </c>
      <c r="I3447">
        <v>144.63159999999999</v>
      </c>
      <c r="J3447">
        <v>-294.6902</v>
      </c>
      <c r="K3447">
        <v>1.1094729999999999</v>
      </c>
      <c r="L3447">
        <v>142.05080000000001</v>
      </c>
      <c r="M3447">
        <v>-0.99983200000000005</v>
      </c>
      <c r="N3447">
        <v>-1.482553E-2</v>
      </c>
      <c r="O3447">
        <v>-1.0778630000000001E-2</v>
      </c>
      <c r="P3447">
        <v>-0.97935000000000005</v>
      </c>
      <c r="Q3447">
        <v>0.1875069</v>
      </c>
      <c r="R3447">
        <v>-7.5596360000000001E-2</v>
      </c>
      <c r="S3447">
        <v>-3.0786129999999998</v>
      </c>
      <c r="T3447">
        <v>-4.1638019999999998E-2</v>
      </c>
      <c r="U3447">
        <v>9.6725459999999999E-2</v>
      </c>
      <c r="V3447">
        <v>-6.4595310000000003E-2</v>
      </c>
      <c r="W3447">
        <v>0.20215820000000001</v>
      </c>
      <c r="X3447">
        <v>0.97722030000000004</v>
      </c>
      <c r="Y3447">
        <v>4.2167610000000001E-2</v>
      </c>
      <c r="Z3447">
        <v>5.8375339999999895E-4</v>
      </c>
      <c r="AA3447">
        <v>0.99911039999999995</v>
      </c>
      <c r="AB3447">
        <v>37</v>
      </c>
      <c r="AC3447">
        <v>-81.653099999999995</v>
      </c>
      <c r="AD3447">
        <v>-1.1094758855269999</v>
      </c>
      <c r="AE3447">
        <v>2.58079999999998</v>
      </c>
      <c r="AF3447">
        <v>3.4602171306543998</v>
      </c>
      <c r="AG3447">
        <v>-1.1094758855269999</v>
      </c>
      <c r="AH3447">
        <v>81.605483719628694</v>
      </c>
      <c r="AI3447">
        <v>90.778223582886298</v>
      </c>
      <c r="AJ3447">
        <v>87.572011813935205</v>
      </c>
      <c r="AK3447">
        <v>81.686345324334496</v>
      </c>
      <c r="AL3447">
        <v>78.336806896153405</v>
      </c>
      <c r="AM3447">
        <v>93.781810863853707</v>
      </c>
      <c r="AN3447">
        <v>1.0000000033166601</v>
      </c>
    </row>
    <row r="3448" spans="1:40" x14ac:dyDescent="0.25">
      <c r="A3448" t="str">
        <f>"20190304155440754"</f>
        <v>20190304155440754</v>
      </c>
      <c r="B3448" t="str">
        <f>"1551686080750446"</f>
        <v>1551686080750446</v>
      </c>
      <c r="C3448" t="s">
        <v>40</v>
      </c>
      <c r="D3448">
        <v>4.5310160000000002</v>
      </c>
      <c r="E3448">
        <v>0.53816900000000001</v>
      </c>
      <c r="F3448" t="s">
        <v>46</v>
      </c>
      <c r="G3448">
        <v>-379.48270000000002</v>
      </c>
      <c r="H3448" s="1">
        <v>-1.5477170000000001E-6</v>
      </c>
      <c r="I3448">
        <v>144.66540000000001</v>
      </c>
      <c r="J3448">
        <v>-295.04000000000002</v>
      </c>
      <c r="K3448">
        <v>1.109467</v>
      </c>
      <c r="L3448">
        <v>142.0479</v>
      </c>
      <c r="M3448">
        <v>-0.99984130000000004</v>
      </c>
      <c r="N3448">
        <v>-1.482579E-2</v>
      </c>
      <c r="O3448">
        <v>-9.8907470000000001E-3</v>
      </c>
      <c r="P3448">
        <v>-0.97949140000000001</v>
      </c>
      <c r="Q3448">
        <v>0.1869488</v>
      </c>
      <c r="R3448">
        <v>-7.5147190000000003E-2</v>
      </c>
      <c r="S3448">
        <v>-3.0783079999999998</v>
      </c>
      <c r="T3448">
        <v>-4.0278429999999997E-2</v>
      </c>
      <c r="U3448">
        <v>9.4924930000000005E-2</v>
      </c>
      <c r="V3448">
        <v>-6.5010159999999997E-2</v>
      </c>
      <c r="W3448">
        <v>0.2016039</v>
      </c>
      <c r="X3448">
        <v>0.97730729999999999</v>
      </c>
      <c r="Y3448">
        <v>4.0700260000000002E-2</v>
      </c>
      <c r="Z3448">
        <v>5.5079640000000002E-4</v>
      </c>
      <c r="AA3448">
        <v>0.99917129999999998</v>
      </c>
      <c r="AB3448">
        <v>37</v>
      </c>
      <c r="AC3448">
        <v>-84.442700000000002</v>
      </c>
      <c r="AD3448">
        <v>-1.1094685477170001</v>
      </c>
      <c r="AE3448">
        <v>2.6175000000000002</v>
      </c>
      <c r="AF3448">
        <v>3.4520696736469798</v>
      </c>
      <c r="AG3448">
        <v>-1.1094685477170001</v>
      </c>
      <c r="AH3448">
        <v>84.398121426363403</v>
      </c>
      <c r="AI3448">
        <v>90.752518000149394</v>
      </c>
      <c r="AJ3448">
        <v>87.657781590469796</v>
      </c>
      <c r="AK3448">
        <v>84.475976500951305</v>
      </c>
      <c r="AL3448">
        <v>78.369233643460703</v>
      </c>
      <c r="AM3448">
        <v>93.805689784133307</v>
      </c>
      <c r="AN3448">
        <v>1.00000000601586</v>
      </c>
    </row>
    <row r="3449" spans="1:40" x14ac:dyDescent="0.25">
      <c r="A3449" t="str">
        <f>"20190304155440775"</f>
        <v>20190304155440775</v>
      </c>
      <c r="B3449" t="str">
        <f>"1551686080770940"</f>
        <v>1551686080770940</v>
      </c>
      <c r="C3449" t="s">
        <v>40</v>
      </c>
      <c r="D3449">
        <v>4.4896599999999998</v>
      </c>
      <c r="E3449">
        <v>0.53804339999999995</v>
      </c>
      <c r="F3449" t="s">
        <v>46</v>
      </c>
      <c r="G3449">
        <v>-376.33870000000002</v>
      </c>
      <c r="H3449" s="1">
        <v>-2.8645860000000001E-6</v>
      </c>
      <c r="I3449">
        <v>144.54570000000001</v>
      </c>
      <c r="J3449">
        <v>-295.39389999999997</v>
      </c>
      <c r="K3449">
        <v>1.10945</v>
      </c>
      <c r="L3449">
        <v>142.04519999999999</v>
      </c>
      <c r="M3449">
        <v>-0.99984969999999995</v>
      </c>
      <c r="N3449">
        <v>-1.482552E-2</v>
      </c>
      <c r="O3449">
        <v>-8.99014699999999E-3</v>
      </c>
      <c r="P3449">
        <v>-0.97954370000000002</v>
      </c>
      <c r="Q3449">
        <v>0.18686920000000001</v>
      </c>
      <c r="R3449">
        <v>-7.4660050000000006E-2</v>
      </c>
      <c r="S3449">
        <v>-3.0780940000000001</v>
      </c>
      <c r="T3449">
        <v>-4.2006250000000002E-2</v>
      </c>
      <c r="U3449">
        <v>9.4573969999999993E-2</v>
      </c>
      <c r="V3449">
        <v>-6.5401260000000003E-2</v>
      </c>
      <c r="W3449">
        <v>0.20152680000000001</v>
      </c>
      <c r="X3449">
        <v>0.97729710000000003</v>
      </c>
      <c r="Y3449">
        <v>3.9688300000000003E-2</v>
      </c>
      <c r="Z3449">
        <v>5.5444580000000004E-4</v>
      </c>
      <c r="AA3449">
        <v>0.99921199999999999</v>
      </c>
      <c r="AB3449">
        <v>37</v>
      </c>
      <c r="AC3449">
        <v>-80.944800000000001</v>
      </c>
      <c r="AD3449">
        <v>-1.109452864586</v>
      </c>
      <c r="AE3449">
        <v>2.5005000000000099</v>
      </c>
      <c r="AF3449">
        <v>3.2275787869931101</v>
      </c>
      <c r="AG3449">
        <v>-1.109452864586</v>
      </c>
      <c r="AH3449">
        <v>80.903861490183701</v>
      </c>
      <c r="AI3449">
        <v>90.785036297736298</v>
      </c>
      <c r="AJ3449">
        <v>87.715453537135701</v>
      </c>
      <c r="AK3449">
        <v>80.975817096882807</v>
      </c>
      <c r="AL3449">
        <v>78.373743631898904</v>
      </c>
      <c r="AM3449">
        <v>93.828556701017007</v>
      </c>
      <c r="AN3449">
        <v>0.99999999879811796</v>
      </c>
    </row>
    <row r="3450" spans="1:40" x14ac:dyDescent="0.25">
      <c r="A3450" t="str">
        <f>"20190304155440799"</f>
        <v>20190304155440799</v>
      </c>
      <c r="B3450" t="str">
        <f>"1551686080790460"</f>
        <v>1551686080790460</v>
      </c>
      <c r="C3450" t="s">
        <v>40</v>
      </c>
      <c r="D3450">
        <v>4.534897</v>
      </c>
      <c r="E3450">
        <v>0.5379022</v>
      </c>
      <c r="F3450" t="s">
        <v>46</v>
      </c>
      <c r="G3450">
        <v>-376.45909999999998</v>
      </c>
      <c r="H3450" s="1">
        <v>-2.8153049999999999E-6</v>
      </c>
      <c r="I3450">
        <v>144.55449999999999</v>
      </c>
      <c r="J3450">
        <v>-295.7765</v>
      </c>
      <c r="K3450">
        <v>1.109442</v>
      </c>
      <c r="L3450">
        <v>142.0427</v>
      </c>
      <c r="M3450">
        <v>-0.99985800000000002</v>
      </c>
      <c r="N3450">
        <v>-1.48246E-2</v>
      </c>
      <c r="O3450">
        <v>-8.016614E-3</v>
      </c>
      <c r="P3450">
        <v>-0.9796414</v>
      </c>
      <c r="Q3450">
        <v>0.18674170000000001</v>
      </c>
      <c r="R3450">
        <v>-7.369009E-2</v>
      </c>
      <c r="S3450">
        <v>-3.0779420000000002</v>
      </c>
      <c r="T3450">
        <v>-4.2124509999999997E-2</v>
      </c>
      <c r="U3450">
        <v>9.5275879999999993E-2</v>
      </c>
      <c r="V3450">
        <v>-6.5381110000000006E-2</v>
      </c>
      <c r="W3450">
        <v>0.2013993</v>
      </c>
      <c r="X3450">
        <v>0.97732470000000005</v>
      </c>
      <c r="Y3450">
        <v>3.8944659999999999E-2</v>
      </c>
      <c r="Z3450">
        <v>5.4607039999999998E-4</v>
      </c>
      <c r="AA3450">
        <v>0.99924120000000005</v>
      </c>
      <c r="AB3450">
        <v>37</v>
      </c>
      <c r="AC3450">
        <v>-80.682599999999894</v>
      </c>
      <c r="AD3450">
        <v>-1.1094448153050001</v>
      </c>
      <c r="AE3450">
        <v>2.5117999999999898</v>
      </c>
      <c r="AF3450">
        <v>3.1579950533066299</v>
      </c>
      <c r="AG3450">
        <v>-1.1094448153050001</v>
      </c>
      <c r="AH3450">
        <v>80.644634731656794</v>
      </c>
      <c r="AI3450">
        <v>90.787576543323496</v>
      </c>
      <c r="AJ3450">
        <v>87.757477778691296</v>
      </c>
      <c r="AK3450">
        <v>80.714068857648797</v>
      </c>
      <c r="AL3450">
        <v>78.381201406472996</v>
      </c>
      <c r="AM3450">
        <v>93.827272871310598</v>
      </c>
      <c r="AN3450">
        <v>0.999999968407705</v>
      </c>
    </row>
    <row r="3451" spans="1:40" x14ac:dyDescent="0.25">
      <c r="A3451" t="str">
        <f>"20190304155440822"</f>
        <v>20190304155440822</v>
      </c>
      <c r="B3451" t="str">
        <f>"1551686080810956"</f>
        <v>1551686080810956</v>
      </c>
      <c r="C3451" t="s">
        <v>40</v>
      </c>
      <c r="D3451">
        <v>4.4911599999999998</v>
      </c>
      <c r="E3451">
        <v>0.5376592</v>
      </c>
      <c r="F3451" t="s">
        <v>46</v>
      </c>
      <c r="G3451">
        <v>-376.75540000000001</v>
      </c>
      <c r="H3451" s="1">
        <v>-2.699669E-6</v>
      </c>
      <c r="I3451">
        <v>144.5977</v>
      </c>
      <c r="J3451">
        <v>-296.15780000000001</v>
      </c>
      <c r="K3451">
        <v>1.1094459999999999</v>
      </c>
      <c r="L3451">
        <v>142.04060000000001</v>
      </c>
      <c r="M3451">
        <v>-0.99986540000000002</v>
      </c>
      <c r="N3451">
        <v>-1.482312E-2</v>
      </c>
      <c r="O3451">
        <v>-7.0478750000000003E-3</v>
      </c>
      <c r="P3451">
        <v>-0.97967190000000004</v>
      </c>
      <c r="Q3451">
        <v>0.18699450000000001</v>
      </c>
      <c r="R3451">
        <v>-7.2638729999999999E-2</v>
      </c>
      <c r="S3451">
        <v>-3.0776979999999998</v>
      </c>
      <c r="T3451">
        <v>-4.2165759999999997E-2</v>
      </c>
      <c r="U3451">
        <v>9.7106929999999994E-2</v>
      </c>
      <c r="V3451">
        <v>-6.5276070000000005E-2</v>
      </c>
      <c r="W3451">
        <v>0.201651</v>
      </c>
      <c r="X3451">
        <v>0.97727980000000003</v>
      </c>
      <c r="Y3451">
        <v>3.857294E-2</v>
      </c>
      <c r="Z3451">
        <v>5.4223800000000001E-4</v>
      </c>
      <c r="AA3451">
        <v>0.99925569999999997</v>
      </c>
      <c r="AB3451">
        <v>37</v>
      </c>
      <c r="AC3451">
        <v>-80.5976</v>
      </c>
      <c r="AD3451">
        <v>-1.1094486996689901</v>
      </c>
      <c r="AE3451">
        <v>2.5570999999999899</v>
      </c>
      <c r="AF3451">
        <v>3.1245491884696999</v>
      </c>
      <c r="AG3451">
        <v>-1.1094486996689901</v>
      </c>
      <c r="AH3451">
        <v>80.562323852498807</v>
      </c>
      <c r="AI3451">
        <v>90.788395379545804</v>
      </c>
      <c r="AJ3451">
        <v>87.778939455723403</v>
      </c>
      <c r="AK3451">
        <v>80.630525910248593</v>
      </c>
      <c r="AL3451">
        <v>78.366477757402095</v>
      </c>
      <c r="AM3451">
        <v>93.821317318862995</v>
      </c>
      <c r="AN3451">
        <v>0.999999949301841</v>
      </c>
    </row>
    <row r="3452" spans="1:40" x14ac:dyDescent="0.25">
      <c r="A3452" t="str">
        <f>"20190304155440843"</f>
        <v>20190304155440843</v>
      </c>
      <c r="B3452" t="str">
        <f>"1551686080830477"</f>
        <v>1551686080830477</v>
      </c>
      <c r="C3452" t="s">
        <v>40</v>
      </c>
      <c r="D3452">
        <v>4.4891860000000001</v>
      </c>
      <c r="E3452">
        <v>0.53755310000000001</v>
      </c>
      <c r="F3452" t="s">
        <v>46</v>
      </c>
      <c r="G3452">
        <v>-379.06900000000002</v>
      </c>
      <c r="H3452" s="1">
        <v>-1.7360190000000001E-6</v>
      </c>
      <c r="I3452">
        <v>144.70609999999999</v>
      </c>
      <c r="J3452">
        <v>-296.50970000000001</v>
      </c>
      <c r="K3452">
        <v>1.10944</v>
      </c>
      <c r="L3452">
        <v>142.03899999999999</v>
      </c>
      <c r="M3452">
        <v>-0.99987119999999996</v>
      </c>
      <c r="N3452">
        <v>-1.48212E-2</v>
      </c>
      <c r="O3452">
        <v>-6.1554629999999999E-3</v>
      </c>
      <c r="P3452">
        <v>-0.97978209999999999</v>
      </c>
      <c r="Q3452">
        <v>0.1869181</v>
      </c>
      <c r="R3452">
        <v>-7.1333800000000003E-2</v>
      </c>
      <c r="S3452">
        <v>-3.0774539999999999</v>
      </c>
      <c r="T3452">
        <v>-4.1179899999999998E-2</v>
      </c>
      <c r="U3452">
        <v>9.8937990000000003E-2</v>
      </c>
      <c r="V3452">
        <v>-6.4844209999999999E-2</v>
      </c>
      <c r="W3452">
        <v>0.201573</v>
      </c>
      <c r="X3452">
        <v>0.97732470000000005</v>
      </c>
      <c r="Y3452">
        <v>3.8277829999999999E-2</v>
      </c>
      <c r="Z3452">
        <v>5.3093309999999996E-4</v>
      </c>
      <c r="AA3452">
        <v>0.99926700000000002</v>
      </c>
      <c r="AB3452">
        <v>37</v>
      </c>
      <c r="AC3452">
        <v>-82.559299999999993</v>
      </c>
      <c r="AD3452">
        <v>-1.1094417360189901</v>
      </c>
      <c r="AE3452">
        <v>2.6671</v>
      </c>
      <c r="AF3452">
        <v>3.1747233058354398</v>
      </c>
      <c r="AG3452">
        <v>-1.1094417360189901</v>
      </c>
      <c r="AH3452">
        <v>82.526429190064107</v>
      </c>
      <c r="AI3452">
        <v>90.769638601736702</v>
      </c>
      <c r="AJ3452">
        <v>87.796965179492702</v>
      </c>
      <c r="AK3452">
        <v>82.594922627828097</v>
      </c>
      <c r="AL3452">
        <v>78.371041209692194</v>
      </c>
      <c r="AM3452">
        <v>93.795936137729697</v>
      </c>
      <c r="AN3452">
        <v>1.0000000075647999</v>
      </c>
    </row>
    <row r="3453" spans="1:40" x14ac:dyDescent="0.25">
      <c r="A3453" t="str">
        <f>"20190304155440864"</f>
        <v>20190304155440864</v>
      </c>
      <c r="B3453" t="str">
        <f>"1551686080860732"</f>
        <v>1551686080860732</v>
      </c>
      <c r="C3453" t="s">
        <v>40</v>
      </c>
      <c r="D3453">
        <v>4.5483370000000001</v>
      </c>
      <c r="E3453">
        <v>0.53741119999999898</v>
      </c>
      <c r="F3453" t="s">
        <v>46</v>
      </c>
      <c r="G3453">
        <v>-378.4676</v>
      </c>
      <c r="H3453" s="1">
        <v>-2.0050369999999998E-6</v>
      </c>
      <c r="I3453">
        <v>144.74760000000001</v>
      </c>
      <c r="J3453">
        <v>-296.8614</v>
      </c>
      <c r="K3453">
        <v>1.1094409999999999</v>
      </c>
      <c r="L3453">
        <v>142.0377</v>
      </c>
      <c r="M3453">
        <v>-0.99987649999999995</v>
      </c>
      <c r="N3453">
        <v>-1.481912E-2</v>
      </c>
      <c r="O3453">
        <v>-5.2651059999999899E-3</v>
      </c>
      <c r="P3453">
        <v>-0.97993730000000001</v>
      </c>
      <c r="Q3453">
        <v>0.1866949</v>
      </c>
      <c r="R3453">
        <v>-6.9773219999999997E-2</v>
      </c>
      <c r="S3453">
        <v>-3.0772400000000002</v>
      </c>
      <c r="T3453">
        <v>-4.1655780000000003E-2</v>
      </c>
      <c r="U3453">
        <v>0.10169980000000001</v>
      </c>
      <c r="V3453">
        <v>-6.4155180000000006E-2</v>
      </c>
      <c r="W3453">
        <v>0.2013479</v>
      </c>
      <c r="X3453">
        <v>0.97741659999999997</v>
      </c>
      <c r="Y3453">
        <v>3.8286019999999997E-2</v>
      </c>
      <c r="Z3453">
        <v>5.3609860000000003E-4</v>
      </c>
      <c r="AA3453">
        <v>0.99926669999999995</v>
      </c>
      <c r="AB3453">
        <v>37</v>
      </c>
      <c r="AC3453">
        <v>-81.606200000000001</v>
      </c>
      <c r="AD3453">
        <v>-1.1094430050370001</v>
      </c>
      <c r="AE3453">
        <v>2.7099000000000002</v>
      </c>
      <c r="AF3453">
        <v>3.1389953066940701</v>
      </c>
      <c r="AG3453">
        <v>-1.1094430050370001</v>
      </c>
      <c r="AH3453">
        <v>81.575738420930094</v>
      </c>
      <c r="AI3453">
        <v>90.778607520214607</v>
      </c>
      <c r="AJ3453">
        <v>87.796373060400796</v>
      </c>
      <c r="AK3453">
        <v>81.643647972373799</v>
      </c>
      <c r="AL3453">
        <v>78.3842088085336</v>
      </c>
      <c r="AM3453">
        <v>93.755364732051504</v>
      </c>
      <c r="AN3453">
        <v>1.0000000369554001</v>
      </c>
    </row>
    <row r="3454" spans="1:40" x14ac:dyDescent="0.25">
      <c r="A3454" t="str">
        <f>"20190304155440888"</f>
        <v>20190304155440888</v>
      </c>
      <c r="B3454" t="str">
        <f>"1551686080881229"</f>
        <v>1551686080881229</v>
      </c>
      <c r="C3454" t="s">
        <v>40</v>
      </c>
      <c r="D3454">
        <v>4.5603099999999896</v>
      </c>
      <c r="E3454">
        <v>0.52348170000000005</v>
      </c>
      <c r="F3454" t="s">
        <v>46</v>
      </c>
      <c r="G3454">
        <v>-377.33620000000002</v>
      </c>
      <c r="H3454" s="1">
        <v>-2.5016879999999998E-6</v>
      </c>
      <c r="I3454">
        <v>144.79</v>
      </c>
      <c r="J3454">
        <v>-297.24200000000002</v>
      </c>
      <c r="K3454">
        <v>1.1094459999999999</v>
      </c>
      <c r="L3454">
        <v>142.0367</v>
      </c>
      <c r="M3454">
        <v>-0.99988100000000002</v>
      </c>
      <c r="N3454">
        <v>-1.4816589999999999E-2</v>
      </c>
      <c r="O3454">
        <v>-4.3062459999999997E-3</v>
      </c>
      <c r="P3454">
        <v>-0.98000169999999998</v>
      </c>
      <c r="Q3454">
        <v>0.18664890000000001</v>
      </c>
      <c r="R3454">
        <v>-6.8985039999999997E-2</v>
      </c>
      <c r="S3454">
        <v>-3.0769959999999998</v>
      </c>
      <c r="T3454">
        <v>-4.2420149999999997E-2</v>
      </c>
      <c r="U3454">
        <v>0.105239899999999</v>
      </c>
      <c r="V3454">
        <v>-6.4307310000000006E-2</v>
      </c>
      <c r="W3454">
        <v>0.20129939999999999</v>
      </c>
      <c r="X3454">
        <v>0.97741659999999997</v>
      </c>
      <c r="Y3454">
        <v>3.8478459999999999E-2</v>
      </c>
      <c r="Z3454">
        <v>5.4589280000000003E-4</v>
      </c>
      <c r="AA3454">
        <v>0.99925929999999996</v>
      </c>
      <c r="AB3454">
        <v>37</v>
      </c>
      <c r="AC3454">
        <v>-80.094200000000001</v>
      </c>
      <c r="AD3454">
        <v>-1.109448501688</v>
      </c>
      <c r="AE3454">
        <v>2.7532999999999901</v>
      </c>
      <c r="AF3454">
        <v>3.0976239974269699</v>
      </c>
      <c r="AG3454">
        <v>-1.109448501688</v>
      </c>
      <c r="AH3454">
        <v>80.066255161837901</v>
      </c>
      <c r="AI3454">
        <v>90.793282243407205</v>
      </c>
      <c r="AJ3454">
        <v>87.784431023082604</v>
      </c>
      <c r="AK3454">
        <v>80.133834090525497</v>
      </c>
      <c r="AL3454">
        <v>78.387045826531804</v>
      </c>
      <c r="AM3454">
        <v>93.764244187285996</v>
      </c>
      <c r="AN3454">
        <v>1.00000004425767</v>
      </c>
    </row>
    <row r="3455" spans="1:40" x14ac:dyDescent="0.25">
      <c r="A3455" t="str">
        <f>"20190304155440912"</f>
        <v>20190304155440912</v>
      </c>
      <c r="B3455" t="str">
        <f>"1551686080900749"</f>
        <v>1551686080900749</v>
      </c>
      <c r="C3455" t="s">
        <v>40</v>
      </c>
      <c r="D3455">
        <v>4.5655929999999998</v>
      </c>
      <c r="E3455">
        <v>0.52200230000000003</v>
      </c>
      <c r="F3455" t="s">
        <v>46</v>
      </c>
      <c r="G3455">
        <v>-348.81130000000002</v>
      </c>
      <c r="H3455" s="1">
        <v>-1.124915E-6</v>
      </c>
      <c r="I3455">
        <v>141.9941</v>
      </c>
      <c r="J3455">
        <v>-297.63</v>
      </c>
      <c r="K3455">
        <v>1.1094580000000001</v>
      </c>
      <c r="L3455">
        <v>142.036</v>
      </c>
      <c r="M3455">
        <v>-0.99988469999999996</v>
      </c>
      <c r="N3455">
        <v>-1.481379E-2</v>
      </c>
      <c r="O3455">
        <v>-3.3365840000000001E-3</v>
      </c>
      <c r="P3455">
        <v>-0.97996269999999996</v>
      </c>
      <c r="Q3455">
        <v>0.18706149999999999</v>
      </c>
      <c r="R3455">
        <v>-6.8420949999999994E-2</v>
      </c>
      <c r="S3455">
        <v>-3.0736690000000002</v>
      </c>
      <c r="T3455">
        <v>-6.6126110000000002E-2</v>
      </c>
      <c r="U3455">
        <v>-2.532959E-3</v>
      </c>
      <c r="V3455">
        <v>-6.4695569999999994E-2</v>
      </c>
      <c r="W3455">
        <v>0.201708</v>
      </c>
      <c r="X3455">
        <v>0.97730669999999997</v>
      </c>
      <c r="Y3455">
        <v>2.5118150000000001E-3</v>
      </c>
      <c r="Z3455" s="1">
        <v>6.7971030000000006E-5</v>
      </c>
      <c r="AA3455">
        <v>0.99999680000000002</v>
      </c>
      <c r="AB3455">
        <v>37</v>
      </c>
      <c r="AC3455">
        <v>-51.1813</v>
      </c>
      <c r="AD3455">
        <v>-1.1094591249150001</v>
      </c>
      <c r="AE3455">
        <v>-4.1899999999998203E-2</v>
      </c>
      <c r="AF3455">
        <v>0.128829145183641</v>
      </c>
      <c r="AG3455">
        <v>-1.1094591249150001</v>
      </c>
      <c r="AH3455">
        <v>51.157116448655202</v>
      </c>
      <c r="AI3455">
        <v>91.242391383627506</v>
      </c>
      <c r="AJ3455">
        <v>89.855712143179005</v>
      </c>
      <c r="AK3455">
        <v>51.169307791290002</v>
      </c>
      <c r="AL3455">
        <v>78.363144097270705</v>
      </c>
      <c r="AM3455">
        <v>93.787329755511294</v>
      </c>
      <c r="AN3455">
        <v>1.00000000995325</v>
      </c>
    </row>
    <row r="3456" spans="1:40" x14ac:dyDescent="0.25">
      <c r="A3456" t="str">
        <f>"20190304155440934"</f>
        <v>20190304155440934</v>
      </c>
      <c r="B3456" t="str">
        <f>"1551686080930868"</f>
        <v>1551686080930868</v>
      </c>
      <c r="C3456" t="s">
        <v>40</v>
      </c>
      <c r="D3456">
        <v>4.526027</v>
      </c>
      <c r="E3456">
        <v>0.52144309999999905</v>
      </c>
      <c r="F3456" t="s">
        <v>46</v>
      </c>
      <c r="G3456">
        <v>-346.75540000000001</v>
      </c>
      <c r="H3456" s="1">
        <v>-1.964677E-6</v>
      </c>
      <c r="I3456">
        <v>141.83539999999999</v>
      </c>
      <c r="J3456">
        <v>-297.99579999999997</v>
      </c>
      <c r="K3456">
        <v>1.109467</v>
      </c>
      <c r="L3456">
        <v>142.03559999999999</v>
      </c>
      <c r="M3456">
        <v>-0.99988730000000003</v>
      </c>
      <c r="N3456">
        <v>-1.481093E-2</v>
      </c>
      <c r="O3456">
        <v>-2.431814E-3</v>
      </c>
      <c r="P3456">
        <v>-0.97991870000000003</v>
      </c>
      <c r="Q3456">
        <v>0.18750749999999999</v>
      </c>
      <c r="R3456">
        <v>-6.7826570000000003E-2</v>
      </c>
      <c r="S3456">
        <v>-3.0737610000000002</v>
      </c>
      <c r="T3456">
        <v>-6.9418549999999996E-2</v>
      </c>
      <c r="U3456">
        <v>-1.254272E-2</v>
      </c>
      <c r="V3456">
        <v>-6.4991060000000003E-2</v>
      </c>
      <c r="W3456">
        <v>0.20214840000000001</v>
      </c>
      <c r="X3456">
        <v>0.97719610000000001</v>
      </c>
      <c r="Y3456">
        <v>-1.6478510000000001E-3</v>
      </c>
      <c r="Z3456" s="1">
        <v>-1.191609E-5</v>
      </c>
      <c r="AA3456">
        <v>0.99999859999999896</v>
      </c>
      <c r="AB3456">
        <v>37</v>
      </c>
      <c r="AC3456">
        <v>-48.759599999999999</v>
      </c>
      <c r="AD3456">
        <v>-1.109468964677</v>
      </c>
      <c r="AE3456">
        <v>-0.20019999999999499</v>
      </c>
      <c r="AF3456">
        <v>-8.1569884770973794E-2</v>
      </c>
      <c r="AG3456">
        <v>-1.109468964677</v>
      </c>
      <c r="AH3456">
        <v>48.734711308470402</v>
      </c>
      <c r="AI3456">
        <v>91.304138676046904</v>
      </c>
      <c r="AJ3456">
        <v>90.095898911535002</v>
      </c>
      <c r="AK3456">
        <v>48.747406714097401</v>
      </c>
      <c r="AL3456">
        <v>78.337380378144303</v>
      </c>
      <c r="AM3456">
        <v>93.8050066256463</v>
      </c>
      <c r="AN3456">
        <v>1.00000001567884</v>
      </c>
    </row>
    <row r="3457" spans="1:40" x14ac:dyDescent="0.25">
      <c r="A3457" t="str">
        <f>"20190304155440955"</f>
        <v>20190304155440955</v>
      </c>
      <c r="B3457" t="str">
        <f>"1551686080950389"</f>
        <v>1551686080950389</v>
      </c>
      <c r="C3457" t="s">
        <v>40</v>
      </c>
      <c r="D3457">
        <v>4.5597190000000003</v>
      </c>
      <c r="E3457">
        <v>0.5212215</v>
      </c>
      <c r="F3457" t="s">
        <v>46</v>
      </c>
      <c r="G3457">
        <v>-346.67450000000002</v>
      </c>
      <c r="H3457" s="1">
        <v>-1.9882930000000001E-6</v>
      </c>
      <c r="I3457">
        <v>141.7937</v>
      </c>
      <c r="J3457">
        <v>-298.33780000000002</v>
      </c>
      <c r="K3457">
        <v>1.109475</v>
      </c>
      <c r="L3457">
        <v>142.03559999999999</v>
      </c>
      <c r="M3457">
        <v>-0.99988920000000003</v>
      </c>
      <c r="N3457">
        <v>-1.4808089999999999E-2</v>
      </c>
      <c r="O3457">
        <v>-1.5965679999999901E-3</v>
      </c>
      <c r="P3457">
        <v>-0.9799793</v>
      </c>
      <c r="Q3457">
        <v>0.18741240000000001</v>
      </c>
      <c r="R3457">
        <v>-6.7212859999999999E-2</v>
      </c>
      <c r="S3457">
        <v>-3.0738219999999998</v>
      </c>
      <c r="T3457">
        <v>-7.0057629999999996E-2</v>
      </c>
      <c r="U3457">
        <v>-1.5274050000000001E-2</v>
      </c>
      <c r="V3457">
        <v>-6.5201159999999994E-2</v>
      </c>
      <c r="W3457">
        <v>0.2020499</v>
      </c>
      <c r="X3457">
        <v>0.97720249999999997</v>
      </c>
      <c r="Y3457">
        <v>-3.3708890000000002E-3</v>
      </c>
      <c r="Z3457" s="1">
        <v>-5.0632720000000002E-5</v>
      </c>
      <c r="AA3457">
        <v>0.9999943</v>
      </c>
      <c r="AB3457">
        <v>37</v>
      </c>
      <c r="AC3457">
        <v>-48.3367</v>
      </c>
      <c r="AD3457">
        <v>-1.109476988293</v>
      </c>
      <c r="AE3457">
        <v>-0.24189999999998599</v>
      </c>
      <c r="AF3457">
        <v>-0.16463167672335699</v>
      </c>
      <c r="AG3457">
        <v>-1.109476988293</v>
      </c>
      <c r="AH3457">
        <v>48.3115725749307</v>
      </c>
      <c r="AI3457">
        <v>91.315560744229103</v>
      </c>
      <c r="AJ3457">
        <v>90.195246464472504</v>
      </c>
      <c r="AK3457">
        <v>48.3245909184892</v>
      </c>
      <c r="AL3457">
        <v>78.343143205759404</v>
      </c>
      <c r="AM3457">
        <v>93.817246034034895</v>
      </c>
      <c r="AN3457">
        <v>1.0000000396808</v>
      </c>
    </row>
    <row r="3458" spans="1:40" x14ac:dyDescent="0.25">
      <c r="A3458" t="str">
        <f>"20190304155440976"</f>
        <v>20190304155440976</v>
      </c>
      <c r="B3458" t="str">
        <f>"1551686080970885"</f>
        <v>1551686080970885</v>
      </c>
      <c r="C3458" t="s">
        <v>40</v>
      </c>
      <c r="D3458">
        <v>4.5408210000000002</v>
      </c>
      <c r="E3458">
        <v>0.52068479999999995</v>
      </c>
      <c r="F3458" t="s">
        <v>46</v>
      </c>
      <c r="G3458">
        <v>-346.60570000000001</v>
      </c>
      <c r="H3458" s="1">
        <v>-2.0210269999999999E-6</v>
      </c>
      <c r="I3458">
        <v>141.8058</v>
      </c>
      <c r="J3458">
        <v>-298.6936</v>
      </c>
      <c r="K3458">
        <v>1.1094820000000001</v>
      </c>
      <c r="L3458">
        <v>142.0359</v>
      </c>
      <c r="M3458">
        <v>-0.99989019999999995</v>
      </c>
      <c r="N3458">
        <v>-1.4804960000000001E-2</v>
      </c>
      <c r="O3458">
        <v>-7.3917679999999997E-4</v>
      </c>
      <c r="P3458">
        <v>-0.98002690000000003</v>
      </c>
      <c r="Q3458">
        <v>0.18738199999999999</v>
      </c>
      <c r="R3458">
        <v>-6.6598089999999999E-2</v>
      </c>
      <c r="S3458">
        <v>-3.0737920000000001</v>
      </c>
      <c r="T3458">
        <v>-7.0653679999999996E-2</v>
      </c>
      <c r="U3458">
        <v>-1.4633180000000001E-2</v>
      </c>
      <c r="V3458">
        <v>-6.5432299999999999E-2</v>
      </c>
      <c r="W3458">
        <v>0.20201479999999999</v>
      </c>
      <c r="X3458">
        <v>0.97719420000000001</v>
      </c>
      <c r="Y3458">
        <v>-4.0196030000000001E-3</v>
      </c>
      <c r="Z3458" s="1">
        <v>-6.9909149999999995E-5</v>
      </c>
      <c r="AA3458">
        <v>0.99999190000000004</v>
      </c>
      <c r="AB3458">
        <v>37</v>
      </c>
      <c r="AC3458">
        <v>-47.912100000000002</v>
      </c>
      <c r="AD3458">
        <v>-1.1094840210270001</v>
      </c>
      <c r="AE3458">
        <v>-0.230099999999993</v>
      </c>
      <c r="AF3458">
        <v>-0.194576209659132</v>
      </c>
      <c r="AG3458">
        <v>-1.1094840210270001</v>
      </c>
      <c r="AH3458">
        <v>47.8865793484945</v>
      </c>
      <c r="AI3458">
        <v>91.3272373443871</v>
      </c>
      <c r="AJ3458">
        <v>90.232807070485904</v>
      </c>
      <c r="AK3458">
        <v>47.899825640537998</v>
      </c>
      <c r="AL3458">
        <v>78.345195393308401</v>
      </c>
      <c r="AM3458">
        <v>93.830770501672902</v>
      </c>
      <c r="AN3458">
        <v>0.999999934907982</v>
      </c>
    </row>
    <row r="3459" spans="1:40" x14ac:dyDescent="0.25">
      <c r="A3459" t="str">
        <f>"20190304155440999"</f>
        <v>20190304155440999</v>
      </c>
      <c r="B3459" t="str">
        <f>"1551686080990404"</f>
        <v>1551686080990404</v>
      </c>
      <c r="C3459" t="s">
        <v>40</v>
      </c>
      <c r="D3459">
        <v>4.5552820000000001</v>
      </c>
      <c r="E3459">
        <v>0.52049480000000004</v>
      </c>
      <c r="F3459" t="s">
        <v>46</v>
      </c>
      <c r="G3459">
        <v>-346.02609999999999</v>
      </c>
      <c r="H3459" s="1">
        <v>-2.264804E-6</v>
      </c>
      <c r="I3459">
        <v>141.78749999999999</v>
      </c>
      <c r="J3459">
        <v>-299.06139999999999</v>
      </c>
      <c r="K3459">
        <v>1.1094980000000001</v>
      </c>
      <c r="L3459">
        <v>142.03649999999999</v>
      </c>
      <c r="M3459">
        <v>-0.99989050000000002</v>
      </c>
      <c r="N3459">
        <v>-1.480162E-2</v>
      </c>
      <c r="O3459">
        <v>1.3195190000000001E-4</v>
      </c>
      <c r="P3459">
        <v>-0.98010410000000003</v>
      </c>
      <c r="Q3459">
        <v>0.18734590000000001</v>
      </c>
      <c r="R3459">
        <v>-6.5558759999999994E-2</v>
      </c>
      <c r="S3459">
        <v>-3.0738219999999998</v>
      </c>
      <c r="T3459">
        <v>-7.2051169999999998E-2</v>
      </c>
      <c r="U3459">
        <v>-1.612854E-2</v>
      </c>
      <c r="V3459">
        <v>-6.5253469999999994E-2</v>
      </c>
      <c r="W3459">
        <v>0.20197329999999999</v>
      </c>
      <c r="X3459">
        <v>0.97721480000000005</v>
      </c>
      <c r="Y3459">
        <v>-5.3765419999999998E-3</v>
      </c>
      <c r="Z3459">
        <v>-1.039462E-4</v>
      </c>
      <c r="AA3459">
        <v>0.99998549999999997</v>
      </c>
      <c r="AB3459">
        <v>37</v>
      </c>
      <c r="AC3459">
        <v>-46.964699999999901</v>
      </c>
      <c r="AD3459">
        <v>-1.10950026480399</v>
      </c>
      <c r="AE3459">
        <v>-0.248999999999995</v>
      </c>
      <c r="AF3459">
        <v>-0.25505541550495398</v>
      </c>
      <c r="AG3459">
        <v>-1.10950026480399</v>
      </c>
      <c r="AH3459">
        <v>46.938471125568697</v>
      </c>
      <c r="AI3459">
        <v>91.354047282423394</v>
      </c>
      <c r="AJ3459">
        <v>90.311332147666604</v>
      </c>
      <c r="AK3459">
        <v>46.952274872559997</v>
      </c>
      <c r="AL3459">
        <v>78.347623950789995</v>
      </c>
      <c r="AM3459">
        <v>93.820251550233806</v>
      </c>
      <c r="AN3459">
        <v>0.99999999729948497</v>
      </c>
    </row>
    <row r="3460" spans="1:40" x14ac:dyDescent="0.25">
      <c r="A3460" t="str">
        <f>"20190304155441023"</f>
        <v>20190304155441023</v>
      </c>
      <c r="B3460" t="str">
        <f>"1551686081010900"</f>
        <v>1551686081010900</v>
      </c>
      <c r="C3460" t="s">
        <v>40</v>
      </c>
      <c r="D3460">
        <v>4.5492949999999999</v>
      </c>
      <c r="E3460">
        <v>0.51998169999999999</v>
      </c>
      <c r="F3460" t="s">
        <v>46</v>
      </c>
      <c r="G3460">
        <v>-346.08580000000001</v>
      </c>
      <c r="H3460" s="1">
        <v>-2.244667E-6</v>
      </c>
      <c r="I3460">
        <v>141.8081</v>
      </c>
      <c r="J3460">
        <v>-299.44439999999997</v>
      </c>
      <c r="K3460">
        <v>1.1095090000000001</v>
      </c>
      <c r="L3460">
        <v>142.03739999999999</v>
      </c>
      <c r="M3460">
        <v>-0.9998901</v>
      </c>
      <c r="N3460">
        <v>-1.479802E-2</v>
      </c>
      <c r="O3460">
        <v>1.0176849999999999E-3</v>
      </c>
      <c r="P3460">
        <v>-0.9801455</v>
      </c>
      <c r="Q3460">
        <v>0.18738460000000001</v>
      </c>
      <c r="R3460">
        <v>-6.4824850000000003E-2</v>
      </c>
      <c r="S3460">
        <v>-3.0737610000000002</v>
      </c>
      <c r="T3460">
        <v>-7.2522879999999998E-2</v>
      </c>
      <c r="U3460">
        <v>-1.49231E-2</v>
      </c>
      <c r="V3460">
        <v>-6.5396079999999995E-2</v>
      </c>
      <c r="W3460">
        <v>0.2020055</v>
      </c>
      <c r="X3460">
        <v>0.97719860000000003</v>
      </c>
      <c r="Y3460">
        <v>-5.8700219999999999E-3</v>
      </c>
      <c r="Z3460">
        <v>-1.216323E-4</v>
      </c>
      <c r="AA3460">
        <v>0.99998279999999995</v>
      </c>
      <c r="AB3460">
        <v>36</v>
      </c>
      <c r="AC3460">
        <v>-46.641399999999997</v>
      </c>
      <c r="AD3460">
        <v>-1.1095112446669999</v>
      </c>
      <c r="AE3460">
        <v>-0.22929999999999401</v>
      </c>
      <c r="AF3460">
        <v>-0.27661480138987998</v>
      </c>
      <c r="AG3460">
        <v>-1.1095112446669999</v>
      </c>
      <c r="AH3460">
        <v>46.614764983559503</v>
      </c>
      <c r="AI3460">
        <v>91.363456246180206</v>
      </c>
      <c r="AJ3460">
        <v>90.339992589279802</v>
      </c>
      <c r="AK3460">
        <v>46.628787732718102</v>
      </c>
      <c r="AL3460">
        <v>78.345740071496905</v>
      </c>
      <c r="AM3460">
        <v>93.828639102239904</v>
      </c>
      <c r="AN3460">
        <v>0.99999998657578804</v>
      </c>
    </row>
    <row r="3461" spans="1:40" x14ac:dyDescent="0.25">
      <c r="A3461" t="str">
        <f>"20190304155441043"</f>
        <v>20190304155441043</v>
      </c>
      <c r="B3461" t="str">
        <f>"1551686081041052"</f>
        <v>1551686081041052</v>
      </c>
      <c r="C3461" t="s">
        <v>40</v>
      </c>
      <c r="D3461">
        <v>4.5762510000000001</v>
      </c>
      <c r="E3461">
        <v>0.51948170000000005</v>
      </c>
      <c r="F3461" t="s">
        <v>46</v>
      </c>
      <c r="G3461">
        <v>-346.3107</v>
      </c>
      <c r="H3461" s="1">
        <v>-2.1407199999999998E-6</v>
      </c>
      <c r="I3461">
        <v>141.78</v>
      </c>
      <c r="J3461">
        <v>-299.79090000000002</v>
      </c>
      <c r="K3461">
        <v>1.109534</v>
      </c>
      <c r="L3461">
        <v>142.0386</v>
      </c>
      <c r="M3461">
        <v>-0.99988889999999997</v>
      </c>
      <c r="N3461">
        <v>-1.4794720000000001E-2</v>
      </c>
      <c r="O3461">
        <v>1.794674E-3</v>
      </c>
      <c r="P3461">
        <v>-0.98031460000000004</v>
      </c>
      <c r="Q3461">
        <v>0.1867251</v>
      </c>
      <c r="R3461">
        <v>-6.4166310000000004E-2</v>
      </c>
      <c r="S3461">
        <v>-3.0735779999999999</v>
      </c>
      <c r="T3461">
        <v>-7.2763800000000003E-2</v>
      </c>
      <c r="U3461">
        <v>-1.6876220000000001E-2</v>
      </c>
      <c r="V3461">
        <v>-6.5510059999999995E-2</v>
      </c>
      <c r="W3461">
        <v>0.2013423</v>
      </c>
      <c r="X3461">
        <v>0.97732779999999997</v>
      </c>
      <c r="Y3461">
        <v>-7.2821069999999899E-3</v>
      </c>
      <c r="Z3461">
        <v>-1.5599879999999999E-4</v>
      </c>
      <c r="AA3461">
        <v>0.99997349999999996</v>
      </c>
      <c r="AB3461">
        <v>36</v>
      </c>
      <c r="AC3461">
        <v>-46.519799999999897</v>
      </c>
      <c r="AD3461">
        <v>-1.10953614072</v>
      </c>
      <c r="AE3461">
        <v>-0.258600000000001</v>
      </c>
      <c r="AF3461">
        <v>-0.34190211178971402</v>
      </c>
      <c r="AG3461">
        <v>-1.10953614072</v>
      </c>
      <c r="AH3461">
        <v>46.492813716989403</v>
      </c>
      <c r="AI3461">
        <v>91.367049027300297</v>
      </c>
      <c r="AJ3461">
        <v>90.421338123618199</v>
      </c>
      <c r="AK3461">
        <v>46.507307972234699</v>
      </c>
      <c r="AL3461">
        <v>78.384535457449303</v>
      </c>
      <c r="AM3461">
        <v>93.834786705626797</v>
      </c>
      <c r="AN3461">
        <v>0.99999995919166496</v>
      </c>
    </row>
    <row r="3462" spans="1:40" x14ac:dyDescent="0.25">
      <c r="A3462" t="str">
        <f>"20190304155441066"</f>
        <v>20190304155441066</v>
      </c>
      <c r="B3462" t="str">
        <f>"1551686081060571"</f>
        <v>1551686081060571</v>
      </c>
      <c r="C3462" t="s">
        <v>40</v>
      </c>
      <c r="D3462">
        <v>4.571542</v>
      </c>
      <c r="E3462">
        <v>0.51915990000000001</v>
      </c>
      <c r="F3462" t="s">
        <v>46</v>
      </c>
      <c r="G3462">
        <v>-344.54349999999999</v>
      </c>
      <c r="H3462" s="1">
        <v>-2.8945980000000001E-6</v>
      </c>
      <c r="I3462">
        <v>141.76410000000001</v>
      </c>
      <c r="J3462">
        <v>-300.14870000000002</v>
      </c>
      <c r="K3462">
        <v>1.109558</v>
      </c>
      <c r="L3462">
        <v>142.04</v>
      </c>
      <c r="M3462">
        <v>-0.99988730000000003</v>
      </c>
      <c r="N3462">
        <v>-1.479127E-2</v>
      </c>
      <c r="O3462">
        <v>2.5768760000000001E-3</v>
      </c>
      <c r="P3462">
        <v>-0.98058690000000004</v>
      </c>
      <c r="Q3462">
        <v>0.1857308</v>
      </c>
      <c r="R3462">
        <v>-6.2876860000000007E-2</v>
      </c>
      <c r="S3462">
        <v>-3.073547</v>
      </c>
      <c r="T3462">
        <v>-7.6201560000000002E-2</v>
      </c>
      <c r="U3462">
        <v>-1.88446E-2</v>
      </c>
      <c r="V3462">
        <v>-6.5000290000000002E-2</v>
      </c>
      <c r="W3462">
        <v>0.20034360000000001</v>
      </c>
      <c r="X3462">
        <v>0.97756710000000002</v>
      </c>
      <c r="Y3462">
        <v>-8.7037989999999999E-3</v>
      </c>
      <c r="Z3462">
        <v>-1.9803059999999999E-4</v>
      </c>
      <c r="AA3462">
        <v>0.99996209999999996</v>
      </c>
      <c r="AB3462">
        <v>36</v>
      </c>
      <c r="AC3462">
        <v>-44.394799999999897</v>
      </c>
      <c r="AD3462">
        <v>-1.109560894598</v>
      </c>
      <c r="AE3462">
        <v>-0.275899999999978</v>
      </c>
      <c r="AF3462">
        <v>-0.390067845568488</v>
      </c>
      <c r="AG3462">
        <v>-1.109560894598</v>
      </c>
      <c r="AH3462">
        <v>44.366229152743401</v>
      </c>
      <c r="AI3462">
        <v>91.432563755647294</v>
      </c>
      <c r="AJ3462">
        <v>90.503731461259704</v>
      </c>
      <c r="AK3462">
        <v>44.381815730507299</v>
      </c>
      <c r="AL3462">
        <v>78.442947641217202</v>
      </c>
      <c r="AM3462">
        <v>93.804105408362801</v>
      </c>
      <c r="AN3462">
        <v>1.0000000153817199</v>
      </c>
    </row>
    <row r="3463" spans="1:40" x14ac:dyDescent="0.25">
      <c r="A3463" t="str">
        <f>"20190304155441088"</f>
        <v>20190304155441088</v>
      </c>
      <c r="B3463" t="str">
        <f>"1551686081081067"</f>
        <v>1551686081081067</v>
      </c>
      <c r="C3463" t="s">
        <v>40</v>
      </c>
      <c r="D3463">
        <v>4.6371820000000001</v>
      </c>
      <c r="E3463">
        <v>0.51900849999999998</v>
      </c>
      <c r="F3463" t="s">
        <v>46</v>
      </c>
      <c r="G3463">
        <v>-342.67110000000002</v>
      </c>
      <c r="H3463" s="1">
        <v>-3.7072829999999998E-6</v>
      </c>
      <c r="I3463">
        <v>141.79939999999999</v>
      </c>
      <c r="J3463">
        <v>-300.51909999999998</v>
      </c>
      <c r="K3463">
        <v>1.1095820000000001</v>
      </c>
      <c r="L3463">
        <v>142.04179999999999</v>
      </c>
      <c r="M3463">
        <v>-0.99988509999999997</v>
      </c>
      <c r="N3463">
        <v>-1.4787659999999999E-2</v>
      </c>
      <c r="O3463">
        <v>3.3604080000000001E-3</v>
      </c>
      <c r="P3463">
        <v>-0.98065910000000001</v>
      </c>
      <c r="Q3463">
        <v>0.18563769999999999</v>
      </c>
      <c r="R3463">
        <v>-6.202133E-2</v>
      </c>
      <c r="S3463">
        <v>-3.0734249999999999</v>
      </c>
      <c r="T3463">
        <v>-8.0196980000000001E-2</v>
      </c>
      <c r="U3463">
        <v>-1.7379760000000001E-2</v>
      </c>
      <c r="V3463">
        <v>-6.4925189999999994E-2</v>
      </c>
      <c r="W3463">
        <v>0.20024320000000001</v>
      </c>
      <c r="X3463">
        <v>0.97759260000000003</v>
      </c>
      <c r="Y3463">
        <v>-9.0104290000000004E-3</v>
      </c>
      <c r="Z3463">
        <v>-2.2215890000000001E-4</v>
      </c>
      <c r="AA3463">
        <v>0.99995940000000005</v>
      </c>
      <c r="AB3463">
        <v>36</v>
      </c>
      <c r="AC3463">
        <v>-42.152000000000001</v>
      </c>
      <c r="AD3463">
        <v>-1.109585707283</v>
      </c>
      <c r="AE3463">
        <v>-0.242400000000003</v>
      </c>
      <c r="AF3463">
        <v>-0.38379609369329898</v>
      </c>
      <c r="AG3463">
        <v>-1.109585707283</v>
      </c>
      <c r="AH3463">
        <v>42.121761101949502</v>
      </c>
      <c r="AI3463">
        <v>91.508893272132497</v>
      </c>
      <c r="AJ3463">
        <v>90.522041037128602</v>
      </c>
      <c r="AK3463">
        <v>42.138120962058203</v>
      </c>
      <c r="AL3463">
        <v>78.448818416079106</v>
      </c>
      <c r="AM3463">
        <v>93.799624282488395</v>
      </c>
      <c r="AN3463">
        <v>0.99999995550876697</v>
      </c>
    </row>
    <row r="3464" spans="1:40" x14ac:dyDescent="0.25">
      <c r="A3464" t="str">
        <f>"20190304155441113"</f>
        <v>20190304155441113</v>
      </c>
      <c r="B3464" t="str">
        <f>"1551686081100586"</f>
        <v>1551686081100586</v>
      </c>
      <c r="C3464" t="s">
        <v>40</v>
      </c>
      <c r="D3464">
        <v>4.583469</v>
      </c>
      <c r="E3464">
        <v>0.51879179999999903</v>
      </c>
      <c r="F3464" t="s">
        <v>46</v>
      </c>
      <c r="G3464">
        <v>-342.71710000000002</v>
      </c>
      <c r="H3464" s="1">
        <v>-3.694723E-6</v>
      </c>
      <c r="I3464">
        <v>141.82650000000001</v>
      </c>
      <c r="J3464">
        <v>-300.90949999999998</v>
      </c>
      <c r="K3464">
        <v>1.109615</v>
      </c>
      <c r="L3464">
        <v>142.04390000000001</v>
      </c>
      <c r="M3464">
        <v>-0.9998821</v>
      </c>
      <c r="N3464">
        <v>-1.478378E-2</v>
      </c>
      <c r="O3464">
        <v>4.1507740000000003E-3</v>
      </c>
      <c r="P3464">
        <v>-0.98074790000000001</v>
      </c>
      <c r="Q3464">
        <v>0.18554419999999999</v>
      </c>
      <c r="R3464">
        <v>-6.0884220000000003E-2</v>
      </c>
      <c r="S3464">
        <v>-3.0734859999999999</v>
      </c>
      <c r="T3464">
        <v>-8.081663E-2</v>
      </c>
      <c r="U3464">
        <v>-1.5670779999999999E-2</v>
      </c>
      <c r="V3464">
        <v>-6.4577880000000004E-2</v>
      </c>
      <c r="W3464">
        <v>0.20014129999999999</v>
      </c>
      <c r="X3464">
        <v>0.97763650000000002</v>
      </c>
      <c r="Y3464">
        <v>-9.2444940000000007E-3</v>
      </c>
      <c r="Z3464">
        <v>-2.3763779999999999E-4</v>
      </c>
      <c r="AA3464">
        <v>0.99995730000000005</v>
      </c>
      <c r="AB3464">
        <v>36</v>
      </c>
      <c r="AC3464">
        <v>-41.807600000000001</v>
      </c>
      <c r="AD3464">
        <v>-1.109618694723</v>
      </c>
      <c r="AE3464">
        <v>-0.21739999999999701</v>
      </c>
      <c r="AF3464">
        <v>-0.39067579671810898</v>
      </c>
      <c r="AG3464">
        <v>-1.109618694723</v>
      </c>
      <c r="AH3464">
        <v>41.7769092337602</v>
      </c>
      <c r="AI3464">
        <v>91.5213846002232</v>
      </c>
      <c r="AJ3464">
        <v>90.535784534040104</v>
      </c>
      <c r="AK3464">
        <v>41.793468704471699</v>
      </c>
      <c r="AL3464">
        <v>78.454777825415903</v>
      </c>
      <c r="AM3464">
        <v>93.779188467133395</v>
      </c>
      <c r="AN3464">
        <v>0.99999998434161697</v>
      </c>
    </row>
    <row r="3465" spans="1:40" x14ac:dyDescent="0.25">
      <c r="A3465" t="str">
        <f>"20190304155441134"</f>
        <v>20190304155441134</v>
      </c>
      <c r="B3465" t="str">
        <f>"1551686081130843"</f>
        <v>1551686081130843</v>
      </c>
      <c r="C3465" t="s">
        <v>40</v>
      </c>
      <c r="D3465">
        <v>4.554036</v>
      </c>
      <c r="E3465">
        <v>0.51837759999999999</v>
      </c>
      <c r="F3465" t="s">
        <v>46</v>
      </c>
      <c r="G3465">
        <v>-342.83510000000001</v>
      </c>
      <c r="H3465" s="1">
        <v>-3.6505419999999999E-6</v>
      </c>
      <c r="I3465">
        <v>141.85059999999999</v>
      </c>
      <c r="J3465">
        <v>-301.26249999999999</v>
      </c>
      <c r="K3465">
        <v>1.1096509999999999</v>
      </c>
      <c r="L3465">
        <v>142.04599999999999</v>
      </c>
      <c r="M3465">
        <v>-0.99987919999999997</v>
      </c>
      <c r="N3465">
        <v>-1.478019E-2</v>
      </c>
      <c r="O3465">
        <v>4.8273159999999999E-3</v>
      </c>
      <c r="P3465">
        <v>-0.98080409999999996</v>
      </c>
      <c r="Q3465">
        <v>0.18540709999999999</v>
      </c>
      <c r="R3465">
        <v>-6.0396650000000003E-2</v>
      </c>
      <c r="S3465">
        <v>-3.0733950000000001</v>
      </c>
      <c r="T3465">
        <v>-8.1341739999999996E-2</v>
      </c>
      <c r="U3465">
        <v>-1.416016E-2</v>
      </c>
      <c r="V3465">
        <v>-6.4769099999999996E-2</v>
      </c>
      <c r="W3465">
        <v>0.19999649999999999</v>
      </c>
      <c r="X3465">
        <v>0.97765349999999995</v>
      </c>
      <c r="Y3465">
        <v>-9.4295479999999994E-3</v>
      </c>
      <c r="Z3465">
        <v>-2.5086120000000002E-4</v>
      </c>
      <c r="AA3465">
        <v>0.9999555</v>
      </c>
      <c r="AB3465">
        <v>36</v>
      </c>
      <c r="AC3465">
        <v>-41.572600000000001</v>
      </c>
      <c r="AD3465">
        <v>-1.109654650542</v>
      </c>
      <c r="AE3465">
        <v>-0.19540000000000601</v>
      </c>
      <c r="AF3465">
        <v>-0.39582170498890001</v>
      </c>
      <c r="AG3465">
        <v>-1.109654650542</v>
      </c>
      <c r="AH3465">
        <v>41.541576035189401</v>
      </c>
      <c r="AI3465">
        <v>91.530046166427098</v>
      </c>
      <c r="AJ3465">
        <v>90.545916380777101</v>
      </c>
      <c r="AK3465">
        <v>41.558278931556302</v>
      </c>
      <c r="AL3465">
        <v>78.463245651491903</v>
      </c>
      <c r="AM3465">
        <v>93.790280641719704</v>
      </c>
      <c r="AN3465">
        <v>1.0000000011946499</v>
      </c>
    </row>
    <row r="3466" spans="1:40" x14ac:dyDescent="0.25">
      <c r="A3466" t="str">
        <f>"20190304155441156"</f>
        <v>20190304155441156</v>
      </c>
      <c r="B3466" t="str">
        <f>"1551686081150363"</f>
        <v>1551686081150363</v>
      </c>
      <c r="C3466" t="s">
        <v>40</v>
      </c>
      <c r="D3466">
        <v>4.5741560000000003</v>
      </c>
      <c r="E3466">
        <v>0.51840959999999903</v>
      </c>
      <c r="F3466" t="s">
        <v>46</v>
      </c>
      <c r="G3466">
        <v>-343.178</v>
      </c>
      <c r="H3466" s="1">
        <v>-3.4994400000000002E-6</v>
      </c>
      <c r="I3466">
        <v>141.8357</v>
      </c>
      <c r="J3466">
        <v>-301.613</v>
      </c>
      <c r="K3466">
        <v>1.1096889999999999</v>
      </c>
      <c r="L3466">
        <v>142.04830000000001</v>
      </c>
      <c r="M3466">
        <v>-0.99987599999999999</v>
      </c>
      <c r="N3466">
        <v>-1.477651E-2</v>
      </c>
      <c r="O3466">
        <v>5.4557759999999999E-3</v>
      </c>
      <c r="P3466">
        <v>-0.98087999999999997</v>
      </c>
      <c r="Q3466">
        <v>0.18525440000000001</v>
      </c>
      <c r="R3466">
        <v>-5.963044E-2</v>
      </c>
      <c r="S3466">
        <v>-3.0731199999999999</v>
      </c>
      <c r="T3466">
        <v>-8.1356639999999994E-2</v>
      </c>
      <c r="U3466">
        <v>-1.5411380000000001E-2</v>
      </c>
      <c r="V3466">
        <v>-6.4637970000000003E-2</v>
      </c>
      <c r="W3466">
        <v>0.1998344</v>
      </c>
      <c r="X3466">
        <v>0.97769530000000004</v>
      </c>
      <c r="Y3466">
        <v>-1.046498E-2</v>
      </c>
      <c r="Z3466">
        <v>-2.7963450000000002E-4</v>
      </c>
      <c r="AA3466">
        <v>0.99994519999999998</v>
      </c>
      <c r="AB3466">
        <v>36</v>
      </c>
      <c r="AC3466">
        <v>-41.564999999999998</v>
      </c>
      <c r="AD3466">
        <v>-1.1096924994399999</v>
      </c>
      <c r="AE3466">
        <v>-0.212600000000008</v>
      </c>
      <c r="AF3466">
        <v>-0.439077957768924</v>
      </c>
      <c r="AG3466">
        <v>-1.1096924994399999</v>
      </c>
      <c r="AH3466">
        <v>41.533618070252103</v>
      </c>
      <c r="AI3466">
        <v>91.530375324471393</v>
      </c>
      <c r="AJ3466">
        <v>90.6056871012199</v>
      </c>
      <c r="AK3466">
        <v>41.550759763232698</v>
      </c>
      <c r="AL3466">
        <v>78.472724367048798</v>
      </c>
      <c r="AM3466">
        <v>93.782467977492104</v>
      </c>
      <c r="AN3466">
        <v>0.99999997711558497</v>
      </c>
    </row>
    <row r="3467" spans="1:40" x14ac:dyDescent="0.25">
      <c r="A3467" t="str">
        <f>"20190304155441178"</f>
        <v>20190304155441178</v>
      </c>
      <c r="B3467" t="str">
        <f>"1551686081170859"</f>
        <v>1551686081170859</v>
      </c>
      <c r="C3467" t="s">
        <v>40</v>
      </c>
      <c r="D3467">
        <v>4.4339130000000004</v>
      </c>
      <c r="E3467">
        <v>0.51824669999999995</v>
      </c>
      <c r="F3467" t="s">
        <v>46</v>
      </c>
      <c r="G3467">
        <v>-343.33940000000001</v>
      </c>
      <c r="H3467" s="1">
        <v>-3.4408199999999999E-6</v>
      </c>
      <c r="I3467">
        <v>141.87569999999999</v>
      </c>
      <c r="J3467">
        <v>-301.96809999999999</v>
      </c>
      <c r="K3467">
        <v>1.109731</v>
      </c>
      <c r="L3467">
        <v>142.05090000000001</v>
      </c>
      <c r="M3467">
        <v>-0.9998726</v>
      </c>
      <c r="N3467">
        <v>-1.477269E-2</v>
      </c>
      <c r="O3467">
        <v>6.0422189999999997E-3</v>
      </c>
      <c r="P3467">
        <v>-0.9809059</v>
      </c>
      <c r="Q3467">
        <v>0.1852193</v>
      </c>
      <c r="R3467">
        <v>-5.9309550000000003E-2</v>
      </c>
      <c r="S3467">
        <v>-3.0731510000000002</v>
      </c>
      <c r="T3467">
        <v>-8.172894E-2</v>
      </c>
      <c r="U3467">
        <v>-1.2710569999999999E-2</v>
      </c>
      <c r="V3467">
        <v>-6.4914559999999996E-2</v>
      </c>
      <c r="W3467">
        <v>0.19978860000000001</v>
      </c>
      <c r="X3467">
        <v>0.97768630000000001</v>
      </c>
      <c r="Y3467">
        <v>-1.017271E-2</v>
      </c>
      <c r="Z3467">
        <v>-2.8181190000000001E-4</v>
      </c>
      <c r="AA3467">
        <v>0.99994819999999995</v>
      </c>
      <c r="AB3467">
        <v>36</v>
      </c>
      <c r="AC3467">
        <v>-41.371299999999998</v>
      </c>
      <c r="AD3467">
        <v>-1.1097344408200001</v>
      </c>
      <c r="AE3467">
        <v>-0.17520000000001701</v>
      </c>
      <c r="AF3467">
        <v>-0.42489283090801799</v>
      </c>
      <c r="AG3467">
        <v>-1.1097344408200001</v>
      </c>
      <c r="AH3467">
        <v>41.339741888756201</v>
      </c>
      <c r="AI3467">
        <v>91.537611868031107</v>
      </c>
      <c r="AJ3467">
        <v>90.5888693943227</v>
      </c>
      <c r="AK3467">
        <v>41.356816897288901</v>
      </c>
      <c r="AL3467">
        <v>78.475402121931694</v>
      </c>
      <c r="AM3467">
        <v>93.798640978796101</v>
      </c>
      <c r="AN3467">
        <v>0.99999994299882</v>
      </c>
    </row>
    <row r="3468" spans="1:40" x14ac:dyDescent="0.25">
      <c r="A3468" t="str">
        <f>"20190304155441200"</f>
        <v>20190304155441200</v>
      </c>
      <c r="B3468" t="str">
        <f>"1551686081190379"</f>
        <v>1551686081190379</v>
      </c>
      <c r="C3468" t="s">
        <v>40</v>
      </c>
      <c r="D3468">
        <v>4.5688120000000003</v>
      </c>
      <c r="E3468">
        <v>0.51801030000000003</v>
      </c>
      <c r="F3468" t="s">
        <v>46</v>
      </c>
      <c r="G3468">
        <v>-343.69749999999999</v>
      </c>
      <c r="H3468" s="1">
        <v>-3.286216E-6</v>
      </c>
      <c r="I3468">
        <v>141.87200000000001</v>
      </c>
      <c r="J3468">
        <v>-302.31560000000002</v>
      </c>
      <c r="K3468">
        <v>1.10978</v>
      </c>
      <c r="L3468">
        <v>142.05350000000001</v>
      </c>
      <c r="M3468">
        <v>-0.99986929999999996</v>
      </c>
      <c r="N3468">
        <v>-1.476885E-2</v>
      </c>
      <c r="O3468">
        <v>6.5609900000000001E-3</v>
      </c>
      <c r="P3468">
        <v>-0.98102069999999997</v>
      </c>
      <c r="Q3468">
        <v>0.18468999999999999</v>
      </c>
      <c r="R3468">
        <v>-5.9060000000000001E-2</v>
      </c>
      <c r="S3468">
        <v>-3.073029</v>
      </c>
      <c r="T3468">
        <v>-8.1722970000000006E-2</v>
      </c>
      <c r="U3468">
        <v>-1.3168330000000001E-2</v>
      </c>
      <c r="V3468">
        <v>-6.5199720000000003E-2</v>
      </c>
      <c r="W3468">
        <v>0.19924939999999999</v>
      </c>
      <c r="X3468">
        <v>0.97777740000000002</v>
      </c>
      <c r="Y3468">
        <v>-1.0840229999999999E-2</v>
      </c>
      <c r="Z3468">
        <v>-3.0174290000000001E-4</v>
      </c>
      <c r="AA3468">
        <v>0.99994119999999997</v>
      </c>
      <c r="AB3468">
        <v>36</v>
      </c>
      <c r="AC3468">
        <v>-41.381899999999902</v>
      </c>
      <c r="AD3468">
        <v>-1.109783286216</v>
      </c>
      <c r="AE3468">
        <v>-0.181499999999999</v>
      </c>
      <c r="AF3468">
        <v>-0.45270638486166198</v>
      </c>
      <c r="AG3468">
        <v>-1.109783286216</v>
      </c>
      <c r="AH3468">
        <v>41.350079367324597</v>
      </c>
      <c r="AI3468">
        <v>91.537284354336606</v>
      </c>
      <c r="AJ3468">
        <v>90.6272570537094</v>
      </c>
      <c r="AK3468">
        <v>41.3674464488358</v>
      </c>
      <c r="AL3468">
        <v>78.506930401694007</v>
      </c>
      <c r="AM3468">
        <v>93.814924244862596</v>
      </c>
      <c r="AN3468">
        <v>0.999999985419599</v>
      </c>
    </row>
    <row r="3469" spans="1:40" x14ac:dyDescent="0.25">
      <c r="A3469" t="str">
        <f>"20190304155441223"</f>
        <v>20190304155441223</v>
      </c>
      <c r="B3469" t="str">
        <f>"1551686081210875"</f>
        <v>1551686081210875</v>
      </c>
      <c r="C3469" t="s">
        <v>40</v>
      </c>
      <c r="D3469">
        <v>4.5639310000000002</v>
      </c>
      <c r="E3469">
        <v>0.51780300000000001</v>
      </c>
      <c r="F3469" t="s">
        <v>46</v>
      </c>
      <c r="G3469">
        <v>-343.26319999999998</v>
      </c>
      <c r="H3469" s="1">
        <v>-3.4696580000000001E-6</v>
      </c>
      <c r="I3469">
        <v>141.86109999999999</v>
      </c>
      <c r="J3469">
        <v>-302.68110000000001</v>
      </c>
      <c r="K3469">
        <v>1.109837</v>
      </c>
      <c r="L3469">
        <v>142.0564</v>
      </c>
      <c r="M3469">
        <v>-0.99986629999999999</v>
      </c>
      <c r="N3469">
        <v>-1.476474E-2</v>
      </c>
      <c r="O3469">
        <v>7.0407760000000003E-3</v>
      </c>
      <c r="P3469">
        <v>-0.98107670000000002</v>
      </c>
      <c r="Q3469">
        <v>0.1845145</v>
      </c>
      <c r="R3469">
        <v>-5.8679200000000001E-2</v>
      </c>
      <c r="S3469">
        <v>-3.072845</v>
      </c>
      <c r="T3469">
        <v>-8.3282110000000006E-2</v>
      </c>
      <c r="U3469">
        <v>-1.4434809999999999E-2</v>
      </c>
      <c r="V3469">
        <v>-6.5317890000000003E-2</v>
      </c>
      <c r="W3469">
        <v>0.1990615</v>
      </c>
      <c r="X3469">
        <v>0.9778078</v>
      </c>
      <c r="Y3469">
        <v>-1.173165E-2</v>
      </c>
      <c r="Z3469">
        <v>-3.3242129999999903E-4</v>
      </c>
      <c r="AA3469">
        <v>0.99993109999999996</v>
      </c>
      <c r="AB3469">
        <v>36</v>
      </c>
      <c r="AC3469">
        <v>-40.582099999999897</v>
      </c>
      <c r="AD3469">
        <v>-1.109840469658</v>
      </c>
      <c r="AE3469">
        <v>-0.195300000000003</v>
      </c>
      <c r="AF3469">
        <v>-0.48069624476200001</v>
      </c>
      <c r="AG3469">
        <v>-1.109840469658</v>
      </c>
      <c r="AH3469">
        <v>40.549391891733002</v>
      </c>
      <c r="AI3469">
        <v>91.567689082783204</v>
      </c>
      <c r="AJ3469">
        <v>90.679185919016703</v>
      </c>
      <c r="AK3469">
        <v>40.567425325464697</v>
      </c>
      <c r="AL3469">
        <v>78.517916527469794</v>
      </c>
      <c r="AM3469">
        <v>93.821699591548693</v>
      </c>
      <c r="AN3469">
        <v>1.0000000006385701</v>
      </c>
    </row>
    <row r="3470" spans="1:40" x14ac:dyDescent="0.25">
      <c r="A3470" t="str">
        <f>"20190304155441244"</f>
        <v>20190304155441244</v>
      </c>
      <c r="B3470" t="str">
        <f>"1551686081241131"</f>
        <v>1551686081241131</v>
      </c>
      <c r="C3470" t="s">
        <v>40</v>
      </c>
      <c r="D3470">
        <v>4.5497290000000001</v>
      </c>
      <c r="E3470">
        <v>0.51773239999999998</v>
      </c>
      <c r="F3470" t="s">
        <v>46</v>
      </c>
      <c r="G3470">
        <v>-343.488</v>
      </c>
      <c r="H3470" s="1">
        <v>-3.3718399999999999E-6</v>
      </c>
      <c r="I3470">
        <v>141.85589999999999</v>
      </c>
      <c r="J3470">
        <v>-303.03019999999998</v>
      </c>
      <c r="K3470">
        <v>1.109893</v>
      </c>
      <c r="L3470">
        <v>142.05930000000001</v>
      </c>
      <c r="M3470">
        <v>-0.99986339999999996</v>
      </c>
      <c r="N3470">
        <v>-1.476092E-2</v>
      </c>
      <c r="O3470">
        <v>7.4342540000000004E-3</v>
      </c>
      <c r="P3470">
        <v>-0.98113709999999998</v>
      </c>
      <c r="Q3470">
        <v>0.1841015</v>
      </c>
      <c r="R3470">
        <v>-5.8964790000000003E-2</v>
      </c>
      <c r="S3470">
        <v>-3.0726930000000001</v>
      </c>
      <c r="T3470">
        <v>-8.3569290000000004E-2</v>
      </c>
      <c r="U3470">
        <v>-1.5090940000000001E-2</v>
      </c>
      <c r="V3470">
        <v>-6.6017010000000001E-2</v>
      </c>
      <c r="W3470">
        <v>0.19863720000000001</v>
      </c>
      <c r="X3470">
        <v>0.97784720000000003</v>
      </c>
      <c r="Y3470">
        <v>-1.2338470000000001E-2</v>
      </c>
      <c r="Z3470">
        <v>-3.5127100000000001E-4</v>
      </c>
      <c r="AA3470">
        <v>0.99992380000000003</v>
      </c>
      <c r="AB3470">
        <v>36</v>
      </c>
      <c r="AC3470">
        <v>-40.457799999999999</v>
      </c>
      <c r="AD3470">
        <v>-1.1098963718399999</v>
      </c>
      <c r="AE3470">
        <v>-0.20340000000001601</v>
      </c>
      <c r="AF3470">
        <v>-0.503821552899682</v>
      </c>
      <c r="AG3470">
        <v>-1.1098963718399999</v>
      </c>
      <c r="AH3470">
        <v>40.424746811366802</v>
      </c>
      <c r="AI3470">
        <v>91.572587987057901</v>
      </c>
      <c r="AJ3470">
        <v>90.714051574435899</v>
      </c>
      <c r="AK3470">
        <v>40.443118832212903</v>
      </c>
      <c r="AL3470">
        <v>78.542723244287004</v>
      </c>
      <c r="AM3470">
        <v>93.862326243819297</v>
      </c>
      <c r="AN3470">
        <v>1.0000000646905001</v>
      </c>
    </row>
    <row r="3471" spans="1:40" x14ac:dyDescent="0.25">
      <c r="A3471" t="str">
        <f>"20190304155441267"</f>
        <v>20190304155441267</v>
      </c>
      <c r="B3471" t="str">
        <f>"1551686081260652"</f>
        <v>1551686081260652</v>
      </c>
      <c r="C3471" t="s">
        <v>40</v>
      </c>
      <c r="D3471">
        <v>4.4608420000000004</v>
      </c>
      <c r="E3471">
        <v>0.52288999999999997</v>
      </c>
      <c r="F3471" t="s">
        <v>46</v>
      </c>
      <c r="G3471">
        <v>-343.80810000000002</v>
      </c>
      <c r="H3471" s="1">
        <v>-3.2301810000000001E-6</v>
      </c>
      <c r="I3471">
        <v>141.83969999999999</v>
      </c>
      <c r="J3471">
        <v>-303.399</v>
      </c>
      <c r="K3471">
        <v>1.1099490000000001</v>
      </c>
      <c r="L3471">
        <v>142.0624</v>
      </c>
      <c r="M3471">
        <v>-0.99986090000000005</v>
      </c>
      <c r="N3471">
        <v>-1.4756740000000001E-2</v>
      </c>
      <c r="O3471">
        <v>7.7932289999999996E-3</v>
      </c>
      <c r="P3471">
        <v>-0.98112410000000005</v>
      </c>
      <c r="Q3471">
        <v>0.18404799999999999</v>
      </c>
      <c r="R3471">
        <v>-5.9349869999999999E-2</v>
      </c>
      <c r="S3471">
        <v>-3.0723880000000001</v>
      </c>
      <c r="T3471">
        <v>-8.3624480000000001E-2</v>
      </c>
      <c r="U3471">
        <v>-1.6540530000000001E-2</v>
      </c>
      <c r="V3471">
        <v>-6.6781640000000003E-2</v>
      </c>
      <c r="W3471">
        <v>0.19857079999999999</v>
      </c>
      <c r="X3471">
        <v>0.97780869999999998</v>
      </c>
      <c r="Y3471">
        <v>-1.3169200000000001E-2</v>
      </c>
      <c r="Z3471">
        <v>-3.7346349999999999E-4</v>
      </c>
      <c r="AA3471">
        <v>0.99991319999999995</v>
      </c>
      <c r="AB3471">
        <v>36</v>
      </c>
      <c r="AC3471">
        <v>-40.409100000000002</v>
      </c>
      <c r="AD3471">
        <v>-1.1099522301809901</v>
      </c>
      <c r="AE3471">
        <v>-0.22270000000000301</v>
      </c>
      <c r="AF3471">
        <v>-0.53723952352788495</v>
      </c>
      <c r="AG3471">
        <v>-1.1099522301809901</v>
      </c>
      <c r="AH3471">
        <v>40.375674973442202</v>
      </c>
      <c r="AI3471">
        <v>91.574560432717902</v>
      </c>
      <c r="AJ3471">
        <v>90.7623337782573</v>
      </c>
      <c r="AK3471">
        <v>40.394501480027898</v>
      </c>
      <c r="AL3471">
        <v>78.546604280640395</v>
      </c>
      <c r="AM3471">
        <v>93.907076537897296</v>
      </c>
      <c r="AN3471">
        <v>1.0000000019247</v>
      </c>
    </row>
    <row r="3472" spans="1:40" x14ac:dyDescent="0.25">
      <c r="A3472" t="str">
        <f>"20190304155441289"</f>
        <v>20190304155441289</v>
      </c>
      <c r="B3472" t="str">
        <f>"1551686081281163"</f>
        <v>1551686081281163</v>
      </c>
      <c r="C3472" t="s">
        <v>40</v>
      </c>
      <c r="D3472">
        <v>4.550033</v>
      </c>
      <c r="E3472">
        <v>0.52087429999999901</v>
      </c>
      <c r="F3472" t="s">
        <v>46</v>
      </c>
      <c r="G3472">
        <v>-372.21870000000001</v>
      </c>
      <c r="H3472" s="1">
        <v>-4.0439600000000003E-6</v>
      </c>
      <c r="I3472">
        <v>142.56440000000001</v>
      </c>
      <c r="J3472">
        <v>-303.76350000000002</v>
      </c>
      <c r="K3472">
        <v>1.109999</v>
      </c>
      <c r="L3472">
        <v>142.06559999999999</v>
      </c>
      <c r="M3472">
        <v>-0.99985849999999998</v>
      </c>
      <c r="N3472">
        <v>-1.4752609999999999E-2</v>
      </c>
      <c r="O3472">
        <v>8.0920569999999997E-3</v>
      </c>
      <c r="P3472">
        <v>-0.98108879999999998</v>
      </c>
      <c r="Q3472">
        <v>0.18419849999999999</v>
      </c>
      <c r="R3472">
        <v>-5.9465650000000002E-2</v>
      </c>
      <c r="S3472">
        <v>-3.0683590000000001</v>
      </c>
      <c r="T3472">
        <v>-4.9487829999999997E-2</v>
      </c>
      <c r="U3472">
        <v>2.2384640000000001E-2</v>
      </c>
      <c r="V3472">
        <v>-6.7215209999999997E-2</v>
      </c>
      <c r="W3472">
        <v>0.1987082</v>
      </c>
      <c r="X3472">
        <v>0.97775109999999998</v>
      </c>
      <c r="Y3472">
        <v>-7.976347E-4</v>
      </c>
      <c r="Z3472" s="1">
        <v>-2.3431379999999999E-5</v>
      </c>
      <c r="AA3472">
        <v>0.99999970000000005</v>
      </c>
      <c r="AB3472">
        <v>36</v>
      </c>
      <c r="AC3472">
        <v>-68.455199999999905</v>
      </c>
      <c r="AD3472">
        <v>-1.1100030439599999</v>
      </c>
      <c r="AE3472">
        <v>0.49880000000001701</v>
      </c>
      <c r="AF3472">
        <v>-5.5205451763253498E-2</v>
      </c>
      <c r="AG3472">
        <v>-1.1100030439599999</v>
      </c>
      <c r="AH3472">
        <v>68.439001445036595</v>
      </c>
      <c r="AI3472">
        <v>90.929190840827502</v>
      </c>
      <c r="AJ3472">
        <v>90.046216903217996</v>
      </c>
      <c r="AK3472">
        <v>68.448024611329998</v>
      </c>
      <c r="AL3472">
        <v>78.5385720229676</v>
      </c>
      <c r="AM3472">
        <v>93.932594263760905</v>
      </c>
      <c r="AN3472">
        <v>1.00000002337689</v>
      </c>
    </row>
    <row r="3473" spans="1:40" x14ac:dyDescent="0.25">
      <c r="A3473" t="str">
        <f>"20190304155441312"</f>
        <v>20190304155441312</v>
      </c>
      <c r="B3473" t="str">
        <f>"1551686081300672"</f>
        <v>1551686081300672</v>
      </c>
      <c r="C3473" t="s">
        <v>40</v>
      </c>
      <c r="D3473">
        <v>4.5759949999999998</v>
      </c>
      <c r="E3473">
        <v>0.52069500000000002</v>
      </c>
      <c r="F3473" t="s">
        <v>46</v>
      </c>
      <c r="G3473">
        <v>-367.41149999999999</v>
      </c>
      <c r="H3473" s="1">
        <v>-1.7792609999999901E-6</v>
      </c>
      <c r="I3473">
        <v>142.19630000000001</v>
      </c>
      <c r="J3473">
        <v>-304.10980000000001</v>
      </c>
      <c r="K3473">
        <v>1.1100559999999999</v>
      </c>
      <c r="L3473">
        <v>142.06870000000001</v>
      </c>
      <c r="M3473">
        <v>-0.99985670000000004</v>
      </c>
      <c r="N3473">
        <v>-1.474867E-2</v>
      </c>
      <c r="O3473">
        <v>8.3249640000000007E-3</v>
      </c>
      <c r="P3473">
        <v>-0.98102230000000001</v>
      </c>
      <c r="Q3473">
        <v>0.18441370000000001</v>
      </c>
      <c r="R3473">
        <v>-5.9890609999999997E-2</v>
      </c>
      <c r="S3473">
        <v>-3.0682680000000002</v>
      </c>
      <c r="T3473">
        <v>-5.3509710000000002E-2</v>
      </c>
      <c r="U3473">
        <v>6.3018800000000002E-3</v>
      </c>
      <c r="V3473">
        <v>-6.7892099999999997E-2</v>
      </c>
      <c r="W3473">
        <v>0.19891059999999999</v>
      </c>
      <c r="X3473">
        <v>0.97766319999999995</v>
      </c>
      <c r="Y3473">
        <v>-6.270248E-3</v>
      </c>
      <c r="Z3473">
        <v>-1.2330309999999999E-4</v>
      </c>
      <c r="AA3473">
        <v>0.99998030000000004</v>
      </c>
      <c r="AB3473">
        <v>36</v>
      </c>
      <c r="AC3473">
        <v>-63.301699999999897</v>
      </c>
      <c r="AD3473">
        <v>-1.110057779261</v>
      </c>
      <c r="AE3473">
        <v>0.12760000000000099</v>
      </c>
      <c r="AF3473">
        <v>-0.39932326005492202</v>
      </c>
      <c r="AG3473">
        <v>-1.110057779261</v>
      </c>
      <c r="AH3473">
        <v>63.281108755595298</v>
      </c>
      <c r="AI3473">
        <v>91.004941896591504</v>
      </c>
      <c r="AJ3473">
        <v>90.361549192675795</v>
      </c>
      <c r="AK3473">
        <v>63.292103873048802</v>
      </c>
      <c r="AL3473">
        <v>78.526739441971401</v>
      </c>
      <c r="AM3473">
        <v>93.972427248556002</v>
      </c>
      <c r="AN3473">
        <v>1.0000000483345</v>
      </c>
    </row>
    <row r="3474" spans="1:40" x14ac:dyDescent="0.25">
      <c r="A3474" t="str">
        <f>"20190304155441335"</f>
        <v>20190304155441335</v>
      </c>
      <c r="B3474" t="str">
        <f>"1551686081330923"</f>
        <v>1551686081330923</v>
      </c>
      <c r="C3474" t="s">
        <v>40</v>
      </c>
      <c r="D3474">
        <v>4.5674619999999999</v>
      </c>
      <c r="E3474">
        <v>0.4789851</v>
      </c>
      <c r="F3474" t="s">
        <v>46</v>
      </c>
      <c r="G3474">
        <v>-369.78870000000001</v>
      </c>
      <c r="H3474" s="1">
        <v>-7.4453190000000002E-7</v>
      </c>
      <c r="I3474">
        <v>142.14009999999999</v>
      </c>
      <c r="J3474">
        <v>-304.4803</v>
      </c>
      <c r="K3474">
        <v>1.110107</v>
      </c>
      <c r="L3474">
        <v>142.072</v>
      </c>
      <c r="M3474">
        <v>-0.9998551</v>
      </c>
      <c r="N3474">
        <v>-1.4744419999999999E-2</v>
      </c>
      <c r="O3474">
        <v>8.52410199999999E-3</v>
      </c>
      <c r="P3474">
        <v>-0.98093600000000003</v>
      </c>
      <c r="Q3474">
        <v>0.1847994</v>
      </c>
      <c r="R3474">
        <v>-6.0119579999999999E-2</v>
      </c>
      <c r="S3474">
        <v>-3.067993</v>
      </c>
      <c r="T3474">
        <v>-5.1853059999999999E-2</v>
      </c>
      <c r="U3474">
        <v>3.3416750000000001E-3</v>
      </c>
      <c r="V3474">
        <v>-6.8339029999999995E-2</v>
      </c>
      <c r="W3474">
        <v>0.19928299999999999</v>
      </c>
      <c r="X3474">
        <v>0.97755619999999999</v>
      </c>
      <c r="Y3474">
        <v>-7.4338499999999997E-3</v>
      </c>
      <c r="Z3474">
        <v>-1.359973E-4</v>
      </c>
      <c r="AA3474">
        <v>0.99997230000000004</v>
      </c>
      <c r="AB3474">
        <v>36</v>
      </c>
      <c r="AC3474">
        <v>-65.308400000000006</v>
      </c>
      <c r="AD3474">
        <v>-1.1101077445319001</v>
      </c>
      <c r="AE3474">
        <v>6.8099999999986893E-2</v>
      </c>
      <c r="AF3474">
        <v>-0.48851723507872102</v>
      </c>
      <c r="AG3474">
        <v>-1.1101077445319001</v>
      </c>
      <c r="AH3474">
        <v>65.287743784248903</v>
      </c>
      <c r="AI3474">
        <v>90.974096765546193</v>
      </c>
      <c r="AJ3474">
        <v>90.428709154509207</v>
      </c>
      <c r="AK3474">
        <v>65.299008236964596</v>
      </c>
      <c r="AL3474">
        <v>78.504966392312696</v>
      </c>
      <c r="AM3474">
        <v>93.998929216435698</v>
      </c>
      <c r="AN3474">
        <v>1.0000000306343899</v>
      </c>
    </row>
    <row r="3475" spans="1:40" x14ac:dyDescent="0.25">
      <c r="A3475" t="str">
        <f>"20190304155441357"</f>
        <v>20190304155441357</v>
      </c>
      <c r="B3475" t="str">
        <f>"1551686081350443"</f>
        <v>1551686081350443</v>
      </c>
      <c r="C3475" t="s">
        <v>40</v>
      </c>
      <c r="D3475">
        <v>4.5440759999999996</v>
      </c>
      <c r="E3475">
        <v>0.47612529999999997</v>
      </c>
      <c r="F3475" t="s">
        <v>46</v>
      </c>
      <c r="G3475">
        <v>-347.60820000000001</v>
      </c>
      <c r="H3475" s="1">
        <v>-1.3963380000000001E-6</v>
      </c>
      <c r="I3475">
        <v>137.42930000000001</v>
      </c>
      <c r="J3475">
        <v>-304.83960000000002</v>
      </c>
      <c r="K3475">
        <v>1.1101559999999999</v>
      </c>
      <c r="L3475">
        <v>142.0752</v>
      </c>
      <c r="M3475">
        <v>-0.99985369999999996</v>
      </c>
      <c r="N3475">
        <v>-1.47403E-2</v>
      </c>
      <c r="O3475">
        <v>8.6757480000000005E-3</v>
      </c>
      <c r="P3475">
        <v>-0.98090080000000002</v>
      </c>
      <c r="Q3475">
        <v>0.18483450000000001</v>
      </c>
      <c r="R3475">
        <v>-6.0579899999999999E-2</v>
      </c>
      <c r="S3475">
        <v>-3.0529480000000002</v>
      </c>
      <c r="T3475">
        <v>-7.8582879999999994E-2</v>
      </c>
      <c r="U3475">
        <v>-0.32864379999999999</v>
      </c>
      <c r="V3475">
        <v>-6.8969840000000004E-2</v>
      </c>
      <c r="W3475">
        <v>0.19930590000000001</v>
      </c>
      <c r="X3475">
        <v>0.97750720000000002</v>
      </c>
      <c r="Y3475">
        <v>-0.11559220000000001</v>
      </c>
      <c r="Z3475">
        <v>-2.4329550000000001E-3</v>
      </c>
      <c r="AA3475">
        <v>0.9932938</v>
      </c>
      <c r="AB3475">
        <v>36</v>
      </c>
      <c r="AC3475">
        <v>-42.7685999999999</v>
      </c>
      <c r="AD3475">
        <v>-1.11015739633799</v>
      </c>
      <c r="AE3475">
        <v>-4.6458999999999797</v>
      </c>
      <c r="AF3475">
        <v>-5.0134764410634602</v>
      </c>
      <c r="AG3475">
        <v>-1.11015739633799</v>
      </c>
      <c r="AH3475">
        <v>42.698245254601403</v>
      </c>
      <c r="AI3475">
        <v>91.479201643399307</v>
      </c>
      <c r="AJ3475">
        <v>96.696804010085899</v>
      </c>
      <c r="AK3475">
        <v>43.005901261243601</v>
      </c>
      <c r="AL3475">
        <v>78.503627141342093</v>
      </c>
      <c r="AM3475">
        <v>94.035921936139204</v>
      </c>
      <c r="AN3475">
        <v>1.00000000332813</v>
      </c>
    </row>
    <row r="3476" spans="1:40" x14ac:dyDescent="0.25">
      <c r="A3476" t="str">
        <f>"20190304155441379"</f>
        <v>20190304155441379</v>
      </c>
      <c r="B3476" t="str">
        <f>"1551686081370942"</f>
        <v>1551686081370942</v>
      </c>
      <c r="C3476" t="s">
        <v>40</v>
      </c>
      <c r="D3476">
        <v>4.571364</v>
      </c>
      <c r="E3476">
        <v>0.47473789999999999</v>
      </c>
      <c r="F3476" t="s">
        <v>46</v>
      </c>
      <c r="G3476">
        <v>-345.51029999999997</v>
      </c>
      <c r="H3476" s="1">
        <v>-2.3052209999999999E-6</v>
      </c>
      <c r="I3476">
        <v>137.37899999999999</v>
      </c>
      <c r="J3476">
        <v>-305.18520000000001</v>
      </c>
      <c r="K3476">
        <v>1.110204</v>
      </c>
      <c r="L3476">
        <v>142.07839999999999</v>
      </c>
      <c r="M3476">
        <v>-0.99985279999999999</v>
      </c>
      <c r="N3476">
        <v>-1.4736320000000001E-2</v>
      </c>
      <c r="O3476">
        <v>8.7898899999999999E-3</v>
      </c>
      <c r="P3476">
        <v>-0.98079680000000002</v>
      </c>
      <c r="Q3476">
        <v>0.18525539999999999</v>
      </c>
      <c r="R3476">
        <v>-6.0975260000000003E-2</v>
      </c>
      <c r="S3476">
        <v>-3.0523380000000002</v>
      </c>
      <c r="T3476">
        <v>-8.3317520000000006E-2</v>
      </c>
      <c r="U3476">
        <v>-0.35244750000000002</v>
      </c>
      <c r="V3476">
        <v>-6.9494810000000004E-2</v>
      </c>
      <c r="W3476">
        <v>0.19971520000000001</v>
      </c>
      <c r="X3476">
        <v>0.97738650000000005</v>
      </c>
      <c r="Y3476">
        <v>-0.1233635</v>
      </c>
      <c r="Z3476">
        <v>-2.7001170000000001E-3</v>
      </c>
      <c r="AA3476">
        <v>0.99235790000000001</v>
      </c>
      <c r="AB3476">
        <v>36</v>
      </c>
      <c r="AC3476">
        <v>-40.3250999999999</v>
      </c>
      <c r="AD3476">
        <v>-1.1102063052210001</v>
      </c>
      <c r="AE3476">
        <v>-4.69939999999999</v>
      </c>
      <c r="AF3476">
        <v>-5.0499336431564696</v>
      </c>
      <c r="AG3476">
        <v>-1.1102063052210001</v>
      </c>
      <c r="AH3476">
        <v>40.252128725512698</v>
      </c>
      <c r="AI3476">
        <v>91.567609519808201</v>
      </c>
      <c r="AJ3476">
        <v>97.150827526963496</v>
      </c>
      <c r="AK3476">
        <v>40.582856661103598</v>
      </c>
      <c r="AL3476">
        <v>78.479695148031098</v>
      </c>
      <c r="AM3476">
        <v>94.067039539444707</v>
      </c>
      <c r="AN3476">
        <v>1.00000003005511</v>
      </c>
    </row>
    <row r="3477" spans="1:40" x14ac:dyDescent="0.25">
      <c r="A3477" t="str">
        <f>"20190304155441401"</f>
        <v>20190304155441401</v>
      </c>
      <c r="B3477" t="str">
        <f>"1551686081390459"</f>
        <v>1551686081390459</v>
      </c>
      <c r="C3477" t="s">
        <v>40</v>
      </c>
      <c r="D3477">
        <v>4.4818230000000003</v>
      </c>
      <c r="E3477">
        <v>0.47488950000000002</v>
      </c>
      <c r="F3477" t="s">
        <v>46</v>
      </c>
      <c r="G3477">
        <v>-345.25599999999997</v>
      </c>
      <c r="H3477" s="1">
        <v>-2.4299880000000001E-6</v>
      </c>
      <c r="I3477">
        <v>137.29060000000001</v>
      </c>
      <c r="J3477">
        <v>-305.53289999999998</v>
      </c>
      <c r="K3477">
        <v>1.110244</v>
      </c>
      <c r="L3477">
        <v>142.08150000000001</v>
      </c>
      <c r="M3477">
        <v>-0.99985219999999997</v>
      </c>
      <c r="N3477">
        <v>-1.473232E-2</v>
      </c>
      <c r="O3477">
        <v>8.8811310000000004E-3</v>
      </c>
      <c r="P3477">
        <v>-0.98072090000000001</v>
      </c>
      <c r="Q3477">
        <v>0.1854703</v>
      </c>
      <c r="R3477">
        <v>-6.1543569999999999E-2</v>
      </c>
      <c r="S3477">
        <v>-3.0520320000000001</v>
      </c>
      <c r="T3477">
        <v>-8.4559919999999997E-2</v>
      </c>
      <c r="U3477">
        <v>-0.36465449999999999</v>
      </c>
      <c r="V3477">
        <v>-7.0168069999999999E-2</v>
      </c>
      <c r="W3477">
        <v>0.19991890000000001</v>
      </c>
      <c r="X3477">
        <v>0.97729670000000002</v>
      </c>
      <c r="Y3477">
        <v>-0.1273753</v>
      </c>
      <c r="Z3477">
        <v>-2.814684E-3</v>
      </c>
      <c r="AA3477">
        <v>0.99185060000000003</v>
      </c>
      <c r="AB3477">
        <v>36</v>
      </c>
      <c r="AC3477">
        <v>-39.723099999999903</v>
      </c>
      <c r="AD3477">
        <v>-1.1102464299879999</v>
      </c>
      <c r="AE3477">
        <v>-4.7908999999999899</v>
      </c>
      <c r="AF3477">
        <v>-5.1395779178568404</v>
      </c>
      <c r="AG3477">
        <v>-1.1102464299879999</v>
      </c>
      <c r="AH3477">
        <v>39.648451235885801</v>
      </c>
      <c r="AI3477">
        <v>91.590690366930602</v>
      </c>
      <c r="AJ3477">
        <v>97.385991801067405</v>
      </c>
      <c r="AK3477">
        <v>39.995594678832298</v>
      </c>
      <c r="AL3477">
        <v>78.467783225153795</v>
      </c>
      <c r="AM3477">
        <v>94.106682567535699</v>
      </c>
      <c r="AN3477">
        <v>0.99999998222781195</v>
      </c>
    </row>
    <row r="3478" spans="1:40" x14ac:dyDescent="0.25">
      <c r="A3478" t="str">
        <f>"20190304155441423"</f>
        <v>20190304155441423</v>
      </c>
      <c r="B3478" t="str">
        <f>"1551686081420716"</f>
        <v>1551686081420716</v>
      </c>
      <c r="C3478" t="s">
        <v>40</v>
      </c>
      <c r="D3478">
        <v>4.4973239999999999</v>
      </c>
      <c r="E3478">
        <v>0.47509299999999999</v>
      </c>
      <c r="F3478" t="s">
        <v>46</v>
      </c>
      <c r="G3478">
        <v>-347.82499999999999</v>
      </c>
      <c r="H3478" s="1">
        <v>-1.4182419999999999E-6</v>
      </c>
      <c r="I3478">
        <v>137.0154</v>
      </c>
      <c r="J3478">
        <v>-305.89170000000001</v>
      </c>
      <c r="K3478">
        <v>1.1102730000000001</v>
      </c>
      <c r="L3478">
        <v>142.0848</v>
      </c>
      <c r="M3478">
        <v>-0.99985139999999995</v>
      </c>
      <c r="N3478">
        <v>-1.47282E-2</v>
      </c>
      <c r="O3478">
        <v>8.9577110000000001E-3</v>
      </c>
      <c r="P3478">
        <v>-0.98074159999999999</v>
      </c>
      <c r="Q3478">
        <v>0.18523800000000001</v>
      </c>
      <c r="R3478">
        <v>-6.1910800000000002E-2</v>
      </c>
      <c r="S3478">
        <v>-3.0511780000000002</v>
      </c>
      <c r="T3478">
        <v>-8.0098989999999995E-2</v>
      </c>
      <c r="U3478">
        <v>-0.36549379999999998</v>
      </c>
      <c r="V3478">
        <v>-7.0623610000000003E-2</v>
      </c>
      <c r="W3478">
        <v>0.1996793</v>
      </c>
      <c r="X3478">
        <v>0.97731290000000004</v>
      </c>
      <c r="Y3478">
        <v>-0.12775909999999999</v>
      </c>
      <c r="Z3478">
        <v>-2.7180469999999999E-3</v>
      </c>
      <c r="AA3478">
        <v>0.9918015</v>
      </c>
      <c r="AB3478">
        <v>36</v>
      </c>
      <c r="AC3478">
        <v>-41.933299999999903</v>
      </c>
      <c r="AD3478">
        <v>-1.1102744182419999</v>
      </c>
      <c r="AE3478">
        <v>-5.0693999999999999</v>
      </c>
      <c r="AF3478">
        <v>-5.4411042135564198</v>
      </c>
      <c r="AG3478">
        <v>-1.1102744182419999</v>
      </c>
      <c r="AH3478">
        <v>41.857281140300302</v>
      </c>
      <c r="AI3478">
        <v>91.506756760648898</v>
      </c>
      <c r="AJ3478">
        <v>97.406451315492902</v>
      </c>
      <c r="AK3478">
        <v>42.224048939019603</v>
      </c>
      <c r="AL3478">
        <v>78.481794124742194</v>
      </c>
      <c r="AM3478">
        <v>94.133183291532504</v>
      </c>
      <c r="AN3478">
        <v>1.0000000108221601</v>
      </c>
    </row>
    <row r="3479" spans="1:40" x14ac:dyDescent="0.25">
      <c r="A3479" t="str">
        <f>"20190304155441445"</f>
        <v>20190304155441445</v>
      </c>
      <c r="B3479" t="str">
        <f>"1551686081441211"</f>
        <v>1551686081441211</v>
      </c>
      <c r="C3479" t="s">
        <v>40</v>
      </c>
      <c r="D3479">
        <v>4.5209339999999996</v>
      </c>
      <c r="E3479">
        <v>0.47515230000000003</v>
      </c>
      <c r="F3479" t="s">
        <v>46</v>
      </c>
      <c r="G3479">
        <v>-349.15359999999998</v>
      </c>
      <c r="H3479" s="1">
        <v>-9.929536000000001E-7</v>
      </c>
      <c r="I3479">
        <v>136.91460000000001</v>
      </c>
      <c r="J3479">
        <v>-306.23540000000003</v>
      </c>
      <c r="K3479">
        <v>1.11029</v>
      </c>
      <c r="L3479">
        <v>142.08799999999999</v>
      </c>
      <c r="M3479">
        <v>-0.99985100000000005</v>
      </c>
      <c r="N3479">
        <v>-1.4724289999999999E-2</v>
      </c>
      <c r="O3479">
        <v>9.0200650000000007E-3</v>
      </c>
      <c r="P3479">
        <v>-0.98072490000000001</v>
      </c>
      <c r="Q3479">
        <v>0.18498039999999999</v>
      </c>
      <c r="R3479">
        <v>-6.2939579999999995E-2</v>
      </c>
      <c r="S3479">
        <v>-3.050659</v>
      </c>
      <c r="T3479">
        <v>-7.8292249999999994E-2</v>
      </c>
      <c r="U3479">
        <v>-0.36457820000000002</v>
      </c>
      <c r="V3479">
        <v>-7.1721729999999997E-2</v>
      </c>
      <c r="W3479">
        <v>0.19941429999999999</v>
      </c>
      <c r="X3479">
        <v>0.97728700000000002</v>
      </c>
      <c r="Y3479">
        <v>-0.1275501</v>
      </c>
      <c r="Z3479">
        <v>-2.6716589999999998E-3</v>
      </c>
      <c r="AA3479">
        <v>0.9918285</v>
      </c>
      <c r="AB3479">
        <v>36</v>
      </c>
      <c r="AC3479">
        <v>-42.918199999999899</v>
      </c>
      <c r="AD3479">
        <v>-1.1102909929536</v>
      </c>
      <c r="AE3479">
        <v>-5.1733999999999796</v>
      </c>
      <c r="AF3479">
        <v>-5.5566908079871498</v>
      </c>
      <c r="AG3479">
        <v>-1.1102909929536</v>
      </c>
      <c r="AH3479">
        <v>42.841522981254101</v>
      </c>
      <c r="AI3479">
        <v>91.472232085062302</v>
      </c>
      <c r="AJ3479">
        <v>97.390199486626003</v>
      </c>
      <c r="AK3479">
        <v>43.214646246127302</v>
      </c>
      <c r="AL3479">
        <v>78.497288719417099</v>
      </c>
      <c r="AM3479">
        <v>94.197332691958394</v>
      </c>
      <c r="AN3479">
        <v>0.99999997498384097</v>
      </c>
    </row>
    <row r="3480" spans="1:40" x14ac:dyDescent="0.25">
      <c r="A3480" t="str">
        <f>"20190304155441467"</f>
        <v>20190304155441467</v>
      </c>
      <c r="B3480" t="str">
        <f>"1551686081460731"</f>
        <v>1551686081460731</v>
      </c>
      <c r="C3480" t="s">
        <v>40</v>
      </c>
      <c r="D3480">
        <v>4.5137559999999999</v>
      </c>
      <c r="E3480">
        <v>0.4750376</v>
      </c>
      <c r="F3480" t="s">
        <v>46</v>
      </c>
      <c r="G3480">
        <v>-349.73129999999998</v>
      </c>
      <c r="H3480" s="1">
        <v>-8.1329930000000001E-7</v>
      </c>
      <c r="I3480">
        <v>136.851</v>
      </c>
      <c r="J3480">
        <v>-306.58909999999997</v>
      </c>
      <c r="K3480">
        <v>1.110293</v>
      </c>
      <c r="L3480">
        <v>142.09119999999999</v>
      </c>
      <c r="M3480">
        <v>-0.99985049999999998</v>
      </c>
      <c r="N3480">
        <v>-1.4720250000000001E-2</v>
      </c>
      <c r="O3480">
        <v>9.0787460000000004E-3</v>
      </c>
      <c r="P3480">
        <v>-0.98070119999999905</v>
      </c>
      <c r="Q3480">
        <v>0.18489510000000001</v>
      </c>
      <c r="R3480">
        <v>-6.3554410000000006E-2</v>
      </c>
      <c r="S3480">
        <v>-3.0500790000000002</v>
      </c>
      <c r="T3480">
        <v>-7.7857490000000001E-2</v>
      </c>
      <c r="U3480">
        <v>-0.36723329999999998</v>
      </c>
      <c r="V3480">
        <v>-7.2400190000000003E-2</v>
      </c>
      <c r="W3480">
        <v>0.19932269999999999</v>
      </c>
      <c r="X3480">
        <v>0.97725569999999895</v>
      </c>
      <c r="Y3480">
        <v>-0.1284817</v>
      </c>
      <c r="Z3480">
        <v>-2.680773E-3</v>
      </c>
      <c r="AA3480">
        <v>0.99170829999999999</v>
      </c>
      <c r="AB3480">
        <v>36</v>
      </c>
      <c r="AC3480">
        <v>-43.142200000000003</v>
      </c>
      <c r="AD3480">
        <v>-1.1102938132993001</v>
      </c>
      <c r="AE3480">
        <v>-5.2401999999999802</v>
      </c>
      <c r="AF3480">
        <v>-5.6280300916763997</v>
      </c>
      <c r="AG3480">
        <v>-1.1102938132993001</v>
      </c>
      <c r="AH3480">
        <v>43.064733845700999</v>
      </c>
      <c r="AI3480">
        <v>91.464423871376894</v>
      </c>
      <c r="AJ3480">
        <v>97.445654980673297</v>
      </c>
      <c r="AK3480">
        <v>43.4451237340364</v>
      </c>
      <c r="AL3480">
        <v>78.502644996151702</v>
      </c>
      <c r="AM3480">
        <v>94.237029139147893</v>
      </c>
      <c r="AN3480">
        <v>1.0000000147149</v>
      </c>
    </row>
    <row r="3481" spans="1:40" x14ac:dyDescent="0.25">
      <c r="A3481" t="str">
        <f>"20190304155441490"</f>
        <v>20190304155441490</v>
      </c>
      <c r="B3481" t="str">
        <f>"1551686081480251"</f>
        <v>1551686081480251</v>
      </c>
      <c r="C3481" t="s">
        <v>40</v>
      </c>
      <c r="D3481">
        <v>4.497878</v>
      </c>
      <c r="E3481">
        <v>0.47499950000000002</v>
      </c>
      <c r="F3481" t="s">
        <v>46</v>
      </c>
      <c r="G3481">
        <v>-349.5829</v>
      </c>
      <c r="H3481" s="1">
        <v>-8.5939509999999999E-7</v>
      </c>
      <c r="I3481">
        <v>136.8674</v>
      </c>
      <c r="J3481">
        <v>-306.95940000000002</v>
      </c>
      <c r="K3481">
        <v>1.110301</v>
      </c>
      <c r="L3481">
        <v>142.09469999999999</v>
      </c>
      <c r="M3481">
        <v>-0.99985000000000002</v>
      </c>
      <c r="N3481">
        <v>-1.471605E-2</v>
      </c>
      <c r="O3481">
        <v>9.1380200000000002E-3</v>
      </c>
      <c r="P3481">
        <v>-0.98071379999999997</v>
      </c>
      <c r="Q3481">
        <v>0.1844932</v>
      </c>
      <c r="R3481">
        <v>-6.4520040000000001E-2</v>
      </c>
      <c r="S3481">
        <v>-3.0498660000000002</v>
      </c>
      <c r="T3481">
        <v>-7.8761339999999999E-2</v>
      </c>
      <c r="U3481">
        <v>-0.37055969999999999</v>
      </c>
      <c r="V3481">
        <v>-7.3429209999999995E-2</v>
      </c>
      <c r="W3481">
        <v>0.1989148</v>
      </c>
      <c r="X3481">
        <v>0.97726199999999996</v>
      </c>
      <c r="Y3481">
        <v>-0.1296129</v>
      </c>
      <c r="Z3481">
        <v>-2.7258249999999999E-3</v>
      </c>
      <c r="AA3481">
        <v>0.99156089999999997</v>
      </c>
      <c r="AB3481">
        <v>35</v>
      </c>
      <c r="AC3481">
        <v>-42.6234999999999</v>
      </c>
      <c r="AD3481">
        <v>-1.1103018593951</v>
      </c>
      <c r="AE3481">
        <v>-5.2272999999999801</v>
      </c>
      <c r="AF3481">
        <v>-5.6128660653295501</v>
      </c>
      <c r="AG3481">
        <v>-1.1103018593951</v>
      </c>
      <c r="AH3481">
        <v>42.5455060112008</v>
      </c>
      <c r="AI3481">
        <v>91.482061750856502</v>
      </c>
      <c r="AJ3481">
        <v>97.515413119942295</v>
      </c>
      <c r="AK3481">
        <v>42.928511707668498</v>
      </c>
      <c r="AL3481">
        <v>78.526493116784096</v>
      </c>
      <c r="AM3481">
        <v>94.296998222732697</v>
      </c>
      <c r="AN3481">
        <v>0.99999998159213099</v>
      </c>
    </row>
    <row r="3482" spans="1:40" x14ac:dyDescent="0.25">
      <c r="A3482" t="str">
        <f>"20190304155441512"</f>
        <v>20190304155441512</v>
      </c>
      <c r="B3482" t="str">
        <f>"1551686081500751"</f>
        <v>1551686081500751</v>
      </c>
      <c r="C3482" t="s">
        <v>40</v>
      </c>
      <c r="D3482">
        <v>4.5169430000000004</v>
      </c>
      <c r="E3482">
        <v>0.4749835</v>
      </c>
      <c r="F3482" t="s">
        <v>46</v>
      </c>
      <c r="G3482">
        <v>-348.78190000000001</v>
      </c>
      <c r="H3482" s="1">
        <v>-1.10681E-6</v>
      </c>
      <c r="I3482">
        <v>136.96209999999999</v>
      </c>
      <c r="J3482">
        <v>-307.3039</v>
      </c>
      <c r="K3482">
        <v>1.1103099999999999</v>
      </c>
      <c r="L3482">
        <v>142.09790000000001</v>
      </c>
      <c r="M3482">
        <v>-0.99984949999999995</v>
      </c>
      <c r="N3482">
        <v>-1.471214E-2</v>
      </c>
      <c r="O3482">
        <v>9.1939429999999996E-3</v>
      </c>
      <c r="P3482">
        <v>-0.98083450000000005</v>
      </c>
      <c r="Q3482">
        <v>0.18362519999999999</v>
      </c>
      <c r="R3482">
        <v>-6.5159990000000001E-2</v>
      </c>
      <c r="S3482">
        <v>-3.0496219999999998</v>
      </c>
      <c r="T3482">
        <v>-8.096159E-2</v>
      </c>
      <c r="U3482">
        <v>-0.37425229999999998</v>
      </c>
      <c r="V3482">
        <v>-7.4128490000000005E-2</v>
      </c>
      <c r="W3482">
        <v>0.19804369999999999</v>
      </c>
      <c r="X3482">
        <v>0.97738619999999998</v>
      </c>
      <c r="Y3482">
        <v>-0.1308568</v>
      </c>
      <c r="Z3482">
        <v>-2.8051310000000002E-3</v>
      </c>
      <c r="AA3482">
        <v>0.99139730000000004</v>
      </c>
      <c r="AB3482">
        <v>35</v>
      </c>
      <c r="AC3482">
        <v>-41.478000000000002</v>
      </c>
      <c r="AD3482">
        <v>-1.11031110681</v>
      </c>
      <c r="AE3482">
        <v>-5.1358000000000104</v>
      </c>
      <c r="AF3482">
        <v>-5.5130797210571201</v>
      </c>
      <c r="AG3482">
        <v>-1.11031110681</v>
      </c>
      <c r="AH3482">
        <v>41.399805600559603</v>
      </c>
      <c r="AI3482">
        <v>91.522824032873999</v>
      </c>
      <c r="AJ3482">
        <v>97.585268293986502</v>
      </c>
      <c r="AK3482">
        <v>41.780028034083102</v>
      </c>
      <c r="AL3482">
        <v>78.577417522410201</v>
      </c>
      <c r="AM3482">
        <v>94.337214767971005</v>
      </c>
      <c r="AN3482">
        <v>1.0000000620449001</v>
      </c>
    </row>
    <row r="3483" spans="1:40" x14ac:dyDescent="0.25">
      <c r="A3483" t="str">
        <f>"20190304155441536"</f>
        <v>20190304155441536</v>
      </c>
      <c r="B3483" t="str">
        <f>"1551686081531003"</f>
        <v>1551686081531003</v>
      </c>
      <c r="C3483" t="s">
        <v>40</v>
      </c>
      <c r="D3483">
        <v>4.5091599999999996</v>
      </c>
      <c r="E3483">
        <v>0.47502509999999998</v>
      </c>
      <c r="F3483" t="s">
        <v>46</v>
      </c>
      <c r="G3483">
        <v>-347.23669999999998</v>
      </c>
      <c r="H3483" s="1">
        <v>-1.602295E-6</v>
      </c>
      <c r="I3483">
        <v>137.16650000000001</v>
      </c>
      <c r="J3483">
        <v>-307.67320000000001</v>
      </c>
      <c r="K3483">
        <v>1.110317</v>
      </c>
      <c r="L3483">
        <v>142.10140000000001</v>
      </c>
      <c r="M3483">
        <v>-0.99984910000000005</v>
      </c>
      <c r="N3483">
        <v>-1.4707949999999999E-2</v>
      </c>
      <c r="O3483">
        <v>9.2550759999999992E-3</v>
      </c>
      <c r="P3483">
        <v>-0.98091519999999999</v>
      </c>
      <c r="Q3483">
        <v>0.1830032</v>
      </c>
      <c r="R3483">
        <v>-6.5691139999999995E-2</v>
      </c>
      <c r="S3483">
        <v>-3.0494080000000001</v>
      </c>
      <c r="T3483">
        <v>-8.4787370000000001E-2</v>
      </c>
      <c r="U3483">
        <v>-0.37657170000000001</v>
      </c>
      <c r="V3483">
        <v>-7.4723940000000003E-2</v>
      </c>
      <c r="W3483">
        <v>0.1974178</v>
      </c>
      <c r="X3483">
        <v>0.97746739999999999</v>
      </c>
      <c r="Y3483">
        <v>-0.13166240000000001</v>
      </c>
      <c r="Z3483">
        <v>-2.9161320000000001E-3</v>
      </c>
      <c r="AA3483">
        <v>0.99129029999999996</v>
      </c>
      <c r="AB3483">
        <v>35</v>
      </c>
      <c r="AC3483">
        <v>-39.563499999999898</v>
      </c>
      <c r="AD3483">
        <v>-1.110318602295</v>
      </c>
      <c r="AE3483">
        <v>-4.9348999999999901</v>
      </c>
      <c r="AF3483">
        <v>-5.2967835341906104</v>
      </c>
      <c r="AG3483">
        <v>-1.110318602295</v>
      </c>
      <c r="AH3483">
        <v>39.485504997962501</v>
      </c>
      <c r="AI3483">
        <v>91.596420689221603</v>
      </c>
      <c r="AJ3483">
        <v>97.640331924070395</v>
      </c>
      <c r="AK3483">
        <v>39.854658801083602</v>
      </c>
      <c r="AL3483">
        <v>78.614000373166405</v>
      </c>
      <c r="AM3483">
        <v>94.371557885608993</v>
      </c>
      <c r="AN3483">
        <v>0.99999998651436095</v>
      </c>
    </row>
    <row r="3484" spans="1:40" x14ac:dyDescent="0.25">
      <c r="A3484" t="str">
        <f>"20190304155441558"</f>
        <v>20190304155441558</v>
      </c>
      <c r="B3484" t="str">
        <f>"1551686081550524"</f>
        <v>1551686081550524</v>
      </c>
      <c r="C3484" t="s">
        <v>40</v>
      </c>
      <c r="D3484">
        <v>4.5513729999999999</v>
      </c>
      <c r="E3484">
        <v>0.47498240000000003</v>
      </c>
      <c r="F3484" t="s">
        <v>46</v>
      </c>
      <c r="G3484">
        <v>-345.95409999999998</v>
      </c>
      <c r="H3484" s="1">
        <v>-2.1179990000000001E-6</v>
      </c>
      <c r="I3484">
        <v>137.3613</v>
      </c>
      <c r="J3484">
        <v>-308.0231</v>
      </c>
      <c r="K3484">
        <v>1.1103270000000001</v>
      </c>
      <c r="L3484">
        <v>142.10470000000001</v>
      </c>
      <c r="M3484">
        <v>-0.99984859999999998</v>
      </c>
      <c r="N3484">
        <v>-1.4704E-2</v>
      </c>
      <c r="O3484">
        <v>9.3140949999999997E-3</v>
      </c>
      <c r="P3484">
        <v>-0.98093710000000001</v>
      </c>
      <c r="Q3484">
        <v>0.18285360000000001</v>
      </c>
      <c r="R3484">
        <v>-6.5782469999999996E-2</v>
      </c>
      <c r="S3484">
        <v>-3.0495909999999999</v>
      </c>
      <c r="T3484">
        <v>-8.8452219999999998E-2</v>
      </c>
      <c r="U3484">
        <v>-0.37760929999999998</v>
      </c>
      <c r="V3484">
        <v>-7.4875449999999996E-2</v>
      </c>
      <c r="W3484">
        <v>0.19726350000000001</v>
      </c>
      <c r="X3484">
        <v>0.97748699999999999</v>
      </c>
      <c r="Y3484">
        <v>-0.13203989999999999</v>
      </c>
      <c r="Z3484">
        <v>-3.0147049999999999E-3</v>
      </c>
      <c r="AA3484">
        <v>0.9912398</v>
      </c>
      <c r="AB3484">
        <v>35</v>
      </c>
      <c r="AC3484">
        <v>-37.930999999999898</v>
      </c>
      <c r="AD3484">
        <v>-1.110329117999</v>
      </c>
      <c r="AE3484">
        <v>-4.7434000000000003</v>
      </c>
      <c r="AF3484">
        <v>-5.0922291117704601</v>
      </c>
      <c r="AG3484">
        <v>-1.110329117999</v>
      </c>
      <c r="AH3484">
        <v>37.853233184974997</v>
      </c>
      <c r="AI3484">
        <v>91.665154276358606</v>
      </c>
      <c r="AJ3484">
        <v>97.661751789842796</v>
      </c>
      <c r="AK3484">
        <v>38.210350569356599</v>
      </c>
      <c r="AL3484">
        <v>78.623018934643</v>
      </c>
      <c r="AM3484">
        <v>94.380299686312597</v>
      </c>
      <c r="AN3484">
        <v>1.0000000283069701</v>
      </c>
    </row>
    <row r="3485" spans="1:40" x14ac:dyDescent="0.25">
      <c r="A3485" t="str">
        <f>"20190304155441580"</f>
        <v>20190304155441580</v>
      </c>
      <c r="B3485" t="str">
        <f>"1551686081571020"</f>
        <v>1551686081571020</v>
      </c>
      <c r="C3485" t="s">
        <v>40</v>
      </c>
      <c r="D3485">
        <v>4.7895949999999896</v>
      </c>
      <c r="E3485">
        <v>0.4751032</v>
      </c>
      <c r="F3485" t="s">
        <v>46</v>
      </c>
      <c r="G3485">
        <v>-345.80450000000002</v>
      </c>
      <c r="H3485" s="1">
        <v>-2.1719360000000001E-6</v>
      </c>
      <c r="I3485">
        <v>137.41890000000001</v>
      </c>
      <c r="J3485">
        <v>-308.37700000000001</v>
      </c>
      <c r="K3485">
        <v>1.110331</v>
      </c>
      <c r="L3485">
        <v>142.10810000000001</v>
      </c>
      <c r="M3485">
        <v>-0.99984810000000002</v>
      </c>
      <c r="N3485">
        <v>-1.469999E-2</v>
      </c>
      <c r="O3485">
        <v>9.374683E-3</v>
      </c>
      <c r="P3485">
        <v>-0.98088880000000001</v>
      </c>
      <c r="Q3485">
        <v>0.18317639999999999</v>
      </c>
      <c r="R3485">
        <v>-6.5602439999999998E-2</v>
      </c>
      <c r="S3485">
        <v>-3.049652</v>
      </c>
      <c r="T3485">
        <v>-8.9623930000000004E-2</v>
      </c>
      <c r="U3485">
        <v>-0.37821959999999999</v>
      </c>
      <c r="V3485">
        <v>-7.4755909999999995E-2</v>
      </c>
      <c r="W3485">
        <v>0.1975809</v>
      </c>
      <c r="X3485">
        <v>0.97743199999999997</v>
      </c>
      <c r="Y3485">
        <v>-0.13229089999999999</v>
      </c>
      <c r="Z3485">
        <v>-3.049656E-3</v>
      </c>
      <c r="AA3485">
        <v>0.99120620000000004</v>
      </c>
      <c r="AB3485">
        <v>35</v>
      </c>
      <c r="AC3485">
        <v>-37.427500000000002</v>
      </c>
      <c r="AD3485">
        <v>-1.1103331719359999</v>
      </c>
      <c r="AE3485">
        <v>-4.6891999999999996</v>
      </c>
      <c r="AF3485">
        <v>-5.0355395085339598</v>
      </c>
      <c r="AG3485">
        <v>-1.1103331719359999</v>
      </c>
      <c r="AH3485">
        <v>37.3495276577097</v>
      </c>
      <c r="AI3485">
        <v>91.6875381094396</v>
      </c>
      <c r="AJ3485">
        <v>97.678433674306802</v>
      </c>
      <c r="AK3485">
        <v>37.7038023831647</v>
      </c>
      <c r="AL3485">
        <v>78.604467664201195</v>
      </c>
      <c r="AM3485">
        <v>94.373578743695305</v>
      </c>
      <c r="AN3485">
        <v>0.99999998637436904</v>
      </c>
    </row>
    <row r="3486" spans="1:40" x14ac:dyDescent="0.25">
      <c r="A3486" t="str">
        <f>"20190304155441603"</f>
        <v>20190304155441603</v>
      </c>
      <c r="B3486" t="str">
        <f>"1551686081590540"</f>
        <v>1551686081590540</v>
      </c>
      <c r="C3486" t="s">
        <v>40</v>
      </c>
      <c r="D3486">
        <v>4.5964650000000002</v>
      </c>
      <c r="E3486">
        <v>0.47497669999999997</v>
      </c>
      <c r="F3486" t="s">
        <v>46</v>
      </c>
      <c r="G3486">
        <v>-347.09309999999999</v>
      </c>
      <c r="H3486" s="1">
        <v>-1.6363900000000001E-6</v>
      </c>
      <c r="I3486">
        <v>137.32159999999999</v>
      </c>
      <c r="J3486">
        <v>-308.71519999999998</v>
      </c>
      <c r="K3486">
        <v>1.1103369999999999</v>
      </c>
      <c r="L3486">
        <v>142.1113</v>
      </c>
      <c r="M3486">
        <v>-0.9998475</v>
      </c>
      <c r="N3486">
        <v>-1.469619E-2</v>
      </c>
      <c r="O3486">
        <v>9.4327249999999994E-3</v>
      </c>
      <c r="P3486">
        <v>-0.98088019999999998</v>
      </c>
      <c r="Q3486">
        <v>0.18335009999999999</v>
      </c>
      <c r="R3486">
        <v>-6.524431E-2</v>
      </c>
      <c r="S3486">
        <v>-3.0495909999999999</v>
      </c>
      <c r="T3486">
        <v>-8.7458850000000005E-2</v>
      </c>
      <c r="U3486">
        <v>-0.37701420000000002</v>
      </c>
      <c r="V3486">
        <v>-7.4455489999999999E-2</v>
      </c>
      <c r="W3486">
        <v>0.1977506</v>
      </c>
      <c r="X3486">
        <v>0.97742059999999997</v>
      </c>
      <c r="Y3486">
        <v>-0.13196859999999999</v>
      </c>
      <c r="Z3486">
        <v>-2.989944E-3</v>
      </c>
      <c r="AA3486">
        <v>0.99124939999999995</v>
      </c>
      <c r="AB3486">
        <v>35</v>
      </c>
      <c r="AC3486">
        <v>-38.377899999999997</v>
      </c>
      <c r="AD3486">
        <v>-1.1103386363900001</v>
      </c>
      <c r="AE3486">
        <v>-4.7897000000000096</v>
      </c>
      <c r="AF3486">
        <v>-5.1472917126003699</v>
      </c>
      <c r="AG3486">
        <v>-1.1103386363900001</v>
      </c>
      <c r="AH3486">
        <v>38.299440776308003</v>
      </c>
      <c r="AI3486">
        <v>91.6458073867162</v>
      </c>
      <c r="AJ3486">
        <v>97.654457921363402</v>
      </c>
      <c r="AK3486">
        <v>38.659728757972204</v>
      </c>
      <c r="AL3486">
        <v>78.594548730537298</v>
      </c>
      <c r="AM3486">
        <v>94.356121132004901</v>
      </c>
      <c r="AN3486">
        <v>0.99999997454792899</v>
      </c>
    </row>
    <row r="3487" spans="1:40" x14ac:dyDescent="0.25">
      <c r="A3487" t="str">
        <f>"20190304155441625"</f>
        <v>20190304155441625</v>
      </c>
      <c r="B3487" t="str">
        <f>"1551686081620796"</f>
        <v>1551686081620796</v>
      </c>
      <c r="C3487" t="s">
        <v>40</v>
      </c>
      <c r="D3487">
        <v>4.7113809999999896</v>
      </c>
      <c r="E3487">
        <v>0.50550919999999999</v>
      </c>
      <c r="F3487" t="s">
        <v>46</v>
      </c>
      <c r="G3487">
        <v>-347.2088</v>
      </c>
      <c r="H3487" s="1">
        <v>-1.5805970000000001E-6</v>
      </c>
      <c r="I3487">
        <v>137.35640000000001</v>
      </c>
      <c r="J3487">
        <v>-309.0745</v>
      </c>
      <c r="K3487">
        <v>1.1103430000000001</v>
      </c>
      <c r="L3487">
        <v>142.1148</v>
      </c>
      <c r="M3487">
        <v>-0.99984709999999999</v>
      </c>
      <c r="N3487">
        <v>-1.4692129999999999E-2</v>
      </c>
      <c r="O3487">
        <v>9.4942929999999991E-3</v>
      </c>
      <c r="P3487">
        <v>-0.98085489999999997</v>
      </c>
      <c r="Q3487">
        <v>0.1837665</v>
      </c>
      <c r="R3487">
        <v>-6.4451809999999998E-2</v>
      </c>
      <c r="S3487">
        <v>-3.0498660000000002</v>
      </c>
      <c r="T3487">
        <v>-8.7972880000000003E-2</v>
      </c>
      <c r="U3487">
        <v>-0.37672420000000001</v>
      </c>
      <c r="V3487">
        <v>-7.3723999999999998E-2</v>
      </c>
      <c r="W3487">
        <v>0.19816239999999999</v>
      </c>
      <c r="X3487">
        <v>0.9773927</v>
      </c>
      <c r="Y3487">
        <v>-0.13192519999999999</v>
      </c>
      <c r="Z3487">
        <v>-3.0021090000000002E-3</v>
      </c>
      <c r="AA3487">
        <v>0.99125509999999994</v>
      </c>
      <c r="AB3487">
        <v>35</v>
      </c>
      <c r="AC3487">
        <v>-38.134300000000003</v>
      </c>
      <c r="AD3487">
        <v>-1.110344580597</v>
      </c>
      <c r="AE3487">
        <v>-4.7583999999999902</v>
      </c>
      <c r="AF3487">
        <v>-5.1160119792440302</v>
      </c>
      <c r="AG3487">
        <v>-1.110344580597</v>
      </c>
      <c r="AH3487">
        <v>38.055630101182302</v>
      </c>
      <c r="AI3487">
        <v>91.656346031095794</v>
      </c>
      <c r="AJ3487">
        <v>97.656657646936097</v>
      </c>
      <c r="AK3487">
        <v>38.414026423396997</v>
      </c>
      <c r="AL3487">
        <v>78.570478600261893</v>
      </c>
      <c r="AM3487">
        <v>94.313609287272897</v>
      </c>
      <c r="AN3487">
        <v>1.0000000274815199</v>
      </c>
    </row>
    <row r="3488" spans="1:40" x14ac:dyDescent="0.25">
      <c r="A3488" t="str">
        <f>"20190304155441647"</f>
        <v>20190304155441647</v>
      </c>
      <c r="B3488" t="str">
        <f>"1551686081640316"</f>
        <v>1551686081640316</v>
      </c>
      <c r="C3488" t="s">
        <v>40</v>
      </c>
      <c r="D3488">
        <v>4.8229620000000004</v>
      </c>
      <c r="E3488">
        <v>0.50854670000000002</v>
      </c>
      <c r="F3488" t="s">
        <v>46</v>
      </c>
      <c r="G3488">
        <v>-359.98509999999999</v>
      </c>
      <c r="H3488" s="1">
        <v>-4.3358899999999996E-6</v>
      </c>
      <c r="I3488">
        <v>139.92529999999999</v>
      </c>
      <c r="J3488">
        <v>-309.4085</v>
      </c>
      <c r="K3488">
        <v>1.110347</v>
      </c>
      <c r="L3488">
        <v>142.11799999999999</v>
      </c>
      <c r="M3488">
        <v>-0.99984649999999997</v>
      </c>
      <c r="N3488">
        <v>-1.4688339999999999E-2</v>
      </c>
      <c r="O3488">
        <v>9.5518170000000006E-3</v>
      </c>
      <c r="P3488">
        <v>-0.98087000000000002</v>
      </c>
      <c r="Q3488">
        <v>0.18398990000000001</v>
      </c>
      <c r="R3488">
        <v>-6.3576510000000003E-2</v>
      </c>
      <c r="S3488">
        <v>-3.062408</v>
      </c>
      <c r="T3488">
        <v>-6.6790340000000004E-2</v>
      </c>
      <c r="U3488">
        <v>-0.1316986</v>
      </c>
      <c r="V3488">
        <v>-7.2906020000000002E-2</v>
      </c>
      <c r="W3488">
        <v>0.198382</v>
      </c>
      <c r="X3488">
        <v>0.97740950000000004</v>
      </c>
      <c r="Y3488">
        <v>-5.2486169999999999E-2</v>
      </c>
      <c r="Z3488">
        <v>-1.025743E-3</v>
      </c>
      <c r="AA3488">
        <v>0.99862110000000004</v>
      </c>
      <c r="AB3488">
        <v>35</v>
      </c>
      <c r="AC3488">
        <v>-50.5765999999999</v>
      </c>
      <c r="AD3488">
        <v>-1.1103513358899999</v>
      </c>
      <c r="AE3488">
        <v>-2.1926999999999999</v>
      </c>
      <c r="AF3488">
        <v>-2.6744638982033999</v>
      </c>
      <c r="AG3488">
        <v>-1.1103513358899999</v>
      </c>
      <c r="AH3488">
        <v>50.529037806830999</v>
      </c>
      <c r="AI3488">
        <v>91.257085568897907</v>
      </c>
      <c r="AJ3488">
        <v>93.029795219719702</v>
      </c>
      <c r="AK3488">
        <v>50.6119481833694</v>
      </c>
      <c r="AL3488">
        <v>78.557641486454798</v>
      </c>
      <c r="AM3488">
        <v>94.265853687489596</v>
      </c>
      <c r="AN3488">
        <v>1.00000001818324</v>
      </c>
    </row>
    <row r="3489" spans="1:40" x14ac:dyDescent="0.25">
      <c r="A3489" t="str">
        <f>"20190304155441669"</f>
        <v>20190304155441669</v>
      </c>
      <c r="B3489" t="str">
        <f>"1551686081660815"</f>
        <v>1551686081660815</v>
      </c>
      <c r="C3489" t="s">
        <v>40</v>
      </c>
      <c r="D3489">
        <v>4.6797969999999998</v>
      </c>
      <c r="E3489">
        <v>0.51017669999999904</v>
      </c>
      <c r="F3489" t="s">
        <v>46</v>
      </c>
      <c r="G3489">
        <v>-356.12419999999997</v>
      </c>
      <c r="H3489" s="1">
        <v>-1.8839680000000001E-6</v>
      </c>
      <c r="I3489">
        <v>140.51439999999999</v>
      </c>
      <c r="J3489">
        <v>-309.76679999999999</v>
      </c>
      <c r="K3489">
        <v>1.1103479999999999</v>
      </c>
      <c r="L3489">
        <v>142.1215</v>
      </c>
      <c r="M3489">
        <v>-0.99984600000000001</v>
      </c>
      <c r="N3489">
        <v>-1.4684239999999999E-2</v>
      </c>
      <c r="O3489">
        <v>9.6133980000000004E-3</v>
      </c>
      <c r="P3489">
        <v>-0.98084059999999995</v>
      </c>
      <c r="Q3489">
        <v>0.18439659999999999</v>
      </c>
      <c r="R3489">
        <v>-6.2846959999999993E-2</v>
      </c>
      <c r="S3489">
        <v>-3.0654300000000001</v>
      </c>
      <c r="T3489">
        <v>-7.2859880000000002E-2</v>
      </c>
      <c r="U3489">
        <v>-0.1052246</v>
      </c>
      <c r="V3489">
        <v>-7.223678E-2</v>
      </c>
      <c r="W3489">
        <v>0.19878390000000001</v>
      </c>
      <c r="X3489">
        <v>0.97737750000000001</v>
      </c>
      <c r="Y3489">
        <v>-4.3892769999999998E-2</v>
      </c>
      <c r="Z3489">
        <v>-9.3113289999999997E-4</v>
      </c>
      <c r="AA3489">
        <v>0.99903580000000003</v>
      </c>
      <c r="AB3489">
        <v>35</v>
      </c>
      <c r="AC3489">
        <v>-46.357399999999899</v>
      </c>
      <c r="AD3489">
        <v>-1.1103498839679999</v>
      </c>
      <c r="AE3489">
        <v>-1.6071</v>
      </c>
      <c r="AF3489">
        <v>-2.0515503439047902</v>
      </c>
      <c r="AG3489">
        <v>-1.1103498839679999</v>
      </c>
      <c r="AH3489">
        <v>46.313268189039697</v>
      </c>
      <c r="AI3489">
        <v>91.3720449840214</v>
      </c>
      <c r="AJ3489">
        <v>92.536387237569798</v>
      </c>
      <c r="AK3489">
        <v>46.371980182307603</v>
      </c>
      <c r="AL3489">
        <v>78.534145993823401</v>
      </c>
      <c r="AM3489">
        <v>94.226975793419996</v>
      </c>
      <c r="AN3489">
        <v>0.99999998439511395</v>
      </c>
    </row>
    <row r="3490" spans="1:40" x14ac:dyDescent="0.25">
      <c r="A3490" t="str">
        <f>"20190304155441691"</f>
        <v>20190304155441691</v>
      </c>
      <c r="B3490" t="str">
        <f>"1551686081680332"</f>
        <v>1551686081680332</v>
      </c>
      <c r="C3490" t="s">
        <v>40</v>
      </c>
      <c r="D3490">
        <v>4.6694870000000002</v>
      </c>
      <c r="E3490">
        <v>0.51113459999999999</v>
      </c>
      <c r="F3490" t="s">
        <v>46</v>
      </c>
      <c r="G3490">
        <v>-355.22300000000001</v>
      </c>
      <c r="H3490" s="1">
        <v>-2.3432840000000001E-6</v>
      </c>
      <c r="I3490">
        <v>140.78749999999999</v>
      </c>
      <c r="J3490">
        <v>-310.11599999999999</v>
      </c>
      <c r="K3490">
        <v>1.1103499999999999</v>
      </c>
      <c r="L3490">
        <v>142.1249</v>
      </c>
      <c r="M3490">
        <v>-0.99984550000000005</v>
      </c>
      <c r="N3490">
        <v>-1.4680260000000001E-2</v>
      </c>
      <c r="O3490">
        <v>9.673315E-3</v>
      </c>
      <c r="P3490">
        <v>-0.9808519</v>
      </c>
      <c r="Q3490">
        <v>0.18440190000000001</v>
      </c>
      <c r="R3490">
        <v>-6.265474E-2</v>
      </c>
      <c r="S3490">
        <v>-3.0669249999999999</v>
      </c>
      <c r="T3490">
        <v>-7.4915410000000002E-2</v>
      </c>
      <c r="U3490">
        <v>-8.9996339999999994E-2</v>
      </c>
      <c r="V3490">
        <v>-7.2103929999999997E-2</v>
      </c>
      <c r="W3490">
        <v>0.1987853</v>
      </c>
      <c r="X3490">
        <v>0.97738700000000001</v>
      </c>
      <c r="Y3490">
        <v>-3.8981290000000002E-2</v>
      </c>
      <c r="Z3490">
        <v>-8.5643160000000004E-4</v>
      </c>
      <c r="AA3490">
        <v>0.99923960000000001</v>
      </c>
      <c r="AB3490">
        <v>35</v>
      </c>
      <c r="AC3490">
        <v>-45.106999999999999</v>
      </c>
      <c r="AD3490">
        <v>-1.1103523432839999</v>
      </c>
      <c r="AE3490">
        <v>-1.3373999999999999</v>
      </c>
      <c r="AF3490">
        <v>-1.7726454504073801</v>
      </c>
      <c r="AG3490">
        <v>-1.1103523432839999</v>
      </c>
      <c r="AH3490">
        <v>45.064667852092597</v>
      </c>
      <c r="AI3490">
        <v>91.410339975057497</v>
      </c>
      <c r="AJ3490">
        <v>92.252602155492895</v>
      </c>
      <c r="AK3490">
        <v>45.113184800438503</v>
      </c>
      <c r="AL3490">
        <v>78.534063862731102</v>
      </c>
      <c r="AM3490">
        <v>94.219189237936504</v>
      </c>
      <c r="AN3490">
        <v>0.99999995999326596</v>
      </c>
    </row>
    <row r="3491" spans="1:40" x14ac:dyDescent="0.25">
      <c r="A3491" t="str">
        <f>"20190304155441713"</f>
        <v>20190304155441713</v>
      </c>
      <c r="B3491" t="str">
        <f>"1551686081700828"</f>
        <v>1551686081700828</v>
      </c>
      <c r="C3491" t="s">
        <v>40</v>
      </c>
      <c r="D3491">
        <v>4.8025919999999998</v>
      </c>
      <c r="E3491">
        <v>0.51141179999999997</v>
      </c>
      <c r="F3491" t="s">
        <v>46</v>
      </c>
      <c r="G3491">
        <v>-354.15480000000002</v>
      </c>
      <c r="H3491" s="1">
        <v>-2.8445390000000001E-6</v>
      </c>
      <c r="I3491">
        <v>140.94929999999999</v>
      </c>
      <c r="J3491">
        <v>-310.4579</v>
      </c>
      <c r="K3491">
        <v>1.1103479999999999</v>
      </c>
      <c r="L3491">
        <v>142.1283</v>
      </c>
      <c r="M3491">
        <v>-0.99984499999999998</v>
      </c>
      <c r="N3491">
        <v>-1.4676349999999999E-2</v>
      </c>
      <c r="O3491">
        <v>9.7320419999999998E-3</v>
      </c>
      <c r="P3491">
        <v>-0.98088880000000001</v>
      </c>
      <c r="Q3491">
        <v>0.18447479999999999</v>
      </c>
      <c r="R3491">
        <v>-6.1856370000000001E-2</v>
      </c>
      <c r="S3491">
        <v>-3.0678709999999998</v>
      </c>
      <c r="T3491">
        <v>-7.7350379999999996E-2</v>
      </c>
      <c r="U3491">
        <v>-8.1893919999999995E-2</v>
      </c>
      <c r="V3491">
        <v>-7.1363720000000005E-2</v>
      </c>
      <c r="W3491">
        <v>0.19885449999999999</v>
      </c>
      <c r="X3491">
        <v>0.9774273</v>
      </c>
      <c r="Y3491">
        <v>-3.6394080000000002E-2</v>
      </c>
      <c r="Z3491">
        <v>-8.2833970000000001E-4</v>
      </c>
      <c r="AA3491">
        <v>0.99933720000000004</v>
      </c>
      <c r="AB3491">
        <v>35</v>
      </c>
      <c r="AC3491">
        <v>-43.696899999999999</v>
      </c>
      <c r="AD3491">
        <v>-1.11035084453899</v>
      </c>
      <c r="AE3491">
        <v>-1.179</v>
      </c>
      <c r="AF3491">
        <v>-1.6032155828283801</v>
      </c>
      <c r="AG3491">
        <v>-1.11035084453899</v>
      </c>
      <c r="AH3491">
        <v>43.655187970808299</v>
      </c>
      <c r="AI3491">
        <v>91.4559981781115</v>
      </c>
      <c r="AJ3491">
        <v>92.103214496184805</v>
      </c>
      <c r="AK3491">
        <v>43.698725564592799</v>
      </c>
      <c r="AL3491">
        <v>78.530018806129306</v>
      </c>
      <c r="AM3491">
        <v>94.175858017010199</v>
      </c>
      <c r="AN3491">
        <v>1.0000000097438799</v>
      </c>
    </row>
    <row r="3492" spans="1:40" x14ac:dyDescent="0.25">
      <c r="A3492" t="str">
        <f>"20190304155441737"</f>
        <v>20190304155441737</v>
      </c>
      <c r="B3492" t="str">
        <f>"1551686081731084"</f>
        <v>1551686081731084</v>
      </c>
      <c r="C3492" t="s">
        <v>40</v>
      </c>
      <c r="D3492">
        <v>4.5622660000000002</v>
      </c>
      <c r="E3492">
        <v>0.51268549999999902</v>
      </c>
      <c r="F3492" t="s">
        <v>46</v>
      </c>
      <c r="G3492">
        <v>-353.99400000000003</v>
      </c>
      <c r="H3492" s="1">
        <v>-2.935282E-6</v>
      </c>
      <c r="I3492">
        <v>141.03100000000001</v>
      </c>
      <c r="J3492">
        <v>-310.8356</v>
      </c>
      <c r="K3492">
        <v>1.110344</v>
      </c>
      <c r="L3492">
        <v>142.13200000000001</v>
      </c>
      <c r="M3492">
        <v>-0.99984439999999997</v>
      </c>
      <c r="N3492">
        <v>-1.4672050000000001E-2</v>
      </c>
      <c r="O3492">
        <v>9.796674E-3</v>
      </c>
      <c r="P3492">
        <v>-0.98099999999999998</v>
      </c>
      <c r="Q3492">
        <v>0.18404580000000001</v>
      </c>
      <c r="R3492">
        <v>-6.1370960000000002E-2</v>
      </c>
      <c r="S3492">
        <v>-3.0683289999999999</v>
      </c>
      <c r="T3492">
        <v>-7.8255179999999994E-2</v>
      </c>
      <c r="U3492">
        <v>-7.7331540000000004E-2</v>
      </c>
      <c r="V3492">
        <v>-7.0942190000000002E-2</v>
      </c>
      <c r="W3492">
        <v>0.19842309999999999</v>
      </c>
      <c r="X3492">
        <v>0.97754560000000001</v>
      </c>
      <c r="Y3492">
        <v>-3.4970069999999999E-2</v>
      </c>
      <c r="Z3492">
        <v>-8.0853049999999997E-4</v>
      </c>
      <c r="AA3492">
        <v>0.99938800000000005</v>
      </c>
      <c r="AB3492">
        <v>35</v>
      </c>
      <c r="AC3492">
        <v>-43.1584</v>
      </c>
      <c r="AD3492">
        <v>-1.1103469352819999</v>
      </c>
      <c r="AE3492">
        <v>-1.10099999999999</v>
      </c>
      <c r="AF3492">
        <v>-1.5227941613517799</v>
      </c>
      <c r="AG3492">
        <v>-1.1103469352819999</v>
      </c>
      <c r="AH3492">
        <v>43.117020922130301</v>
      </c>
      <c r="AI3492">
        <v>91.474232702640606</v>
      </c>
      <c r="AJ3492">
        <v>92.022714628614196</v>
      </c>
      <c r="AK3492">
        <v>43.158188858824502</v>
      </c>
      <c r="AL3492">
        <v>78.555238198374795</v>
      </c>
      <c r="AM3492">
        <v>94.1507779961577</v>
      </c>
      <c r="AN3492">
        <v>0.99999996050748197</v>
      </c>
    </row>
    <row r="3493" spans="1:40" x14ac:dyDescent="0.25">
      <c r="A3493" t="str">
        <f>"20190304155441760"</f>
        <v>20190304155441760</v>
      </c>
      <c r="B3493" t="str">
        <f>"1551686081750604"</f>
        <v>1551686081750604</v>
      </c>
      <c r="C3493" t="s">
        <v>40</v>
      </c>
      <c r="D3493">
        <v>4.6351879999999896</v>
      </c>
      <c r="E3493">
        <v>0.51272229999999996</v>
      </c>
      <c r="F3493" t="s">
        <v>46</v>
      </c>
      <c r="G3493">
        <v>-354.2987</v>
      </c>
      <c r="H3493" s="1">
        <v>-2.8474160000000001E-6</v>
      </c>
      <c r="I3493">
        <v>141.19200000000001</v>
      </c>
      <c r="J3493">
        <v>-311.17619999999999</v>
      </c>
      <c r="K3493">
        <v>1.1103459999999901</v>
      </c>
      <c r="L3493">
        <v>142.1354</v>
      </c>
      <c r="M3493">
        <v>-0.99984390000000001</v>
      </c>
      <c r="N3493">
        <v>-1.4668179999999999E-2</v>
      </c>
      <c r="O3493">
        <v>9.8548669999999998E-3</v>
      </c>
      <c r="P3493">
        <v>-0.98104389999999997</v>
      </c>
      <c r="Q3493">
        <v>0.18399289999999999</v>
      </c>
      <c r="R3493">
        <v>-6.0825499999999998E-2</v>
      </c>
      <c r="S3493">
        <v>-3.0686339999999999</v>
      </c>
      <c r="T3493">
        <v>-7.8394060000000002E-2</v>
      </c>
      <c r="U3493">
        <v>-6.6360470000000005E-2</v>
      </c>
      <c r="V3493">
        <v>-7.0454970000000006E-2</v>
      </c>
      <c r="W3493">
        <v>0.1983666</v>
      </c>
      <c r="X3493">
        <v>0.97759229999999997</v>
      </c>
      <c r="Y3493">
        <v>-3.1456190000000002E-2</v>
      </c>
      <c r="Z3493">
        <v>-7.3965529999999997E-4</v>
      </c>
      <c r="AA3493">
        <v>0.99950490000000003</v>
      </c>
      <c r="AB3493">
        <v>35</v>
      </c>
      <c r="AC3493">
        <v>-43.122500000000002</v>
      </c>
      <c r="AD3493">
        <v>-1.1103488474159999</v>
      </c>
      <c r="AE3493">
        <v>-0.94339999999999602</v>
      </c>
      <c r="AF3493">
        <v>-1.3674601967372499</v>
      </c>
      <c r="AG3493">
        <v>-1.1103488474159999</v>
      </c>
      <c r="AH3493">
        <v>43.082557516132901</v>
      </c>
      <c r="AI3493">
        <v>91.475590713905603</v>
      </c>
      <c r="AJ3493">
        <v>91.817984052520103</v>
      </c>
      <c r="AK3493">
        <v>43.118552666845297</v>
      </c>
      <c r="AL3493">
        <v>78.558541033659296</v>
      </c>
      <c r="AM3493">
        <v>94.122173461954105</v>
      </c>
      <c r="AN3493">
        <v>0.99999995790627405</v>
      </c>
    </row>
    <row r="3494" spans="1:40" x14ac:dyDescent="0.25">
      <c r="A3494" t="str">
        <f>"20190304155441780"</f>
        <v>20190304155441780</v>
      </c>
      <c r="B3494" t="str">
        <f>"1551686081771099"</f>
        <v>1551686081771099</v>
      </c>
      <c r="C3494" t="s">
        <v>40</v>
      </c>
      <c r="D3494">
        <v>4.6449999999999996</v>
      </c>
      <c r="E3494">
        <v>0.51278789999999996</v>
      </c>
      <c r="F3494" t="s">
        <v>46</v>
      </c>
      <c r="G3494">
        <v>-353.46980000000002</v>
      </c>
      <c r="H3494" s="1">
        <v>-3.2154970000000001E-6</v>
      </c>
      <c r="I3494">
        <v>141.2389</v>
      </c>
      <c r="J3494">
        <v>-311.51029999999997</v>
      </c>
      <c r="K3494">
        <v>1.110341</v>
      </c>
      <c r="L3494">
        <v>142.1388</v>
      </c>
      <c r="M3494">
        <v>-0.99984340000000005</v>
      </c>
      <c r="N3494">
        <v>-1.4664440000000001E-2</v>
      </c>
      <c r="O3494">
        <v>9.9122840000000004E-3</v>
      </c>
      <c r="P3494">
        <v>-0.98105200000000004</v>
      </c>
      <c r="Q3494">
        <v>0.1840608</v>
      </c>
      <c r="R3494">
        <v>-6.048692E-2</v>
      </c>
      <c r="S3494">
        <v>-3.0690309999999998</v>
      </c>
      <c r="T3494">
        <v>-8.0572489999999997E-2</v>
      </c>
      <c r="U3494">
        <v>-6.5048220000000004E-2</v>
      </c>
      <c r="V3494">
        <v>-7.017342E-2</v>
      </c>
      <c r="W3494">
        <v>0.1984311</v>
      </c>
      <c r="X3494">
        <v>0.97759949999999995</v>
      </c>
      <c r="Y3494">
        <v>-3.1083010000000001E-2</v>
      </c>
      <c r="Z3494">
        <v>-7.5073190000000001E-4</v>
      </c>
      <c r="AA3494">
        <v>0.99951650000000003</v>
      </c>
      <c r="AB3494">
        <v>35</v>
      </c>
      <c r="AC3494">
        <v>-41.959499999999998</v>
      </c>
      <c r="AD3494">
        <v>-1.110344215497</v>
      </c>
      <c r="AE3494">
        <v>-0.89990000000000203</v>
      </c>
      <c r="AF3494">
        <v>-1.3148946277068201</v>
      </c>
      <c r="AG3494">
        <v>-1.110344215497</v>
      </c>
      <c r="AH3494">
        <v>41.919176639916401</v>
      </c>
      <c r="AI3494">
        <v>91.516535348996499</v>
      </c>
      <c r="AJ3494">
        <v>91.796629243484901</v>
      </c>
      <c r="AK3494">
        <v>41.9544894180274</v>
      </c>
      <c r="AL3494">
        <v>78.554770948793603</v>
      </c>
      <c r="AM3494">
        <v>94.105726869664295</v>
      </c>
      <c r="AN3494">
        <v>0.99999999636097803</v>
      </c>
    </row>
    <row r="3495" spans="1:40" x14ac:dyDescent="0.25">
      <c r="A3495" t="str">
        <f>"20190304155441803"</f>
        <v>20190304155441803</v>
      </c>
      <c r="B3495" t="str">
        <f>"1551686081790620"</f>
        <v>1551686081790620</v>
      </c>
      <c r="C3495" t="s">
        <v>40</v>
      </c>
      <c r="D3495">
        <v>4.6190239999999996</v>
      </c>
      <c r="E3495">
        <v>0.51276169999999999</v>
      </c>
      <c r="F3495" t="s">
        <v>46</v>
      </c>
      <c r="G3495">
        <v>-353.2285</v>
      </c>
      <c r="H3495" s="1">
        <v>-3.3285770000000002E-6</v>
      </c>
      <c r="I3495">
        <v>141.2749</v>
      </c>
      <c r="J3495">
        <v>-311.84949999999998</v>
      </c>
      <c r="K3495">
        <v>1.1103400000000001</v>
      </c>
      <c r="L3495">
        <v>142.1422</v>
      </c>
      <c r="M3495">
        <v>-0.99984289999999998</v>
      </c>
      <c r="N3495">
        <v>-1.4660690000000001E-2</v>
      </c>
      <c r="O3495">
        <v>9.9706559999999996E-3</v>
      </c>
      <c r="P3495">
        <v>-0.98109009999999996</v>
      </c>
      <c r="Q3495">
        <v>0.1840571</v>
      </c>
      <c r="R3495">
        <v>-5.9878090000000002E-2</v>
      </c>
      <c r="S3495">
        <v>-3.0693359999999998</v>
      </c>
      <c r="T3495">
        <v>-8.1691379999999994E-2</v>
      </c>
      <c r="U3495">
        <v>-6.3552860000000003E-2</v>
      </c>
      <c r="V3495">
        <v>-6.9622020000000007E-2</v>
      </c>
      <c r="W3495">
        <v>0.19842409999999999</v>
      </c>
      <c r="X3495">
        <v>0.97764030000000002</v>
      </c>
      <c r="Y3495">
        <v>-3.065232E-2</v>
      </c>
      <c r="Z3495">
        <v>-7.5172990000000001E-4</v>
      </c>
      <c r="AA3495">
        <v>0.99952980000000002</v>
      </c>
      <c r="AB3495">
        <v>35</v>
      </c>
      <c r="AC3495">
        <v>-41.378999999999998</v>
      </c>
      <c r="AD3495">
        <v>-1.1103433285769999</v>
      </c>
      <c r="AE3495">
        <v>-0.86729999999999996</v>
      </c>
      <c r="AF3495">
        <v>-1.2789564720932001</v>
      </c>
      <c r="AG3495">
        <v>-1.1103433285769999</v>
      </c>
      <c r="AH3495">
        <v>41.338542008811999</v>
      </c>
      <c r="AI3495">
        <v>91.537845491678695</v>
      </c>
      <c r="AJ3495">
        <v>91.772085737550299</v>
      </c>
      <c r="AK3495">
        <v>41.373223797271798</v>
      </c>
      <c r="AL3495">
        <v>78.555179649169204</v>
      </c>
      <c r="AM3495">
        <v>94.073405002560193</v>
      </c>
      <c r="AN3495">
        <v>0.99999995265688901</v>
      </c>
    </row>
    <row r="3496" spans="1:40" x14ac:dyDescent="0.25">
      <c r="A3496" t="str">
        <f>"20190304155441825"</f>
        <v>20190304155441825</v>
      </c>
      <c r="B3496" t="str">
        <f>"1551686081820875"</f>
        <v>1551686081820875</v>
      </c>
      <c r="C3496" t="s">
        <v>40</v>
      </c>
      <c r="D3496">
        <v>4.4017819999999999</v>
      </c>
      <c r="E3496">
        <v>0.51322219999999996</v>
      </c>
      <c r="F3496" t="s">
        <v>46</v>
      </c>
      <c r="G3496">
        <v>-353.17079999999999</v>
      </c>
      <c r="H3496" s="1">
        <v>-3.360483E-6</v>
      </c>
      <c r="I3496">
        <v>141.30179999999999</v>
      </c>
      <c r="J3496">
        <v>-312.19779999999997</v>
      </c>
      <c r="K3496">
        <v>1.1103419999999999</v>
      </c>
      <c r="L3496">
        <v>142.14580000000001</v>
      </c>
      <c r="M3496">
        <v>-0.99984229999999996</v>
      </c>
      <c r="N3496">
        <v>-1.4657E-2</v>
      </c>
      <c r="O3496">
        <v>1.003075E-2</v>
      </c>
      <c r="P3496">
        <v>-0.98118249999999996</v>
      </c>
      <c r="Q3496">
        <v>0.1838602</v>
      </c>
      <c r="R3496">
        <v>-5.8963460000000002E-2</v>
      </c>
      <c r="S3496">
        <v>-3.069458</v>
      </c>
      <c r="T3496">
        <v>-8.2479479999999994E-2</v>
      </c>
      <c r="U3496">
        <v>-6.242371E-2</v>
      </c>
      <c r="V3496">
        <v>-6.876707E-2</v>
      </c>
      <c r="W3496">
        <v>0.19822500000000001</v>
      </c>
      <c r="X3496">
        <v>0.97774119999999998</v>
      </c>
      <c r="Y3496">
        <v>-3.0343910000000002E-2</v>
      </c>
      <c r="Z3496">
        <v>-7.525066E-4</v>
      </c>
      <c r="AA3496">
        <v>0.99953930000000002</v>
      </c>
      <c r="AB3496">
        <v>35</v>
      </c>
      <c r="AC3496">
        <v>-40.972999999999999</v>
      </c>
      <c r="AD3496">
        <v>-1.110345360483</v>
      </c>
      <c r="AE3496">
        <v>-0.84400000000002195</v>
      </c>
      <c r="AF3496">
        <v>-1.2540710150457299</v>
      </c>
      <c r="AG3496">
        <v>-1.110345360483</v>
      </c>
      <c r="AH3496">
        <v>40.932424184503297</v>
      </c>
      <c r="AI3496">
        <v>91.553113257206405</v>
      </c>
      <c r="AJ3496">
        <v>91.754855925717195</v>
      </c>
      <c r="AK3496">
        <v>40.966680492205299</v>
      </c>
      <c r="AL3496">
        <v>78.566818481919299</v>
      </c>
      <c r="AM3496">
        <v>94.023135529744494</v>
      </c>
      <c r="AN3496">
        <v>0.99999995735941105</v>
      </c>
    </row>
    <row r="3497" spans="1:40" x14ac:dyDescent="0.25">
      <c r="A3497" t="str">
        <f>"20190304155441847"</f>
        <v>20190304155441847</v>
      </c>
      <c r="B3497" t="str">
        <f>"1551686081840395"</f>
        <v>1551686081840395</v>
      </c>
      <c r="C3497" t="s">
        <v>40</v>
      </c>
      <c r="D3497">
        <v>4.6095660000000001</v>
      </c>
      <c r="E3497">
        <v>0.5132101</v>
      </c>
      <c r="F3497" t="s">
        <v>46</v>
      </c>
      <c r="G3497">
        <v>-352.41809999999998</v>
      </c>
      <c r="H3497" s="1">
        <v>-3.7119770000000002E-6</v>
      </c>
      <c r="I3497">
        <v>141.4092</v>
      </c>
      <c r="J3497">
        <v>-312.54020000000003</v>
      </c>
      <c r="K3497">
        <v>1.110355</v>
      </c>
      <c r="L3497">
        <v>142.14930000000001</v>
      </c>
      <c r="M3497">
        <v>-0.99984170000000006</v>
      </c>
      <c r="N3497">
        <v>-1.465319E-2</v>
      </c>
      <c r="O3497">
        <v>1.0089610000000001E-2</v>
      </c>
      <c r="P3497">
        <v>-0.98110280000000005</v>
      </c>
      <c r="Q3497">
        <v>0.18452370000000001</v>
      </c>
      <c r="R3497">
        <v>-5.8210379999999999E-2</v>
      </c>
      <c r="S3497">
        <v>-3.0700379999999998</v>
      </c>
      <c r="T3497">
        <v>-8.4753389999999998E-2</v>
      </c>
      <c r="U3497">
        <v>-5.621338E-2</v>
      </c>
      <c r="V3497">
        <v>-6.8071510000000002E-2</v>
      </c>
      <c r="W3497">
        <v>0.198883</v>
      </c>
      <c r="X3497">
        <v>0.97765630000000003</v>
      </c>
      <c r="Y3497">
        <v>-2.8377929999999999E-2</v>
      </c>
      <c r="Z3497">
        <v>-7.3024570000000005E-4</v>
      </c>
      <c r="AA3497">
        <v>0.99959699999999996</v>
      </c>
      <c r="AB3497">
        <v>35</v>
      </c>
      <c r="AC3497">
        <v>-39.877899999999897</v>
      </c>
      <c r="AD3497">
        <v>-1.110358711977</v>
      </c>
      <c r="AE3497">
        <v>-0.74010000000001197</v>
      </c>
      <c r="AF3497">
        <v>-1.1415732516833299</v>
      </c>
      <c r="AG3497">
        <v>-1.110358711977</v>
      </c>
      <c r="AH3497">
        <v>39.8375267503977</v>
      </c>
      <c r="AI3497">
        <v>91.595890169702898</v>
      </c>
      <c r="AJ3497">
        <v>91.641402978194805</v>
      </c>
      <c r="AK3497">
        <v>39.869344408290402</v>
      </c>
      <c r="AL3497">
        <v>78.528352593465698</v>
      </c>
      <c r="AM3497">
        <v>93.982918966325002</v>
      </c>
      <c r="AN3497">
        <v>1.0000000095461801</v>
      </c>
    </row>
    <row r="3498" spans="1:40" x14ac:dyDescent="0.25">
      <c r="A3498" t="str">
        <f>"20190304155441870"</f>
        <v>20190304155441870</v>
      </c>
      <c r="B3498" t="str">
        <f>"1551686081860892"</f>
        <v>1551686081860892</v>
      </c>
      <c r="C3498" t="s">
        <v>40</v>
      </c>
      <c r="D3498">
        <v>4.5979999999999999</v>
      </c>
      <c r="E3498">
        <v>0.51319179999999998</v>
      </c>
      <c r="F3498" t="s">
        <v>46</v>
      </c>
      <c r="G3498">
        <v>-353.6146</v>
      </c>
      <c r="H3498" s="1">
        <v>-3.2040339999999998E-6</v>
      </c>
      <c r="I3498">
        <v>141.42939999999999</v>
      </c>
      <c r="J3498">
        <v>-312.90800000000002</v>
      </c>
      <c r="K3498">
        <v>1.110363</v>
      </c>
      <c r="L3498">
        <v>142.15299999999999</v>
      </c>
      <c r="M3498">
        <v>-0.99984119999999999</v>
      </c>
      <c r="N3498">
        <v>-1.464909E-2</v>
      </c>
      <c r="O3498">
        <v>1.015257E-2</v>
      </c>
      <c r="P3498">
        <v>-0.9810354</v>
      </c>
      <c r="Q3498">
        <v>0.18517620000000001</v>
      </c>
      <c r="R3498">
        <v>-5.7267510000000001E-2</v>
      </c>
      <c r="S3498">
        <v>-3.0701900000000002</v>
      </c>
      <c r="T3498">
        <v>-8.2996009999999995E-2</v>
      </c>
      <c r="U3498">
        <v>-5.3802490000000001E-2</v>
      </c>
      <c r="V3498">
        <v>-6.7189310000000002E-2</v>
      </c>
      <c r="W3498">
        <v>0.19953070000000001</v>
      </c>
      <c r="X3498">
        <v>0.97758540000000005</v>
      </c>
      <c r="Y3498">
        <v>-2.765631E-2</v>
      </c>
      <c r="Z3498">
        <v>-7.0204689999999999E-4</v>
      </c>
      <c r="AA3498">
        <v>0.99961719999999998</v>
      </c>
      <c r="AB3498">
        <v>35</v>
      </c>
      <c r="AC3498">
        <v>-40.706599999999902</v>
      </c>
      <c r="AD3498">
        <v>-1.1103662040340001</v>
      </c>
      <c r="AE3498">
        <v>-0.72360000000000402</v>
      </c>
      <c r="AF3498">
        <v>-1.1360386317745099</v>
      </c>
      <c r="AG3498">
        <v>-1.1103662040340001</v>
      </c>
      <c r="AH3498">
        <v>40.6669056972503</v>
      </c>
      <c r="AI3498">
        <v>91.563401571847194</v>
      </c>
      <c r="AJ3498">
        <v>91.600153593094504</v>
      </c>
      <c r="AK3498">
        <v>40.697920289235803</v>
      </c>
      <c r="AL3498">
        <v>78.490483692788303</v>
      </c>
      <c r="AM3498">
        <v>93.931747897477905</v>
      </c>
      <c r="AN3498">
        <v>1.00000005895696</v>
      </c>
    </row>
    <row r="3499" spans="1:40" x14ac:dyDescent="0.25">
      <c r="A3499" t="str">
        <f>"20190304155441892"</f>
        <v>20190304155441892</v>
      </c>
      <c r="B3499" t="str">
        <f>"1551686081880412"</f>
        <v>1551686081880412</v>
      </c>
      <c r="C3499" t="s">
        <v>40</v>
      </c>
      <c r="D3499">
        <v>4.6117470000000003</v>
      </c>
      <c r="E3499">
        <v>0.51381009999999905</v>
      </c>
      <c r="F3499" t="s">
        <v>46</v>
      </c>
      <c r="G3499">
        <v>-354.69290000000001</v>
      </c>
      <c r="H3499" s="1">
        <v>-2.7480039999999999E-6</v>
      </c>
      <c r="I3499">
        <v>141.45400000000001</v>
      </c>
      <c r="J3499">
        <v>-313.24400000000003</v>
      </c>
      <c r="K3499">
        <v>1.1103670000000001</v>
      </c>
      <c r="L3499">
        <v>142.15649999999999</v>
      </c>
      <c r="M3499">
        <v>-0.99984059999999997</v>
      </c>
      <c r="N3499">
        <v>-1.464533E-2</v>
      </c>
      <c r="O3499">
        <v>1.021029E-2</v>
      </c>
      <c r="P3499">
        <v>-0.98108600000000001</v>
      </c>
      <c r="Q3499">
        <v>0.1851177</v>
      </c>
      <c r="R3499">
        <v>-5.658701E-2</v>
      </c>
      <c r="S3499">
        <v>-3.0703740000000002</v>
      </c>
      <c r="T3499">
        <v>-8.1590179999999998E-2</v>
      </c>
      <c r="U3499">
        <v>-5.1361080000000003E-2</v>
      </c>
      <c r="V3499">
        <v>-6.6565949999999999E-2</v>
      </c>
      <c r="W3499">
        <v>0.19946949999999999</v>
      </c>
      <c r="X3499">
        <v>0.97764050000000002</v>
      </c>
      <c r="Y3499">
        <v>-2.6919249999999999E-2</v>
      </c>
      <c r="Z3499">
        <v>-6.7651810000000001E-4</v>
      </c>
      <c r="AA3499">
        <v>0.99963740000000001</v>
      </c>
      <c r="AB3499">
        <v>35</v>
      </c>
      <c r="AC3499">
        <v>-41.448899999999902</v>
      </c>
      <c r="AD3499">
        <v>-1.110369748004</v>
      </c>
      <c r="AE3499">
        <v>-0.70249999999998602</v>
      </c>
      <c r="AF3499">
        <v>-1.1249070125745799</v>
      </c>
      <c r="AG3499">
        <v>-1.110369748004</v>
      </c>
      <c r="AH3499">
        <v>41.4098564452487</v>
      </c>
      <c r="AI3499">
        <v>91.535402938995304</v>
      </c>
      <c r="AJ3499">
        <v>91.556068591685602</v>
      </c>
      <c r="AK3499">
        <v>41.440011433158702</v>
      </c>
      <c r="AL3499">
        <v>78.494061758131394</v>
      </c>
      <c r="AM3499">
        <v>93.895164408696104</v>
      </c>
      <c r="AN3499">
        <v>1.0000000271849501</v>
      </c>
    </row>
    <row r="3500" spans="1:40" x14ac:dyDescent="0.25">
      <c r="A3500" t="str">
        <f>"20190304155441913"</f>
        <v>20190304155441913</v>
      </c>
      <c r="B3500" t="str">
        <f>"1551686081910668"</f>
        <v>1551686081910668</v>
      </c>
      <c r="C3500" t="s">
        <v>40</v>
      </c>
      <c r="D3500">
        <v>4.736675</v>
      </c>
      <c r="E3500">
        <v>0.54593930000000002</v>
      </c>
      <c r="F3500" t="s">
        <v>46</v>
      </c>
      <c r="G3500">
        <v>-355.1232</v>
      </c>
      <c r="H3500" s="1">
        <v>-2.5885669999999998E-6</v>
      </c>
      <c r="I3500">
        <v>141.54859999999999</v>
      </c>
      <c r="J3500">
        <v>-313.5763</v>
      </c>
      <c r="K3500">
        <v>1.110363</v>
      </c>
      <c r="L3500">
        <v>142.16</v>
      </c>
      <c r="M3500">
        <v>-0.99984030000000002</v>
      </c>
      <c r="N3500">
        <v>-1.4641629999999999E-2</v>
      </c>
      <c r="O3500">
        <v>1.0267180000000001E-2</v>
      </c>
      <c r="P3500">
        <v>-0.98113110000000003</v>
      </c>
      <c r="Q3500">
        <v>0.18494350000000001</v>
      </c>
      <c r="R3500">
        <v>-5.6376299999999997E-2</v>
      </c>
      <c r="S3500">
        <v>-3.0706479999999998</v>
      </c>
      <c r="T3500">
        <v>-8.1414100000000003E-2</v>
      </c>
      <c r="U3500">
        <v>-4.457092E-2</v>
      </c>
      <c r="V3500">
        <v>-6.6411780000000004E-2</v>
      </c>
      <c r="W3500">
        <v>0.19929189999999999</v>
      </c>
      <c r="X3500">
        <v>0.97768719999999998</v>
      </c>
      <c r="Y3500">
        <v>-2.4765820000000001E-2</v>
      </c>
      <c r="Z3500">
        <v>-6.3145989999999999E-4</v>
      </c>
      <c r="AA3500">
        <v>0.9996931</v>
      </c>
      <c r="AB3500">
        <v>35</v>
      </c>
      <c r="AC3500">
        <v>-41.546900000000001</v>
      </c>
      <c r="AD3500">
        <v>-1.1103655885670001</v>
      </c>
      <c r="AE3500">
        <v>-0.61140000000000305</v>
      </c>
      <c r="AF3500">
        <v>-1.0372422117551201</v>
      </c>
      <c r="AG3500">
        <v>-1.1103655885670001</v>
      </c>
      <c r="AH3500">
        <v>41.508790074488303</v>
      </c>
      <c r="AI3500">
        <v>91.531826257380004</v>
      </c>
      <c r="AJ3500">
        <v>91.431437433318607</v>
      </c>
      <c r="AK3500">
        <v>41.536591537992898</v>
      </c>
      <c r="AL3500">
        <v>78.504445938524896</v>
      </c>
      <c r="AM3500">
        <v>93.885985634582397</v>
      </c>
      <c r="AN3500">
        <v>1.0000000234861</v>
      </c>
    </row>
    <row r="3501" spans="1:40" x14ac:dyDescent="0.25">
      <c r="A3501" t="str">
        <f>"20190304155441937"</f>
        <v>20190304155441937</v>
      </c>
      <c r="B3501" t="str">
        <f>"1551686081931163"</f>
        <v>1551686081931163</v>
      </c>
      <c r="C3501" t="s">
        <v>40</v>
      </c>
      <c r="D3501">
        <v>4.5464760000000002</v>
      </c>
      <c r="E3501">
        <v>0.55308780000000002</v>
      </c>
      <c r="F3501" t="s">
        <v>74</v>
      </c>
      <c r="G3501">
        <v>-474.92689999999999</v>
      </c>
      <c r="H3501">
        <v>7.9987509999999998E-2</v>
      </c>
      <c r="I3501">
        <v>153.1953</v>
      </c>
      <c r="J3501">
        <v>-313.93650000000002</v>
      </c>
      <c r="K3501">
        <v>1.1103590000000001</v>
      </c>
      <c r="L3501">
        <v>142.16380000000001</v>
      </c>
      <c r="M3501">
        <v>-0.99983960000000005</v>
      </c>
      <c r="N3501">
        <v>-1.463764E-2</v>
      </c>
      <c r="O3501">
        <v>1.032925E-2</v>
      </c>
      <c r="P3501">
        <v>-0.98108759999999995</v>
      </c>
      <c r="Q3501">
        <v>0.1852626</v>
      </c>
      <c r="R3501">
        <v>-5.6082470000000002E-2</v>
      </c>
      <c r="S3501">
        <v>-3.0734859999999999</v>
      </c>
      <c r="T3501">
        <v>-1.962709E-2</v>
      </c>
      <c r="U3501">
        <v>0.21020510000000001</v>
      </c>
      <c r="V3501">
        <v>-6.6178550000000003E-2</v>
      </c>
      <c r="W3501">
        <v>0.19960639999999999</v>
      </c>
      <c r="X3501">
        <v>0.97763880000000003</v>
      </c>
      <c r="Y3501">
        <v>5.7920190000000003E-2</v>
      </c>
      <c r="Z3501">
        <v>6.9432589999999996E-4</v>
      </c>
      <c r="AA3501">
        <v>0.99832100000000001</v>
      </c>
      <c r="AB3501">
        <v>35</v>
      </c>
      <c r="AC3501">
        <v>-160.990399999999</v>
      </c>
      <c r="AD3501">
        <v>-1.0303714900000001</v>
      </c>
      <c r="AE3501">
        <v>11.0314999999999</v>
      </c>
      <c r="AF3501">
        <v>9.36744132606837</v>
      </c>
      <c r="AG3501">
        <v>-1.0303714900000001</v>
      </c>
      <c r="AH3501">
        <v>161.089201147832</v>
      </c>
      <c r="AI3501">
        <v>90.365856766057703</v>
      </c>
      <c r="AJ3501">
        <v>86.671961206810394</v>
      </c>
      <c r="AK3501">
        <v>161.364622358345</v>
      </c>
      <c r="AL3501">
        <v>78.486056315844195</v>
      </c>
      <c r="AM3501">
        <v>93.872571251286303</v>
      </c>
      <c r="AN3501">
        <v>0.99999996933324997</v>
      </c>
    </row>
    <row r="3502" spans="1:40" x14ac:dyDescent="0.25">
      <c r="A3502" t="str">
        <f>"20190304155441960"</f>
        <v>20190304155441960</v>
      </c>
      <c r="B3502" t="str">
        <f>"1551686081950684"</f>
        <v>1551686081950684</v>
      </c>
      <c r="C3502" t="s">
        <v>40</v>
      </c>
      <c r="D3502">
        <v>4.7184530000000002</v>
      </c>
      <c r="E3502">
        <v>0.55192790000000003</v>
      </c>
      <c r="F3502" t="s">
        <v>74</v>
      </c>
      <c r="G3502">
        <v>-499.95769999999999</v>
      </c>
      <c r="H3502">
        <v>3.4161709999999998E-2</v>
      </c>
      <c r="I3502">
        <v>158.3715</v>
      </c>
      <c r="J3502">
        <v>-314.29590000000002</v>
      </c>
      <c r="K3502">
        <v>1.1103620000000001</v>
      </c>
      <c r="L3502">
        <v>142.16749999999999</v>
      </c>
      <c r="M3502">
        <v>-0.99983889999999997</v>
      </c>
      <c r="N3502">
        <v>-1.463365E-2</v>
      </c>
      <c r="O3502">
        <v>1.0391320000000001E-2</v>
      </c>
      <c r="P3502">
        <v>-0.98109040000000003</v>
      </c>
      <c r="Q3502">
        <v>0.18543129999999999</v>
      </c>
      <c r="R3502">
        <v>-5.5469640000000001E-2</v>
      </c>
      <c r="S3502">
        <v>-3.076508</v>
      </c>
      <c r="T3502">
        <v>-1.7798660000000001E-2</v>
      </c>
      <c r="U3502">
        <v>0.26805109999999999</v>
      </c>
      <c r="V3502">
        <v>-6.5626669999999998E-2</v>
      </c>
      <c r="W3502">
        <v>0.1997708</v>
      </c>
      <c r="X3502">
        <v>0.97764249999999997</v>
      </c>
      <c r="Y3502">
        <v>7.6437560000000002E-2</v>
      </c>
      <c r="Z3502">
        <v>8.7288220000000002E-4</v>
      </c>
      <c r="AA3502">
        <v>0.99707400000000002</v>
      </c>
      <c r="AB3502">
        <v>35</v>
      </c>
      <c r="AC3502">
        <v>-185.6618</v>
      </c>
      <c r="AD3502">
        <v>-1.0762002900000001</v>
      </c>
      <c r="AE3502">
        <v>16.204000000000001</v>
      </c>
      <c r="AF3502">
        <v>14.2731711552732</v>
      </c>
      <c r="AG3502">
        <v>-1.0762002900000001</v>
      </c>
      <c r="AH3502">
        <v>185.81397655220599</v>
      </c>
      <c r="AI3502">
        <v>90.330868203557401</v>
      </c>
      <c r="AJ3502">
        <v>85.607490304707795</v>
      </c>
      <c r="AK3502">
        <v>186.364469532247</v>
      </c>
      <c r="AL3502">
        <v>78.4764441619065</v>
      </c>
      <c r="AM3502">
        <v>93.840359431987906</v>
      </c>
      <c r="AN3502">
        <v>1.0000000450770801</v>
      </c>
    </row>
    <row r="3503" spans="1:40" x14ac:dyDescent="0.25">
      <c r="A3503" t="str">
        <f>"20190304155441984"</f>
        <v>20190304155441984</v>
      </c>
      <c r="B3503" t="str">
        <f>"1551686081980940"</f>
        <v>1551686081980940</v>
      </c>
      <c r="C3503" t="s">
        <v>40</v>
      </c>
      <c r="D3503">
        <v>4.7567779999999997</v>
      </c>
      <c r="E3503">
        <v>0.55137519999999995</v>
      </c>
      <c r="F3503" t="s">
        <v>74</v>
      </c>
      <c r="G3503">
        <v>-476.80759999999998</v>
      </c>
      <c r="H3503">
        <v>7.9988359999999994E-2</v>
      </c>
      <c r="I3503">
        <v>155.9365</v>
      </c>
      <c r="J3503">
        <v>-314.6583</v>
      </c>
      <c r="K3503">
        <v>1.110366</v>
      </c>
      <c r="L3503">
        <v>142.17140000000001</v>
      </c>
      <c r="M3503">
        <v>-0.99983829999999996</v>
      </c>
      <c r="N3503">
        <v>-1.46296E-2</v>
      </c>
      <c r="O3503">
        <v>1.045369E-2</v>
      </c>
      <c r="P3503">
        <v>-0.98116170000000003</v>
      </c>
      <c r="Q3503">
        <v>0.18517220000000001</v>
      </c>
      <c r="R3503">
        <v>-5.5072830000000003E-2</v>
      </c>
      <c r="S3503">
        <v>-3.0762019999999999</v>
      </c>
      <c r="T3503">
        <v>-1.9504069999999998E-2</v>
      </c>
      <c r="U3503">
        <v>0.26063540000000002</v>
      </c>
      <c r="V3503">
        <v>-6.5291790000000002E-2</v>
      </c>
      <c r="W3503">
        <v>0.19950870000000001</v>
      </c>
      <c r="X3503">
        <v>0.97771839999999999</v>
      </c>
      <c r="Y3503">
        <v>7.3997199999999999E-2</v>
      </c>
      <c r="Z3503">
        <v>8.6298750000000002E-4</v>
      </c>
      <c r="AA3503">
        <v>0.99725810000000004</v>
      </c>
      <c r="AB3503">
        <v>35</v>
      </c>
      <c r="AC3503">
        <v>-162.14929999999899</v>
      </c>
      <c r="AD3503">
        <v>-1.03037764</v>
      </c>
      <c r="AE3503">
        <v>13.765099999999901</v>
      </c>
      <c r="AF3503">
        <v>12.068623859519199</v>
      </c>
      <c r="AG3503">
        <v>-1.03037764</v>
      </c>
      <c r="AH3503">
        <v>162.27784370689301</v>
      </c>
      <c r="AI3503">
        <v>90.362790838759295</v>
      </c>
      <c r="AJ3503">
        <v>85.746735546617998</v>
      </c>
      <c r="AK3503">
        <v>162.729259563554</v>
      </c>
      <c r="AL3503">
        <v>78.491769428113599</v>
      </c>
      <c r="AM3503">
        <v>93.820525295756298</v>
      </c>
      <c r="AN3503">
        <v>1.0000000044578199</v>
      </c>
    </row>
    <row r="3504" spans="1:40" x14ac:dyDescent="0.25">
      <c r="A3504" t="str">
        <f>"20190304155442004"</f>
        <v>20190304155442004</v>
      </c>
      <c r="B3504" t="str">
        <f>"1551686082000460"</f>
        <v>1551686082000460</v>
      </c>
      <c r="C3504" t="s">
        <v>40</v>
      </c>
      <c r="D3504">
        <v>4.7250139999999998</v>
      </c>
      <c r="E3504">
        <v>0.55365120000000001</v>
      </c>
      <c r="F3504" t="s">
        <v>46</v>
      </c>
      <c r="G3504">
        <v>-454.73320000000001</v>
      </c>
      <c r="H3504">
        <v>7.998798E-2</v>
      </c>
      <c r="I3504">
        <v>153.88669999999999</v>
      </c>
      <c r="J3504">
        <v>-314.96469999999999</v>
      </c>
      <c r="K3504">
        <v>1.1103609999999999</v>
      </c>
      <c r="L3504">
        <v>142.1746</v>
      </c>
      <c r="M3504">
        <v>-0.99983789999999995</v>
      </c>
      <c r="N3504">
        <v>-1.4626180000000001E-2</v>
      </c>
      <c r="O3504">
        <v>1.050622E-2</v>
      </c>
      <c r="P3504">
        <v>-0.98124219999999895</v>
      </c>
      <c r="Q3504">
        <v>0.18486440000000001</v>
      </c>
      <c r="R3504">
        <v>-5.4672070000000003E-2</v>
      </c>
      <c r="S3504">
        <v>-3.0763240000000001</v>
      </c>
      <c r="T3504">
        <v>-2.2629139999999999E-2</v>
      </c>
      <c r="U3504">
        <v>0.25729370000000001</v>
      </c>
      <c r="V3504">
        <v>-6.4943490000000006E-2</v>
      </c>
      <c r="W3504">
        <v>0.19919890000000001</v>
      </c>
      <c r="X3504">
        <v>0.97780480000000003</v>
      </c>
      <c r="Y3504">
        <v>7.2864730000000003E-2</v>
      </c>
      <c r="Z3504">
        <v>8.7765710000000004E-4</v>
      </c>
      <c r="AA3504">
        <v>0.99734149999999999</v>
      </c>
      <c r="AB3504">
        <v>34</v>
      </c>
      <c r="AC3504">
        <v>-139.76849999999999</v>
      </c>
      <c r="AD3504">
        <v>-1.0303730200000001</v>
      </c>
      <c r="AE3504">
        <v>11.7120999999999</v>
      </c>
      <c r="AF3504">
        <v>10.2423050925052</v>
      </c>
      <c r="AG3504">
        <v>-1.0303730200000001</v>
      </c>
      <c r="AH3504">
        <v>139.87629856342801</v>
      </c>
      <c r="AI3504">
        <v>90.4209242875325</v>
      </c>
      <c r="AJ3504">
        <v>85.812046866867405</v>
      </c>
      <c r="AK3504">
        <v>140.25457347970399</v>
      </c>
      <c r="AL3504">
        <v>78.5098836951327</v>
      </c>
      <c r="AM3504">
        <v>93.799869719875602</v>
      </c>
      <c r="AN3504">
        <v>1.00000004277881</v>
      </c>
    </row>
    <row r="3505" spans="1:40" x14ac:dyDescent="0.25">
      <c r="A3505" t="str">
        <f>"20190304155442026"</f>
        <v>20190304155442026</v>
      </c>
      <c r="B3505" t="str">
        <f>"1551686082020956"</f>
        <v>1551686082020956</v>
      </c>
      <c r="C3505" t="s">
        <v>40</v>
      </c>
      <c r="D3505">
        <v>4.6778979999999999</v>
      </c>
      <c r="E3505">
        <v>0.55343290000000001</v>
      </c>
      <c r="F3505" t="s">
        <v>47</v>
      </c>
      <c r="G3505">
        <v>-483.41050000000001</v>
      </c>
      <c r="H3505">
        <v>-0.05</v>
      </c>
      <c r="I3505">
        <v>157.3409</v>
      </c>
      <c r="J3505">
        <v>-315.30990000000003</v>
      </c>
      <c r="K3505">
        <v>1.110358</v>
      </c>
      <c r="L3505">
        <v>142.17830000000001</v>
      </c>
      <c r="M3505">
        <v>-0.99983739999999999</v>
      </c>
      <c r="N3505">
        <v>-1.4622339999999999E-2</v>
      </c>
      <c r="O3505">
        <v>1.0565430000000001E-2</v>
      </c>
      <c r="P3505">
        <v>-0.98123110000000002</v>
      </c>
      <c r="Q3505">
        <v>0.18505460000000001</v>
      </c>
      <c r="R3505">
        <v>-5.4226740000000002E-2</v>
      </c>
      <c r="S3505">
        <v>-3.0767820000000001</v>
      </c>
      <c r="T3505">
        <v>-2.119482E-2</v>
      </c>
      <c r="U3505">
        <v>0.27702329999999997</v>
      </c>
      <c r="V3505">
        <v>-6.4556799999999998E-2</v>
      </c>
      <c r="W3505">
        <v>0.19938529999999999</v>
      </c>
      <c r="X3505">
        <v>0.97779240000000001</v>
      </c>
      <c r="Y3505">
        <v>7.9139429999999997E-2</v>
      </c>
      <c r="Z3505">
        <v>9.3343600000000005E-4</v>
      </c>
      <c r="AA3505">
        <v>0.9968631</v>
      </c>
      <c r="AB3505">
        <v>34</v>
      </c>
      <c r="AC3505">
        <v>-168.10059999999999</v>
      </c>
      <c r="AD3505">
        <v>-1.160358</v>
      </c>
      <c r="AE3505">
        <v>15.1625999999999</v>
      </c>
      <c r="AF3505">
        <v>13.3848761043905</v>
      </c>
      <c r="AG3505">
        <v>-1.160358</v>
      </c>
      <c r="AH3505">
        <v>168.24348005290699</v>
      </c>
      <c r="AI3505">
        <v>90.393912261628401</v>
      </c>
      <c r="AJ3505">
        <v>85.451324082046597</v>
      </c>
      <c r="AK3505">
        <v>168.77905651866601</v>
      </c>
      <c r="AL3505">
        <v>78.498984965092504</v>
      </c>
      <c r="AM3505">
        <v>93.777357792367397</v>
      </c>
      <c r="AN3505">
        <v>1.0000000278900401</v>
      </c>
    </row>
    <row r="3506" spans="1:40" x14ac:dyDescent="0.25">
      <c r="A3506" t="str">
        <f>"20190304155442049"</f>
        <v>20190304155442049</v>
      </c>
      <c r="B3506" t="str">
        <f>"1551686082040476"</f>
        <v>1551686082040476</v>
      </c>
      <c r="C3506" t="s">
        <v>40</v>
      </c>
      <c r="D3506">
        <v>4.5915739999999996</v>
      </c>
      <c r="E3506">
        <v>0.55379330000000004</v>
      </c>
      <c r="F3506" t="s">
        <v>47</v>
      </c>
      <c r="G3506">
        <v>-478.22879999999998</v>
      </c>
      <c r="H3506">
        <v>-0.05</v>
      </c>
      <c r="I3506">
        <v>156.82339999999999</v>
      </c>
      <c r="J3506">
        <v>-315.65480000000002</v>
      </c>
      <c r="K3506">
        <v>1.1103639999999999</v>
      </c>
      <c r="L3506">
        <v>142.18199999999999</v>
      </c>
      <c r="M3506">
        <v>-0.99983679999999997</v>
      </c>
      <c r="N3506">
        <v>-1.4618509999999999E-2</v>
      </c>
      <c r="O3506">
        <v>1.062482E-2</v>
      </c>
      <c r="P3506">
        <v>-0.98119009999999995</v>
      </c>
      <c r="Q3506">
        <v>0.18529419999999999</v>
      </c>
      <c r="R3506">
        <v>-5.4151560000000001E-2</v>
      </c>
      <c r="S3506">
        <v>-3.076813</v>
      </c>
      <c r="T3506">
        <v>-2.1914010000000001E-2</v>
      </c>
      <c r="U3506">
        <v>0.27658080000000002</v>
      </c>
      <c r="V3506">
        <v>-6.4538739999999997E-2</v>
      </c>
      <c r="W3506">
        <v>0.19961989999999999</v>
      </c>
      <c r="X3506">
        <v>0.97774570000000005</v>
      </c>
      <c r="Y3506">
        <v>7.8936850000000003E-2</v>
      </c>
      <c r="Z3506">
        <v>9.3824830000000003E-4</v>
      </c>
      <c r="AA3506">
        <v>0.99687919999999997</v>
      </c>
      <c r="AB3506">
        <v>34</v>
      </c>
      <c r="AC3506">
        <v>-162.57399999999899</v>
      </c>
      <c r="AD3506">
        <v>-1.160364</v>
      </c>
      <c r="AE3506">
        <v>14.6413999999999</v>
      </c>
      <c r="AF3506">
        <v>12.912416986219601</v>
      </c>
      <c r="AG3506">
        <v>-1.160364</v>
      </c>
      <c r="AH3506">
        <v>162.71217800894999</v>
      </c>
      <c r="AI3506">
        <v>90.407311138158803</v>
      </c>
      <c r="AJ3506">
        <v>85.462664176700898</v>
      </c>
      <c r="AK3506">
        <v>163.22784636652699</v>
      </c>
      <c r="AL3506">
        <v>78.485267336949093</v>
      </c>
      <c r="AM3506">
        <v>93.776483966237393</v>
      </c>
      <c r="AN3506">
        <v>1.00000000365264</v>
      </c>
    </row>
    <row r="3507" spans="1:40" x14ac:dyDescent="0.25">
      <c r="A3507" t="str">
        <f>"20190304155442071"</f>
        <v>20190304155442071</v>
      </c>
      <c r="B3507" t="str">
        <f>"1551686082060972"</f>
        <v>1551686082060972</v>
      </c>
      <c r="C3507" t="s">
        <v>40</v>
      </c>
      <c r="D3507">
        <v>4.4143480000000004</v>
      </c>
      <c r="E3507">
        <v>0.55528559999999905</v>
      </c>
      <c r="F3507" t="s">
        <v>62</v>
      </c>
      <c r="G3507">
        <v>-439.64819999999997</v>
      </c>
      <c r="H3507">
        <v>7.9982299999999895E-2</v>
      </c>
      <c r="I3507">
        <v>153.4554</v>
      </c>
      <c r="J3507">
        <v>-315.99130000000002</v>
      </c>
      <c r="K3507">
        <v>1.1103689999999999</v>
      </c>
      <c r="L3507">
        <v>142.1857</v>
      </c>
      <c r="M3507">
        <v>-0.99983630000000001</v>
      </c>
      <c r="N3507">
        <v>-1.4614739999999999E-2</v>
      </c>
      <c r="O3507">
        <v>1.068301E-2</v>
      </c>
      <c r="P3507">
        <v>-0.98119690000000004</v>
      </c>
      <c r="Q3507">
        <v>0.18536549999999999</v>
      </c>
      <c r="R3507">
        <v>-5.3781509999999998E-2</v>
      </c>
      <c r="S3507">
        <v>-3.0777890000000001</v>
      </c>
      <c r="T3507">
        <v>-2.5576350000000001E-2</v>
      </c>
      <c r="U3507">
        <v>0.27983089999999999</v>
      </c>
      <c r="V3507">
        <v>-6.422638E-2</v>
      </c>
      <c r="W3507">
        <v>0.19968810000000001</v>
      </c>
      <c r="X3507">
        <v>0.97775230000000002</v>
      </c>
      <c r="Y3507">
        <v>7.9893160000000005E-2</v>
      </c>
      <c r="Z3507">
        <v>9.8359610000000003E-4</v>
      </c>
      <c r="AA3507">
        <v>0.99680290000000005</v>
      </c>
      <c r="AB3507">
        <v>34</v>
      </c>
      <c r="AC3507">
        <v>-123.656899999999</v>
      </c>
      <c r="AD3507">
        <v>-1.0303867</v>
      </c>
      <c r="AE3507">
        <v>11.2697</v>
      </c>
      <c r="AF3507">
        <v>9.9472030121347199</v>
      </c>
      <c r="AG3507">
        <v>-1.0303867</v>
      </c>
      <c r="AH3507">
        <v>123.76172685341599</v>
      </c>
      <c r="AI3507">
        <v>90.475475668170503</v>
      </c>
      <c r="AJ3507">
        <v>85.404797153271801</v>
      </c>
      <c r="AK3507">
        <v>124.165106121872</v>
      </c>
      <c r="AL3507">
        <v>78.481278996403702</v>
      </c>
      <c r="AM3507">
        <v>93.758233435820799</v>
      </c>
      <c r="AN3507">
        <v>0.99999996266240099</v>
      </c>
    </row>
    <row r="3508" spans="1:40" x14ac:dyDescent="0.25">
      <c r="A3508" t="str">
        <f>"20190304155442093"</f>
        <v>20190304155442093</v>
      </c>
      <c r="B3508" t="str">
        <f>"1551686082091228"</f>
        <v>1551686082091228</v>
      </c>
      <c r="C3508" t="s">
        <v>40</v>
      </c>
      <c r="D3508">
        <v>4.6703109999999999</v>
      </c>
      <c r="E3508">
        <v>0.5555274</v>
      </c>
      <c r="F3508" t="s">
        <v>47</v>
      </c>
      <c r="G3508">
        <v>-480.27050000000003</v>
      </c>
      <c r="H3508">
        <v>-0.05</v>
      </c>
      <c r="I3508">
        <v>157.81950000000001</v>
      </c>
      <c r="J3508">
        <v>-316.32870000000003</v>
      </c>
      <c r="K3508">
        <v>1.1103689999999999</v>
      </c>
      <c r="L3508">
        <v>142.1893</v>
      </c>
      <c r="M3508">
        <v>-0.99983560000000005</v>
      </c>
      <c r="N3508">
        <v>-1.4610980000000001E-2</v>
      </c>
      <c r="O3508">
        <v>1.0741209999999999E-2</v>
      </c>
      <c r="P3508">
        <v>-0.9810683</v>
      </c>
      <c r="Q3508">
        <v>0.18600829999999999</v>
      </c>
      <c r="R3508">
        <v>-5.3904889999999997E-2</v>
      </c>
      <c r="S3508">
        <v>-3.0776979999999998</v>
      </c>
      <c r="T3508">
        <v>-2.173901E-2</v>
      </c>
      <c r="U3508">
        <v>0.2928925</v>
      </c>
      <c r="V3508">
        <v>-6.4405249999999997E-2</v>
      </c>
      <c r="W3508">
        <v>0.2003249</v>
      </c>
      <c r="X3508">
        <v>0.97761030000000004</v>
      </c>
      <c r="Y3508">
        <v>8.4032430000000005E-2</v>
      </c>
      <c r="Z3508">
        <v>9.923747000000001E-4</v>
      </c>
      <c r="AA3508">
        <v>0.99646250000000003</v>
      </c>
      <c r="AB3508">
        <v>34</v>
      </c>
      <c r="AC3508">
        <v>-163.9418</v>
      </c>
      <c r="AD3508">
        <v>-1.160369</v>
      </c>
      <c r="AE3508">
        <v>15.6302</v>
      </c>
      <c r="AF3508">
        <v>13.8674884392438</v>
      </c>
      <c r="AG3508">
        <v>-1.160369</v>
      </c>
      <c r="AH3508">
        <v>164.09209911436801</v>
      </c>
      <c r="AI3508">
        <v>90.403718393858497</v>
      </c>
      <c r="AJ3508">
        <v>85.169389192403401</v>
      </c>
      <c r="AK3508">
        <v>164.68111817566799</v>
      </c>
      <c r="AL3508">
        <v>78.444041064639805</v>
      </c>
      <c r="AM3508">
        <v>93.769215796987595</v>
      </c>
      <c r="AN3508">
        <v>1.0000000002268301</v>
      </c>
    </row>
    <row r="3509" spans="1:40" x14ac:dyDescent="0.25">
      <c r="A3509" t="str">
        <f>"20190304155442115"</f>
        <v>20190304155442115</v>
      </c>
      <c r="B3509" t="str">
        <f>"1551686082110748"</f>
        <v>1551686082110748</v>
      </c>
      <c r="C3509" t="s">
        <v>40</v>
      </c>
      <c r="D3509">
        <v>4.6400230000000002</v>
      </c>
      <c r="E3509">
        <v>0.55575640000000004</v>
      </c>
      <c r="F3509" t="s">
        <v>74</v>
      </c>
      <c r="G3509">
        <v>-492.9683</v>
      </c>
      <c r="H3509" s="1">
        <v>-1.0043780000000001E-6</v>
      </c>
      <c r="I3509">
        <v>159.07980000000001</v>
      </c>
      <c r="J3509">
        <v>-316.66629999999998</v>
      </c>
      <c r="K3509">
        <v>1.1103749999999999</v>
      </c>
      <c r="L3509">
        <v>142.19299999999899</v>
      </c>
      <c r="M3509">
        <v>-0.99983509999999998</v>
      </c>
      <c r="N3509">
        <v>-1.460725E-2</v>
      </c>
      <c r="O3509">
        <v>1.0799110000000001E-2</v>
      </c>
      <c r="P3509">
        <v>-0.98111000000000004</v>
      </c>
      <c r="Q3509">
        <v>0.18605720000000001</v>
      </c>
      <c r="R3509">
        <v>-5.2974399999999998E-2</v>
      </c>
      <c r="S3509">
        <v>-3.077728</v>
      </c>
      <c r="T3509">
        <v>-1.9346829999999999E-2</v>
      </c>
      <c r="U3509">
        <v>0.29429630000000001</v>
      </c>
      <c r="V3509">
        <v>-6.3531969999999993E-2</v>
      </c>
      <c r="W3509">
        <v>0.20037070000000001</v>
      </c>
      <c r="X3509">
        <v>0.97765800000000003</v>
      </c>
      <c r="Y3509">
        <v>8.4425150000000004E-2</v>
      </c>
      <c r="Z3509">
        <v>9.7251089999999998E-4</v>
      </c>
      <c r="AA3509">
        <v>0.99642929999999996</v>
      </c>
      <c r="AB3509">
        <v>34</v>
      </c>
      <c r="AC3509">
        <v>-176.30199999999999</v>
      </c>
      <c r="AD3509">
        <v>-1.110376004378</v>
      </c>
      <c r="AE3509">
        <v>16.886800000000001</v>
      </c>
      <c r="AF3509">
        <v>14.981118602634099</v>
      </c>
      <c r="AG3509">
        <v>-1.110376004378</v>
      </c>
      <c r="AH3509">
        <v>176.46716289239001</v>
      </c>
      <c r="AI3509">
        <v>90.359222653567997</v>
      </c>
      <c r="AJ3509">
        <v>85.147529762010606</v>
      </c>
      <c r="AK3509">
        <v>177.105410501053</v>
      </c>
      <c r="AL3509">
        <v>78.4413619857865</v>
      </c>
      <c r="AM3509">
        <v>93.718071906779798</v>
      </c>
      <c r="AN3509">
        <v>0.99999994679728399</v>
      </c>
    </row>
    <row r="3510" spans="1:40" x14ac:dyDescent="0.25">
      <c r="A3510" t="str">
        <f>"20190304155442139"</f>
        <v>20190304155442139</v>
      </c>
      <c r="B3510" t="str">
        <f>"1551686082131243"</f>
        <v>1551686082131243</v>
      </c>
      <c r="C3510" t="s">
        <v>40</v>
      </c>
      <c r="D3510">
        <v>4.6066089999999997</v>
      </c>
      <c r="E3510">
        <v>0.55666700000000002</v>
      </c>
      <c r="F3510" t="s">
        <v>46</v>
      </c>
      <c r="G3510">
        <v>-497.20580000000001</v>
      </c>
      <c r="H3510" s="1">
        <v>-1.9662389999999999E-6</v>
      </c>
      <c r="I3510">
        <v>159.6952</v>
      </c>
      <c r="J3510">
        <v>-317.02319999999997</v>
      </c>
      <c r="K3510">
        <v>1.1103780000000001</v>
      </c>
      <c r="L3510">
        <v>142.1969</v>
      </c>
      <c r="M3510">
        <v>-0.99983440000000001</v>
      </c>
      <c r="N3510">
        <v>-1.460329E-2</v>
      </c>
      <c r="O3510">
        <v>1.086082E-2</v>
      </c>
      <c r="P3510">
        <v>-0.98130019999999996</v>
      </c>
      <c r="Q3510">
        <v>0.1852625</v>
      </c>
      <c r="R3510">
        <v>-5.2232559999999997E-2</v>
      </c>
      <c r="S3510">
        <v>-3.0774539999999999</v>
      </c>
      <c r="T3510">
        <v>-1.8927340000000001E-2</v>
      </c>
      <c r="U3510">
        <v>0.29833979999999999</v>
      </c>
      <c r="V3510">
        <v>-6.2852900000000003E-2</v>
      </c>
      <c r="W3510">
        <v>0.19957510000000001</v>
      </c>
      <c r="X3510">
        <v>0.97786470000000003</v>
      </c>
      <c r="Y3510">
        <v>8.5669319999999993E-2</v>
      </c>
      <c r="Z3510">
        <v>9.8150720000000002E-4</v>
      </c>
      <c r="AA3510">
        <v>0.99632319999999996</v>
      </c>
      <c r="AB3510">
        <v>34</v>
      </c>
      <c r="AC3510">
        <v>-180.18260000000001</v>
      </c>
      <c r="AD3510">
        <v>-1.1103799662389999</v>
      </c>
      <c r="AE3510">
        <v>17.4983</v>
      </c>
      <c r="AF3510">
        <v>15.5395436523306</v>
      </c>
      <c r="AG3510">
        <v>-1.1103799662389999</v>
      </c>
      <c r="AH3510">
        <v>180.35525132509599</v>
      </c>
      <c r="AI3510">
        <v>90.351442221057994</v>
      </c>
      <c r="AJ3510">
        <v>85.075514582598501</v>
      </c>
      <c r="AK3510">
        <v>181.02686828515399</v>
      </c>
      <c r="AL3510">
        <v>78.487887317576906</v>
      </c>
      <c r="AM3510">
        <v>93.677665083710195</v>
      </c>
      <c r="AN3510">
        <v>1.0000000395422499</v>
      </c>
    </row>
    <row r="3511" spans="1:40" x14ac:dyDescent="0.25">
      <c r="A3511" t="str">
        <f>"20190304155442161"</f>
        <v>20190304155442161</v>
      </c>
      <c r="B3511" t="str">
        <f>"1551686082150764"</f>
        <v>1551686082150764</v>
      </c>
      <c r="C3511" t="s">
        <v>40</v>
      </c>
      <c r="D3511">
        <v>4.3724150000000002</v>
      </c>
      <c r="E3511">
        <v>0.55741949999999996</v>
      </c>
      <c r="F3511" t="s">
        <v>46</v>
      </c>
      <c r="G3511">
        <v>-498.01510000000002</v>
      </c>
      <c r="H3511" s="1">
        <v>-2.4803330000000001E-6</v>
      </c>
      <c r="I3511">
        <v>160.3272</v>
      </c>
      <c r="J3511">
        <v>-317.36770000000001</v>
      </c>
      <c r="K3511">
        <v>1.110379</v>
      </c>
      <c r="L3511">
        <v>142.20079999999999</v>
      </c>
      <c r="M3511">
        <v>-0.99983379999999999</v>
      </c>
      <c r="N3511">
        <v>-1.459947E-2</v>
      </c>
      <c r="O3511">
        <v>1.092021E-2</v>
      </c>
      <c r="P3511">
        <v>-0.98135899999999998</v>
      </c>
      <c r="Q3511">
        <v>0.18506239999999999</v>
      </c>
      <c r="R3511">
        <v>-5.1833070000000002E-2</v>
      </c>
      <c r="S3511">
        <v>-3.0771480000000002</v>
      </c>
      <c r="T3511">
        <v>-1.8878220000000001E-2</v>
      </c>
      <c r="U3511">
        <v>0.30824279999999998</v>
      </c>
      <c r="V3511">
        <v>-6.2512349999999994E-2</v>
      </c>
      <c r="W3511">
        <v>0.1993723</v>
      </c>
      <c r="X3511">
        <v>0.97792789999999996</v>
      </c>
      <c r="Y3511">
        <v>8.879455E-2</v>
      </c>
      <c r="Z3511">
        <v>1.013793E-3</v>
      </c>
      <c r="AA3511">
        <v>0.99604950000000003</v>
      </c>
      <c r="AB3511">
        <v>34</v>
      </c>
      <c r="AC3511">
        <v>-180.6474</v>
      </c>
      <c r="AD3511">
        <v>-1.1103814803329899</v>
      </c>
      <c r="AE3511">
        <v>18.1264</v>
      </c>
      <c r="AF3511">
        <v>16.151796992448201</v>
      </c>
      <c r="AG3511">
        <v>-1.1103814803329899</v>
      </c>
      <c r="AH3511">
        <v>180.82782750981499</v>
      </c>
      <c r="AI3511">
        <v>90.350427812585806</v>
      </c>
      <c r="AJ3511">
        <v>84.895805567271296</v>
      </c>
      <c r="AK3511">
        <v>181.55114071532699</v>
      </c>
      <c r="AL3511">
        <v>78.499745244514102</v>
      </c>
      <c r="AM3511">
        <v>93.657557229895602</v>
      </c>
      <c r="AN3511">
        <v>1.00000004275411</v>
      </c>
    </row>
    <row r="3512" spans="1:40" x14ac:dyDescent="0.25">
      <c r="A3512" t="str">
        <f>"20190304155442183"</f>
        <v>20190304155442183</v>
      </c>
      <c r="B3512" t="str">
        <f>"1551686082181019"</f>
        <v>1551686082181019</v>
      </c>
      <c r="C3512" t="s">
        <v>40</v>
      </c>
      <c r="D3512">
        <v>4.5899760000000001</v>
      </c>
      <c r="E3512">
        <v>0.55823619999999996</v>
      </c>
      <c r="F3512" t="s">
        <v>79</v>
      </c>
      <c r="G3512">
        <v>-511.92520000000002</v>
      </c>
      <c r="H3512">
        <v>8.0031569999999996E-2</v>
      </c>
      <c r="I3512">
        <v>162.20840000000001</v>
      </c>
      <c r="J3512">
        <v>-317.71010000000001</v>
      </c>
      <c r="K3512">
        <v>1.1103749999999999</v>
      </c>
      <c r="L3512">
        <v>142.2046</v>
      </c>
      <c r="M3512">
        <v>-0.99983319999999998</v>
      </c>
      <c r="N3512">
        <v>-1.459571E-2</v>
      </c>
      <c r="O3512">
        <v>1.0979600000000001E-2</v>
      </c>
      <c r="P3512">
        <v>-0.9813868</v>
      </c>
      <c r="Q3512">
        <v>0.1850782</v>
      </c>
      <c r="R3512">
        <v>-5.1246970000000003E-2</v>
      </c>
      <c r="S3512">
        <v>-3.0767820000000001</v>
      </c>
      <c r="T3512">
        <v>-1.6293410000000001E-2</v>
      </c>
      <c r="U3512">
        <v>0.31640629999999997</v>
      </c>
      <c r="V3512">
        <v>-6.1985239999999997E-2</v>
      </c>
      <c r="W3512">
        <v>0.1993839</v>
      </c>
      <c r="X3512">
        <v>0.97795900000000002</v>
      </c>
      <c r="Y3512">
        <v>9.1363570000000005E-2</v>
      </c>
      <c r="Z3512">
        <v>1.011727E-3</v>
      </c>
      <c r="AA3512">
        <v>0.99581710000000001</v>
      </c>
      <c r="AB3512">
        <v>34</v>
      </c>
      <c r="AC3512">
        <v>-194.21510000000001</v>
      </c>
      <c r="AD3512">
        <v>-1.0303434299999901</v>
      </c>
      <c r="AE3512">
        <v>20.003799999999998</v>
      </c>
      <c r="AF3512">
        <v>17.8694650373724</v>
      </c>
      <c r="AG3512">
        <v>-1.0303434299999901</v>
      </c>
      <c r="AH3512">
        <v>194.41763339587399</v>
      </c>
      <c r="AI3512">
        <v>90.302369658105505</v>
      </c>
      <c r="AJ3512">
        <v>84.748540531111402</v>
      </c>
      <c r="AK3512">
        <v>195.23984112767101</v>
      </c>
      <c r="AL3512">
        <v>78.499066003561694</v>
      </c>
      <c r="AM3512">
        <v>93.626684001844396</v>
      </c>
      <c r="AN3512">
        <v>0.99999995761903204</v>
      </c>
    </row>
    <row r="3513" spans="1:40" x14ac:dyDescent="0.25">
      <c r="A3513" t="str">
        <f>"20190304155442205"</f>
        <v>20190304155442205</v>
      </c>
      <c r="B3513" t="str">
        <f>"1551686082200540"</f>
        <v>1551686082200540</v>
      </c>
      <c r="C3513" t="s">
        <v>40</v>
      </c>
      <c r="D3513">
        <v>4.3714060000000003</v>
      </c>
      <c r="E3513">
        <v>0.55886610000000003</v>
      </c>
      <c r="F3513" t="s">
        <v>79</v>
      </c>
      <c r="G3513">
        <v>-511.92529999999999</v>
      </c>
      <c r="H3513">
        <v>0.19863210000000001</v>
      </c>
      <c r="I3513">
        <v>162.68969999999999</v>
      </c>
      <c r="J3513">
        <v>-318.03149999999999</v>
      </c>
      <c r="K3513">
        <v>1.1103689999999999</v>
      </c>
      <c r="L3513">
        <v>142.2081</v>
      </c>
      <c r="M3513">
        <v>-0.99983270000000002</v>
      </c>
      <c r="N3513">
        <v>-1.459219E-2</v>
      </c>
      <c r="O3513">
        <v>1.103493E-2</v>
      </c>
      <c r="P3513">
        <v>-0.98149730000000002</v>
      </c>
      <c r="Q3513">
        <v>0.18458150000000001</v>
      </c>
      <c r="R3513">
        <v>-5.0922120000000001E-2</v>
      </c>
      <c r="S3513">
        <v>-3.0765989999999999</v>
      </c>
      <c r="T3513">
        <v>-1.444232E-2</v>
      </c>
      <c r="U3513">
        <v>0.32450869999999998</v>
      </c>
      <c r="V3513">
        <v>-6.1716010000000002E-2</v>
      </c>
      <c r="W3513">
        <v>0.1988858</v>
      </c>
      <c r="X3513">
        <v>0.97807750000000004</v>
      </c>
      <c r="Y3513">
        <v>9.3909210000000007E-2</v>
      </c>
      <c r="Z3513">
        <v>1.01589E-3</v>
      </c>
      <c r="AA3513">
        <v>0.99558029999999997</v>
      </c>
      <c r="AB3513">
        <v>34</v>
      </c>
      <c r="AC3513">
        <v>-193.8938</v>
      </c>
      <c r="AD3513">
        <v>-0.91173689999999996</v>
      </c>
      <c r="AE3513">
        <v>20.481599999999901</v>
      </c>
      <c r="AF3513">
        <v>18.340119428449398</v>
      </c>
      <c r="AG3513">
        <v>-0.91173689999999996</v>
      </c>
      <c r="AH3513">
        <v>194.10378451367399</v>
      </c>
      <c r="AI3513">
        <v>90.267932247613203</v>
      </c>
      <c r="AJ3513">
        <v>84.602366976663106</v>
      </c>
      <c r="AK3513">
        <v>194.97043470063701</v>
      </c>
      <c r="AL3513">
        <v>78.528188919759302</v>
      </c>
      <c r="AM3513">
        <v>93.610537104055794</v>
      </c>
      <c r="AN3513">
        <v>1.0000000116690999</v>
      </c>
    </row>
    <row r="3514" spans="1:40" x14ac:dyDescent="0.25">
      <c r="A3514" t="str">
        <f>"20190304155442227"</f>
        <v>20190304155442227</v>
      </c>
      <c r="B3514" t="str">
        <f>"1551686082221036"</f>
        <v>1551686082221036</v>
      </c>
      <c r="C3514" t="s">
        <v>40</v>
      </c>
      <c r="D3514">
        <v>4.6484040000000002</v>
      </c>
      <c r="E3514">
        <v>0.55940970000000001</v>
      </c>
      <c r="F3514" t="s">
        <v>79</v>
      </c>
      <c r="G3514">
        <v>-511.92529999999999</v>
      </c>
      <c r="H3514">
        <v>0.21492639999999999</v>
      </c>
      <c r="I3514">
        <v>163.0472</v>
      </c>
      <c r="J3514">
        <v>-318.36669999999998</v>
      </c>
      <c r="K3514">
        <v>1.1103689999999999</v>
      </c>
      <c r="L3514">
        <v>142.21190000000001</v>
      </c>
      <c r="M3514">
        <v>-0.9998321</v>
      </c>
      <c r="N3514">
        <v>-1.4588530000000001E-2</v>
      </c>
      <c r="O3514">
        <v>1.1092950000000001E-2</v>
      </c>
      <c r="P3514">
        <v>-0.98160639999999999</v>
      </c>
      <c r="Q3514">
        <v>0.18400230000000001</v>
      </c>
      <c r="R3514">
        <v>-5.0916500000000003E-2</v>
      </c>
      <c r="S3514">
        <v>-3.076416</v>
      </c>
      <c r="T3514">
        <v>-1.4206770000000001E-2</v>
      </c>
      <c r="U3514">
        <v>0.33064270000000001</v>
      </c>
      <c r="V3514">
        <v>-6.1768209999999997E-2</v>
      </c>
      <c r="W3514">
        <v>0.19830439999999999</v>
      </c>
      <c r="X3514">
        <v>0.97819219999999896</v>
      </c>
      <c r="Y3514">
        <v>9.5820290000000002E-2</v>
      </c>
      <c r="Z3514">
        <v>1.0319400000000001E-3</v>
      </c>
      <c r="AA3514">
        <v>0.99539809999999995</v>
      </c>
      <c r="AB3514">
        <v>34</v>
      </c>
      <c r="AC3514">
        <v>-193.55860000000001</v>
      </c>
      <c r="AD3514">
        <v>-0.89544259999999998</v>
      </c>
      <c r="AE3514">
        <v>20.835299999999901</v>
      </c>
      <c r="AF3514">
        <v>18.686258144298101</v>
      </c>
      <c r="AG3514">
        <v>-0.89544259999999998</v>
      </c>
      <c r="AH3514">
        <v>193.77373798480701</v>
      </c>
      <c r="AI3514">
        <v>90.263543553249093</v>
      </c>
      <c r="AJ3514">
        <v>84.491805998655707</v>
      </c>
      <c r="AK3514">
        <v>194.67470198639001</v>
      </c>
      <c r="AL3514">
        <v>78.562177128642702</v>
      </c>
      <c r="AM3514">
        <v>93.613160247301195</v>
      </c>
      <c r="AN3514">
        <v>0.99999996348340103</v>
      </c>
    </row>
    <row r="3515" spans="1:40" x14ac:dyDescent="0.25">
      <c r="A3515" t="str">
        <f>"20190304155442250"</f>
        <v>20190304155442250</v>
      </c>
      <c r="B3515" t="str">
        <f>"1551686082240556"</f>
        <v>1551686082240556</v>
      </c>
      <c r="C3515" t="s">
        <v>40</v>
      </c>
      <c r="D3515">
        <v>4.3156720000000002</v>
      </c>
      <c r="E3515">
        <v>0.55972949999999999</v>
      </c>
      <c r="F3515" t="s">
        <v>79</v>
      </c>
      <c r="G3515">
        <v>-511.92520000000002</v>
      </c>
      <c r="H3515">
        <v>0.15125439999999901</v>
      </c>
      <c r="I3515">
        <v>163.2739</v>
      </c>
      <c r="J3515">
        <v>-318.71140000000003</v>
      </c>
      <c r="K3515">
        <v>1.110368</v>
      </c>
      <c r="L3515">
        <v>142.2158</v>
      </c>
      <c r="M3515">
        <v>-0.99983149999999998</v>
      </c>
      <c r="N3515">
        <v>-1.458475E-2</v>
      </c>
      <c r="O3515">
        <v>1.1151799999999899E-2</v>
      </c>
      <c r="P3515">
        <v>-0.98170060000000003</v>
      </c>
      <c r="Q3515">
        <v>0.1835051</v>
      </c>
      <c r="R3515">
        <v>-5.0891749999999999E-2</v>
      </c>
      <c r="S3515">
        <v>-3.0764469999999999</v>
      </c>
      <c r="T3515">
        <v>-1.524353E-2</v>
      </c>
      <c r="U3515">
        <v>0.33476260000000002</v>
      </c>
      <c r="V3515">
        <v>-6.1802549999999998E-2</v>
      </c>
      <c r="W3515">
        <v>0.19780529999999999</v>
      </c>
      <c r="X3515">
        <v>0.97829109999999997</v>
      </c>
      <c r="Y3515">
        <v>9.707768E-2</v>
      </c>
      <c r="Z3515">
        <v>1.0569830000000001E-3</v>
      </c>
      <c r="AA3515">
        <v>0.9952763</v>
      </c>
      <c r="AB3515">
        <v>34</v>
      </c>
      <c r="AC3515">
        <v>-193.21379999999999</v>
      </c>
      <c r="AD3515">
        <v>-0.95911360000000001</v>
      </c>
      <c r="AE3515">
        <v>21.0581</v>
      </c>
      <c r="AF3515">
        <v>18.901419228424</v>
      </c>
      <c r="AG3515">
        <v>-0.95911360000000001</v>
      </c>
      <c r="AH3515">
        <v>193.43193300644</v>
      </c>
      <c r="AI3515">
        <v>90.282746607653493</v>
      </c>
      <c r="AJ3515">
        <v>84.418996652512703</v>
      </c>
      <c r="AK3515">
        <v>194.35559228989101</v>
      </c>
      <c r="AL3515">
        <v>78.591351606485901</v>
      </c>
      <c r="AM3515">
        <v>93.614799151295799</v>
      </c>
      <c r="AN3515">
        <v>0.99999998411690105</v>
      </c>
    </row>
    <row r="3516" spans="1:40" x14ac:dyDescent="0.25">
      <c r="A3516" t="str">
        <f>"20190304155442272"</f>
        <v>20190304155442272</v>
      </c>
      <c r="B3516" t="str">
        <f>"1551686082261052"</f>
        <v>1551686082261052</v>
      </c>
      <c r="C3516" t="s">
        <v>40</v>
      </c>
      <c r="D3516">
        <v>4.3350960000000001</v>
      </c>
      <c r="E3516">
        <v>0.56010389999999999</v>
      </c>
      <c r="F3516" t="s">
        <v>79</v>
      </c>
      <c r="G3516">
        <v>-511.92520000000002</v>
      </c>
      <c r="H3516">
        <v>0.1101861</v>
      </c>
      <c r="I3516">
        <v>163.4111</v>
      </c>
      <c r="J3516">
        <v>-319.04340000000002</v>
      </c>
      <c r="K3516">
        <v>1.110365</v>
      </c>
      <c r="L3516">
        <v>142.21950000000001</v>
      </c>
      <c r="M3516">
        <v>-0.99983100000000003</v>
      </c>
      <c r="N3516">
        <v>-1.4581139999999999E-2</v>
      </c>
      <c r="O3516">
        <v>1.120561E-2</v>
      </c>
      <c r="P3516">
        <v>-0.98185540000000004</v>
      </c>
      <c r="Q3516">
        <v>0.18263689999999999</v>
      </c>
      <c r="R3516">
        <v>-5.1026750000000003E-2</v>
      </c>
      <c r="S3516">
        <v>-3.076416</v>
      </c>
      <c r="T3516">
        <v>-1.592445E-2</v>
      </c>
      <c r="U3516">
        <v>0.33747860000000002</v>
      </c>
      <c r="V3516">
        <v>-6.1993689999999997E-2</v>
      </c>
      <c r="W3516">
        <v>0.19693579999999999</v>
      </c>
      <c r="X3516">
        <v>0.97845439999999995</v>
      </c>
      <c r="Y3516">
        <v>9.7893149999999998E-2</v>
      </c>
      <c r="Z3516">
        <v>1.0736109999999999E-3</v>
      </c>
      <c r="AA3516">
        <v>0.99519630000000003</v>
      </c>
      <c r="AB3516">
        <v>34</v>
      </c>
      <c r="AC3516">
        <v>-192.8818</v>
      </c>
      <c r="AD3516">
        <v>-1.0001789000000001</v>
      </c>
      <c r="AE3516">
        <v>21.191599999999902</v>
      </c>
      <c r="AF3516">
        <v>19.028175856554402</v>
      </c>
      <c r="AG3516">
        <v>-1.0001789000000001</v>
      </c>
      <c r="AH3516">
        <v>193.102047035856</v>
      </c>
      <c r="AI3516">
        <v>90.295332513551401</v>
      </c>
      <c r="AJ3516">
        <v>84.372271725388003</v>
      </c>
      <c r="AK3516">
        <v>194.039873231504</v>
      </c>
      <c r="AL3516">
        <v>78.642169775360401</v>
      </c>
      <c r="AM3516">
        <v>93.625345509300104</v>
      </c>
      <c r="AN3516">
        <v>0.99999996990040696</v>
      </c>
    </row>
    <row r="3517" spans="1:40" x14ac:dyDescent="0.25">
      <c r="A3517" t="str">
        <f>"20190304155442294"</f>
        <v>20190304155442294</v>
      </c>
      <c r="B3517" t="str">
        <f>"1551686082290333"</f>
        <v>1551686082290333</v>
      </c>
      <c r="C3517" t="s">
        <v>40</v>
      </c>
      <c r="D3517">
        <v>4.5321999999999996</v>
      </c>
      <c r="E3517">
        <v>0.55969259999999998</v>
      </c>
      <c r="F3517" t="s">
        <v>46</v>
      </c>
      <c r="G3517">
        <v>-500.29289999999997</v>
      </c>
      <c r="H3517">
        <v>7.9985920000000002E-2</v>
      </c>
      <c r="I3517">
        <v>162.26830000000001</v>
      </c>
      <c r="J3517">
        <v>-319.38589999999999</v>
      </c>
      <c r="K3517">
        <v>1.1103670000000001</v>
      </c>
      <c r="L3517">
        <v>142.2234</v>
      </c>
      <c r="M3517">
        <v>-0.99983049999999996</v>
      </c>
      <c r="N3517">
        <v>-1.4577349999999999E-2</v>
      </c>
      <c r="O3517">
        <v>1.125432E-2</v>
      </c>
      <c r="P3517">
        <v>-0.98186600000000002</v>
      </c>
      <c r="Q3517">
        <v>0.18259880000000001</v>
      </c>
      <c r="R3517">
        <v>-5.0962300000000002E-2</v>
      </c>
      <c r="S3517">
        <v>-3.0763850000000001</v>
      </c>
      <c r="T3517">
        <v>-1.7488839999999999E-2</v>
      </c>
      <c r="U3517">
        <v>0.34028629999999999</v>
      </c>
      <c r="V3517">
        <v>-6.197884E-2</v>
      </c>
      <c r="W3517">
        <v>0.19689280000000001</v>
      </c>
      <c r="X3517">
        <v>0.978464</v>
      </c>
      <c r="Y3517">
        <v>9.8742339999999998E-2</v>
      </c>
      <c r="Z3517">
        <v>1.1015860000000001E-3</v>
      </c>
      <c r="AA3517">
        <v>0.99511240000000001</v>
      </c>
      <c r="AB3517">
        <v>34</v>
      </c>
      <c r="AC3517">
        <v>-180.90700000000001</v>
      </c>
      <c r="AD3517">
        <v>-1.0303810799999999</v>
      </c>
      <c r="AE3517">
        <v>20.044899999999998</v>
      </c>
      <c r="AF3517">
        <v>18.006851752069402</v>
      </c>
      <c r="AG3517">
        <v>-1.0303810799999999</v>
      </c>
      <c r="AH3517">
        <v>181.11535188027401</v>
      </c>
      <c r="AI3517">
        <v>90.324358064721807</v>
      </c>
      <c r="AJ3517">
        <v>84.322197417702796</v>
      </c>
      <c r="AK3517">
        <v>182.011205923994</v>
      </c>
      <c r="AL3517">
        <v>78.644682757259503</v>
      </c>
      <c r="AM3517">
        <v>93.624443941340203</v>
      </c>
      <c r="AN3517">
        <v>0.99999997529779205</v>
      </c>
    </row>
    <row r="3518" spans="1:40" x14ac:dyDescent="0.25">
      <c r="A3518" t="str">
        <f>"20190304155442315"</f>
        <v>20190304155442315</v>
      </c>
      <c r="B3518" t="str">
        <f>"1551686082310829"</f>
        <v>1551686082310829</v>
      </c>
      <c r="C3518" t="s">
        <v>40</v>
      </c>
      <c r="D3518">
        <v>4.3007220000000004</v>
      </c>
      <c r="E3518">
        <v>0.56002890000000005</v>
      </c>
      <c r="F3518" t="s">
        <v>46</v>
      </c>
      <c r="G3518">
        <v>-499.9579</v>
      </c>
      <c r="H3518">
        <v>5.0095929999999997E-2</v>
      </c>
      <c r="I3518">
        <v>162.0188</v>
      </c>
      <c r="J3518">
        <v>-319.71319999999997</v>
      </c>
      <c r="K3518">
        <v>1.1103719999999999</v>
      </c>
      <c r="L3518">
        <v>142.22720000000001</v>
      </c>
      <c r="M3518">
        <v>-0.9998302</v>
      </c>
      <c r="N3518">
        <v>-1.457373E-2</v>
      </c>
      <c r="O3518">
        <v>1.1290619999999999E-2</v>
      </c>
      <c r="P3518">
        <v>-0.98195469999999896</v>
      </c>
      <c r="Q3518">
        <v>0.1822704</v>
      </c>
      <c r="R3518">
        <v>-5.0426680000000002E-2</v>
      </c>
      <c r="S3518">
        <v>-3.0762330000000002</v>
      </c>
      <c r="T3518">
        <v>-1.8062829999999998E-2</v>
      </c>
      <c r="U3518">
        <v>0.33723449999999999</v>
      </c>
      <c r="V3518">
        <v>-6.1483780000000002E-2</v>
      </c>
      <c r="W3518">
        <v>0.19656129999999999</v>
      </c>
      <c r="X3518">
        <v>0.97856189999999998</v>
      </c>
      <c r="Y3518">
        <v>9.7736000000000003E-2</v>
      </c>
      <c r="Z3518">
        <v>1.098464E-3</v>
      </c>
      <c r="AA3518">
        <v>0.99521179999999998</v>
      </c>
      <c r="AB3518">
        <v>34</v>
      </c>
      <c r="AC3518">
        <v>-180.24469999999999</v>
      </c>
      <c r="AD3518">
        <v>-1.06027607</v>
      </c>
      <c r="AE3518">
        <v>19.791599999999899</v>
      </c>
      <c r="AF3518">
        <v>17.7544408960167</v>
      </c>
      <c r="AG3518">
        <v>-1.06027607</v>
      </c>
      <c r="AH3518">
        <v>180.45052197689901</v>
      </c>
      <c r="AI3518">
        <v>90.335032174039995</v>
      </c>
      <c r="AJ3518">
        <v>84.380781255008202</v>
      </c>
      <c r="AK3518">
        <v>181.32494378493499</v>
      </c>
      <c r="AL3518">
        <v>78.664055110677793</v>
      </c>
      <c r="AM3518">
        <v>93.595210937934496</v>
      </c>
      <c r="AN3518">
        <v>0.99999999599619405</v>
      </c>
    </row>
    <row r="3519" spans="1:40" x14ac:dyDescent="0.25">
      <c r="A3519" t="str">
        <f>"20190304155442340"</f>
        <v>20190304155442340</v>
      </c>
      <c r="B3519" t="str">
        <f>"1551686082330348"</f>
        <v>1551686082330348</v>
      </c>
      <c r="C3519" t="s">
        <v>40</v>
      </c>
      <c r="D3519">
        <v>4.5667249999999999</v>
      </c>
      <c r="E3519">
        <v>0.55988530000000003</v>
      </c>
      <c r="F3519" t="s">
        <v>46</v>
      </c>
      <c r="G3519">
        <v>-499.95780000000002</v>
      </c>
      <c r="H3519">
        <v>3.5262880000000003E-2</v>
      </c>
      <c r="I3519">
        <v>162.2424</v>
      </c>
      <c r="J3519">
        <v>-320.06380000000001</v>
      </c>
      <c r="K3519">
        <v>1.1103889999999901</v>
      </c>
      <c r="L3519">
        <v>142.2312</v>
      </c>
      <c r="M3519">
        <v>-0.99982990000000005</v>
      </c>
      <c r="N3519">
        <v>-1.4569840000000001E-2</v>
      </c>
      <c r="O3519">
        <v>1.1318119999999999E-2</v>
      </c>
      <c r="P3519">
        <v>-0.9819175</v>
      </c>
      <c r="Q3519">
        <v>0.18247250000000001</v>
      </c>
      <c r="R3519">
        <v>-5.042232E-2</v>
      </c>
      <c r="S3519">
        <v>-3.0760800000000001</v>
      </c>
      <c r="T3519">
        <v>-1.834798E-2</v>
      </c>
      <c r="U3519">
        <v>0.34158329999999998</v>
      </c>
      <c r="V3519">
        <v>-6.1510700000000001E-2</v>
      </c>
      <c r="W3519">
        <v>0.19675770000000001</v>
      </c>
      <c r="X3519">
        <v>0.97852079999999997</v>
      </c>
      <c r="Y3519">
        <v>9.9103700000000003E-2</v>
      </c>
      <c r="Z3519">
        <v>1.1160370000000001E-3</v>
      </c>
      <c r="AA3519">
        <v>0.99507650000000003</v>
      </c>
      <c r="AB3519">
        <v>34</v>
      </c>
      <c r="AC3519">
        <v>-179.89400000000001</v>
      </c>
      <c r="AD3519">
        <v>-1.07512611999999</v>
      </c>
      <c r="AE3519">
        <v>20.011199999999999</v>
      </c>
      <c r="AF3519">
        <v>17.973006051771101</v>
      </c>
      <c r="AG3519">
        <v>-1.07512611999999</v>
      </c>
      <c r="AH3519">
        <v>180.10263391992299</v>
      </c>
      <c r="AI3519">
        <v>90.340333792086298</v>
      </c>
      <c r="AJ3519">
        <v>84.301142371511204</v>
      </c>
      <c r="AK3519">
        <v>181.000396650407</v>
      </c>
      <c r="AL3519">
        <v>78.652578800356594</v>
      </c>
      <c r="AM3519">
        <v>93.596931606329605</v>
      </c>
      <c r="AN3519">
        <v>1.0000000573782</v>
      </c>
    </row>
    <row r="3520" spans="1:40" x14ac:dyDescent="0.25">
      <c r="A3520" t="str">
        <f>"20190304155442363"</f>
        <v>20190304155442363</v>
      </c>
      <c r="B3520" t="str">
        <f>"1551686082360604"</f>
        <v>1551686082360604</v>
      </c>
      <c r="C3520" t="s">
        <v>40</v>
      </c>
      <c r="D3520">
        <v>4.5505529999999998</v>
      </c>
      <c r="E3520">
        <v>0.5597337</v>
      </c>
      <c r="F3520" t="s">
        <v>46</v>
      </c>
      <c r="G3520">
        <v>-499.96260000000001</v>
      </c>
      <c r="H3520">
        <v>5.4778060000000003E-2</v>
      </c>
      <c r="I3520">
        <v>162.13749999999999</v>
      </c>
      <c r="J3520">
        <v>-320.4255</v>
      </c>
      <c r="K3520">
        <v>1.1104000000000001</v>
      </c>
      <c r="L3520">
        <v>142.2353</v>
      </c>
      <c r="M3520">
        <v>-0.99982959999999999</v>
      </c>
      <c r="N3520">
        <v>-1.456579E-2</v>
      </c>
      <c r="O3520">
        <v>1.133519E-2</v>
      </c>
      <c r="P3520">
        <v>-0.98188189999999997</v>
      </c>
      <c r="Q3520">
        <v>0.18281810000000001</v>
      </c>
      <c r="R3520">
        <v>-4.9854179999999998E-2</v>
      </c>
      <c r="S3520">
        <v>-3.0760800000000001</v>
      </c>
      <c r="T3520">
        <v>-1.8049840000000001E-2</v>
      </c>
      <c r="U3520">
        <v>0.34037779999999901</v>
      </c>
      <c r="V3520">
        <v>-6.0964270000000001E-2</v>
      </c>
      <c r="W3520">
        <v>0.1970971</v>
      </c>
      <c r="X3520">
        <v>0.97848670000000004</v>
      </c>
      <c r="Y3520">
        <v>9.8701659999999997E-2</v>
      </c>
      <c r="Z3520">
        <v>1.1081229999999999E-3</v>
      </c>
      <c r="AA3520">
        <v>0.99511649999999996</v>
      </c>
      <c r="AB3520">
        <v>34</v>
      </c>
      <c r="AC3520">
        <v>-179.53710000000001</v>
      </c>
      <c r="AD3520">
        <v>-1.05562194</v>
      </c>
      <c r="AE3520">
        <v>19.902200000000001</v>
      </c>
      <c r="AF3520">
        <v>17.865007812573499</v>
      </c>
      <c r="AG3520">
        <v>-1.05562194</v>
      </c>
      <c r="AH3520">
        <v>179.745043814588</v>
      </c>
      <c r="AI3520">
        <v>90.334837893607698</v>
      </c>
      <c r="AJ3520">
        <v>84.323966643950001</v>
      </c>
      <c r="AK3520">
        <v>180.63375547702</v>
      </c>
      <c r="AL3520">
        <v>78.632744308696601</v>
      </c>
      <c r="AM3520">
        <v>93.565184980399493</v>
      </c>
      <c r="AN3520">
        <v>1.00000006556096</v>
      </c>
    </row>
    <row r="3521" spans="1:40" x14ac:dyDescent="0.25">
      <c r="A3521" t="str">
        <f>"20190304155442384"</f>
        <v>20190304155442384</v>
      </c>
      <c r="B3521" t="str">
        <f>"1551686082381100"</f>
        <v>1551686082381100</v>
      </c>
      <c r="C3521" t="s">
        <v>40</v>
      </c>
      <c r="D3521">
        <v>4.5063519999999997</v>
      </c>
      <c r="E3521">
        <v>0.55964329999999995</v>
      </c>
      <c r="F3521" t="s">
        <v>46</v>
      </c>
      <c r="G3521">
        <v>-503.70890000000003</v>
      </c>
      <c r="H3521">
        <v>7.9986000000000002E-2</v>
      </c>
      <c r="I3521">
        <v>162.5446</v>
      </c>
      <c r="J3521">
        <v>-320.74009999999998</v>
      </c>
      <c r="K3521">
        <v>1.110409</v>
      </c>
      <c r="L3521">
        <v>142.2388</v>
      </c>
      <c r="M3521">
        <v>-0.99982979999999999</v>
      </c>
      <c r="N3521">
        <v>-1.456228E-2</v>
      </c>
      <c r="O3521">
        <v>1.1333899999999999E-2</v>
      </c>
      <c r="P3521">
        <v>-0.98192900000000005</v>
      </c>
      <c r="Q3521">
        <v>0.18269840000000001</v>
      </c>
      <c r="R3521">
        <v>-4.9363990000000003E-2</v>
      </c>
      <c r="S3521">
        <v>-3.0758969999999999</v>
      </c>
      <c r="T3521">
        <v>-1.7292620000000002E-2</v>
      </c>
      <c r="U3521">
        <v>0.34083560000000002</v>
      </c>
      <c r="V3521">
        <v>-6.0478690000000002E-2</v>
      </c>
      <c r="W3521">
        <v>0.19697319999999999</v>
      </c>
      <c r="X3521">
        <v>0.97854169999999996</v>
      </c>
      <c r="Y3521">
        <v>9.8856050000000001E-2</v>
      </c>
      <c r="Z3521">
        <v>1.1001419999999999E-3</v>
      </c>
      <c r="AA3521">
        <v>0.99510120000000002</v>
      </c>
      <c r="AB3521">
        <v>34</v>
      </c>
      <c r="AC3521">
        <v>-182.96879999999999</v>
      </c>
      <c r="AD3521">
        <v>-1.0304230000000001</v>
      </c>
      <c r="AE3521">
        <v>20.305800000000001</v>
      </c>
      <c r="AF3521">
        <v>18.229954477440501</v>
      </c>
      <c r="AG3521">
        <v>-1.0304230000000001</v>
      </c>
      <c r="AH3521">
        <v>183.18147450958099</v>
      </c>
      <c r="AI3521">
        <v>90.320709671207595</v>
      </c>
      <c r="AJ3521">
        <v>84.316720174355197</v>
      </c>
      <c r="AK3521">
        <v>184.089232752252</v>
      </c>
      <c r="AL3521">
        <v>78.639984287446495</v>
      </c>
      <c r="AM3521">
        <v>93.536662389218606</v>
      </c>
      <c r="AN3521">
        <v>0.99999998605062201</v>
      </c>
    </row>
    <row r="3522" spans="1:40" x14ac:dyDescent="0.25">
      <c r="A3522" t="str">
        <f>"20190304155442406"</f>
        <v>20190304155442406</v>
      </c>
      <c r="B3522" t="str">
        <f>"1551686082400621"</f>
        <v>1551686082400621</v>
      </c>
      <c r="C3522" t="s">
        <v>40</v>
      </c>
      <c r="D3522">
        <v>4.5158319999999996</v>
      </c>
      <c r="E3522">
        <v>0.5595116</v>
      </c>
      <c r="F3522" t="s">
        <v>46</v>
      </c>
      <c r="G3522">
        <v>-499.95780000000002</v>
      </c>
      <c r="H3522">
        <v>4.7014239999999999E-2</v>
      </c>
      <c r="I3522">
        <v>162.1216</v>
      </c>
      <c r="J3522">
        <v>-321.06349999999998</v>
      </c>
      <c r="K3522">
        <v>1.1104179999999999</v>
      </c>
      <c r="L3522">
        <v>142.24250000000001</v>
      </c>
      <c r="M3522">
        <v>-0.99983010000000005</v>
      </c>
      <c r="N3522">
        <v>-1.4558690000000001E-2</v>
      </c>
      <c r="O3522">
        <v>1.1316069999999999E-2</v>
      </c>
      <c r="P3522">
        <v>-0.98199979999999998</v>
      </c>
      <c r="Q3522">
        <v>0.1823255</v>
      </c>
      <c r="R3522">
        <v>-4.9337760000000001E-2</v>
      </c>
      <c r="S3522">
        <v>-3.0757750000000001</v>
      </c>
      <c r="T3522">
        <v>-1.8250229999999999E-2</v>
      </c>
      <c r="U3522">
        <v>0.34123229999999999</v>
      </c>
      <c r="V3522">
        <v>-6.0440889999999997E-2</v>
      </c>
      <c r="W3522">
        <v>0.1965964</v>
      </c>
      <c r="X3522">
        <v>0.97861980000000004</v>
      </c>
      <c r="Y3522">
        <v>9.9004460000000002E-2</v>
      </c>
      <c r="Z3522">
        <v>1.1131299999999999E-3</v>
      </c>
      <c r="AA3522">
        <v>0.99508640000000004</v>
      </c>
      <c r="AB3522">
        <v>34</v>
      </c>
      <c r="AC3522">
        <v>-178.89429999999999</v>
      </c>
      <c r="AD3522">
        <v>-1.0634037599999999</v>
      </c>
      <c r="AE3522">
        <v>19.879099999999902</v>
      </c>
      <c r="AF3522">
        <v>17.852609017091801</v>
      </c>
      <c r="AG3522">
        <v>-1.0634037599999999</v>
      </c>
      <c r="AH3522">
        <v>179.10156895983499</v>
      </c>
      <c r="AI3522">
        <v>90.338508429706295</v>
      </c>
      <c r="AJ3522">
        <v>84.307635113123695</v>
      </c>
      <c r="AK3522">
        <v>179.99227339013299</v>
      </c>
      <c r="AL3522">
        <v>78.662003816081807</v>
      </c>
      <c r="AM3522">
        <v>93.534176175700296</v>
      </c>
      <c r="AN3522">
        <v>0.99999997931449502</v>
      </c>
    </row>
    <row r="3523" spans="1:40" x14ac:dyDescent="0.25">
      <c r="A3523" t="str">
        <f>"20190304155442427"</f>
        <v>20190304155442427</v>
      </c>
      <c r="B3523" t="str">
        <f>"1551686082421119"</f>
        <v>1551686082421119</v>
      </c>
      <c r="C3523" t="s">
        <v>40</v>
      </c>
      <c r="D3523">
        <v>4.4252010000000004</v>
      </c>
      <c r="E3523">
        <v>0.55946010000000002</v>
      </c>
      <c r="F3523" t="s">
        <v>46</v>
      </c>
      <c r="G3523">
        <v>-498.52229999999997</v>
      </c>
      <c r="H3523" s="1">
        <v>-3.2868669999999898E-6</v>
      </c>
      <c r="I3523">
        <v>161.90870000000001</v>
      </c>
      <c r="J3523">
        <v>-321.4033</v>
      </c>
      <c r="K3523">
        <v>1.110436</v>
      </c>
      <c r="L3523">
        <v>142.24629999999999</v>
      </c>
      <c r="M3523">
        <v>-0.99983060000000001</v>
      </c>
      <c r="N3523">
        <v>-1.4554910000000001E-2</v>
      </c>
      <c r="O3523">
        <v>1.1271079999999999E-2</v>
      </c>
      <c r="P3523">
        <v>-0.98198739999999995</v>
      </c>
      <c r="Q3523">
        <v>0.1823246</v>
      </c>
      <c r="R3523">
        <v>-4.958452E-2</v>
      </c>
      <c r="S3523">
        <v>-3.0756839999999999</v>
      </c>
      <c r="T3523">
        <v>-1.9245620000000001E-2</v>
      </c>
      <c r="U3523">
        <v>0.34085079999999901</v>
      </c>
      <c r="V3523">
        <v>-6.0652379999999999E-2</v>
      </c>
      <c r="W3523">
        <v>0.1965885</v>
      </c>
      <c r="X3523">
        <v>0.97860829999999999</v>
      </c>
      <c r="Y3523">
        <v>9.8930119999999996E-2</v>
      </c>
      <c r="Z3523">
        <v>1.12408E-3</v>
      </c>
      <c r="AA3523">
        <v>0.99509380000000003</v>
      </c>
      <c r="AB3523">
        <v>34</v>
      </c>
      <c r="AC3523">
        <v>-177.11899999999901</v>
      </c>
      <c r="AD3523">
        <v>-1.1104392868670001</v>
      </c>
      <c r="AE3523">
        <v>19.662400000000002</v>
      </c>
      <c r="AF3523">
        <v>17.663931123404101</v>
      </c>
      <c r="AG3523">
        <v>-1.1104392868670001</v>
      </c>
      <c r="AH3523">
        <v>177.32250185701801</v>
      </c>
      <c r="AI3523">
        <v>90.357029275223894</v>
      </c>
      <c r="AJ3523">
        <v>84.311264129198705</v>
      </c>
      <c r="AK3523">
        <v>178.20358358623</v>
      </c>
      <c r="AL3523">
        <v>78.662465437111294</v>
      </c>
      <c r="AM3523">
        <v>93.546552748184297</v>
      </c>
      <c r="AN3523">
        <v>0.99999997718040201</v>
      </c>
    </row>
    <row r="3524" spans="1:40" x14ac:dyDescent="0.25">
      <c r="A3524" t="str">
        <f>"20190304155442449"</f>
        <v>20190304155442449</v>
      </c>
      <c r="B3524" t="str">
        <f>"1551686082440637"</f>
        <v>1551686082440637</v>
      </c>
      <c r="C3524" t="s">
        <v>40</v>
      </c>
      <c r="D3524">
        <v>4.5170110000000001</v>
      </c>
      <c r="E3524">
        <v>0.55937320000000001</v>
      </c>
      <c r="F3524" t="s">
        <v>74</v>
      </c>
      <c r="G3524">
        <v>-477.07139999999998</v>
      </c>
      <c r="H3524">
        <v>7.9989850000000001E-2</v>
      </c>
      <c r="I3524">
        <v>159.4434</v>
      </c>
      <c r="J3524">
        <v>-321.72480000000002</v>
      </c>
      <c r="K3524">
        <v>1.1104609999999999</v>
      </c>
      <c r="L3524">
        <v>142.2499</v>
      </c>
      <c r="M3524">
        <v>-0.99983160000000004</v>
      </c>
      <c r="N3524">
        <v>-1.4551400000000001E-2</v>
      </c>
      <c r="O3524">
        <v>1.119792E-2</v>
      </c>
      <c r="P3524">
        <v>-0.9821069</v>
      </c>
      <c r="Q3524">
        <v>0.18163770000000001</v>
      </c>
      <c r="R3524">
        <v>-4.9740350000000003E-2</v>
      </c>
      <c r="S3524">
        <v>-3.0759889999999999</v>
      </c>
      <c r="T3524">
        <v>-2.0361540000000001E-2</v>
      </c>
      <c r="U3524">
        <v>0.33981319999999998</v>
      </c>
      <c r="V3524">
        <v>-6.0748679999999999E-2</v>
      </c>
      <c r="W3524">
        <v>0.1958964</v>
      </c>
      <c r="X3524">
        <v>0.97874110000000003</v>
      </c>
      <c r="Y3524">
        <v>9.8659999999999998E-2</v>
      </c>
      <c r="Z3524">
        <v>1.1342100000000001E-3</v>
      </c>
      <c r="AA3524">
        <v>0.99512049999999996</v>
      </c>
      <c r="AB3524">
        <v>34</v>
      </c>
      <c r="AC3524">
        <v>-155.346599999999</v>
      </c>
      <c r="AD3524">
        <v>-1.0304711499999999</v>
      </c>
      <c r="AE3524">
        <v>17.1935</v>
      </c>
      <c r="AF3524">
        <v>15.4520073971592</v>
      </c>
      <c r="AG3524">
        <v>-1.0304711499999999</v>
      </c>
      <c r="AH3524">
        <v>155.52264927686099</v>
      </c>
      <c r="AI3524">
        <v>90.377768268821598</v>
      </c>
      <c r="AJ3524">
        <v>84.325979162833207</v>
      </c>
      <c r="AK3524">
        <v>156.29178110664199</v>
      </c>
      <c r="AL3524">
        <v>78.702906134336004</v>
      </c>
      <c r="AM3524">
        <v>93.551688592554697</v>
      </c>
      <c r="AN3524">
        <v>0.99999997124195505</v>
      </c>
    </row>
    <row r="3525" spans="1:40" x14ac:dyDescent="0.25">
      <c r="A3525" t="str">
        <f>"20190304155442473"</f>
        <v>20190304155442473</v>
      </c>
      <c r="B3525" t="str">
        <f>"1551686082461132"</f>
        <v>1551686082461132</v>
      </c>
      <c r="C3525" t="s">
        <v>40</v>
      </c>
      <c r="D3525">
        <v>4.5327229999999998</v>
      </c>
      <c r="E3525">
        <v>0.55930380000000002</v>
      </c>
      <c r="F3525" t="s">
        <v>47</v>
      </c>
      <c r="G3525">
        <v>-481.02589999999998</v>
      </c>
      <c r="H3525">
        <v>-0.05</v>
      </c>
      <c r="I3525">
        <v>159.7954</v>
      </c>
      <c r="J3525">
        <v>-322.07190000000003</v>
      </c>
      <c r="K3525">
        <v>1.1104860000000001</v>
      </c>
      <c r="L3525">
        <v>142.25360000000001</v>
      </c>
      <c r="M3525">
        <v>-0.99983290000000002</v>
      </c>
      <c r="N3525">
        <v>-1.4547600000000001E-2</v>
      </c>
      <c r="O3525">
        <v>1.108171E-2</v>
      </c>
      <c r="P3525">
        <v>-0.98214690000000004</v>
      </c>
      <c r="Q3525">
        <v>0.18120910000000001</v>
      </c>
      <c r="R3525">
        <v>-5.0507129999999997E-2</v>
      </c>
      <c r="S3525">
        <v>-3.0759889999999999</v>
      </c>
      <c r="T3525">
        <v>-2.2407650000000001E-2</v>
      </c>
      <c r="U3525">
        <v>0.33879090000000001</v>
      </c>
      <c r="V3525">
        <v>-6.1416369999999998E-2</v>
      </c>
      <c r="W3525">
        <v>0.1954602</v>
      </c>
      <c r="X3525">
        <v>0.97878670000000001</v>
      </c>
      <c r="Y3525">
        <v>9.8447930000000003E-2</v>
      </c>
      <c r="Z3525">
        <v>1.156107E-3</v>
      </c>
      <c r="AA3525">
        <v>0.99514150000000001</v>
      </c>
      <c r="AB3525">
        <v>34</v>
      </c>
      <c r="AC3525">
        <v>-158.95399999999901</v>
      </c>
      <c r="AD3525">
        <v>-1.1604859999999999</v>
      </c>
      <c r="AE3525">
        <v>17.541799999999899</v>
      </c>
      <c r="AF3525">
        <v>15.778223434932601</v>
      </c>
      <c r="AG3525">
        <v>-1.1604859999999999</v>
      </c>
      <c r="AH3525">
        <v>159.13027143100501</v>
      </c>
      <c r="AI3525">
        <v>90.415793502414701</v>
      </c>
      <c r="AJ3525">
        <v>84.337467178243301</v>
      </c>
      <c r="AK3525">
        <v>159.91479715218401</v>
      </c>
      <c r="AL3525">
        <v>78.728391924596707</v>
      </c>
      <c r="AM3525">
        <v>93.590456859145107</v>
      </c>
      <c r="AN3525">
        <v>1.00000003219245</v>
      </c>
    </row>
    <row r="3526" spans="1:40" x14ac:dyDescent="0.25">
      <c r="A3526" t="str">
        <f>"20190304155442494"</f>
        <v>20190304155442494</v>
      </c>
      <c r="B3526" t="str">
        <f>"1551686082490412"</f>
        <v>1551686082490412</v>
      </c>
      <c r="C3526" t="s">
        <v>40</v>
      </c>
      <c r="D3526">
        <v>4.3120010000000004</v>
      </c>
      <c r="E3526">
        <v>0.5595909</v>
      </c>
      <c r="F3526" t="s">
        <v>47</v>
      </c>
      <c r="G3526">
        <v>-473.21800000000002</v>
      </c>
      <c r="H3526">
        <v>-0.05</v>
      </c>
      <c r="I3526">
        <v>158.77250000000001</v>
      </c>
      <c r="J3526">
        <v>-322.39260000000002</v>
      </c>
      <c r="K3526">
        <v>1.1105149999999999</v>
      </c>
      <c r="L3526">
        <v>142.25700000000001</v>
      </c>
      <c r="M3526">
        <v>-0.99983440000000001</v>
      </c>
      <c r="N3526">
        <v>-1.4544120000000001E-2</v>
      </c>
      <c r="O3526">
        <v>1.0941080000000001E-2</v>
      </c>
      <c r="P3526">
        <v>-0.98221689999999995</v>
      </c>
      <c r="Q3526">
        <v>0.18053559999999999</v>
      </c>
      <c r="R3526">
        <v>-5.154384E-2</v>
      </c>
      <c r="S3526">
        <v>-3.0761720000000001</v>
      </c>
      <c r="T3526">
        <v>-2.361858E-2</v>
      </c>
      <c r="U3526">
        <v>0.33619690000000002</v>
      </c>
      <c r="V3526">
        <v>-6.2329910000000002E-2</v>
      </c>
      <c r="W3526">
        <v>0.1947797</v>
      </c>
      <c r="X3526">
        <v>0.97886459999999997</v>
      </c>
      <c r="Y3526">
        <v>9.7751710000000006E-2</v>
      </c>
      <c r="Z3526">
        <v>1.162132E-3</v>
      </c>
      <c r="AA3526">
        <v>0.99521020000000004</v>
      </c>
      <c r="AB3526">
        <v>33</v>
      </c>
      <c r="AC3526">
        <v>-150.8254</v>
      </c>
      <c r="AD3526">
        <v>-1.160515</v>
      </c>
      <c r="AE3526">
        <v>16.515499999999999</v>
      </c>
      <c r="AF3526">
        <v>14.8632744323794</v>
      </c>
      <c r="AG3526">
        <v>-1.160515</v>
      </c>
      <c r="AH3526">
        <v>150.98825366491999</v>
      </c>
      <c r="AI3526">
        <v>90.438255767793805</v>
      </c>
      <c r="AJ3526">
        <v>84.3779203940706</v>
      </c>
      <c r="AK3526">
        <v>151.72249822191799</v>
      </c>
      <c r="AL3526">
        <v>78.768145738806595</v>
      </c>
      <c r="AM3526">
        <v>93.643431216693401</v>
      </c>
      <c r="AN3526">
        <v>1.0000000271729199</v>
      </c>
    </row>
    <row r="3527" spans="1:40" x14ac:dyDescent="0.25">
      <c r="A3527" t="str">
        <f>"20190304155442517"</f>
        <v>20190304155442517</v>
      </c>
      <c r="B3527" t="str">
        <f>"1551686082510908"</f>
        <v>1551686082510908</v>
      </c>
      <c r="C3527" t="s">
        <v>40</v>
      </c>
      <c r="D3527">
        <v>4.5617400000000004</v>
      </c>
      <c r="E3527">
        <v>0.55949769999999999</v>
      </c>
      <c r="F3527" t="s">
        <v>47</v>
      </c>
      <c r="G3527">
        <v>-467.33390000000003</v>
      </c>
      <c r="H3527">
        <v>-0.05</v>
      </c>
      <c r="I3527">
        <v>158.06720000000001</v>
      </c>
      <c r="J3527">
        <v>-322.73439999999999</v>
      </c>
      <c r="K3527">
        <v>1.110552</v>
      </c>
      <c r="L3527">
        <v>142.26060000000001</v>
      </c>
      <c r="M3527">
        <v>-0.99983639999999996</v>
      </c>
      <c r="N3527">
        <v>-1.454042E-2</v>
      </c>
      <c r="O3527">
        <v>1.076156E-2</v>
      </c>
      <c r="P3527">
        <v>-0.98222169999999998</v>
      </c>
      <c r="Q3527">
        <v>0.1803052</v>
      </c>
      <c r="R3527">
        <v>-5.2254040000000002E-2</v>
      </c>
      <c r="S3527">
        <v>-3.0763850000000001</v>
      </c>
      <c r="T3527">
        <v>-2.4631980000000001E-2</v>
      </c>
      <c r="U3527">
        <v>0.33557130000000002</v>
      </c>
      <c r="V3527">
        <v>-6.2877189999999999E-2</v>
      </c>
      <c r="W3527">
        <v>0.1945412</v>
      </c>
      <c r="X3527">
        <v>0.978877</v>
      </c>
      <c r="Y3527">
        <v>9.7722459999999997E-2</v>
      </c>
      <c r="Z3527">
        <v>1.1728470000000001E-3</v>
      </c>
      <c r="AA3527">
        <v>0.99521300000000001</v>
      </c>
      <c r="AB3527">
        <v>33</v>
      </c>
      <c r="AC3527">
        <v>-144.59950000000001</v>
      </c>
      <c r="AD3527">
        <v>-1.160552</v>
      </c>
      <c r="AE3527">
        <v>15.8066</v>
      </c>
      <c r="AF3527">
        <v>14.2484968191559</v>
      </c>
      <c r="AG3527">
        <v>-1.160552</v>
      </c>
      <c r="AH3527">
        <v>144.75203223963001</v>
      </c>
      <c r="AI3527">
        <v>90.4571508078335</v>
      </c>
      <c r="AJ3527">
        <v>84.378267081700997</v>
      </c>
      <c r="AK3527">
        <v>145.45623871134899</v>
      </c>
      <c r="AL3527">
        <v>78.782076977609805</v>
      </c>
      <c r="AM3527">
        <v>93.675288175362198</v>
      </c>
      <c r="AN3527">
        <v>1.0000000003243601</v>
      </c>
    </row>
    <row r="3528" spans="1:40" x14ac:dyDescent="0.25">
      <c r="A3528" t="str">
        <f>"20190304155442541"</f>
        <v>20190304155442541</v>
      </c>
      <c r="B3528" t="str">
        <f>"1551686082530428"</f>
        <v>1551686082530428</v>
      </c>
      <c r="C3528" t="s">
        <v>40</v>
      </c>
      <c r="D3528">
        <v>4.4129310000000004</v>
      </c>
      <c r="E3528">
        <v>0.50554160000000004</v>
      </c>
      <c r="F3528" t="s">
        <v>47</v>
      </c>
      <c r="G3528">
        <v>-465.79939999999999</v>
      </c>
      <c r="H3528">
        <v>-0.05</v>
      </c>
      <c r="I3528">
        <v>157.74369999999999</v>
      </c>
      <c r="J3528">
        <v>-323.08629999999999</v>
      </c>
      <c r="K3528">
        <v>1.1105769999999999</v>
      </c>
      <c r="L3528">
        <v>142.26419999999999</v>
      </c>
      <c r="M3528">
        <v>-0.99983880000000003</v>
      </c>
      <c r="N3528">
        <v>-1.453659E-2</v>
      </c>
      <c r="O3528">
        <v>1.0551929999999999E-2</v>
      </c>
      <c r="P3528">
        <v>-0.98215810000000003</v>
      </c>
      <c r="Q3528">
        <v>0.18033089999999999</v>
      </c>
      <c r="R3528">
        <v>-5.3350399999999999E-2</v>
      </c>
      <c r="S3528">
        <v>-3.0765989999999999</v>
      </c>
      <c r="T3528">
        <v>-2.495754E-2</v>
      </c>
      <c r="U3528">
        <v>0.33296199999999998</v>
      </c>
      <c r="V3528">
        <v>-6.3777310000000004E-2</v>
      </c>
      <c r="W3528">
        <v>0.19455890000000001</v>
      </c>
      <c r="X3528">
        <v>0.97881530000000005</v>
      </c>
      <c r="Y3528">
        <v>9.7089339999999996E-2</v>
      </c>
      <c r="Z3528">
        <v>1.1680849999999999E-3</v>
      </c>
      <c r="AA3528">
        <v>0.99527500000000002</v>
      </c>
      <c r="AB3528">
        <v>33</v>
      </c>
      <c r="AC3528">
        <v>-142.7131</v>
      </c>
      <c r="AD3528">
        <v>-1.160577</v>
      </c>
      <c r="AE3528">
        <v>15.4795</v>
      </c>
      <c r="AF3528">
        <v>13.971667215107599</v>
      </c>
      <c r="AG3528">
        <v>-1.160577</v>
      </c>
      <c r="AH3528">
        <v>142.85917098053801</v>
      </c>
      <c r="AI3528">
        <v>90.463246218270001</v>
      </c>
      <c r="AJ3528">
        <v>84.414220536624299</v>
      </c>
      <c r="AK3528">
        <v>143.54545327870599</v>
      </c>
      <c r="AL3528">
        <v>78.781043665269394</v>
      </c>
      <c r="AM3528">
        <v>93.727988865492094</v>
      </c>
      <c r="AN3528">
        <v>1.0000000511770599</v>
      </c>
    </row>
    <row r="3529" spans="1:40" x14ac:dyDescent="0.25">
      <c r="A3529" t="str">
        <f>"20190304155442564"</f>
        <v>20190304155442564</v>
      </c>
      <c r="B3529" t="str">
        <f>"1551686082560684"</f>
        <v>1551686082560684</v>
      </c>
      <c r="C3529" t="s">
        <v>40</v>
      </c>
      <c r="D3529">
        <v>4.3739980000000003</v>
      </c>
      <c r="E3529">
        <v>0.49853429999999999</v>
      </c>
      <c r="F3529" t="s">
        <v>67</v>
      </c>
      <c r="G3529">
        <v>-658.02610000000004</v>
      </c>
      <c r="H3529">
        <v>-0.1</v>
      </c>
      <c r="I3529">
        <v>131.25229999999999</v>
      </c>
      <c r="J3529">
        <v>-323.4196</v>
      </c>
      <c r="K3529">
        <v>1.1105910000000001</v>
      </c>
      <c r="L3529">
        <v>142.26750000000001</v>
      </c>
      <c r="M3529">
        <v>-0.99984110000000004</v>
      </c>
      <c r="N3529">
        <v>-1.4532979999999999E-2</v>
      </c>
      <c r="O3529">
        <v>1.033589E-2</v>
      </c>
      <c r="P3529">
        <v>-0.98210010000000003</v>
      </c>
      <c r="Q3529">
        <v>0.18048130000000001</v>
      </c>
      <c r="R3529">
        <v>-5.3910859999999998E-2</v>
      </c>
      <c r="S3529">
        <v>-3.0510860000000002</v>
      </c>
      <c r="T3529">
        <v>-1.102757E-2</v>
      </c>
      <c r="U3529">
        <v>-0.10031130000000001</v>
      </c>
      <c r="V3529">
        <v>-6.4131569999999999E-2</v>
      </c>
      <c r="W3529">
        <v>0.1947025</v>
      </c>
      <c r="X3529">
        <v>0.97876350000000001</v>
      </c>
      <c r="Y3529">
        <v>-4.3187089999999997E-2</v>
      </c>
      <c r="Z3529">
        <v>-2.7912169999999998E-4</v>
      </c>
      <c r="AA3529">
        <v>0.99906689999999998</v>
      </c>
      <c r="AB3529">
        <v>33</v>
      </c>
      <c r="AC3529">
        <v>-334.60649999999998</v>
      </c>
      <c r="AD3529">
        <v>-1.210591</v>
      </c>
      <c r="AE3529">
        <v>-11.0152</v>
      </c>
      <c r="AF3529">
        <v>-14.473243041528001</v>
      </c>
      <c r="AG3529">
        <v>-1.210591</v>
      </c>
      <c r="AH3529">
        <v>334.47038539383198</v>
      </c>
      <c r="AI3529">
        <v>90.207183080885301</v>
      </c>
      <c r="AJ3529">
        <v>92.477764166199606</v>
      </c>
      <c r="AK3529">
        <v>334.78557167268599</v>
      </c>
      <c r="AL3529">
        <v>78.772654493233304</v>
      </c>
      <c r="AM3529">
        <v>93.748835447845806</v>
      </c>
      <c r="AN3529">
        <v>0.99999995535458097</v>
      </c>
    </row>
    <row r="3530" spans="1:40" x14ac:dyDescent="0.25">
      <c r="A3530" t="str">
        <f>"20190304155442588"</f>
        <v>20190304155442588</v>
      </c>
      <c r="B3530" t="str">
        <f>"1551686082581180"</f>
        <v>1551686082581180</v>
      </c>
      <c r="C3530" t="s">
        <v>40</v>
      </c>
      <c r="D3530">
        <v>4.3840009999999996</v>
      </c>
      <c r="E3530">
        <v>0.4972953</v>
      </c>
      <c r="F3530" t="s">
        <v>46</v>
      </c>
      <c r="G3530">
        <v>-463.17860000000002</v>
      </c>
      <c r="H3530" s="1">
        <v>-3.1507230000000002E-6</v>
      </c>
      <c r="I3530">
        <v>135.05009999999999</v>
      </c>
      <c r="J3530">
        <v>-323.7715</v>
      </c>
      <c r="K3530">
        <v>1.110608</v>
      </c>
      <c r="L3530">
        <v>142.27090000000001</v>
      </c>
      <c r="M3530">
        <v>-0.9998435</v>
      </c>
      <c r="N3530">
        <v>-1.452912E-2</v>
      </c>
      <c r="O3530">
        <v>1.0099260000000001E-2</v>
      </c>
      <c r="P3530">
        <v>-0.98209939999999996</v>
      </c>
      <c r="Q3530">
        <v>0.18030289999999999</v>
      </c>
      <c r="R3530">
        <v>-5.4512190000000002E-2</v>
      </c>
      <c r="S3530">
        <v>-3.0504760000000002</v>
      </c>
      <c r="T3530">
        <v>-2.4240609999999999E-2</v>
      </c>
      <c r="U3530">
        <v>-0.1575317</v>
      </c>
      <c r="V3530">
        <v>-6.4504519999999996E-2</v>
      </c>
      <c r="W3530">
        <v>0.1945192</v>
      </c>
      <c r="X3530">
        <v>0.97877550000000002</v>
      </c>
      <c r="Y3530">
        <v>-6.1651490000000003E-2</v>
      </c>
      <c r="Z3530">
        <v>-6.2656840000000001E-4</v>
      </c>
      <c r="AA3530">
        <v>0.99809749999999997</v>
      </c>
      <c r="AB3530">
        <v>33</v>
      </c>
      <c r="AC3530">
        <v>-139.40710000000001</v>
      </c>
      <c r="AD3530">
        <v>-1.1106111507230001</v>
      </c>
      <c r="AE3530">
        <v>-7.2208000000000201</v>
      </c>
      <c r="AF3530">
        <v>-8.6279426304283309</v>
      </c>
      <c r="AG3530">
        <v>-1.1106111507230001</v>
      </c>
      <c r="AH3530">
        <v>139.31823789068801</v>
      </c>
      <c r="AI3530">
        <v>90.455865047201499</v>
      </c>
      <c r="AJ3530">
        <v>93.5437870218867</v>
      </c>
      <c r="AK3530">
        <v>139.58956357883099</v>
      </c>
      <c r="AL3530">
        <v>78.783362210022204</v>
      </c>
      <c r="AM3530">
        <v>93.770527579607403</v>
      </c>
      <c r="AN3530">
        <v>1.00000001583466</v>
      </c>
    </row>
    <row r="3531" spans="1:40" x14ac:dyDescent="0.25">
      <c r="A3531" t="str">
        <f>"20190304155442629"</f>
        <v>20190304155442629</v>
      </c>
      <c r="B3531" t="str">
        <f>"1551686082621196"</f>
        <v>1551686082621196</v>
      </c>
      <c r="C3531" t="s">
        <v>40</v>
      </c>
      <c r="D3531">
        <v>4.359038</v>
      </c>
      <c r="E3531">
        <v>0.4949134</v>
      </c>
      <c r="F3531" t="s">
        <v>46</v>
      </c>
      <c r="G3531">
        <v>-446.0702</v>
      </c>
      <c r="H3531" s="1">
        <v>-1.4116359999999999E-6</v>
      </c>
      <c r="I3531">
        <v>135.47640000000001</v>
      </c>
      <c r="J3531">
        <v>-324.39760000000001</v>
      </c>
      <c r="K3531">
        <v>1.110611</v>
      </c>
      <c r="L3531">
        <v>142.27670000000001</v>
      </c>
      <c r="M3531">
        <v>-0.99984779999999995</v>
      </c>
      <c r="N3531">
        <v>-1.452226E-2</v>
      </c>
      <c r="O3531">
        <v>9.6747759999999995E-3</v>
      </c>
      <c r="P3531">
        <v>-0.98197420000000002</v>
      </c>
      <c r="Q3531">
        <v>0.1804471</v>
      </c>
      <c r="R3531">
        <v>-5.6262180000000002E-2</v>
      </c>
      <c r="S3531">
        <v>-3.0503849999999999</v>
      </c>
      <c r="T3531">
        <v>-2.7700900000000001E-2</v>
      </c>
      <c r="U3531">
        <v>-0.16946410000000001</v>
      </c>
      <c r="V3531">
        <v>-6.5841689999999994E-2</v>
      </c>
      <c r="W3531">
        <v>0.19465299999999999</v>
      </c>
      <c r="X3531">
        <v>0.97865990000000003</v>
      </c>
      <c r="Y3531">
        <v>-6.5120650000000002E-2</v>
      </c>
      <c r="Z3531">
        <v>-7.1611489999999999E-4</v>
      </c>
      <c r="AA3531">
        <v>0.99787709999999996</v>
      </c>
      <c r="AB3531">
        <v>33</v>
      </c>
      <c r="AC3531">
        <v>-121.6726</v>
      </c>
      <c r="AD3531">
        <v>-1.1106124116359899</v>
      </c>
      <c r="AE3531">
        <v>-6.8002999999999902</v>
      </c>
      <c r="AF3531">
        <v>-7.9765983690843001</v>
      </c>
      <c r="AG3531">
        <v>-1.1106124116359899</v>
      </c>
      <c r="AH3531">
        <v>121.59100680874801</v>
      </c>
      <c r="AI3531">
        <v>90.522202761143006</v>
      </c>
      <c r="AJ3531">
        <v>93.753332602098993</v>
      </c>
      <c r="AK3531">
        <v>121.857427013029</v>
      </c>
      <c r="AL3531">
        <v>78.775547136930001</v>
      </c>
      <c r="AM3531">
        <v>93.848910819226901</v>
      </c>
      <c r="AN3531">
        <v>1.0000000592095299</v>
      </c>
    </row>
    <row r="3532" spans="1:40" x14ac:dyDescent="0.25">
      <c r="A3532" t="str">
        <f>"20190304155442651"</f>
        <v>20190304155442651</v>
      </c>
      <c r="B3532" t="str">
        <f>"1551686082640730"</f>
        <v>1551686082640730</v>
      </c>
      <c r="C3532" t="s">
        <v>40</v>
      </c>
      <c r="D3532">
        <v>4.3883900000000002</v>
      </c>
      <c r="E3532">
        <v>0.49338320000000002</v>
      </c>
      <c r="F3532" t="s">
        <v>62</v>
      </c>
      <c r="G3532">
        <v>-417.09399999999999</v>
      </c>
      <c r="H3532" s="1">
        <v>-8.65108999999999E-6</v>
      </c>
      <c r="I3532">
        <v>136.3903</v>
      </c>
      <c r="J3532">
        <v>-324.72500000000002</v>
      </c>
      <c r="K3532">
        <v>1.110611</v>
      </c>
      <c r="L3532">
        <v>142.27959999999999</v>
      </c>
      <c r="M3532">
        <v>-0.99985000000000002</v>
      </c>
      <c r="N3532">
        <v>-1.4518669999999999E-2</v>
      </c>
      <c r="O3532">
        <v>9.4551180000000002E-3</v>
      </c>
      <c r="P3532">
        <v>-0.98186810000000002</v>
      </c>
      <c r="Q3532">
        <v>0.18094260000000001</v>
      </c>
      <c r="R3532">
        <v>-5.65248E-2</v>
      </c>
      <c r="S3532">
        <v>-3.0507200000000001</v>
      </c>
      <c r="T3532">
        <v>-3.6551479999999997E-2</v>
      </c>
      <c r="U3532">
        <v>-0.1937256</v>
      </c>
      <c r="V3532">
        <v>-6.5889279999999995E-2</v>
      </c>
      <c r="W3532">
        <v>0.19514310000000001</v>
      </c>
      <c r="X3532">
        <v>0.97855899999999996</v>
      </c>
      <c r="Y3532">
        <v>-7.2796639999999996E-2</v>
      </c>
      <c r="Z3532">
        <v>-9.4073620000000003E-4</v>
      </c>
      <c r="AA3532">
        <v>0.99734630000000002</v>
      </c>
      <c r="AB3532">
        <v>33</v>
      </c>
      <c r="AC3532">
        <v>-92.3689999999999</v>
      </c>
      <c r="AD3532">
        <v>-1.1106196510899999</v>
      </c>
      <c r="AE3532">
        <v>-5.8892999999999898</v>
      </c>
      <c r="AF3532">
        <v>-6.7615148988265403</v>
      </c>
      <c r="AG3532">
        <v>-1.1106196510899999</v>
      </c>
      <c r="AH3532">
        <v>92.295891091894703</v>
      </c>
      <c r="AI3532">
        <v>90.687578802670501</v>
      </c>
      <c r="AJ3532">
        <v>94.189952866940899</v>
      </c>
      <c r="AK3532">
        <v>92.549895041449503</v>
      </c>
      <c r="AL3532">
        <v>78.746916461085704</v>
      </c>
      <c r="AM3532">
        <v>93.852080373930093</v>
      </c>
      <c r="AN3532">
        <v>0.99999997158876297</v>
      </c>
    </row>
    <row r="3533" spans="1:40" x14ac:dyDescent="0.25">
      <c r="A3533" t="str">
        <f>"20190304155442673"</f>
        <v>20190304155442673</v>
      </c>
      <c r="B3533" t="str">
        <f>"1551686082670986"</f>
        <v>1551686082670986</v>
      </c>
      <c r="C3533" t="s">
        <v>40</v>
      </c>
      <c r="D3533">
        <v>4.3885139999999998</v>
      </c>
      <c r="E3533">
        <v>0.49251509999999998</v>
      </c>
      <c r="F3533" t="s">
        <v>62</v>
      </c>
      <c r="G3533">
        <v>-409.76609999999999</v>
      </c>
      <c r="H3533" s="1">
        <v>-9.2113189999999997E-6</v>
      </c>
      <c r="I3533">
        <v>136.53559999999999</v>
      </c>
      <c r="J3533">
        <v>-325.05349999999999</v>
      </c>
      <c r="K3533">
        <v>1.1106240000000001</v>
      </c>
      <c r="L3533">
        <v>142.2825</v>
      </c>
      <c r="M3533">
        <v>-0.99985210000000002</v>
      </c>
      <c r="N3533">
        <v>-1.451506E-2</v>
      </c>
      <c r="O3533">
        <v>9.236668E-3</v>
      </c>
      <c r="P3533">
        <v>-0.98185670000000003</v>
      </c>
      <c r="Q3533">
        <v>0.18093190000000001</v>
      </c>
      <c r="R3533">
        <v>-5.6757080000000001E-2</v>
      </c>
      <c r="S3533">
        <v>-3.0508730000000002</v>
      </c>
      <c r="T3533">
        <v>-3.9843799999999999E-2</v>
      </c>
      <c r="U3533">
        <v>-0.2060699</v>
      </c>
      <c r="V3533">
        <v>-6.5907670000000002E-2</v>
      </c>
      <c r="W3533">
        <v>0.19512860000000001</v>
      </c>
      <c r="X3533">
        <v>0.97856069999999995</v>
      </c>
      <c r="Y3533">
        <v>-7.6591039999999999E-2</v>
      </c>
      <c r="Z3533">
        <v>-1.0426929999999999E-3</v>
      </c>
      <c r="AA3533">
        <v>0.997062</v>
      </c>
      <c r="AB3533">
        <v>33</v>
      </c>
      <c r="AC3533">
        <v>-84.712599999999995</v>
      </c>
      <c r="AD3533">
        <v>-1.1106332113190001</v>
      </c>
      <c r="AE3533">
        <v>-5.7469000000000099</v>
      </c>
      <c r="AF3533">
        <v>-6.5280823479344399</v>
      </c>
      <c r="AG3533">
        <v>-1.1106332113190001</v>
      </c>
      <c r="AH3533">
        <v>84.641415512645693</v>
      </c>
      <c r="AI3533">
        <v>90.749545027082902</v>
      </c>
      <c r="AJ3533">
        <v>94.410282621250701</v>
      </c>
      <c r="AK3533">
        <v>84.900050560973398</v>
      </c>
      <c r="AL3533">
        <v>78.747764057698106</v>
      </c>
      <c r="AM3533">
        <v>93.853145595298898</v>
      </c>
      <c r="AN3533">
        <v>1.0000000175436301</v>
      </c>
    </row>
    <row r="3534" spans="1:40" x14ac:dyDescent="0.25">
      <c r="A3534" t="str">
        <f>"20190304155442696"</f>
        <v>20190304155442696</v>
      </c>
      <c r="B3534" t="str">
        <f>"1551686082690507"</f>
        <v>1551686082690507</v>
      </c>
      <c r="C3534" t="s">
        <v>40</v>
      </c>
      <c r="D3534">
        <v>4.2995549999999998</v>
      </c>
      <c r="E3534">
        <v>0.49161379999999999</v>
      </c>
      <c r="F3534" t="s">
        <v>62</v>
      </c>
      <c r="G3534">
        <v>-402.45920000000001</v>
      </c>
      <c r="H3534" s="1">
        <v>-5.1695430000000004E-6</v>
      </c>
      <c r="I3534">
        <v>136.85980000000001</v>
      </c>
      <c r="J3534">
        <v>-325.39729999999997</v>
      </c>
      <c r="K3534">
        <v>1.110625</v>
      </c>
      <c r="L3534">
        <v>142.28540000000001</v>
      </c>
      <c r="M3534">
        <v>-0.99985409999999997</v>
      </c>
      <c r="N3534">
        <v>-1.451128E-2</v>
      </c>
      <c r="O3534">
        <v>9.0089969999999995E-3</v>
      </c>
      <c r="P3534">
        <v>-0.98189320000000002</v>
      </c>
      <c r="Q3534">
        <v>0.18071709999999999</v>
      </c>
      <c r="R3534">
        <v>-5.6810689999999997E-2</v>
      </c>
      <c r="S3534">
        <v>-3.0510860000000002</v>
      </c>
      <c r="T3534">
        <v>-4.3777469999999999E-2</v>
      </c>
      <c r="U3534">
        <v>-0.21374509999999999</v>
      </c>
      <c r="V3534">
        <v>-6.5738870000000005E-2</v>
      </c>
      <c r="W3534">
        <v>0.19491069999999999</v>
      </c>
      <c r="X3534">
        <v>0.97861549999999997</v>
      </c>
      <c r="Y3534">
        <v>-7.8852939999999996E-2</v>
      </c>
      <c r="Z3534">
        <v>-1.1364299999999999E-3</v>
      </c>
      <c r="AA3534">
        <v>0.99688560000000004</v>
      </c>
      <c r="AB3534">
        <v>33</v>
      </c>
      <c r="AC3534">
        <v>-77.061899999999994</v>
      </c>
      <c r="AD3534">
        <v>-1.1106301695430001</v>
      </c>
      <c r="AE3534">
        <v>-5.4256000000000002</v>
      </c>
      <c r="AF3534">
        <v>-6.11843872214338</v>
      </c>
      <c r="AG3534">
        <v>-1.1106301695430001</v>
      </c>
      <c r="AH3534">
        <v>76.993974052899404</v>
      </c>
      <c r="AI3534">
        <v>90.823831657184797</v>
      </c>
      <c r="AJ3534">
        <v>94.5435449058443</v>
      </c>
      <c r="AK3534">
        <v>77.244681578919497</v>
      </c>
      <c r="AL3534">
        <v>78.760493453875995</v>
      </c>
      <c r="AM3534">
        <v>93.843092120996801</v>
      </c>
      <c r="AN3534">
        <v>1.0000000384218</v>
      </c>
    </row>
    <row r="3535" spans="1:40" x14ac:dyDescent="0.25">
      <c r="A3535" t="str">
        <f>"20190304155442717"</f>
        <v>20190304155442717</v>
      </c>
      <c r="B3535" t="str">
        <f>"1551686082711006"</f>
        <v>1551686082711006</v>
      </c>
      <c r="C3535" t="s">
        <v>40</v>
      </c>
      <c r="D3535">
        <v>4.4026199999999998</v>
      </c>
      <c r="E3535">
        <v>0.49122559999999899</v>
      </c>
      <c r="F3535" t="s">
        <v>46</v>
      </c>
      <c r="G3535">
        <v>-398.60550000000001</v>
      </c>
      <c r="H3535" s="1">
        <v>-1.1600459999999999E-6</v>
      </c>
      <c r="I3535">
        <v>136.98750000000001</v>
      </c>
      <c r="J3535">
        <v>-325.71449999999999</v>
      </c>
      <c r="K3535">
        <v>1.1106290000000001</v>
      </c>
      <c r="L3535">
        <v>142.28809999999999</v>
      </c>
      <c r="M3535">
        <v>-0.99985610000000003</v>
      </c>
      <c r="N3535">
        <v>-1.4507809999999999E-2</v>
      </c>
      <c r="O3535">
        <v>8.7993940000000003E-3</v>
      </c>
      <c r="P3535">
        <v>-0.98196879999999998</v>
      </c>
      <c r="Q3535">
        <v>0.18030199999999999</v>
      </c>
      <c r="R3535">
        <v>-5.6823119999999998E-2</v>
      </c>
      <c r="S3535">
        <v>-3.051056</v>
      </c>
      <c r="T3535">
        <v>-4.6286939999999999E-2</v>
      </c>
      <c r="U3535">
        <v>-0.22079470000000001</v>
      </c>
      <c r="V3535">
        <v>-6.5546069999999998E-2</v>
      </c>
      <c r="W3535">
        <v>0.19449340000000001</v>
      </c>
      <c r="X3535">
        <v>0.97871140000000001</v>
      </c>
      <c r="Y3535">
        <v>-8.0934300000000001E-2</v>
      </c>
      <c r="Z3535">
        <v>-1.206866E-3</v>
      </c>
      <c r="AA3535">
        <v>0.99671869999999996</v>
      </c>
      <c r="AB3535">
        <v>33</v>
      </c>
      <c r="AC3535">
        <v>-72.891000000000005</v>
      </c>
      <c r="AD3535">
        <v>-1.110630160046</v>
      </c>
      <c r="AE3535">
        <v>-5.30059999999997</v>
      </c>
      <c r="AF3535">
        <v>-5.9404869390082302</v>
      </c>
      <c r="AG3535">
        <v>-1.110630160046</v>
      </c>
      <c r="AH3535">
        <v>72.824712233659696</v>
      </c>
      <c r="AI3535">
        <v>90.870842768481793</v>
      </c>
      <c r="AJ3535">
        <v>94.663429260855295</v>
      </c>
      <c r="AK3535">
        <v>73.075040857602602</v>
      </c>
      <c r="AL3535">
        <v>78.784868897988602</v>
      </c>
      <c r="AM3535">
        <v>93.831480317308902</v>
      </c>
      <c r="AN3535">
        <v>0.999999987212982</v>
      </c>
    </row>
    <row r="3536" spans="1:40" x14ac:dyDescent="0.25">
      <c r="A3536" t="str">
        <f>"20190304155442739"</f>
        <v>20190304155442739</v>
      </c>
      <c r="B3536" t="str">
        <f>"1551686082731079"</f>
        <v>1551686082731079</v>
      </c>
      <c r="C3536" t="s">
        <v>40</v>
      </c>
      <c r="D3536">
        <v>4.3149319999999998</v>
      </c>
      <c r="E3536">
        <v>0.49055729999999997</v>
      </c>
      <c r="F3536" t="s">
        <v>46</v>
      </c>
      <c r="G3536">
        <v>-394.6576</v>
      </c>
      <c r="H3536" s="1">
        <v>-2.6969489999999998E-6</v>
      </c>
      <c r="I3536">
        <v>137.2328</v>
      </c>
      <c r="J3536">
        <v>-326.03800000000001</v>
      </c>
      <c r="K3536">
        <v>1.1106279999999999</v>
      </c>
      <c r="L3536">
        <v>142.29069999999999</v>
      </c>
      <c r="M3536">
        <v>-0.99985800000000002</v>
      </c>
      <c r="N3536">
        <v>-1.450427E-2</v>
      </c>
      <c r="O3536">
        <v>8.5859249999999995E-3</v>
      </c>
      <c r="P3536">
        <v>-0.98208949999999995</v>
      </c>
      <c r="Q3536">
        <v>0.17953369999999999</v>
      </c>
      <c r="R3536">
        <v>-5.7165540000000001E-2</v>
      </c>
      <c r="S3536">
        <v>-3.0511469999999998</v>
      </c>
      <c r="T3536">
        <v>-4.9152139999999997E-2</v>
      </c>
      <c r="U3536">
        <v>-0.22372439999999999</v>
      </c>
      <c r="V3536">
        <v>-6.5679950000000001E-2</v>
      </c>
      <c r="W3536">
        <v>0.19372349999999999</v>
      </c>
      <c r="X3536">
        <v>0.97885509999999998</v>
      </c>
      <c r="Y3536">
        <v>-8.1669399999999906E-2</v>
      </c>
      <c r="Z3536">
        <v>-1.26384E-3</v>
      </c>
      <c r="AA3536">
        <v>0.99665870000000001</v>
      </c>
      <c r="AB3536">
        <v>33</v>
      </c>
      <c r="AC3536">
        <v>-68.619599999999906</v>
      </c>
      <c r="AD3536">
        <v>-1.1106306969490001</v>
      </c>
      <c r="AE3536">
        <v>-5.0578999999999796</v>
      </c>
      <c r="AF3536">
        <v>-5.64546729378102</v>
      </c>
      <c r="AG3536">
        <v>-1.1106306969490001</v>
      </c>
      <c r="AH3536">
        <v>68.555776695643303</v>
      </c>
      <c r="AI3536">
        <v>90.925002592922098</v>
      </c>
      <c r="AJ3536">
        <v>94.707601088725397</v>
      </c>
      <c r="AK3536">
        <v>68.796797308109205</v>
      </c>
      <c r="AL3536">
        <v>78.829836096933207</v>
      </c>
      <c r="AM3536">
        <v>93.838720922923798</v>
      </c>
      <c r="AN3536">
        <v>0.99999997854013001</v>
      </c>
    </row>
    <row r="3537" spans="1:40" x14ac:dyDescent="0.25">
      <c r="A3537" t="str">
        <f>"20190304155442764"</f>
        <v>20190304155442764</v>
      </c>
      <c r="B3537" t="str">
        <f>"1551686082760355"</f>
        <v>1551686082760355</v>
      </c>
      <c r="C3537" t="s">
        <v>40</v>
      </c>
      <c r="D3537">
        <v>4.3267119999999997</v>
      </c>
      <c r="E3537">
        <v>0.48988619999999999</v>
      </c>
      <c r="F3537" t="s">
        <v>46</v>
      </c>
      <c r="G3537">
        <v>-390.55430000000001</v>
      </c>
      <c r="H3537" s="1">
        <v>-4.4228950000000001E-6</v>
      </c>
      <c r="I3537">
        <v>137.4264</v>
      </c>
      <c r="J3537">
        <v>-326.38619999999997</v>
      </c>
      <c r="K3537">
        <v>1.1106309999999999</v>
      </c>
      <c r="L3537">
        <v>142.29339999999999</v>
      </c>
      <c r="M3537">
        <v>-0.99986010000000003</v>
      </c>
      <c r="N3537">
        <v>-1.450047E-2</v>
      </c>
      <c r="O3537">
        <v>8.3563089999999993E-3</v>
      </c>
      <c r="P3537">
        <v>-0.98215410000000003</v>
      </c>
      <c r="Q3537">
        <v>0.1790535</v>
      </c>
      <c r="R3537">
        <v>-5.7562660000000002E-2</v>
      </c>
      <c r="S3537">
        <v>-3.0509339999999998</v>
      </c>
      <c r="T3537">
        <v>-5.2521110000000003E-2</v>
      </c>
      <c r="U3537">
        <v>-0.23002619999999999</v>
      </c>
      <c r="V3537">
        <v>-6.5852040000000001E-2</v>
      </c>
      <c r="W3537">
        <v>0.19324069999999999</v>
      </c>
      <c r="X3537">
        <v>0.978939</v>
      </c>
      <c r="Y3537">
        <v>-8.3490140000000004E-2</v>
      </c>
      <c r="Z3537">
        <v>-1.3465079999999999E-3</v>
      </c>
      <c r="AA3537">
        <v>0.9965077</v>
      </c>
      <c r="AB3537">
        <v>33</v>
      </c>
      <c r="AC3537">
        <v>-64.168099999999995</v>
      </c>
      <c r="AD3537">
        <v>-1.1106354228949999</v>
      </c>
      <c r="AE3537">
        <v>-4.8669999999999902</v>
      </c>
      <c r="AF3537">
        <v>-5.4014859136205899</v>
      </c>
      <c r="AG3537">
        <v>-1.1106354228949999</v>
      </c>
      <c r="AH3537">
        <v>64.106090009109707</v>
      </c>
      <c r="AI3537">
        <v>90.989043820114503</v>
      </c>
      <c r="AJ3537">
        <v>94.816282816567096</v>
      </c>
      <c r="AK3537">
        <v>64.342834390269999</v>
      </c>
      <c r="AL3537">
        <v>78.858031665302505</v>
      </c>
      <c r="AM3537">
        <v>93.8484198150244</v>
      </c>
      <c r="AN3537">
        <v>1.0000000125148201</v>
      </c>
    </row>
    <row r="3538" spans="1:40" x14ac:dyDescent="0.25">
      <c r="A3538" t="str">
        <f>"20190304155442786"</f>
        <v>20190304155442786</v>
      </c>
      <c r="B3538" t="str">
        <f>"1551686082780852"</f>
        <v>1551686082780852</v>
      </c>
      <c r="C3538" t="s">
        <v>40</v>
      </c>
      <c r="D3538">
        <v>4.3916899999999996</v>
      </c>
      <c r="E3538">
        <v>0.48975540000000001</v>
      </c>
      <c r="F3538" t="s">
        <v>46</v>
      </c>
      <c r="G3538">
        <v>-388.32100000000003</v>
      </c>
      <c r="H3538" s="1">
        <v>-1.123043E-6</v>
      </c>
      <c r="I3538">
        <v>137.49039999999999</v>
      </c>
      <c r="J3538">
        <v>-326.71260000000001</v>
      </c>
      <c r="K3538">
        <v>1.11063</v>
      </c>
      <c r="L3538">
        <v>142.29589999999999</v>
      </c>
      <c r="M3538">
        <v>-0.99986169999999996</v>
      </c>
      <c r="N3538">
        <v>-1.449693E-2</v>
      </c>
      <c r="O3538">
        <v>8.1412979999999999E-3</v>
      </c>
      <c r="P3538">
        <v>-0.98211499999999996</v>
      </c>
      <c r="Q3538">
        <v>0.17909420000000001</v>
      </c>
      <c r="R3538">
        <v>-5.8099680000000001E-2</v>
      </c>
      <c r="S3538">
        <v>-3.0506289999999998</v>
      </c>
      <c r="T3538">
        <v>-5.4704790000000003E-2</v>
      </c>
      <c r="U3538">
        <v>-0.23657230000000001</v>
      </c>
      <c r="V3538">
        <v>-6.6177369999999999E-2</v>
      </c>
      <c r="W3538">
        <v>0.19327720000000001</v>
      </c>
      <c r="X3538">
        <v>0.9789099</v>
      </c>
      <c r="Y3538">
        <v>-8.5406999999999997E-2</v>
      </c>
      <c r="Z3538">
        <v>-1.4126119999999999E-3</v>
      </c>
      <c r="AA3538">
        <v>0.99634520000000004</v>
      </c>
      <c r="AB3538">
        <v>33</v>
      </c>
      <c r="AC3538">
        <v>-61.608399999999897</v>
      </c>
      <c r="AD3538">
        <v>-1.1106311230429999</v>
      </c>
      <c r="AE3538">
        <v>-4.8054999999999897</v>
      </c>
      <c r="AF3538">
        <v>-5.3052521130138599</v>
      </c>
      <c r="AG3538">
        <v>-1.1106311230429999</v>
      </c>
      <c r="AH3538">
        <v>61.5473498426704</v>
      </c>
      <c r="AI3538">
        <v>91.0299801923682</v>
      </c>
      <c r="AJ3538">
        <v>94.926598106035698</v>
      </c>
      <c r="AK3538">
        <v>61.785560401522403</v>
      </c>
      <c r="AL3538">
        <v>78.855900680800104</v>
      </c>
      <c r="AM3538">
        <v>93.867489294180402</v>
      </c>
      <c r="AN3538">
        <v>1.0000000563289799</v>
      </c>
    </row>
    <row r="3539" spans="1:40" x14ac:dyDescent="0.25">
      <c r="A3539" t="str">
        <f>"20190304155442808"</f>
        <v>20190304155442808</v>
      </c>
      <c r="B3539" t="str">
        <f>"1551686082800371"</f>
        <v>1551686082800371</v>
      </c>
      <c r="C3539" t="s">
        <v>40</v>
      </c>
      <c r="D3539">
        <v>4.3342679999999998</v>
      </c>
      <c r="E3539">
        <v>0.48931219999999997</v>
      </c>
      <c r="F3539" t="s">
        <v>46</v>
      </c>
      <c r="G3539">
        <v>-388.55610000000001</v>
      </c>
      <c r="H3539" s="1">
        <v>-1.0547159999999899E-6</v>
      </c>
      <c r="I3539">
        <v>137.44659999999999</v>
      </c>
      <c r="J3539">
        <v>-327.03199999999998</v>
      </c>
      <c r="K3539">
        <v>1.1106279999999999</v>
      </c>
      <c r="L3539">
        <v>142.29830000000001</v>
      </c>
      <c r="M3539">
        <v>-0.99986359999999996</v>
      </c>
      <c r="N3539">
        <v>-1.4493560000000001E-2</v>
      </c>
      <c r="O3539">
        <v>7.9307539999999999E-3</v>
      </c>
      <c r="P3539">
        <v>-0.98196039999999996</v>
      </c>
      <c r="Q3539">
        <v>0.1796526</v>
      </c>
      <c r="R3539">
        <v>-5.8984540000000002E-2</v>
      </c>
      <c r="S3539">
        <v>-3.0505070000000001</v>
      </c>
      <c r="T3539">
        <v>-5.478334E-2</v>
      </c>
      <c r="U3539">
        <v>-0.23919679999999999</v>
      </c>
      <c r="V3539">
        <v>-6.6854220000000006E-2</v>
      </c>
      <c r="W3539">
        <v>0.19383020000000001</v>
      </c>
      <c r="X3539">
        <v>0.97875449999999997</v>
      </c>
      <c r="Y3539">
        <v>-8.6052020000000007E-2</v>
      </c>
      <c r="Z3539">
        <v>-1.423569E-3</v>
      </c>
      <c r="AA3539">
        <v>0.9962896</v>
      </c>
      <c r="AB3539">
        <v>33</v>
      </c>
      <c r="AC3539">
        <v>-61.524099999999997</v>
      </c>
      <c r="AD3539">
        <v>-1.110629054716</v>
      </c>
      <c r="AE3539">
        <v>-4.8517000000000197</v>
      </c>
      <c r="AF3539">
        <v>-5.3378024101060104</v>
      </c>
      <c r="AG3539">
        <v>-1.110629054716</v>
      </c>
      <c r="AH3539">
        <v>61.463777489298302</v>
      </c>
      <c r="AI3539">
        <v>91.031321160617594</v>
      </c>
      <c r="AJ3539">
        <v>94.963380995965295</v>
      </c>
      <c r="AK3539">
        <v>61.705117897306401</v>
      </c>
      <c r="AL3539">
        <v>78.823604789578297</v>
      </c>
      <c r="AM3539">
        <v>93.907541774026697</v>
      </c>
      <c r="AN3539">
        <v>1.0000000022170401</v>
      </c>
    </row>
    <row r="3540" spans="1:40" x14ac:dyDescent="0.25">
      <c r="A3540" t="str">
        <f>"20190304155442831"</f>
        <v>20190304155442831</v>
      </c>
      <c r="B3540" t="str">
        <f>"1551686082820867"</f>
        <v>1551686082820867</v>
      </c>
      <c r="C3540" t="s">
        <v>40</v>
      </c>
      <c r="D3540">
        <v>4.3854920000000002</v>
      </c>
      <c r="E3540">
        <v>0.48924570000000001</v>
      </c>
      <c r="F3540" t="s">
        <v>46</v>
      </c>
      <c r="G3540">
        <v>-390.8039</v>
      </c>
      <c r="H3540" s="1">
        <v>-4.361618E-6</v>
      </c>
      <c r="I3540">
        <v>137.16820000000001</v>
      </c>
      <c r="J3540">
        <v>-327.3723</v>
      </c>
      <c r="K3540">
        <v>1.1106320000000001</v>
      </c>
      <c r="L3540">
        <v>142.30080000000001</v>
      </c>
      <c r="M3540">
        <v>-0.99986529999999996</v>
      </c>
      <c r="N3540">
        <v>-1.4490060000000001E-2</v>
      </c>
      <c r="O3540">
        <v>7.7066219999999998E-3</v>
      </c>
      <c r="P3540">
        <v>-0.98194130000000002</v>
      </c>
      <c r="Q3540">
        <v>0.17939720000000001</v>
      </c>
      <c r="R3540">
        <v>-6.006413E-2</v>
      </c>
      <c r="S3540">
        <v>-3.0501100000000001</v>
      </c>
      <c r="T3540">
        <v>-5.3119779999999998E-2</v>
      </c>
      <c r="U3540">
        <v>-0.2453613</v>
      </c>
      <c r="V3540">
        <v>-6.7713670000000004E-2</v>
      </c>
      <c r="W3540">
        <v>0.19357050000000001</v>
      </c>
      <c r="X3540">
        <v>0.97874680000000003</v>
      </c>
      <c r="Y3540">
        <v>-8.7840299999999996E-2</v>
      </c>
      <c r="Z3540">
        <v>-1.4236749999999999E-3</v>
      </c>
      <c r="AA3540">
        <v>0.99613359999999995</v>
      </c>
      <c r="AB3540">
        <v>33</v>
      </c>
      <c r="AC3540">
        <v>-63.431600000000003</v>
      </c>
      <c r="AD3540">
        <v>-1.1106363616179999</v>
      </c>
      <c r="AE3540">
        <v>-5.1325999999999903</v>
      </c>
      <c r="AF3540">
        <v>-5.6196306314425701</v>
      </c>
      <c r="AG3540">
        <v>-1.1106363616179999</v>
      </c>
      <c r="AH3540">
        <v>63.370855393274098</v>
      </c>
      <c r="AI3540">
        <v>91.000137932181303</v>
      </c>
      <c r="AJ3540">
        <v>95.067646154307198</v>
      </c>
      <c r="AK3540">
        <v>63.629231292204402</v>
      </c>
      <c r="AL3540">
        <v>78.838771605704906</v>
      </c>
      <c r="AM3540">
        <v>93.957647918469902</v>
      </c>
      <c r="AN3540">
        <v>0.99999998904267895</v>
      </c>
    </row>
    <row r="3541" spans="1:40" x14ac:dyDescent="0.25">
      <c r="A3541" t="str">
        <f>"20190304155442852"</f>
        <v>20190304155442852</v>
      </c>
      <c r="B3541" t="str">
        <f>"1551686082840963"</f>
        <v>1551686082840963</v>
      </c>
      <c r="C3541" t="s">
        <v>40</v>
      </c>
      <c r="D3541">
        <v>4.4139589999999904</v>
      </c>
      <c r="E3541">
        <v>0.4892127</v>
      </c>
      <c r="F3541" t="s">
        <v>46</v>
      </c>
      <c r="G3541">
        <v>-390.43900000000002</v>
      </c>
      <c r="H3541" s="1">
        <v>-4.5221829999999998E-6</v>
      </c>
      <c r="I3541">
        <v>137.1456</v>
      </c>
      <c r="J3541">
        <v>-327.68290000000002</v>
      </c>
      <c r="K3541">
        <v>1.1106240000000001</v>
      </c>
      <c r="L3541">
        <v>142.30289999999999</v>
      </c>
      <c r="M3541">
        <v>-0.99986710000000001</v>
      </c>
      <c r="N3541">
        <v>-1.4486880000000001E-2</v>
      </c>
      <c r="O3541">
        <v>7.5018009999999998E-3</v>
      </c>
      <c r="P3541">
        <v>-0.98195390000000005</v>
      </c>
      <c r="Q3541">
        <v>0.17920820000000001</v>
      </c>
      <c r="R3541">
        <v>-6.0423159999999997E-2</v>
      </c>
      <c r="S3541">
        <v>-3.0497130000000001</v>
      </c>
      <c r="T3541">
        <v>-5.3706999999999998E-2</v>
      </c>
      <c r="U3541">
        <v>-0.2492828</v>
      </c>
      <c r="V3541">
        <v>-6.7871689999999998E-2</v>
      </c>
      <c r="W3541">
        <v>0.19337869999999999</v>
      </c>
      <c r="X3541">
        <v>0.97877380000000003</v>
      </c>
      <c r="Y3541">
        <v>-8.8918349999999993E-2</v>
      </c>
      <c r="Z3541">
        <v>-1.450252E-3</v>
      </c>
      <c r="AA3541">
        <v>0.99603779999999997</v>
      </c>
      <c r="AB3541">
        <v>33</v>
      </c>
      <c r="AC3541">
        <v>-62.756100000000004</v>
      </c>
      <c r="AD3541">
        <v>-1.1106285221829999</v>
      </c>
      <c r="AE3541">
        <v>-5.1572999999999896</v>
      </c>
      <c r="AF3541">
        <v>-5.6262376132898098</v>
      </c>
      <c r="AG3541">
        <v>-1.1106285221829999</v>
      </c>
      <c r="AH3541">
        <v>62.696135767216397</v>
      </c>
      <c r="AI3541">
        <v>91.010797016292003</v>
      </c>
      <c r="AJ3541">
        <v>95.127884012753398</v>
      </c>
      <c r="AK3541">
        <v>62.9578707195273</v>
      </c>
      <c r="AL3541">
        <v>78.849972922181806</v>
      </c>
      <c r="AM3541">
        <v>93.966745153105506</v>
      </c>
      <c r="AN3541">
        <v>1.00000001974179</v>
      </c>
    </row>
    <row r="3542" spans="1:40" x14ac:dyDescent="0.25">
      <c r="A3542" t="str">
        <f>"20190304155442875"</f>
        <v>20190304155442875</v>
      </c>
      <c r="B3542" t="str">
        <f>"1551686082871219"</f>
        <v>1551686082871219</v>
      </c>
      <c r="C3542" t="s">
        <v>40</v>
      </c>
      <c r="D3542">
        <v>4.3783070000000004</v>
      </c>
      <c r="E3542">
        <v>0.4891395</v>
      </c>
      <c r="F3542" t="s">
        <v>46</v>
      </c>
      <c r="G3542">
        <v>-390.36180000000002</v>
      </c>
      <c r="H3542" s="1">
        <v>-4.5576129999999999E-6</v>
      </c>
      <c r="I3542">
        <v>137.13249999999999</v>
      </c>
      <c r="J3542">
        <v>-328.00699999999898</v>
      </c>
      <c r="K3542">
        <v>1.110625</v>
      </c>
      <c r="L3542">
        <v>142.30520000000001</v>
      </c>
      <c r="M3542">
        <v>-0.9998686</v>
      </c>
      <c r="N3542">
        <v>-1.448354E-2</v>
      </c>
      <c r="O3542">
        <v>7.2897219999999898E-3</v>
      </c>
      <c r="P3542">
        <v>-0.9821204</v>
      </c>
      <c r="Q3542">
        <v>0.1782926</v>
      </c>
      <c r="R3542">
        <v>-6.0427799999999997E-2</v>
      </c>
      <c r="S3542">
        <v>-3.0495299999999999</v>
      </c>
      <c r="T3542">
        <v>-5.4035659999999999E-2</v>
      </c>
      <c r="U3542">
        <v>-0.25155640000000001</v>
      </c>
      <c r="V3542">
        <v>-6.7668019999999995E-2</v>
      </c>
      <c r="W3542">
        <v>0.1924631</v>
      </c>
      <c r="X3542">
        <v>0.97896830000000001</v>
      </c>
      <c r="Y3542">
        <v>-8.9449150000000005E-2</v>
      </c>
      <c r="Z3542">
        <v>-1.4636289999999999E-3</v>
      </c>
      <c r="AA3542">
        <v>0.9959903</v>
      </c>
      <c r="AB3542">
        <v>33</v>
      </c>
      <c r="AC3542">
        <v>-62.354799999999997</v>
      </c>
      <c r="AD3542">
        <v>-1.1106295576130001</v>
      </c>
      <c r="AE3542">
        <v>-5.1727000000000096</v>
      </c>
      <c r="AF3542">
        <v>-5.6253868974696903</v>
      </c>
      <c r="AG3542">
        <v>-1.1106295576130001</v>
      </c>
      <c r="AH3542">
        <v>62.295803229557102</v>
      </c>
      <c r="AI3542">
        <v>91.017241171445605</v>
      </c>
      <c r="AJ3542">
        <v>95.159883936805997</v>
      </c>
      <c r="AK3542">
        <v>62.559136629082097</v>
      </c>
      <c r="AL3542">
        <v>78.903436735045105</v>
      </c>
      <c r="AM3542">
        <v>93.954096280458401</v>
      </c>
      <c r="AN3542">
        <v>0.999999969098609</v>
      </c>
    </row>
    <row r="3543" spans="1:40" x14ac:dyDescent="0.25">
      <c r="A3543" t="str">
        <f>"20190304155442897"</f>
        <v>20190304155442897</v>
      </c>
      <c r="B3543" t="str">
        <f>"1551686082890739"</f>
        <v>1551686082890739</v>
      </c>
      <c r="C3543" t="s">
        <v>40</v>
      </c>
      <c r="D3543">
        <v>4.3754759999999999</v>
      </c>
      <c r="E3543">
        <v>0.4891625</v>
      </c>
      <c r="F3543" t="s">
        <v>46</v>
      </c>
      <c r="G3543">
        <v>-387.7697</v>
      </c>
      <c r="H3543" s="1">
        <v>-1.342389E-6</v>
      </c>
      <c r="I3543">
        <v>137.37110000000001</v>
      </c>
      <c r="J3543">
        <v>-328.34370000000001</v>
      </c>
      <c r="K3543">
        <v>1.1106240000000001</v>
      </c>
      <c r="L3543">
        <v>142.3074</v>
      </c>
      <c r="M3543">
        <v>-0.99987009999999998</v>
      </c>
      <c r="N3543">
        <v>-1.4480089999999999E-2</v>
      </c>
      <c r="O3543">
        <v>7.0714030000000004E-3</v>
      </c>
      <c r="P3543">
        <v>-0.98223119999999997</v>
      </c>
      <c r="Q3543">
        <v>0.1775398</v>
      </c>
      <c r="R3543">
        <v>-6.0840320000000003E-2</v>
      </c>
      <c r="S3543">
        <v>-3.0493769999999998</v>
      </c>
      <c r="T3543">
        <v>-5.666947E-2</v>
      </c>
      <c r="U3543">
        <v>-0.2517548</v>
      </c>
      <c r="V3543">
        <v>-6.7865880000000003E-2</v>
      </c>
      <c r="W3543">
        <v>0.19170870000000001</v>
      </c>
      <c r="X3543">
        <v>0.97910269999999999</v>
      </c>
      <c r="Y3543">
        <v>-8.9298180000000005E-2</v>
      </c>
      <c r="Z3543">
        <v>-1.505001E-3</v>
      </c>
      <c r="AA3543">
        <v>0.99600379999999999</v>
      </c>
      <c r="AB3543">
        <v>33</v>
      </c>
      <c r="AC3543">
        <v>-59.425999999999902</v>
      </c>
      <c r="AD3543">
        <v>-1.110625342389</v>
      </c>
      <c r="AE3543">
        <v>-4.9362999999999797</v>
      </c>
      <c r="AF3543">
        <v>-5.3545883616511398</v>
      </c>
      <c r="AG3543">
        <v>-1.110625342389</v>
      </c>
      <c r="AH3543">
        <v>59.3690089435392</v>
      </c>
      <c r="AI3543">
        <v>91.067384572517597</v>
      </c>
      <c r="AJ3543">
        <v>95.153656386338</v>
      </c>
      <c r="AK3543">
        <v>59.620334854074102</v>
      </c>
      <c r="AL3543">
        <v>78.947481766284994</v>
      </c>
      <c r="AM3543">
        <v>93.965078528944304</v>
      </c>
      <c r="AN3543">
        <v>1.0000000502355699</v>
      </c>
    </row>
    <row r="3544" spans="1:40" x14ac:dyDescent="0.25">
      <c r="A3544" t="str">
        <f>"20190304155442919"</f>
        <v>20190304155442919</v>
      </c>
      <c r="B3544" t="str">
        <f>"1551686082910259"</f>
        <v>1551686082910259</v>
      </c>
      <c r="C3544" t="s">
        <v>40</v>
      </c>
      <c r="D3544">
        <v>4.3944020000000004</v>
      </c>
      <c r="E3544">
        <v>0.48895949999999999</v>
      </c>
      <c r="F3544" t="s">
        <v>46</v>
      </c>
      <c r="G3544">
        <v>-386.16430000000003</v>
      </c>
      <c r="H3544" s="1">
        <v>-2.0007359999999999E-6</v>
      </c>
      <c r="I3544">
        <v>137.5137</v>
      </c>
      <c r="J3544">
        <v>-328.65480000000002</v>
      </c>
      <c r="K3544">
        <v>1.1106130000000001</v>
      </c>
      <c r="L3544">
        <v>142.30940000000001</v>
      </c>
      <c r="M3544">
        <v>-0.99987170000000003</v>
      </c>
      <c r="N3544">
        <v>-1.4476899999999999E-2</v>
      </c>
      <c r="O3544">
        <v>6.8710840000000004E-3</v>
      </c>
      <c r="P3544">
        <v>-0.98231950000000001</v>
      </c>
      <c r="Q3544">
        <v>0.1770533</v>
      </c>
      <c r="R3544">
        <v>-6.0835029999999998E-2</v>
      </c>
      <c r="S3544">
        <v>-3.0492249999999999</v>
      </c>
      <c r="T3544">
        <v>-5.8569910000000003E-2</v>
      </c>
      <c r="U3544">
        <v>-0.25279239999999997</v>
      </c>
      <c r="V3544">
        <v>-6.7663749999999995E-2</v>
      </c>
      <c r="W3544">
        <v>0.1912211</v>
      </c>
      <c r="X3544">
        <v>0.97921199999999997</v>
      </c>
      <c r="Y3544">
        <v>-8.9437829999999996E-2</v>
      </c>
      <c r="Z3544">
        <v>-1.5385079999999901E-3</v>
      </c>
      <c r="AA3544">
        <v>0.99599119999999997</v>
      </c>
      <c r="AB3544">
        <v>33</v>
      </c>
      <c r="AC3544">
        <v>-57.509500000000003</v>
      </c>
      <c r="AD3544">
        <v>-1.1106150007359901</v>
      </c>
      <c r="AE3544">
        <v>-4.7957000000000098</v>
      </c>
      <c r="AF3544">
        <v>-5.1888589379989103</v>
      </c>
      <c r="AG3544">
        <v>-1.1106150007359901</v>
      </c>
      <c r="AH3544">
        <v>57.453907701298597</v>
      </c>
      <c r="AI3544">
        <v>91.102932582867197</v>
      </c>
      <c r="AJ3544">
        <v>95.160577454610504</v>
      </c>
      <c r="AK3544">
        <v>57.698433539461497</v>
      </c>
      <c r="AL3544">
        <v>78.975945410921099</v>
      </c>
      <c r="AM3544">
        <v>93.952866671324401</v>
      </c>
      <c r="AN3544">
        <v>1.0000000165466301</v>
      </c>
    </row>
    <row r="3545" spans="1:40" x14ac:dyDescent="0.25">
      <c r="A3545" t="str">
        <f>"20190304155442942"</f>
        <v>20190304155442942</v>
      </c>
      <c r="B3545" t="str">
        <f>"1551686082930758"</f>
        <v>1551686082930758</v>
      </c>
      <c r="C3545" t="s">
        <v>40</v>
      </c>
      <c r="D3545">
        <v>4.3804259999999999</v>
      </c>
      <c r="E3545">
        <v>0.48902220000000002</v>
      </c>
      <c r="F3545" t="s">
        <v>46</v>
      </c>
      <c r="G3545">
        <v>-385.30040000000002</v>
      </c>
      <c r="H3545" s="1">
        <v>-2.3582889999999998E-6</v>
      </c>
      <c r="I3545">
        <v>137.5873</v>
      </c>
      <c r="J3545">
        <v>-328.98809999999997</v>
      </c>
      <c r="K3545">
        <v>1.110611</v>
      </c>
      <c r="L3545">
        <v>142.31139999999999</v>
      </c>
      <c r="M3545">
        <v>-0.99987320000000002</v>
      </c>
      <c r="N3545">
        <v>-1.44732E-2</v>
      </c>
      <c r="O3545">
        <v>6.6584269999999997E-3</v>
      </c>
      <c r="P3545">
        <v>-0.98232730000000001</v>
      </c>
      <c r="Q3545">
        <v>0.1769097</v>
      </c>
      <c r="R3545">
        <v>-6.112447E-2</v>
      </c>
      <c r="S3545">
        <v>-3.0490110000000001</v>
      </c>
      <c r="T3545">
        <v>-5.9780119999999999E-2</v>
      </c>
      <c r="U3545">
        <v>-0.25416559999999999</v>
      </c>
      <c r="V3545">
        <v>-6.7743220000000007E-2</v>
      </c>
      <c r="W3545">
        <v>0.19107460000000001</v>
      </c>
      <c r="X3545">
        <v>0.97923510000000002</v>
      </c>
      <c r="Y3545">
        <v>-8.9676259999999994E-2</v>
      </c>
      <c r="Z3545">
        <v>-1.5618439999999999E-3</v>
      </c>
      <c r="AA3545">
        <v>0.99596980000000002</v>
      </c>
      <c r="AB3545">
        <v>33</v>
      </c>
      <c r="AC3545">
        <v>-56.3123</v>
      </c>
      <c r="AD3545">
        <v>-1.1106133582889901</v>
      </c>
      <c r="AE3545">
        <v>-4.7240999999999902</v>
      </c>
      <c r="AF3545">
        <v>-5.0970170846858602</v>
      </c>
      <c r="AG3545">
        <v>-1.1106133582889901</v>
      </c>
      <c r="AH3545">
        <v>56.257863214222198</v>
      </c>
      <c r="AI3545">
        <v>91.126344278962193</v>
      </c>
      <c r="AJ3545">
        <v>95.176919207747602</v>
      </c>
      <c r="AK3545">
        <v>56.499205468956099</v>
      </c>
      <c r="AL3545">
        <v>78.984496891485193</v>
      </c>
      <c r="AM3545">
        <v>93.957401447106406</v>
      </c>
      <c r="AN3545">
        <v>1.0000000138465599</v>
      </c>
    </row>
    <row r="3546" spans="1:40" x14ac:dyDescent="0.25">
      <c r="A3546" t="str">
        <f>"20190304155442964"</f>
        <v>20190304155442964</v>
      </c>
      <c r="B3546" t="str">
        <f>"1551686082961012"</f>
        <v>1551686082961012</v>
      </c>
      <c r="C3546" t="s">
        <v>40</v>
      </c>
      <c r="D3546">
        <v>4.4094499999999996</v>
      </c>
      <c r="E3546">
        <v>0.48900569999999999</v>
      </c>
      <c r="F3546" t="s">
        <v>46</v>
      </c>
      <c r="G3546">
        <v>-385.74590000000001</v>
      </c>
      <c r="H3546" s="1">
        <v>-2.1719119999999998E-6</v>
      </c>
      <c r="I3546">
        <v>137.5607</v>
      </c>
      <c r="J3546">
        <v>-329.31909999999999</v>
      </c>
      <c r="K3546">
        <v>1.110608</v>
      </c>
      <c r="L3546">
        <v>142.3134</v>
      </c>
      <c r="M3546">
        <v>-0.99987459999999995</v>
      </c>
      <c r="N3546">
        <v>-1.44697E-2</v>
      </c>
      <c r="O3546">
        <v>6.448446E-3</v>
      </c>
      <c r="P3546">
        <v>-0.9823636</v>
      </c>
      <c r="Q3546">
        <v>0.1766141</v>
      </c>
      <c r="R3546">
        <v>-6.1395669999999999E-2</v>
      </c>
      <c r="S3546">
        <v>-3.0488279999999999</v>
      </c>
      <c r="T3546">
        <v>-5.9658290000000003E-2</v>
      </c>
      <c r="U3546">
        <v>-0.25518800000000003</v>
      </c>
      <c r="V3546">
        <v>-6.7807930000000002E-2</v>
      </c>
      <c r="W3546">
        <v>0.19077640000000001</v>
      </c>
      <c r="X3546">
        <v>0.97928879999999996</v>
      </c>
      <c r="Y3546">
        <v>-8.9803759999999996E-2</v>
      </c>
      <c r="Z3546">
        <v>-1.5608130000000001E-3</v>
      </c>
      <c r="AA3546">
        <v>0.99595829999999996</v>
      </c>
      <c r="AB3546">
        <v>33</v>
      </c>
      <c r="AC3546">
        <v>-56.4268</v>
      </c>
      <c r="AD3546">
        <v>-1.1106101719120001</v>
      </c>
      <c r="AE3546">
        <v>-4.7526999999999999</v>
      </c>
      <c r="AF3546">
        <v>-5.1145370214431596</v>
      </c>
      <c r="AG3546">
        <v>-1.1106101719120001</v>
      </c>
      <c r="AH3546">
        <v>56.3732910104452</v>
      </c>
      <c r="AI3546">
        <v>91.124022728618499</v>
      </c>
      <c r="AJ3546">
        <v>95.184038318810394</v>
      </c>
      <c r="AK3546">
        <v>56.615721166880903</v>
      </c>
      <c r="AL3546">
        <v>79.001903105128093</v>
      </c>
      <c r="AM3546">
        <v>93.960953104445807</v>
      </c>
      <c r="AN3546">
        <v>1.0000000519866401</v>
      </c>
    </row>
    <row r="3547" spans="1:40" x14ac:dyDescent="0.25">
      <c r="A3547" t="str">
        <f>"20190304155442987"</f>
        <v>20190304155442987</v>
      </c>
      <c r="B3547" t="str">
        <f>"1551686082980531"</f>
        <v>1551686082980531</v>
      </c>
      <c r="C3547" t="s">
        <v>40</v>
      </c>
      <c r="D3547">
        <v>4.4091519999999997</v>
      </c>
      <c r="E3547">
        <v>0.46290680000000001</v>
      </c>
      <c r="F3547" t="s">
        <v>46</v>
      </c>
      <c r="G3547">
        <v>-385.3175</v>
      </c>
      <c r="H3547" s="1">
        <v>-2.3469790000000002E-6</v>
      </c>
      <c r="I3547">
        <v>137.60990000000001</v>
      </c>
      <c r="J3547">
        <v>-329.63979999999998</v>
      </c>
      <c r="K3547">
        <v>1.110606</v>
      </c>
      <c r="L3547">
        <v>142.3152</v>
      </c>
      <c r="M3547">
        <v>-0.99987579999999998</v>
      </c>
      <c r="N3547">
        <v>-1.446648E-2</v>
      </c>
      <c r="O3547">
        <v>6.2462000000000004E-3</v>
      </c>
      <c r="P3547">
        <v>-0.98250550000000003</v>
      </c>
      <c r="Q3547">
        <v>0.17582970000000001</v>
      </c>
      <c r="R3547">
        <v>-6.137509E-2</v>
      </c>
      <c r="S3547">
        <v>-3.0487669999999998</v>
      </c>
      <c r="T3547">
        <v>-6.0465930000000001E-2</v>
      </c>
      <c r="U3547">
        <v>-0.256073</v>
      </c>
      <c r="V3547">
        <v>-6.7588659999999995E-2</v>
      </c>
      <c r="W3547">
        <v>0.18999179999999999</v>
      </c>
      <c r="X3547">
        <v>0.9794564</v>
      </c>
      <c r="Y3547">
        <v>-8.9890380000000006E-2</v>
      </c>
      <c r="Z3547">
        <v>-1.5746860000000001E-3</v>
      </c>
      <c r="AA3547">
        <v>0.99595040000000001</v>
      </c>
      <c r="AB3547">
        <v>33</v>
      </c>
      <c r="AC3547">
        <v>-55.677700000000002</v>
      </c>
      <c r="AD3547">
        <v>-1.110608346979</v>
      </c>
      <c r="AE3547">
        <v>-4.7052999999999896</v>
      </c>
      <c r="AF3547">
        <v>-5.0510231704572099</v>
      </c>
      <c r="AG3547">
        <v>-1.110608346979</v>
      </c>
      <c r="AH3547">
        <v>55.625244715157898</v>
      </c>
      <c r="AI3547">
        <v>91.139124694063497</v>
      </c>
      <c r="AJ3547">
        <v>95.188486004335104</v>
      </c>
      <c r="AK3547">
        <v>55.865142401949299</v>
      </c>
      <c r="AL3547">
        <v>79.047694068940103</v>
      </c>
      <c r="AM3547">
        <v>93.947511714617406</v>
      </c>
      <c r="AN3547">
        <v>0.99999997526439699</v>
      </c>
    </row>
    <row r="3548" spans="1:40" x14ac:dyDescent="0.25">
      <c r="A3548" t="str">
        <f>"20190304155443009"</f>
        <v>20190304155443009</v>
      </c>
      <c r="B3548" t="str">
        <f>"1551686083001027"</f>
        <v>1551686083001027</v>
      </c>
      <c r="C3548" t="s">
        <v>40</v>
      </c>
      <c r="D3548">
        <v>4.3601910000000004</v>
      </c>
      <c r="E3548">
        <v>0.4517603</v>
      </c>
      <c r="F3548" t="s">
        <v>62</v>
      </c>
      <c r="G3548">
        <v>-430.065</v>
      </c>
      <c r="H3548">
        <v>6.0209020000000002E-2</v>
      </c>
      <c r="I3548">
        <v>126.9147</v>
      </c>
      <c r="J3548">
        <v>-329.97910000000002</v>
      </c>
      <c r="K3548">
        <v>1.1106130000000001</v>
      </c>
      <c r="L3548">
        <v>142.31720000000001</v>
      </c>
      <c r="M3548">
        <v>-0.99987729999999997</v>
      </c>
      <c r="N3548">
        <v>-1.4463119999999999E-2</v>
      </c>
      <c r="O3548">
        <v>6.0324480000000002E-3</v>
      </c>
      <c r="P3548">
        <v>-0.98246319999999998</v>
      </c>
      <c r="Q3548">
        <v>0.17603079999999999</v>
      </c>
      <c r="R3548">
        <v>-6.1477009999999999E-2</v>
      </c>
      <c r="S3548">
        <v>-3.03009</v>
      </c>
      <c r="T3548">
        <v>-3.1693220000000001E-2</v>
      </c>
      <c r="U3548">
        <v>-0.46467589999999998</v>
      </c>
      <c r="V3548">
        <v>-6.7480020000000002E-2</v>
      </c>
      <c r="W3548">
        <v>0.19018889999999999</v>
      </c>
      <c r="X3548">
        <v>0.97942569999999995</v>
      </c>
      <c r="Y3548">
        <v>-0.157522</v>
      </c>
      <c r="Z3548">
        <v>-1.940872E-3</v>
      </c>
      <c r="AA3548">
        <v>0.98751359999999999</v>
      </c>
      <c r="AB3548">
        <v>33</v>
      </c>
      <c r="AC3548">
        <v>-100.085899999999</v>
      </c>
      <c r="AD3548">
        <v>-1.05040397999999</v>
      </c>
      <c r="AE3548">
        <v>-15.4025</v>
      </c>
      <c r="AF3548">
        <v>-16.004323753577001</v>
      </c>
      <c r="AG3548">
        <v>-1.05040397999999</v>
      </c>
      <c r="AH3548">
        <v>99.980396405041404</v>
      </c>
      <c r="AI3548">
        <v>90.594366734729704</v>
      </c>
      <c r="AJ3548">
        <v>99.094445448376007</v>
      </c>
      <c r="AK3548">
        <v>101.258685517044</v>
      </c>
      <c r="AL3548">
        <v>79.036192014066302</v>
      </c>
      <c r="AM3548">
        <v>93.941309760707895</v>
      </c>
      <c r="AN3548">
        <v>1.0000000363014401</v>
      </c>
    </row>
    <row r="3549" spans="1:40" x14ac:dyDescent="0.25">
      <c r="A3549" t="str">
        <f>"20190304155443031"</f>
        <v>20190304155443031</v>
      </c>
      <c r="B3549" t="str">
        <f>"1551686083020546"</f>
        <v>1551686083020546</v>
      </c>
      <c r="C3549" t="s">
        <v>40</v>
      </c>
      <c r="D3549">
        <v>4.37242</v>
      </c>
      <c r="E3549">
        <v>0.44826919999999998</v>
      </c>
      <c r="F3549" t="s">
        <v>62</v>
      </c>
      <c r="G3549">
        <v>-419.3202</v>
      </c>
      <c r="H3549" s="1">
        <v>-3.91447799999999E-6</v>
      </c>
      <c r="I3549">
        <v>125.9888</v>
      </c>
      <c r="J3549">
        <v>-330.27859999999998</v>
      </c>
      <c r="K3549">
        <v>1.110616</v>
      </c>
      <c r="L3549">
        <v>142.31870000000001</v>
      </c>
      <c r="M3549">
        <v>-0.99987839999999995</v>
      </c>
      <c r="N3549">
        <v>-1.446013E-2</v>
      </c>
      <c r="O3549">
        <v>5.8440799999999998E-3</v>
      </c>
      <c r="P3549">
        <v>-0.98238990000000004</v>
      </c>
      <c r="Q3549">
        <v>0.17637139999999901</v>
      </c>
      <c r="R3549">
        <v>-6.1671530000000002E-2</v>
      </c>
      <c r="S3549">
        <v>-3.0257260000000001</v>
      </c>
      <c r="T3549">
        <v>-3.7613389999999997E-2</v>
      </c>
      <c r="U3549">
        <v>-0.55299379999999998</v>
      </c>
      <c r="V3549">
        <v>-6.7488599999999996E-2</v>
      </c>
      <c r="W3549">
        <v>0.1905259</v>
      </c>
      <c r="X3549">
        <v>0.9793596</v>
      </c>
      <c r="Y3549">
        <v>-0.18550179999999999</v>
      </c>
      <c r="Z3549">
        <v>-2.4841310000000001E-3</v>
      </c>
      <c r="AA3549">
        <v>0.98264079999999998</v>
      </c>
      <c r="AB3549">
        <v>32</v>
      </c>
      <c r="AC3549">
        <v>-89.041600000000003</v>
      </c>
      <c r="AD3549">
        <v>-1.110619914478</v>
      </c>
      <c r="AE3549">
        <v>-16.329899999999999</v>
      </c>
      <c r="AF3549">
        <v>-16.847505915696701</v>
      </c>
      <c r="AG3549">
        <v>-1.110619914478</v>
      </c>
      <c r="AH3549">
        <v>88.931250484056505</v>
      </c>
      <c r="AI3549">
        <v>90.702999904685598</v>
      </c>
      <c r="AJ3549">
        <v>100.72722622039799</v>
      </c>
      <c r="AK3549">
        <v>90.519827909866606</v>
      </c>
      <c r="AL3549">
        <v>79.016523605684995</v>
      </c>
      <c r="AM3549">
        <v>93.942074519726702</v>
      </c>
      <c r="AN3549">
        <v>1.00000002790646</v>
      </c>
    </row>
    <row r="3550" spans="1:40" x14ac:dyDescent="0.25">
      <c r="A3550" t="str">
        <f>"20190304155443053"</f>
        <v>20190304155443053</v>
      </c>
      <c r="B3550" t="str">
        <f>"1551686083050803"</f>
        <v>1551686083050803</v>
      </c>
      <c r="C3550" t="s">
        <v>40</v>
      </c>
      <c r="D3550">
        <v>4.3271160000000002</v>
      </c>
      <c r="E3550">
        <v>0.44546669999999999</v>
      </c>
      <c r="F3550" t="s">
        <v>46</v>
      </c>
      <c r="G3550">
        <v>-396.40120000000002</v>
      </c>
      <c r="H3550">
        <v>5.0080619999999999E-2</v>
      </c>
      <c r="I3550">
        <v>129.61609999999999</v>
      </c>
      <c r="J3550">
        <v>-330.60329999999999</v>
      </c>
      <c r="K3550">
        <v>1.1106119999999999</v>
      </c>
      <c r="L3550">
        <v>142.32040000000001</v>
      </c>
      <c r="M3550">
        <v>-0.99987959999999998</v>
      </c>
      <c r="N3550">
        <v>-1.445687E-2</v>
      </c>
      <c r="O3550">
        <v>5.6395630000000002E-3</v>
      </c>
      <c r="P3550">
        <v>-0.98233320000000002</v>
      </c>
      <c r="Q3550">
        <v>0.17672660000000001</v>
      </c>
      <c r="R3550">
        <v>-6.1557389999999997E-2</v>
      </c>
      <c r="S3550">
        <v>-3.0260009999999999</v>
      </c>
      <c r="T3550">
        <v>-4.8533800000000002E-2</v>
      </c>
      <c r="U3550">
        <v>-0.58131409999999994</v>
      </c>
      <c r="V3550">
        <v>-6.7172889999999999E-2</v>
      </c>
      <c r="W3550">
        <v>0.19087750000000001</v>
      </c>
      <c r="X3550">
        <v>0.97931279999999998</v>
      </c>
      <c r="Y3550">
        <v>-0.19414600000000001</v>
      </c>
      <c r="Z3550">
        <v>-2.9679279999999999E-3</v>
      </c>
      <c r="AA3550">
        <v>0.98096819999999896</v>
      </c>
      <c r="AB3550">
        <v>32</v>
      </c>
      <c r="AC3550">
        <v>-65.797899999999998</v>
      </c>
      <c r="AD3550">
        <v>-1.06053138</v>
      </c>
      <c r="AE3550">
        <v>-12.7043</v>
      </c>
      <c r="AF3550">
        <v>-13.0719341996325</v>
      </c>
      <c r="AG3550">
        <v>-1.06053138</v>
      </c>
      <c r="AH3550">
        <v>65.708742267352605</v>
      </c>
      <c r="AI3550">
        <v>90.906898282407994</v>
      </c>
      <c r="AJ3550">
        <v>101.251386257609</v>
      </c>
      <c r="AK3550">
        <v>67.0047684936293</v>
      </c>
      <c r="AL3550">
        <v>78.996001357673407</v>
      </c>
      <c r="AM3550">
        <v>93.923878250238602</v>
      </c>
      <c r="AN3550">
        <v>0.99999998870051998</v>
      </c>
    </row>
    <row r="3551" spans="1:40" x14ac:dyDescent="0.25">
      <c r="A3551" t="str">
        <f>"20190304155443076"</f>
        <v>20190304155443076</v>
      </c>
      <c r="B3551" t="str">
        <f>"1551686083071299"</f>
        <v>1551686083071299</v>
      </c>
      <c r="C3551" t="s">
        <v>40</v>
      </c>
      <c r="D3551">
        <v>4.3446879999999997</v>
      </c>
      <c r="E3551">
        <v>0.44462800000000002</v>
      </c>
      <c r="F3551" t="s">
        <v>46</v>
      </c>
      <c r="G3551">
        <v>-394.32310000000001</v>
      </c>
      <c r="H3551">
        <v>2.985985E-3</v>
      </c>
      <c r="I3551">
        <v>129.61619999999999</v>
      </c>
      <c r="J3551">
        <v>-330.92540000000002</v>
      </c>
      <c r="K3551">
        <v>1.110617</v>
      </c>
      <c r="L3551">
        <v>142.322</v>
      </c>
      <c r="M3551">
        <v>-0.99988080000000001</v>
      </c>
      <c r="N3551">
        <v>-1.44536E-2</v>
      </c>
      <c r="O3551">
        <v>5.4361779999999998E-3</v>
      </c>
      <c r="P3551">
        <v>-0.98214809999999997</v>
      </c>
      <c r="Q3551">
        <v>0.17766709999999999</v>
      </c>
      <c r="R3551">
        <v>-6.1805510000000001E-2</v>
      </c>
      <c r="S3551">
        <v>-3.0255740000000002</v>
      </c>
      <c r="T3551">
        <v>-5.259287E-2</v>
      </c>
      <c r="U3551">
        <v>-0.60322569999999998</v>
      </c>
      <c r="V3551">
        <v>-6.7220669999999996E-2</v>
      </c>
      <c r="W3551">
        <v>0.19181219999999999</v>
      </c>
      <c r="X3551">
        <v>0.97912690000000002</v>
      </c>
      <c r="Y3551">
        <v>-0.20080190000000001</v>
      </c>
      <c r="Z3551">
        <v>-3.209464E-3</v>
      </c>
      <c r="AA3551">
        <v>0.97962660000000001</v>
      </c>
      <c r="AB3551">
        <v>32</v>
      </c>
      <c r="AC3551">
        <v>-63.397699999999901</v>
      </c>
      <c r="AD3551">
        <v>-1.1076310149999999</v>
      </c>
      <c r="AE3551">
        <v>-12.7058</v>
      </c>
      <c r="AF3551">
        <v>-13.046460851013499</v>
      </c>
      <c r="AG3551">
        <v>-1.1076310149999999</v>
      </c>
      <c r="AH3551">
        <v>63.309106492748697</v>
      </c>
      <c r="AI3551">
        <v>90.981697910655498</v>
      </c>
      <c r="AJ3551">
        <v>101.64425450430601</v>
      </c>
      <c r="AK3551">
        <v>64.648897532074102</v>
      </c>
      <c r="AL3551">
        <v>78.941439096544798</v>
      </c>
      <c r="AM3551">
        <v>93.927403767140603</v>
      </c>
      <c r="AN3551">
        <v>1.00000001242384</v>
      </c>
    </row>
    <row r="3552" spans="1:40" x14ac:dyDescent="0.25">
      <c r="A3552" t="str">
        <f>"20190304155443099"</f>
        <v>20190304155443099</v>
      </c>
      <c r="B3552" t="str">
        <f>"1551686083090819"</f>
        <v>1551686083090819</v>
      </c>
      <c r="C3552" t="s">
        <v>40</v>
      </c>
      <c r="D3552">
        <v>4.4264250000000001</v>
      </c>
      <c r="E3552">
        <v>0.44455149999999999</v>
      </c>
      <c r="F3552" t="s">
        <v>46</v>
      </c>
      <c r="G3552">
        <v>-393.87450000000001</v>
      </c>
      <c r="H3552">
        <v>1.798255E-2</v>
      </c>
      <c r="I3552">
        <v>129.61619999999999</v>
      </c>
      <c r="J3552">
        <v>-331.2629</v>
      </c>
      <c r="K3552">
        <v>1.110622</v>
      </c>
      <c r="L3552">
        <v>142.3236</v>
      </c>
      <c r="M3552">
        <v>-0.99988189999999999</v>
      </c>
      <c r="N3552">
        <v>-1.44501E-2</v>
      </c>
      <c r="O3552">
        <v>5.2231980000000001E-3</v>
      </c>
      <c r="P3552">
        <v>-0.98200080000000001</v>
      </c>
      <c r="Q3552">
        <v>0.17834710000000001</v>
      </c>
      <c r="R3552">
        <v>-6.2182719999999997E-2</v>
      </c>
      <c r="S3552">
        <v>-3.0255740000000002</v>
      </c>
      <c r="T3552">
        <v>-5.2516220000000002E-2</v>
      </c>
      <c r="U3552">
        <v>-0.61068730000000004</v>
      </c>
      <c r="V3552">
        <v>-6.7388539999999997E-2</v>
      </c>
      <c r="W3552">
        <v>0.19248699999999999</v>
      </c>
      <c r="X3552">
        <v>0.97898289999999999</v>
      </c>
      <c r="Y3552">
        <v>-0.2029147</v>
      </c>
      <c r="Z3552">
        <v>-3.2393589999999998E-3</v>
      </c>
      <c r="AA3552">
        <v>0.97919109999999998</v>
      </c>
      <c r="AB3552">
        <v>32</v>
      </c>
      <c r="AC3552">
        <v>-62.611600000000003</v>
      </c>
      <c r="AD3552">
        <v>-1.0926394500000001</v>
      </c>
      <c r="AE3552">
        <v>-12.7074</v>
      </c>
      <c r="AF3552">
        <v>-13.0304822616294</v>
      </c>
      <c r="AG3552">
        <v>-1.0926394500000001</v>
      </c>
      <c r="AH3552">
        <v>62.526077172561997</v>
      </c>
      <c r="AI3552">
        <v>90.980085857796098</v>
      </c>
      <c r="AJ3552">
        <v>101.77199167162</v>
      </c>
      <c r="AK3552">
        <v>63.878773121652202</v>
      </c>
      <c r="AL3552">
        <v>78.9020415025457</v>
      </c>
      <c r="AM3552">
        <v>93.937758158073905</v>
      </c>
      <c r="AN3552">
        <v>0.99999998949237001</v>
      </c>
    </row>
    <row r="3553" spans="1:40" x14ac:dyDescent="0.25">
      <c r="A3553" t="str">
        <f>"20190304155443120"</f>
        <v>20190304155443120</v>
      </c>
      <c r="B3553" t="str">
        <f>"1551686083111315"</f>
        <v>1551686083111315</v>
      </c>
      <c r="C3553" t="s">
        <v>40</v>
      </c>
      <c r="D3553">
        <v>4.4498059999999997</v>
      </c>
      <c r="E3553">
        <v>0.44484400000000002</v>
      </c>
      <c r="F3553" t="s">
        <v>46</v>
      </c>
      <c r="G3553">
        <v>-394.01369999999997</v>
      </c>
      <c r="H3553">
        <v>3.5873139999999998E-2</v>
      </c>
      <c r="I3553">
        <v>129.61619999999999</v>
      </c>
      <c r="J3553">
        <v>-331.56869999999998</v>
      </c>
      <c r="K3553">
        <v>1.1106210000000001</v>
      </c>
      <c r="L3553">
        <v>142.32499999999999</v>
      </c>
      <c r="M3553">
        <v>-0.99988299999999997</v>
      </c>
      <c r="N3553">
        <v>-1.4446759999999999E-2</v>
      </c>
      <c r="O3553">
        <v>5.0300630000000004E-3</v>
      </c>
      <c r="P3553">
        <v>-0.98196550000000005</v>
      </c>
      <c r="Q3553">
        <v>0.178413299999999</v>
      </c>
      <c r="R3553">
        <v>-6.2549820000000006E-2</v>
      </c>
      <c r="S3553">
        <v>-3.025604</v>
      </c>
      <c r="T3553">
        <v>-5.1820280000000003E-2</v>
      </c>
      <c r="U3553">
        <v>-0.61270139999999995</v>
      </c>
      <c r="V3553">
        <v>-6.756508E-2</v>
      </c>
      <c r="W3553">
        <v>0.1925491</v>
      </c>
      <c r="X3553">
        <v>0.97895849999999995</v>
      </c>
      <c r="Y3553">
        <v>-0.203351</v>
      </c>
      <c r="Z3553">
        <v>-3.2210720000000002E-3</v>
      </c>
      <c r="AA3553">
        <v>0.97910059999999999</v>
      </c>
      <c r="AB3553">
        <v>32</v>
      </c>
      <c r="AC3553">
        <v>-62.444999999999901</v>
      </c>
      <c r="AD3553">
        <v>-1.07474785999999</v>
      </c>
      <c r="AE3553">
        <v>-12.708799999999901</v>
      </c>
      <c r="AF3553">
        <v>-13.019071098666601</v>
      </c>
      <c r="AG3553">
        <v>-1.07474785999999</v>
      </c>
      <c r="AH3553">
        <v>62.362538671280298</v>
      </c>
      <c r="AI3553">
        <v>90.966497733658898</v>
      </c>
      <c r="AJ3553">
        <v>101.791951762815</v>
      </c>
      <c r="AK3553">
        <v>63.716069595994703</v>
      </c>
      <c r="AL3553">
        <v>78.898415391141597</v>
      </c>
      <c r="AM3553">
        <v>93.9481395453234</v>
      </c>
      <c r="AN3553">
        <v>0.99999997033423205</v>
      </c>
    </row>
    <row r="3554" spans="1:40" x14ac:dyDescent="0.25">
      <c r="A3554" t="str">
        <f>"20190304155443143"</f>
        <v>20190304155443143</v>
      </c>
      <c r="B3554" t="str">
        <f>"1551686083140596"</f>
        <v>1551686083140596</v>
      </c>
      <c r="C3554" t="s">
        <v>40</v>
      </c>
      <c r="D3554">
        <v>4.4600559999999998</v>
      </c>
      <c r="E3554">
        <v>0.44509569999999998</v>
      </c>
      <c r="F3554" t="s">
        <v>46</v>
      </c>
      <c r="G3554">
        <v>-394.41789999999997</v>
      </c>
      <c r="H3554">
        <v>2.2509169999999998E-3</v>
      </c>
      <c r="I3554">
        <v>129.61619999999999</v>
      </c>
      <c r="J3554">
        <v>-331.89679999999998</v>
      </c>
      <c r="K3554">
        <v>1.110611</v>
      </c>
      <c r="L3554">
        <v>142.32650000000001</v>
      </c>
      <c r="M3554">
        <v>-0.99988410000000005</v>
      </c>
      <c r="N3554">
        <v>-1.444318E-2</v>
      </c>
      <c r="O3554">
        <v>4.8227449999999998E-3</v>
      </c>
      <c r="P3554">
        <v>-0.98203530000000006</v>
      </c>
      <c r="Q3554">
        <v>0.17789969999999999</v>
      </c>
      <c r="R3554">
        <v>-6.2914699999999907E-2</v>
      </c>
      <c r="S3554">
        <v>-3.0257869999999998</v>
      </c>
      <c r="T3554">
        <v>-5.3360940000000003E-2</v>
      </c>
      <c r="U3554">
        <v>-0.61184689999999997</v>
      </c>
      <c r="V3554">
        <v>-6.772657E-2</v>
      </c>
      <c r="W3554">
        <v>0.1920335</v>
      </c>
      <c r="X3554">
        <v>0.97904869999999999</v>
      </c>
      <c r="Y3554">
        <v>-0.2028684</v>
      </c>
      <c r="Z3554">
        <v>-3.2660190000000002E-3</v>
      </c>
      <c r="AA3554">
        <v>0.97920050000000003</v>
      </c>
      <c r="AB3554">
        <v>32</v>
      </c>
      <c r="AC3554">
        <v>-62.521099999999898</v>
      </c>
      <c r="AD3554">
        <v>-1.108360083</v>
      </c>
      <c r="AE3554">
        <v>-12.7103</v>
      </c>
      <c r="AF3554">
        <v>-13.007781160867999</v>
      </c>
      <c r="AG3554">
        <v>-1.108360083</v>
      </c>
      <c r="AH3554">
        <v>62.440223319820099</v>
      </c>
      <c r="AI3554">
        <v>90.995566300705605</v>
      </c>
      <c r="AJ3554">
        <v>101.767762412569</v>
      </c>
      <c r="AK3554">
        <v>63.790377965894102</v>
      </c>
      <c r="AL3554">
        <v>78.928519842489294</v>
      </c>
      <c r="AM3554">
        <v>93.957182749954995</v>
      </c>
      <c r="AN3554">
        <v>1.0000000551889501</v>
      </c>
    </row>
    <row r="3555" spans="1:40" x14ac:dyDescent="0.25">
      <c r="A3555" t="str">
        <f>"20190304155443164"</f>
        <v>20190304155443164</v>
      </c>
      <c r="B3555" t="str">
        <f>"1551686083161091"</f>
        <v>1551686083161091</v>
      </c>
      <c r="C3555" t="s">
        <v>40</v>
      </c>
      <c r="D3555">
        <v>4.4494059999999998</v>
      </c>
      <c r="E3555">
        <v>0.445247</v>
      </c>
      <c r="F3555" t="s">
        <v>46</v>
      </c>
      <c r="G3555">
        <v>-391.79140000000001</v>
      </c>
      <c r="H3555" s="1">
        <v>-5.2742859999999997E-6</v>
      </c>
      <c r="I3555">
        <v>130.2398</v>
      </c>
      <c r="J3555">
        <v>-332.21190000000001</v>
      </c>
      <c r="K3555">
        <v>1.110609</v>
      </c>
      <c r="L3555">
        <v>142.3278</v>
      </c>
      <c r="M3555">
        <v>-0.99988509999999997</v>
      </c>
      <c r="N3555">
        <v>-1.4439840000000001E-2</v>
      </c>
      <c r="O3555">
        <v>4.6236489999999996E-3</v>
      </c>
      <c r="P3555">
        <v>-0.98206760000000004</v>
      </c>
      <c r="Q3555">
        <v>0.17744260000000001</v>
      </c>
      <c r="R3555">
        <v>-6.3698309999999994E-2</v>
      </c>
      <c r="S3555">
        <v>-3.0259399999999999</v>
      </c>
      <c r="T3555">
        <v>-5.6109550000000001E-2</v>
      </c>
      <c r="U3555">
        <v>-0.61062620000000001</v>
      </c>
      <c r="V3555">
        <v>-6.8314490000000005E-2</v>
      </c>
      <c r="W3555">
        <v>0.19157399999999999</v>
      </c>
      <c r="X3555">
        <v>0.97909780000000002</v>
      </c>
      <c r="Y3555">
        <v>-0.20227999999999999</v>
      </c>
      <c r="Z3555">
        <v>-3.3506590000000002E-3</v>
      </c>
      <c r="AA3555">
        <v>0.97932200000000003</v>
      </c>
      <c r="AB3555">
        <v>32</v>
      </c>
      <c r="AC3555">
        <v>-59.579500000000003</v>
      </c>
      <c r="AD3555">
        <v>-1.1106142742859999</v>
      </c>
      <c r="AE3555">
        <v>-12.0879999999999</v>
      </c>
      <c r="AF3555">
        <v>-12.359249340750299</v>
      </c>
      <c r="AG3555">
        <v>-1.1106142742859999</v>
      </c>
      <c r="AH3555">
        <v>59.503107702756303</v>
      </c>
      <c r="AI3555">
        <v>91.046950343943706</v>
      </c>
      <c r="AJ3555">
        <v>101.733925626838</v>
      </c>
      <c r="AK3555">
        <v>60.7832570254252</v>
      </c>
      <c r="AL3555">
        <v>78.955344521762697</v>
      </c>
      <c r="AM3555">
        <v>93.991224143562206</v>
      </c>
      <c r="AN3555">
        <v>0.99999998449239902</v>
      </c>
    </row>
    <row r="3556" spans="1:40" x14ac:dyDescent="0.25">
      <c r="A3556" t="str">
        <f>"20190304155443189"</f>
        <v>20190304155443189</v>
      </c>
      <c r="B3556" t="str">
        <f>"1551686083180611"</f>
        <v>1551686083180611</v>
      </c>
      <c r="C3556" t="s">
        <v>40</v>
      </c>
      <c r="D3556">
        <v>4.4855010000000002</v>
      </c>
      <c r="E3556">
        <v>0.44536199999999998</v>
      </c>
      <c r="F3556" t="s">
        <v>46</v>
      </c>
      <c r="G3556">
        <v>-389.75850000000003</v>
      </c>
      <c r="H3556" s="1">
        <v>-2.44413E-6</v>
      </c>
      <c r="I3556">
        <v>130.68680000000001</v>
      </c>
      <c r="J3556">
        <v>-332.54880000000003</v>
      </c>
      <c r="K3556">
        <v>1.1106130000000001</v>
      </c>
      <c r="L3556">
        <v>142.32910000000001</v>
      </c>
      <c r="M3556">
        <v>-0.99988619999999995</v>
      </c>
      <c r="N3556">
        <v>-1.4436239999999999E-2</v>
      </c>
      <c r="O3556">
        <v>4.4106079999999999E-3</v>
      </c>
      <c r="P3556">
        <v>-0.98217359999999998</v>
      </c>
      <c r="Q3556">
        <v>0.17677889999999999</v>
      </c>
      <c r="R3556">
        <v>-6.3908789999999993E-2</v>
      </c>
      <c r="S3556">
        <v>-3.0256349999999999</v>
      </c>
      <c r="T3556">
        <v>-5.8392880000000001E-2</v>
      </c>
      <c r="U3556">
        <v>-0.61204530000000001</v>
      </c>
      <c r="V3556">
        <v>-6.8316059999999998E-2</v>
      </c>
      <c r="W3556">
        <v>0.19090840000000001</v>
      </c>
      <c r="X3556">
        <v>0.97922770000000003</v>
      </c>
      <c r="Y3556">
        <v>-0.20252780000000001</v>
      </c>
      <c r="Z3556">
        <v>-3.4326399999999998E-3</v>
      </c>
      <c r="AA3556">
        <v>0.97927050000000004</v>
      </c>
      <c r="AB3556">
        <v>32</v>
      </c>
      <c r="AC3556">
        <v>-57.209699999999998</v>
      </c>
      <c r="AD3556">
        <v>-1.11061544412999</v>
      </c>
      <c r="AE3556">
        <v>-11.642300000000001</v>
      </c>
      <c r="AF3556">
        <v>-11.8902397137817</v>
      </c>
      <c r="AG3556">
        <v>-1.11061544412999</v>
      </c>
      <c r="AH3556">
        <v>57.137111653071798</v>
      </c>
      <c r="AI3556">
        <v>91.090209242374996</v>
      </c>
      <c r="AJ3556">
        <v>101.755481950934</v>
      </c>
      <c r="AK3556">
        <v>58.371746548921401</v>
      </c>
      <c r="AL3556">
        <v>78.994197819775493</v>
      </c>
      <c r="AM3556">
        <v>93.990787813919795</v>
      </c>
      <c r="AN3556">
        <v>0.99999999484588598</v>
      </c>
    </row>
    <row r="3557" spans="1:40" x14ac:dyDescent="0.25">
      <c r="A3557" t="str">
        <f>"20190304155443212"</f>
        <v>20190304155443212</v>
      </c>
      <c r="B3557" t="str">
        <f>"1551686083201106"</f>
        <v>1551686083201106</v>
      </c>
      <c r="C3557" t="s">
        <v>40</v>
      </c>
      <c r="D3557">
        <v>4.4694739999999999</v>
      </c>
      <c r="E3557">
        <v>0.44565300000000002</v>
      </c>
      <c r="F3557" t="s">
        <v>46</v>
      </c>
      <c r="G3557">
        <v>-387.47809999999998</v>
      </c>
      <c r="H3557" s="1">
        <v>-3.077255E-6</v>
      </c>
      <c r="I3557">
        <v>131.22389999999999</v>
      </c>
      <c r="J3557">
        <v>-332.8929</v>
      </c>
      <c r="K3557">
        <v>1.1106100000000001</v>
      </c>
      <c r="L3557">
        <v>142.3304</v>
      </c>
      <c r="M3557">
        <v>-0.99988699999999997</v>
      </c>
      <c r="N3557">
        <v>-1.4432530000000001E-2</v>
      </c>
      <c r="O3557">
        <v>4.1929799999999998E-3</v>
      </c>
      <c r="P3557">
        <v>-0.98218130000000003</v>
      </c>
      <c r="Q3557">
        <v>0.17650589999999999</v>
      </c>
      <c r="R3557">
        <v>-6.4542870000000002E-2</v>
      </c>
      <c r="S3557">
        <v>-3.0256959999999999</v>
      </c>
      <c r="T3557">
        <v>-6.1176660000000001E-2</v>
      </c>
      <c r="U3557">
        <v>-0.61170959999999996</v>
      </c>
      <c r="V3557">
        <v>-6.8735379999999999E-2</v>
      </c>
      <c r="W3557">
        <v>0.19063169999999999</v>
      </c>
      <c r="X3557">
        <v>0.97925229999999996</v>
      </c>
      <c r="Y3557">
        <v>-0.20220160000000001</v>
      </c>
      <c r="Z3557">
        <v>-3.5215939999999999E-3</v>
      </c>
      <c r="AA3557">
        <v>0.97933760000000003</v>
      </c>
      <c r="AB3557">
        <v>32</v>
      </c>
      <c r="AC3557">
        <v>-54.585199999999901</v>
      </c>
      <c r="AD3557">
        <v>-1.110613077255</v>
      </c>
      <c r="AE3557">
        <v>-11.1065</v>
      </c>
      <c r="AF3557">
        <v>-11.330796643962</v>
      </c>
      <c r="AG3557">
        <v>-1.110613077255</v>
      </c>
      <c r="AH3557">
        <v>54.516474538277002</v>
      </c>
      <c r="AI3557">
        <v>91.142659042822302</v>
      </c>
      <c r="AJ3557">
        <v>101.741289400998</v>
      </c>
      <c r="AK3557">
        <v>55.692606422009</v>
      </c>
      <c r="AL3557">
        <v>79.010348583762394</v>
      </c>
      <c r="AM3557">
        <v>94.015102624902298</v>
      </c>
      <c r="AN3557">
        <v>1.00000003228196</v>
      </c>
    </row>
    <row r="3558" spans="1:40" x14ac:dyDescent="0.25">
      <c r="A3558" t="str">
        <f>"20190304155443232"</f>
        <v>20190304155443232</v>
      </c>
      <c r="B3558" t="str">
        <f>"1551686083220628"</f>
        <v>1551686083220628</v>
      </c>
      <c r="C3558" t="s">
        <v>40</v>
      </c>
      <c r="D3558">
        <v>4.4949510000000004</v>
      </c>
      <c r="E3558">
        <v>0.44584750000000001</v>
      </c>
      <c r="F3558" t="s">
        <v>46</v>
      </c>
      <c r="G3558">
        <v>-387.17790000000002</v>
      </c>
      <c r="H3558" s="1">
        <v>-3.1444089999999999E-6</v>
      </c>
      <c r="I3558">
        <v>131.3554</v>
      </c>
      <c r="J3558">
        <v>-333.17110000000002</v>
      </c>
      <c r="K3558">
        <v>1.110609</v>
      </c>
      <c r="L3558">
        <v>142.3314</v>
      </c>
      <c r="M3558">
        <v>-0.99988790000000005</v>
      </c>
      <c r="N3558">
        <v>-1.4429499999999901E-2</v>
      </c>
      <c r="O3558">
        <v>4.0167079999999999E-3</v>
      </c>
      <c r="P3558">
        <v>-0.98223369999999999</v>
      </c>
      <c r="Q3558">
        <v>0.17627709999999999</v>
      </c>
      <c r="R3558">
        <v>-6.4371049999999999E-2</v>
      </c>
      <c r="S3558">
        <v>-3.0253909999999999</v>
      </c>
      <c r="T3558">
        <v>-6.1896319999999998E-2</v>
      </c>
      <c r="U3558">
        <v>-0.61164859999999999</v>
      </c>
      <c r="V3558">
        <v>-6.8390629999999994E-2</v>
      </c>
      <c r="W3558">
        <v>0.19040099999999999</v>
      </c>
      <c r="X3558">
        <v>0.97932129999999995</v>
      </c>
      <c r="Y3558">
        <v>-0.20202800000000001</v>
      </c>
      <c r="Z3558">
        <v>-3.5422259999999999E-3</v>
      </c>
      <c r="AA3558">
        <v>0.9793733</v>
      </c>
      <c r="AB3558">
        <v>32</v>
      </c>
      <c r="AC3558">
        <v>-54.006799999999998</v>
      </c>
      <c r="AD3558">
        <v>-1.110612144409</v>
      </c>
      <c r="AE3558">
        <v>-10.976000000000001</v>
      </c>
      <c r="AF3558">
        <v>-11.1883197944994</v>
      </c>
      <c r="AG3558">
        <v>-1.110612144409</v>
      </c>
      <c r="AH3558">
        <v>53.940366199312699</v>
      </c>
      <c r="AI3558">
        <v>91.1549557952698</v>
      </c>
      <c r="AJ3558">
        <v>101.718135650158</v>
      </c>
      <c r="AK3558">
        <v>55.099682983436999</v>
      </c>
      <c r="AL3558">
        <v>79.023813135065893</v>
      </c>
      <c r="AM3558">
        <v>93.9947492331342</v>
      </c>
      <c r="AN3558">
        <v>1.0000000138532401</v>
      </c>
    </row>
    <row r="3559" spans="1:40" x14ac:dyDescent="0.25">
      <c r="A3559" t="str">
        <f>"20190304155443253"</f>
        <v>20190304155443253</v>
      </c>
      <c r="B3559" t="str">
        <f>"1551686083241123"</f>
        <v>1551686083241123</v>
      </c>
      <c r="C3559" t="s">
        <v>40</v>
      </c>
      <c r="D3559">
        <v>4.4958220000000004</v>
      </c>
      <c r="E3559">
        <v>0.4459825</v>
      </c>
      <c r="F3559" t="s">
        <v>46</v>
      </c>
      <c r="G3559">
        <v>-386.65159999999997</v>
      </c>
      <c r="H3559" s="1">
        <v>-3.2704059999999998E-6</v>
      </c>
      <c r="I3559">
        <v>131.55510000000001</v>
      </c>
      <c r="J3559">
        <v>-333.48390000000001</v>
      </c>
      <c r="K3559">
        <v>1.110614</v>
      </c>
      <c r="L3559">
        <v>142.33240000000001</v>
      </c>
      <c r="M3559">
        <v>-0.99988880000000002</v>
      </c>
      <c r="N3559">
        <v>-1.4426069999999999E-2</v>
      </c>
      <c r="O3559">
        <v>3.8185659999999998E-3</v>
      </c>
      <c r="P3559">
        <v>-0.98231179999999996</v>
      </c>
      <c r="Q3559">
        <v>0.17596099999999901</v>
      </c>
      <c r="R3559">
        <v>-6.4044980000000001E-2</v>
      </c>
      <c r="S3559">
        <v>-3.0255740000000002</v>
      </c>
      <c r="T3559">
        <v>-6.2831280000000003E-2</v>
      </c>
      <c r="U3559">
        <v>-0.60964969999999996</v>
      </c>
      <c r="V3559">
        <v>-6.7869990000000005E-2</v>
      </c>
      <c r="W3559">
        <v>0.1900831</v>
      </c>
      <c r="X3559">
        <v>0.97941920000000005</v>
      </c>
      <c r="Y3559">
        <v>-0.20119919999999999</v>
      </c>
      <c r="Z3559">
        <v>-3.5581290000000002E-3</v>
      </c>
      <c r="AA3559">
        <v>0.97954390000000002</v>
      </c>
      <c r="AB3559">
        <v>32</v>
      </c>
      <c r="AC3559">
        <v>-53.167699999999897</v>
      </c>
      <c r="AD3559">
        <v>-1.110617270406</v>
      </c>
      <c r="AE3559">
        <v>-10.777299999999901</v>
      </c>
      <c r="AF3559">
        <v>-10.975666684132101</v>
      </c>
      <c r="AG3559">
        <v>-1.110617270406</v>
      </c>
      <c r="AH3559">
        <v>53.103896919636</v>
      </c>
      <c r="AI3559">
        <v>91.173320210329706</v>
      </c>
      <c r="AJ3559">
        <v>101.677629073166</v>
      </c>
      <c r="AK3559">
        <v>54.2376492662967</v>
      </c>
      <c r="AL3559">
        <v>79.042365530510295</v>
      </c>
      <c r="AM3559">
        <v>93.964040581110893</v>
      </c>
      <c r="AN3559">
        <v>0.99999994488842303</v>
      </c>
    </row>
    <row r="3560" spans="1:40" x14ac:dyDescent="0.25">
      <c r="A3560" t="str">
        <f>"20190304155443277"</f>
        <v>20190304155443277</v>
      </c>
      <c r="B3560" t="str">
        <f>"1551686083270402"</f>
        <v>1551686083270402</v>
      </c>
      <c r="C3560" t="s">
        <v>40</v>
      </c>
      <c r="D3560">
        <v>4.4801539999999997</v>
      </c>
      <c r="E3560">
        <v>0.446135</v>
      </c>
      <c r="F3560" t="s">
        <v>46</v>
      </c>
      <c r="G3560">
        <v>-386.61219999999997</v>
      </c>
      <c r="H3560" s="1">
        <v>-3.2567819999999998E-6</v>
      </c>
      <c r="I3560">
        <v>131.6566</v>
      </c>
      <c r="J3560">
        <v>-333.81299999999999</v>
      </c>
      <c r="K3560">
        <v>1.1106100000000001</v>
      </c>
      <c r="L3560">
        <v>142.33349999999999</v>
      </c>
      <c r="M3560">
        <v>-0.99988940000000004</v>
      </c>
      <c r="N3560">
        <v>-1.442245E-2</v>
      </c>
      <c r="O3560">
        <v>3.610294E-3</v>
      </c>
      <c r="P3560">
        <v>-0.98230360000000005</v>
      </c>
      <c r="Q3560">
        <v>0.17612620000000001</v>
      </c>
      <c r="R3560">
        <v>-6.3713339999999993E-2</v>
      </c>
      <c r="S3560">
        <v>-3.025665</v>
      </c>
      <c r="T3560">
        <v>-6.3249949999999999E-2</v>
      </c>
      <c r="U3560">
        <v>-0.60798649999999999</v>
      </c>
      <c r="V3560">
        <v>-6.7333550000000006E-2</v>
      </c>
      <c r="W3560">
        <v>0.19024559999999999</v>
      </c>
      <c r="X3560">
        <v>0.97942470000000004</v>
      </c>
      <c r="Y3560">
        <v>-0.20047139999999999</v>
      </c>
      <c r="Z3560">
        <v>-3.5578789999999999E-3</v>
      </c>
      <c r="AA3560">
        <v>0.97969309999999998</v>
      </c>
      <c r="AB3560">
        <v>32</v>
      </c>
      <c r="AC3560">
        <v>-52.7991999999999</v>
      </c>
      <c r="AD3560">
        <v>-1.110613256782</v>
      </c>
      <c r="AE3560">
        <v>-10.6768999999999</v>
      </c>
      <c r="AF3560">
        <v>-10.8628533537306</v>
      </c>
      <c r="AG3560">
        <v>-1.110613256782</v>
      </c>
      <c r="AH3560">
        <v>52.737887516499697</v>
      </c>
      <c r="AI3560">
        <v>91.1816214122574</v>
      </c>
      <c r="AJ3560">
        <v>101.63890035575</v>
      </c>
      <c r="AK3560">
        <v>53.856474304337603</v>
      </c>
      <c r="AL3560">
        <v>79.032882180346107</v>
      </c>
      <c r="AM3560">
        <v>93.932785755363994</v>
      </c>
      <c r="AN3560">
        <v>0.99999996912252498</v>
      </c>
    </row>
    <row r="3561" spans="1:40" x14ac:dyDescent="0.25">
      <c r="A3561" t="str">
        <f>"20190304155443299"</f>
        <v>20190304155443299</v>
      </c>
      <c r="B3561" t="str">
        <f>"1551686083290899"</f>
        <v>1551686083290899</v>
      </c>
      <c r="C3561" t="s">
        <v>40</v>
      </c>
      <c r="D3561">
        <v>4.471997</v>
      </c>
      <c r="E3561">
        <v>0.44628289999999998</v>
      </c>
      <c r="F3561" t="s">
        <v>46</v>
      </c>
      <c r="G3561">
        <v>-387.65050000000002</v>
      </c>
      <c r="H3561" s="1">
        <v>-2.9304649999999998E-6</v>
      </c>
      <c r="I3561">
        <v>131.55510000000001</v>
      </c>
      <c r="J3561">
        <v>-334.1413</v>
      </c>
      <c r="K3561">
        <v>1.110611</v>
      </c>
      <c r="L3561">
        <v>142.33449999999999</v>
      </c>
      <c r="M3561">
        <v>-0.99989039999999996</v>
      </c>
      <c r="N3561">
        <v>-1.441886E-2</v>
      </c>
      <c r="O3561">
        <v>3.4023180000000001E-3</v>
      </c>
      <c r="P3561">
        <v>-0.98226849999999999</v>
      </c>
      <c r="Q3561">
        <v>0.176515899999999</v>
      </c>
      <c r="R3561">
        <v>-6.3175819999999994E-2</v>
      </c>
      <c r="S3561">
        <v>-3.025909</v>
      </c>
      <c r="T3561">
        <v>-6.2421560000000001E-2</v>
      </c>
      <c r="U3561">
        <v>-0.60578920000000003</v>
      </c>
      <c r="V3561">
        <v>-6.6591490000000003E-2</v>
      </c>
      <c r="W3561">
        <v>0.19063179999999999</v>
      </c>
      <c r="X3561">
        <v>0.97940039999999995</v>
      </c>
      <c r="Y3561">
        <v>-0.1995702</v>
      </c>
      <c r="Z3561">
        <v>-3.5122109999999999E-3</v>
      </c>
      <c r="AA3561">
        <v>0.9798772</v>
      </c>
      <c r="AB3561">
        <v>32</v>
      </c>
      <c r="AC3561">
        <v>-53.5092</v>
      </c>
      <c r="AD3561">
        <v>-1.110613930465</v>
      </c>
      <c r="AE3561">
        <v>-10.7793999999999</v>
      </c>
      <c r="AF3561">
        <v>-10.9568757422246</v>
      </c>
      <c r="AG3561">
        <v>-1.110613930465</v>
      </c>
      <c r="AH3561">
        <v>53.450083512141497</v>
      </c>
      <c r="AI3561">
        <v>91.166108461458805</v>
      </c>
      <c r="AJ3561">
        <v>101.58472360714001</v>
      </c>
      <c r="AK3561">
        <v>54.572868870785904</v>
      </c>
      <c r="AL3561">
        <v>79.010342684107599</v>
      </c>
      <c r="AM3561">
        <v>93.889673854199103</v>
      </c>
      <c r="AN3561">
        <v>1.0000000266158999</v>
      </c>
    </row>
    <row r="3562" spans="1:40" x14ac:dyDescent="0.25">
      <c r="A3562" t="str">
        <f>"20190304155443321"</f>
        <v>20190304155443321</v>
      </c>
      <c r="B3562" t="str">
        <f>"1551686083310419"</f>
        <v>1551686083310419</v>
      </c>
      <c r="C3562" t="s">
        <v>40</v>
      </c>
      <c r="D3562">
        <v>4.4728519999999996</v>
      </c>
      <c r="E3562">
        <v>0.44628129999999999</v>
      </c>
      <c r="F3562" t="s">
        <v>46</v>
      </c>
      <c r="G3562">
        <v>-389.74029999999999</v>
      </c>
      <c r="H3562" s="1">
        <v>-2.2991020000000002E-6</v>
      </c>
      <c r="I3562">
        <v>131.2551</v>
      </c>
      <c r="J3562">
        <v>-334.44170000000003</v>
      </c>
      <c r="K3562">
        <v>1.110619</v>
      </c>
      <c r="L3562">
        <v>142.33529999999999</v>
      </c>
      <c r="M3562">
        <v>-0.99989090000000003</v>
      </c>
      <c r="N3562">
        <v>-1.4415580000000001E-2</v>
      </c>
      <c r="O3562">
        <v>3.2121609999999998E-3</v>
      </c>
      <c r="P3562">
        <v>-0.98227140000000002</v>
      </c>
      <c r="Q3562">
        <v>0.17663429999999999</v>
      </c>
      <c r="R3562">
        <v>-6.2795190000000001E-2</v>
      </c>
      <c r="S3562">
        <v>-3.0262449999999999</v>
      </c>
      <c r="T3562">
        <v>-6.0450549999999999E-2</v>
      </c>
      <c r="U3562">
        <v>-0.60304259999999998</v>
      </c>
      <c r="V3562">
        <v>-6.6024410000000006E-2</v>
      </c>
      <c r="W3562">
        <v>0.19074740000000001</v>
      </c>
      <c r="X3562">
        <v>0.97941630000000002</v>
      </c>
      <c r="Y3562">
        <v>-0.19851150000000001</v>
      </c>
      <c r="Z3562">
        <v>-3.4259450000000001E-3</v>
      </c>
      <c r="AA3562">
        <v>0.98009259999999998</v>
      </c>
      <c r="AB3562">
        <v>32</v>
      </c>
      <c r="AC3562">
        <v>-55.298599999999901</v>
      </c>
      <c r="AD3562">
        <v>-1.1106212991019999</v>
      </c>
      <c r="AE3562">
        <v>-11.0801999999999</v>
      </c>
      <c r="AF3562">
        <v>-11.253425211298699</v>
      </c>
      <c r="AG3562">
        <v>-1.1106212991019999</v>
      </c>
      <c r="AH3562">
        <v>55.241296961281201</v>
      </c>
      <c r="AI3562">
        <v>91.128597489156903</v>
      </c>
      <c r="AJ3562">
        <v>101.514397257144</v>
      </c>
      <c r="AK3562">
        <v>56.3868242466338</v>
      </c>
      <c r="AL3562">
        <v>79.003595643938993</v>
      </c>
      <c r="AM3562">
        <v>93.856588125875007</v>
      </c>
      <c r="AN3562">
        <v>1.0000000410141401</v>
      </c>
    </row>
    <row r="3563" spans="1:40" x14ac:dyDescent="0.25">
      <c r="A3563" t="str">
        <f>"20190304155443343"</f>
        <v>20190304155443343</v>
      </c>
      <c r="B3563" t="str">
        <f>"1551686083340675"</f>
        <v>1551686083340675</v>
      </c>
      <c r="C3563" t="s">
        <v>40</v>
      </c>
      <c r="D3563">
        <v>4.4737099999999996</v>
      </c>
      <c r="E3563">
        <v>0.446106</v>
      </c>
      <c r="F3563" t="s">
        <v>46</v>
      </c>
      <c r="G3563">
        <v>-390.60950000000003</v>
      </c>
      <c r="H3563" s="1">
        <v>-5.5103399999999998E-6</v>
      </c>
      <c r="I3563">
        <v>131.16249999999999</v>
      </c>
      <c r="J3563">
        <v>-334.76389999999998</v>
      </c>
      <c r="K3563">
        <v>1.110619</v>
      </c>
      <c r="L3563">
        <v>142.33609999999999</v>
      </c>
      <c r="M3563">
        <v>-0.99989159999999999</v>
      </c>
      <c r="N3563">
        <v>-1.4412070000000001E-2</v>
      </c>
      <c r="O3563">
        <v>3.0081790000000001E-3</v>
      </c>
      <c r="P3563">
        <v>-0.98224040000000001</v>
      </c>
      <c r="Q3563">
        <v>0.17684049999999901</v>
      </c>
      <c r="R3563">
        <v>-6.2700450000000005E-2</v>
      </c>
      <c r="S3563">
        <v>-3.0264280000000001</v>
      </c>
      <c r="T3563">
        <v>-5.9842590000000001E-2</v>
      </c>
      <c r="U3563">
        <v>-0.60200500000000001</v>
      </c>
      <c r="V3563">
        <v>-6.5728949999999994E-2</v>
      </c>
      <c r="W3563">
        <v>0.19095010000000001</v>
      </c>
      <c r="X3563">
        <v>0.97939659999999995</v>
      </c>
      <c r="Y3563">
        <v>-0.19797819999999999</v>
      </c>
      <c r="Z3563">
        <v>-3.3949330000000002E-3</v>
      </c>
      <c r="AA3563">
        <v>0.98020050000000003</v>
      </c>
      <c r="AB3563">
        <v>32</v>
      </c>
      <c r="AC3563">
        <v>-55.845599999999997</v>
      </c>
      <c r="AD3563">
        <v>-1.1106245103399901</v>
      </c>
      <c r="AE3563">
        <v>-11.173599999999899</v>
      </c>
      <c r="AF3563">
        <v>-11.337249054751901</v>
      </c>
      <c r="AG3563">
        <v>-1.1106245103399901</v>
      </c>
      <c r="AH3563">
        <v>55.790515261136299</v>
      </c>
      <c r="AI3563">
        <v>91.1176030895938</v>
      </c>
      <c r="AJ3563">
        <v>101.486726084899</v>
      </c>
      <c r="AK3563">
        <v>56.941621824773499</v>
      </c>
      <c r="AL3563">
        <v>78.991763508044301</v>
      </c>
      <c r="AM3563">
        <v>93.839458577819599</v>
      </c>
      <c r="AN3563">
        <v>0.99999996782483502</v>
      </c>
    </row>
    <row r="3564" spans="1:40" x14ac:dyDescent="0.25">
      <c r="A3564" t="str">
        <f>"20190304155443366"</f>
        <v>20190304155443366</v>
      </c>
      <c r="B3564" t="str">
        <f>"1551686083361171"</f>
        <v>1551686083361171</v>
      </c>
      <c r="C3564" t="s">
        <v>40</v>
      </c>
      <c r="D3564">
        <v>4.4663589999999997</v>
      </c>
      <c r="E3564">
        <v>0.4460423</v>
      </c>
      <c r="F3564" t="s">
        <v>46</v>
      </c>
      <c r="G3564">
        <v>-391.59750000000003</v>
      </c>
      <c r="H3564" s="1">
        <v>-5.1370729999999998E-6</v>
      </c>
      <c r="I3564">
        <v>131.00360000000001</v>
      </c>
      <c r="J3564">
        <v>-335.0813</v>
      </c>
      <c r="K3564">
        <v>1.110614</v>
      </c>
      <c r="L3564">
        <v>142.33680000000001</v>
      </c>
      <c r="M3564">
        <v>-0.99989240000000001</v>
      </c>
      <c r="N3564">
        <v>-1.4408610000000001E-2</v>
      </c>
      <c r="O3564">
        <v>2.8069380000000001E-3</v>
      </c>
      <c r="P3564">
        <v>-0.98219730000000005</v>
      </c>
      <c r="Q3564">
        <v>0.1769937</v>
      </c>
      <c r="R3564">
        <v>-6.2944710000000001E-2</v>
      </c>
      <c r="S3564">
        <v>-3.0263979999999999</v>
      </c>
      <c r="T3564">
        <v>-5.914092E-2</v>
      </c>
      <c r="U3564">
        <v>-0.60345459999999995</v>
      </c>
      <c r="V3564">
        <v>-6.5775570000000005E-2</v>
      </c>
      <c r="W3564">
        <v>0.19109989999999999</v>
      </c>
      <c r="X3564">
        <v>0.97936429999999997</v>
      </c>
      <c r="Y3564">
        <v>-0.19823550000000001</v>
      </c>
      <c r="Z3564">
        <v>-3.3745139999999999E-3</v>
      </c>
      <c r="AA3564">
        <v>0.98014860000000004</v>
      </c>
      <c r="AB3564">
        <v>32</v>
      </c>
      <c r="AC3564">
        <v>-56.516199999999998</v>
      </c>
      <c r="AD3564">
        <v>-1.1106191370730001</v>
      </c>
      <c r="AE3564">
        <v>-11.3332</v>
      </c>
      <c r="AF3564">
        <v>-11.487544548509</v>
      </c>
      <c r="AG3564">
        <v>-1.1106191370730001</v>
      </c>
      <c r="AH3564">
        <v>56.463200655655797</v>
      </c>
      <c r="AI3564">
        <v>91.104234366642999</v>
      </c>
      <c r="AJ3564">
        <v>101.49997714253099</v>
      </c>
      <c r="AK3564">
        <v>57.6306358016503</v>
      </c>
      <c r="AL3564">
        <v>78.983020105541499</v>
      </c>
      <c r="AM3564">
        <v>93.842299999343098</v>
      </c>
      <c r="AN3564">
        <v>1.0000000147516599</v>
      </c>
    </row>
    <row r="3565" spans="1:40" x14ac:dyDescent="0.25">
      <c r="A3565" t="str">
        <f>"20190304155443389"</f>
        <v>20190304155443389</v>
      </c>
      <c r="B3565" t="str">
        <f>"1551686083380690"</f>
        <v>1551686083380690</v>
      </c>
      <c r="C3565" t="s">
        <v>40</v>
      </c>
      <c r="D3565">
        <v>4.4608780000000001</v>
      </c>
      <c r="E3565">
        <v>0.4461019</v>
      </c>
      <c r="F3565" t="s">
        <v>46</v>
      </c>
      <c r="G3565">
        <v>-393.06569999999999</v>
      </c>
      <c r="H3565" s="1">
        <v>-4.7067150000000004E-6</v>
      </c>
      <c r="I3565">
        <v>130.7431</v>
      </c>
      <c r="J3565">
        <v>-335.41359999999997</v>
      </c>
      <c r="K3565">
        <v>1.1106100000000001</v>
      </c>
      <c r="L3565">
        <v>142.33750000000001</v>
      </c>
      <c r="M3565">
        <v>-0.99989289999999997</v>
      </c>
      <c r="N3565">
        <v>-1.440495E-2</v>
      </c>
      <c r="O3565">
        <v>2.5963409999999998E-3</v>
      </c>
      <c r="P3565">
        <v>-0.98219939999999994</v>
      </c>
      <c r="Q3565">
        <v>0.1767793</v>
      </c>
      <c r="R3565">
        <v>-6.3510269999999994E-2</v>
      </c>
      <c r="S3565">
        <v>-3.026062</v>
      </c>
      <c r="T3565">
        <v>-5.7960390000000001E-2</v>
      </c>
      <c r="U3565">
        <v>-0.60504150000000001</v>
      </c>
      <c r="V3565">
        <v>-6.6133810000000001E-2</v>
      </c>
      <c r="W3565">
        <v>0.19088169999999999</v>
      </c>
      <c r="X3565">
        <v>0.97938270000000005</v>
      </c>
      <c r="Y3565">
        <v>-0.1985461</v>
      </c>
      <c r="Z3565">
        <v>-3.3391940000000002E-3</v>
      </c>
      <c r="AA3565">
        <v>0.98008580000000001</v>
      </c>
      <c r="AB3565">
        <v>32</v>
      </c>
      <c r="AC3565">
        <v>-57.652099999999997</v>
      </c>
      <c r="AD3565">
        <v>-1.1106147067150001</v>
      </c>
      <c r="AE3565">
        <v>-11.5944</v>
      </c>
      <c r="AF3565">
        <v>-11.7398735872465</v>
      </c>
      <c r="AG3565">
        <v>-1.1106147067150001</v>
      </c>
      <c r="AH3565">
        <v>57.601254353506</v>
      </c>
      <c r="AI3565">
        <v>91.082342075697397</v>
      </c>
      <c r="AJ3565">
        <v>101.51983339592</v>
      </c>
      <c r="AK3565">
        <v>58.795940335779903</v>
      </c>
      <c r="AL3565">
        <v>78.995756207262204</v>
      </c>
      <c r="AM3565">
        <v>93.863091144385393</v>
      </c>
      <c r="AN3565">
        <v>0.99999998863964801</v>
      </c>
    </row>
    <row r="3566" spans="1:40" x14ac:dyDescent="0.25">
      <c r="A3566" t="str">
        <f>"20190304155443412"</f>
        <v>20190304155443412</v>
      </c>
      <c r="B3566" t="str">
        <f>"1551686083401187"</f>
        <v>1551686083401187</v>
      </c>
      <c r="C3566" t="s">
        <v>40</v>
      </c>
      <c r="D3566">
        <v>4.4612889999999998</v>
      </c>
      <c r="E3566">
        <v>0.44620530000000003</v>
      </c>
      <c r="F3566" t="s">
        <v>46</v>
      </c>
      <c r="G3566">
        <v>-393.3528</v>
      </c>
      <c r="H3566" s="1">
        <v>-4.6145490000000003E-6</v>
      </c>
      <c r="I3566">
        <v>130.72239999999999</v>
      </c>
      <c r="J3566">
        <v>-335.74079999999998</v>
      </c>
      <c r="K3566">
        <v>1.1106119999999999</v>
      </c>
      <c r="L3566">
        <v>142.3382</v>
      </c>
      <c r="M3566">
        <v>-0.99989349999999999</v>
      </c>
      <c r="N3566">
        <v>-1.440136E-2</v>
      </c>
      <c r="O3566">
        <v>2.3889620000000001E-3</v>
      </c>
      <c r="P3566">
        <v>-0.98224319999999998</v>
      </c>
      <c r="Q3566">
        <v>0.17643829999999999</v>
      </c>
      <c r="R3566">
        <v>-6.3781229999999994E-2</v>
      </c>
      <c r="S3566">
        <v>-3.0255740000000002</v>
      </c>
      <c r="T3566">
        <v>-5.7996150000000003E-2</v>
      </c>
      <c r="U3566">
        <v>-0.60653690000000005</v>
      </c>
      <c r="V3566">
        <v>-6.6200419999999996E-2</v>
      </c>
      <c r="W3566">
        <v>0.19053819999999999</v>
      </c>
      <c r="X3566">
        <v>0.97944509999999996</v>
      </c>
      <c r="Y3566">
        <v>-0.19883880000000001</v>
      </c>
      <c r="Z3566">
        <v>-3.34425E-3</v>
      </c>
      <c r="AA3566">
        <v>0.98002650000000002</v>
      </c>
      <c r="AB3566">
        <v>32</v>
      </c>
      <c r="AC3566">
        <v>-57.612000000000002</v>
      </c>
      <c r="AD3566">
        <v>-1.110616614549</v>
      </c>
      <c r="AE3566">
        <v>-11.6158</v>
      </c>
      <c r="AF3566">
        <v>-11.7492182743105</v>
      </c>
      <c r="AG3566">
        <v>-1.110616614549</v>
      </c>
      <c r="AH3566">
        <v>57.5635266975791</v>
      </c>
      <c r="AI3566">
        <v>91.0829904027662</v>
      </c>
      <c r="AJ3566">
        <v>101.53611107979199</v>
      </c>
      <c r="AK3566">
        <v>58.760847553322499</v>
      </c>
      <c r="AL3566">
        <v>79.015805435058994</v>
      </c>
      <c r="AM3566">
        <v>93.866724636876796</v>
      </c>
      <c r="AN3566">
        <v>1.0000000025907101</v>
      </c>
    </row>
    <row r="3567" spans="1:40" x14ac:dyDescent="0.25">
      <c r="A3567" t="str">
        <f>"20190304155443433"</f>
        <v>20190304155443433</v>
      </c>
      <c r="B3567" t="str">
        <f>"1551686083420707"</f>
        <v>1551686083420707</v>
      </c>
      <c r="C3567" t="s">
        <v>40</v>
      </c>
      <c r="D3567">
        <v>4.6505130000000001</v>
      </c>
      <c r="E3567">
        <v>0.4663503</v>
      </c>
      <c r="F3567" t="s">
        <v>46</v>
      </c>
      <c r="G3567">
        <v>-393.4787</v>
      </c>
      <c r="H3567" s="1">
        <v>-4.5625809999999998E-6</v>
      </c>
      <c r="I3567">
        <v>130.75659999999999</v>
      </c>
      <c r="J3567">
        <v>-336.03129999999999</v>
      </c>
      <c r="K3567">
        <v>1.110609</v>
      </c>
      <c r="L3567">
        <v>142.33869999999999</v>
      </c>
      <c r="M3567">
        <v>-0.9998939</v>
      </c>
      <c r="N3567">
        <v>-1.439817E-2</v>
      </c>
      <c r="O3567">
        <v>2.2047640000000001E-3</v>
      </c>
      <c r="P3567">
        <v>-0.98236409999999996</v>
      </c>
      <c r="Q3567">
        <v>0.1756733</v>
      </c>
      <c r="R3567">
        <v>-6.4026650000000004E-2</v>
      </c>
      <c r="S3567">
        <v>-3.0252690000000002</v>
      </c>
      <c r="T3567">
        <v>-5.8192489999999999E-2</v>
      </c>
      <c r="U3567">
        <v>-0.6068268</v>
      </c>
      <c r="V3567">
        <v>-6.6265539999999998E-2</v>
      </c>
      <c r="W3567">
        <v>0.1897723</v>
      </c>
      <c r="X3567">
        <v>0.97958940000000005</v>
      </c>
      <c r="Y3567">
        <v>-0.19876730000000001</v>
      </c>
      <c r="Z3567">
        <v>-3.3485839999999999E-3</v>
      </c>
      <c r="AA3567">
        <v>0.98004100000000005</v>
      </c>
      <c r="AB3567">
        <v>32</v>
      </c>
      <c r="AC3567">
        <v>-57.447400000000002</v>
      </c>
      <c r="AD3567">
        <v>-1.1106135625810001</v>
      </c>
      <c r="AE3567">
        <v>-11.582099999999899</v>
      </c>
      <c r="AF3567">
        <v>-11.704539195075601</v>
      </c>
      <c r="AG3567">
        <v>-1.1106135625810001</v>
      </c>
      <c r="AH3567">
        <v>57.401106024235503</v>
      </c>
      <c r="AI3567">
        <v>91.086093795784905</v>
      </c>
      <c r="AJ3567">
        <v>101.525064386702</v>
      </c>
      <c r="AK3567">
        <v>58.592803935807503</v>
      </c>
      <c r="AL3567">
        <v>79.060504033404001</v>
      </c>
      <c r="AM3567">
        <v>93.869948279236098</v>
      </c>
      <c r="AN3567">
        <v>1.0000000201155701</v>
      </c>
    </row>
    <row r="3568" spans="1:40" x14ac:dyDescent="0.25">
      <c r="A3568" t="str">
        <f>"20190304155443454"</f>
        <v>20190304155443454</v>
      </c>
      <c r="B3568" t="str">
        <f>"1551686083450963"</f>
        <v>1551686083450963</v>
      </c>
      <c r="C3568" t="s">
        <v>40</v>
      </c>
      <c r="D3568">
        <v>4.4650439999999998</v>
      </c>
      <c r="E3568">
        <v>0.48531809999999997</v>
      </c>
      <c r="F3568" t="s">
        <v>46</v>
      </c>
      <c r="G3568">
        <v>-376.05259999999998</v>
      </c>
      <c r="H3568" s="1">
        <v>-2.2367929999999999E-6</v>
      </c>
      <c r="I3568">
        <v>136.45310000000001</v>
      </c>
      <c r="J3568">
        <v>-336.34249999999997</v>
      </c>
      <c r="K3568">
        <v>1.110606</v>
      </c>
      <c r="L3568">
        <v>142.3391</v>
      </c>
      <c r="M3568">
        <v>-0.99989439999999996</v>
      </c>
      <c r="N3568">
        <v>-1.439475E-2</v>
      </c>
      <c r="O3568">
        <v>2.0074559999999999E-3</v>
      </c>
      <c r="P3568">
        <v>-0.98245550000000004</v>
      </c>
      <c r="Q3568">
        <v>0.17516860000000001</v>
      </c>
      <c r="R3568">
        <v>-6.4011150000000003E-2</v>
      </c>
      <c r="S3568">
        <v>-3.0397639999999999</v>
      </c>
      <c r="T3568">
        <v>-8.4354879999999993E-2</v>
      </c>
      <c r="U3568">
        <v>-0.44702150000000002</v>
      </c>
      <c r="V3568">
        <v>-6.6055370000000002E-2</v>
      </c>
      <c r="W3568">
        <v>0.18926570000000001</v>
      </c>
      <c r="X3568">
        <v>0.97970159999999995</v>
      </c>
      <c r="Y3568">
        <v>-0.147394</v>
      </c>
      <c r="Z3568">
        <v>-3.1273500000000001E-3</v>
      </c>
      <c r="AA3568">
        <v>0.98907290000000003</v>
      </c>
      <c r="AB3568">
        <v>32</v>
      </c>
      <c r="AC3568">
        <v>-39.710099999999997</v>
      </c>
      <c r="AD3568">
        <v>-1.1106082367929999</v>
      </c>
      <c r="AE3568">
        <v>-5.8859999999999904</v>
      </c>
      <c r="AF3568">
        <v>-5.96115008329717</v>
      </c>
      <c r="AG3568">
        <v>-1.1106082367929999</v>
      </c>
      <c r="AH3568">
        <v>39.667841581053203</v>
      </c>
      <c r="AI3568">
        <v>91.585932573810695</v>
      </c>
      <c r="AJ3568">
        <v>98.5462666906393</v>
      </c>
      <c r="AK3568">
        <v>40.128623408618999</v>
      </c>
      <c r="AL3568">
        <v>79.090065832327099</v>
      </c>
      <c r="AM3568">
        <v>93.857270872371402</v>
      </c>
      <c r="AN3568">
        <v>1.00000002107244</v>
      </c>
    </row>
    <row r="3569" spans="1:40" x14ac:dyDescent="0.25">
      <c r="A3569" t="str">
        <f>"20190304155443478"</f>
        <v>20190304155443478</v>
      </c>
      <c r="B3569" t="str">
        <f>"1551686083470483"</f>
        <v>1551686083470483</v>
      </c>
      <c r="C3569" t="s">
        <v>40</v>
      </c>
      <c r="D3569">
        <v>4.418228</v>
      </c>
      <c r="E3569">
        <v>0.48956739999999999</v>
      </c>
      <c r="F3569" t="s">
        <v>46</v>
      </c>
      <c r="G3569">
        <v>-387.66809999999998</v>
      </c>
      <c r="H3569" s="1">
        <v>-1.3852699999999999E-6</v>
      </c>
      <c r="I3569">
        <v>137.3467</v>
      </c>
      <c r="J3569">
        <v>-336.66640000000001</v>
      </c>
      <c r="K3569">
        <v>1.1106020000000001</v>
      </c>
      <c r="L3569">
        <v>142.33959999999999</v>
      </c>
      <c r="M3569">
        <v>-0.99989490000000003</v>
      </c>
      <c r="N3569">
        <v>-1.439119E-2</v>
      </c>
      <c r="O3569">
        <v>1.801686E-3</v>
      </c>
      <c r="P3569">
        <v>-0.9824695</v>
      </c>
      <c r="Q3569">
        <v>0.17470450000000001</v>
      </c>
      <c r="R3569">
        <v>-6.5057519999999994E-2</v>
      </c>
      <c r="S3569">
        <v>-3.0460210000000001</v>
      </c>
      <c r="T3569">
        <v>-6.5911410000000004E-2</v>
      </c>
      <c r="U3569">
        <v>-0.29627989999999998</v>
      </c>
      <c r="V3569">
        <v>-6.6899089999999994E-2</v>
      </c>
      <c r="W3569">
        <v>0.18879840000000001</v>
      </c>
      <c r="X3569">
        <v>0.97973449999999995</v>
      </c>
      <c r="Y3569">
        <v>-9.8566000000000001E-2</v>
      </c>
      <c r="Z3569">
        <v>-1.787886E-3</v>
      </c>
      <c r="AA3569">
        <v>0.99512889999999998</v>
      </c>
      <c r="AB3569">
        <v>32</v>
      </c>
      <c r="AC3569">
        <v>-51.0016999999999</v>
      </c>
      <c r="AD3569">
        <v>-1.1106033852699999</v>
      </c>
      <c r="AE3569">
        <v>-4.9928999999999899</v>
      </c>
      <c r="AF3569">
        <v>-5.0824033263214501</v>
      </c>
      <c r="AG3569">
        <v>-1.1106033852699999</v>
      </c>
      <c r="AH3569">
        <v>50.968681431495</v>
      </c>
      <c r="AI3569">
        <v>91.242114645086403</v>
      </c>
      <c r="AJ3569">
        <v>95.694493244470607</v>
      </c>
      <c r="AK3569">
        <v>51.233492466510597</v>
      </c>
      <c r="AL3569">
        <v>79.117331577025993</v>
      </c>
      <c r="AM3569">
        <v>93.906257132965095</v>
      </c>
      <c r="AN3569">
        <v>1.0000000072878099</v>
      </c>
    </row>
    <row r="3570" spans="1:40" x14ac:dyDescent="0.25">
      <c r="A3570" t="str">
        <f>"20190304155443499"</f>
        <v>20190304155443499</v>
      </c>
      <c r="B3570" t="str">
        <f>"1551686083490982"</f>
        <v>1551686083490982</v>
      </c>
      <c r="C3570" t="s">
        <v>40</v>
      </c>
      <c r="D3570">
        <v>4.4309390000000004</v>
      </c>
      <c r="E3570">
        <v>0.49116569999999998</v>
      </c>
      <c r="F3570" t="s">
        <v>46</v>
      </c>
      <c r="G3570">
        <v>-394.53840000000002</v>
      </c>
      <c r="H3570" s="1">
        <v>-2.7402099999999902E-6</v>
      </c>
      <c r="I3570">
        <v>137.2773</v>
      </c>
      <c r="J3570">
        <v>-336.97949999999997</v>
      </c>
      <c r="K3570">
        <v>1.110606</v>
      </c>
      <c r="L3570">
        <v>142.3399</v>
      </c>
      <c r="M3570">
        <v>-0.99989519999999998</v>
      </c>
      <c r="N3570">
        <v>-1.4387759999999999E-2</v>
      </c>
      <c r="O3570">
        <v>1.6028279999999999E-3</v>
      </c>
      <c r="P3570">
        <v>-0.9825277</v>
      </c>
      <c r="Q3570">
        <v>0.17418829999999999</v>
      </c>
      <c r="R3570">
        <v>-6.556012E-2</v>
      </c>
      <c r="S3570">
        <v>-3.0462950000000002</v>
      </c>
      <c r="T3570">
        <v>-5.846059E-2</v>
      </c>
      <c r="U3570">
        <v>-0.26646419999999998</v>
      </c>
      <c r="V3570">
        <v>-6.7206290000000002E-2</v>
      </c>
      <c r="W3570">
        <v>0.18828</v>
      </c>
      <c r="X3570">
        <v>0.97981320000000005</v>
      </c>
      <c r="Y3570">
        <v>-8.8707149999999999E-2</v>
      </c>
      <c r="Z3570">
        <v>-1.496659E-3</v>
      </c>
      <c r="AA3570">
        <v>0.99605659999999896</v>
      </c>
      <c r="AB3570">
        <v>32</v>
      </c>
      <c r="AC3570">
        <v>-57.558900000000001</v>
      </c>
      <c r="AD3570">
        <v>-1.11060874021</v>
      </c>
      <c r="AE3570">
        <v>-5.0625999999999998</v>
      </c>
      <c r="AF3570">
        <v>-5.1529563266250404</v>
      </c>
      <c r="AG3570">
        <v>-1.11060874021</v>
      </c>
      <c r="AH3570">
        <v>57.5294567323972</v>
      </c>
      <c r="AI3570">
        <v>91.101551305777207</v>
      </c>
      <c r="AJ3570">
        <v>95.118366766633997</v>
      </c>
      <c r="AK3570">
        <v>57.770449215863799</v>
      </c>
      <c r="AL3570">
        <v>79.147575774392607</v>
      </c>
      <c r="AM3570">
        <v>93.923824507974999</v>
      </c>
      <c r="AN3570">
        <v>0.99999997535490104</v>
      </c>
    </row>
    <row r="3571" spans="1:40" x14ac:dyDescent="0.25">
      <c r="A3571" t="str">
        <f>"20190304155443523"</f>
        <v>20190304155443523</v>
      </c>
      <c r="B3571" t="str">
        <f>"1551686083510499"</f>
        <v>1551686083510499</v>
      </c>
      <c r="C3571" t="s">
        <v>40</v>
      </c>
      <c r="D3571">
        <v>4.5795180000000002</v>
      </c>
      <c r="E3571">
        <v>0.49090660000000003</v>
      </c>
      <c r="F3571" t="s">
        <v>46</v>
      </c>
      <c r="G3571">
        <v>-393.95139999999998</v>
      </c>
      <c r="H3571" s="1">
        <v>-2.9415909999999999E-6</v>
      </c>
      <c r="I3571">
        <v>137.5616</v>
      </c>
      <c r="J3571">
        <v>-337.29140000000001</v>
      </c>
      <c r="K3571">
        <v>1.110603</v>
      </c>
      <c r="L3571">
        <v>142.34020000000001</v>
      </c>
      <c r="M3571">
        <v>-0.9998956</v>
      </c>
      <c r="N3571">
        <v>-1.4384360000000001E-2</v>
      </c>
      <c r="O3571">
        <v>1.4049240000000001E-3</v>
      </c>
      <c r="P3571">
        <v>-0.98257280000000002</v>
      </c>
      <c r="Q3571">
        <v>0.17370039999999901</v>
      </c>
      <c r="R3571">
        <v>-6.6175360000000003E-2</v>
      </c>
      <c r="S3571">
        <v>-3.0468440000000001</v>
      </c>
      <c r="T3571">
        <v>-5.939519E-2</v>
      </c>
      <c r="U3571">
        <v>-0.25553890000000001</v>
      </c>
      <c r="V3571">
        <v>-6.7626710000000007E-2</v>
      </c>
      <c r="W3571">
        <v>0.18778919999999999</v>
      </c>
      <c r="X3571">
        <v>0.97987849999999999</v>
      </c>
      <c r="Y3571">
        <v>-8.4948720000000005E-2</v>
      </c>
      <c r="Z3571">
        <v>-1.445799E-3</v>
      </c>
      <c r="AA3571">
        <v>0.9963843</v>
      </c>
      <c r="AB3571">
        <v>32</v>
      </c>
      <c r="AC3571">
        <v>-56.659999999999897</v>
      </c>
      <c r="AD3571">
        <v>-1.1106059415909999</v>
      </c>
      <c r="AE3571">
        <v>-4.7786000000000097</v>
      </c>
      <c r="AF3571">
        <v>-4.8563538357099798</v>
      </c>
      <c r="AG3571">
        <v>-1.1106059415909999</v>
      </c>
      <c r="AH3571">
        <v>56.631625133038902</v>
      </c>
      <c r="AI3571">
        <v>91.119379526791903</v>
      </c>
      <c r="AJ3571">
        <v>94.901316615419603</v>
      </c>
      <c r="AK3571">
        <v>56.850317354823602</v>
      </c>
      <c r="AL3571">
        <v>79.176207696845495</v>
      </c>
      <c r="AM3571">
        <v>93.948030957684097</v>
      </c>
      <c r="AN3571">
        <v>1.00000001515215</v>
      </c>
    </row>
    <row r="3572" spans="1:40" x14ac:dyDescent="0.25">
      <c r="A3572" t="str">
        <f>"20190304155443544"</f>
        <v>20190304155443544</v>
      </c>
      <c r="B3572" t="str">
        <f>"1551686083540755"</f>
        <v>1551686083540755</v>
      </c>
      <c r="C3572" t="s">
        <v>40</v>
      </c>
      <c r="D3572">
        <v>4.4200839999999904</v>
      </c>
      <c r="E3572">
        <v>0.49160189999999998</v>
      </c>
      <c r="F3572" t="s">
        <v>46</v>
      </c>
      <c r="G3572">
        <v>-398.72910000000002</v>
      </c>
      <c r="H3572" s="1">
        <v>-1.0894249999999999E-6</v>
      </c>
      <c r="I3572">
        <v>137.09479999999999</v>
      </c>
      <c r="J3572">
        <v>-337.6046</v>
      </c>
      <c r="K3572">
        <v>1.1106039999999999</v>
      </c>
      <c r="L3572">
        <v>142.34039999999999</v>
      </c>
      <c r="M3572">
        <v>-0.99989600000000001</v>
      </c>
      <c r="N3572">
        <v>-1.438091E-2</v>
      </c>
      <c r="O3572">
        <v>1.2058279999999999E-3</v>
      </c>
      <c r="P3572">
        <v>-0.98243170000000002</v>
      </c>
      <c r="Q3572">
        <v>0.17396539999999999</v>
      </c>
      <c r="R3572">
        <v>-6.7559380000000002E-2</v>
      </c>
      <c r="S3572">
        <v>-3.0454409999999998</v>
      </c>
      <c r="T3572">
        <v>-5.5052160000000003E-2</v>
      </c>
      <c r="U3572">
        <v>-0.26000980000000001</v>
      </c>
      <c r="V3572">
        <v>-6.8815119999999994E-2</v>
      </c>
      <c r="W3572">
        <v>0.18804860000000001</v>
      </c>
      <c r="X3572">
        <v>0.97974600000000001</v>
      </c>
      <c r="Y3572">
        <v>-8.624358E-2</v>
      </c>
      <c r="Z3572">
        <v>-1.403856E-3</v>
      </c>
      <c r="AA3572">
        <v>0.99627310000000002</v>
      </c>
      <c r="AB3572">
        <v>31</v>
      </c>
      <c r="AC3572">
        <v>-61.124499999999998</v>
      </c>
      <c r="AD3572">
        <v>-1.1106050894249999</v>
      </c>
      <c r="AE3572">
        <v>-5.2455999999999898</v>
      </c>
      <c r="AF3572">
        <v>-5.3175667629211096</v>
      </c>
      <c r="AG3572">
        <v>-1.1106050894249999</v>
      </c>
      <c r="AH3572">
        <v>61.098106583940002</v>
      </c>
      <c r="AI3572">
        <v>91.037452992623003</v>
      </c>
      <c r="AJ3572">
        <v>94.974103892158297</v>
      </c>
      <c r="AK3572">
        <v>61.3391277088717</v>
      </c>
      <c r="AL3572">
        <v>79.161075536608394</v>
      </c>
      <c r="AM3572">
        <v>94.017726350707704</v>
      </c>
      <c r="AN3572">
        <v>1.0000000106092799</v>
      </c>
    </row>
    <row r="3573" spans="1:40" x14ac:dyDescent="0.25">
      <c r="A3573" t="str">
        <f>"20190304155443568"</f>
        <v>20190304155443568</v>
      </c>
      <c r="B3573" t="str">
        <f>"1551686083561252"</f>
        <v>1551686083561252</v>
      </c>
      <c r="C3573" t="s">
        <v>40</v>
      </c>
      <c r="D3573">
        <v>4.4451169999999998</v>
      </c>
      <c r="E3573">
        <v>0.49239460000000002</v>
      </c>
      <c r="F3573" t="s">
        <v>62</v>
      </c>
      <c r="G3573">
        <v>-404.1474</v>
      </c>
      <c r="H3573" s="1">
        <v>-5.8308189999999996E-6</v>
      </c>
      <c r="I3573">
        <v>136.67269999999999</v>
      </c>
      <c r="J3573">
        <v>-337.92739999999998</v>
      </c>
      <c r="K3573">
        <v>1.110608</v>
      </c>
      <c r="L3573">
        <v>142.34059999999999</v>
      </c>
      <c r="M3573">
        <v>-0.99989629999999996</v>
      </c>
      <c r="N3573">
        <v>-1.4377350000000001E-2</v>
      </c>
      <c r="O3573">
        <v>1.0006539999999999E-3</v>
      </c>
      <c r="P3573">
        <v>-0.98222390000000004</v>
      </c>
      <c r="Q3573">
        <v>0.17452770000000001</v>
      </c>
      <c r="R3573">
        <v>-6.9110829999999998E-2</v>
      </c>
      <c r="S3573">
        <v>-3.0448300000000001</v>
      </c>
      <c r="T3573">
        <v>-5.0818679999999998E-2</v>
      </c>
      <c r="U3573">
        <v>-0.25933840000000002</v>
      </c>
      <c r="V3573">
        <v>-7.0165069999999996E-2</v>
      </c>
      <c r="W3573">
        <v>0.1886041</v>
      </c>
      <c r="X3573">
        <v>0.97954339999999995</v>
      </c>
      <c r="Y3573">
        <v>-8.5841020000000004E-2</v>
      </c>
      <c r="Z3573">
        <v>-1.335625E-3</v>
      </c>
      <c r="AA3573">
        <v>0.99630799999999997</v>
      </c>
      <c r="AB3573">
        <v>31</v>
      </c>
      <c r="AC3573">
        <v>-66.22</v>
      </c>
      <c r="AD3573">
        <v>-1.1106138308189999</v>
      </c>
      <c r="AE3573">
        <v>-5.6679000000000004</v>
      </c>
      <c r="AF3573">
        <v>-5.7325665462843496</v>
      </c>
      <c r="AG3573">
        <v>-1.1106138308189999</v>
      </c>
      <c r="AH3573">
        <v>66.195810123847295</v>
      </c>
      <c r="AI3573">
        <v>90.957618061691605</v>
      </c>
      <c r="AJ3573">
        <v>94.949474280548998</v>
      </c>
      <c r="AK3573">
        <v>66.452848398253195</v>
      </c>
      <c r="AL3573">
        <v>79.128667265542305</v>
      </c>
      <c r="AM3573">
        <v>94.097120934543398</v>
      </c>
      <c r="AN3573">
        <v>0.99999995803423603</v>
      </c>
    </row>
    <row r="3574" spans="1:40" x14ac:dyDescent="0.25">
      <c r="A3574" t="str">
        <f>"20190304155443591"</f>
        <v>20190304155443591</v>
      </c>
      <c r="B3574" t="str">
        <f>"1551686083580772"</f>
        <v>1551686083580772</v>
      </c>
      <c r="C3574" t="s">
        <v>40</v>
      </c>
      <c r="D3574">
        <v>4.5905199999999997</v>
      </c>
      <c r="E3574">
        <v>0.49275760000000002</v>
      </c>
      <c r="F3574" t="s">
        <v>62</v>
      </c>
      <c r="G3574">
        <v>-412.61259999999999</v>
      </c>
      <c r="H3574" s="1">
        <v>-8.8722689999999999E-6</v>
      </c>
      <c r="I3574">
        <v>136.0204</v>
      </c>
      <c r="J3574">
        <v>-338.2568</v>
      </c>
      <c r="K3574">
        <v>1.1106130000000001</v>
      </c>
      <c r="L3574">
        <v>142.3407</v>
      </c>
      <c r="M3574">
        <v>-0.99989640000000002</v>
      </c>
      <c r="N3574">
        <v>-1.4373729999999999E-2</v>
      </c>
      <c r="O3574">
        <v>7.9154710000000001E-4</v>
      </c>
      <c r="P3574">
        <v>-0.98207580000000005</v>
      </c>
      <c r="Q3574">
        <v>0.17514350000000001</v>
      </c>
      <c r="R3574">
        <v>-6.9658059999999994E-2</v>
      </c>
      <c r="S3574">
        <v>-3.0442200000000001</v>
      </c>
      <c r="T3574">
        <v>-4.5269490000000003E-2</v>
      </c>
      <c r="U3574">
        <v>-0.25761410000000001</v>
      </c>
      <c r="V3574">
        <v>-7.0506470000000002E-2</v>
      </c>
      <c r="W3574">
        <v>0.1892142</v>
      </c>
      <c r="X3574">
        <v>0.97940130000000003</v>
      </c>
      <c r="Y3574">
        <v>-8.5092979999999999E-2</v>
      </c>
      <c r="Z3574">
        <v>-1.2446619999999999E-3</v>
      </c>
      <c r="AA3574">
        <v>0.99637220000000004</v>
      </c>
      <c r="AB3574">
        <v>31</v>
      </c>
      <c r="AC3574">
        <v>-74.355799999999903</v>
      </c>
      <c r="AD3574">
        <v>-1.11062187226899</v>
      </c>
      <c r="AE3574">
        <v>-6.3202999999999996</v>
      </c>
      <c r="AF3574">
        <v>-6.3777475380686299</v>
      </c>
      <c r="AG3574">
        <v>-1.11062187226899</v>
      </c>
      <c r="AH3574">
        <v>74.334308227056596</v>
      </c>
      <c r="AI3574">
        <v>90.852854287023007</v>
      </c>
      <c r="AJ3574">
        <v>94.903863523651495</v>
      </c>
      <c r="AK3574">
        <v>74.615672108462206</v>
      </c>
      <c r="AL3574">
        <v>79.093071084499897</v>
      </c>
      <c r="AM3574">
        <v>94.117583059219299</v>
      </c>
      <c r="AN3574">
        <v>1.00000004111759</v>
      </c>
    </row>
    <row r="3575" spans="1:40" x14ac:dyDescent="0.25">
      <c r="A3575" t="str">
        <f>"20190304155443613"</f>
        <v>20190304155443613</v>
      </c>
      <c r="B3575" t="str">
        <f>"1551686083611028"</f>
        <v>1551686083611028</v>
      </c>
      <c r="C3575" t="s">
        <v>40</v>
      </c>
      <c r="D3575">
        <v>4.3895910000000002</v>
      </c>
      <c r="E3575">
        <v>0.49366759999999899</v>
      </c>
      <c r="F3575" t="s">
        <v>62</v>
      </c>
      <c r="G3575">
        <v>-423.49849999999998</v>
      </c>
      <c r="H3575" s="1">
        <v>-8.484023E-6</v>
      </c>
      <c r="I3575">
        <v>135.13980000000001</v>
      </c>
      <c r="J3575">
        <v>-338.5779</v>
      </c>
      <c r="K3575">
        <v>1.1106130000000001</v>
      </c>
      <c r="L3575">
        <v>142.3407</v>
      </c>
      <c r="M3575">
        <v>-0.99989660000000002</v>
      </c>
      <c r="N3575">
        <v>-1.437019E-2</v>
      </c>
      <c r="O3575">
        <v>5.8750730000000002E-4</v>
      </c>
      <c r="P3575">
        <v>-0.98217120000000002</v>
      </c>
      <c r="Q3575">
        <v>0.1742805</v>
      </c>
      <c r="R3575">
        <v>-7.0468470000000005E-2</v>
      </c>
      <c r="S3575">
        <v>-3.0436100000000001</v>
      </c>
      <c r="T3575">
        <v>-3.9655450000000002E-2</v>
      </c>
      <c r="U3575">
        <v>-0.25711060000000002</v>
      </c>
      <c r="V3575">
        <v>-7.1115819999999996E-2</v>
      </c>
      <c r="W3575">
        <v>0.1883493</v>
      </c>
      <c r="X3575">
        <v>0.9795239</v>
      </c>
      <c r="Y3575">
        <v>-8.4746119999999994E-2</v>
      </c>
      <c r="Z3575">
        <v>-1.160367E-3</v>
      </c>
      <c r="AA3575">
        <v>0.99640189999999995</v>
      </c>
      <c r="AB3575">
        <v>31</v>
      </c>
      <c r="AC3575">
        <v>-84.920599999999894</v>
      </c>
      <c r="AD3575">
        <v>-1.11062148402299</v>
      </c>
      <c r="AE3575">
        <v>-7.2008999999999901</v>
      </c>
      <c r="AF3575">
        <v>-7.2495642430736504</v>
      </c>
      <c r="AG3575">
        <v>-1.11062148402299</v>
      </c>
      <c r="AH3575">
        <v>84.901936088458399</v>
      </c>
      <c r="AI3575">
        <v>90.746739346929601</v>
      </c>
      <c r="AJ3575">
        <v>94.880505169534302</v>
      </c>
      <c r="AK3575">
        <v>85.218122564181698</v>
      </c>
      <c r="AL3575">
        <v>79.143533055894807</v>
      </c>
      <c r="AM3575">
        <v>94.152527171538694</v>
      </c>
      <c r="AN3575">
        <v>0.99999999466798595</v>
      </c>
    </row>
    <row r="3576" spans="1:40" x14ac:dyDescent="0.25">
      <c r="A3576" t="str">
        <f>"20190304155443635"</f>
        <v>20190304155443635</v>
      </c>
      <c r="B3576" t="str">
        <f>"1551686083630547"</f>
        <v>1551686083630547</v>
      </c>
      <c r="C3576" t="s">
        <v>40</v>
      </c>
      <c r="D3576">
        <v>4.4775989999999997</v>
      </c>
      <c r="E3576">
        <v>0.49359979999999998</v>
      </c>
      <c r="F3576" t="s">
        <v>62</v>
      </c>
      <c r="G3576">
        <v>-423.54129999999998</v>
      </c>
      <c r="H3576" s="1">
        <v>-8.5608169999999993E-6</v>
      </c>
      <c r="I3576">
        <v>135.3133</v>
      </c>
      <c r="J3576">
        <v>-338.88060000000002</v>
      </c>
      <c r="K3576">
        <v>1.110609</v>
      </c>
      <c r="L3576">
        <v>142.3407</v>
      </c>
      <c r="M3576">
        <v>-0.99989669999999997</v>
      </c>
      <c r="N3576">
        <v>-1.436669E-2</v>
      </c>
      <c r="O3576">
        <v>3.9508760000000001E-4</v>
      </c>
      <c r="P3576">
        <v>-0.98215469999999905</v>
      </c>
      <c r="Q3576">
        <v>0.17412079999999999</v>
      </c>
      <c r="R3576">
        <v>-7.1092900000000001E-2</v>
      </c>
      <c r="S3576">
        <v>-3.0434269999999999</v>
      </c>
      <c r="T3576">
        <v>-3.9782999999999999E-2</v>
      </c>
      <c r="U3576">
        <v>-0.25172420000000001</v>
      </c>
      <c r="V3576">
        <v>-7.155106E-2</v>
      </c>
      <c r="W3576">
        <v>0.1881863</v>
      </c>
      <c r="X3576">
        <v>0.97952349999999999</v>
      </c>
      <c r="Y3576">
        <v>-8.2808300000000001E-2</v>
      </c>
      <c r="Z3576">
        <v>-1.135708E-3</v>
      </c>
      <c r="AA3576">
        <v>0.99656489999999998</v>
      </c>
      <c r="AB3576">
        <v>31</v>
      </c>
      <c r="AC3576">
        <v>-84.660699999999906</v>
      </c>
      <c r="AD3576">
        <v>-1.1106175608169999</v>
      </c>
      <c r="AE3576">
        <v>-7.0274000000000001</v>
      </c>
      <c r="AF3576">
        <v>-7.0596446893440703</v>
      </c>
      <c r="AG3576">
        <v>-1.1106175608169999</v>
      </c>
      <c r="AH3576">
        <v>84.643449727041002</v>
      </c>
      <c r="AI3576">
        <v>90.749141316912699</v>
      </c>
      <c r="AJ3576">
        <v>94.767691153685007</v>
      </c>
      <c r="AK3576">
        <v>84.944603337706496</v>
      </c>
      <c r="AL3576">
        <v>79.153041960618793</v>
      </c>
      <c r="AM3576">
        <v>94.177853275312003</v>
      </c>
      <c r="AN3576">
        <v>0.99999996237353095</v>
      </c>
    </row>
    <row r="3577" spans="1:40" x14ac:dyDescent="0.25">
      <c r="A3577" t="str">
        <f>"20190304155443656"</f>
        <v>20190304155443656</v>
      </c>
      <c r="B3577" t="str">
        <f>"1551686083651044"</f>
        <v>1551686083651044</v>
      </c>
      <c r="C3577" t="s">
        <v>40</v>
      </c>
      <c r="D3577">
        <v>2.817993</v>
      </c>
      <c r="E3577">
        <v>0.49414590000000003</v>
      </c>
      <c r="F3577" t="s">
        <v>62</v>
      </c>
      <c r="G3577">
        <v>-425.3734</v>
      </c>
      <c r="H3577" s="1">
        <v>-8.7499930000000001E-6</v>
      </c>
      <c r="I3577">
        <v>135.1318</v>
      </c>
      <c r="J3577">
        <v>-339.17140000000001</v>
      </c>
      <c r="K3577">
        <v>1.110609</v>
      </c>
      <c r="L3577">
        <v>142.34059999999999</v>
      </c>
      <c r="M3577">
        <v>-0.99989680000000003</v>
      </c>
      <c r="N3577">
        <v>-1.436337E-2</v>
      </c>
      <c r="O3577">
        <v>2.100549E-4</v>
      </c>
      <c r="P3577">
        <v>-0.9822343</v>
      </c>
      <c r="Q3577">
        <v>0.17376169999999999</v>
      </c>
      <c r="R3577">
        <v>-7.0872399999999905E-2</v>
      </c>
      <c r="S3577">
        <v>-3.043091</v>
      </c>
      <c r="T3577">
        <v>-3.9075020000000002E-2</v>
      </c>
      <c r="U3577">
        <v>-0.25363160000000001</v>
      </c>
      <c r="V3577">
        <v>-7.114877E-2</v>
      </c>
      <c r="W3577">
        <v>0.1878252</v>
      </c>
      <c r="X3577">
        <v>0.97962210000000005</v>
      </c>
      <c r="Y3577">
        <v>-8.3253560000000004E-2</v>
      </c>
      <c r="Z3577">
        <v>-1.132264E-3</v>
      </c>
      <c r="AA3577">
        <v>0.99652770000000002</v>
      </c>
      <c r="AB3577">
        <v>31</v>
      </c>
      <c r="AC3577">
        <v>-86.201999999999998</v>
      </c>
      <c r="AD3577">
        <v>-1.1106177499929999</v>
      </c>
      <c r="AE3577">
        <v>-7.2087999999999903</v>
      </c>
      <c r="AF3577">
        <v>-7.2257177600587204</v>
      </c>
      <c r="AG3577">
        <v>-1.1106177499929999</v>
      </c>
      <c r="AH3577">
        <v>86.186276579097097</v>
      </c>
      <c r="AI3577">
        <v>90.735705991406704</v>
      </c>
      <c r="AJ3577">
        <v>94.792377933135</v>
      </c>
      <c r="AK3577">
        <v>86.495772957429807</v>
      </c>
      <c r="AL3577">
        <v>79.174107033040798</v>
      </c>
      <c r="AM3577">
        <v>94.154029426621904</v>
      </c>
      <c r="AN3577">
        <v>0.99999995601797997</v>
      </c>
    </row>
    <row r="3578" spans="1:40" x14ac:dyDescent="0.25">
      <c r="A3578" t="str">
        <f>"20190304155443744"</f>
        <v>20190304155443744</v>
      </c>
      <c r="B3578" t="str">
        <f>"1551686083740836"</f>
        <v>1551686083740836</v>
      </c>
      <c r="C3578" t="s">
        <v>40</v>
      </c>
      <c r="D3578">
        <v>4.4507810000000001</v>
      </c>
      <c r="E3578">
        <v>0.54510400000000003</v>
      </c>
      <c r="F3578" t="s">
        <v>62</v>
      </c>
      <c r="G3578">
        <v>-419.3965</v>
      </c>
      <c r="H3578" s="1">
        <v>-8.2742010000000006E-6</v>
      </c>
      <c r="I3578">
        <v>135.79310000000001</v>
      </c>
      <c r="J3578">
        <v>-340.40410000000003</v>
      </c>
      <c r="K3578">
        <v>1.1106049999999901</v>
      </c>
      <c r="L3578">
        <v>142.33959999999999</v>
      </c>
      <c r="M3578">
        <v>-0.99989689999999998</v>
      </c>
      <c r="N3578">
        <v>-1.435057E-2</v>
      </c>
      <c r="O3578">
        <v>-5.7412269999999996E-4</v>
      </c>
      <c r="P3578">
        <v>-0.98237850000000004</v>
      </c>
      <c r="Q3578">
        <v>0.17313319999999999</v>
      </c>
      <c r="R3578">
        <v>-7.0411009999999996E-2</v>
      </c>
      <c r="S3578">
        <v>-3.0437620000000001</v>
      </c>
      <c r="T3578">
        <v>-4.2137149999999998E-2</v>
      </c>
      <c r="U3578">
        <v>-0.2484131</v>
      </c>
      <c r="V3578">
        <v>-6.9915759999999993E-2</v>
      </c>
      <c r="W3578">
        <v>0.1871883</v>
      </c>
      <c r="X3578">
        <v>0.97983279999999995</v>
      </c>
      <c r="Y3578">
        <v>-8.0755370000000007E-2</v>
      </c>
      <c r="Z3578">
        <v>-1.1388069999999999E-3</v>
      </c>
      <c r="AA3578">
        <v>0.99673330000000004</v>
      </c>
      <c r="AB3578">
        <v>31</v>
      </c>
      <c r="AC3578">
        <v>-78.992399999999904</v>
      </c>
      <c r="AD3578">
        <v>-1.11061327420099</v>
      </c>
      <c r="AE3578">
        <v>-6.5464999999999796</v>
      </c>
      <c r="AF3578">
        <v>-6.4998668157187902</v>
      </c>
      <c r="AG3578">
        <v>-1.11061327420099</v>
      </c>
      <c r="AH3578">
        <v>78.980639741633794</v>
      </c>
      <c r="AI3578">
        <v>90.802917049949798</v>
      </c>
      <c r="AJ3578">
        <v>94.704666543053506</v>
      </c>
      <c r="AK3578">
        <v>79.255429999872305</v>
      </c>
      <c r="AL3578">
        <v>79.211258066877306</v>
      </c>
      <c r="AM3578">
        <v>94.081410638121994</v>
      </c>
      <c r="AN3578">
        <v>0.99999999455455302</v>
      </c>
    </row>
    <row r="3579" spans="1:40" x14ac:dyDescent="0.25">
      <c r="A3579" t="str">
        <f>"20190304155443768"</f>
        <v>20190304155443768</v>
      </c>
      <c r="B3579" t="str">
        <f>"1551686083761331"</f>
        <v>1551686083761331</v>
      </c>
      <c r="C3579" t="s">
        <v>40</v>
      </c>
      <c r="D3579">
        <v>4.0159849999999997</v>
      </c>
      <c r="E3579">
        <v>0.60459130000000005</v>
      </c>
      <c r="F3579" t="s">
        <v>48</v>
      </c>
      <c r="G3579">
        <v>-341.32220000000001</v>
      </c>
      <c r="H3579">
        <v>0.95424770000000003</v>
      </c>
      <c r="I3579">
        <v>142.38839999999999</v>
      </c>
      <c r="J3579">
        <v>-340.72719999999998</v>
      </c>
      <c r="K3579">
        <v>1.110609</v>
      </c>
      <c r="L3579">
        <v>142.33920000000001</v>
      </c>
      <c r="M3579">
        <v>-0.99989689999999998</v>
      </c>
      <c r="N3579">
        <v>-1.4347270000000001E-2</v>
      </c>
      <c r="O3579">
        <v>-7.7959999999999998E-4</v>
      </c>
      <c r="P3579">
        <v>-0.98228979999999999</v>
      </c>
      <c r="Q3579">
        <v>0.17370949999999999</v>
      </c>
      <c r="R3579">
        <v>-7.0228550000000001E-2</v>
      </c>
      <c r="S3579">
        <v>-3.1606450000000001</v>
      </c>
      <c r="T3579">
        <v>-0.53839419999999905</v>
      </c>
      <c r="U3579">
        <v>0.1667786</v>
      </c>
      <c r="V3579">
        <v>-6.9531460000000003E-2</v>
      </c>
      <c r="W3579">
        <v>0.18776010000000001</v>
      </c>
      <c r="X3579">
        <v>0.97975080000000003</v>
      </c>
      <c r="Y3579">
        <v>5.2642139999999997E-2</v>
      </c>
      <c r="Z3579">
        <v>4.9500220000000001E-3</v>
      </c>
      <c r="AA3579">
        <v>0.99860119999999997</v>
      </c>
      <c r="AB3579">
        <v>31</v>
      </c>
      <c r="AC3579">
        <v>-0.59500000000002695</v>
      </c>
      <c r="AD3579">
        <v>-0.15636130000000001</v>
      </c>
      <c r="AE3579">
        <v>4.9199999999984798E-2</v>
      </c>
      <c r="AF3579">
        <v>4.64760686299115E-2</v>
      </c>
      <c r="AG3579">
        <v>-0.15636130000000001</v>
      </c>
      <c r="AH3579">
        <v>0.55677207242012405</v>
      </c>
      <c r="AI3579">
        <v>105.63491680888799</v>
      </c>
      <c r="AJ3579">
        <v>85.228346545745097</v>
      </c>
      <c r="AK3579">
        <v>0.58017585413388395</v>
      </c>
      <c r="AL3579">
        <v>79.177905630900995</v>
      </c>
      <c r="AM3579">
        <v>94.059390474219498</v>
      </c>
      <c r="AN3579">
        <v>1.00000005459118</v>
      </c>
    </row>
    <row r="3580" spans="1:40" x14ac:dyDescent="0.25">
      <c r="A3580" t="str">
        <f>"20190304155443790"</f>
        <v>20190304155443790</v>
      </c>
      <c r="B3580" t="str">
        <f>"1551686083780855"</f>
        <v>1551686083780855</v>
      </c>
      <c r="C3580" t="s">
        <v>40</v>
      </c>
      <c r="D3580">
        <v>4.4846300000000001</v>
      </c>
      <c r="E3580">
        <v>0.59182139999999905</v>
      </c>
      <c r="F3580" t="s">
        <v>83</v>
      </c>
      <c r="G3580">
        <v>-445.42680000000001</v>
      </c>
      <c r="H3580">
        <v>2.5917910000000002</v>
      </c>
      <c r="I3580">
        <v>163.6773</v>
      </c>
      <c r="J3580">
        <v>-341.03649999999999</v>
      </c>
      <c r="K3580">
        <v>1.1106119999999999</v>
      </c>
      <c r="L3580">
        <v>142.33879999999999</v>
      </c>
      <c r="M3580">
        <v>-0.99989669999999997</v>
      </c>
      <c r="N3580">
        <v>-1.434409E-2</v>
      </c>
      <c r="O3580">
        <v>-9.7661340000000001E-4</v>
      </c>
      <c r="P3580">
        <v>-0.98223479999999996</v>
      </c>
      <c r="Q3580">
        <v>0.17427210000000001</v>
      </c>
      <c r="R3580">
        <v>-6.9600460000000003E-2</v>
      </c>
      <c r="S3580">
        <v>-3.0914000000000001</v>
      </c>
      <c r="T3580">
        <v>4.3735030000000001E-2</v>
      </c>
      <c r="U3580">
        <v>0.63003540000000002</v>
      </c>
      <c r="V3580">
        <v>-6.8710569999999999E-2</v>
      </c>
      <c r="W3580">
        <v>0.1883194</v>
      </c>
      <c r="X3580">
        <v>0.9797013</v>
      </c>
      <c r="Y3580">
        <v>0.20065479999999999</v>
      </c>
      <c r="Z3580" s="1">
        <v>2.1421350000000001E-5</v>
      </c>
      <c r="AA3580">
        <v>0.97966200000000003</v>
      </c>
      <c r="AB3580">
        <v>31</v>
      </c>
      <c r="AC3580">
        <v>-104.3903</v>
      </c>
      <c r="AD3580">
        <v>1.481179</v>
      </c>
      <c r="AE3580">
        <v>21.3385</v>
      </c>
      <c r="AF3580">
        <v>21.436306726953902</v>
      </c>
      <c r="AG3580">
        <v>1.481179</v>
      </c>
      <c r="AH3580">
        <v>104.34924321413099</v>
      </c>
      <c r="AI3580">
        <v>89.203405732716902</v>
      </c>
      <c r="AJ3580">
        <v>78.391315614837097</v>
      </c>
      <c r="AK3580">
        <v>106.53860190880999</v>
      </c>
      <c r="AL3580">
        <v>79.145277342185693</v>
      </c>
      <c r="AM3580">
        <v>94.011824649470896</v>
      </c>
      <c r="AN3580">
        <v>0.99999998803388701</v>
      </c>
    </row>
    <row r="3581" spans="1:40" x14ac:dyDescent="0.25">
      <c r="A3581" t="str">
        <f>"20190304155443814"</f>
        <v>20190304155443814</v>
      </c>
      <c r="B3581" t="str">
        <f>"1551686083811109"</f>
        <v>1551686083811109</v>
      </c>
      <c r="C3581" t="s">
        <v>40</v>
      </c>
      <c r="D3581">
        <v>4.4458500000000001</v>
      </c>
      <c r="E3581">
        <v>0.58422669999999999</v>
      </c>
      <c r="F3581" t="s">
        <v>80</v>
      </c>
      <c r="G3581">
        <v>-459.2912</v>
      </c>
      <c r="H3581">
        <v>2.6198790000000001</v>
      </c>
      <c r="I3581">
        <v>162.66909999999999</v>
      </c>
      <c r="J3581">
        <v>-341.35410000000002</v>
      </c>
      <c r="K3581">
        <v>1.110616</v>
      </c>
      <c r="L3581">
        <v>142.3383</v>
      </c>
      <c r="M3581">
        <v>-0.99989649999999997</v>
      </c>
      <c r="N3581">
        <v>-1.434072E-2</v>
      </c>
      <c r="O3581">
        <v>-1.178751E-3</v>
      </c>
      <c r="P3581">
        <v>-0.98203770000000001</v>
      </c>
      <c r="Q3581">
        <v>0.17543010000000001</v>
      </c>
      <c r="R3581">
        <v>-6.9473229999999997E-2</v>
      </c>
      <c r="S3581">
        <v>-3.0848689999999999</v>
      </c>
      <c r="T3581">
        <v>3.9371730000000001E-2</v>
      </c>
      <c r="U3581">
        <v>0.53034969999999904</v>
      </c>
      <c r="V3581">
        <v>-6.8384479999999997E-2</v>
      </c>
      <c r="W3581">
        <v>0.18947120000000001</v>
      </c>
      <c r="X3581">
        <v>0.97950199999999998</v>
      </c>
      <c r="Y3581">
        <v>0.1705972</v>
      </c>
      <c r="Z3581">
        <v>1.198091E-4</v>
      </c>
      <c r="AA3581">
        <v>0.98534080000000002</v>
      </c>
      <c r="AB3581">
        <v>31</v>
      </c>
      <c r="AC3581">
        <v>-117.9371</v>
      </c>
      <c r="AD3581">
        <v>1.509263</v>
      </c>
      <c r="AE3581">
        <v>20.330799999999901</v>
      </c>
      <c r="AF3581">
        <v>20.466563603666099</v>
      </c>
      <c r="AG3581">
        <v>1.509263</v>
      </c>
      <c r="AH3581">
        <v>117.89430052509501</v>
      </c>
      <c r="AI3581">
        <v>89.277356395607399</v>
      </c>
      <c r="AJ3581">
        <v>80.151550157104296</v>
      </c>
      <c r="AK3581">
        <v>119.667139168811</v>
      </c>
      <c r="AL3581">
        <v>79.078074020796706</v>
      </c>
      <c r="AM3581">
        <v>93.993656663153502</v>
      </c>
      <c r="AN3581">
        <v>0.999999970369154</v>
      </c>
    </row>
    <row r="3582" spans="1:40" x14ac:dyDescent="0.25">
      <c r="A3582" t="str">
        <f>"20190304155443838"</f>
        <v>20190304155443838</v>
      </c>
      <c r="B3582" t="str">
        <f>"1551686083830628"</f>
        <v>1551686083830628</v>
      </c>
      <c r="C3582" t="s">
        <v>40</v>
      </c>
      <c r="D3582">
        <v>4.4766190000000003</v>
      </c>
      <c r="E3582">
        <v>0.581542</v>
      </c>
      <c r="F3582" t="s">
        <v>80</v>
      </c>
      <c r="G3582">
        <v>-460.20269999999999</v>
      </c>
      <c r="H3582">
        <v>2.5850740000000001</v>
      </c>
      <c r="I3582">
        <v>160.49260000000001</v>
      </c>
      <c r="J3582">
        <v>-341.68529999999998</v>
      </c>
      <c r="K3582">
        <v>1.1106180000000001</v>
      </c>
      <c r="L3582">
        <v>142.33760000000001</v>
      </c>
      <c r="M3582">
        <v>-0.99989629999999996</v>
      </c>
      <c r="N3582">
        <v>-1.43371E-2</v>
      </c>
      <c r="O3582">
        <v>-1.390065E-3</v>
      </c>
      <c r="P3582">
        <v>-0.98192409999999997</v>
      </c>
      <c r="Q3582">
        <v>0.17621979999999901</v>
      </c>
      <c r="R3582">
        <v>-6.9079840000000003E-2</v>
      </c>
      <c r="S3582">
        <v>-3.081299</v>
      </c>
      <c r="T3582">
        <v>3.8227200000000003E-2</v>
      </c>
      <c r="U3582">
        <v>0.4706726</v>
      </c>
      <c r="V3582">
        <v>-6.7784070000000002E-2</v>
      </c>
      <c r="W3582">
        <v>0.19025629999999999</v>
      </c>
      <c r="X3582">
        <v>0.97939160000000003</v>
      </c>
      <c r="Y3582">
        <v>0.1523755</v>
      </c>
      <c r="Z3582">
        <v>1.219851E-4</v>
      </c>
      <c r="AA3582">
        <v>0.9883227</v>
      </c>
      <c r="AB3582">
        <v>31</v>
      </c>
      <c r="AC3582">
        <v>-118.51739999999999</v>
      </c>
      <c r="AD3582">
        <v>1.474456</v>
      </c>
      <c r="AE3582">
        <v>18.155000000000001</v>
      </c>
      <c r="AF3582">
        <v>18.316976270986501</v>
      </c>
      <c r="AG3582">
        <v>1.474456</v>
      </c>
      <c r="AH3582">
        <v>118.47412988987099</v>
      </c>
      <c r="AI3582">
        <v>89.295340158097304</v>
      </c>
      <c r="AJ3582">
        <v>81.211235328286705</v>
      </c>
      <c r="AK3582">
        <v>119.890804874143</v>
      </c>
      <c r="AL3582">
        <v>79.032258308000607</v>
      </c>
      <c r="AM3582">
        <v>93.959149486869507</v>
      </c>
      <c r="AN3582">
        <v>1.0000000229929999</v>
      </c>
    </row>
    <row r="3583" spans="1:40" x14ac:dyDescent="0.25">
      <c r="A3583" t="str">
        <f>"20190304155443856"</f>
        <v>20190304155443856</v>
      </c>
      <c r="B3583" t="str">
        <f>"1551686083851123"</f>
        <v>1551686083851123</v>
      </c>
      <c r="C3583" t="s">
        <v>40</v>
      </c>
      <c r="D3583">
        <v>4.4339750000000002</v>
      </c>
      <c r="E3583">
        <v>0.57959069999999902</v>
      </c>
      <c r="F3583" t="s">
        <v>80</v>
      </c>
      <c r="G3583">
        <v>-470.05680000000001</v>
      </c>
      <c r="H3583">
        <v>2.9639540000000002</v>
      </c>
      <c r="I3583">
        <v>161.09100000000001</v>
      </c>
      <c r="J3583">
        <v>-341.95479999999998</v>
      </c>
      <c r="K3583">
        <v>1.1106210000000001</v>
      </c>
      <c r="L3583">
        <v>142.33709999999999</v>
      </c>
      <c r="M3583">
        <v>-0.99989620000000001</v>
      </c>
      <c r="N3583">
        <v>-1.433422E-2</v>
      </c>
      <c r="O3583">
        <v>-1.5619290000000001E-3</v>
      </c>
      <c r="P3583">
        <v>-0.9818865</v>
      </c>
      <c r="Q3583">
        <v>0.17675389999999999</v>
      </c>
      <c r="R3583">
        <v>-6.8241099999999999E-2</v>
      </c>
      <c r="S3583">
        <v>-3.0788880000000001</v>
      </c>
      <c r="T3583">
        <v>4.4450759999999999E-2</v>
      </c>
      <c r="U3583">
        <v>0.4497833</v>
      </c>
      <c r="V3583">
        <v>-6.677669E-2</v>
      </c>
      <c r="W3583">
        <v>0.1907876</v>
      </c>
      <c r="X3583">
        <v>0.97935740000000004</v>
      </c>
      <c r="Y3583">
        <v>0.1460969</v>
      </c>
      <c r="Z3583" s="1">
        <v>-4.1025459999999898E-5</v>
      </c>
      <c r="AA3583">
        <v>0.98927030000000005</v>
      </c>
      <c r="AB3583">
        <v>31</v>
      </c>
      <c r="AC3583">
        <v>-128.102</v>
      </c>
      <c r="AD3583">
        <v>1.8533329999999999</v>
      </c>
      <c r="AE3583">
        <v>18.753900000000002</v>
      </c>
      <c r="AF3583">
        <v>18.9501006102711</v>
      </c>
      <c r="AG3583">
        <v>1.8533329999999999</v>
      </c>
      <c r="AH3583">
        <v>128.04630912558699</v>
      </c>
      <c r="AI3583">
        <v>89.179696296889901</v>
      </c>
      <c r="AJ3583">
        <v>81.581666900241999</v>
      </c>
      <c r="AK3583">
        <v>129.45423298229301</v>
      </c>
      <c r="AL3583">
        <v>79.001248536646401</v>
      </c>
      <c r="AM3583">
        <v>93.900628948177598</v>
      </c>
      <c r="AN3583">
        <v>0.99999997578793698</v>
      </c>
    </row>
    <row r="3584" spans="1:40" x14ac:dyDescent="0.25">
      <c r="A3584" t="str">
        <f>"20190304155443879"</f>
        <v>20190304155443879</v>
      </c>
      <c r="B3584" t="str">
        <f>"1551686083870643"</f>
        <v>1551686083870643</v>
      </c>
      <c r="C3584" t="s">
        <v>40</v>
      </c>
      <c r="D3584">
        <v>4.5173509999999997</v>
      </c>
      <c r="E3584">
        <v>0.57838319999999999</v>
      </c>
      <c r="F3584" t="s">
        <v>80</v>
      </c>
      <c r="G3584">
        <v>-472.62060000000002</v>
      </c>
      <c r="H3584">
        <v>3.1349809999999998</v>
      </c>
      <c r="I3584">
        <v>160.8931</v>
      </c>
      <c r="J3584">
        <v>-342.26519999999999</v>
      </c>
      <c r="K3584">
        <v>1.1106229999999999</v>
      </c>
      <c r="L3584">
        <v>142.3364</v>
      </c>
      <c r="M3584">
        <v>-0.9998958</v>
      </c>
      <c r="N3584">
        <v>-1.4330900000000001E-2</v>
      </c>
      <c r="O3584">
        <v>-1.7596549999999999E-3</v>
      </c>
      <c r="P3584">
        <v>-0.98183929999999997</v>
      </c>
      <c r="Q3584">
        <v>0.17714530000000001</v>
      </c>
      <c r="R3584">
        <v>-6.7906030000000006E-2</v>
      </c>
      <c r="S3584">
        <v>-3.0770870000000001</v>
      </c>
      <c r="T3584">
        <v>4.7672270000000003E-2</v>
      </c>
      <c r="U3584">
        <v>0.43698120000000001</v>
      </c>
      <c r="V3584">
        <v>-6.6247630000000002E-2</v>
      </c>
      <c r="W3584">
        <v>0.1911757</v>
      </c>
      <c r="X3584">
        <v>0.97931769999999996</v>
      </c>
      <c r="Y3584">
        <v>0.14234089999999999</v>
      </c>
      <c r="Z3584">
        <v>-1.2418069999999999E-4</v>
      </c>
      <c r="AA3584">
        <v>0.98981770000000002</v>
      </c>
      <c r="AB3584">
        <v>31</v>
      </c>
      <c r="AC3584">
        <v>-130.3554</v>
      </c>
      <c r="AD3584">
        <v>2.0243579999999999</v>
      </c>
      <c r="AE3584">
        <v>18.556699999999999</v>
      </c>
      <c r="AF3584">
        <v>18.781635814026899</v>
      </c>
      <c r="AG3584">
        <v>2.0243579999999999</v>
      </c>
      <c r="AH3584">
        <v>130.29174353997101</v>
      </c>
      <c r="AI3584">
        <v>89.118965582543794</v>
      </c>
      <c r="AJ3584">
        <v>81.797282181897501</v>
      </c>
      <c r="AK3584">
        <v>131.65404021088199</v>
      </c>
      <c r="AL3584">
        <v>78.978595648469295</v>
      </c>
      <c r="AM3584">
        <v>93.8699756216308</v>
      </c>
      <c r="AN3584">
        <v>1.0000000271421901</v>
      </c>
    </row>
    <row r="3585" spans="1:40" x14ac:dyDescent="0.25">
      <c r="A3585" t="str">
        <f>"20190304155443902"</f>
        <v>20190304155443902</v>
      </c>
      <c r="B3585" t="str">
        <f>"1551686083891139"</f>
        <v>1551686083891139</v>
      </c>
      <c r="C3585" t="s">
        <v>40</v>
      </c>
      <c r="D3585">
        <v>4.4323519999999998</v>
      </c>
      <c r="E3585">
        <v>0.57744989999999996</v>
      </c>
      <c r="F3585" t="s">
        <v>79</v>
      </c>
      <c r="G3585">
        <v>-511.92649999999998</v>
      </c>
      <c r="H3585">
        <v>3.8111799999999998</v>
      </c>
      <c r="I3585">
        <v>165.98929999999999</v>
      </c>
      <c r="J3585">
        <v>-342.57600000000002</v>
      </c>
      <c r="K3585">
        <v>1.110627</v>
      </c>
      <c r="L3585">
        <v>142.3356</v>
      </c>
      <c r="M3585">
        <v>-0.99989550000000005</v>
      </c>
      <c r="N3585">
        <v>-1.4327589999999999E-2</v>
      </c>
      <c r="O3585">
        <v>-1.9580980000000001E-3</v>
      </c>
      <c r="P3585">
        <v>-0.9818344</v>
      </c>
      <c r="Q3585">
        <v>0.17753759999999999</v>
      </c>
      <c r="R3585">
        <v>-6.6948140000000003E-2</v>
      </c>
      <c r="S3585">
        <v>-3.0763240000000001</v>
      </c>
      <c r="T3585">
        <v>4.8967719999999999E-2</v>
      </c>
      <c r="U3585">
        <v>0.4288788</v>
      </c>
      <c r="V3585">
        <v>-6.5094719999999995E-2</v>
      </c>
      <c r="W3585">
        <v>0.19156509999999999</v>
      </c>
      <c r="X3585">
        <v>0.97931889999999999</v>
      </c>
      <c r="Y3585">
        <v>0.14001420000000001</v>
      </c>
      <c r="Z3585">
        <v>-1.599309E-4</v>
      </c>
      <c r="AA3585">
        <v>0.99014950000000002</v>
      </c>
      <c r="AB3585">
        <v>31</v>
      </c>
      <c r="AC3585">
        <v>-169.35050000000001</v>
      </c>
      <c r="AD3585">
        <v>2.70055299999999</v>
      </c>
      <c r="AE3585">
        <v>23.653699999999901</v>
      </c>
      <c r="AF3585">
        <v>23.979312478670799</v>
      </c>
      <c r="AG3585">
        <v>2.70055299999999</v>
      </c>
      <c r="AH3585">
        <v>169.261636023476</v>
      </c>
      <c r="AI3585">
        <v>89.094964521113894</v>
      </c>
      <c r="AJ3585">
        <v>81.936561129530901</v>
      </c>
      <c r="AK3585">
        <v>170.97310268811</v>
      </c>
      <c r="AL3585">
        <v>78.955864350975205</v>
      </c>
      <c r="AM3585">
        <v>93.802821003930205</v>
      </c>
      <c r="AN3585">
        <v>1.0000000090035399</v>
      </c>
    </row>
    <row r="3586" spans="1:40" x14ac:dyDescent="0.25">
      <c r="A3586" t="str">
        <f>"20190304155443924"</f>
        <v>20190304155443924</v>
      </c>
      <c r="B3586" t="str">
        <f>"1551686083920420"</f>
        <v>1551686083920420</v>
      </c>
      <c r="C3586" t="s">
        <v>40</v>
      </c>
      <c r="D3586">
        <v>4.4546539999999997</v>
      </c>
      <c r="E3586">
        <v>0.57645059999999904</v>
      </c>
      <c r="F3586" t="s">
        <v>79</v>
      </c>
      <c r="G3586">
        <v>-511.92649999999998</v>
      </c>
      <c r="H3586">
        <v>3.855143</v>
      </c>
      <c r="I3586">
        <v>165.7184</v>
      </c>
      <c r="J3586">
        <v>-342.87939999999998</v>
      </c>
      <c r="K3586">
        <v>1.1106279999999999</v>
      </c>
      <c r="L3586">
        <v>142.3348</v>
      </c>
      <c r="M3586">
        <v>-0.99989519999999998</v>
      </c>
      <c r="N3586">
        <v>-1.432433E-2</v>
      </c>
      <c r="O3586">
        <v>-2.1516529999999999E-3</v>
      </c>
      <c r="P3586">
        <v>-0.98172459999999995</v>
      </c>
      <c r="Q3586">
        <v>0.17864389999999999</v>
      </c>
      <c r="R3586">
        <v>-6.5599740000000004E-2</v>
      </c>
      <c r="S3586">
        <v>-3.0754389999999998</v>
      </c>
      <c r="T3586">
        <v>4.9841759999999999E-2</v>
      </c>
      <c r="U3586">
        <v>0.42463679999999898</v>
      </c>
      <c r="V3586">
        <v>-6.3556459999999995E-2</v>
      </c>
      <c r="W3586">
        <v>0.19266710000000001</v>
      </c>
      <c r="X3586">
        <v>0.97920379999999996</v>
      </c>
      <c r="Y3586">
        <v>0.13890439999999901</v>
      </c>
      <c r="Z3586">
        <v>-1.859489E-4</v>
      </c>
      <c r="AA3586">
        <v>0.99030580000000001</v>
      </c>
      <c r="AB3586">
        <v>31</v>
      </c>
      <c r="AC3586">
        <v>-169.0471</v>
      </c>
      <c r="AD3586">
        <v>2.7445149999999998</v>
      </c>
      <c r="AE3586">
        <v>23.383600000000001</v>
      </c>
      <c r="AF3586">
        <v>23.741173582787699</v>
      </c>
      <c r="AG3586">
        <v>2.7445149999999998</v>
      </c>
      <c r="AH3586">
        <v>168.95269326487801</v>
      </c>
      <c r="AI3586">
        <v>89.078405850743593</v>
      </c>
      <c r="AJ3586">
        <v>82.001190201335405</v>
      </c>
      <c r="AK3586">
        <v>170.634663087924</v>
      </c>
      <c r="AL3586">
        <v>78.891526472263905</v>
      </c>
      <c r="AM3586">
        <v>93.713645838636296</v>
      </c>
      <c r="AN3586">
        <v>1.0000000584822799</v>
      </c>
    </row>
    <row r="3587" spans="1:40" x14ac:dyDescent="0.25">
      <c r="A3587" t="str">
        <f>"20190304155443945"</f>
        <v>20190304155443945</v>
      </c>
      <c r="B3587" t="str">
        <f>"1551686083940916"</f>
        <v>1551686083940916</v>
      </c>
      <c r="C3587" t="s">
        <v>40</v>
      </c>
      <c r="D3587">
        <v>4.4755640000000003</v>
      </c>
      <c r="E3587">
        <v>0.57597019999999899</v>
      </c>
      <c r="F3587" t="s">
        <v>79</v>
      </c>
      <c r="G3587">
        <v>-511.92649999999998</v>
      </c>
      <c r="H3587">
        <v>3.9789349999999999</v>
      </c>
      <c r="I3587">
        <v>165.47399999999999</v>
      </c>
      <c r="J3587">
        <v>-343.18029999999999</v>
      </c>
      <c r="K3587">
        <v>1.1106309999999999</v>
      </c>
      <c r="L3587">
        <v>142.334</v>
      </c>
      <c r="M3587">
        <v>-0.99989470000000003</v>
      </c>
      <c r="N3587">
        <v>-1.432105E-2</v>
      </c>
      <c r="O3587">
        <v>-2.3436580000000002E-3</v>
      </c>
      <c r="P3587">
        <v>-0.98181980000000002</v>
      </c>
      <c r="Q3587">
        <v>0.17865029999999901</v>
      </c>
      <c r="R3587">
        <v>-6.4138039999999993E-2</v>
      </c>
      <c r="S3587">
        <v>-3.0744929999999999</v>
      </c>
      <c r="T3587">
        <v>5.21673E-2</v>
      </c>
      <c r="U3587">
        <v>0.42083739999999997</v>
      </c>
      <c r="V3587">
        <v>-6.1906200000000002E-2</v>
      </c>
      <c r="W3587">
        <v>0.1926727</v>
      </c>
      <c r="X3587">
        <v>0.97930839999999997</v>
      </c>
      <c r="Y3587">
        <v>0.13793359999999999</v>
      </c>
      <c r="Z3587">
        <v>-2.4536289999999998E-4</v>
      </c>
      <c r="AA3587">
        <v>0.99044140000000003</v>
      </c>
      <c r="AB3587">
        <v>31</v>
      </c>
      <c r="AC3587">
        <v>-168.74619999999999</v>
      </c>
      <c r="AD3587">
        <v>2.8683040000000002</v>
      </c>
      <c r="AE3587">
        <v>23.14</v>
      </c>
      <c r="AF3587">
        <v>23.5287878410318</v>
      </c>
      <c r="AG3587">
        <v>2.8683040000000002</v>
      </c>
      <c r="AH3587">
        <v>168.643672926947</v>
      </c>
      <c r="AI3587">
        <v>89.034948516723404</v>
      </c>
      <c r="AJ3587">
        <v>82.057490452421803</v>
      </c>
      <c r="AK3587">
        <v>170.30126083912501</v>
      </c>
      <c r="AL3587">
        <v>78.891199333462197</v>
      </c>
      <c r="AM3587">
        <v>93.617094148585693</v>
      </c>
      <c r="AN3587">
        <v>1.00000004461714</v>
      </c>
    </row>
    <row r="3588" spans="1:40" x14ac:dyDescent="0.25">
      <c r="A3588" t="str">
        <f>"20190304155443969"</f>
        <v>20190304155443969</v>
      </c>
      <c r="B3588" t="str">
        <f>"1551686083960435"</f>
        <v>1551686083960435</v>
      </c>
      <c r="C3588" t="s">
        <v>40</v>
      </c>
      <c r="D3588">
        <v>4.5053340000000004</v>
      </c>
      <c r="E3588">
        <v>0.57566759999999995</v>
      </c>
      <c r="F3588" t="s">
        <v>79</v>
      </c>
      <c r="G3588">
        <v>-511.92649999999998</v>
      </c>
      <c r="H3588">
        <v>3.9450949999999998</v>
      </c>
      <c r="I3588">
        <v>165.48740000000001</v>
      </c>
      <c r="J3588">
        <v>-343.49009999999998</v>
      </c>
      <c r="K3588">
        <v>1.1106320000000001</v>
      </c>
      <c r="L3588">
        <v>142.333</v>
      </c>
      <c r="M3588">
        <v>-0.99989430000000001</v>
      </c>
      <c r="N3588">
        <v>-1.431764E-2</v>
      </c>
      <c r="O3588">
        <v>-2.5415009999999998E-3</v>
      </c>
      <c r="P3588">
        <v>-0.98197690000000004</v>
      </c>
      <c r="Q3588">
        <v>0.17821999999999999</v>
      </c>
      <c r="R3588">
        <v>-6.291977E-2</v>
      </c>
      <c r="S3588">
        <v>-3.0737000000000001</v>
      </c>
      <c r="T3588">
        <v>5.1630379999999997E-2</v>
      </c>
      <c r="U3588">
        <v>0.42173769999999999</v>
      </c>
      <c r="V3588">
        <v>-6.049268E-2</v>
      </c>
      <c r="W3588">
        <v>0.19224169999999999</v>
      </c>
      <c r="X3588">
        <v>0.9794813</v>
      </c>
      <c r="Y3588">
        <v>0.13844879999999901</v>
      </c>
      <c r="Z3588">
        <v>-2.4018579999999999E-4</v>
      </c>
      <c r="AA3588">
        <v>0.99036959999999996</v>
      </c>
      <c r="AB3588">
        <v>31</v>
      </c>
      <c r="AC3588">
        <v>-168.43639999999999</v>
      </c>
      <c r="AD3588">
        <v>2.8344629999999902</v>
      </c>
      <c r="AE3588">
        <v>23.154399999999999</v>
      </c>
      <c r="AF3588">
        <v>23.575897845249798</v>
      </c>
      <c r="AG3588">
        <v>2.8344629999999902</v>
      </c>
      <c r="AH3588">
        <v>168.330218500755</v>
      </c>
      <c r="AI3588">
        <v>89.044627477549497</v>
      </c>
      <c r="AJ3588">
        <v>82.0271623715457</v>
      </c>
      <c r="AK3588">
        <v>169.99682232388901</v>
      </c>
      <c r="AL3588">
        <v>78.9163629346086</v>
      </c>
      <c r="AM3588">
        <v>93.534093577776801</v>
      </c>
      <c r="AN3588">
        <v>0.99999992630107803</v>
      </c>
    </row>
    <row r="3589" spans="1:40" x14ac:dyDescent="0.25">
      <c r="A3589" t="str">
        <f>"20190304155443991"</f>
        <v>20190304155443991</v>
      </c>
      <c r="B3589" t="str">
        <f>"1551686083980931"</f>
        <v>1551686083980931</v>
      </c>
      <c r="C3589" t="s">
        <v>40</v>
      </c>
      <c r="D3589">
        <v>4.5090440000000003</v>
      </c>
      <c r="E3589">
        <v>0.57539110000000004</v>
      </c>
      <c r="F3589" t="s">
        <v>79</v>
      </c>
      <c r="G3589">
        <v>-511.92649999999998</v>
      </c>
      <c r="H3589">
        <v>3.7840090000000002</v>
      </c>
      <c r="I3589">
        <v>165.5445</v>
      </c>
      <c r="J3589">
        <v>-343.79320000000001</v>
      </c>
      <c r="K3589">
        <v>1.1106309999999999</v>
      </c>
      <c r="L3589">
        <v>142.3321</v>
      </c>
      <c r="M3589">
        <v>-0.9998939</v>
      </c>
      <c r="N3589">
        <v>-1.43143E-2</v>
      </c>
      <c r="O3589">
        <v>-2.7351739999999999E-3</v>
      </c>
      <c r="P3589">
        <v>-0.98204040000000004</v>
      </c>
      <c r="Q3589">
        <v>0.17839849999999999</v>
      </c>
      <c r="R3589">
        <v>-6.1408070000000002E-2</v>
      </c>
      <c r="S3589">
        <v>-3.073334</v>
      </c>
      <c r="T3589">
        <v>4.8779959999999997E-2</v>
      </c>
      <c r="U3589">
        <v>0.42352289999999998</v>
      </c>
      <c r="V3589">
        <v>-5.8790460000000003E-2</v>
      </c>
      <c r="W3589">
        <v>0.1924186</v>
      </c>
      <c r="X3589">
        <v>0.97955029999999998</v>
      </c>
      <c r="Y3589">
        <v>0.13922209999999999</v>
      </c>
      <c r="Z3589">
        <v>-1.8059749999999999E-4</v>
      </c>
      <c r="AA3589">
        <v>0.99026110000000001</v>
      </c>
      <c r="AB3589">
        <v>31</v>
      </c>
      <c r="AC3589">
        <v>-168.133299999999</v>
      </c>
      <c r="AD3589">
        <v>2.673378</v>
      </c>
      <c r="AE3589">
        <v>23.212399999999999</v>
      </c>
      <c r="AF3589">
        <v>23.666362618854802</v>
      </c>
      <c r="AG3589">
        <v>2.673378</v>
      </c>
      <c r="AH3589">
        <v>168.027488170038</v>
      </c>
      <c r="AI3589">
        <v>89.0973880075029</v>
      </c>
      <c r="AJ3589">
        <v>81.982733322986505</v>
      </c>
      <c r="AK3589">
        <v>169.70704301905101</v>
      </c>
      <c r="AL3589">
        <v>78.906035455339307</v>
      </c>
      <c r="AM3589">
        <v>93.434646917864299</v>
      </c>
      <c r="AN3589">
        <v>1.0000000130215301</v>
      </c>
    </row>
    <row r="3590" spans="1:40" x14ac:dyDescent="0.25">
      <c r="A3590" t="str">
        <f>"20190304155444014"</f>
        <v>20190304155444014</v>
      </c>
      <c r="B3590" t="str">
        <f>"1551686084011188"</f>
        <v>1551686084011188</v>
      </c>
      <c r="C3590" t="s">
        <v>40</v>
      </c>
      <c r="D3590">
        <v>4.5147110000000001</v>
      </c>
      <c r="E3590">
        <v>0.57489599999999996</v>
      </c>
      <c r="F3590" t="s">
        <v>79</v>
      </c>
      <c r="G3590">
        <v>-511.92649999999998</v>
      </c>
      <c r="H3590">
        <v>3.7621560000000001</v>
      </c>
      <c r="I3590">
        <v>165.66</v>
      </c>
      <c r="J3590">
        <v>-344.11</v>
      </c>
      <c r="K3590">
        <v>1.1106320000000001</v>
      </c>
      <c r="L3590">
        <v>142.33099999999999</v>
      </c>
      <c r="M3590">
        <v>-0.99989320000000004</v>
      </c>
      <c r="N3590">
        <v>-1.431081E-2</v>
      </c>
      <c r="O3590">
        <v>-2.9373120000000001E-3</v>
      </c>
      <c r="P3590">
        <v>-0.98208640000000003</v>
      </c>
      <c r="Q3590">
        <v>0.1784975</v>
      </c>
      <c r="R3590">
        <v>-6.0376890000000003E-2</v>
      </c>
      <c r="S3590">
        <v>-3.0727229999999999</v>
      </c>
      <c r="T3590">
        <v>4.8458809999999998E-2</v>
      </c>
      <c r="U3590">
        <v>0.4263306</v>
      </c>
      <c r="V3590">
        <v>-5.7560380000000001E-2</v>
      </c>
      <c r="W3590">
        <v>0.19251599999999999</v>
      </c>
      <c r="X3590">
        <v>0.97960420000000004</v>
      </c>
      <c r="Y3590">
        <v>0.14033670000000001</v>
      </c>
      <c r="Z3590">
        <v>-1.8018020000000001E-4</v>
      </c>
      <c r="AA3590">
        <v>0.99010379999999998</v>
      </c>
      <c r="AB3590">
        <v>31</v>
      </c>
      <c r="AC3590">
        <v>-167.816499999999</v>
      </c>
      <c r="AD3590">
        <v>2.6515240000000002</v>
      </c>
      <c r="AE3590">
        <v>23.328999999999901</v>
      </c>
      <c r="AF3590">
        <v>23.816046460621699</v>
      </c>
      <c r="AG3590">
        <v>2.6515240000000002</v>
      </c>
      <c r="AH3590">
        <v>167.70617117181999</v>
      </c>
      <c r="AI3590">
        <v>89.103194944536696</v>
      </c>
      <c r="AJ3590">
        <v>81.917439057410206</v>
      </c>
      <c r="AK3590">
        <v>169.40954665439901</v>
      </c>
      <c r="AL3590">
        <v>78.900348352669198</v>
      </c>
      <c r="AM3590">
        <v>93.362765458179695</v>
      </c>
      <c r="AN3590">
        <v>0.99999999812969198</v>
      </c>
    </row>
    <row r="3591" spans="1:40" x14ac:dyDescent="0.25">
      <c r="A3591" t="str">
        <f>"20190304155444047"</f>
        <v>20190304155444047</v>
      </c>
      <c r="B3591" t="str">
        <f>"1551686084040467"</f>
        <v>1551686084040467</v>
      </c>
      <c r="C3591" t="s">
        <v>40</v>
      </c>
      <c r="D3591">
        <v>4.5128139999999997</v>
      </c>
      <c r="E3591">
        <v>0.57438710000000004</v>
      </c>
      <c r="F3591" t="s">
        <v>79</v>
      </c>
      <c r="G3591">
        <v>-511.9264</v>
      </c>
      <c r="H3591">
        <v>3.567704</v>
      </c>
      <c r="I3591">
        <v>165.57130000000001</v>
      </c>
      <c r="J3591">
        <v>-344.56150000000002</v>
      </c>
      <c r="K3591">
        <v>1.110627</v>
      </c>
      <c r="L3591">
        <v>142.32929999999999</v>
      </c>
      <c r="M3591">
        <v>-0.99989249999999996</v>
      </c>
      <c r="N3591">
        <v>-1.430581E-2</v>
      </c>
      <c r="O3591">
        <v>-3.225501E-3</v>
      </c>
      <c r="P3591">
        <v>-0.98214610000000002</v>
      </c>
      <c r="Q3591">
        <v>0.17878379999999999</v>
      </c>
      <c r="R3591">
        <v>-5.8526599999999998E-2</v>
      </c>
      <c r="S3591">
        <v>-3.0726619999999998</v>
      </c>
      <c r="T3591">
        <v>4.498899E-2</v>
      </c>
      <c r="U3591">
        <v>0.42552190000000001</v>
      </c>
      <c r="V3591">
        <v>-5.5426620000000003E-2</v>
      </c>
      <c r="W3591">
        <v>0.19279859999999999</v>
      </c>
      <c r="X3591">
        <v>0.97967170000000003</v>
      </c>
      <c r="Y3591">
        <v>0.1403703</v>
      </c>
      <c r="Z3591">
        <v>-1.067414E-4</v>
      </c>
      <c r="AA3591">
        <v>0.99009910000000001</v>
      </c>
      <c r="AB3591">
        <v>31</v>
      </c>
      <c r="AC3591">
        <v>-167.36489999999901</v>
      </c>
      <c r="AD3591">
        <v>2.457077</v>
      </c>
      <c r="AE3591">
        <v>23.242000000000001</v>
      </c>
      <c r="AF3591">
        <v>23.776742298028999</v>
      </c>
      <c r="AG3591">
        <v>2.457077</v>
      </c>
      <c r="AH3591">
        <v>167.253688197358</v>
      </c>
      <c r="AI3591">
        <v>89.166721041342896</v>
      </c>
      <c r="AJ3591">
        <v>81.909060045447603</v>
      </c>
      <c r="AK3591">
        <v>168.95315006625299</v>
      </c>
      <c r="AL3591">
        <v>78.883847742193694</v>
      </c>
      <c r="AM3591">
        <v>93.238155685707994</v>
      </c>
      <c r="AN3591">
        <v>1.00000002507373</v>
      </c>
    </row>
    <row r="3592" spans="1:40" x14ac:dyDescent="0.25">
      <c r="A3592" t="str">
        <f>"20190304155444069"</f>
        <v>20190304155444069</v>
      </c>
      <c r="B3592" t="str">
        <f>"1551686084060963"</f>
        <v>1551686084060963</v>
      </c>
      <c r="C3592" t="s">
        <v>40</v>
      </c>
      <c r="D3592">
        <v>4.5191970000000001</v>
      </c>
      <c r="E3592">
        <v>0.57401499999999905</v>
      </c>
      <c r="F3592" t="s">
        <v>79</v>
      </c>
      <c r="G3592">
        <v>-511.92630000000003</v>
      </c>
      <c r="H3592">
        <v>3.4553310000000002</v>
      </c>
      <c r="I3592">
        <v>165.59909999999999</v>
      </c>
      <c r="J3592">
        <v>-344.86720000000003</v>
      </c>
      <c r="K3592">
        <v>1.1106290000000001</v>
      </c>
      <c r="L3592">
        <v>142.32810000000001</v>
      </c>
      <c r="M3592">
        <v>-0.99989209999999995</v>
      </c>
      <c r="N3592">
        <v>-1.430242E-2</v>
      </c>
      <c r="O3592">
        <v>-3.4206060000000001E-3</v>
      </c>
      <c r="P3592">
        <v>-0.98215660000000005</v>
      </c>
      <c r="Q3592">
        <v>0.17899989999999999</v>
      </c>
      <c r="R3592">
        <v>-5.7688669999999997E-2</v>
      </c>
      <c r="S3592">
        <v>-3.0721440000000002</v>
      </c>
      <c r="T3592">
        <v>4.3040160000000001E-2</v>
      </c>
      <c r="U3592">
        <v>0.4271393</v>
      </c>
      <c r="V3592">
        <v>-5.4397010000000003E-2</v>
      </c>
      <c r="W3592">
        <v>0.1930124</v>
      </c>
      <c r="X3592">
        <v>0.97968730000000004</v>
      </c>
      <c r="Y3592">
        <v>0.14109820000000001</v>
      </c>
      <c r="Z3592" s="1">
        <v>-6.6075009999999994E-5</v>
      </c>
      <c r="AA3592">
        <v>0.98999559999999998</v>
      </c>
      <c r="AB3592">
        <v>31</v>
      </c>
      <c r="AC3592">
        <v>-167.0591</v>
      </c>
      <c r="AD3592">
        <v>2.3447019999999998</v>
      </c>
      <c r="AE3592">
        <v>23.270999999999901</v>
      </c>
      <c r="AF3592">
        <v>23.837759190634898</v>
      </c>
      <c r="AG3592">
        <v>2.3447019999999998</v>
      </c>
      <c r="AH3592">
        <v>166.94625333275499</v>
      </c>
      <c r="AI3592">
        <v>89.2034318692873</v>
      </c>
      <c r="AJ3592">
        <v>81.873834677475898</v>
      </c>
      <c r="AK3592">
        <v>168.65582673760099</v>
      </c>
      <c r="AL3592">
        <v>78.8713632857053</v>
      </c>
      <c r="AM3592">
        <v>93.178077375327007</v>
      </c>
      <c r="AN3592">
        <v>1.0000000135159901</v>
      </c>
    </row>
    <row r="3593" spans="1:40" x14ac:dyDescent="0.25">
      <c r="A3593" t="str">
        <f>"20190304155444092"</f>
        <v>20190304155444092</v>
      </c>
      <c r="B3593" t="str">
        <f>"1551686084080484"</f>
        <v>1551686084080484</v>
      </c>
      <c r="C3593" t="s">
        <v>40</v>
      </c>
      <c r="D3593">
        <v>4.5130589999999904</v>
      </c>
      <c r="E3593">
        <v>0.57376470000000002</v>
      </c>
      <c r="F3593" t="s">
        <v>79</v>
      </c>
      <c r="G3593">
        <v>-511.92630000000003</v>
      </c>
      <c r="H3593">
        <v>3.4112580000000001</v>
      </c>
      <c r="I3593">
        <v>165.5378</v>
      </c>
      <c r="J3593">
        <v>-345.17579999999998</v>
      </c>
      <c r="K3593">
        <v>1.11063</v>
      </c>
      <c r="L3593">
        <v>142.32689999999999</v>
      </c>
      <c r="M3593">
        <v>-0.99989130000000004</v>
      </c>
      <c r="N3593">
        <v>-1.4298969999999999E-2</v>
      </c>
      <c r="O3593">
        <v>-3.617735E-3</v>
      </c>
      <c r="P3593">
        <v>-0.98208079999999998</v>
      </c>
      <c r="Q3593">
        <v>0.1798141</v>
      </c>
      <c r="R3593">
        <v>-5.6429649999999998E-2</v>
      </c>
      <c r="S3593">
        <v>-3.0718380000000001</v>
      </c>
      <c r="T3593">
        <v>4.230416E-2</v>
      </c>
      <c r="U3593">
        <v>0.42677310000000002</v>
      </c>
      <c r="V3593">
        <v>-5.2944829999999998E-2</v>
      </c>
      <c r="W3593">
        <v>0.1938222</v>
      </c>
      <c r="X3593">
        <v>0.97960700000000001</v>
      </c>
      <c r="Y3593">
        <v>0.14119119999999999</v>
      </c>
      <c r="Z3593" s="1">
        <v>-5.4267349999999998E-5</v>
      </c>
      <c r="AA3593">
        <v>0.98998240000000004</v>
      </c>
      <c r="AB3593">
        <v>31</v>
      </c>
      <c r="AC3593">
        <v>-166.75049999999999</v>
      </c>
      <c r="AD3593">
        <v>2.3006279999999899</v>
      </c>
      <c r="AE3593">
        <v>23.210899999999999</v>
      </c>
      <c r="AF3593">
        <v>23.809622752638699</v>
      </c>
      <c r="AG3593">
        <v>2.3006279999999899</v>
      </c>
      <c r="AH3593">
        <v>166.63431273121401</v>
      </c>
      <c r="AI3593">
        <v>89.216951118546604</v>
      </c>
      <c r="AJ3593">
        <v>81.868306864570201</v>
      </c>
      <c r="AK3593">
        <v>168.34246405533301</v>
      </c>
      <c r="AL3593">
        <v>78.824072413974704</v>
      </c>
      <c r="AM3593">
        <v>93.093655679360594</v>
      </c>
      <c r="AN3593">
        <v>1.00000003734278</v>
      </c>
    </row>
    <row r="3594" spans="1:40" x14ac:dyDescent="0.25">
      <c r="A3594" t="str">
        <f>"20190304155444114"</f>
        <v>20190304155444114</v>
      </c>
      <c r="B3594" t="str">
        <f>"1551686084110740"</f>
        <v>1551686084110740</v>
      </c>
      <c r="C3594" t="s">
        <v>40</v>
      </c>
      <c r="D3594">
        <v>4.5255729999999996</v>
      </c>
      <c r="E3594">
        <v>0.57356229999999997</v>
      </c>
      <c r="F3594" t="s">
        <v>79</v>
      </c>
      <c r="G3594">
        <v>-511.92630000000003</v>
      </c>
      <c r="H3594">
        <v>3.4474490000000002</v>
      </c>
      <c r="I3594">
        <v>165.59970000000001</v>
      </c>
      <c r="J3594">
        <v>-345.4776</v>
      </c>
      <c r="K3594">
        <v>1.1106309999999999</v>
      </c>
      <c r="L3594">
        <v>142.32550000000001</v>
      </c>
      <c r="M3594">
        <v>-0.99989059999999996</v>
      </c>
      <c r="N3594">
        <v>-1.429563E-2</v>
      </c>
      <c r="O3594">
        <v>-3.8106899999999998E-3</v>
      </c>
      <c r="P3594">
        <v>-0.98216119999999996</v>
      </c>
      <c r="Q3594">
        <v>0.17965539999999999</v>
      </c>
      <c r="R3594">
        <v>-5.5527170000000001E-2</v>
      </c>
      <c r="S3594">
        <v>-3.0715029999999999</v>
      </c>
      <c r="T3594">
        <v>4.3044449999999998E-2</v>
      </c>
      <c r="U3594">
        <v>0.42868040000000002</v>
      </c>
      <c r="V3594">
        <v>-5.1852019999999999E-2</v>
      </c>
      <c r="W3594">
        <v>0.19366269999999999</v>
      </c>
      <c r="X3594">
        <v>0.97969700000000004</v>
      </c>
      <c r="Y3594">
        <v>0.1419996</v>
      </c>
      <c r="Z3594" s="1">
        <v>-7.757614E-5</v>
      </c>
      <c r="AA3594">
        <v>0.98986669999999999</v>
      </c>
      <c r="AB3594">
        <v>30</v>
      </c>
      <c r="AC3594">
        <v>-166.4487</v>
      </c>
      <c r="AD3594">
        <v>2.3368180000000001</v>
      </c>
      <c r="AE3594">
        <v>23.2742</v>
      </c>
      <c r="AF3594">
        <v>23.903759061515199</v>
      </c>
      <c r="AG3594">
        <v>2.3368180000000001</v>
      </c>
      <c r="AH3594">
        <v>166.32663692124399</v>
      </c>
      <c r="AI3594">
        <v>89.203256731217905</v>
      </c>
      <c r="AJ3594">
        <v>81.821692206591905</v>
      </c>
      <c r="AK3594">
        <v>168.051779416844</v>
      </c>
      <c r="AL3594">
        <v>78.833387649681697</v>
      </c>
      <c r="AM3594">
        <v>93.029643353694894</v>
      </c>
      <c r="AN3594">
        <v>1.00000004257918</v>
      </c>
    </row>
    <row r="3595" spans="1:40" x14ac:dyDescent="0.25">
      <c r="A3595" t="str">
        <f>"20190304155444136"</f>
        <v>20190304155444136</v>
      </c>
      <c r="B3595" t="str">
        <f>"1551686084131236"</f>
        <v>1551686084131236</v>
      </c>
      <c r="C3595" t="s">
        <v>40</v>
      </c>
      <c r="D3595">
        <v>4.6308040000000004</v>
      </c>
      <c r="E3595">
        <v>0.57307949999999996</v>
      </c>
      <c r="F3595" t="s">
        <v>79</v>
      </c>
      <c r="G3595">
        <v>-511.92619999999999</v>
      </c>
      <c r="H3595">
        <v>3.1298490000000001</v>
      </c>
      <c r="I3595">
        <v>165.61959999999999</v>
      </c>
      <c r="J3595">
        <v>-345.7706</v>
      </c>
      <c r="K3595">
        <v>1.1106309999999999</v>
      </c>
      <c r="L3595">
        <v>142.32419999999999</v>
      </c>
      <c r="M3595">
        <v>-0.9998899</v>
      </c>
      <c r="N3595">
        <v>-1.4292539999999999E-2</v>
      </c>
      <c r="O3595">
        <v>-3.9982849999999999E-3</v>
      </c>
      <c r="P3595">
        <v>-0.98209290000000005</v>
      </c>
      <c r="Q3595">
        <v>0.18029510000000001</v>
      </c>
      <c r="R3595">
        <v>-5.4655380000000003E-2</v>
      </c>
      <c r="S3595">
        <v>-3.0719910000000001</v>
      </c>
      <c r="T3595">
        <v>3.7267679999999997E-2</v>
      </c>
      <c r="U3595">
        <v>0.42991639999999998</v>
      </c>
      <c r="V3595">
        <v>-5.0795779999999999E-2</v>
      </c>
      <c r="W3595">
        <v>0.19429840000000001</v>
      </c>
      <c r="X3595">
        <v>0.97962640000000001</v>
      </c>
      <c r="Y3595">
        <v>0.14255609999999999</v>
      </c>
      <c r="Z3595" s="1">
        <v>5.8113250000000001E-5</v>
      </c>
      <c r="AA3595">
        <v>0.98978670000000002</v>
      </c>
      <c r="AB3595">
        <v>30</v>
      </c>
      <c r="AC3595">
        <v>-166.15559999999999</v>
      </c>
      <c r="AD3595">
        <v>2.019218</v>
      </c>
      <c r="AE3595">
        <v>23.295400000000001</v>
      </c>
      <c r="AF3595">
        <v>23.956149280285899</v>
      </c>
      <c r="AG3595">
        <v>2.019218</v>
      </c>
      <c r="AH3595">
        <v>166.03707198331799</v>
      </c>
      <c r="AI3595">
        <v>89.310386431952296</v>
      </c>
      <c r="AJ3595">
        <v>81.7899120203151</v>
      </c>
      <c r="AK3595">
        <v>167.768541754599</v>
      </c>
      <c r="AL3595">
        <v>78.796258795357204</v>
      </c>
      <c r="AM3595">
        <v>92.968253689426902</v>
      </c>
      <c r="AN3595">
        <v>0.99999998154266401</v>
      </c>
    </row>
    <row r="3596" spans="1:40" x14ac:dyDescent="0.25">
      <c r="A3596" t="str">
        <f>"20190304155444159"</f>
        <v>20190304155444159</v>
      </c>
      <c r="B3596" t="str">
        <f>"1551686084150759"</f>
        <v>1551686084150759</v>
      </c>
      <c r="C3596" t="s">
        <v>40</v>
      </c>
      <c r="D3596">
        <v>4.4948100000000002</v>
      </c>
      <c r="E3596">
        <v>0.57273390000000002</v>
      </c>
      <c r="F3596" t="s">
        <v>79</v>
      </c>
      <c r="G3596">
        <v>-511.92619999999999</v>
      </c>
      <c r="H3596">
        <v>3.1871239999999998</v>
      </c>
      <c r="I3596">
        <v>165.51840000000001</v>
      </c>
      <c r="J3596">
        <v>-346.08589999999998</v>
      </c>
      <c r="K3596">
        <v>1.11063</v>
      </c>
      <c r="L3596">
        <v>142.3227</v>
      </c>
      <c r="M3596">
        <v>-0.99988929999999998</v>
      </c>
      <c r="N3596">
        <v>-1.428916E-2</v>
      </c>
      <c r="O3596">
        <v>-4.2003020000000004E-3</v>
      </c>
      <c r="P3596">
        <v>-0.98204480000000005</v>
      </c>
      <c r="Q3596">
        <v>0.1806517</v>
      </c>
      <c r="R3596">
        <v>-5.4346430000000001E-2</v>
      </c>
      <c r="S3596">
        <v>-3.071472</v>
      </c>
      <c r="T3596">
        <v>3.8385870000000002E-2</v>
      </c>
      <c r="U3596">
        <v>0.42875669999999999</v>
      </c>
      <c r="V3596">
        <v>-5.0288630000000001E-2</v>
      </c>
      <c r="W3596">
        <v>0.19465150000000001</v>
      </c>
      <c r="X3596">
        <v>0.97958250000000002</v>
      </c>
      <c r="Y3596">
        <v>0.14241210000000001</v>
      </c>
      <c r="Z3596" s="1">
        <v>2.4891229999999999E-5</v>
      </c>
      <c r="AA3596">
        <v>0.9898074</v>
      </c>
      <c r="AB3596">
        <v>30</v>
      </c>
      <c r="AC3596">
        <v>-165.84030000000001</v>
      </c>
      <c r="AD3596">
        <v>2.0764939999999998</v>
      </c>
      <c r="AE3596">
        <v>23.195699999999999</v>
      </c>
      <c r="AF3596">
        <v>23.888472366172198</v>
      </c>
      <c r="AG3596">
        <v>2.0764939999999998</v>
      </c>
      <c r="AH3596">
        <v>165.71591602675699</v>
      </c>
      <c r="AI3596">
        <v>89.289440056749996</v>
      </c>
      <c r="AJ3596">
        <v>81.797139900428505</v>
      </c>
      <c r="AK3596">
        <v>167.44173841640799</v>
      </c>
      <c r="AL3596">
        <v>78.775634237202198</v>
      </c>
      <c r="AM3596">
        <v>92.938802028586295</v>
      </c>
      <c r="AN3596">
        <v>1.0000000135328799</v>
      </c>
    </row>
    <row r="3597" spans="1:40" x14ac:dyDescent="0.25">
      <c r="A3597" t="str">
        <f>"20190304155444182"</f>
        <v>20190304155444182</v>
      </c>
      <c r="B3597" t="str">
        <f>"1551686084171252"</f>
        <v>1551686084171252</v>
      </c>
      <c r="C3597" t="s">
        <v>40</v>
      </c>
      <c r="D3597">
        <v>4.477983</v>
      </c>
      <c r="E3597">
        <v>0.57245109999999999</v>
      </c>
      <c r="F3597" t="s">
        <v>79</v>
      </c>
      <c r="G3597">
        <v>-511.92619999999999</v>
      </c>
      <c r="H3597">
        <v>3.1853720000000001</v>
      </c>
      <c r="I3597">
        <v>165.38579999999999</v>
      </c>
      <c r="J3597">
        <v>-346.40190000000001</v>
      </c>
      <c r="K3597">
        <v>1.1106290000000001</v>
      </c>
      <c r="L3597">
        <v>142.3212</v>
      </c>
      <c r="M3597">
        <v>-0.99988829999999995</v>
      </c>
      <c r="N3597">
        <v>-1.428571E-2</v>
      </c>
      <c r="O3597">
        <v>-4.402675E-3</v>
      </c>
      <c r="P3597">
        <v>-0.98196209999999995</v>
      </c>
      <c r="Q3597">
        <v>0.18119109999999999</v>
      </c>
      <c r="R3597">
        <v>-5.4038500000000003E-2</v>
      </c>
      <c r="S3597">
        <v>-3.0714419999999998</v>
      </c>
      <c r="T3597">
        <v>3.8426040000000002E-2</v>
      </c>
      <c r="U3597">
        <v>0.4271393</v>
      </c>
      <c r="V3597">
        <v>-4.97825E-2</v>
      </c>
      <c r="W3597">
        <v>0.19518659999999999</v>
      </c>
      <c r="X3597">
        <v>0.97950179999999998</v>
      </c>
      <c r="Y3597">
        <v>0.14210239999999999</v>
      </c>
      <c r="Z3597" s="1">
        <v>1.79036299999999E-5</v>
      </c>
      <c r="AA3597">
        <v>0.98985199999999995</v>
      </c>
      <c r="AB3597">
        <v>30</v>
      </c>
      <c r="AC3597">
        <v>-165.52429999999899</v>
      </c>
      <c r="AD3597">
        <v>2.0747429999999998</v>
      </c>
      <c r="AE3597">
        <v>23.064599999999899</v>
      </c>
      <c r="AF3597">
        <v>23.789534062772798</v>
      </c>
      <c r="AG3597">
        <v>2.0747429999999998</v>
      </c>
      <c r="AH3597">
        <v>165.39564868978701</v>
      </c>
      <c r="AI3597">
        <v>89.288632553455898</v>
      </c>
      <c r="AJ3597">
        <v>81.815049225240301</v>
      </c>
      <c r="AK3597">
        <v>167.11064327251901</v>
      </c>
      <c r="AL3597">
        <v>78.744374880920603</v>
      </c>
      <c r="AM3597">
        <v>92.9095148008889</v>
      </c>
      <c r="AN3597">
        <v>0.99999994116452295</v>
      </c>
    </row>
    <row r="3598" spans="1:40" x14ac:dyDescent="0.25">
      <c r="A3598" t="str">
        <f>"20190304155444205"</f>
        <v>20190304155444205</v>
      </c>
      <c r="B3598" t="str">
        <f>"1551686084200532"</f>
        <v>1551686084200532</v>
      </c>
      <c r="C3598" t="s">
        <v>40</v>
      </c>
      <c r="D3598">
        <v>4.4661749999999998</v>
      </c>
      <c r="E3598">
        <v>0.57208219999999899</v>
      </c>
      <c r="F3598" t="s">
        <v>79</v>
      </c>
      <c r="G3598">
        <v>-511.92630000000003</v>
      </c>
      <c r="H3598">
        <v>3.2213270000000001</v>
      </c>
      <c r="I3598">
        <v>165.27799999999999</v>
      </c>
      <c r="J3598">
        <v>-346.70249999999999</v>
      </c>
      <c r="K3598">
        <v>1.1106339999999999</v>
      </c>
      <c r="L3598">
        <v>142.31970000000001</v>
      </c>
      <c r="M3598">
        <v>-0.99988750000000004</v>
      </c>
      <c r="N3598">
        <v>-1.4282420000000001E-2</v>
      </c>
      <c r="O3598">
        <v>-4.5950390000000004E-3</v>
      </c>
      <c r="P3598">
        <v>-0.98190999999999995</v>
      </c>
      <c r="Q3598">
        <v>0.18156079999999999</v>
      </c>
      <c r="R3598">
        <v>-5.3746130000000003E-2</v>
      </c>
      <c r="S3598">
        <v>-3.0713200000000001</v>
      </c>
      <c r="T3598">
        <v>3.9165020000000002E-2</v>
      </c>
      <c r="U3598">
        <v>0.42596440000000002</v>
      </c>
      <c r="V3598">
        <v>-4.9301009999999999E-2</v>
      </c>
      <c r="W3598">
        <v>0.1955528</v>
      </c>
      <c r="X3598">
        <v>0.97945320000000002</v>
      </c>
      <c r="Y3598">
        <v>0.14192630000000001</v>
      </c>
      <c r="Z3598" s="1">
        <v>-5.7927100000000003E-6</v>
      </c>
      <c r="AA3598">
        <v>0.98987720000000001</v>
      </c>
      <c r="AB3598">
        <v>30</v>
      </c>
      <c r="AC3598">
        <v>-165.22380000000001</v>
      </c>
      <c r="AD3598">
        <v>2.1106929999999999</v>
      </c>
      <c r="AE3598">
        <v>22.958299999999898</v>
      </c>
      <c r="AF3598">
        <v>23.713548170939099</v>
      </c>
      <c r="AG3598">
        <v>2.1106929999999999</v>
      </c>
      <c r="AH3598">
        <v>165.09011886823001</v>
      </c>
      <c r="AI3598">
        <v>89.274948673213203</v>
      </c>
      <c r="AJ3598">
        <v>81.825943960591502</v>
      </c>
      <c r="AK3598">
        <v>166.79788589704</v>
      </c>
      <c r="AL3598">
        <v>78.722981900289895</v>
      </c>
      <c r="AM3598">
        <v>92.881564731999603</v>
      </c>
      <c r="AN3598">
        <v>1.0000000290825399</v>
      </c>
    </row>
    <row r="3599" spans="1:40" x14ac:dyDescent="0.25">
      <c r="A3599" t="str">
        <f>"20190304155444229"</f>
        <v>20190304155444229</v>
      </c>
      <c r="B3599" t="str">
        <f>"1551686084221028"</f>
        <v>1551686084221028</v>
      </c>
      <c r="C3599" t="s">
        <v>40</v>
      </c>
      <c r="D3599">
        <v>4.5065339999999896</v>
      </c>
      <c r="E3599">
        <v>0.57186329999999996</v>
      </c>
      <c r="F3599" t="s">
        <v>79</v>
      </c>
      <c r="G3599">
        <v>-511.92619999999999</v>
      </c>
      <c r="H3599">
        <v>3.1885560000000002</v>
      </c>
      <c r="I3599">
        <v>165.10830000000001</v>
      </c>
      <c r="J3599">
        <v>-347.03620000000001</v>
      </c>
      <c r="K3599">
        <v>1.110635</v>
      </c>
      <c r="L3599">
        <v>142.31790000000001</v>
      </c>
      <c r="M3599">
        <v>-0.99988659999999996</v>
      </c>
      <c r="N3599">
        <v>-1.427873E-2</v>
      </c>
      <c r="O3599">
        <v>-4.8084979999999996E-3</v>
      </c>
      <c r="P3599">
        <v>-0.98179729999999998</v>
      </c>
      <c r="Q3599">
        <v>0.1822281</v>
      </c>
      <c r="R3599">
        <v>-5.3545500000000003E-2</v>
      </c>
      <c r="S3599">
        <v>-3.0713200000000001</v>
      </c>
      <c r="T3599">
        <v>3.862703E-2</v>
      </c>
      <c r="U3599">
        <v>0.4236145</v>
      </c>
      <c r="V3599">
        <v>-4.8891829999999997E-2</v>
      </c>
      <c r="W3599">
        <v>0.1962149</v>
      </c>
      <c r="X3599">
        <v>0.97934129999999997</v>
      </c>
      <c r="Y3599">
        <v>0.14139460000000001</v>
      </c>
      <c r="Z3599" s="1">
        <v>8.3434860000000001E-7</v>
      </c>
      <c r="AA3599">
        <v>0.98995330000000004</v>
      </c>
      <c r="AB3599">
        <v>30</v>
      </c>
      <c r="AC3599">
        <v>-164.89</v>
      </c>
      <c r="AD3599">
        <v>2.0779209999999999</v>
      </c>
      <c r="AE3599">
        <v>22.790400000000002</v>
      </c>
      <c r="AF3599">
        <v>23.579416076369998</v>
      </c>
      <c r="AG3599">
        <v>2.0779209999999999</v>
      </c>
      <c r="AH3599">
        <v>164.752821148474</v>
      </c>
      <c r="AI3599">
        <v>89.284691666093707</v>
      </c>
      <c r="AJ3599">
        <v>81.855141415923697</v>
      </c>
      <c r="AK3599">
        <v>166.44458145150301</v>
      </c>
      <c r="AL3599">
        <v>78.684297049661595</v>
      </c>
      <c r="AM3599">
        <v>92.858014606934404</v>
      </c>
      <c r="AN3599">
        <v>1.0000000399542199</v>
      </c>
    </row>
    <row r="3600" spans="1:40" x14ac:dyDescent="0.25">
      <c r="A3600" t="str">
        <f>"20190304155444249"</f>
        <v>20190304155444249</v>
      </c>
      <c r="B3600" t="str">
        <f>"1551686084240548"</f>
        <v>1551686084240548</v>
      </c>
      <c r="C3600" t="s">
        <v>40</v>
      </c>
      <c r="D3600">
        <v>4.5586339999999996</v>
      </c>
      <c r="E3600">
        <v>0.57207940000000002</v>
      </c>
      <c r="F3600" t="s">
        <v>79</v>
      </c>
      <c r="G3600">
        <v>-511.92630000000003</v>
      </c>
      <c r="H3600">
        <v>3.2735479999999999</v>
      </c>
      <c r="I3600">
        <v>165.0008</v>
      </c>
      <c r="J3600">
        <v>-347.30650000000003</v>
      </c>
      <c r="K3600">
        <v>1.1106400000000001</v>
      </c>
      <c r="L3600">
        <v>142.31639999999999</v>
      </c>
      <c r="M3600">
        <v>-0.99988569999999999</v>
      </c>
      <c r="N3600">
        <v>-1.427571E-2</v>
      </c>
      <c r="O3600">
        <v>-4.981315E-3</v>
      </c>
      <c r="P3600">
        <v>-0.98171790000000003</v>
      </c>
      <c r="Q3600">
        <v>0.182699</v>
      </c>
      <c r="R3600">
        <v>-5.3395860000000003E-2</v>
      </c>
      <c r="S3600">
        <v>-3.0711979999999999</v>
      </c>
      <c r="T3600">
        <v>4.0286660000000002E-2</v>
      </c>
      <c r="U3600">
        <v>0.42248540000000001</v>
      </c>
      <c r="V3600">
        <v>-4.8572440000000001E-2</v>
      </c>
      <c r="W3600">
        <v>0.19668189999999999</v>
      </c>
      <c r="X3600">
        <v>0.97926349999999995</v>
      </c>
      <c r="Y3600">
        <v>0.14121330000000001</v>
      </c>
      <c r="Z3600" s="1">
        <v>-4.4885790000000002E-5</v>
      </c>
      <c r="AA3600">
        <v>0.98997919999999995</v>
      </c>
      <c r="AB3600">
        <v>30</v>
      </c>
      <c r="AC3600">
        <v>-164.6198</v>
      </c>
      <c r="AD3600">
        <v>2.1629079999999998</v>
      </c>
      <c r="AE3600">
        <v>22.6844</v>
      </c>
      <c r="AF3600">
        <v>23.5002439328604</v>
      </c>
      <c r="AG3600">
        <v>2.1629079999999998</v>
      </c>
      <c r="AH3600">
        <v>164.47688325577201</v>
      </c>
      <c r="AI3600">
        <v>89.254164575220202</v>
      </c>
      <c r="AJ3600">
        <v>81.868686989032398</v>
      </c>
      <c r="AK3600">
        <v>166.16132149647001</v>
      </c>
      <c r="AL3600">
        <v>78.657008026881698</v>
      </c>
      <c r="AM3600">
        <v>92.839600250168502</v>
      </c>
      <c r="AN3600">
        <v>1.0000000270736999</v>
      </c>
    </row>
    <row r="3601" spans="1:40" x14ac:dyDescent="0.25">
      <c r="A3601" t="str">
        <f>"20190304155444270"</f>
        <v>20190304155444270</v>
      </c>
      <c r="B3601" t="str">
        <f>"1551686084261044"</f>
        <v>1551686084261044</v>
      </c>
      <c r="C3601" t="s">
        <v>40</v>
      </c>
      <c r="D3601">
        <v>4.523542</v>
      </c>
      <c r="E3601">
        <v>0.57231330000000002</v>
      </c>
      <c r="F3601" t="s">
        <v>79</v>
      </c>
      <c r="G3601">
        <v>-511.92630000000003</v>
      </c>
      <c r="H3601">
        <v>3.3431410000000001</v>
      </c>
      <c r="I3601">
        <v>165.0789</v>
      </c>
      <c r="J3601">
        <v>-347.58440000000002</v>
      </c>
      <c r="K3601">
        <v>1.1106389999999999</v>
      </c>
      <c r="L3601">
        <v>142.31479999999999</v>
      </c>
      <c r="M3601">
        <v>-0.99988480000000002</v>
      </c>
      <c r="N3601">
        <v>-1.427258E-2</v>
      </c>
      <c r="O3601">
        <v>-5.15878E-3</v>
      </c>
      <c r="P3601">
        <v>-0.98166850000000005</v>
      </c>
      <c r="Q3601">
        <v>0.18304390000000001</v>
      </c>
      <c r="R3601">
        <v>-5.3123299999999998E-2</v>
      </c>
      <c r="S3601">
        <v>-3.0712280000000001</v>
      </c>
      <c r="T3601">
        <v>4.1651489999999999E-2</v>
      </c>
      <c r="U3601">
        <v>0.42466739999999997</v>
      </c>
      <c r="V3601">
        <v>-4.81264E-2</v>
      </c>
      <c r="W3601">
        <v>0.19702320000000001</v>
      </c>
      <c r="X3601">
        <v>0.97921689999999995</v>
      </c>
      <c r="Y3601">
        <v>0.14207729999999999</v>
      </c>
      <c r="Z3601" s="1">
        <v>-8.29607E-5</v>
      </c>
      <c r="AA3601">
        <v>0.9898555</v>
      </c>
      <c r="AB3601">
        <v>30</v>
      </c>
      <c r="AC3601">
        <v>-164.34190000000001</v>
      </c>
      <c r="AD3601">
        <v>2.2325020000000002</v>
      </c>
      <c r="AE3601">
        <v>22.764099999999999</v>
      </c>
      <c r="AF3601">
        <v>23.6074126616729</v>
      </c>
      <c r="AG3601">
        <v>2.2325020000000002</v>
      </c>
      <c r="AH3601">
        <v>164.19253633505801</v>
      </c>
      <c r="AI3601">
        <v>89.228933771429496</v>
      </c>
      <c r="AJ3601">
        <v>81.818151082275307</v>
      </c>
      <c r="AK3601">
        <v>165.89600051206199</v>
      </c>
      <c r="AL3601">
        <v>78.637062564848804</v>
      </c>
      <c r="AM3601">
        <v>92.813700015960194</v>
      </c>
      <c r="AN3601">
        <v>1.0000000144804</v>
      </c>
    </row>
    <row r="3602" spans="1:40" x14ac:dyDescent="0.25">
      <c r="A3602" t="str">
        <f>"20190304155444293"</f>
        <v>20190304155444293</v>
      </c>
      <c r="B3602" t="str">
        <f>"1551686084280564"</f>
        <v>1551686084280564</v>
      </c>
      <c r="C3602" t="s">
        <v>40</v>
      </c>
      <c r="D3602">
        <v>4.4968279999999998</v>
      </c>
      <c r="E3602">
        <v>0.57251019999999997</v>
      </c>
      <c r="F3602" t="s">
        <v>79</v>
      </c>
      <c r="G3602">
        <v>-511.92630000000003</v>
      </c>
      <c r="H3602">
        <v>3.3818809999999999</v>
      </c>
      <c r="I3602">
        <v>165.17599999999999</v>
      </c>
      <c r="J3602">
        <v>-347.8897</v>
      </c>
      <c r="K3602">
        <v>1.110641</v>
      </c>
      <c r="L3602">
        <v>142.31299999999999</v>
      </c>
      <c r="M3602">
        <v>-0.99988379999999999</v>
      </c>
      <c r="N3602">
        <v>-1.4269230000000001E-2</v>
      </c>
      <c r="O3602">
        <v>-5.3541250000000004E-3</v>
      </c>
      <c r="P3602">
        <v>-0.98160910000000001</v>
      </c>
      <c r="Q3602">
        <v>0.1834094</v>
      </c>
      <c r="R3602">
        <v>-5.2955929999999998E-2</v>
      </c>
      <c r="S3602">
        <v>-3.0712280000000001</v>
      </c>
      <c r="T3602">
        <v>4.2445900000000002E-2</v>
      </c>
      <c r="U3602">
        <v>0.42723080000000002</v>
      </c>
      <c r="V3602">
        <v>-4.776706E-2</v>
      </c>
      <c r="W3602">
        <v>0.19738459999999999</v>
      </c>
      <c r="X3602">
        <v>0.97916170000000002</v>
      </c>
      <c r="Y3602">
        <v>0.14308089999999901</v>
      </c>
      <c r="Z3602">
        <v>-1.0784090000000001E-4</v>
      </c>
      <c r="AA3602">
        <v>0.98971100000000001</v>
      </c>
      <c r="AB3602">
        <v>30</v>
      </c>
      <c r="AC3602">
        <v>-164.03659999999999</v>
      </c>
      <c r="AD3602">
        <v>2.2712400000000001</v>
      </c>
      <c r="AE3602">
        <v>22.863</v>
      </c>
      <c r="AF3602">
        <v>23.7365703424171</v>
      </c>
      <c r="AG3602">
        <v>2.2712400000000001</v>
      </c>
      <c r="AH3602">
        <v>163.88100556264499</v>
      </c>
      <c r="AI3602">
        <v>89.214182916041395</v>
      </c>
      <c r="AJ3602">
        <v>81.758575946090602</v>
      </c>
      <c r="AK3602">
        <v>165.60666437973299</v>
      </c>
      <c r="AL3602">
        <v>78.615940971210804</v>
      </c>
      <c r="AM3602">
        <v>92.792881851227094</v>
      </c>
      <c r="AN3602">
        <v>1.00000000354254</v>
      </c>
    </row>
    <row r="3603" spans="1:40" x14ac:dyDescent="0.25">
      <c r="A3603" t="str">
        <f>"20190304155444315"</f>
        <v>20190304155444315</v>
      </c>
      <c r="B3603" t="str">
        <f>"1551686084310820"</f>
        <v>1551686084310820</v>
      </c>
      <c r="C3603" t="s">
        <v>40</v>
      </c>
      <c r="D3603">
        <v>4.3828690000000003</v>
      </c>
      <c r="E3603">
        <v>0.57270319999999997</v>
      </c>
      <c r="F3603" t="s">
        <v>79</v>
      </c>
      <c r="G3603">
        <v>-511.92630000000003</v>
      </c>
      <c r="H3603">
        <v>3.3991730000000002</v>
      </c>
      <c r="I3603">
        <v>165.22810000000001</v>
      </c>
      <c r="J3603">
        <v>-348.19130000000001</v>
      </c>
      <c r="K3603">
        <v>1.1106499999999999</v>
      </c>
      <c r="L3603">
        <v>142.31120000000001</v>
      </c>
      <c r="M3603">
        <v>-0.99988299999999997</v>
      </c>
      <c r="N3603">
        <v>-1.426592E-2</v>
      </c>
      <c r="O3603">
        <v>-5.547204E-3</v>
      </c>
      <c r="P3603">
        <v>-0.98159430000000003</v>
      </c>
      <c r="Q3603">
        <v>0.18355640000000001</v>
      </c>
      <c r="R3603">
        <v>-5.2725840000000003E-2</v>
      </c>
      <c r="S3603">
        <v>-3.0713200000000001</v>
      </c>
      <c r="T3603">
        <v>4.2849900000000003E-2</v>
      </c>
      <c r="U3603">
        <v>0.4290466</v>
      </c>
      <c r="V3603">
        <v>-4.7347309999999997E-2</v>
      </c>
      <c r="W3603">
        <v>0.19752900000000001</v>
      </c>
      <c r="X3603">
        <v>0.97915300000000005</v>
      </c>
      <c r="Y3603">
        <v>0.14384169999999999</v>
      </c>
      <c r="Z3603">
        <v>-1.2325659999999999E-4</v>
      </c>
      <c r="AA3603">
        <v>0.9896007</v>
      </c>
      <c r="AB3603">
        <v>30</v>
      </c>
      <c r="AC3603">
        <v>-163.73500000000001</v>
      </c>
      <c r="AD3603">
        <v>2.2885230000000001</v>
      </c>
      <c r="AE3603">
        <v>22.916899999999998</v>
      </c>
      <c r="AF3603">
        <v>23.8203470330117</v>
      </c>
      <c r="AG3603">
        <v>2.2885230000000001</v>
      </c>
      <c r="AH3603">
        <v>163.57400139536799</v>
      </c>
      <c r="AI3603">
        <v>89.206806549117402</v>
      </c>
      <c r="AJ3603">
        <v>81.7145835282261</v>
      </c>
      <c r="AK3603">
        <v>165.31515418371799</v>
      </c>
      <c r="AL3603">
        <v>78.607501665929803</v>
      </c>
      <c r="AM3603">
        <v>92.768402487056505</v>
      </c>
      <c r="AN3603">
        <v>1.0000000355071099</v>
      </c>
    </row>
    <row r="3604" spans="1:40" x14ac:dyDescent="0.25">
      <c r="A3604" t="str">
        <f>"20190304155444336"</f>
        <v>20190304155444336</v>
      </c>
      <c r="B3604" t="str">
        <f>"1551686084331316"</f>
        <v>1551686084331316</v>
      </c>
      <c r="C3604" t="s">
        <v>40</v>
      </c>
      <c r="D3604">
        <v>4.4584659999999996</v>
      </c>
      <c r="E3604">
        <v>0.57274399999999903</v>
      </c>
      <c r="F3604" t="s">
        <v>79</v>
      </c>
      <c r="G3604">
        <v>-511.92630000000003</v>
      </c>
      <c r="H3604">
        <v>3.3155380000000001</v>
      </c>
      <c r="I3604">
        <v>165.32650000000001</v>
      </c>
      <c r="J3604">
        <v>-348.48559999999998</v>
      </c>
      <c r="K3604">
        <v>1.1106510000000001</v>
      </c>
      <c r="L3604">
        <v>142.30940000000001</v>
      </c>
      <c r="M3604">
        <v>-0.99988189999999999</v>
      </c>
      <c r="N3604">
        <v>-1.426272E-2</v>
      </c>
      <c r="O3604">
        <v>-5.7357519999999898E-3</v>
      </c>
      <c r="P3604">
        <v>-0.98161200000000004</v>
      </c>
      <c r="Q3604">
        <v>0.18344170000000001</v>
      </c>
      <c r="R3604">
        <v>-5.2794340000000002E-2</v>
      </c>
      <c r="S3604">
        <v>-3.0717469999999998</v>
      </c>
      <c r="T3604">
        <v>4.1365619999999999E-2</v>
      </c>
      <c r="U3604">
        <v>0.431778</v>
      </c>
      <c r="V3604">
        <v>-4.7230790000000002E-2</v>
      </c>
      <c r="W3604">
        <v>0.19741120000000001</v>
      </c>
      <c r="X3604">
        <v>0.97918240000000001</v>
      </c>
      <c r="Y3604">
        <v>0.1448728</v>
      </c>
      <c r="Z3604" s="1">
        <v>-9.0668560000000005E-5</v>
      </c>
      <c r="AA3604">
        <v>0.9894503</v>
      </c>
      <c r="AB3604">
        <v>30</v>
      </c>
      <c r="AC3604">
        <v>-163.44069999999999</v>
      </c>
      <c r="AD3604">
        <v>2.2048869999999998</v>
      </c>
      <c r="AE3604">
        <v>23.017099999999999</v>
      </c>
      <c r="AF3604">
        <v>23.949997980722099</v>
      </c>
      <c r="AG3604">
        <v>2.2048869999999998</v>
      </c>
      <c r="AH3604">
        <v>163.276839920111</v>
      </c>
      <c r="AI3604">
        <v>89.234516290788605</v>
      </c>
      <c r="AJ3604">
        <v>81.65517124614</v>
      </c>
      <c r="AK3604">
        <v>165.03875418899901</v>
      </c>
      <c r="AL3604">
        <v>78.614386860038607</v>
      </c>
      <c r="AM3604">
        <v>92.761517320560998</v>
      </c>
      <c r="AN3604">
        <v>1.0000000509396101</v>
      </c>
    </row>
    <row r="3605" spans="1:40" x14ac:dyDescent="0.25">
      <c r="A3605" t="str">
        <f>"20190304155444359"</f>
        <v>20190304155444359</v>
      </c>
      <c r="B3605" t="str">
        <f>"1551686084351375"</f>
        <v>1551686084351375</v>
      </c>
      <c r="C3605" t="s">
        <v>40</v>
      </c>
      <c r="D3605">
        <v>4.4869779999999997</v>
      </c>
      <c r="E3605">
        <v>0.57276510000000003</v>
      </c>
      <c r="F3605" t="s">
        <v>79</v>
      </c>
      <c r="G3605">
        <v>-511.92630000000003</v>
      </c>
      <c r="H3605">
        <v>3.2841849999999999</v>
      </c>
      <c r="I3605">
        <v>165.28389999999999</v>
      </c>
      <c r="J3605">
        <v>-348.78460000000001</v>
      </c>
      <c r="K3605">
        <v>1.1106499999999999</v>
      </c>
      <c r="L3605">
        <v>142.3075</v>
      </c>
      <c r="M3605">
        <v>-0.99988089999999996</v>
      </c>
      <c r="N3605">
        <v>-1.425942E-2</v>
      </c>
      <c r="O3605">
        <v>-5.9277560000000002E-3</v>
      </c>
      <c r="P3605">
        <v>-0.98156650000000001</v>
      </c>
      <c r="Q3605">
        <v>0.18367900000000001</v>
      </c>
      <c r="R3605">
        <v>-5.2813649999999997E-2</v>
      </c>
      <c r="S3605">
        <v>-3.071777</v>
      </c>
      <c r="T3605">
        <v>4.0851239999999997E-2</v>
      </c>
      <c r="U3605">
        <v>0.43179319999999999</v>
      </c>
      <c r="V3605">
        <v>-4.7061369999999998E-2</v>
      </c>
      <c r="W3605">
        <v>0.1976454</v>
      </c>
      <c r="X3605">
        <v>0.97914330000000005</v>
      </c>
      <c r="Y3605">
        <v>0.14506640000000001</v>
      </c>
      <c r="Z3605" s="1">
        <v>-8.3014139999999998E-5</v>
      </c>
      <c r="AA3605">
        <v>0.98942189999999997</v>
      </c>
      <c r="AB3605">
        <v>30</v>
      </c>
      <c r="AC3605">
        <v>-163.14169999999999</v>
      </c>
      <c r="AD3605">
        <v>2.17353499999999</v>
      </c>
      <c r="AE3605">
        <v>22.976399999999899</v>
      </c>
      <c r="AF3605">
        <v>23.938992049552802</v>
      </c>
      <c r="AG3605">
        <v>2.17353499999999</v>
      </c>
      <c r="AH3605">
        <v>162.97425518437601</v>
      </c>
      <c r="AI3605">
        <v>89.244021068554304</v>
      </c>
      <c r="AJ3605">
        <v>81.643684187635003</v>
      </c>
      <c r="AK3605">
        <v>164.73738934330299</v>
      </c>
      <c r="AL3605">
        <v>78.600698355389298</v>
      </c>
      <c r="AM3605">
        <v>92.751736536215205</v>
      </c>
      <c r="AN3605">
        <v>1.0000000393111601</v>
      </c>
    </row>
    <row r="3606" spans="1:40" x14ac:dyDescent="0.25">
      <c r="A3606" t="str">
        <f>"20190304155444382"</f>
        <v>20190304155444382</v>
      </c>
      <c r="B3606" t="str">
        <f>"1551686084370896"</f>
        <v>1551686084370896</v>
      </c>
      <c r="C3606" t="s">
        <v>40</v>
      </c>
      <c r="D3606">
        <v>4.5039189999999998</v>
      </c>
      <c r="E3606">
        <v>0.57288709999999998</v>
      </c>
      <c r="F3606" t="s">
        <v>79</v>
      </c>
      <c r="G3606">
        <v>-511.92630000000003</v>
      </c>
      <c r="H3606">
        <v>3.2954810000000001</v>
      </c>
      <c r="I3606">
        <v>165.23500000000001</v>
      </c>
      <c r="J3606">
        <v>-349.08530000000002</v>
      </c>
      <c r="K3606">
        <v>1.110649</v>
      </c>
      <c r="L3606">
        <v>142.30549999999999</v>
      </c>
      <c r="M3606">
        <v>-0.99987969999999904</v>
      </c>
      <c r="N3606">
        <v>-1.4256019999999999E-2</v>
      </c>
      <c r="O3606">
        <v>-6.1208319999999997E-3</v>
      </c>
      <c r="P3606">
        <v>-0.98159240000000003</v>
      </c>
      <c r="Q3606">
        <v>0.18350559999999999</v>
      </c>
      <c r="R3606">
        <v>-5.2933189999999998E-2</v>
      </c>
      <c r="S3606">
        <v>-3.0718990000000002</v>
      </c>
      <c r="T3606">
        <v>4.114044E-2</v>
      </c>
      <c r="U3606">
        <v>0.43171690000000001</v>
      </c>
      <c r="V3606">
        <v>-4.6990709999999998E-2</v>
      </c>
      <c r="W3606">
        <v>0.1974687</v>
      </c>
      <c r="X3606">
        <v>0.97918229999999995</v>
      </c>
      <c r="Y3606">
        <v>0.14522779999999999</v>
      </c>
      <c r="Z3606" s="1">
        <v>-9.5785360000000003E-5</v>
      </c>
      <c r="AA3606">
        <v>0.98939820000000001</v>
      </c>
      <c r="AB3606">
        <v>30</v>
      </c>
      <c r="AC3606">
        <v>-162.84100000000001</v>
      </c>
      <c r="AD3606">
        <v>2.1848320000000001</v>
      </c>
      <c r="AE3606">
        <v>22.929500000000001</v>
      </c>
      <c r="AF3606">
        <v>23.921671495991799</v>
      </c>
      <c r="AG3606">
        <v>2.1848320000000001</v>
      </c>
      <c r="AH3606">
        <v>162.66887357308599</v>
      </c>
      <c r="AI3606">
        <v>89.238684425686401</v>
      </c>
      <c r="AJ3606">
        <v>81.634190302805294</v>
      </c>
      <c r="AK3606">
        <v>164.43291120565601</v>
      </c>
      <c r="AL3606">
        <v>78.611025558005693</v>
      </c>
      <c r="AM3606">
        <v>92.747502027255294</v>
      </c>
      <c r="AN3606">
        <v>0.99999999546964202</v>
      </c>
    </row>
    <row r="3607" spans="1:40" x14ac:dyDescent="0.25">
      <c r="A3607" t="str">
        <f>"20190304155444405"</f>
        <v>20190304155444405</v>
      </c>
      <c r="B3607" t="str">
        <f>"1551686084401151"</f>
        <v>1551686084401151</v>
      </c>
      <c r="C3607" t="s">
        <v>40</v>
      </c>
      <c r="D3607">
        <v>4.4953849999999997</v>
      </c>
      <c r="E3607">
        <v>0.57315190000000005</v>
      </c>
      <c r="F3607" t="s">
        <v>79</v>
      </c>
      <c r="G3607">
        <v>-511.92630000000003</v>
      </c>
      <c r="H3607">
        <v>3.2417889999999998</v>
      </c>
      <c r="I3607">
        <v>165.21199999999999</v>
      </c>
      <c r="J3607">
        <v>-349.38490000000002</v>
      </c>
      <c r="K3607">
        <v>1.1106480000000001</v>
      </c>
      <c r="L3607">
        <v>142.30340000000001</v>
      </c>
      <c r="M3607">
        <v>-0.9998785</v>
      </c>
      <c r="N3607">
        <v>-1.4252829999999999E-2</v>
      </c>
      <c r="O3607">
        <v>-6.3128389999999998E-3</v>
      </c>
      <c r="P3607">
        <v>-0.98163</v>
      </c>
      <c r="Q3607">
        <v>0.18324969999999999</v>
      </c>
      <c r="R3607">
        <v>-5.312501E-2</v>
      </c>
      <c r="S3607">
        <v>-3.0720830000000001</v>
      </c>
      <c r="T3607">
        <v>4.0205959999999999E-2</v>
      </c>
      <c r="U3607">
        <v>0.43214419999999998</v>
      </c>
      <c r="V3607">
        <v>-4.6993670000000001E-2</v>
      </c>
      <c r="W3607">
        <v>0.19721069999999999</v>
      </c>
      <c r="X3607">
        <v>0.97923419999999906</v>
      </c>
      <c r="Y3607">
        <v>0.145544799999999</v>
      </c>
      <c r="Z3607" s="1">
        <v>-7.7106059999999994E-5</v>
      </c>
      <c r="AA3607">
        <v>0.9893516</v>
      </c>
      <c r="AB3607">
        <v>30</v>
      </c>
      <c r="AC3607">
        <v>-162.54140000000001</v>
      </c>
      <c r="AD3607">
        <v>2.131141</v>
      </c>
      <c r="AE3607">
        <v>22.9086</v>
      </c>
      <c r="AF3607">
        <v>23.930311659783801</v>
      </c>
      <c r="AG3607">
        <v>2.131141</v>
      </c>
      <c r="AH3607">
        <v>162.36615910965401</v>
      </c>
      <c r="AI3607">
        <v>89.256041933997693</v>
      </c>
      <c r="AJ3607">
        <v>81.615830339604599</v>
      </c>
      <c r="AK3607">
        <v>164.134003796038</v>
      </c>
      <c r="AL3607">
        <v>78.626104926324501</v>
      </c>
      <c r="AM3607">
        <v>92.747529425159399</v>
      </c>
      <c r="AN3607">
        <v>1.00000004183209</v>
      </c>
    </row>
    <row r="3608" spans="1:40" x14ac:dyDescent="0.25">
      <c r="A3608" t="str">
        <f>"20190304155444427"</f>
        <v>20190304155444427</v>
      </c>
      <c r="B3608" t="str">
        <f>"1551686084420671"</f>
        <v>1551686084420671</v>
      </c>
      <c r="C3608" t="s">
        <v>40</v>
      </c>
      <c r="D3608">
        <v>4.4629459999999996</v>
      </c>
      <c r="E3608">
        <v>0.57329129999999995</v>
      </c>
      <c r="F3608" t="s">
        <v>79</v>
      </c>
      <c r="G3608">
        <v>-511.92619999999999</v>
      </c>
      <c r="H3608">
        <v>3.1744400000000002</v>
      </c>
      <c r="I3608">
        <v>165.25319999999999</v>
      </c>
      <c r="J3608">
        <v>-349.68889999999999</v>
      </c>
      <c r="K3608">
        <v>1.1106469999999999</v>
      </c>
      <c r="L3608">
        <v>142.3013</v>
      </c>
      <c r="M3608">
        <v>-0.99987729999999997</v>
      </c>
      <c r="N3608">
        <v>-1.424972E-2</v>
      </c>
      <c r="O3608">
        <v>-6.5077059999999898E-3</v>
      </c>
      <c r="P3608">
        <v>-0.98166659999999994</v>
      </c>
      <c r="Q3608">
        <v>0.18301419999999999</v>
      </c>
      <c r="R3608">
        <v>-5.3256560000000001E-2</v>
      </c>
      <c r="S3608">
        <v>-3.072327</v>
      </c>
      <c r="T3608">
        <v>3.9010290000000003E-2</v>
      </c>
      <c r="U3608">
        <v>0.43379210000000001</v>
      </c>
      <c r="V3608">
        <v>-4.6933389999999998E-2</v>
      </c>
      <c r="W3608">
        <v>0.1969727</v>
      </c>
      <c r="X3608">
        <v>0.97928490000000001</v>
      </c>
      <c r="Y3608">
        <v>0.1462474</v>
      </c>
      <c r="Z3608" s="1">
        <v>-5.1164530000000003E-5</v>
      </c>
      <c r="AA3608">
        <v>0.98924800000000002</v>
      </c>
      <c r="AB3608">
        <v>30</v>
      </c>
      <c r="AC3608">
        <v>-162.2373</v>
      </c>
      <c r="AD3608">
        <v>2.063793</v>
      </c>
      <c r="AE3608">
        <v>22.951899999999899</v>
      </c>
      <c r="AF3608">
        <v>24.003505714014601</v>
      </c>
      <c r="AG3608">
        <v>2.063793</v>
      </c>
      <c r="AH3608">
        <v>162.058774776094</v>
      </c>
      <c r="AI3608">
        <v>89.278259804581694</v>
      </c>
      <c r="AJ3608">
        <v>81.574830534402196</v>
      </c>
      <c r="AK3608">
        <v>163.83978152463001</v>
      </c>
      <c r="AL3608">
        <v>78.640013110133495</v>
      </c>
      <c r="AM3608">
        <v>92.743868640791703</v>
      </c>
      <c r="AN3608">
        <v>0.99999995150509402</v>
      </c>
    </row>
    <row r="3609" spans="1:40" x14ac:dyDescent="0.25">
      <c r="A3609" t="str">
        <f>"20190304155444450"</f>
        <v>20190304155444450</v>
      </c>
      <c r="B3609" t="str">
        <f>"1551686084440755"</f>
        <v>1551686084440755</v>
      </c>
      <c r="C3609" t="s">
        <v>40</v>
      </c>
      <c r="D3609">
        <v>4.5522099999999996</v>
      </c>
      <c r="E3609">
        <v>0.57347669999999995</v>
      </c>
      <c r="F3609" t="s">
        <v>79</v>
      </c>
      <c r="G3609">
        <v>-511.92619999999999</v>
      </c>
      <c r="H3609">
        <v>3.114954</v>
      </c>
      <c r="I3609">
        <v>165.2346</v>
      </c>
      <c r="J3609">
        <v>-349.99329999999998</v>
      </c>
      <c r="K3609">
        <v>1.1106549999999999</v>
      </c>
      <c r="L3609">
        <v>142.29910000000001</v>
      </c>
      <c r="M3609">
        <v>-0.99987610000000005</v>
      </c>
      <c r="N3609">
        <v>-1.424663E-2</v>
      </c>
      <c r="O3609">
        <v>-6.7031699999999996E-3</v>
      </c>
      <c r="P3609">
        <v>-0.98163730000000005</v>
      </c>
      <c r="Q3609">
        <v>0.183197</v>
      </c>
      <c r="R3609">
        <v>-5.3171009999999998E-2</v>
      </c>
      <c r="S3609">
        <v>-3.0724490000000002</v>
      </c>
      <c r="T3609">
        <v>3.795838E-2</v>
      </c>
      <c r="U3609">
        <v>0.4343109</v>
      </c>
      <c r="V3609">
        <v>-4.6655700000000001E-2</v>
      </c>
      <c r="W3609">
        <v>0.1971523</v>
      </c>
      <c r="X3609">
        <v>0.97926210000000002</v>
      </c>
      <c r="Y3609">
        <v>0.14659929999999999</v>
      </c>
      <c r="Z3609" s="1">
        <v>-2.900034E-5</v>
      </c>
      <c r="AA3609">
        <v>0.98919590000000002</v>
      </c>
      <c r="AB3609">
        <v>30</v>
      </c>
      <c r="AC3609">
        <v>-161.93289999999999</v>
      </c>
      <c r="AD3609">
        <v>2.0042990000000001</v>
      </c>
      <c r="AE3609">
        <v>22.935499999999902</v>
      </c>
      <c r="AF3609">
        <v>24.016951478919101</v>
      </c>
      <c r="AG3609">
        <v>2.0042990000000001</v>
      </c>
      <c r="AH3609">
        <v>161.751212313786</v>
      </c>
      <c r="AI3609">
        <v>89.297768167342994</v>
      </c>
      <c r="AJ3609">
        <v>81.554380945239302</v>
      </c>
      <c r="AK3609">
        <v>163.53680276256301</v>
      </c>
      <c r="AL3609">
        <v>78.629517781588802</v>
      </c>
      <c r="AM3609">
        <v>92.7277220419965</v>
      </c>
      <c r="AN3609">
        <v>1.0000000221170899</v>
      </c>
    </row>
    <row r="3610" spans="1:40" x14ac:dyDescent="0.25">
      <c r="A3610" t="str">
        <f>"20190304155444471"</f>
        <v>20190304155444471</v>
      </c>
      <c r="B3610" t="str">
        <f>"1551686084461251"</f>
        <v>1551686084461251</v>
      </c>
      <c r="C3610" t="s">
        <v>40</v>
      </c>
      <c r="D3610">
        <v>4.4428020000000004</v>
      </c>
      <c r="E3610">
        <v>0.57360690000000003</v>
      </c>
      <c r="F3610" t="s">
        <v>79</v>
      </c>
      <c r="G3610">
        <v>-511.92619999999999</v>
      </c>
      <c r="H3610">
        <v>3.1334309999999999</v>
      </c>
      <c r="I3610">
        <v>165.2834</v>
      </c>
      <c r="J3610">
        <v>-350.27809999999999</v>
      </c>
      <c r="K3610">
        <v>1.1106579999999999</v>
      </c>
      <c r="L3610">
        <v>142.297</v>
      </c>
      <c r="M3610">
        <v>-0.99987479999999995</v>
      </c>
      <c r="N3610">
        <v>-1.424373E-2</v>
      </c>
      <c r="O3610">
        <v>-6.8860029999999999E-3</v>
      </c>
      <c r="P3610">
        <v>-0.98157839999999996</v>
      </c>
      <c r="Q3610">
        <v>0.1834643</v>
      </c>
      <c r="R3610">
        <v>-5.333562E-2</v>
      </c>
      <c r="S3610">
        <v>-3.0725709999999999</v>
      </c>
      <c r="T3610">
        <v>3.8381699999999998E-2</v>
      </c>
      <c r="U3610">
        <v>0.43611149999999999</v>
      </c>
      <c r="V3610">
        <v>-4.664103E-2</v>
      </c>
      <c r="W3610">
        <v>0.19741590000000001</v>
      </c>
      <c r="X3610">
        <v>0.97920969999999996</v>
      </c>
      <c r="Y3610">
        <v>0.1473428</v>
      </c>
      <c r="Z3610" s="1">
        <v>-4.4197429999999898E-5</v>
      </c>
      <c r="AA3610">
        <v>0.98908549999999995</v>
      </c>
      <c r="AB3610">
        <v>30</v>
      </c>
      <c r="AC3610">
        <v>-161.6481</v>
      </c>
      <c r="AD3610">
        <v>2.0227729999999999</v>
      </c>
      <c r="AE3610">
        <v>22.9864</v>
      </c>
      <c r="AF3610">
        <v>24.095378971518901</v>
      </c>
      <c r="AG3610">
        <v>2.0227729999999999</v>
      </c>
      <c r="AH3610">
        <v>161.46118478803501</v>
      </c>
      <c r="AI3610">
        <v>89.2901011166187</v>
      </c>
      <c r="AJ3610">
        <v>81.512203484338002</v>
      </c>
      <c r="AK3610">
        <v>163.261731864962</v>
      </c>
      <c r="AL3610">
        <v>78.614111921345994</v>
      </c>
      <c r="AM3610">
        <v>92.727011357535801</v>
      </c>
      <c r="AN3610">
        <v>1.0000000299131799</v>
      </c>
    </row>
    <row r="3611" spans="1:40" x14ac:dyDescent="0.25">
      <c r="A3611" t="str">
        <f>"20190304155444493"</f>
        <v>20190304155444493</v>
      </c>
      <c r="B3611" t="str">
        <f>"1551686084490531"</f>
        <v>1551686084490531</v>
      </c>
      <c r="C3611" t="s">
        <v>40</v>
      </c>
      <c r="D3611">
        <v>4.4976289999999999</v>
      </c>
      <c r="E3611">
        <v>0.57376839999999996</v>
      </c>
      <c r="F3611" t="s">
        <v>79</v>
      </c>
      <c r="G3611">
        <v>-511.92619999999999</v>
      </c>
      <c r="H3611">
        <v>3.1238060000000001</v>
      </c>
      <c r="I3611">
        <v>165.26259999999999</v>
      </c>
      <c r="J3611">
        <v>-350.56970000000001</v>
      </c>
      <c r="K3611">
        <v>1.110657</v>
      </c>
      <c r="L3611">
        <v>142.29480000000001</v>
      </c>
      <c r="M3611">
        <v>-0.99987360000000003</v>
      </c>
      <c r="N3611">
        <v>-1.424075E-2</v>
      </c>
      <c r="O3611">
        <v>-7.0730059999999997E-3</v>
      </c>
      <c r="P3611">
        <v>-0.98150590000000004</v>
      </c>
      <c r="Q3611">
        <v>0.18383759999999999</v>
      </c>
      <c r="R3611">
        <v>-5.338391E-2</v>
      </c>
      <c r="S3611">
        <v>-3.0728759999999999</v>
      </c>
      <c r="T3611">
        <v>3.8270119999999998E-2</v>
      </c>
      <c r="U3611">
        <v>0.43656919999999999</v>
      </c>
      <c r="V3611">
        <v>-4.6506289999999999E-2</v>
      </c>
      <c r="W3611">
        <v>0.19778570000000001</v>
      </c>
      <c r="X3611">
        <v>0.9791415</v>
      </c>
      <c r="Y3611">
        <v>0.1476585</v>
      </c>
      <c r="Z3611" s="1">
        <v>-4.603167E-5</v>
      </c>
      <c r="AA3611">
        <v>0.98903839999999998</v>
      </c>
      <c r="AB3611">
        <v>30</v>
      </c>
      <c r="AC3611">
        <v>-161.35649999999899</v>
      </c>
      <c r="AD3611">
        <v>2.0131489999999999</v>
      </c>
      <c r="AE3611">
        <v>22.967799999999901</v>
      </c>
      <c r="AF3611">
        <v>24.104938900499899</v>
      </c>
      <c r="AG3611">
        <v>2.0131489999999999</v>
      </c>
      <c r="AH3611">
        <v>161.16540623381101</v>
      </c>
      <c r="AI3611">
        <v>89.292216298489507</v>
      </c>
      <c r="AJ3611">
        <v>81.493529477919793</v>
      </c>
      <c r="AK3611">
        <v>162.97051578369101</v>
      </c>
      <c r="AL3611">
        <v>78.592497971321094</v>
      </c>
      <c r="AM3611">
        <v>92.719334321353202</v>
      </c>
      <c r="AN3611">
        <v>1.0000000475781501</v>
      </c>
    </row>
    <row r="3612" spans="1:40" x14ac:dyDescent="0.25">
      <c r="A3612" t="str">
        <f>"20190304155444515"</f>
        <v>20190304155444515</v>
      </c>
      <c r="B3612" t="str">
        <f>"1551686084511027"</f>
        <v>1551686084511027</v>
      </c>
      <c r="C3612" t="s">
        <v>40</v>
      </c>
      <c r="D3612">
        <v>4.480817</v>
      </c>
      <c r="E3612">
        <v>0.5739706</v>
      </c>
      <c r="F3612" t="s">
        <v>79</v>
      </c>
      <c r="G3612">
        <v>-511.92619999999999</v>
      </c>
      <c r="H3612">
        <v>3.1658200000000001</v>
      </c>
      <c r="I3612">
        <v>165.2704</v>
      </c>
      <c r="J3612">
        <v>-350.86610000000002</v>
      </c>
      <c r="K3612">
        <v>1.1106579999999999</v>
      </c>
      <c r="L3612">
        <v>142.29249999999999</v>
      </c>
      <c r="M3612">
        <v>-0.99987239999999999</v>
      </c>
      <c r="N3612">
        <v>-1.4237700000000001E-2</v>
      </c>
      <c r="O3612">
        <v>-7.2631060000000001E-3</v>
      </c>
      <c r="P3612">
        <v>-0.98144969999999998</v>
      </c>
      <c r="Q3612">
        <v>0.18405589999999999</v>
      </c>
      <c r="R3612">
        <v>-5.3671919999999998E-2</v>
      </c>
      <c r="S3612">
        <v>-3.0729679999999999</v>
      </c>
      <c r="T3612">
        <v>3.9140580000000001E-2</v>
      </c>
      <c r="U3612">
        <v>0.43756099999999998</v>
      </c>
      <c r="V3612">
        <v>-4.6607410000000002E-2</v>
      </c>
      <c r="W3612">
        <v>0.19800019999999999</v>
      </c>
      <c r="X3612">
        <v>0.97909330000000006</v>
      </c>
      <c r="Y3612">
        <v>0.14815500000000001</v>
      </c>
      <c r="Z3612" s="1">
        <v>-7.3652249999999996E-5</v>
      </c>
      <c r="AA3612">
        <v>0.98896410000000001</v>
      </c>
      <c r="AB3612">
        <v>30</v>
      </c>
      <c r="AC3612">
        <v>-161.06009999999901</v>
      </c>
      <c r="AD3612">
        <v>2.0551619999999899</v>
      </c>
      <c r="AE3612">
        <v>22.977900000000002</v>
      </c>
      <c r="AF3612">
        <v>24.143356113154301</v>
      </c>
      <c r="AG3612">
        <v>2.0551619999999899</v>
      </c>
      <c r="AH3612">
        <v>160.863273297169</v>
      </c>
      <c r="AI3612">
        <v>89.276145074104505</v>
      </c>
      <c r="AJ3612">
        <v>81.464404686105894</v>
      </c>
      <c r="AK3612">
        <v>162.67795803713699</v>
      </c>
      <c r="AL3612">
        <v>78.579959638101599</v>
      </c>
      <c r="AM3612">
        <v>92.725372105193401</v>
      </c>
      <c r="AN3612">
        <v>1.0000000099859101</v>
      </c>
    </row>
    <row r="3613" spans="1:40" x14ac:dyDescent="0.25">
      <c r="A3613" t="str">
        <f>"20190304155444539"</f>
        <v>20190304155444539</v>
      </c>
      <c r="B3613" t="str">
        <f>"1551686084530547"</f>
        <v>1551686084530547</v>
      </c>
      <c r="C3613" t="s">
        <v>40</v>
      </c>
      <c r="D3613">
        <v>4.4260910000000004</v>
      </c>
      <c r="E3613">
        <v>0.57419169999999997</v>
      </c>
      <c r="F3613" t="s">
        <v>79</v>
      </c>
      <c r="G3613">
        <v>-511.92630000000003</v>
      </c>
      <c r="H3613">
        <v>3.245638</v>
      </c>
      <c r="I3613">
        <v>165.2988</v>
      </c>
      <c r="J3613">
        <v>-351.17970000000003</v>
      </c>
      <c r="K3613">
        <v>1.1106549999999999</v>
      </c>
      <c r="L3613">
        <v>142.28989999999999</v>
      </c>
      <c r="M3613">
        <v>-0.99987090000000001</v>
      </c>
      <c r="N3613">
        <v>-1.4234510000000001E-2</v>
      </c>
      <c r="O3613">
        <v>-7.4646449999999998E-3</v>
      </c>
      <c r="P3613">
        <v>-0.98139609999999999</v>
      </c>
      <c r="Q3613">
        <v>0.1841296</v>
      </c>
      <c r="R3613">
        <v>-5.438892E-2</v>
      </c>
      <c r="S3613">
        <v>-3.0730590000000002</v>
      </c>
      <c r="T3613">
        <v>4.0736679999999997E-2</v>
      </c>
      <c r="U3613">
        <v>0.43896479999999999</v>
      </c>
      <c r="V3613">
        <v>-4.7127280000000001E-2</v>
      </c>
      <c r="W3613">
        <v>0.1980703</v>
      </c>
      <c r="X3613">
        <v>0.97905419999999999</v>
      </c>
      <c r="Y3613">
        <v>0.14879239999999999</v>
      </c>
      <c r="Z3613">
        <v>-1.209498E-4</v>
      </c>
      <c r="AA3613">
        <v>0.98886850000000004</v>
      </c>
      <c r="AB3613">
        <v>30</v>
      </c>
      <c r="AC3613">
        <v>-160.7466</v>
      </c>
      <c r="AD3613">
        <v>2.1349830000000001</v>
      </c>
      <c r="AE3613">
        <v>23.008900000000001</v>
      </c>
      <c r="AF3613">
        <v>24.204112665414002</v>
      </c>
      <c r="AG3613">
        <v>2.1349830000000001</v>
      </c>
      <c r="AH3613">
        <v>160.542598332236</v>
      </c>
      <c r="AI3613">
        <v>89.246607563258905</v>
      </c>
      <c r="AJ3613">
        <v>81.426404603277206</v>
      </c>
      <c r="AK3613">
        <v>162.37094291035001</v>
      </c>
      <c r="AL3613">
        <v>78.575861650433595</v>
      </c>
      <c r="AM3613">
        <v>92.755834828339403</v>
      </c>
      <c r="AN3613">
        <v>0.99999997539996299</v>
      </c>
    </row>
    <row r="3614" spans="1:40" x14ac:dyDescent="0.25">
      <c r="A3614" t="str">
        <f>"20190304155444562"</f>
        <v>20190304155444562</v>
      </c>
      <c r="B3614" t="str">
        <f>"1551686084550893"</f>
        <v>1551686084550893</v>
      </c>
      <c r="C3614" t="s">
        <v>40</v>
      </c>
      <c r="D3614">
        <v>4.2816720000000004</v>
      </c>
      <c r="E3614">
        <v>0.57422609999999996</v>
      </c>
      <c r="F3614" t="s">
        <v>79</v>
      </c>
      <c r="G3614">
        <v>-511.92619999999999</v>
      </c>
      <c r="H3614">
        <v>3.1950349999999998</v>
      </c>
      <c r="I3614">
        <v>165.18510000000001</v>
      </c>
      <c r="J3614">
        <v>-351.47820000000002</v>
      </c>
      <c r="K3614">
        <v>1.1106579999999999</v>
      </c>
      <c r="L3614">
        <v>142.28749999999999</v>
      </c>
      <c r="M3614">
        <v>-0.99986949999999997</v>
      </c>
      <c r="N3614">
        <v>-1.4231290000000001E-2</v>
      </c>
      <c r="O3614">
        <v>-7.6559389999999996E-3</v>
      </c>
      <c r="P3614">
        <v>-0.98142289999999999</v>
      </c>
      <c r="Q3614">
        <v>0.18384690000000001</v>
      </c>
      <c r="R3614">
        <v>-5.485901E-2</v>
      </c>
      <c r="S3614">
        <v>-3.0736080000000001</v>
      </c>
      <c r="T3614">
        <v>3.9855960000000003E-2</v>
      </c>
      <c r="U3614">
        <v>0.43777470000000002</v>
      </c>
      <c r="V3614">
        <v>-4.7408770000000003E-2</v>
      </c>
      <c r="W3614">
        <v>0.19778519999999999</v>
      </c>
      <c r="X3614">
        <v>0.97909829999999998</v>
      </c>
      <c r="Y3614">
        <v>0.14858170000000001</v>
      </c>
      <c r="Z3614">
        <v>-1.030274E-4</v>
      </c>
      <c r="AA3614">
        <v>0.98890009999999995</v>
      </c>
      <c r="AB3614">
        <v>30</v>
      </c>
      <c r="AC3614">
        <v>-160.44799999999901</v>
      </c>
      <c r="AD3614">
        <v>2.0843769999999999</v>
      </c>
      <c r="AE3614">
        <v>22.897600000000001</v>
      </c>
      <c r="AF3614">
        <v>24.121443597791298</v>
      </c>
      <c r="AG3614">
        <v>2.0843769999999999</v>
      </c>
      <c r="AH3614">
        <v>160.24147293648099</v>
      </c>
      <c r="AI3614">
        <v>89.263056102437901</v>
      </c>
      <c r="AJ3614">
        <v>81.439435126068005</v>
      </c>
      <c r="AK3614">
        <v>162.060230524248</v>
      </c>
      <c r="AL3614">
        <v>78.592526981045296</v>
      </c>
      <c r="AM3614">
        <v>92.772145082045895</v>
      </c>
      <c r="AN3614">
        <v>1.00000002893742</v>
      </c>
    </row>
    <row r="3615" spans="1:40" x14ac:dyDescent="0.25">
      <c r="A3615" t="str">
        <f>"20190304155444584"</f>
        <v>20190304155444584</v>
      </c>
      <c r="B3615" t="str">
        <f>"1551686084581149"</f>
        <v>1551686084581149</v>
      </c>
      <c r="C3615" t="s">
        <v>40</v>
      </c>
      <c r="D3615">
        <v>4.4743399999999998</v>
      </c>
      <c r="E3615">
        <v>0.49601269999999997</v>
      </c>
      <c r="F3615" t="s">
        <v>79</v>
      </c>
      <c r="G3615">
        <v>-511.92619999999999</v>
      </c>
      <c r="H3615">
        <v>3.152714</v>
      </c>
      <c r="I3615">
        <v>165.08160000000001</v>
      </c>
      <c r="J3615">
        <v>-351.76280000000003</v>
      </c>
      <c r="K3615">
        <v>1.1106640000000001</v>
      </c>
      <c r="L3615">
        <v>142.2851</v>
      </c>
      <c r="M3615">
        <v>-0.99986819999999998</v>
      </c>
      <c r="N3615">
        <v>-1.422819E-2</v>
      </c>
      <c r="O3615">
        <v>-7.8387719999999904E-3</v>
      </c>
      <c r="P3615">
        <v>-0.9814041</v>
      </c>
      <c r="Q3615">
        <v>0.18372649999999999</v>
      </c>
      <c r="R3615">
        <v>-5.559704E-2</v>
      </c>
      <c r="S3615">
        <v>-3.0738829999999999</v>
      </c>
      <c r="T3615">
        <v>3.9122820000000003E-2</v>
      </c>
      <c r="U3615">
        <v>0.4366913</v>
      </c>
      <c r="V3615">
        <v>-4.7966960000000003E-2</v>
      </c>
      <c r="W3615">
        <v>0.19766130000000001</v>
      </c>
      <c r="X3615">
        <v>0.97909610000000002</v>
      </c>
      <c r="Y3615">
        <v>0.14840880000000001</v>
      </c>
      <c r="Z3615" s="1">
        <v>-8.8798809999999893E-5</v>
      </c>
      <c r="AA3615">
        <v>0.98892610000000003</v>
      </c>
      <c r="AB3615">
        <v>30</v>
      </c>
      <c r="AC3615">
        <v>-160.163399999999</v>
      </c>
      <c r="AD3615">
        <v>2.0420500000000001</v>
      </c>
      <c r="AE3615">
        <v>22.796500000000002</v>
      </c>
      <c r="AF3615">
        <v>24.047579264567201</v>
      </c>
      <c r="AG3615">
        <v>2.0420500000000001</v>
      </c>
      <c r="AH3615">
        <v>159.954278153763</v>
      </c>
      <c r="AI3615">
        <v>89.276702926140501</v>
      </c>
      <c r="AJ3615">
        <v>81.450164848135898</v>
      </c>
      <c r="AK3615">
        <v>161.76472772634801</v>
      </c>
      <c r="AL3615">
        <v>78.599768517048801</v>
      </c>
      <c r="AM3615">
        <v>92.804738745861101</v>
      </c>
      <c r="AN3615">
        <v>0.99999999590226996</v>
      </c>
    </row>
    <row r="3616" spans="1:40" x14ac:dyDescent="0.25">
      <c r="A3616" t="str">
        <f>"20190304155444605"</f>
        <v>20190304155444605</v>
      </c>
      <c r="B3616" t="str">
        <f>"1551686084600669"</f>
        <v>1551686084600669</v>
      </c>
      <c r="C3616" t="s">
        <v>40</v>
      </c>
      <c r="D3616">
        <v>4.4858129999999896</v>
      </c>
      <c r="E3616">
        <v>0.49603019999999998</v>
      </c>
      <c r="F3616" t="s">
        <v>62</v>
      </c>
      <c r="G3616">
        <v>-423.53309999999999</v>
      </c>
      <c r="H3616" s="1">
        <v>-9.6122280000000008E-6</v>
      </c>
      <c r="I3616">
        <v>137.89760000000001</v>
      </c>
      <c r="J3616">
        <v>-352.05169999999998</v>
      </c>
      <c r="K3616">
        <v>1.1106659999999999</v>
      </c>
      <c r="L3616">
        <v>142.28270000000001</v>
      </c>
      <c r="M3616">
        <v>-0.9998667</v>
      </c>
      <c r="N3616">
        <v>-1.4225130000000001E-2</v>
      </c>
      <c r="O3616">
        <v>-8.0242249999999994E-3</v>
      </c>
      <c r="P3616">
        <v>-0.98144299999999995</v>
      </c>
      <c r="Q3616">
        <v>0.1832606</v>
      </c>
      <c r="R3616">
        <v>-5.6439690000000001E-2</v>
      </c>
      <c r="S3616">
        <v>-3.0550839999999999</v>
      </c>
      <c r="T3616">
        <v>-4.7278639999999997E-2</v>
      </c>
      <c r="U3616">
        <v>-0.18676760000000001</v>
      </c>
      <c r="V3616">
        <v>-4.8627579999999997E-2</v>
      </c>
      <c r="W3616">
        <v>0.19719300000000001</v>
      </c>
      <c r="X3616">
        <v>0.97915799999999997</v>
      </c>
      <c r="Y3616">
        <v>-5.2995260000000002E-2</v>
      </c>
      <c r="Z3616">
        <v>-7.7700679999999995E-4</v>
      </c>
      <c r="AA3616">
        <v>0.99859450000000005</v>
      </c>
      <c r="AB3616">
        <v>30</v>
      </c>
      <c r="AC3616">
        <v>-71.481399999999994</v>
      </c>
      <c r="AD3616">
        <v>-1.1106756122279999</v>
      </c>
      <c r="AE3616">
        <v>-4.3850999999999898</v>
      </c>
      <c r="AF3616">
        <v>-3.8104014715252301</v>
      </c>
      <c r="AG3616">
        <v>-1.1106756122279999</v>
      </c>
      <c r="AH3616">
        <v>71.497092093370199</v>
      </c>
      <c r="AI3616">
        <v>90.888731896919793</v>
      </c>
      <c r="AJ3616">
        <v>93.050663592841403</v>
      </c>
      <c r="AK3616">
        <v>71.607170992140595</v>
      </c>
      <c r="AL3616">
        <v>78.627139525457395</v>
      </c>
      <c r="AM3616">
        <v>92.843124311322597</v>
      </c>
      <c r="AN3616">
        <v>1.00000005487482</v>
      </c>
    </row>
    <row r="3617" spans="1:40" x14ac:dyDescent="0.25">
      <c r="A3617" t="str">
        <f>"20190304155444628"</f>
        <v>20190304155444628</v>
      </c>
      <c r="B3617" t="str">
        <f>"1551686084621165"</f>
        <v>1551686084621165</v>
      </c>
      <c r="C3617" t="s">
        <v>40</v>
      </c>
      <c r="D3617">
        <v>4.4515900000000004</v>
      </c>
      <c r="E3617">
        <v>0.49633670000000002</v>
      </c>
      <c r="F3617" t="s">
        <v>62</v>
      </c>
      <c r="G3617">
        <v>-420.51369999999997</v>
      </c>
      <c r="H3617" s="1">
        <v>-9.2386559999999998E-6</v>
      </c>
      <c r="I3617">
        <v>138.04499999999999</v>
      </c>
      <c r="J3617">
        <v>-352.35899999999998</v>
      </c>
      <c r="K3617">
        <v>1.110665</v>
      </c>
      <c r="L3617">
        <v>142.28</v>
      </c>
      <c r="M3617">
        <v>-0.99986520000000001</v>
      </c>
      <c r="N3617">
        <v>-1.4221879999999999E-2</v>
      </c>
      <c r="O3617">
        <v>-8.2217149999999992E-3</v>
      </c>
      <c r="P3617">
        <v>-0.98146219999999995</v>
      </c>
      <c r="Q3617">
        <v>0.18280930000000001</v>
      </c>
      <c r="R3617">
        <v>-5.7559810000000003E-2</v>
      </c>
      <c r="S3617">
        <v>-3.0550540000000002</v>
      </c>
      <c r="T3617">
        <v>-4.9562809999999999E-2</v>
      </c>
      <c r="U3617">
        <v>-0.1891022</v>
      </c>
      <c r="V3617">
        <v>-4.9552899999999997E-2</v>
      </c>
      <c r="W3617">
        <v>0.196739</v>
      </c>
      <c r="X3617">
        <v>0.97920289999999999</v>
      </c>
      <c r="Y3617">
        <v>-5.3557809999999997E-2</v>
      </c>
      <c r="Z3617">
        <v>-7.988661E-4</v>
      </c>
      <c r="AA3617">
        <v>0.99856440000000002</v>
      </c>
      <c r="AB3617">
        <v>30</v>
      </c>
      <c r="AC3617">
        <v>-68.154699999999906</v>
      </c>
      <c r="AD3617">
        <v>-1.110674238656</v>
      </c>
      <c r="AE3617">
        <v>-4.2350000000000101</v>
      </c>
      <c r="AF3617">
        <v>-3.6734798939876998</v>
      </c>
      <c r="AG3617">
        <v>-1.110674238656</v>
      </c>
      <c r="AH3617">
        <v>68.1691842897485</v>
      </c>
      <c r="AI3617">
        <v>90.932080160584206</v>
      </c>
      <c r="AJ3617">
        <v>93.084553804984594</v>
      </c>
      <c r="AK3617">
        <v>68.277124562518296</v>
      </c>
      <c r="AL3617">
        <v>78.653671180770701</v>
      </c>
      <c r="AM3617">
        <v>92.8970013641637</v>
      </c>
      <c r="AN3617">
        <v>1.0000000216939</v>
      </c>
    </row>
    <row r="3618" spans="1:40" x14ac:dyDescent="0.25">
      <c r="A3618" t="str">
        <f>"20190304155444653"</f>
        <v>20190304155444653</v>
      </c>
      <c r="B3618" t="str">
        <f>"1551686084651028"</f>
        <v>1551686084651028</v>
      </c>
      <c r="C3618" t="s">
        <v>40</v>
      </c>
      <c r="D3618">
        <v>4.4421390000000001</v>
      </c>
      <c r="E3618">
        <v>0.49688520000000003</v>
      </c>
      <c r="F3618" t="s">
        <v>62</v>
      </c>
      <c r="G3618">
        <v>-420.05939999999998</v>
      </c>
      <c r="H3618" s="1">
        <v>-9.1785940000000008E-6</v>
      </c>
      <c r="I3618">
        <v>138.05770000000001</v>
      </c>
      <c r="J3618">
        <v>-352.6927</v>
      </c>
      <c r="K3618">
        <v>1.11066</v>
      </c>
      <c r="L3618">
        <v>142.27699999999999</v>
      </c>
      <c r="M3618">
        <v>-0.99986339999999996</v>
      </c>
      <c r="N3618">
        <v>-1.421829E-2</v>
      </c>
      <c r="O3618">
        <v>-8.4362469999999991E-3</v>
      </c>
      <c r="P3618">
        <v>-0.98146580000000005</v>
      </c>
      <c r="Q3618">
        <v>0.18278069999999999</v>
      </c>
      <c r="R3618">
        <v>-5.7585360000000002E-2</v>
      </c>
      <c r="S3618">
        <v>-3.05484</v>
      </c>
      <c r="T3618">
        <v>-5.0116899999999999E-2</v>
      </c>
      <c r="U3618">
        <v>-0.1905212</v>
      </c>
      <c r="V3618">
        <v>-4.9367849999999998E-2</v>
      </c>
      <c r="W3618">
        <v>0.19670670000000001</v>
      </c>
      <c r="X3618">
        <v>0.9792187</v>
      </c>
      <c r="Y3618">
        <v>-5.3809650000000001E-2</v>
      </c>
      <c r="Z3618">
        <v>-8.0551210000000002E-4</v>
      </c>
      <c r="AA3618">
        <v>0.99855090000000002</v>
      </c>
      <c r="AB3618">
        <v>30</v>
      </c>
      <c r="AC3618">
        <v>-67.366699999999895</v>
      </c>
      <c r="AD3618">
        <v>-1.1106691785939999</v>
      </c>
      <c r="AE3618">
        <v>-4.2192999999999996</v>
      </c>
      <c r="AF3618">
        <v>-3.6497820879312899</v>
      </c>
      <c r="AG3618">
        <v>-1.1106691785939999</v>
      </c>
      <c r="AH3618">
        <v>67.381656863600995</v>
      </c>
      <c r="AI3618">
        <v>90.942953531059999</v>
      </c>
      <c r="AJ3618">
        <v>93.100442564927604</v>
      </c>
      <c r="AK3618">
        <v>67.489570875785901</v>
      </c>
      <c r="AL3618">
        <v>78.655558313209795</v>
      </c>
      <c r="AM3618">
        <v>92.886154658047204</v>
      </c>
      <c r="AN3618">
        <v>0.99999998643410104</v>
      </c>
    </row>
    <row r="3619" spans="1:40" x14ac:dyDescent="0.25">
      <c r="A3619" t="str">
        <f>"20190304155444673"</f>
        <v>20190304155444673</v>
      </c>
      <c r="B3619" t="str">
        <f>"1551686084660788"</f>
        <v>1551686084660788</v>
      </c>
      <c r="C3619" t="s">
        <v>40</v>
      </c>
      <c r="D3619">
        <v>4.5349760000000003</v>
      </c>
      <c r="E3619">
        <v>0.4968127</v>
      </c>
      <c r="F3619" t="s">
        <v>62</v>
      </c>
      <c r="G3619">
        <v>-421.69310000000002</v>
      </c>
      <c r="H3619" s="1">
        <v>-9.4155029999999998E-6</v>
      </c>
      <c r="I3619">
        <v>138.0634</v>
      </c>
      <c r="J3619">
        <v>-352.94900000000001</v>
      </c>
      <c r="K3619">
        <v>1.1106549999999999</v>
      </c>
      <c r="L3619">
        <v>142.27459999999999</v>
      </c>
      <c r="M3619">
        <v>-0.99986209999999998</v>
      </c>
      <c r="N3619">
        <v>-1.4215510000000001E-2</v>
      </c>
      <c r="O3619">
        <v>-8.6011990000000003E-3</v>
      </c>
      <c r="P3619">
        <v>-0.98147359999999995</v>
      </c>
      <c r="Q3619">
        <v>0.182702</v>
      </c>
      <c r="R3619">
        <v>-5.7703310000000001E-2</v>
      </c>
      <c r="S3619">
        <v>-3.0549010000000001</v>
      </c>
      <c r="T3619">
        <v>-4.9173469999999997E-2</v>
      </c>
      <c r="U3619">
        <v>-0.186554</v>
      </c>
      <c r="V3619">
        <v>-4.932338E-2</v>
      </c>
      <c r="W3619">
        <v>0.19662579999999999</v>
      </c>
      <c r="X3619">
        <v>0.97923720000000003</v>
      </c>
      <c r="Y3619">
        <v>-5.2352500000000003E-2</v>
      </c>
      <c r="Z3619">
        <v>-7.7731729999999904E-4</v>
      </c>
      <c r="AA3619">
        <v>0.99862839999999997</v>
      </c>
      <c r="AB3619">
        <v>29</v>
      </c>
      <c r="AC3619">
        <v>-68.744100000000003</v>
      </c>
      <c r="AD3619">
        <v>-1.1106644155030001</v>
      </c>
      <c r="AE3619">
        <v>-4.2111999999999901</v>
      </c>
      <c r="AF3619">
        <v>-3.6187617549995101</v>
      </c>
      <c r="AG3619">
        <v>-1.1106644155030001</v>
      </c>
      <c r="AH3619">
        <v>68.759900122005007</v>
      </c>
      <c r="AI3619">
        <v>90.924127653156603</v>
      </c>
      <c r="AJ3619">
        <v>93.012637632932993</v>
      </c>
      <c r="AK3619">
        <v>68.864017286761694</v>
      </c>
      <c r="AL3619">
        <v>78.660285995268097</v>
      </c>
      <c r="AM3619">
        <v>92.883504847369295</v>
      </c>
      <c r="AN3619">
        <v>0.99999999745205204</v>
      </c>
    </row>
    <row r="3620" spans="1:40" x14ac:dyDescent="0.25">
      <c r="A3620" t="str">
        <f>"20190304155444695"</f>
        <v>20190304155444695</v>
      </c>
      <c r="B3620" t="str">
        <f>"1551686084691044"</f>
        <v>1551686084691044</v>
      </c>
      <c r="C3620" t="s">
        <v>40</v>
      </c>
      <c r="D3620">
        <v>4.5320809999999998</v>
      </c>
      <c r="E3620">
        <v>0.49645610000000001</v>
      </c>
      <c r="F3620" t="s">
        <v>62</v>
      </c>
      <c r="G3620">
        <v>-418.12529999999998</v>
      </c>
      <c r="H3620" s="1">
        <v>-9.3751460000000002E-6</v>
      </c>
      <c r="I3620">
        <v>138.27879999999999</v>
      </c>
      <c r="J3620">
        <v>-353.23219999999998</v>
      </c>
      <c r="K3620">
        <v>1.110654</v>
      </c>
      <c r="L3620">
        <v>142.27199999999999</v>
      </c>
      <c r="M3620">
        <v>-0.99986039999999998</v>
      </c>
      <c r="N3620">
        <v>-1.421241E-2</v>
      </c>
      <c r="O3620">
        <v>-8.7830749999999996E-3</v>
      </c>
      <c r="P3620">
        <v>-0.98153849999999998</v>
      </c>
      <c r="Q3620">
        <v>0.18242620000000001</v>
      </c>
      <c r="R3620">
        <v>-5.7470559999999997E-2</v>
      </c>
      <c r="S3620">
        <v>-3.0552980000000001</v>
      </c>
      <c r="T3620">
        <v>-5.2065130000000001E-2</v>
      </c>
      <c r="U3620">
        <v>-0.18731690000000001</v>
      </c>
      <c r="V3620">
        <v>-4.8911040000000003E-2</v>
      </c>
      <c r="W3620">
        <v>0.19634860000000001</v>
      </c>
      <c r="X3620">
        <v>0.97931349999999995</v>
      </c>
      <c r="Y3620">
        <v>-5.2410230000000002E-2</v>
      </c>
      <c r="Z3620">
        <v>-7.9418109999999996E-4</v>
      </c>
      <c r="AA3620">
        <v>0.99862530000000005</v>
      </c>
      <c r="AB3620">
        <v>29</v>
      </c>
      <c r="AC3620">
        <v>-64.893100000000004</v>
      </c>
      <c r="AD3620">
        <v>-1.110663375146</v>
      </c>
      <c r="AE3620">
        <v>-3.9932000000000198</v>
      </c>
      <c r="AF3620">
        <v>-3.42202875073979</v>
      </c>
      <c r="AG3620">
        <v>-1.110663375146</v>
      </c>
      <c r="AH3620">
        <v>64.906730978886998</v>
      </c>
      <c r="AI3620">
        <v>90.978972130334995</v>
      </c>
      <c r="AJ3620">
        <v>93.017968068074495</v>
      </c>
      <c r="AK3620">
        <v>65.006365690364404</v>
      </c>
      <c r="AL3620">
        <v>78.676484139770906</v>
      </c>
      <c r="AM3620">
        <v>92.859216709638005</v>
      </c>
      <c r="AN3620">
        <v>0.99999999691904495</v>
      </c>
    </row>
    <row r="3621" spans="1:40" x14ac:dyDescent="0.25">
      <c r="A3621" t="str">
        <f>"20190304155444717"</f>
        <v>20190304155444717</v>
      </c>
      <c r="B3621" t="str">
        <f>"1551686084710564"</f>
        <v>1551686084710564</v>
      </c>
      <c r="C3621" t="s">
        <v>40</v>
      </c>
      <c r="D3621">
        <v>4.5214210000000001</v>
      </c>
      <c r="E3621">
        <v>0.49637730000000002</v>
      </c>
      <c r="F3621" t="s">
        <v>62</v>
      </c>
      <c r="G3621">
        <v>-412.03070000000002</v>
      </c>
      <c r="H3621" s="1">
        <v>-1.0062189999999999E-5</v>
      </c>
      <c r="I3621">
        <v>138.6258</v>
      </c>
      <c r="J3621">
        <v>-353.51900000000001</v>
      </c>
      <c r="K3621">
        <v>1.1106590000000001</v>
      </c>
      <c r="L3621">
        <v>142.26929999999999</v>
      </c>
      <c r="M3621">
        <v>-0.99985889999999999</v>
      </c>
      <c r="N3621">
        <v>-1.420925E-2</v>
      </c>
      <c r="O3621">
        <v>-8.9678109999999991E-3</v>
      </c>
      <c r="P3621">
        <v>-0.98152030000000001</v>
      </c>
      <c r="Q3621">
        <v>0.1825765</v>
      </c>
      <c r="R3621">
        <v>-5.7303739999999999E-2</v>
      </c>
      <c r="S3621">
        <v>-3.0560610000000001</v>
      </c>
      <c r="T3621">
        <v>-5.7726979999999997E-2</v>
      </c>
      <c r="U3621">
        <v>-0.18951419999999999</v>
      </c>
      <c r="V3621">
        <v>-4.8563549999999997E-2</v>
      </c>
      <c r="W3621">
        <v>0.19649539999999999</v>
      </c>
      <c r="X3621">
        <v>0.97930130000000004</v>
      </c>
      <c r="Y3621">
        <v>-5.292326E-2</v>
      </c>
      <c r="Z3621">
        <v>-8.3386940000000002E-4</v>
      </c>
      <c r="AA3621">
        <v>0.99859819999999999</v>
      </c>
      <c r="AB3621">
        <v>29</v>
      </c>
      <c r="AC3621">
        <v>-58.511699999999998</v>
      </c>
      <c r="AD3621">
        <v>-1.1106690621899999</v>
      </c>
      <c r="AE3621">
        <v>-3.64349999999998</v>
      </c>
      <c r="AF3621">
        <v>-3.1174597180336101</v>
      </c>
      <c r="AG3621">
        <v>-1.1106690621899999</v>
      </c>
      <c r="AH3621">
        <v>58.5210195585516</v>
      </c>
      <c r="AI3621">
        <v>91.085745635195394</v>
      </c>
      <c r="AJ3621">
        <v>93.049308001538606</v>
      </c>
      <c r="AK3621">
        <v>58.614519285170601</v>
      </c>
      <c r="AL3621">
        <v>78.667905455541103</v>
      </c>
      <c r="AM3621">
        <v>92.838971974736694</v>
      </c>
      <c r="AN3621">
        <v>0.99999994839572404</v>
      </c>
    </row>
    <row r="3622" spans="1:40" x14ac:dyDescent="0.25">
      <c r="A3622" t="str">
        <f>"20190304155444738"</f>
        <v>20190304155444738</v>
      </c>
      <c r="B3622" t="str">
        <f>"1551686084731060"</f>
        <v>1551686084731060</v>
      </c>
      <c r="C3622" t="s">
        <v>40</v>
      </c>
      <c r="D3622">
        <v>4.5032540000000001</v>
      </c>
      <c r="E3622">
        <v>0.496282</v>
      </c>
      <c r="F3622" t="s">
        <v>62</v>
      </c>
      <c r="G3622">
        <v>-410.6737</v>
      </c>
      <c r="H3622" s="1">
        <v>-1.022271E-5</v>
      </c>
      <c r="I3622">
        <v>138.72030000000001</v>
      </c>
      <c r="J3622">
        <v>-353.80759999999998</v>
      </c>
      <c r="K3622">
        <v>1.1106529999999999</v>
      </c>
      <c r="L3622">
        <v>142.26650000000001</v>
      </c>
      <c r="M3622">
        <v>-0.99985740000000001</v>
      </c>
      <c r="N3622">
        <v>-1.4206069999999999E-2</v>
      </c>
      <c r="O3622">
        <v>-9.1535000000000002E-3</v>
      </c>
      <c r="P3622">
        <v>-0.98151580000000005</v>
      </c>
      <c r="Q3622">
        <v>0.18277950000000001</v>
      </c>
      <c r="R3622">
        <v>-5.6733230000000003E-2</v>
      </c>
      <c r="S3622">
        <v>-3.0564269999999998</v>
      </c>
      <c r="T3622">
        <v>-5.9394599999999999E-2</v>
      </c>
      <c r="U3622">
        <v>-0.18978880000000001</v>
      </c>
      <c r="V3622">
        <v>-4.7810230000000002E-2</v>
      </c>
      <c r="W3622">
        <v>0.1966955</v>
      </c>
      <c r="X3622">
        <v>0.97929820000000001</v>
      </c>
      <c r="Y3622">
        <v>-5.2819110000000002E-2</v>
      </c>
      <c r="Z3622">
        <v>-8.4053280000000001E-4</v>
      </c>
      <c r="AA3622">
        <v>0.99860380000000004</v>
      </c>
      <c r="AB3622">
        <v>29</v>
      </c>
      <c r="AC3622">
        <v>-56.866100000000003</v>
      </c>
      <c r="AD3622">
        <v>-1.11066322271</v>
      </c>
      <c r="AE3622">
        <v>-3.54619999999999</v>
      </c>
      <c r="AF3622">
        <v>-3.0243259219065401</v>
      </c>
      <c r="AG3622">
        <v>-1.11066322271</v>
      </c>
      <c r="AH3622">
        <v>56.874568801035203</v>
      </c>
      <c r="AI3622">
        <v>91.117168602326402</v>
      </c>
      <c r="AJ3622">
        <v>93.043857158603302</v>
      </c>
      <c r="AK3622">
        <v>56.965750204661497</v>
      </c>
      <c r="AL3622">
        <v>78.656212407214596</v>
      </c>
      <c r="AM3622">
        <v>92.795012926084794</v>
      </c>
      <c r="AN3622">
        <v>0.99999995116806994</v>
      </c>
    </row>
    <row r="3623" spans="1:40" x14ac:dyDescent="0.25">
      <c r="A3623" t="str">
        <f>"20190304155444762"</f>
        <v>20190304155444762</v>
      </c>
      <c r="B3623" t="str">
        <f>"1551686084750580"</f>
        <v>1551686084750580</v>
      </c>
      <c r="C3623" t="s">
        <v>40</v>
      </c>
      <c r="D3623">
        <v>4.6485000000000003</v>
      </c>
      <c r="E3623">
        <v>0.49620370000000003</v>
      </c>
      <c r="F3623" t="s">
        <v>62</v>
      </c>
      <c r="G3623">
        <v>-410.1995</v>
      </c>
      <c r="H3623" s="1">
        <v>-1.02912899999999E-5</v>
      </c>
      <c r="I3623">
        <v>138.78190000000001</v>
      </c>
      <c r="J3623">
        <v>-354.10930000000002</v>
      </c>
      <c r="K3623">
        <v>1.110654</v>
      </c>
      <c r="L3623">
        <v>142.26349999999999</v>
      </c>
      <c r="M3623">
        <v>-0.99985550000000001</v>
      </c>
      <c r="N3623">
        <v>-1.420275E-2</v>
      </c>
      <c r="O3623">
        <v>-9.3478910000000005E-3</v>
      </c>
      <c r="P3623">
        <v>-0.98137070000000004</v>
      </c>
      <c r="Q3623">
        <v>0.18347250000000001</v>
      </c>
      <c r="R3623">
        <v>-5.7006960000000002E-2</v>
      </c>
      <c r="S3623">
        <v>-3.0567929999999999</v>
      </c>
      <c r="T3623">
        <v>-6.0204859999999999E-2</v>
      </c>
      <c r="U3623">
        <v>-0.18888849999999999</v>
      </c>
      <c r="V3623">
        <v>-4.7894060000000002E-2</v>
      </c>
      <c r="W3623">
        <v>0.1973837</v>
      </c>
      <c r="X3623">
        <v>0.97915569999999996</v>
      </c>
      <c r="Y3623">
        <v>-5.23244E-2</v>
      </c>
      <c r="Z3623">
        <v>-8.3549589999999999E-4</v>
      </c>
      <c r="AA3623">
        <v>0.99862980000000001</v>
      </c>
      <c r="AB3623">
        <v>29</v>
      </c>
      <c r="AC3623">
        <v>-56.090199999999903</v>
      </c>
      <c r="AD3623">
        <v>-1.11066429129</v>
      </c>
      <c r="AE3623">
        <v>-3.4815999999999798</v>
      </c>
      <c r="AF3623">
        <v>-2.9559153626680699</v>
      </c>
      <c r="AG3623">
        <v>-1.11066429129</v>
      </c>
      <c r="AH3623">
        <v>56.098386192013798</v>
      </c>
      <c r="AI3623">
        <v>91.132651857268201</v>
      </c>
      <c r="AJ3623">
        <v>93.016218613603996</v>
      </c>
      <c r="AK3623">
        <v>56.1871866544992</v>
      </c>
      <c r="AL3623">
        <v>78.615993824723006</v>
      </c>
      <c r="AM3623">
        <v>92.800312715103999</v>
      </c>
      <c r="AN3623">
        <v>1.00000002542573</v>
      </c>
    </row>
    <row r="3624" spans="1:40" x14ac:dyDescent="0.25">
      <c r="A3624" t="str">
        <f>"20190304155444783"</f>
        <v>20190304155444783</v>
      </c>
      <c r="B3624" t="str">
        <f>"1551686084771076"</f>
        <v>1551686084771076</v>
      </c>
      <c r="C3624" t="s">
        <v>40</v>
      </c>
      <c r="D3624">
        <v>4.4991459999999996</v>
      </c>
      <c r="E3624">
        <v>0.49613030000000002</v>
      </c>
      <c r="F3624" t="s">
        <v>62</v>
      </c>
      <c r="G3624">
        <v>-411.83620000000002</v>
      </c>
      <c r="H3624" s="1">
        <v>-1.009785E-5</v>
      </c>
      <c r="I3624">
        <v>138.66829999999999</v>
      </c>
      <c r="J3624">
        <v>-354.39420000000001</v>
      </c>
      <c r="K3624">
        <v>1.1106579999999999</v>
      </c>
      <c r="L3624">
        <v>142.26070000000001</v>
      </c>
      <c r="M3624">
        <v>-0.99985369999999996</v>
      </c>
      <c r="N3624">
        <v>-1.419977E-2</v>
      </c>
      <c r="O3624">
        <v>-9.5316719999999997E-3</v>
      </c>
      <c r="P3624">
        <v>-0.98132090000000005</v>
      </c>
      <c r="Q3624">
        <v>0.1836836</v>
      </c>
      <c r="R3624">
        <v>-5.7180809999999999E-2</v>
      </c>
      <c r="S3624">
        <v>-3.0568849999999999</v>
      </c>
      <c r="T3624">
        <v>-5.8814409999999998E-2</v>
      </c>
      <c r="U3624">
        <v>-0.19038389999999999</v>
      </c>
      <c r="V3624">
        <v>-4.788829E-2</v>
      </c>
      <c r="W3624">
        <v>0.19759119999999999</v>
      </c>
      <c r="X3624">
        <v>0.97911409999999999</v>
      </c>
      <c r="Y3624">
        <v>-5.2626149999999997E-2</v>
      </c>
      <c r="Z3624">
        <v>-8.3185889999999997E-4</v>
      </c>
      <c r="AA3624">
        <v>0.998614</v>
      </c>
      <c r="AB3624">
        <v>29</v>
      </c>
      <c r="AC3624">
        <v>-57.442</v>
      </c>
      <c r="AD3624">
        <v>-1.1106680978500001</v>
      </c>
      <c r="AE3624">
        <v>-3.59240000000002</v>
      </c>
      <c r="AF3624">
        <v>-3.0435298156542401</v>
      </c>
      <c r="AG3624">
        <v>-1.1106680978500001</v>
      </c>
      <c r="AH3624">
        <v>57.452239627920697</v>
      </c>
      <c r="AI3624">
        <v>91.105955079522104</v>
      </c>
      <c r="AJ3624">
        <v>93.032406807045803</v>
      </c>
      <c r="AK3624">
        <v>57.5435182764</v>
      </c>
      <c r="AL3624">
        <v>78.603865757288403</v>
      </c>
      <c r="AM3624">
        <v>92.800094660818999</v>
      </c>
      <c r="AN3624">
        <v>0.99999999572768605</v>
      </c>
    </row>
    <row r="3625" spans="1:40" x14ac:dyDescent="0.25">
      <c r="A3625" t="str">
        <f>"20190304155444806"</f>
        <v>20190304155444806</v>
      </c>
      <c r="B3625" t="str">
        <f>"1551686084801333"</f>
        <v>1551686084801333</v>
      </c>
      <c r="C3625" t="s">
        <v>40</v>
      </c>
      <c r="D3625">
        <v>4.4843440000000001</v>
      </c>
      <c r="E3625">
        <v>0.4959903</v>
      </c>
      <c r="F3625" t="s">
        <v>62</v>
      </c>
      <c r="G3625">
        <v>-411.89429999999999</v>
      </c>
      <c r="H3625" s="1">
        <v>-1.008971E-5</v>
      </c>
      <c r="I3625">
        <v>138.66130000000001</v>
      </c>
      <c r="J3625">
        <v>-354.6857</v>
      </c>
      <c r="K3625">
        <v>1.1106579999999999</v>
      </c>
      <c r="L3625">
        <v>142.2577</v>
      </c>
      <c r="M3625">
        <v>-0.99985210000000002</v>
      </c>
      <c r="N3625">
        <v>-1.419397E-2</v>
      </c>
      <c r="O3625">
        <v>-9.7192540000000001E-3</v>
      </c>
      <c r="P3625">
        <v>-0.98130269999999997</v>
      </c>
      <c r="Q3625">
        <v>0.1835706</v>
      </c>
      <c r="R3625">
        <v>-5.7852630000000002E-2</v>
      </c>
      <c r="S3625">
        <v>-3.057007</v>
      </c>
      <c r="T3625">
        <v>-5.904889E-2</v>
      </c>
      <c r="U3625">
        <v>-0.19136049999999999</v>
      </c>
      <c r="V3625">
        <v>-4.8375950000000001E-2</v>
      </c>
      <c r="W3625">
        <v>0.1974725</v>
      </c>
      <c r="X3625">
        <v>0.97911409999999999</v>
      </c>
      <c r="Y3625">
        <v>-5.2753960000000003E-2</v>
      </c>
      <c r="Z3625">
        <v>-8.3410639999999996E-4</v>
      </c>
      <c r="AA3625">
        <v>0.99860720000000003</v>
      </c>
      <c r="AB3625">
        <v>29</v>
      </c>
      <c r="AC3625">
        <v>-57.208599999999898</v>
      </c>
      <c r="AD3625">
        <v>-1.1106680897100001</v>
      </c>
      <c r="AE3625">
        <v>-3.5963999999999801</v>
      </c>
      <c r="AF3625">
        <v>-3.0390082606160602</v>
      </c>
      <c r="AG3625">
        <v>-1.1106680897100001</v>
      </c>
      <c r="AH3625">
        <v>57.219373093311098</v>
      </c>
      <c r="AI3625">
        <v>91.110446848748197</v>
      </c>
      <c r="AJ3625">
        <v>93.040209826696696</v>
      </c>
      <c r="AK3625">
        <v>57.310782685330103</v>
      </c>
      <c r="AL3625">
        <v>78.610803753112805</v>
      </c>
      <c r="AM3625">
        <v>92.828562742713302</v>
      </c>
      <c r="AN3625">
        <v>1.0000000208067299</v>
      </c>
    </row>
    <row r="3626" spans="1:40" x14ac:dyDescent="0.25">
      <c r="A3626" t="str">
        <f>"20190304155444830"</f>
        <v>20190304155444830</v>
      </c>
      <c r="B3626" t="str">
        <f>"1551686084820853"</f>
        <v>1551686084820853</v>
      </c>
      <c r="C3626" t="s">
        <v>40</v>
      </c>
      <c r="D3626">
        <v>4.4657960000000001</v>
      </c>
      <c r="E3626">
        <v>0.49597150000000001</v>
      </c>
      <c r="F3626" t="s">
        <v>62</v>
      </c>
      <c r="G3626">
        <v>-411.01889999999997</v>
      </c>
      <c r="H3626" s="1">
        <v>-1.0171040000000001E-5</v>
      </c>
      <c r="I3626">
        <v>138.67140000000001</v>
      </c>
      <c r="J3626">
        <v>-354.9948</v>
      </c>
      <c r="K3626">
        <v>1.1106529999999999</v>
      </c>
      <c r="L3626">
        <v>142.2544</v>
      </c>
      <c r="M3626">
        <v>-0.99985049999999998</v>
      </c>
      <c r="N3626">
        <v>-1.4167529999999999E-2</v>
      </c>
      <c r="O3626">
        <v>-9.9188450000000008E-3</v>
      </c>
      <c r="P3626">
        <v>-0.98139849999999995</v>
      </c>
      <c r="Q3626">
        <v>0.18286369999999999</v>
      </c>
      <c r="R3626">
        <v>-5.8463969999999997E-2</v>
      </c>
      <c r="S3626">
        <v>-3.0569760000000001</v>
      </c>
      <c r="T3626">
        <v>-6.0271499999999999E-2</v>
      </c>
      <c r="U3626">
        <v>-0.19461059999999999</v>
      </c>
      <c r="V3626">
        <v>-4.8789909999999999E-2</v>
      </c>
      <c r="W3626">
        <v>0.19674079999999999</v>
      </c>
      <c r="X3626">
        <v>0.97924080000000002</v>
      </c>
      <c r="Y3626">
        <v>-5.3611890000000002E-2</v>
      </c>
      <c r="Z3626">
        <v>-8.5323579999999999E-4</v>
      </c>
      <c r="AA3626">
        <v>0.99856149999999999</v>
      </c>
      <c r="AB3626">
        <v>29</v>
      </c>
      <c r="AC3626">
        <v>-56.024099999999898</v>
      </c>
      <c r="AD3626">
        <v>-1.1106631710399999</v>
      </c>
      <c r="AE3626">
        <v>-3.58299999999999</v>
      </c>
      <c r="AF3626">
        <v>-3.0258892077648598</v>
      </c>
      <c r="AG3626">
        <v>-1.1106631710399999</v>
      </c>
      <c r="AH3626">
        <v>56.034953080467403</v>
      </c>
      <c r="AI3626">
        <v>91.133853674375402</v>
      </c>
      <c r="AJ3626">
        <v>93.090971778966093</v>
      </c>
      <c r="AK3626">
        <v>56.127582745984697</v>
      </c>
      <c r="AL3626">
        <v>78.653565410207804</v>
      </c>
      <c r="AM3626">
        <v>92.852358857175005</v>
      </c>
      <c r="AN3626">
        <v>0.99999997104354299</v>
      </c>
    </row>
    <row r="3627" spans="1:40" x14ac:dyDescent="0.25">
      <c r="A3627" t="str">
        <f>"20190304155444855"</f>
        <v>20190304155444855</v>
      </c>
      <c r="B3627" t="str">
        <f>"1551686084841349"</f>
        <v>1551686084841349</v>
      </c>
      <c r="C3627" t="s">
        <v>40</v>
      </c>
      <c r="D3627">
        <v>4.4441759999999997</v>
      </c>
      <c r="E3627">
        <v>0.49592360000000002</v>
      </c>
      <c r="F3627" t="s">
        <v>62</v>
      </c>
      <c r="G3627">
        <v>-408.96660000000003</v>
      </c>
      <c r="H3627" s="1">
        <v>-9.6976929999999995E-6</v>
      </c>
      <c r="I3627">
        <v>138.7869</v>
      </c>
      <c r="J3627">
        <v>-355.31079999999997</v>
      </c>
      <c r="K3627">
        <v>1.110635</v>
      </c>
      <c r="L3627">
        <v>142.25110000000001</v>
      </c>
      <c r="M3627">
        <v>-0.99984930000000005</v>
      </c>
      <c r="N3627">
        <v>-1.411166E-2</v>
      </c>
      <c r="O3627">
        <v>-1.012277E-2</v>
      </c>
      <c r="P3627">
        <v>-0.98141279999999997</v>
      </c>
      <c r="Q3627">
        <v>0.18257109999999999</v>
      </c>
      <c r="R3627">
        <v>-5.9135930000000003E-2</v>
      </c>
      <c r="S3627">
        <v>-3.0568849999999999</v>
      </c>
      <c r="T3627">
        <v>-6.290627E-2</v>
      </c>
      <c r="U3627">
        <v>-0.19639590000000001</v>
      </c>
      <c r="V3627">
        <v>-4.9261270000000003E-2</v>
      </c>
      <c r="W3627">
        <v>0.19639390000000001</v>
      </c>
      <c r="X3627">
        <v>0.97928680000000001</v>
      </c>
      <c r="Y3627">
        <v>-5.398965E-2</v>
      </c>
      <c r="Z3627">
        <v>-8.7096660000000002E-4</v>
      </c>
      <c r="AA3627">
        <v>0.99854109999999996</v>
      </c>
      <c r="AB3627">
        <v>29</v>
      </c>
      <c r="AC3627">
        <v>-53.655799999999999</v>
      </c>
      <c r="AD3627">
        <v>-1.110644697693</v>
      </c>
      <c r="AE3627">
        <v>-3.4641999999999999</v>
      </c>
      <c r="AF3627">
        <v>-2.9195773742587998</v>
      </c>
      <c r="AG3627">
        <v>-1.110644697693</v>
      </c>
      <c r="AH3627">
        <v>53.665222798830598</v>
      </c>
      <c r="AI3627">
        <v>91.183862547853806</v>
      </c>
      <c r="AJ3627">
        <v>93.114022647664498</v>
      </c>
      <c r="AK3627">
        <v>53.7560564191322</v>
      </c>
      <c r="AL3627">
        <v>78.673836410658893</v>
      </c>
      <c r="AM3627">
        <v>92.879734319727703</v>
      </c>
      <c r="AN3627">
        <v>0.99999993666672904</v>
      </c>
    </row>
    <row r="3628" spans="1:40" x14ac:dyDescent="0.25">
      <c r="A3628" t="str">
        <f>"20190304155444875"</f>
        <v>20190304155444875</v>
      </c>
      <c r="B3628" t="str">
        <f>"1551686084870629"</f>
        <v>1551686084870629</v>
      </c>
      <c r="C3628" t="s">
        <v>40</v>
      </c>
      <c r="D3628">
        <v>4.608047</v>
      </c>
      <c r="E3628">
        <v>0.49589230000000001</v>
      </c>
      <c r="F3628" t="s">
        <v>62</v>
      </c>
      <c r="G3628">
        <v>-408.18150000000003</v>
      </c>
      <c r="H3628" s="1">
        <v>-9.2192850000000006E-6</v>
      </c>
      <c r="I3628">
        <v>138.81059999999999</v>
      </c>
      <c r="J3628">
        <v>-355.58710000000002</v>
      </c>
      <c r="K3628">
        <v>1.110627</v>
      </c>
      <c r="L3628">
        <v>142.24809999999999</v>
      </c>
      <c r="M3628">
        <v>-0.99984830000000002</v>
      </c>
      <c r="N3628">
        <v>-1.404819E-2</v>
      </c>
      <c r="O3628">
        <v>-1.0299350000000001E-2</v>
      </c>
      <c r="P3628">
        <v>-0.9814716</v>
      </c>
      <c r="Q3628">
        <v>0.18217079999999999</v>
      </c>
      <c r="R3628">
        <v>-5.9395860000000002E-2</v>
      </c>
      <c r="S3628">
        <v>-3.0567929999999999</v>
      </c>
      <c r="T3628">
        <v>-6.4213510000000001E-2</v>
      </c>
      <c r="U3628">
        <v>-0.1989136</v>
      </c>
      <c r="V3628">
        <v>-4.9347170000000003E-2</v>
      </c>
      <c r="W3628">
        <v>0.19593250000000001</v>
      </c>
      <c r="X3628">
        <v>0.97937490000000005</v>
      </c>
      <c r="Y3628">
        <v>-5.463341E-2</v>
      </c>
      <c r="Z3628">
        <v>-8.8588000000000002E-4</v>
      </c>
      <c r="AA3628">
        <v>0.99850609999999995</v>
      </c>
      <c r="AB3628">
        <v>29</v>
      </c>
      <c r="AC3628">
        <v>-52.5944</v>
      </c>
      <c r="AD3628">
        <v>-1.1106362192849999</v>
      </c>
      <c r="AE3628">
        <v>-3.4375</v>
      </c>
      <c r="AF3628">
        <v>-2.8942909056011499</v>
      </c>
      <c r="AG3628">
        <v>-1.1106362192849999</v>
      </c>
      <c r="AH3628">
        <v>52.603659704648997</v>
      </c>
      <c r="AI3628">
        <v>91.207696500853103</v>
      </c>
      <c r="AJ3628">
        <v>93.149279332426005</v>
      </c>
      <c r="AK3628">
        <v>52.694928095409203</v>
      </c>
      <c r="AL3628">
        <v>78.700796538015894</v>
      </c>
      <c r="AM3628">
        <v>92.884488360241306</v>
      </c>
      <c r="AN3628">
        <v>0.99999994124663205</v>
      </c>
    </row>
    <row r="3629" spans="1:40" x14ac:dyDescent="0.25">
      <c r="A3629" t="str">
        <f>"20190304155444895"</f>
        <v>20190304155444895</v>
      </c>
      <c r="B3629" t="str">
        <f>"1551686084891124"</f>
        <v>1551686084891124</v>
      </c>
      <c r="C3629" t="s">
        <v>40</v>
      </c>
      <c r="D3629">
        <v>4.4827879999999896</v>
      </c>
      <c r="E3629">
        <v>0.50344069999999996</v>
      </c>
      <c r="F3629" t="s">
        <v>62</v>
      </c>
      <c r="G3629">
        <v>-407.33859999999999</v>
      </c>
      <c r="H3629" s="1">
        <v>-8.7185789999999906E-6</v>
      </c>
      <c r="I3629">
        <v>138.8656</v>
      </c>
      <c r="J3629">
        <v>-355.84649999999999</v>
      </c>
      <c r="K3629">
        <v>1.110616</v>
      </c>
      <c r="L3629">
        <v>142.24520000000001</v>
      </c>
      <c r="M3629">
        <v>-0.99984759999999995</v>
      </c>
      <c r="N3629">
        <v>-1.3981540000000001E-2</v>
      </c>
      <c r="O3629">
        <v>-1.0463989999999999E-2</v>
      </c>
      <c r="P3629">
        <v>-0.98143879999999994</v>
      </c>
      <c r="Q3629">
        <v>0.1820638</v>
      </c>
      <c r="R3629">
        <v>-6.0257230000000002E-2</v>
      </c>
      <c r="S3629">
        <v>-3.056702</v>
      </c>
      <c r="T3629">
        <v>-6.5599679999999994E-2</v>
      </c>
      <c r="U3629">
        <v>-0.1997833</v>
      </c>
      <c r="V3629">
        <v>-5.0048019999999999E-2</v>
      </c>
      <c r="W3629">
        <v>0.1957594</v>
      </c>
      <c r="X3629">
        <v>0.97937399999999997</v>
      </c>
      <c r="Y3629">
        <v>-5.475319E-2</v>
      </c>
      <c r="Z3629">
        <v>-8.9198289999999905E-4</v>
      </c>
      <c r="AA3629">
        <v>0.99849949999999998</v>
      </c>
      <c r="AB3629">
        <v>29</v>
      </c>
      <c r="AC3629">
        <v>-51.492099999999901</v>
      </c>
      <c r="AD3629">
        <v>-1.1106247185789999</v>
      </c>
      <c r="AE3629">
        <v>-3.3796000000000102</v>
      </c>
      <c r="AF3629">
        <v>-2.83923430852259</v>
      </c>
      <c r="AG3629">
        <v>-1.1106247185789999</v>
      </c>
      <c r="AH3629">
        <v>51.500791699230597</v>
      </c>
      <c r="AI3629">
        <v>91.233530747389196</v>
      </c>
      <c r="AJ3629">
        <v>93.155517222971298</v>
      </c>
      <c r="AK3629">
        <v>51.590951574590598</v>
      </c>
      <c r="AL3629">
        <v>78.710910845411703</v>
      </c>
      <c r="AM3629">
        <v>92.925387140916001</v>
      </c>
      <c r="AN3629">
        <v>0.99999998943514001</v>
      </c>
    </row>
    <row r="3630" spans="1:40" x14ac:dyDescent="0.25">
      <c r="A3630" t="str">
        <f>"20190304155444918"</f>
        <v>20190304155444918</v>
      </c>
      <c r="B3630" t="str">
        <f>"1551686084910644"</f>
        <v>1551686084910644</v>
      </c>
      <c r="C3630" t="s">
        <v>40</v>
      </c>
      <c r="D3630">
        <v>4.4753970000000001</v>
      </c>
      <c r="E3630">
        <v>0.49556289999999997</v>
      </c>
      <c r="F3630" t="s">
        <v>43</v>
      </c>
      <c r="G3630">
        <v>0</v>
      </c>
      <c r="H3630">
        <v>0</v>
      </c>
      <c r="I3630">
        <v>0</v>
      </c>
      <c r="J3630">
        <v>-356.1395</v>
      </c>
      <c r="K3630">
        <v>1.1105989999999999</v>
      </c>
      <c r="L3630">
        <v>142.24189999999999</v>
      </c>
      <c r="M3630">
        <v>-0.99984669999999998</v>
      </c>
      <c r="N3630">
        <v>-1.389899E-2</v>
      </c>
      <c r="O3630">
        <v>-1.064961E-2</v>
      </c>
      <c r="P3630">
        <v>-0.98140819999999995</v>
      </c>
      <c r="Q3630">
        <v>0.1819788</v>
      </c>
      <c r="R3630">
        <v>-6.1006530000000003E-2</v>
      </c>
      <c r="S3630">
        <v>-3.0466310000000001</v>
      </c>
      <c r="T3630">
        <v>6.8244930000000001E-3</v>
      </c>
      <c r="U3630">
        <v>-0.1434021</v>
      </c>
      <c r="V3630">
        <v>-5.0615269999999997E-2</v>
      </c>
      <c r="W3630">
        <v>0.1955934</v>
      </c>
      <c r="X3630">
        <v>0.97937799999999997</v>
      </c>
      <c r="Y3630">
        <v>-3.6377350000000003E-2</v>
      </c>
      <c r="Z3630">
        <v>-3.8402880000000002E-4</v>
      </c>
      <c r="AA3630">
        <v>0.99933799999999995</v>
      </c>
      <c r="AB3630">
        <v>29</v>
      </c>
      <c r="AC3630">
        <v>-3.0466310000000001</v>
      </c>
      <c r="AD3630">
        <v>6.8244930000000001E-3</v>
      </c>
      <c r="AE3630">
        <v>-0.1434021</v>
      </c>
      <c r="AF3630">
        <v>-0.110944844793625</v>
      </c>
      <c r="AG3630">
        <v>6.8244930000000001E-3</v>
      </c>
      <c r="AH3630">
        <v>3.0479702602140302</v>
      </c>
      <c r="AI3630">
        <v>89.871798218350506</v>
      </c>
      <c r="AJ3630">
        <v>92.084622116330294</v>
      </c>
      <c r="AK3630">
        <v>3.0499963999060999</v>
      </c>
      <c r="AL3630">
        <v>78.720609271248506</v>
      </c>
      <c r="AM3630">
        <v>92.958473178273593</v>
      </c>
      <c r="AN3630">
        <v>0.99999997528236595</v>
      </c>
    </row>
    <row r="3631" spans="1:40" x14ac:dyDescent="0.25">
      <c r="A3631" t="str">
        <f>"20190304155444939"</f>
        <v>20190304155444939</v>
      </c>
      <c r="B3631" t="str">
        <f>"1551686084931141"</f>
        <v>1551686084931141</v>
      </c>
      <c r="C3631" t="s">
        <v>40</v>
      </c>
      <c r="D3631">
        <v>4.4669460000000001</v>
      </c>
      <c r="E3631">
        <v>0.49594100000000002</v>
      </c>
      <c r="F3631" t="s">
        <v>62</v>
      </c>
      <c r="G3631">
        <v>-402.58100000000002</v>
      </c>
      <c r="H3631" s="1">
        <v>-6.2682060000000001E-6</v>
      </c>
      <c r="I3631">
        <v>139.09729999999999</v>
      </c>
      <c r="J3631">
        <v>-356.423</v>
      </c>
      <c r="K3631">
        <v>1.11059</v>
      </c>
      <c r="L3631">
        <v>142.23869999999999</v>
      </c>
      <c r="M3631">
        <v>-0.99984589999999995</v>
      </c>
      <c r="N3631">
        <v>-1.381602E-2</v>
      </c>
      <c r="O3631">
        <v>-1.0830090000000001E-2</v>
      </c>
      <c r="P3631">
        <v>-0.98129180000000005</v>
      </c>
      <c r="Q3631">
        <v>0.18255469999999999</v>
      </c>
      <c r="R3631">
        <v>-6.1157290000000003E-2</v>
      </c>
      <c r="S3631">
        <v>-3.0574949999999999</v>
      </c>
      <c r="T3631">
        <v>-7.3117260000000003E-2</v>
      </c>
      <c r="U3631">
        <v>-0.2070313</v>
      </c>
      <c r="V3631">
        <v>-5.0590110000000001E-2</v>
      </c>
      <c r="W3631">
        <v>0.19608629999999999</v>
      </c>
      <c r="X3631">
        <v>0.97928079999999995</v>
      </c>
      <c r="Y3631">
        <v>-5.6722700000000001E-2</v>
      </c>
      <c r="Z3631">
        <v>-9.6060069999999995E-4</v>
      </c>
      <c r="AA3631">
        <v>0.99838950000000004</v>
      </c>
      <c r="AB3631">
        <v>29</v>
      </c>
      <c r="AC3631">
        <v>-46.157999999999902</v>
      </c>
      <c r="AD3631">
        <v>-1.110596268206</v>
      </c>
      <c r="AE3631">
        <v>-3.1414</v>
      </c>
      <c r="AF3631">
        <v>-2.6397515594006502</v>
      </c>
      <c r="AG3631">
        <v>-1.110596268206</v>
      </c>
      <c r="AH3631">
        <v>46.162716039790403</v>
      </c>
      <c r="AI3631">
        <v>91.375926030696903</v>
      </c>
      <c r="AJ3631">
        <v>93.272816285567799</v>
      </c>
      <c r="AK3631">
        <v>46.251465539338703</v>
      </c>
      <c r="AL3631">
        <v>78.691811268547397</v>
      </c>
      <c r="AM3631">
        <v>92.957298162645301</v>
      </c>
      <c r="AN3631">
        <v>1.00000004076307</v>
      </c>
    </row>
    <row r="3632" spans="1:40" x14ac:dyDescent="0.25">
      <c r="A3632" t="str">
        <f>"20190304155444962"</f>
        <v>20190304155444962</v>
      </c>
      <c r="B3632" t="str">
        <f>"1551686084950661"</f>
        <v>1551686084950661</v>
      </c>
      <c r="C3632" t="s">
        <v>40</v>
      </c>
      <c r="D3632">
        <v>4.4910959999999998</v>
      </c>
      <c r="E3632">
        <v>0.49601279999999998</v>
      </c>
      <c r="F3632" t="s">
        <v>62</v>
      </c>
      <c r="G3632">
        <v>-403.55040000000002</v>
      </c>
      <c r="H3632" s="1">
        <v>-6.6939810000000003E-6</v>
      </c>
      <c r="I3632">
        <v>139.08840000000001</v>
      </c>
      <c r="J3632">
        <v>-356.71550000000002</v>
      </c>
      <c r="K3632">
        <v>1.1105750000000001</v>
      </c>
      <c r="L3632">
        <v>142.2353</v>
      </c>
      <c r="M3632">
        <v>-0.99984510000000004</v>
      </c>
      <c r="N3632">
        <v>-1.372897E-2</v>
      </c>
      <c r="O3632">
        <v>-1.1016730000000001E-2</v>
      </c>
      <c r="P3632">
        <v>-0.98124579999999995</v>
      </c>
      <c r="Q3632">
        <v>0.18269460000000001</v>
      </c>
      <c r="R3632">
        <v>-6.1477589999999999E-2</v>
      </c>
      <c r="S3632">
        <v>-3.0578609999999999</v>
      </c>
      <c r="T3632">
        <v>-7.2061059999999996E-2</v>
      </c>
      <c r="U3632">
        <v>-0.2044067</v>
      </c>
      <c r="V3632">
        <v>-5.0727300000000003E-2</v>
      </c>
      <c r="W3632">
        <v>0.19614100000000001</v>
      </c>
      <c r="X3632">
        <v>0.97926270000000004</v>
      </c>
      <c r="Y3632">
        <v>-5.567631E-2</v>
      </c>
      <c r="Z3632">
        <v>-9.2975350000000002E-4</v>
      </c>
      <c r="AA3632">
        <v>0.99844840000000001</v>
      </c>
      <c r="AB3632">
        <v>29</v>
      </c>
      <c r="AC3632">
        <v>-46.834899999999998</v>
      </c>
      <c r="AD3632">
        <v>-1.110581693981</v>
      </c>
      <c r="AE3632">
        <v>-3.14689999999998</v>
      </c>
      <c r="AF3632">
        <v>-2.6292211850262999</v>
      </c>
      <c r="AG3632">
        <v>-1.110581693981</v>
      </c>
      <c r="AH3632">
        <v>46.840509389469297</v>
      </c>
      <c r="AI3632">
        <v>91.356086310454501</v>
      </c>
      <c r="AJ3632">
        <v>93.212718342504502</v>
      </c>
      <c r="AK3632">
        <v>46.9273855611386</v>
      </c>
      <c r="AL3632">
        <v>78.688614579390205</v>
      </c>
      <c r="AM3632">
        <v>92.965358165956602</v>
      </c>
      <c r="AN3632">
        <v>0.99999999322878996</v>
      </c>
    </row>
    <row r="3633" spans="1:40" x14ac:dyDescent="0.25">
      <c r="A3633" t="str">
        <f>"20190304155444984"</f>
        <v>20190304155444984</v>
      </c>
      <c r="B3633" t="str">
        <f>"1551686084980917"</f>
        <v>1551686084980917</v>
      </c>
      <c r="C3633" t="s">
        <v>40</v>
      </c>
      <c r="D3633">
        <v>4.443505</v>
      </c>
      <c r="E3633">
        <v>0.49797789999999997</v>
      </c>
      <c r="F3633" t="s">
        <v>62</v>
      </c>
      <c r="G3633">
        <v>-403.50659999999999</v>
      </c>
      <c r="H3633" s="1">
        <v>-6.6810080000000003E-6</v>
      </c>
      <c r="I3633">
        <v>139.10230000000001</v>
      </c>
      <c r="J3633">
        <v>-357.00560000000002</v>
      </c>
      <c r="K3633">
        <v>1.110573</v>
      </c>
      <c r="L3633">
        <v>142.2319</v>
      </c>
      <c r="M3633">
        <v>-0.99984439999999997</v>
      </c>
      <c r="N3633">
        <v>-1.363902E-2</v>
      </c>
      <c r="O3633">
        <v>-1.120206E-2</v>
      </c>
      <c r="P3633">
        <v>-0.98117279999999996</v>
      </c>
      <c r="Q3633">
        <v>0.1829395</v>
      </c>
      <c r="R3633">
        <v>-6.1916600000000002E-2</v>
      </c>
      <c r="S3633">
        <v>-3.058014</v>
      </c>
      <c r="T3633">
        <v>-7.2581770000000004E-2</v>
      </c>
      <c r="U3633">
        <v>-0.20475769999999999</v>
      </c>
      <c r="V3633">
        <v>-5.0984349999999998E-2</v>
      </c>
      <c r="W3633">
        <v>0.1962971</v>
      </c>
      <c r="X3633">
        <v>0.97921809999999998</v>
      </c>
      <c r="Y3633">
        <v>-5.5601869999999998E-2</v>
      </c>
      <c r="Z3633">
        <v>-9.2583819999999997E-4</v>
      </c>
      <c r="AA3633">
        <v>0.99845260000000002</v>
      </c>
      <c r="AB3633">
        <v>29</v>
      </c>
      <c r="AC3633">
        <v>-46.500999999999898</v>
      </c>
      <c r="AD3633">
        <v>-1.110579681008</v>
      </c>
      <c r="AE3633">
        <v>-3.12959999999998</v>
      </c>
      <c r="AF3633">
        <v>-2.60696794078883</v>
      </c>
      <c r="AG3633">
        <v>-1.110579681008</v>
      </c>
      <c r="AH3633">
        <v>46.506735429433398</v>
      </c>
      <c r="AI3633">
        <v>91.365818426661903</v>
      </c>
      <c r="AJ3633">
        <v>93.208397726392207</v>
      </c>
      <c r="AK3633">
        <v>46.592983477938901</v>
      </c>
      <c r="AL3633">
        <v>78.679493716085801</v>
      </c>
      <c r="AM3633">
        <v>92.980492977001404</v>
      </c>
      <c r="AN3633">
        <v>1.0000000213904701</v>
      </c>
    </row>
    <row r="3634" spans="1:40" x14ac:dyDescent="0.25">
      <c r="A3634" t="str">
        <f>"20190304155445008"</f>
        <v>20190304155445008</v>
      </c>
      <c r="B3634" t="str">
        <f>"1551686085000436"</f>
        <v>1551686085000436</v>
      </c>
      <c r="C3634" t="s">
        <v>40</v>
      </c>
      <c r="D3634">
        <v>4.5040480000000001</v>
      </c>
      <c r="E3634">
        <v>0.4977472</v>
      </c>
      <c r="F3634" t="s">
        <v>62</v>
      </c>
      <c r="G3634">
        <v>-400.39060000000001</v>
      </c>
      <c r="H3634" s="1">
        <v>-5.5036680000000003E-6</v>
      </c>
      <c r="I3634">
        <v>139.5402</v>
      </c>
      <c r="J3634">
        <v>-357.30520000000001</v>
      </c>
      <c r="K3634">
        <v>1.110565</v>
      </c>
      <c r="L3634">
        <v>142.22829999999999</v>
      </c>
      <c r="M3634">
        <v>-0.99984340000000005</v>
      </c>
      <c r="N3634">
        <v>-1.35485E-2</v>
      </c>
      <c r="O3634">
        <v>-1.138919E-2</v>
      </c>
      <c r="P3634">
        <v>-0.98110600000000003</v>
      </c>
      <c r="Q3634">
        <v>0.18320339999999999</v>
      </c>
      <c r="R3634">
        <v>-6.2191530000000002E-2</v>
      </c>
      <c r="S3634">
        <v>-3.0602420000000001</v>
      </c>
      <c r="T3634">
        <v>-7.8336719999999999E-2</v>
      </c>
      <c r="U3634">
        <v>-0.18986510000000001</v>
      </c>
      <c r="V3634">
        <v>-5.1076860000000002E-2</v>
      </c>
      <c r="W3634">
        <v>0.19647110000000001</v>
      </c>
      <c r="X3634">
        <v>0.9791784</v>
      </c>
      <c r="Y3634">
        <v>-5.0526630000000003E-2</v>
      </c>
      <c r="Z3634">
        <v>-8.516636E-4</v>
      </c>
      <c r="AA3634">
        <v>0.99872240000000001</v>
      </c>
      <c r="AB3634">
        <v>29</v>
      </c>
      <c r="AC3634">
        <v>-43.0853999999999</v>
      </c>
      <c r="AD3634">
        <v>-1.110570503668</v>
      </c>
      <c r="AE3634">
        <v>-2.6880999999999902</v>
      </c>
      <c r="AF3634">
        <v>-2.1957196070604699</v>
      </c>
      <c r="AG3634">
        <v>-1.110570503668</v>
      </c>
      <c r="AH3634">
        <v>43.084708460879497</v>
      </c>
      <c r="AI3634">
        <v>91.474641505327199</v>
      </c>
      <c r="AJ3634">
        <v>92.917432329927806</v>
      </c>
      <c r="AK3634">
        <v>43.154914605354399</v>
      </c>
      <c r="AL3634">
        <v>78.669326461204193</v>
      </c>
      <c r="AM3634">
        <v>92.9860120811055</v>
      </c>
      <c r="AN3634">
        <v>1.00000003889461</v>
      </c>
    </row>
    <row r="3635" spans="1:40" x14ac:dyDescent="0.25">
      <c r="A3635" t="str">
        <f>"20190304155445031"</f>
        <v>20190304155445031</v>
      </c>
      <c r="B3635" t="str">
        <f>"1551686085020932"</f>
        <v>1551686085020932</v>
      </c>
      <c r="C3635" t="s">
        <v>40</v>
      </c>
      <c r="D3635">
        <v>4.4799049999999996</v>
      </c>
      <c r="E3635">
        <v>0.49754799999999899</v>
      </c>
      <c r="F3635" t="s">
        <v>62</v>
      </c>
      <c r="G3635">
        <v>-401.92570000000001</v>
      </c>
      <c r="H3635" s="1">
        <v>-6.1210640000000004E-6</v>
      </c>
      <c r="I3635">
        <v>139.40440000000001</v>
      </c>
      <c r="J3635">
        <v>-357.60379999999998</v>
      </c>
      <c r="K3635">
        <v>1.110557</v>
      </c>
      <c r="L3635">
        <v>142.22460000000001</v>
      </c>
      <c r="M3635">
        <v>-0.99984249999999997</v>
      </c>
      <c r="N3635">
        <v>-1.346556E-2</v>
      </c>
      <c r="O3635">
        <v>-1.157411E-2</v>
      </c>
      <c r="P3635">
        <v>-0.98116979999999998</v>
      </c>
      <c r="Q3635">
        <v>0.18287300000000001</v>
      </c>
      <c r="R3635">
        <v>-6.2154710000000002E-2</v>
      </c>
      <c r="S3635">
        <v>-3.0596920000000001</v>
      </c>
      <c r="T3635">
        <v>-7.6153399999999996E-2</v>
      </c>
      <c r="U3635">
        <v>-0.193634</v>
      </c>
      <c r="V3635">
        <v>-5.0857939999999997E-2</v>
      </c>
      <c r="W3635">
        <v>0.1960606</v>
      </c>
      <c r="X3635">
        <v>0.97927200000000003</v>
      </c>
      <c r="Y3635">
        <v>-5.1579029999999998E-2</v>
      </c>
      <c r="Z3635">
        <v>-8.5685830000000005E-4</v>
      </c>
      <c r="AA3635">
        <v>0.99866860000000002</v>
      </c>
      <c r="AB3635">
        <v>29</v>
      </c>
      <c r="AC3635">
        <v>-44.321899999999999</v>
      </c>
      <c r="AD3635">
        <v>-1.1105631210639999</v>
      </c>
      <c r="AE3635">
        <v>-2.8201999999999998</v>
      </c>
      <c r="AF3635">
        <v>-2.3055364074013598</v>
      </c>
      <c r="AG3635">
        <v>-1.1105631210639999</v>
      </c>
      <c r="AH3635">
        <v>44.323858816462803</v>
      </c>
      <c r="AI3635">
        <v>91.433345800511404</v>
      </c>
      <c r="AJ3635">
        <v>92.977596410451497</v>
      </c>
      <c r="AK3635">
        <v>44.397672337110798</v>
      </c>
      <c r="AL3635">
        <v>78.693312101375199</v>
      </c>
      <c r="AM3635">
        <v>92.972953102917003</v>
      </c>
      <c r="AN3635">
        <v>0.99999996945870095</v>
      </c>
    </row>
    <row r="3636" spans="1:40" x14ac:dyDescent="0.25">
      <c r="A3636" t="str">
        <f>"20190304155445055"</f>
        <v>20190304155445055</v>
      </c>
      <c r="B3636" t="str">
        <f>"1551686085051188"</f>
        <v>1551686085051188</v>
      </c>
      <c r="C3636" t="s">
        <v>40</v>
      </c>
      <c r="D3636">
        <v>4.6112039999999999</v>
      </c>
      <c r="E3636">
        <v>0.49744939999999999</v>
      </c>
      <c r="F3636" t="s">
        <v>62</v>
      </c>
      <c r="G3636">
        <v>-402.51979999999998</v>
      </c>
      <c r="H3636" s="1">
        <v>-6.3621989999999996E-6</v>
      </c>
      <c r="I3636">
        <v>139.35659999999999</v>
      </c>
      <c r="J3636">
        <v>-357.9117</v>
      </c>
      <c r="K3636">
        <v>1.1105499999999999</v>
      </c>
      <c r="L3636">
        <v>142.2208</v>
      </c>
      <c r="M3636">
        <v>-0.99984119999999999</v>
      </c>
      <c r="N3636">
        <v>-1.338839E-2</v>
      </c>
      <c r="O3636">
        <v>-1.1767379999999999E-2</v>
      </c>
      <c r="P3636">
        <v>-0.98120430000000003</v>
      </c>
      <c r="Q3636">
        <v>0.18246870000000001</v>
      </c>
      <c r="R3636">
        <v>-6.2797489999999997E-2</v>
      </c>
      <c r="S3636">
        <v>-3.0592959999999998</v>
      </c>
      <c r="T3636">
        <v>-7.5641990000000006E-2</v>
      </c>
      <c r="U3636">
        <v>-0.19534299999999999</v>
      </c>
      <c r="V3636">
        <v>-5.1308880000000001E-2</v>
      </c>
      <c r="W3636">
        <v>0.19558130000000001</v>
      </c>
      <c r="X3636">
        <v>0.9793444</v>
      </c>
      <c r="Y3636">
        <v>-5.194994E-2</v>
      </c>
      <c r="Z3636">
        <v>-8.565221E-4</v>
      </c>
      <c r="AA3636">
        <v>0.99864929999999996</v>
      </c>
      <c r="AB3636">
        <v>29</v>
      </c>
      <c r="AC3636">
        <v>-44.608099999999901</v>
      </c>
      <c r="AD3636">
        <v>-1.110556362199</v>
      </c>
      <c r="AE3636">
        <v>-2.8642000000000101</v>
      </c>
      <c r="AF3636">
        <v>-2.3375912775394099</v>
      </c>
      <c r="AG3636">
        <v>-1.110556362199</v>
      </c>
      <c r="AH3636">
        <v>44.611181394170202</v>
      </c>
      <c r="AI3636">
        <v>91.4240809249374</v>
      </c>
      <c r="AJ3636">
        <v>92.999511148970996</v>
      </c>
      <c r="AK3636">
        <v>44.686185491693202</v>
      </c>
      <c r="AL3636">
        <v>78.721317056823096</v>
      </c>
      <c r="AM3636">
        <v>92.999044023987594</v>
      </c>
      <c r="AN3636">
        <v>1.0000000499439501</v>
      </c>
    </row>
    <row r="3637" spans="1:40" x14ac:dyDescent="0.25">
      <c r="A3637" t="str">
        <f>"20190304155445076"</f>
        <v>20190304155445076</v>
      </c>
      <c r="B3637" t="str">
        <f>"1551686085070710"</f>
        <v>1551686085070710</v>
      </c>
      <c r="C3637" t="s">
        <v>40</v>
      </c>
      <c r="D3637">
        <v>4.4781680000000001</v>
      </c>
      <c r="E3637">
        <v>0.47249940000000001</v>
      </c>
      <c r="F3637" t="s">
        <v>62</v>
      </c>
      <c r="G3637">
        <v>-402.16539999999998</v>
      </c>
      <c r="H3637" s="1">
        <v>-6.2091000000000004E-6</v>
      </c>
      <c r="I3637">
        <v>139.36539999999999</v>
      </c>
      <c r="J3637">
        <v>-358.19490000000002</v>
      </c>
      <c r="K3637">
        <v>1.1105430000000001</v>
      </c>
      <c r="L3637">
        <v>142.21729999999999</v>
      </c>
      <c r="M3637">
        <v>-0.99983979999999995</v>
      </c>
      <c r="N3637">
        <v>-1.332436E-2</v>
      </c>
      <c r="O3637">
        <v>-1.194868E-2</v>
      </c>
      <c r="P3637">
        <v>-0.981271</v>
      </c>
      <c r="Q3637">
        <v>0.18207319999999999</v>
      </c>
      <c r="R3637">
        <v>-6.2902379999999994E-2</v>
      </c>
      <c r="S3637">
        <v>-3.059113</v>
      </c>
      <c r="T3637">
        <v>-7.6769229999999994E-2</v>
      </c>
      <c r="U3637">
        <v>-0.1973877</v>
      </c>
      <c r="V3637">
        <v>-5.1234250000000002E-2</v>
      </c>
      <c r="W3637">
        <v>0.19512479999999999</v>
      </c>
      <c r="X3637">
        <v>0.97943930000000001</v>
      </c>
      <c r="Y3637">
        <v>-5.2436660000000003E-2</v>
      </c>
      <c r="Z3637">
        <v>-8.6656829999999995E-4</v>
      </c>
      <c r="AA3637">
        <v>0.99862379999999995</v>
      </c>
      <c r="AB3637">
        <v>29</v>
      </c>
      <c r="AC3637">
        <v>-43.970499999999902</v>
      </c>
      <c r="AD3637">
        <v>-1.1105492091</v>
      </c>
      <c r="AE3637">
        <v>-2.8519000000000001</v>
      </c>
      <c r="AF3637">
        <v>-2.32478350898214</v>
      </c>
      <c r="AG3637">
        <v>-1.1105492091</v>
      </c>
      <c r="AH3637">
        <v>43.973506736820198</v>
      </c>
      <c r="AI3637">
        <v>91.444678493199305</v>
      </c>
      <c r="AJ3637">
        <v>93.026285651646504</v>
      </c>
      <c r="AK3637">
        <v>44.0489186319328</v>
      </c>
      <c r="AL3637">
        <v>78.747985725287407</v>
      </c>
      <c r="AM3637">
        <v>92.994400154424795</v>
      </c>
      <c r="AN3637">
        <v>0.99999998916629596</v>
      </c>
    </row>
    <row r="3638" spans="1:40" x14ac:dyDescent="0.25">
      <c r="A3638" t="str">
        <f>"20190304155445097"</f>
        <v>20190304155445097</v>
      </c>
      <c r="B3638" t="str">
        <f>"1551686085091205"</f>
        <v>1551686085091205</v>
      </c>
      <c r="C3638" t="s">
        <v>40</v>
      </c>
      <c r="D3638">
        <v>4.5220900000000004</v>
      </c>
      <c r="E3638">
        <v>0.47033170000000002</v>
      </c>
      <c r="F3638" t="s">
        <v>46</v>
      </c>
      <c r="G3638">
        <v>-393.09859999999998</v>
      </c>
      <c r="H3638" s="1">
        <v>-3.28525E-6</v>
      </c>
      <c r="I3638">
        <v>137.6865</v>
      </c>
      <c r="J3638">
        <v>-358.4622</v>
      </c>
      <c r="K3638">
        <v>1.110536</v>
      </c>
      <c r="L3638">
        <v>142.2139</v>
      </c>
      <c r="M3638">
        <v>-0.99983860000000002</v>
      </c>
      <c r="N3638">
        <v>-1.3269970000000001E-2</v>
      </c>
      <c r="O3638">
        <v>-1.212089E-2</v>
      </c>
      <c r="P3638">
        <v>-0.98137929999999995</v>
      </c>
      <c r="Q3638">
        <v>0.181312</v>
      </c>
      <c r="R3638">
        <v>-6.3411439999999999E-2</v>
      </c>
      <c r="S3638">
        <v>-3.0498959999999999</v>
      </c>
      <c r="T3638">
        <v>-9.7039940000000005E-2</v>
      </c>
      <c r="U3638">
        <v>-0.3958893</v>
      </c>
      <c r="V3638">
        <v>-5.157105E-2</v>
      </c>
      <c r="W3638">
        <v>0.19431200000000001</v>
      </c>
      <c r="X3638">
        <v>0.97958319999999999</v>
      </c>
      <c r="Y3638">
        <v>-0.1166132</v>
      </c>
      <c r="Z3638">
        <v>-2.4005469999999998E-3</v>
      </c>
      <c r="AA3638">
        <v>0.99317449999999996</v>
      </c>
      <c r="AB3638">
        <v>29</v>
      </c>
      <c r="AC3638">
        <v>-34.636399999999902</v>
      </c>
      <c r="AD3638">
        <v>-1.11053928525</v>
      </c>
      <c r="AE3638">
        <v>-4.5274000000000001</v>
      </c>
      <c r="AF3638">
        <v>-4.1030592642553696</v>
      </c>
      <c r="AG3638">
        <v>-1.11053928525</v>
      </c>
      <c r="AH3638">
        <v>34.653709758522503</v>
      </c>
      <c r="AI3638">
        <v>91.822792496297595</v>
      </c>
      <c r="AJ3638">
        <v>96.752482365721704</v>
      </c>
      <c r="AK3638">
        <v>34.913435706873599</v>
      </c>
      <c r="AL3638">
        <v>78.795464485178101</v>
      </c>
      <c r="AM3638">
        <v>93.013606403362701</v>
      </c>
      <c r="AN3638">
        <v>0.999999986132171</v>
      </c>
    </row>
    <row r="3639" spans="1:40" x14ac:dyDescent="0.25">
      <c r="A3639" t="str">
        <f>"20190304155445118"</f>
        <v>20190304155445118</v>
      </c>
      <c r="B3639" t="str">
        <f>"1551686085110725"</f>
        <v>1551686085110725</v>
      </c>
      <c r="C3639" t="s">
        <v>40</v>
      </c>
      <c r="D3639">
        <v>4.5074519999999998</v>
      </c>
      <c r="E3639">
        <v>0.4694545</v>
      </c>
      <c r="F3639" t="s">
        <v>46</v>
      </c>
      <c r="G3639">
        <v>-399.9468</v>
      </c>
      <c r="H3639" s="1">
        <v>-8.1908869999999895E-7</v>
      </c>
      <c r="I3639">
        <v>136.55340000000001</v>
      </c>
      <c r="J3639">
        <v>-358.74299999999999</v>
      </c>
      <c r="K3639">
        <v>1.1105259999999999</v>
      </c>
      <c r="L3639">
        <v>142.21029999999999</v>
      </c>
      <c r="M3639">
        <v>-0.99983699999999998</v>
      </c>
      <c r="N3639">
        <v>-1.3218870000000001E-2</v>
      </c>
      <c r="O3639">
        <v>-1.2299350000000001E-2</v>
      </c>
      <c r="P3639">
        <v>-0.9814079</v>
      </c>
      <c r="Q3639">
        <v>0.1808409</v>
      </c>
      <c r="R3639">
        <v>-6.4306769999999999E-2</v>
      </c>
      <c r="S3639">
        <v>-3.0451350000000001</v>
      </c>
      <c r="T3639">
        <v>-8.1518049999999995E-2</v>
      </c>
      <c r="U3639">
        <v>-0.4154968</v>
      </c>
      <c r="V3639">
        <v>-5.2290250000000003E-2</v>
      </c>
      <c r="W3639">
        <v>0.1937913</v>
      </c>
      <c r="X3639">
        <v>0.97964819999999997</v>
      </c>
      <c r="Y3639">
        <v>-0.1229319</v>
      </c>
      <c r="Z3639">
        <v>-2.2883299999999999E-3</v>
      </c>
      <c r="AA3639">
        <v>0.99241239999999997</v>
      </c>
      <c r="AB3639">
        <v>29</v>
      </c>
      <c r="AC3639">
        <v>-41.203799999999902</v>
      </c>
      <c r="AD3639">
        <v>-1.1105268190886901</v>
      </c>
      <c r="AE3639">
        <v>-5.6568999999999701</v>
      </c>
      <c r="AF3639">
        <v>-5.1459788572359599</v>
      </c>
      <c r="AG3639">
        <v>-1.1105268190886901</v>
      </c>
      <c r="AH3639">
        <v>41.240861404467601</v>
      </c>
      <c r="AI3639">
        <v>91.530614266851003</v>
      </c>
      <c r="AJ3639">
        <v>97.112528492074802</v>
      </c>
      <c r="AK3639">
        <v>41.575509829676697</v>
      </c>
      <c r="AL3639">
        <v>78.825876273929197</v>
      </c>
      <c r="AM3639">
        <v>93.055352135790798</v>
      </c>
      <c r="AN3639">
        <v>0.999999966981995</v>
      </c>
    </row>
    <row r="3640" spans="1:40" x14ac:dyDescent="0.25">
      <c r="A3640" t="str">
        <f>"20190304155445140"</f>
        <v>20190304155445140</v>
      </c>
      <c r="B3640" t="str">
        <f>"1551686085131221"</f>
        <v>1551686085131221</v>
      </c>
      <c r="C3640" t="s">
        <v>40</v>
      </c>
      <c r="D3640">
        <v>4.5095280000000004</v>
      </c>
      <c r="E3640">
        <v>0.46917110000000001</v>
      </c>
      <c r="F3640" t="s">
        <v>62</v>
      </c>
      <c r="G3640">
        <v>-404.0301</v>
      </c>
      <c r="H3640" s="1">
        <v>-5.4053980000000003E-6</v>
      </c>
      <c r="I3640">
        <v>135.87299999999999</v>
      </c>
      <c r="J3640">
        <v>-359.03469999999999</v>
      </c>
      <c r="K3640">
        <v>1.110525</v>
      </c>
      <c r="L3640">
        <v>142.20650000000001</v>
      </c>
      <c r="M3640">
        <v>-0.99983540000000004</v>
      </c>
      <c r="N3640">
        <v>-1.3171840000000001E-2</v>
      </c>
      <c r="O3640">
        <v>-1.2482969999999999E-2</v>
      </c>
      <c r="P3640">
        <v>-0.98145780000000005</v>
      </c>
      <c r="Q3640">
        <v>0.18022920000000001</v>
      </c>
      <c r="R3640">
        <v>-6.5254499999999993E-2</v>
      </c>
      <c r="S3640">
        <v>-3.042694</v>
      </c>
      <c r="T3640">
        <v>-7.4613090000000007E-2</v>
      </c>
      <c r="U3640">
        <v>-0.42578129999999997</v>
      </c>
      <c r="V3640">
        <v>-5.3057269999999997E-2</v>
      </c>
      <c r="W3640">
        <v>0.19313449999999999</v>
      </c>
      <c r="X3640">
        <v>0.97973670000000002</v>
      </c>
      <c r="Y3640">
        <v>-0.12615419999999999</v>
      </c>
      <c r="Z3640">
        <v>-2.2333019999999999E-3</v>
      </c>
      <c r="AA3640">
        <v>0.99200809999999995</v>
      </c>
      <c r="AB3640">
        <v>29</v>
      </c>
      <c r="AC3640">
        <v>-44.995399999999997</v>
      </c>
      <c r="AD3640">
        <v>-1.1105304053980001</v>
      </c>
      <c r="AE3640">
        <v>-6.3335000000000097</v>
      </c>
      <c r="AF3640">
        <v>-5.7678362997605701</v>
      </c>
      <c r="AG3640">
        <v>-1.1105304053980001</v>
      </c>
      <c r="AH3640">
        <v>45.044055772956703</v>
      </c>
      <c r="AI3640">
        <v>91.400868820179994</v>
      </c>
      <c r="AJ3640">
        <v>97.296946016073605</v>
      </c>
      <c r="AK3640">
        <v>45.4254133040018</v>
      </c>
      <c r="AL3640">
        <v>78.8642332215328</v>
      </c>
      <c r="AM3640">
        <v>93.099803321882504</v>
      </c>
      <c r="AN3640">
        <v>1.0000000051584901</v>
      </c>
    </row>
    <row r="3641" spans="1:40" x14ac:dyDescent="0.25">
      <c r="A3641" t="str">
        <f>"20190304155445163"</f>
        <v>20190304155445163</v>
      </c>
      <c r="B3641" t="str">
        <f>"1551686085161476"</f>
        <v>1551686085161476</v>
      </c>
      <c r="C3641" t="s">
        <v>40</v>
      </c>
      <c r="D3641">
        <v>4.5079949999999904</v>
      </c>
      <c r="E3641">
        <v>0.46896870000000002</v>
      </c>
      <c r="F3641" t="s">
        <v>62</v>
      </c>
      <c r="G3641">
        <v>-406.37099999999998</v>
      </c>
      <c r="H3641" s="1">
        <v>-6.6046920000000003E-6</v>
      </c>
      <c r="I3641">
        <v>135.4958</v>
      </c>
      <c r="J3641">
        <v>-359.3184</v>
      </c>
      <c r="K3641">
        <v>1.1105210000000001</v>
      </c>
      <c r="L3641">
        <v>142.20269999999999</v>
      </c>
      <c r="M3641">
        <v>-0.99983370000000005</v>
      </c>
      <c r="N3641">
        <v>-1.313198E-2</v>
      </c>
      <c r="O3641">
        <v>-1.2661159999999999E-2</v>
      </c>
      <c r="P3641">
        <v>-0.98143040000000004</v>
      </c>
      <c r="Q3641">
        <v>0.180035</v>
      </c>
      <c r="R3641">
        <v>-6.619709E-2</v>
      </c>
      <c r="S3641">
        <v>-3.0411069999999998</v>
      </c>
      <c r="T3641">
        <v>-7.1345809999999996E-2</v>
      </c>
      <c r="U3641">
        <v>-0.4311218</v>
      </c>
      <c r="V3641">
        <v>-5.3824530000000002E-2</v>
      </c>
      <c r="W3641">
        <v>0.19290099999999999</v>
      </c>
      <c r="X3641">
        <v>0.97974090000000003</v>
      </c>
      <c r="Y3641">
        <v>-0.12775980000000001</v>
      </c>
      <c r="Z3641">
        <v>-2.2042820000000001E-3</v>
      </c>
      <c r="AA3641">
        <v>0.99180270000000004</v>
      </c>
      <c r="AB3641">
        <v>29</v>
      </c>
      <c r="AC3641">
        <v>-47.052599999999899</v>
      </c>
      <c r="AD3641">
        <v>-1.1105276046919901</v>
      </c>
      <c r="AE3641">
        <v>-6.7068999999999903</v>
      </c>
      <c r="AF3641">
        <v>-6.1072362244502001</v>
      </c>
      <c r="AG3641">
        <v>-1.1105276046919901</v>
      </c>
      <c r="AH3641">
        <v>47.108033448725301</v>
      </c>
      <c r="AI3641">
        <v>91.339240496110804</v>
      </c>
      <c r="AJ3641">
        <v>97.386807852262393</v>
      </c>
      <c r="AK3641">
        <v>47.515244093535301</v>
      </c>
      <c r="AL3641">
        <v>78.877868732253702</v>
      </c>
      <c r="AM3641">
        <v>93.144526735045901</v>
      </c>
      <c r="AN3641">
        <v>1.0000000534817599</v>
      </c>
    </row>
    <row r="3642" spans="1:40" x14ac:dyDescent="0.25">
      <c r="A3642" t="str">
        <f>"20190304155445185"</f>
        <v>20190304155445185</v>
      </c>
      <c r="B3642" t="str">
        <f>"1551686085180997"</f>
        <v>1551686085180997</v>
      </c>
      <c r="C3642" t="s">
        <v>40</v>
      </c>
      <c r="D3642">
        <v>4.5107540000000004</v>
      </c>
      <c r="E3642">
        <v>0.46911399999999998</v>
      </c>
      <c r="F3642" t="s">
        <v>62</v>
      </c>
      <c r="G3642">
        <v>-409.03210000000001</v>
      </c>
      <c r="H3642" s="1">
        <v>-8.1191520000000005E-6</v>
      </c>
      <c r="I3642">
        <v>135.0823</v>
      </c>
      <c r="J3642">
        <v>-359.61070000000001</v>
      </c>
      <c r="K3642">
        <v>1.1105240000000001</v>
      </c>
      <c r="L3642">
        <v>142.1987</v>
      </c>
      <c r="M3642">
        <v>-0.99983169999999999</v>
      </c>
      <c r="N3642">
        <v>-1.3096139999999999E-2</v>
      </c>
      <c r="O3642">
        <v>-1.284533E-2</v>
      </c>
      <c r="P3642">
        <v>-0.98138559999999997</v>
      </c>
      <c r="Q3642">
        <v>0.17999129999999899</v>
      </c>
      <c r="R3642">
        <v>-6.6971169999999997E-2</v>
      </c>
      <c r="S3642">
        <v>-3.0398559999999999</v>
      </c>
      <c r="T3642">
        <v>-6.7905779999999999E-2</v>
      </c>
      <c r="U3642">
        <v>-0.43539430000000001</v>
      </c>
      <c r="V3642">
        <v>-5.4418710000000002E-2</v>
      </c>
      <c r="W3642">
        <v>0.19282150000000001</v>
      </c>
      <c r="X3642">
        <v>0.97972369999999998</v>
      </c>
      <c r="Y3642">
        <v>-0.12900349999999999</v>
      </c>
      <c r="Z3642">
        <v>-2.164624E-3</v>
      </c>
      <c r="AA3642">
        <v>0.99164180000000002</v>
      </c>
      <c r="AB3642">
        <v>29</v>
      </c>
      <c r="AC3642">
        <v>-49.421399999999998</v>
      </c>
      <c r="AD3642">
        <v>-1.1105321191519999</v>
      </c>
      <c r="AE3642">
        <v>-7.1163999999999898</v>
      </c>
      <c r="AF3642">
        <v>-6.4777197430016198</v>
      </c>
      <c r="AG3642">
        <v>-1.1105321191519999</v>
      </c>
      <c r="AH3642">
        <v>49.484263556082396</v>
      </c>
      <c r="AI3642">
        <v>91.274751289028003</v>
      </c>
      <c r="AJ3642">
        <v>97.457876912619199</v>
      </c>
      <c r="AK3642">
        <v>49.918798807106498</v>
      </c>
      <c r="AL3642">
        <v>78.882510606925905</v>
      </c>
      <c r="AM3642">
        <v>93.179224689511898</v>
      </c>
      <c r="AN3642">
        <v>1.0000000276009999</v>
      </c>
    </row>
    <row r="3643" spans="1:40" x14ac:dyDescent="0.25">
      <c r="A3643" t="str">
        <f>"20190304155445209"</f>
        <v>20190304155445209</v>
      </c>
      <c r="B3643" t="str">
        <f>"1551686085201493"</f>
        <v>1551686085201493</v>
      </c>
      <c r="C3643" t="s">
        <v>40</v>
      </c>
      <c r="D3643">
        <v>4.4924350000000004</v>
      </c>
      <c r="E3643">
        <v>0.46909699999999999</v>
      </c>
      <c r="F3643" t="s">
        <v>62</v>
      </c>
      <c r="G3643">
        <v>-410.74380000000002</v>
      </c>
      <c r="H3643" s="1">
        <v>-8.523961E-6</v>
      </c>
      <c r="I3643">
        <v>134.84799999999899</v>
      </c>
      <c r="J3643">
        <v>-359.91149999999999</v>
      </c>
      <c r="K3643">
        <v>1.1105229999999999</v>
      </c>
      <c r="L3643">
        <v>142.19460000000001</v>
      </c>
      <c r="M3643">
        <v>-0.99982959999999999</v>
      </c>
      <c r="N3643">
        <v>-1.306389E-2</v>
      </c>
      <c r="O3643">
        <v>-1.3035720000000001E-2</v>
      </c>
      <c r="P3643">
        <v>-0.98121510000000001</v>
      </c>
      <c r="Q3643">
        <v>0.18077270000000001</v>
      </c>
      <c r="R3643">
        <v>-6.7367189999999993E-2</v>
      </c>
      <c r="S3643">
        <v>-3.0391849999999998</v>
      </c>
      <c r="T3643">
        <v>-6.6006540000000002E-2</v>
      </c>
      <c r="U3643">
        <v>-0.43690489999999998</v>
      </c>
      <c r="V3643">
        <v>-5.4629610000000002E-2</v>
      </c>
      <c r="W3643">
        <v>0.19356960000000001</v>
      </c>
      <c r="X3643">
        <v>0.9795644</v>
      </c>
      <c r="Y3643">
        <v>-0.12933049999999999</v>
      </c>
      <c r="Z3643">
        <v>-2.1342869999999999E-3</v>
      </c>
      <c r="AA3643">
        <v>0.99159929999999996</v>
      </c>
      <c r="AB3643">
        <v>29</v>
      </c>
      <c r="AC3643">
        <v>-50.832299999999996</v>
      </c>
      <c r="AD3643">
        <v>-1.1105315239610001</v>
      </c>
      <c r="AE3643">
        <v>-7.34660000000002</v>
      </c>
      <c r="AF3643">
        <v>-6.6801602856945799</v>
      </c>
      <c r="AG3643">
        <v>-1.1105315239610001</v>
      </c>
      <c r="AH3643">
        <v>50.899959543834797</v>
      </c>
      <c r="AI3643">
        <v>91.239253103898704</v>
      </c>
      <c r="AJ3643">
        <v>97.476821932824706</v>
      </c>
      <c r="AK3643">
        <v>51.348453757365498</v>
      </c>
      <c r="AL3643">
        <v>78.838824279025204</v>
      </c>
      <c r="AM3643">
        <v>93.192038312533299</v>
      </c>
      <c r="AN3643">
        <v>0.99999999904013603</v>
      </c>
    </row>
    <row r="3644" spans="1:40" x14ac:dyDescent="0.25">
      <c r="A3644" t="str">
        <f>"20190304155445230"</f>
        <v>20190304155445230</v>
      </c>
      <c r="B3644" t="str">
        <f>"1551686085221013"</f>
        <v>1551686085221013</v>
      </c>
      <c r="C3644" t="s">
        <v>40</v>
      </c>
      <c r="D3644">
        <v>4.5183410000000004</v>
      </c>
      <c r="E3644">
        <v>0.46912949999999998</v>
      </c>
      <c r="F3644" t="s">
        <v>62</v>
      </c>
      <c r="G3644">
        <v>-413.36360000000002</v>
      </c>
      <c r="H3644" s="1">
        <v>-8.1336070000000003E-6</v>
      </c>
      <c r="I3644">
        <v>134.48140000000001</v>
      </c>
      <c r="J3644">
        <v>-360.18540000000002</v>
      </c>
      <c r="K3644">
        <v>1.110527</v>
      </c>
      <c r="L3644">
        <v>142.1909</v>
      </c>
      <c r="M3644">
        <v>-0.99982789999999999</v>
      </c>
      <c r="N3644">
        <v>-1.303814E-2</v>
      </c>
      <c r="O3644">
        <v>-1.32097E-2</v>
      </c>
      <c r="P3644">
        <v>-0.98113989999999995</v>
      </c>
      <c r="Q3644">
        <v>0.18095919999999999</v>
      </c>
      <c r="R3644">
        <v>-6.7961859999999999E-2</v>
      </c>
      <c r="S3644">
        <v>-3.0389400000000002</v>
      </c>
      <c r="T3644">
        <v>-6.3137650000000003E-2</v>
      </c>
      <c r="U3644">
        <v>-0.43852229999999998</v>
      </c>
      <c r="V3644">
        <v>-5.5054289999999999E-2</v>
      </c>
      <c r="W3644">
        <v>0.19372909999999999</v>
      </c>
      <c r="X3644">
        <v>0.97950910000000002</v>
      </c>
      <c r="Y3644">
        <v>-0.12968930000000001</v>
      </c>
      <c r="Z3644">
        <v>-2.08859E-3</v>
      </c>
      <c r="AA3644">
        <v>0.99155249999999995</v>
      </c>
      <c r="AB3644">
        <v>29</v>
      </c>
      <c r="AC3644">
        <v>-53.178199999999997</v>
      </c>
      <c r="AD3644">
        <v>-1.110535133607</v>
      </c>
      <c r="AE3644">
        <v>-7.7094999999999896</v>
      </c>
      <c r="AF3644">
        <v>-7.0033081953522096</v>
      </c>
      <c r="AG3644">
        <v>-1.110535133607</v>
      </c>
      <c r="AH3644">
        <v>53.252662118275602</v>
      </c>
      <c r="AI3644">
        <v>91.184481423264899</v>
      </c>
      <c r="AJ3644">
        <v>97.492027957524499</v>
      </c>
      <c r="AK3644">
        <v>53.722673394436399</v>
      </c>
      <c r="AL3644">
        <v>78.829509378170002</v>
      </c>
      <c r="AM3644">
        <v>93.216981916789706</v>
      </c>
      <c r="AN3644">
        <v>1.0000000080085101</v>
      </c>
    </row>
    <row r="3645" spans="1:40" x14ac:dyDescent="0.25">
      <c r="A3645" t="str">
        <f>"20190304155445254"</f>
        <v>20190304155445254</v>
      </c>
      <c r="B3645" t="str">
        <f>"1551686085251270"</f>
        <v>1551686085251270</v>
      </c>
      <c r="C3645" t="s">
        <v>40</v>
      </c>
      <c r="D3645">
        <v>4.5357589999999997</v>
      </c>
      <c r="E3645">
        <v>0.46916150000000001</v>
      </c>
      <c r="F3645" t="s">
        <v>62</v>
      </c>
      <c r="G3645">
        <v>-414.2244</v>
      </c>
      <c r="H3645" s="1">
        <v>-8.0113999999999992E-6</v>
      </c>
      <c r="I3645">
        <v>134.3749</v>
      </c>
      <c r="J3645">
        <v>-360.48379999999997</v>
      </c>
      <c r="K3645">
        <v>1.1105229999999999</v>
      </c>
      <c r="L3645">
        <v>142.1867</v>
      </c>
      <c r="M3645">
        <v>-0.99982570000000004</v>
      </c>
      <c r="N3645">
        <v>-1.301357E-2</v>
      </c>
      <c r="O3645">
        <v>-1.339836E-2</v>
      </c>
      <c r="P3645">
        <v>-0.98098790000000002</v>
      </c>
      <c r="Q3645">
        <v>0.1815995</v>
      </c>
      <c r="R3645">
        <v>-6.8445279999999997E-2</v>
      </c>
      <c r="S3645">
        <v>-3.0387569999999999</v>
      </c>
      <c r="T3645">
        <v>-6.2448259999999998E-2</v>
      </c>
      <c r="U3645">
        <v>-0.43951420000000002</v>
      </c>
      <c r="V3645">
        <v>-5.5354760000000003E-2</v>
      </c>
      <c r="W3645">
        <v>0.19434380000000001</v>
      </c>
      <c r="X3645">
        <v>0.97937039999999997</v>
      </c>
      <c r="Y3645">
        <v>-0.12982850000000001</v>
      </c>
      <c r="Z3645">
        <v>-2.075988E-3</v>
      </c>
      <c r="AA3645">
        <v>0.99153429999999998</v>
      </c>
      <c r="AB3645">
        <v>29</v>
      </c>
      <c r="AC3645">
        <v>-53.740600000000001</v>
      </c>
      <c r="AD3645">
        <v>-1.1105310114</v>
      </c>
      <c r="AE3645">
        <v>-7.8117999999999999</v>
      </c>
      <c r="AF3645">
        <v>-7.0880377444707303</v>
      </c>
      <c r="AG3645">
        <v>-1.1105310114</v>
      </c>
      <c r="AH3645">
        <v>53.817943259263203</v>
      </c>
      <c r="AI3645">
        <v>91.172010005474206</v>
      </c>
      <c r="AJ3645">
        <v>97.502899892334696</v>
      </c>
      <c r="AK3645">
        <v>54.294056533395903</v>
      </c>
      <c r="AL3645">
        <v>78.793607469133306</v>
      </c>
      <c r="AM3645">
        <v>93.234959175493302</v>
      </c>
      <c r="AN3645">
        <v>1.0000000212246201</v>
      </c>
    </row>
    <row r="3646" spans="1:40" x14ac:dyDescent="0.25">
      <c r="A3646" t="str">
        <f>"20190304155445275"</f>
        <v>20190304155445275</v>
      </c>
      <c r="B3646" t="str">
        <f>"1551686085270789"</f>
        <v>1551686085270789</v>
      </c>
      <c r="C3646" t="s">
        <v>40</v>
      </c>
      <c r="D3646">
        <v>4.5252189999999999</v>
      </c>
      <c r="E3646">
        <v>0.46907219999999999</v>
      </c>
      <c r="F3646" t="s">
        <v>62</v>
      </c>
      <c r="G3646">
        <v>-415.57029999999997</v>
      </c>
      <c r="H3646" s="1">
        <v>-7.8474769999999994E-6</v>
      </c>
      <c r="I3646">
        <v>134.2002</v>
      </c>
      <c r="J3646">
        <v>-360.76690000000002</v>
      </c>
      <c r="K3646">
        <v>1.1105259999999999</v>
      </c>
      <c r="L3646">
        <v>142.18270000000001</v>
      </c>
      <c r="M3646">
        <v>-0.99982349999999998</v>
      </c>
      <c r="N3646">
        <v>-1.299316E-2</v>
      </c>
      <c r="O3646">
        <v>-1.357678E-2</v>
      </c>
      <c r="P3646">
        <v>-0.98092769999999996</v>
      </c>
      <c r="Q3646">
        <v>0.18175160000000001</v>
      </c>
      <c r="R3646">
        <v>-6.8900260000000005E-2</v>
      </c>
      <c r="S3646">
        <v>-3.0387879999999998</v>
      </c>
      <c r="T3646">
        <v>-6.1261299999999998E-2</v>
      </c>
      <c r="U3646">
        <v>-0.44056699999999999</v>
      </c>
      <c r="V3646">
        <v>-5.5634870000000003E-2</v>
      </c>
      <c r="W3646">
        <v>0.1944757</v>
      </c>
      <c r="X3646">
        <v>0.97932830000000004</v>
      </c>
      <c r="Y3646">
        <v>-0.12998789999999999</v>
      </c>
      <c r="Z3646">
        <v>-2.0557180000000002E-3</v>
      </c>
      <c r="AA3646">
        <v>0.99151339999999999</v>
      </c>
      <c r="AB3646">
        <v>29</v>
      </c>
      <c r="AC3646">
        <v>-54.803399999999897</v>
      </c>
      <c r="AD3646">
        <v>-1.1105338474769999</v>
      </c>
      <c r="AE3646">
        <v>-7.9825000000000097</v>
      </c>
      <c r="AF3646">
        <v>-7.2347386197010897</v>
      </c>
      <c r="AG3646">
        <v>-1.1105338474769999</v>
      </c>
      <c r="AH3646">
        <v>54.884664806904702</v>
      </c>
      <c r="AI3646">
        <v>91.149223447008396</v>
      </c>
      <c r="AJ3646">
        <v>97.509271452368694</v>
      </c>
      <c r="AK3646">
        <v>55.370580268659602</v>
      </c>
      <c r="AL3646">
        <v>78.7859026689583</v>
      </c>
      <c r="AM3646">
        <v>93.251433378771495</v>
      </c>
      <c r="AN3646">
        <v>0.99999997791564799</v>
      </c>
    </row>
    <row r="3647" spans="1:40" x14ac:dyDescent="0.25">
      <c r="A3647" t="str">
        <f>"20190304155445298"</f>
        <v>20190304155445298</v>
      </c>
      <c r="B3647" t="str">
        <f>"1551686085291285"</f>
        <v>1551686085291285</v>
      </c>
      <c r="C3647" t="s">
        <v>40</v>
      </c>
      <c r="D3647">
        <v>4.5243929999999999</v>
      </c>
      <c r="E3647">
        <v>0.4690838</v>
      </c>
      <c r="F3647" t="s">
        <v>62</v>
      </c>
      <c r="G3647">
        <v>-416.00909999999999</v>
      </c>
      <c r="H3647" s="1">
        <v>-7.7882870000000007E-6</v>
      </c>
      <c r="I3647">
        <v>134.1174</v>
      </c>
      <c r="J3647">
        <v>-361.05329999999998</v>
      </c>
      <c r="K3647">
        <v>1.1105229999999999</v>
      </c>
      <c r="L3647">
        <v>142.17859999999999</v>
      </c>
      <c r="M3647">
        <v>-0.99982130000000002</v>
      </c>
      <c r="N3647">
        <v>-1.2974950000000001E-2</v>
      </c>
      <c r="O3647">
        <v>-1.375557E-2</v>
      </c>
      <c r="P3647">
        <v>-0.98088690000000001</v>
      </c>
      <c r="Q3647">
        <v>0.18185670000000001</v>
      </c>
      <c r="R3647">
        <v>-6.9204570000000007E-2</v>
      </c>
      <c r="S3647">
        <v>-3.038513</v>
      </c>
      <c r="T3647">
        <v>-6.1083199999999997E-2</v>
      </c>
      <c r="U3647">
        <v>-0.44361879999999998</v>
      </c>
      <c r="V3647">
        <v>-5.5763710000000001E-2</v>
      </c>
      <c r="W3647">
        <v>0.19456219999999999</v>
      </c>
      <c r="X3647">
        <v>0.97930379999999995</v>
      </c>
      <c r="Y3647">
        <v>-0.13079839999999901</v>
      </c>
      <c r="Z3647">
        <v>-2.0634780000000001E-3</v>
      </c>
      <c r="AA3647">
        <v>0.99140689999999998</v>
      </c>
      <c r="AB3647">
        <v>29</v>
      </c>
      <c r="AC3647">
        <v>-54.955800000000004</v>
      </c>
      <c r="AD3647">
        <v>-1.1105307882869999</v>
      </c>
      <c r="AE3647">
        <v>-8.0611999999999799</v>
      </c>
      <c r="AF3647">
        <v>-7.30150648474826</v>
      </c>
      <c r="AG3647">
        <v>-1.1105307882869999</v>
      </c>
      <c r="AH3647">
        <v>55.039493303373497</v>
      </c>
      <c r="AI3647">
        <v>91.145862930186198</v>
      </c>
      <c r="AJ3647">
        <v>97.556701295168196</v>
      </c>
      <c r="AK3647">
        <v>55.532793002609203</v>
      </c>
      <c r="AL3647">
        <v>78.780850174699296</v>
      </c>
      <c r="AM3647">
        <v>93.259028237723101</v>
      </c>
      <c r="AN3647">
        <v>0.99999998685812097</v>
      </c>
    </row>
    <row r="3648" spans="1:40" x14ac:dyDescent="0.25">
      <c r="A3648" t="str">
        <f>"20190304155445319"</f>
        <v>20190304155445319</v>
      </c>
      <c r="B3648" t="str">
        <f>"1551686085310805"</f>
        <v>1551686085310805</v>
      </c>
      <c r="C3648" t="s">
        <v>40</v>
      </c>
      <c r="D3648">
        <v>4.5317679999999996</v>
      </c>
      <c r="E3648">
        <v>0.4689972</v>
      </c>
      <c r="F3648" t="s">
        <v>62</v>
      </c>
      <c r="G3648">
        <v>-415.97820000000002</v>
      </c>
      <c r="H3648" s="1">
        <v>-7.8043859999999994E-6</v>
      </c>
      <c r="I3648">
        <v>134.1525</v>
      </c>
      <c r="J3648">
        <v>-361.33510000000001</v>
      </c>
      <c r="K3648">
        <v>1.110519</v>
      </c>
      <c r="L3648">
        <v>142.17449999999999</v>
      </c>
      <c r="M3648">
        <v>-0.99981909999999896</v>
      </c>
      <c r="N3648">
        <v>-1.295926E-2</v>
      </c>
      <c r="O3648">
        <v>-1.392756E-2</v>
      </c>
      <c r="P3648">
        <v>-0.9808829</v>
      </c>
      <c r="Q3648">
        <v>0.1816421</v>
      </c>
      <c r="R3648">
        <v>-6.9821579999999994E-2</v>
      </c>
      <c r="S3648">
        <v>-3.0385439999999999</v>
      </c>
      <c r="T3648">
        <v>-6.1436530000000003E-2</v>
      </c>
      <c r="U3648">
        <v>-0.44401550000000001</v>
      </c>
      <c r="V3648">
        <v>-5.6210870000000003E-2</v>
      </c>
      <c r="W3648">
        <v>0.19433300000000001</v>
      </c>
      <c r="X3648">
        <v>0.97932370000000002</v>
      </c>
      <c r="Y3648">
        <v>-0.1307528</v>
      </c>
      <c r="Z3648">
        <v>-2.0661970000000001E-3</v>
      </c>
      <c r="AA3648">
        <v>0.99141279999999998</v>
      </c>
      <c r="AB3648">
        <v>29</v>
      </c>
      <c r="AC3648">
        <v>-54.643099999999997</v>
      </c>
      <c r="AD3648">
        <v>-1.1105268043859999</v>
      </c>
      <c r="AE3648">
        <v>-8.0219999999999896</v>
      </c>
      <c r="AF3648">
        <v>-7.2571786472076703</v>
      </c>
      <c r="AG3648">
        <v>-1.1105268043859999</v>
      </c>
      <c r="AH3648">
        <v>54.727407897983902</v>
      </c>
      <c r="AI3648">
        <v>91.152399403467001</v>
      </c>
      <c r="AJ3648">
        <v>97.553690138417096</v>
      </c>
      <c r="AK3648">
        <v>55.217651950558903</v>
      </c>
      <c r="AL3648">
        <v>78.794237403518906</v>
      </c>
      <c r="AM3648">
        <v>93.285038230434495</v>
      </c>
      <c r="AN3648">
        <v>0.99999994308842099</v>
      </c>
    </row>
    <row r="3649" spans="1:40" x14ac:dyDescent="0.25">
      <c r="A3649" t="str">
        <f>"20190304155445343"</f>
        <v>20190304155445343</v>
      </c>
      <c r="B3649" t="str">
        <f>"1551686085331301"</f>
        <v>1551686085331301</v>
      </c>
      <c r="C3649" t="s">
        <v>40</v>
      </c>
      <c r="D3649">
        <v>4.5006830000000004</v>
      </c>
      <c r="E3649">
        <v>0.46893620000000003</v>
      </c>
      <c r="F3649" t="s">
        <v>62</v>
      </c>
      <c r="G3649">
        <v>-415.17669999999998</v>
      </c>
      <c r="H3649" s="1">
        <v>-7.9005769999999905E-6</v>
      </c>
      <c r="I3649">
        <v>134.27449999999999</v>
      </c>
      <c r="J3649">
        <v>-361.62849999999997</v>
      </c>
      <c r="K3649">
        <v>1.1105020000000001</v>
      </c>
      <c r="L3649">
        <v>142.17019999999999</v>
      </c>
      <c r="M3649">
        <v>-0.99981679999999995</v>
      </c>
      <c r="N3649">
        <v>-1.294497E-2</v>
      </c>
      <c r="O3649">
        <v>-1.4096529999999999E-2</v>
      </c>
      <c r="P3649">
        <v>-0.98088280000000005</v>
      </c>
      <c r="Q3649">
        <v>0.18148239999999999</v>
      </c>
      <c r="R3649">
        <v>-7.023712E-2</v>
      </c>
      <c r="S3649">
        <v>-3.0383</v>
      </c>
      <c r="T3649">
        <v>-6.266737E-2</v>
      </c>
      <c r="U3649">
        <v>-0.4458008</v>
      </c>
      <c r="V3649">
        <v>-5.6457540000000001E-2</v>
      </c>
      <c r="W3649">
        <v>0.1941599</v>
      </c>
      <c r="X3649">
        <v>0.97934390000000004</v>
      </c>
      <c r="Y3649">
        <v>-0.13116549999999999</v>
      </c>
      <c r="Z3649">
        <v>-2.0914890000000002E-3</v>
      </c>
      <c r="AA3649">
        <v>0.99135830000000003</v>
      </c>
      <c r="AB3649">
        <v>29</v>
      </c>
      <c r="AC3649">
        <v>-53.548200000000001</v>
      </c>
      <c r="AD3649">
        <v>-1.1105099005769901</v>
      </c>
      <c r="AE3649">
        <v>-7.8956999999999997</v>
      </c>
      <c r="AF3649">
        <v>-7.1370040436827704</v>
      </c>
      <c r="AG3649">
        <v>-1.1105099005769901</v>
      </c>
      <c r="AH3649">
        <v>53.631614435765101</v>
      </c>
      <c r="AI3649">
        <v>91.175848708328601</v>
      </c>
      <c r="AJ3649">
        <v>97.580075813381697</v>
      </c>
      <c r="AK3649">
        <v>54.115802922486402</v>
      </c>
      <c r="AL3649">
        <v>78.804348497609396</v>
      </c>
      <c r="AM3649">
        <v>93.299354271515497</v>
      </c>
      <c r="AN3649">
        <v>0.99999999752903501</v>
      </c>
    </row>
    <row r="3650" spans="1:40" x14ac:dyDescent="0.25">
      <c r="A3650" t="str">
        <f>"20190304155445364"</f>
        <v>20190304155445364</v>
      </c>
      <c r="B3650" t="str">
        <f>"1551686085360581"</f>
        <v>1551686085360581</v>
      </c>
      <c r="C3650" t="s">
        <v>40</v>
      </c>
      <c r="D3650">
        <v>4.4946089999999996</v>
      </c>
      <c r="E3650">
        <v>0.46890409999999999</v>
      </c>
      <c r="F3650" t="s">
        <v>62</v>
      </c>
      <c r="G3650">
        <v>-414.43990000000002</v>
      </c>
      <c r="H3650" s="1">
        <v>-8.0001149999999992E-6</v>
      </c>
      <c r="I3650">
        <v>134.39230000000001</v>
      </c>
      <c r="J3650">
        <v>-361.904</v>
      </c>
      <c r="K3650">
        <v>1.1104909999999999</v>
      </c>
      <c r="L3650">
        <v>142.1661</v>
      </c>
      <c r="M3650">
        <v>-0.99981489999999995</v>
      </c>
      <c r="N3650">
        <v>-1.293336E-2</v>
      </c>
      <c r="O3650">
        <v>-1.4240289999999999E-2</v>
      </c>
      <c r="P3650">
        <v>-0.98089919999999997</v>
      </c>
      <c r="Q3650">
        <v>0.1811229</v>
      </c>
      <c r="R3650">
        <v>-7.0930359999999998E-2</v>
      </c>
      <c r="S3650">
        <v>-3.0382690000000001</v>
      </c>
      <c r="T3650">
        <v>-6.3888310000000004E-2</v>
      </c>
      <c r="U3650">
        <v>-0.44746399999999997</v>
      </c>
      <c r="V3650">
        <v>-5.7004869999999999E-2</v>
      </c>
      <c r="W3650">
        <v>0.19379089999999999</v>
      </c>
      <c r="X3650">
        <v>0.97938530000000001</v>
      </c>
      <c r="Y3650">
        <v>-0.13155410000000001</v>
      </c>
      <c r="Z3650">
        <v>-2.1165709999999998E-3</v>
      </c>
      <c r="AA3650">
        <v>0.99130669999999999</v>
      </c>
      <c r="AB3650">
        <v>29</v>
      </c>
      <c r="AC3650">
        <v>-52.535899999999998</v>
      </c>
      <c r="AD3650">
        <v>-1.1104990001149999</v>
      </c>
      <c r="AE3650">
        <v>-7.7737999999999898</v>
      </c>
      <c r="AF3650">
        <v>-7.0217523755399602</v>
      </c>
      <c r="AG3650">
        <v>-1.1104990001149999</v>
      </c>
      <c r="AH3650">
        <v>52.618275812120302</v>
      </c>
      <c r="AI3650">
        <v>91.198416826015603</v>
      </c>
      <c r="AJ3650">
        <v>97.601043551653007</v>
      </c>
      <c r="AK3650">
        <v>53.096338516822598</v>
      </c>
      <c r="AL3650">
        <v>78.825900201107103</v>
      </c>
      <c r="AM3650">
        <v>93.331127809491605</v>
      </c>
      <c r="AN3650">
        <v>1.0000000169912999</v>
      </c>
    </row>
    <row r="3651" spans="1:40" x14ac:dyDescent="0.25">
      <c r="A3651" t="str">
        <f>"20190304155445387"</f>
        <v>20190304155445387</v>
      </c>
      <c r="B3651" t="str">
        <f>"1551686085381076"</f>
        <v>1551686085381076</v>
      </c>
      <c r="C3651" t="s">
        <v>40</v>
      </c>
      <c r="D3651">
        <v>4.5145099999999996</v>
      </c>
      <c r="E3651">
        <v>0.46889760000000003</v>
      </c>
      <c r="F3651" t="s">
        <v>62</v>
      </c>
      <c r="G3651">
        <v>-413.57080000000002</v>
      </c>
      <c r="H3651" s="1">
        <v>-8.1295189999999993E-6</v>
      </c>
      <c r="I3651">
        <v>134.5137</v>
      </c>
      <c r="J3651">
        <v>-362.20569999999998</v>
      </c>
      <c r="K3651">
        <v>1.110476</v>
      </c>
      <c r="L3651">
        <v>142.16159999999999</v>
      </c>
      <c r="M3651">
        <v>-0.99981319999999996</v>
      </c>
      <c r="N3651">
        <v>-1.2922319999999999E-2</v>
      </c>
      <c r="O3651">
        <v>-1.438127E-2</v>
      </c>
      <c r="P3651">
        <v>-0.980962</v>
      </c>
      <c r="Q3651">
        <v>0.18051130000000001</v>
      </c>
      <c r="R3651">
        <v>-7.1623309999999996E-2</v>
      </c>
      <c r="S3651">
        <v>-3.0379640000000001</v>
      </c>
      <c r="T3651">
        <v>-6.5296409999999999E-2</v>
      </c>
      <c r="U3651">
        <v>-0.4499512</v>
      </c>
      <c r="V3651">
        <v>-5.7551890000000001E-2</v>
      </c>
      <c r="W3651">
        <v>0.1931715</v>
      </c>
      <c r="X3651">
        <v>0.97947569999999995</v>
      </c>
      <c r="Y3651">
        <v>-0.13222110000000001</v>
      </c>
      <c r="Z3651">
        <v>-2.1497880000000001E-3</v>
      </c>
      <c r="AA3651">
        <v>0.99121789999999999</v>
      </c>
      <c r="AB3651">
        <v>29</v>
      </c>
      <c r="AC3651">
        <v>-51.365099999999998</v>
      </c>
      <c r="AD3651">
        <v>-1.110484129519</v>
      </c>
      <c r="AE3651">
        <v>-7.6478999999999902</v>
      </c>
      <c r="AF3651">
        <v>-6.9051945011232698</v>
      </c>
      <c r="AG3651">
        <v>-1.110484129519</v>
      </c>
      <c r="AH3651">
        <v>51.446258386217799</v>
      </c>
      <c r="AI3651">
        <v>91.2255690196274</v>
      </c>
      <c r="AJ3651">
        <v>97.644637444656496</v>
      </c>
      <c r="AK3651">
        <v>51.919479851417499</v>
      </c>
      <c r="AL3651">
        <v>78.862073069669705</v>
      </c>
      <c r="AM3651">
        <v>93.362710690358995</v>
      </c>
      <c r="AN3651">
        <v>1.00000004767265</v>
      </c>
    </row>
    <row r="3652" spans="1:40" x14ac:dyDescent="0.25">
      <c r="A3652" t="str">
        <f>"20190304155445410"</f>
        <v>20190304155445410</v>
      </c>
      <c r="B3652" t="str">
        <f>"1551686085400597"</f>
        <v>1551686085400597</v>
      </c>
      <c r="C3652" t="s">
        <v>40</v>
      </c>
      <c r="D3652">
        <v>4.5530689999999998</v>
      </c>
      <c r="E3652">
        <v>0.46892200000000001</v>
      </c>
      <c r="F3652" t="s">
        <v>62</v>
      </c>
      <c r="G3652">
        <v>-412.15390000000002</v>
      </c>
      <c r="H3652" s="1">
        <v>-8.3501699999999997E-6</v>
      </c>
      <c r="I3652">
        <v>134.7338</v>
      </c>
      <c r="J3652">
        <v>-362.49119999999999</v>
      </c>
      <c r="K3652">
        <v>1.1104639999999999</v>
      </c>
      <c r="L3652">
        <v>142.15729999999999</v>
      </c>
      <c r="M3652">
        <v>-0.99981160000000002</v>
      </c>
      <c r="N3652">
        <v>-1.29132E-2</v>
      </c>
      <c r="O3652">
        <v>-1.449423E-2</v>
      </c>
      <c r="P3652">
        <v>-0.98100149999999997</v>
      </c>
      <c r="Q3652">
        <v>0.1800158</v>
      </c>
      <c r="R3652">
        <v>-7.2325479999999998E-2</v>
      </c>
      <c r="S3652">
        <v>-3.0376889999999999</v>
      </c>
      <c r="T3652">
        <v>-6.7536230000000003E-2</v>
      </c>
      <c r="U3652">
        <v>-0.45173649999999999</v>
      </c>
      <c r="V3652">
        <v>-5.8135470000000002E-2</v>
      </c>
      <c r="W3652">
        <v>0.19266939999999999</v>
      </c>
      <c r="X3652">
        <v>0.97954010000000002</v>
      </c>
      <c r="Y3652">
        <v>-0.13268929999999901</v>
      </c>
      <c r="Z3652">
        <v>-2.1942340000000002E-3</v>
      </c>
      <c r="AA3652">
        <v>0.99115529999999996</v>
      </c>
      <c r="AB3652">
        <v>29</v>
      </c>
      <c r="AC3652">
        <v>-49.662700000000001</v>
      </c>
      <c r="AD3652">
        <v>-1.11047235016999</v>
      </c>
      <c r="AE3652">
        <v>-7.42349999999999</v>
      </c>
      <c r="AF3652">
        <v>-6.6995610050101702</v>
      </c>
      <c r="AG3652">
        <v>-1.11047235016999</v>
      </c>
      <c r="AH3652">
        <v>49.740763124963202</v>
      </c>
      <c r="AI3652">
        <v>91.267485686877095</v>
      </c>
      <c r="AJ3652">
        <v>97.670977954434093</v>
      </c>
      <c r="AK3652">
        <v>50.202198983252103</v>
      </c>
      <c r="AL3652">
        <v>78.891391732051602</v>
      </c>
      <c r="AM3652">
        <v>93.3965065663415</v>
      </c>
      <c r="AN3652">
        <v>1.0000000190382401</v>
      </c>
    </row>
    <row r="3653" spans="1:40" x14ac:dyDescent="0.25">
      <c r="A3653" t="str">
        <f>"20190304155445431"</f>
        <v>20190304155445431</v>
      </c>
      <c r="B3653" t="str">
        <f>"1551686085421093"</f>
        <v>1551686085421093</v>
      </c>
      <c r="C3653" t="s">
        <v>40</v>
      </c>
      <c r="D3653">
        <v>4.5120899999999997</v>
      </c>
      <c r="E3653">
        <v>0.47023219999999999</v>
      </c>
      <c r="F3653" t="s">
        <v>62</v>
      </c>
      <c r="G3653">
        <v>-411.22039999999998</v>
      </c>
      <c r="H3653" s="1">
        <v>-8.4970229999999997E-6</v>
      </c>
      <c r="I3653">
        <v>134.88220000000001</v>
      </c>
      <c r="J3653">
        <v>-362.77190000000002</v>
      </c>
      <c r="K3653">
        <v>1.110447</v>
      </c>
      <c r="L3653">
        <v>142.15309999999999</v>
      </c>
      <c r="M3653">
        <v>-0.99981039999999999</v>
      </c>
      <c r="N3653">
        <v>-1.2905150000000001E-2</v>
      </c>
      <c r="O3653">
        <v>-1.4581159999999999E-2</v>
      </c>
      <c r="P3653">
        <v>-0.98095670000000001</v>
      </c>
      <c r="Q3653">
        <v>0.1800795</v>
      </c>
      <c r="R3653">
        <v>-7.2768979999999997E-2</v>
      </c>
      <c r="S3653">
        <v>-3.0373839999999999</v>
      </c>
      <c r="T3653">
        <v>-6.9217920000000002E-2</v>
      </c>
      <c r="U3653">
        <v>-0.45347599999999999</v>
      </c>
      <c r="V3653">
        <v>-5.8486030000000001E-2</v>
      </c>
      <c r="W3653">
        <v>0.19272700000000001</v>
      </c>
      <c r="X3653">
        <v>0.97950789999999999</v>
      </c>
      <c r="Y3653">
        <v>-0.1331707</v>
      </c>
      <c r="Z3653">
        <v>-2.2299500000000001E-3</v>
      </c>
      <c r="AA3653">
        <v>0.99109060000000004</v>
      </c>
      <c r="AB3653">
        <v>29</v>
      </c>
      <c r="AC3653">
        <v>-48.448499999999903</v>
      </c>
      <c r="AD3653">
        <v>-1.1104554970230001</v>
      </c>
      <c r="AE3653">
        <v>-7.2708999999999797</v>
      </c>
      <c r="AF3653">
        <v>-6.5602622625885898</v>
      </c>
      <c r="AG3653">
        <v>-1.1104554970230001</v>
      </c>
      <c r="AH3653">
        <v>48.524445123982098</v>
      </c>
      <c r="AI3653">
        <v>91.299139128161499</v>
      </c>
      <c r="AJ3653">
        <v>97.699420074387206</v>
      </c>
      <c r="AK3653">
        <v>48.978484326846697</v>
      </c>
      <c r="AL3653">
        <v>78.888028462833802</v>
      </c>
      <c r="AM3653">
        <v>93.417051362058402</v>
      </c>
      <c r="AN3653">
        <v>1.0000000191982801</v>
      </c>
    </row>
    <row r="3654" spans="1:40" x14ac:dyDescent="0.25">
      <c r="A3654" t="str">
        <f>"20190304155445454"</f>
        <v>20190304155445454</v>
      </c>
      <c r="B3654" t="str">
        <f>"1551686085451349"</f>
        <v>1551686085451349</v>
      </c>
      <c r="C3654" t="s">
        <v>40</v>
      </c>
      <c r="D3654">
        <v>4.4824080000000004</v>
      </c>
      <c r="E3654">
        <v>0.471997</v>
      </c>
      <c r="F3654" t="s">
        <v>62</v>
      </c>
      <c r="G3654">
        <v>-411.71260000000001</v>
      </c>
      <c r="H3654" s="1">
        <v>-8.5013169999999992E-6</v>
      </c>
      <c r="I3654">
        <v>134.99090000000001</v>
      </c>
      <c r="J3654">
        <v>-363.0643</v>
      </c>
      <c r="K3654">
        <v>1.1104210000000001</v>
      </c>
      <c r="L3654">
        <v>142.14869999999999</v>
      </c>
      <c r="M3654">
        <v>-0.99980970000000002</v>
      </c>
      <c r="N3654">
        <v>-1.289774E-2</v>
      </c>
      <c r="O3654">
        <v>-1.4642759999999999E-2</v>
      </c>
      <c r="P3654">
        <v>-0.98081620000000003</v>
      </c>
      <c r="Q3654">
        <v>0.18061489999999999</v>
      </c>
      <c r="R3654">
        <v>-7.333402E-2</v>
      </c>
      <c r="S3654">
        <v>-3.037903</v>
      </c>
      <c r="T3654">
        <v>-6.892943E-2</v>
      </c>
      <c r="U3654">
        <v>-0.44458009999999898</v>
      </c>
      <c r="V3654">
        <v>-5.8983260000000003E-2</v>
      </c>
      <c r="W3654">
        <v>0.19325709999999999</v>
      </c>
      <c r="X3654">
        <v>0.97937359999999896</v>
      </c>
      <c r="Y3654">
        <v>-0.13024569999999999</v>
      </c>
      <c r="Z3654">
        <v>-2.17177E-3</v>
      </c>
      <c r="AA3654">
        <v>0.99147929999999995</v>
      </c>
      <c r="AB3654">
        <v>29</v>
      </c>
      <c r="AC3654">
        <v>-48.648299999999999</v>
      </c>
      <c r="AD3654">
        <v>-1.11042950131699</v>
      </c>
      <c r="AE3654">
        <v>-7.1577999999999804</v>
      </c>
      <c r="AF3654">
        <v>-6.4413430136619398</v>
      </c>
      <c r="AG3654">
        <v>-1.11042950131699</v>
      </c>
      <c r="AH3654">
        <v>48.723054827642002</v>
      </c>
      <c r="AI3654">
        <v>91.294323341635007</v>
      </c>
      <c r="AJ3654">
        <v>97.531012276008695</v>
      </c>
      <c r="AK3654">
        <v>49.159536462770397</v>
      </c>
      <c r="AL3654">
        <v>78.857073707710896</v>
      </c>
      <c r="AM3654">
        <v>93.446503764393299</v>
      </c>
      <c r="AN3654">
        <v>0.99999999001879802</v>
      </c>
    </row>
    <row r="3655" spans="1:40" x14ac:dyDescent="0.25">
      <c r="A3655" t="str">
        <f>"20190304155445478"</f>
        <v>20190304155445478</v>
      </c>
      <c r="B3655" t="str">
        <f>"1551686085470869"</f>
        <v>1551686085470869</v>
      </c>
      <c r="C3655" t="s">
        <v>40</v>
      </c>
      <c r="D3655">
        <v>4.5235149999999997</v>
      </c>
      <c r="E3655">
        <v>0.47294799999999998</v>
      </c>
      <c r="F3655" t="s">
        <v>62</v>
      </c>
      <c r="G3655">
        <v>-413.2441</v>
      </c>
      <c r="H3655" s="1">
        <v>-8.3742639999999901E-6</v>
      </c>
      <c r="I3655">
        <v>135.00799999999899</v>
      </c>
      <c r="J3655">
        <v>-363.37279999999998</v>
      </c>
      <c r="K3655">
        <v>1.1104000000000001</v>
      </c>
      <c r="L3655">
        <v>142.14410000000001</v>
      </c>
      <c r="M3655">
        <v>-0.99980919999999895</v>
      </c>
      <c r="N3655">
        <v>-1.2890830000000001E-2</v>
      </c>
      <c r="O3655">
        <v>-1.4677040000000001E-2</v>
      </c>
      <c r="P3655">
        <v>-0.98079740000000004</v>
      </c>
      <c r="Q3655">
        <v>0.1804278</v>
      </c>
      <c r="R3655">
        <v>-7.4042629999999998E-2</v>
      </c>
      <c r="S3655">
        <v>-3.0387270000000002</v>
      </c>
      <c r="T3655">
        <v>-6.7243929999999993E-2</v>
      </c>
      <c r="U3655">
        <v>-0.43241879999999999</v>
      </c>
      <c r="V3655">
        <v>-5.9647739999999998E-2</v>
      </c>
      <c r="W3655">
        <v>0.19306619999999999</v>
      </c>
      <c r="X3655">
        <v>0.97937099999999999</v>
      </c>
      <c r="Y3655">
        <v>-0.1262887</v>
      </c>
      <c r="Z3655">
        <v>-2.073676E-3</v>
      </c>
      <c r="AA3655">
        <v>0.99199130000000002</v>
      </c>
      <c r="AB3655">
        <v>29</v>
      </c>
      <c r="AC3655">
        <v>-49.871299999999998</v>
      </c>
      <c r="AD3655">
        <v>-1.1104083742640001</v>
      </c>
      <c r="AE3655">
        <v>-7.1361000000000203</v>
      </c>
      <c r="AF3655">
        <v>-6.4001980911313403</v>
      </c>
      <c r="AG3655">
        <v>-1.1104083742640001</v>
      </c>
      <c r="AH3655">
        <v>49.946408615809702</v>
      </c>
      <c r="AI3655">
        <v>91.263263858760794</v>
      </c>
      <c r="AJ3655">
        <v>97.302161962635694</v>
      </c>
      <c r="AK3655">
        <v>50.367045535556102</v>
      </c>
      <c r="AL3655">
        <v>78.868221339061606</v>
      </c>
      <c r="AM3655">
        <v>93.485244646105102</v>
      </c>
      <c r="AN3655">
        <v>0.99999998305527305</v>
      </c>
    </row>
    <row r="3656" spans="1:40" x14ac:dyDescent="0.25">
      <c r="A3656" t="str">
        <f>"20190304155445499"</f>
        <v>20190304155445499</v>
      </c>
      <c r="B3656" t="str">
        <f>"1551686085491365"</f>
        <v>1551686085491365</v>
      </c>
      <c r="C3656" t="s">
        <v>40</v>
      </c>
      <c r="D3656">
        <v>4.4982739999999897</v>
      </c>
      <c r="E3656">
        <v>0.47389979999999998</v>
      </c>
      <c r="F3656" t="s">
        <v>62</v>
      </c>
      <c r="G3656">
        <v>-412.90300000000002</v>
      </c>
      <c r="H3656" s="1">
        <v>-8.4815300000000004E-6</v>
      </c>
      <c r="I3656">
        <v>135.1849</v>
      </c>
      <c r="J3656">
        <v>-363.63589999999999</v>
      </c>
      <c r="K3656">
        <v>1.1103799999999999</v>
      </c>
      <c r="L3656">
        <v>142.14019999999999</v>
      </c>
      <c r="M3656">
        <v>-0.99980919999999895</v>
      </c>
      <c r="N3656">
        <v>-1.2885570000000001E-2</v>
      </c>
      <c r="O3656">
        <v>-1.4686390000000001E-2</v>
      </c>
      <c r="P3656">
        <v>-0.98083339999999997</v>
      </c>
      <c r="Q3656">
        <v>0.18023639999999999</v>
      </c>
      <c r="R3656">
        <v>-7.4033459999999995E-2</v>
      </c>
      <c r="S3656">
        <v>-3.0390320000000002</v>
      </c>
      <c r="T3656">
        <v>-6.8131449999999996E-2</v>
      </c>
      <c r="U3656">
        <v>-0.42700199999999999</v>
      </c>
      <c r="V3656">
        <v>-5.962017E-2</v>
      </c>
      <c r="W3656">
        <v>0.1928725</v>
      </c>
      <c r="X3656">
        <v>0.97941089999999997</v>
      </c>
      <c r="Y3656">
        <v>-0.1245315</v>
      </c>
      <c r="Z3656">
        <v>-2.0562319999999999E-3</v>
      </c>
      <c r="AA3656">
        <v>0.99221349999999997</v>
      </c>
      <c r="AB3656">
        <v>29</v>
      </c>
      <c r="AC3656">
        <v>-49.267099999999999</v>
      </c>
      <c r="AD3656">
        <v>-1.11038848153</v>
      </c>
      <c r="AE3656">
        <v>-6.9552999999999896</v>
      </c>
      <c r="AF3656">
        <v>-6.2278321615580801</v>
      </c>
      <c r="AG3656">
        <v>-1.11038848153</v>
      </c>
      <c r="AH3656">
        <v>49.3393692996151</v>
      </c>
      <c r="AI3656">
        <v>91.279084934676703</v>
      </c>
      <c r="AJ3656">
        <v>97.194079441685005</v>
      </c>
      <c r="AK3656">
        <v>49.743263050349398</v>
      </c>
      <c r="AL3656">
        <v>78.8795327445753</v>
      </c>
      <c r="AM3656">
        <v>93.483496116899602</v>
      </c>
      <c r="AN3656">
        <v>1.0000000384829399</v>
      </c>
    </row>
    <row r="3657" spans="1:40" x14ac:dyDescent="0.25">
      <c r="A3657" t="str">
        <f>"20190304155445521"</f>
        <v>20190304155445521</v>
      </c>
      <c r="B3657" t="str">
        <f>"1551686085510887"</f>
        <v>1551686085510887</v>
      </c>
      <c r="C3657" t="s">
        <v>40</v>
      </c>
      <c r="D3657">
        <v>4.4911940000000001</v>
      </c>
      <c r="E3657">
        <v>0.47469990000000001</v>
      </c>
      <c r="F3657" t="s">
        <v>62</v>
      </c>
      <c r="G3657">
        <v>-412.73680000000002</v>
      </c>
      <c r="H3657" s="1">
        <v>-8.5757779999999999E-6</v>
      </c>
      <c r="I3657">
        <v>135.36709999999999</v>
      </c>
      <c r="J3657">
        <v>-363.92410000000001</v>
      </c>
      <c r="K3657">
        <v>1.1103620000000001</v>
      </c>
      <c r="L3657">
        <v>142.136</v>
      </c>
      <c r="M3657">
        <v>-0.99980919999999895</v>
      </c>
      <c r="N3657">
        <v>-1.288036E-2</v>
      </c>
      <c r="O3657">
        <v>-1.46886E-2</v>
      </c>
      <c r="P3657">
        <v>-0.98086479999999998</v>
      </c>
      <c r="Q3657">
        <v>0.18003129999999901</v>
      </c>
      <c r="R3657">
        <v>-7.4115860000000006E-2</v>
      </c>
      <c r="S3657">
        <v>-3.039612</v>
      </c>
      <c r="T3657">
        <v>-6.8739060000000005E-2</v>
      </c>
      <c r="U3657">
        <v>-0.41929630000000001</v>
      </c>
      <c r="V3657">
        <v>-5.9691760000000003E-2</v>
      </c>
      <c r="W3657">
        <v>0.19266520000000001</v>
      </c>
      <c r="X3657">
        <v>0.97944730000000002</v>
      </c>
      <c r="Y3657">
        <v>-0.12203559999999999</v>
      </c>
      <c r="Z3657">
        <v>-2.020909E-3</v>
      </c>
      <c r="AA3657">
        <v>0.99252370000000001</v>
      </c>
      <c r="AB3657">
        <v>29</v>
      </c>
      <c r="AC3657">
        <v>-48.8127</v>
      </c>
      <c r="AD3657">
        <v>-1.110370575778</v>
      </c>
      <c r="AE3657">
        <v>-6.7689000000000004</v>
      </c>
      <c r="AF3657">
        <v>-6.0480494221150298</v>
      </c>
      <c r="AG3657">
        <v>-1.110370575778</v>
      </c>
      <c r="AH3657">
        <v>48.882050055333998</v>
      </c>
      <c r="AI3657">
        <v>91.291423267071593</v>
      </c>
      <c r="AJ3657">
        <v>97.053212827660303</v>
      </c>
      <c r="AK3657">
        <v>49.267297898708399</v>
      </c>
      <c r="AL3657">
        <v>78.891636749136893</v>
      </c>
      <c r="AM3657">
        <v>93.487539374107897</v>
      </c>
      <c r="AN3657">
        <v>0.99999999949011298</v>
      </c>
    </row>
    <row r="3658" spans="1:40" x14ac:dyDescent="0.25">
      <c r="A3658" t="str">
        <f>"20190304155445554"</f>
        <v>20190304155445554</v>
      </c>
      <c r="B3658" t="str">
        <f>"1551686085551340"</f>
        <v>1551686085551340</v>
      </c>
      <c r="C3658" t="s">
        <v>40</v>
      </c>
      <c r="D3658">
        <v>4.5119309999999997</v>
      </c>
      <c r="E3658">
        <v>0.4760277</v>
      </c>
      <c r="F3658" t="s">
        <v>62</v>
      </c>
      <c r="G3658">
        <v>-412.44869999999997</v>
      </c>
      <c r="H3658" s="1">
        <v>-8.6760669999999995E-6</v>
      </c>
      <c r="I3658">
        <v>135.5386</v>
      </c>
      <c r="J3658">
        <v>-364.34109999999998</v>
      </c>
      <c r="K3658">
        <v>1.1103430000000001</v>
      </c>
      <c r="L3658">
        <v>142.12989999999999</v>
      </c>
      <c r="M3658">
        <v>-0.99980930000000001</v>
      </c>
      <c r="N3658">
        <v>-1.2873829999999999E-2</v>
      </c>
      <c r="O3658">
        <v>-1.468098E-2</v>
      </c>
      <c r="P3658">
        <v>-0.98086180000000001</v>
      </c>
      <c r="Q3658">
        <v>0.17970939999999999</v>
      </c>
      <c r="R3658">
        <v>-7.4930220000000006E-2</v>
      </c>
      <c r="S3658">
        <v>-3.0400999999999998</v>
      </c>
      <c r="T3658">
        <v>-6.956553E-2</v>
      </c>
      <c r="U3658">
        <v>-0.41333009999999898</v>
      </c>
      <c r="V3658">
        <v>-6.0508810000000003E-2</v>
      </c>
      <c r="W3658">
        <v>0.1923386</v>
      </c>
      <c r="X3658">
        <v>0.97946140000000004</v>
      </c>
      <c r="Y3658">
        <v>-0.1201092</v>
      </c>
      <c r="Z3658">
        <v>-1.9985189999999998E-3</v>
      </c>
      <c r="AA3658">
        <v>0.99275869999999999</v>
      </c>
      <c r="AB3658">
        <v>29</v>
      </c>
      <c r="AC3658">
        <v>-48.107599999999898</v>
      </c>
      <c r="AD3658">
        <v>-1.110351676067</v>
      </c>
      <c r="AE3658">
        <v>-6.5912999999999897</v>
      </c>
      <c r="AF3658">
        <v>-5.8811889873022798</v>
      </c>
      <c r="AG3658">
        <v>-1.110351676067</v>
      </c>
      <c r="AH3658">
        <v>48.173999216593202</v>
      </c>
      <c r="AI3658">
        <v>91.310636406468902</v>
      </c>
      <c r="AJ3658">
        <v>96.960353389839995</v>
      </c>
      <c r="AK3658">
        <v>48.544365947751601</v>
      </c>
      <c r="AL3658">
        <v>78.910706710163495</v>
      </c>
      <c r="AM3658">
        <v>93.535105172886702</v>
      </c>
      <c r="AN3658">
        <v>1.0000000436137599</v>
      </c>
    </row>
    <row r="3659" spans="1:40" x14ac:dyDescent="0.25">
      <c r="A3659" t="str">
        <f>"20190304155445578"</f>
        <v>20190304155445578</v>
      </c>
      <c r="B3659" t="str">
        <f>"1551686085570860"</f>
        <v>1551686085570860</v>
      </c>
      <c r="C3659" t="s">
        <v>40</v>
      </c>
      <c r="D3659">
        <v>4.5169220000000001</v>
      </c>
      <c r="E3659">
        <v>0.47665999999999997</v>
      </c>
      <c r="F3659" t="s">
        <v>62</v>
      </c>
      <c r="G3659">
        <v>-411.4205</v>
      </c>
      <c r="H3659" s="1">
        <v>-8.9084230000000005E-6</v>
      </c>
      <c r="I3659">
        <v>135.86359999999999</v>
      </c>
      <c r="J3659">
        <v>-364.64580000000001</v>
      </c>
      <c r="K3659">
        <v>1.1103419999999999</v>
      </c>
      <c r="L3659">
        <v>142.12540000000001</v>
      </c>
      <c r="M3659">
        <v>-0.99980959999999997</v>
      </c>
      <c r="N3659">
        <v>-1.286959E-2</v>
      </c>
      <c r="O3659">
        <v>-1.467068E-2</v>
      </c>
      <c r="P3659">
        <v>-0.980796</v>
      </c>
      <c r="Q3659">
        <v>0.1797781</v>
      </c>
      <c r="R3659">
        <v>-7.5626120000000005E-2</v>
      </c>
      <c r="S3659">
        <v>-3.0407410000000001</v>
      </c>
      <c r="T3659">
        <v>-7.1714879999999995E-2</v>
      </c>
      <c r="U3659">
        <v>-0.40472409999999998</v>
      </c>
      <c r="V3659">
        <v>-6.1214629999999999E-2</v>
      </c>
      <c r="W3659">
        <v>0.1924032</v>
      </c>
      <c r="X3659">
        <v>0.97940479999999996</v>
      </c>
      <c r="Y3659">
        <v>-0.11733010000000001</v>
      </c>
      <c r="Z3659">
        <v>-1.9795149999999998E-3</v>
      </c>
      <c r="AA3659">
        <v>0.99309099999999995</v>
      </c>
      <c r="AB3659">
        <v>29</v>
      </c>
      <c r="AC3659">
        <v>-46.774700000000003</v>
      </c>
      <c r="AD3659">
        <v>-1.1103509084230001</v>
      </c>
      <c r="AE3659">
        <v>-6.2618000000000196</v>
      </c>
      <c r="AF3659">
        <v>-5.5717680867535098</v>
      </c>
      <c r="AG3659">
        <v>-1.1103509084230001</v>
      </c>
      <c r="AH3659">
        <v>46.835610249435</v>
      </c>
      <c r="AI3659">
        <v>91.348574227746298</v>
      </c>
      <c r="AJ3659">
        <v>96.784270423182406</v>
      </c>
      <c r="AK3659">
        <v>47.178934559709802</v>
      </c>
      <c r="AL3659">
        <v>78.906934378552606</v>
      </c>
      <c r="AM3659">
        <v>93.576441014542795</v>
      </c>
      <c r="AN3659">
        <v>0.99999999227965797</v>
      </c>
    </row>
    <row r="3660" spans="1:40" x14ac:dyDescent="0.25">
      <c r="A3660" t="str">
        <f>"20190304155445600"</f>
        <v>20190304155445600</v>
      </c>
      <c r="B3660" t="str">
        <f>"1551686085591357"</f>
        <v>1551686085591357</v>
      </c>
      <c r="C3660" t="s">
        <v>40</v>
      </c>
      <c r="D3660">
        <v>4.70526</v>
      </c>
      <c r="E3660">
        <v>0.47711819999999999</v>
      </c>
      <c r="F3660" t="s">
        <v>62</v>
      </c>
      <c r="G3660">
        <v>-411.5729</v>
      </c>
      <c r="H3660" s="1">
        <v>-8.9245879999999997E-6</v>
      </c>
      <c r="I3660">
        <v>135.93119999999999</v>
      </c>
      <c r="J3660">
        <v>-364.92399999999998</v>
      </c>
      <c r="K3660">
        <v>1.110341</v>
      </c>
      <c r="L3660">
        <v>142.12129999999999</v>
      </c>
      <c r="M3660">
        <v>-0.99980970000000002</v>
      </c>
      <c r="N3660">
        <v>-1.286612E-2</v>
      </c>
      <c r="O3660">
        <v>-1.466173E-2</v>
      </c>
      <c r="P3660">
        <v>-0.9807013</v>
      </c>
      <c r="Q3660">
        <v>0.1801807</v>
      </c>
      <c r="R3660">
        <v>-7.589506E-2</v>
      </c>
      <c r="S3660">
        <v>-3.040985</v>
      </c>
      <c r="T3660">
        <v>-7.1953299999999998E-2</v>
      </c>
      <c r="U3660">
        <v>-0.40139770000000002</v>
      </c>
      <c r="V3660">
        <v>-6.1494149999999997E-2</v>
      </c>
      <c r="W3660">
        <v>0.1928009</v>
      </c>
      <c r="X3660">
        <v>0.97930910000000004</v>
      </c>
      <c r="Y3660">
        <v>-0.1162612</v>
      </c>
      <c r="Z3660">
        <v>-1.9632410000000001E-3</v>
      </c>
      <c r="AA3660">
        <v>0.99321680000000001</v>
      </c>
      <c r="AB3660">
        <v>29</v>
      </c>
      <c r="AC3660">
        <v>-46.648899999999898</v>
      </c>
      <c r="AD3660">
        <v>-1.110349924588</v>
      </c>
      <c r="AE3660">
        <v>-6.1901000000000002</v>
      </c>
      <c r="AF3660">
        <v>-5.5023608961921804</v>
      </c>
      <c r="AG3660">
        <v>-1.110349924588</v>
      </c>
      <c r="AH3660">
        <v>46.708645212047003</v>
      </c>
      <c r="AI3660">
        <v>91.352420892737996</v>
      </c>
      <c r="AJ3660">
        <v>96.718579711156295</v>
      </c>
      <c r="AK3660">
        <v>47.044727546579097</v>
      </c>
      <c r="AL3660">
        <v>78.883713333660097</v>
      </c>
      <c r="AM3660">
        <v>93.593079353767294</v>
      </c>
      <c r="AN3660">
        <v>1.0000000154339199</v>
      </c>
    </row>
    <row r="3661" spans="1:40" x14ac:dyDescent="0.25">
      <c r="A3661" t="str">
        <f>"20190304155445621"</f>
        <v>20190304155445621</v>
      </c>
      <c r="B3661" t="str">
        <f>"1551686085610876"</f>
        <v>1551686085610876</v>
      </c>
      <c r="C3661" t="s">
        <v>40</v>
      </c>
      <c r="D3661">
        <v>4.5531920000000001</v>
      </c>
      <c r="E3661">
        <v>0.47769080000000003</v>
      </c>
      <c r="F3661" t="s">
        <v>62</v>
      </c>
      <c r="G3661">
        <v>-412.47730000000001</v>
      </c>
      <c r="H3661" s="1">
        <v>-8.8291070000000007E-6</v>
      </c>
      <c r="I3661">
        <v>135.89449999999999</v>
      </c>
      <c r="J3661">
        <v>-365.20620000000002</v>
      </c>
      <c r="K3661">
        <v>1.110344</v>
      </c>
      <c r="L3661">
        <v>142.1172</v>
      </c>
      <c r="M3661">
        <v>-0.99980999999999998</v>
      </c>
      <c r="N3661">
        <v>-1.286287E-2</v>
      </c>
      <c r="O3661">
        <v>-1.465531E-2</v>
      </c>
      <c r="P3661">
        <v>-0.98070639999999998</v>
      </c>
      <c r="Q3661">
        <v>0.18005989999999999</v>
      </c>
      <c r="R3661">
        <v>-7.6115790000000003E-2</v>
      </c>
      <c r="S3661">
        <v>-3.04129</v>
      </c>
      <c r="T3661">
        <v>-7.1012969999999995E-2</v>
      </c>
      <c r="U3661">
        <v>-0.39823910000000001</v>
      </c>
      <c r="V3661">
        <v>-6.172217E-2</v>
      </c>
      <c r="W3661">
        <v>0.1926765</v>
      </c>
      <c r="X3661">
        <v>0.97931919999999995</v>
      </c>
      <c r="Y3661">
        <v>-0.115242</v>
      </c>
      <c r="Z3661">
        <v>-1.931187E-3</v>
      </c>
      <c r="AA3661">
        <v>0.99333550000000004</v>
      </c>
      <c r="AB3661">
        <v>29</v>
      </c>
      <c r="AC3661">
        <v>-47.271099999999898</v>
      </c>
      <c r="AD3661">
        <v>-1.110352829107</v>
      </c>
      <c r="AE3661">
        <v>-6.2226999999999997</v>
      </c>
      <c r="AF3661">
        <v>-5.52620468845579</v>
      </c>
      <c r="AG3661">
        <v>-1.110352829107</v>
      </c>
      <c r="AH3661">
        <v>47.331555963190702</v>
      </c>
      <c r="AI3661">
        <v>91.334793762184404</v>
      </c>
      <c r="AJ3661">
        <v>96.659428755165607</v>
      </c>
      <c r="AK3661">
        <v>47.666004778672999</v>
      </c>
      <c r="AL3661">
        <v>78.8909766992698</v>
      </c>
      <c r="AM3661">
        <v>93.606330282008201</v>
      </c>
      <c r="AN3661">
        <v>0.99999997770519899</v>
      </c>
    </row>
    <row r="3662" spans="1:40" x14ac:dyDescent="0.25">
      <c r="A3662" t="str">
        <f>"20190304155445643"</f>
        <v>20190304155445643</v>
      </c>
      <c r="B3662" t="str">
        <f>"1551686085631372"</f>
        <v>1551686085631372</v>
      </c>
      <c r="C3662" t="s">
        <v>40</v>
      </c>
      <c r="D3662">
        <v>4.5286839999999904</v>
      </c>
      <c r="E3662">
        <v>0.47836400000000001</v>
      </c>
      <c r="F3662" t="s">
        <v>62</v>
      </c>
      <c r="G3662">
        <v>-412.66800000000001</v>
      </c>
      <c r="H3662" s="1">
        <v>-8.8427290000000002E-6</v>
      </c>
      <c r="I3662">
        <v>135.964</v>
      </c>
      <c r="J3662">
        <v>-365.48090000000002</v>
      </c>
      <c r="K3662">
        <v>1.110347</v>
      </c>
      <c r="L3662">
        <v>142.1131</v>
      </c>
      <c r="M3662">
        <v>-0.99980999999999998</v>
      </c>
      <c r="N3662">
        <v>-1.285995E-2</v>
      </c>
      <c r="O3662">
        <v>-1.465293E-2</v>
      </c>
      <c r="P3662">
        <v>-0.98076909999999895</v>
      </c>
      <c r="Q3662">
        <v>0.17971119999999999</v>
      </c>
      <c r="R3662">
        <v>-7.6133999999999993E-2</v>
      </c>
      <c r="S3662">
        <v>-3.0415040000000002</v>
      </c>
      <c r="T3662">
        <v>-7.1155070000000001E-2</v>
      </c>
      <c r="U3662">
        <v>-0.39431759999999999</v>
      </c>
      <c r="V3662">
        <v>-6.1742379999999999E-2</v>
      </c>
      <c r="W3662">
        <v>0.19232550000000001</v>
      </c>
      <c r="X3662">
        <v>0.97938689999999995</v>
      </c>
      <c r="Y3662">
        <v>-0.1139763</v>
      </c>
      <c r="Z3662">
        <v>-1.910049E-3</v>
      </c>
      <c r="AA3662">
        <v>0.99348159999999996</v>
      </c>
      <c r="AB3662">
        <v>29</v>
      </c>
      <c r="AC3662">
        <v>-47.187100000000001</v>
      </c>
      <c r="AD3662">
        <v>-1.1103558427289999</v>
      </c>
      <c r="AE3662">
        <v>-6.1490999999999998</v>
      </c>
      <c r="AF3662">
        <v>-5.4539838448216198</v>
      </c>
      <c r="AG3662">
        <v>-1.1103558427289999</v>
      </c>
      <c r="AH3662">
        <v>47.246419224707303</v>
      </c>
      <c r="AI3662">
        <v>91.337403643274001</v>
      </c>
      <c r="AJ3662">
        <v>96.584905362147296</v>
      </c>
      <c r="AK3662">
        <v>47.573132747737503</v>
      </c>
      <c r="AL3662">
        <v>78.911470622081595</v>
      </c>
      <c r="AM3662">
        <v>93.607259292910797</v>
      </c>
      <c r="AN3662">
        <v>0.99999995966496102</v>
      </c>
    </row>
    <row r="3663" spans="1:40" x14ac:dyDescent="0.25">
      <c r="A3663" t="str">
        <f>"20190304155445669"</f>
        <v>20190304155445669</v>
      </c>
      <c r="B3663" t="str">
        <f>"1551686085660652"</f>
        <v>1551686085660652</v>
      </c>
      <c r="C3663" t="s">
        <v>40</v>
      </c>
      <c r="D3663">
        <v>4.5356920000000001</v>
      </c>
      <c r="E3663">
        <v>0.47930790000000001</v>
      </c>
      <c r="F3663" t="s">
        <v>62</v>
      </c>
      <c r="G3663">
        <v>-412.52019999999999</v>
      </c>
      <c r="H3663" s="1">
        <v>-8.9146379999999999E-6</v>
      </c>
      <c r="I3663">
        <v>136.09880000000001</v>
      </c>
      <c r="J3663">
        <v>-365.81009999999998</v>
      </c>
      <c r="K3663">
        <v>1.1103479999999999</v>
      </c>
      <c r="L3663">
        <v>142.10830000000001</v>
      </c>
      <c r="M3663">
        <v>-0.99980999999999998</v>
      </c>
      <c r="N3663">
        <v>-1.285673E-2</v>
      </c>
      <c r="O3663">
        <v>-1.465259E-2</v>
      </c>
      <c r="P3663">
        <v>-0.98078240000000005</v>
      </c>
      <c r="Q3663">
        <v>0.179454799999999</v>
      </c>
      <c r="R3663">
        <v>-7.6563989999999998E-2</v>
      </c>
      <c r="S3663">
        <v>-3.041779</v>
      </c>
      <c r="T3663">
        <v>-7.1800710000000004E-2</v>
      </c>
      <c r="U3663">
        <v>-0.38891599999999998</v>
      </c>
      <c r="V3663">
        <v>-6.2174310000000003E-2</v>
      </c>
      <c r="W3663">
        <v>0.19206580000000001</v>
      </c>
      <c r="X3663">
        <v>0.97941060000000002</v>
      </c>
      <c r="Y3663">
        <v>-0.1122297</v>
      </c>
      <c r="Z3663">
        <v>-1.886925E-3</v>
      </c>
      <c r="AA3663">
        <v>0.99368049999999997</v>
      </c>
      <c r="AB3663">
        <v>29</v>
      </c>
      <c r="AC3663">
        <v>-46.710099999999997</v>
      </c>
      <c r="AD3663">
        <v>-1.1103569146379999</v>
      </c>
      <c r="AE3663">
        <v>-6.0095000000000001</v>
      </c>
      <c r="AF3663">
        <v>-5.3214162163321399</v>
      </c>
      <c r="AG3663">
        <v>-1.1103569146379999</v>
      </c>
      <c r="AH3663">
        <v>46.76715012935</v>
      </c>
      <c r="AI3663">
        <v>91.351357958577907</v>
      </c>
      <c r="AJ3663">
        <v>96.491500617407496</v>
      </c>
      <c r="AK3663">
        <v>47.082020923559398</v>
      </c>
      <c r="AL3663">
        <v>78.926633689947096</v>
      </c>
      <c r="AM3663">
        <v>93.632339535206498</v>
      </c>
      <c r="AN3663">
        <v>1.0000000198729799</v>
      </c>
    </row>
    <row r="3664" spans="1:40" x14ac:dyDescent="0.25">
      <c r="A3664" t="str">
        <f>"20190304155445690"</f>
        <v>20190304155445690</v>
      </c>
      <c r="B3664" t="str">
        <f>"1551686085681148"</f>
        <v>1551686085681148</v>
      </c>
      <c r="C3664" t="s">
        <v>40</v>
      </c>
      <c r="D3664">
        <v>4.5561920000000002</v>
      </c>
      <c r="E3664">
        <v>0.4799252</v>
      </c>
      <c r="F3664" t="s">
        <v>62</v>
      </c>
      <c r="G3664">
        <v>-412.67219999999998</v>
      </c>
      <c r="H3664" s="1">
        <v>-8.9497160000000005E-6</v>
      </c>
      <c r="I3664">
        <v>136.20959999999999</v>
      </c>
      <c r="J3664">
        <v>-366.08769999999998</v>
      </c>
      <c r="K3664">
        <v>1.1103499999999999</v>
      </c>
      <c r="L3664">
        <v>142.10429999999999</v>
      </c>
      <c r="M3664">
        <v>-0.99980999999999998</v>
      </c>
      <c r="N3664">
        <v>-1.2854229999999999E-2</v>
      </c>
      <c r="O3664">
        <v>-1.4652729999999999E-2</v>
      </c>
      <c r="P3664">
        <v>-0.98074229999999996</v>
      </c>
      <c r="Q3664">
        <v>0.17947089999999999</v>
      </c>
      <c r="R3664">
        <v>-7.7037800000000003E-2</v>
      </c>
      <c r="S3664">
        <v>-3.042084</v>
      </c>
      <c r="T3664">
        <v>-7.2079420000000005E-2</v>
      </c>
      <c r="U3664">
        <v>-0.38291930000000002</v>
      </c>
      <c r="V3664">
        <v>-6.2649090000000004E-2</v>
      </c>
      <c r="W3664">
        <v>0.1920789</v>
      </c>
      <c r="X3664">
        <v>0.97937770000000002</v>
      </c>
      <c r="Y3664">
        <v>-0.1102895</v>
      </c>
      <c r="Z3664">
        <v>-1.8550719999999999E-3</v>
      </c>
      <c r="AA3664">
        <v>0.99389780000000005</v>
      </c>
      <c r="AB3664">
        <v>29</v>
      </c>
      <c r="AC3664">
        <v>-46.584499999999899</v>
      </c>
      <c r="AD3664">
        <v>-1.110358949716</v>
      </c>
      <c r="AE3664">
        <v>-5.8947000000000003</v>
      </c>
      <c r="AF3664">
        <v>-5.2085080972748301</v>
      </c>
      <c r="AG3664">
        <v>-1.110358949716</v>
      </c>
      <c r="AH3664">
        <v>46.639798931904799</v>
      </c>
      <c r="AI3664">
        <v>91.355367196667601</v>
      </c>
      <c r="AJ3664">
        <v>96.372114591417002</v>
      </c>
      <c r="AK3664">
        <v>46.942862055962202</v>
      </c>
      <c r="AL3664">
        <v>78.925868044097797</v>
      </c>
      <c r="AM3664">
        <v>93.660124576577303</v>
      </c>
      <c r="AN3664">
        <v>0.99999994578016205</v>
      </c>
    </row>
    <row r="3665" spans="1:40" x14ac:dyDescent="0.25">
      <c r="A3665" t="str">
        <f>"20190304155445712"</f>
        <v>20190304155445712</v>
      </c>
      <c r="B3665" t="str">
        <f>"1551686085700668"</f>
        <v>1551686085700668</v>
      </c>
      <c r="C3665" t="s">
        <v>40</v>
      </c>
      <c r="D3665">
        <v>4.5258789999999998</v>
      </c>
      <c r="E3665">
        <v>0.48049579999999997</v>
      </c>
      <c r="F3665" t="s">
        <v>62</v>
      </c>
      <c r="G3665">
        <v>-413.14760000000001</v>
      </c>
      <c r="H3665" s="1">
        <v>-8.9188259999999995E-6</v>
      </c>
      <c r="I3665">
        <v>136.2345</v>
      </c>
      <c r="J3665">
        <v>-366.36340000000001</v>
      </c>
      <c r="K3665">
        <v>1.110347</v>
      </c>
      <c r="L3665">
        <v>142.1002</v>
      </c>
      <c r="M3665">
        <v>-0.99980999999999998</v>
      </c>
      <c r="N3665">
        <v>-1.2851899999999999E-2</v>
      </c>
      <c r="O3665">
        <v>-1.4652979999999999E-2</v>
      </c>
      <c r="P3665">
        <v>-0.98070020000000002</v>
      </c>
      <c r="Q3665">
        <v>0.1797406</v>
      </c>
      <c r="R3665">
        <v>-7.6945600000000003E-2</v>
      </c>
      <c r="S3665">
        <v>-3.0422060000000002</v>
      </c>
      <c r="T3665">
        <v>-7.1779490000000001E-2</v>
      </c>
      <c r="U3665">
        <v>-0.3794556</v>
      </c>
      <c r="V3665">
        <v>-6.2557970000000004E-2</v>
      </c>
      <c r="W3665">
        <v>0.19234560000000001</v>
      </c>
      <c r="X3665">
        <v>0.97933130000000002</v>
      </c>
      <c r="Y3665">
        <v>-0.1091709</v>
      </c>
      <c r="Z3665">
        <v>-1.8305610000000001E-3</v>
      </c>
      <c r="AA3665">
        <v>0.9940213</v>
      </c>
      <c r="AB3665">
        <v>29</v>
      </c>
      <c r="AC3665">
        <v>-46.784199999999998</v>
      </c>
      <c r="AD3665">
        <v>-1.1103559188259999</v>
      </c>
      <c r="AE3665">
        <v>-5.8657000000000004</v>
      </c>
      <c r="AF3665">
        <v>-5.1766147857747802</v>
      </c>
      <c r="AG3665">
        <v>-1.1103559188259999</v>
      </c>
      <c r="AH3665">
        <v>46.839158132840097</v>
      </c>
      <c r="AI3665">
        <v>91.349768064078205</v>
      </c>
      <c r="AJ3665">
        <v>96.306675252903801</v>
      </c>
      <c r="AK3665">
        <v>47.137426377560899</v>
      </c>
      <c r="AL3665">
        <v>78.910298218325195</v>
      </c>
      <c r="AM3665">
        <v>93.654988239124407</v>
      </c>
      <c r="AN3665">
        <v>1.00000006230478</v>
      </c>
    </row>
    <row r="3666" spans="1:40" x14ac:dyDescent="0.25">
      <c r="A3666" t="str">
        <f>"20190304155445732"</f>
        <v>20190304155445732</v>
      </c>
      <c r="B3666" t="str">
        <f>"1551686085721164"</f>
        <v>1551686085721164</v>
      </c>
      <c r="C3666" t="s">
        <v>40</v>
      </c>
      <c r="D3666">
        <v>4.5557420000000004</v>
      </c>
      <c r="E3666">
        <v>0.48102529999999999</v>
      </c>
      <c r="F3666" t="s">
        <v>62</v>
      </c>
      <c r="G3666">
        <v>-414.28149999999999</v>
      </c>
      <c r="H3666" s="1">
        <v>-8.8012429999999905E-6</v>
      </c>
      <c r="I3666">
        <v>136.19329999999999</v>
      </c>
      <c r="J3666">
        <v>-366.62700000000001</v>
      </c>
      <c r="K3666">
        <v>1.110344</v>
      </c>
      <c r="L3666">
        <v>142.09639999999999</v>
      </c>
      <c r="M3666">
        <v>-0.99981010000000003</v>
      </c>
      <c r="N3666">
        <v>-1.284982E-2</v>
      </c>
      <c r="O3666">
        <v>-1.465322E-2</v>
      </c>
      <c r="P3666">
        <v>-0.98063909999999999</v>
      </c>
      <c r="Q3666">
        <v>0.1798922</v>
      </c>
      <c r="R3666">
        <v>-7.7369380000000001E-2</v>
      </c>
      <c r="S3666">
        <v>-3.0425719999999998</v>
      </c>
      <c r="T3666">
        <v>-7.0502280000000001E-2</v>
      </c>
      <c r="U3666">
        <v>-0.37506099999999998</v>
      </c>
      <c r="V3666">
        <v>-6.2982919999999998E-2</v>
      </c>
      <c r="W3666">
        <v>0.1924939</v>
      </c>
      <c r="X3666">
        <v>0.97927489999999995</v>
      </c>
      <c r="Y3666">
        <v>-0.1077438</v>
      </c>
      <c r="Z3666">
        <v>-1.7879629999999901E-3</v>
      </c>
      <c r="AA3666">
        <v>0.99417710000000004</v>
      </c>
      <c r="AB3666">
        <v>29</v>
      </c>
      <c r="AC3666">
        <v>-47.654499999999999</v>
      </c>
      <c r="AD3666">
        <v>-1.110352801243</v>
      </c>
      <c r="AE3666">
        <v>-5.9030999999999896</v>
      </c>
      <c r="AF3666">
        <v>-5.2013355150841596</v>
      </c>
      <c r="AG3666">
        <v>-1.110352801243</v>
      </c>
      <c r="AH3666">
        <v>47.7103791459392</v>
      </c>
      <c r="AI3666">
        <v>91.325341145441996</v>
      </c>
      <c r="AJ3666">
        <v>96.221754660871696</v>
      </c>
      <c r="AK3666">
        <v>48.005906435906098</v>
      </c>
      <c r="AL3666">
        <v>78.901639192399699</v>
      </c>
      <c r="AM3666">
        <v>93.679959568161095</v>
      </c>
      <c r="AN3666">
        <v>1.0000000397594699</v>
      </c>
    </row>
    <row r="3667" spans="1:40" x14ac:dyDescent="0.25">
      <c r="A3667" t="str">
        <f>"20190304155445755"</f>
        <v>20190304155445755</v>
      </c>
      <c r="B3667" t="str">
        <f>"1551686085751420"</f>
        <v>1551686085751420</v>
      </c>
      <c r="C3667" t="s">
        <v>40</v>
      </c>
      <c r="D3667">
        <v>4.5821189999999996</v>
      </c>
      <c r="E3667">
        <v>0.48178840000000001</v>
      </c>
      <c r="F3667" t="s">
        <v>62</v>
      </c>
      <c r="G3667">
        <v>-414.92570000000001</v>
      </c>
      <c r="H3667" s="1">
        <v>-8.7440859999999999E-6</v>
      </c>
      <c r="I3667">
        <v>136.19200000000001</v>
      </c>
      <c r="J3667">
        <v>-366.90820000000002</v>
      </c>
      <c r="K3667">
        <v>1.1103459999999901</v>
      </c>
      <c r="L3667">
        <v>142.09229999999999</v>
      </c>
      <c r="M3667">
        <v>-0.99981010000000003</v>
      </c>
      <c r="N3667">
        <v>-1.284773E-2</v>
      </c>
      <c r="O3667">
        <v>-1.4654159999999999E-2</v>
      </c>
      <c r="P3667">
        <v>-0.98059890000000005</v>
      </c>
      <c r="Q3667">
        <v>0.1801362</v>
      </c>
      <c r="R3667">
        <v>-7.7310180000000006E-2</v>
      </c>
      <c r="S3667">
        <v>-3.0427249999999999</v>
      </c>
      <c r="T3667">
        <v>-6.9950100000000001E-2</v>
      </c>
      <c r="U3667">
        <v>-0.3719635</v>
      </c>
      <c r="V3667">
        <v>-6.292383E-2</v>
      </c>
      <c r="W3667">
        <v>0.1927354</v>
      </c>
      <c r="X3667">
        <v>0.97923119999999997</v>
      </c>
      <c r="Y3667">
        <v>-0.1067406</v>
      </c>
      <c r="Z3667">
        <v>-1.7627420000000001E-3</v>
      </c>
      <c r="AA3667">
        <v>0.99428530000000004</v>
      </c>
      <c r="AB3667">
        <v>29</v>
      </c>
      <c r="AC3667">
        <v>-48.017499999999899</v>
      </c>
      <c r="AD3667">
        <v>-1.11035474408599</v>
      </c>
      <c r="AE3667">
        <v>-5.9002999999999801</v>
      </c>
      <c r="AF3667">
        <v>-5.1932165407358601</v>
      </c>
      <c r="AG3667">
        <v>-1.11035474408599</v>
      </c>
      <c r="AH3667">
        <v>48.073490823323901</v>
      </c>
      <c r="AI3667">
        <v>91.315476286572704</v>
      </c>
      <c r="AJ3667">
        <v>96.165559849846005</v>
      </c>
      <c r="AK3667">
        <v>48.365927114414902</v>
      </c>
      <c r="AL3667">
        <v>78.887538249580899</v>
      </c>
      <c r="AM3667">
        <v>93.676680158653497</v>
      </c>
      <c r="AN3667">
        <v>1.0000000429242299</v>
      </c>
    </row>
    <row r="3668" spans="1:40" x14ac:dyDescent="0.25">
      <c r="A3668" t="str">
        <f>"20190304155445777"</f>
        <v>20190304155445777</v>
      </c>
      <c r="B3668" t="str">
        <f>"1551686085770943"</f>
        <v>1551686085770943</v>
      </c>
      <c r="C3668" t="s">
        <v>40</v>
      </c>
      <c r="D3668">
        <v>4.5678239999999999</v>
      </c>
      <c r="E3668">
        <v>0.4822709</v>
      </c>
      <c r="F3668" t="s">
        <v>62</v>
      </c>
      <c r="G3668">
        <v>-415.93060000000003</v>
      </c>
      <c r="H3668" s="1">
        <v>-8.6581549999999998E-6</v>
      </c>
      <c r="I3668">
        <v>136.19739999999999</v>
      </c>
      <c r="J3668">
        <v>-367.20159999999998</v>
      </c>
      <c r="K3668">
        <v>1.1103540000000001</v>
      </c>
      <c r="L3668">
        <v>142.08799999999999</v>
      </c>
      <c r="M3668">
        <v>-0.99981010000000003</v>
      </c>
      <c r="N3668">
        <v>-1.28457E-2</v>
      </c>
      <c r="O3668">
        <v>-1.465499E-2</v>
      </c>
      <c r="P3668">
        <v>-0.98047419999999996</v>
      </c>
      <c r="Q3668">
        <v>0.18066260000000001</v>
      </c>
      <c r="R3668">
        <v>-7.7661620000000001E-2</v>
      </c>
      <c r="S3668">
        <v>-3.0431520000000001</v>
      </c>
      <c r="T3668">
        <v>-6.8927290000000002E-2</v>
      </c>
      <c r="U3668">
        <v>-0.36593629999999999</v>
      </c>
      <c r="V3668">
        <v>-6.3275810000000002E-2</v>
      </c>
      <c r="W3668">
        <v>0.1932585</v>
      </c>
      <c r="X3668">
        <v>0.97910540000000001</v>
      </c>
      <c r="Y3668">
        <v>-0.1047838</v>
      </c>
      <c r="Z3668">
        <v>-1.7148560000000001E-3</v>
      </c>
      <c r="AA3668">
        <v>0.99449350000000003</v>
      </c>
      <c r="AB3668">
        <v>29</v>
      </c>
      <c r="AC3668">
        <v>-48.728999999999999</v>
      </c>
      <c r="AD3668">
        <v>-1.1103626581549999</v>
      </c>
      <c r="AE3668">
        <v>-5.8906000000000001</v>
      </c>
      <c r="AF3668">
        <v>-5.1731380436680698</v>
      </c>
      <c r="AG3668">
        <v>-1.1103626581549999</v>
      </c>
      <c r="AH3668">
        <v>48.785134346305703</v>
      </c>
      <c r="AI3668">
        <v>91.296575424347907</v>
      </c>
      <c r="AJ3668">
        <v>96.052980713242505</v>
      </c>
      <c r="AK3668">
        <v>49.071209437291898</v>
      </c>
      <c r="AL3668">
        <v>78.856992405063707</v>
      </c>
      <c r="AM3668">
        <v>93.697663407128005</v>
      </c>
      <c r="AN3668">
        <v>1.0000000301312799</v>
      </c>
    </row>
    <row r="3669" spans="1:40" x14ac:dyDescent="0.25">
      <c r="A3669" t="str">
        <f>"20190304155445800"</f>
        <v>20190304155445800</v>
      </c>
      <c r="B3669" t="str">
        <f>"1551686085791436"</f>
        <v>1551686085791436</v>
      </c>
      <c r="C3669" t="s">
        <v>40</v>
      </c>
      <c r="D3669">
        <v>4.5655830000000002</v>
      </c>
      <c r="E3669">
        <v>0.48275770000000001</v>
      </c>
      <c r="F3669" t="s">
        <v>62</v>
      </c>
      <c r="G3669">
        <v>-417.77179999999998</v>
      </c>
      <c r="H3669" s="1">
        <v>-8.4702409999999995E-6</v>
      </c>
      <c r="I3669">
        <v>136.0429</v>
      </c>
      <c r="J3669">
        <v>-367.47890000000001</v>
      </c>
      <c r="K3669">
        <v>1.1103540000000001</v>
      </c>
      <c r="L3669">
        <v>142.0839</v>
      </c>
      <c r="M3669">
        <v>-0.99981019999999998</v>
      </c>
      <c r="N3669">
        <v>-1.284824E-2</v>
      </c>
      <c r="O3669">
        <v>-1.465548E-2</v>
      </c>
      <c r="P3669">
        <v>-0.98060179999999997</v>
      </c>
      <c r="Q3669">
        <v>0.1801344</v>
      </c>
      <c r="R3669">
        <v>-7.7280199999999993E-2</v>
      </c>
      <c r="S3669">
        <v>-3.0432429999999999</v>
      </c>
      <c r="T3669">
        <v>-6.682014E-2</v>
      </c>
      <c r="U3669">
        <v>-0.36378480000000002</v>
      </c>
      <c r="V3669">
        <v>-6.2891630000000004E-2</v>
      </c>
      <c r="W3669">
        <v>0.1927345</v>
      </c>
      <c r="X3669">
        <v>0.97923340000000003</v>
      </c>
      <c r="Y3669">
        <v>-0.104088899999999</v>
      </c>
      <c r="Z3669">
        <v>-1.676894E-3</v>
      </c>
      <c r="AA3669">
        <v>0.99456659999999997</v>
      </c>
      <c r="AB3669">
        <v>29</v>
      </c>
      <c r="AC3669">
        <v>-50.292899999999896</v>
      </c>
      <c r="AD3669">
        <v>-1.110362470241</v>
      </c>
      <c r="AE3669">
        <v>-6.0409999999999897</v>
      </c>
      <c r="AF3669">
        <v>-5.3006767964871004</v>
      </c>
      <c r="AG3669">
        <v>-1.110362470241</v>
      </c>
      <c r="AH3669">
        <v>50.351844686956902</v>
      </c>
      <c r="AI3669">
        <v>91.2563456606306</v>
      </c>
      <c r="AJ3669">
        <v>96.009549114627603</v>
      </c>
      <c r="AK3669">
        <v>50.642258467564098</v>
      </c>
      <c r="AL3669">
        <v>78.887590297135304</v>
      </c>
      <c r="AM3669">
        <v>93.674795615211394</v>
      </c>
      <c r="AN3669">
        <v>0.99999999814493301</v>
      </c>
    </row>
    <row r="3670" spans="1:40" x14ac:dyDescent="0.25">
      <c r="A3670" t="str">
        <f>"20190304155445823"</f>
        <v>20190304155445823</v>
      </c>
      <c r="B3670" t="str">
        <f>"1551686085810956"</f>
        <v>1551686085810956</v>
      </c>
      <c r="C3670" t="s">
        <v>40</v>
      </c>
      <c r="D3670">
        <v>4.6274509999999998</v>
      </c>
      <c r="E3670">
        <v>0.48314299999999999</v>
      </c>
      <c r="F3670" t="s">
        <v>62</v>
      </c>
      <c r="G3670">
        <v>-417.10180000000003</v>
      </c>
      <c r="H3670" s="1">
        <v>-8.5823810000000007E-6</v>
      </c>
      <c r="I3670">
        <v>136.2227</v>
      </c>
      <c r="J3670">
        <v>-367.7747</v>
      </c>
      <c r="K3670">
        <v>1.110357</v>
      </c>
      <c r="L3670">
        <v>142.0795</v>
      </c>
      <c r="M3670">
        <v>-0.99980999999999998</v>
      </c>
      <c r="N3670">
        <v>-1.285596E-2</v>
      </c>
      <c r="O3670">
        <v>-1.4655410000000001E-2</v>
      </c>
      <c r="P3670">
        <v>-0.98065190000000002</v>
      </c>
      <c r="Q3670">
        <v>0.17984600000000001</v>
      </c>
      <c r="R3670">
        <v>-7.7312370000000005E-2</v>
      </c>
      <c r="S3670">
        <v>-3.0435180000000002</v>
      </c>
      <c r="T3670">
        <v>-6.8101880000000004E-2</v>
      </c>
      <c r="U3670">
        <v>-0.35948180000000002</v>
      </c>
      <c r="V3670">
        <v>-6.2924110000000005E-2</v>
      </c>
      <c r="W3670">
        <v>0.19245419999999999</v>
      </c>
      <c r="X3670">
        <v>0.9792864</v>
      </c>
      <c r="Y3670">
        <v>-0.102691</v>
      </c>
      <c r="Z3670">
        <v>-1.6684530000000001E-3</v>
      </c>
      <c r="AA3670">
        <v>0.99471189999999998</v>
      </c>
      <c r="AB3670">
        <v>28</v>
      </c>
      <c r="AC3670">
        <v>-49.327100000000002</v>
      </c>
      <c r="AD3670">
        <v>-1.1103655823809999</v>
      </c>
      <c r="AE3670">
        <v>-5.85679999999999</v>
      </c>
      <c r="AF3670">
        <v>-5.13063869660711</v>
      </c>
      <c r="AG3670">
        <v>-1.1103655823809999</v>
      </c>
      <c r="AH3670">
        <v>49.382967414571397</v>
      </c>
      <c r="AI3670">
        <v>91.281172741535002</v>
      </c>
      <c r="AJ3670">
        <v>95.931458953536506</v>
      </c>
      <c r="AK3670">
        <v>49.661190439117398</v>
      </c>
      <c r="AL3670">
        <v>78.903956257220003</v>
      </c>
      <c r="AM3670">
        <v>93.676489796315906</v>
      </c>
      <c r="AN3670">
        <v>0.99999995797094499</v>
      </c>
    </row>
    <row r="3671" spans="1:40" x14ac:dyDescent="0.25">
      <c r="A3671" t="str">
        <f>"20190304155445845"</f>
        <v>20190304155445845</v>
      </c>
      <c r="B3671" t="str">
        <f>"1551686085841212"</f>
        <v>1551686085841212</v>
      </c>
      <c r="C3671" t="s">
        <v>40</v>
      </c>
      <c r="D3671">
        <v>4.6028390000000003</v>
      </c>
      <c r="E3671">
        <v>0.48297250000000003</v>
      </c>
      <c r="F3671" t="s">
        <v>62</v>
      </c>
      <c r="G3671">
        <v>-416.91469999999998</v>
      </c>
      <c r="H3671" s="1">
        <v>-8.6402450000000005E-6</v>
      </c>
      <c r="I3671">
        <v>136.3382</v>
      </c>
      <c r="J3671">
        <v>-368.04590000000002</v>
      </c>
      <c r="K3671">
        <v>1.110349</v>
      </c>
      <c r="L3671">
        <v>142.07560000000001</v>
      </c>
      <c r="M3671">
        <v>-0.99980990000000003</v>
      </c>
      <c r="N3671">
        <v>-1.2863879999999999E-2</v>
      </c>
      <c r="O3671">
        <v>-1.465546E-2</v>
      </c>
      <c r="P3671">
        <v>-0.98064200000000001</v>
      </c>
      <c r="Q3671">
        <v>0.17976049999999999</v>
      </c>
      <c r="R3671">
        <v>-7.7637929999999994E-2</v>
      </c>
      <c r="S3671">
        <v>-3.0437319999999999</v>
      </c>
      <c r="T3671">
        <v>-6.8776009999999999E-2</v>
      </c>
      <c r="U3671">
        <v>-0.35562129999999997</v>
      </c>
      <c r="V3671">
        <v>-6.3249630000000001E-2</v>
      </c>
      <c r="W3671">
        <v>0.19237650000000001</v>
      </c>
      <c r="X3671">
        <v>0.9792807</v>
      </c>
      <c r="Y3671">
        <v>-0.10143820000000001</v>
      </c>
      <c r="Z3671">
        <v>-1.65485E-3</v>
      </c>
      <c r="AA3671">
        <v>0.99484039999999996</v>
      </c>
      <c r="AB3671">
        <v>28</v>
      </c>
      <c r="AC3671">
        <v>-48.868799999999901</v>
      </c>
      <c r="AD3671">
        <v>-1.1103576402449999</v>
      </c>
      <c r="AE3671">
        <v>-5.7374000000000001</v>
      </c>
      <c r="AF3671">
        <v>-5.0179744233049899</v>
      </c>
      <c r="AG3671">
        <v>-1.1103576402449999</v>
      </c>
      <c r="AH3671">
        <v>48.922728858108599</v>
      </c>
      <c r="AI3671">
        <v>91.293387044524096</v>
      </c>
      <c r="AJ3671">
        <v>95.856313341355303</v>
      </c>
      <c r="AK3671">
        <v>49.191933894960997</v>
      </c>
      <c r="AL3671">
        <v>78.908492952106798</v>
      </c>
      <c r="AM3671">
        <v>93.6954779539725</v>
      </c>
      <c r="AN3671">
        <v>0.99999996141993697</v>
      </c>
    </row>
    <row r="3672" spans="1:40" x14ac:dyDescent="0.25">
      <c r="A3672" t="str">
        <f>"20190304155445867"</f>
        <v>20190304155445867</v>
      </c>
      <c r="B3672" t="str">
        <f>"1551686085860732"</f>
        <v>1551686085860732</v>
      </c>
      <c r="C3672" t="s">
        <v>40</v>
      </c>
      <c r="D3672">
        <v>4.5688019999999998</v>
      </c>
      <c r="E3672">
        <v>0.4828268</v>
      </c>
      <c r="F3672" t="s">
        <v>62</v>
      </c>
      <c r="G3672">
        <v>-416.93549999999999</v>
      </c>
      <c r="H3672" s="1">
        <v>-8.6324829999999993E-6</v>
      </c>
      <c r="I3672">
        <v>136.32210000000001</v>
      </c>
      <c r="J3672">
        <v>-368.339</v>
      </c>
      <c r="K3672">
        <v>1.1103479999999999</v>
      </c>
      <c r="L3672">
        <v>142.07130000000001</v>
      </c>
      <c r="M3672">
        <v>-0.99980970000000002</v>
      </c>
      <c r="N3672">
        <v>-1.287165E-2</v>
      </c>
      <c r="O3672">
        <v>-1.465527E-2</v>
      </c>
      <c r="P3672">
        <v>-0.98067309999999996</v>
      </c>
      <c r="Q3672">
        <v>0.17960090000000001</v>
      </c>
      <c r="R3672">
        <v>-7.7614269999999999E-2</v>
      </c>
      <c r="S3672">
        <v>-3.0436100000000001</v>
      </c>
      <c r="T3672">
        <v>-6.9125060000000002E-2</v>
      </c>
      <c r="U3672">
        <v>-0.35818480000000003</v>
      </c>
      <c r="V3672">
        <v>-6.3225400000000001E-2</v>
      </c>
      <c r="W3672">
        <v>0.1922249</v>
      </c>
      <c r="X3672">
        <v>0.97931210000000002</v>
      </c>
      <c r="Y3672">
        <v>-0.10226880000000001</v>
      </c>
      <c r="Z3672">
        <v>-1.6742629999999901E-3</v>
      </c>
      <c r="AA3672">
        <v>0.99475539999999996</v>
      </c>
      <c r="AB3672">
        <v>28</v>
      </c>
      <c r="AC3672">
        <v>-48.596499999999899</v>
      </c>
      <c r="AD3672">
        <v>-1.1103566324830001</v>
      </c>
      <c r="AE3672">
        <v>-5.7492000000000001</v>
      </c>
      <c r="AF3672">
        <v>-5.0337369867946604</v>
      </c>
      <c r="AG3672">
        <v>-1.1103566324830001</v>
      </c>
      <c r="AH3672">
        <v>48.6504956201195</v>
      </c>
      <c r="AI3672">
        <v>91.300501778635194</v>
      </c>
      <c r="AJ3672">
        <v>95.907221392568403</v>
      </c>
      <c r="AK3672">
        <v>48.922818029900903</v>
      </c>
      <c r="AL3672">
        <v>78.917344919842805</v>
      </c>
      <c r="AM3672">
        <v>93.693948075479099</v>
      </c>
      <c r="AN3672">
        <v>1.00000002629578</v>
      </c>
    </row>
    <row r="3673" spans="1:40" x14ac:dyDescent="0.25">
      <c r="A3673" t="str">
        <f>"20190304155445890"</f>
        <v>20190304155445890</v>
      </c>
      <c r="B3673" t="str">
        <f>"1551686085881228"</f>
        <v>1551686085881228</v>
      </c>
      <c r="C3673" t="s">
        <v>40</v>
      </c>
      <c r="D3673">
        <v>4.5506859999999998</v>
      </c>
      <c r="E3673">
        <v>0.48267680000000002</v>
      </c>
      <c r="F3673" t="s">
        <v>62</v>
      </c>
      <c r="G3673">
        <v>-416.92570000000001</v>
      </c>
      <c r="H3673" s="1">
        <v>-8.6367270000000004E-6</v>
      </c>
      <c r="I3673">
        <v>136.33109999999999</v>
      </c>
      <c r="J3673">
        <v>-368.62779999999998</v>
      </c>
      <c r="K3673">
        <v>1.110344</v>
      </c>
      <c r="L3673">
        <v>142.06710000000001</v>
      </c>
      <c r="M3673">
        <v>-0.99980970000000002</v>
      </c>
      <c r="N3673">
        <v>-1.2878850000000001E-2</v>
      </c>
      <c r="O3673">
        <v>-1.465555E-2</v>
      </c>
      <c r="P3673">
        <v>-0.98063350000000005</v>
      </c>
      <c r="Q3673">
        <v>0.17972389999999999</v>
      </c>
      <c r="R3673">
        <v>-7.7828969999999997E-2</v>
      </c>
      <c r="S3673">
        <v>-3.043396</v>
      </c>
      <c r="T3673">
        <v>-6.9550989999999993E-2</v>
      </c>
      <c r="U3673">
        <v>-0.35955809999999999</v>
      </c>
      <c r="V3673">
        <v>-6.3439960000000004E-2</v>
      </c>
      <c r="W3673">
        <v>0.19235450000000001</v>
      </c>
      <c r="X3673">
        <v>0.9792727</v>
      </c>
      <c r="Y3673">
        <v>-0.1027188</v>
      </c>
      <c r="Z3673">
        <v>-1.6879009999999999E-3</v>
      </c>
      <c r="AA3673">
        <v>0.99470899999999995</v>
      </c>
      <c r="AB3673">
        <v>28</v>
      </c>
      <c r="AC3673">
        <v>-48.297899999999998</v>
      </c>
      <c r="AD3673">
        <v>-1.110352636727</v>
      </c>
      <c r="AE3673">
        <v>-5.7360000000000104</v>
      </c>
      <c r="AF3673">
        <v>-5.0248740607743096</v>
      </c>
      <c r="AG3673">
        <v>-1.110352636727</v>
      </c>
      <c r="AH3673">
        <v>48.351583649638002</v>
      </c>
      <c r="AI3673">
        <v>91.308472814564894</v>
      </c>
      <c r="AJ3673">
        <v>95.933089519132906</v>
      </c>
      <c r="AK3673">
        <v>48.624663327703097</v>
      </c>
      <c r="AL3673">
        <v>78.909777338906395</v>
      </c>
      <c r="AM3673">
        <v>93.706597582183207</v>
      </c>
      <c r="AN3673">
        <v>0.99999995158016897</v>
      </c>
    </row>
    <row r="3674" spans="1:40" x14ac:dyDescent="0.25">
      <c r="A3674" t="str">
        <f>"20190304155445912"</f>
        <v>20190304155445912</v>
      </c>
      <c r="B3674" t="str">
        <f>"1551686085900748"</f>
        <v>1551686085900748</v>
      </c>
      <c r="C3674" t="s">
        <v>40</v>
      </c>
      <c r="D3674">
        <v>4.661651</v>
      </c>
      <c r="E3674">
        <v>0.48245700000000002</v>
      </c>
      <c r="F3674" t="s">
        <v>62</v>
      </c>
      <c r="G3674">
        <v>-417.51580000000001</v>
      </c>
      <c r="H3674" s="1">
        <v>-8.5738049999999995E-6</v>
      </c>
      <c r="I3674">
        <v>136.26070000000001</v>
      </c>
      <c r="J3674">
        <v>-368.90629999999999</v>
      </c>
      <c r="K3674">
        <v>1.1103459999999901</v>
      </c>
      <c r="L3674">
        <v>142.06299999999999</v>
      </c>
      <c r="M3674">
        <v>-0.99980970000000002</v>
      </c>
      <c r="N3674">
        <v>-1.288533E-2</v>
      </c>
      <c r="O3674">
        <v>-1.465559E-2</v>
      </c>
      <c r="P3674">
        <v>-0.98062400000000005</v>
      </c>
      <c r="Q3674">
        <v>0.17958170000000001</v>
      </c>
      <c r="R3674">
        <v>-7.8277379999999994E-2</v>
      </c>
      <c r="S3674">
        <v>-3.0431819999999998</v>
      </c>
      <c r="T3674">
        <v>-6.9117189999999995E-2</v>
      </c>
      <c r="U3674">
        <v>-0.3614349</v>
      </c>
      <c r="V3674">
        <v>-6.3888559999999997E-2</v>
      </c>
      <c r="W3674">
        <v>0.19221840000000001</v>
      </c>
      <c r="X3674">
        <v>0.97927030000000004</v>
      </c>
      <c r="Y3674">
        <v>-0.10333199999999999</v>
      </c>
      <c r="Z3674">
        <v>-1.6940659999999999E-3</v>
      </c>
      <c r="AA3674">
        <v>0.99464549999999996</v>
      </c>
      <c r="AB3674">
        <v>28</v>
      </c>
      <c r="AC3674">
        <v>-48.609499999999997</v>
      </c>
      <c r="AD3674">
        <v>-1.11035457380499</v>
      </c>
      <c r="AE3674">
        <v>-5.8022999999999696</v>
      </c>
      <c r="AF3674">
        <v>-5.08660001316305</v>
      </c>
      <c r="AG3674">
        <v>-1.11035457380499</v>
      </c>
      <c r="AH3674">
        <v>48.664286727861501</v>
      </c>
      <c r="AI3674">
        <v>91.299989618579801</v>
      </c>
      <c r="AJ3674">
        <v>95.967132659995798</v>
      </c>
      <c r="AK3674">
        <v>48.941998219371797</v>
      </c>
      <c r="AL3674">
        <v>78.917724022586796</v>
      </c>
      <c r="AM3674">
        <v>93.732743151914406</v>
      </c>
      <c r="AN3674">
        <v>0.999999990929761</v>
      </c>
    </row>
    <row r="3675" spans="1:40" x14ac:dyDescent="0.25">
      <c r="A3675" t="str">
        <f>"20190304155445933"</f>
        <v>20190304155445933</v>
      </c>
      <c r="B3675" t="str">
        <f>"1551686085931003"</f>
        <v>1551686085931003</v>
      </c>
      <c r="C3675" t="s">
        <v>40</v>
      </c>
      <c r="D3675">
        <v>4.6722659999999996</v>
      </c>
      <c r="E3675">
        <v>0.48206100000000002</v>
      </c>
      <c r="F3675" t="s">
        <v>62</v>
      </c>
      <c r="G3675">
        <v>-417.32839999999999</v>
      </c>
      <c r="H3675" s="1">
        <v>-8.5818139999999997E-6</v>
      </c>
      <c r="I3675">
        <v>136.25360000000001</v>
      </c>
      <c r="J3675">
        <v>-369.17989999999998</v>
      </c>
      <c r="K3675">
        <v>1.1103559999999999</v>
      </c>
      <c r="L3675">
        <v>142.059</v>
      </c>
      <c r="M3675">
        <v>-0.99980959999999997</v>
      </c>
      <c r="N3675">
        <v>-1.2891130000000001E-2</v>
      </c>
      <c r="O3675">
        <v>-1.4655619999999999E-2</v>
      </c>
      <c r="P3675">
        <v>-0.98060480000000005</v>
      </c>
      <c r="Q3675">
        <v>0.17980670000000001</v>
      </c>
      <c r="R3675">
        <v>-7.7998579999999998E-2</v>
      </c>
      <c r="S3675">
        <v>-3.0429080000000002</v>
      </c>
      <c r="T3675">
        <v>-6.9776179999999993E-2</v>
      </c>
      <c r="U3675">
        <v>-0.36506650000000002</v>
      </c>
      <c r="V3675">
        <v>-6.3610130000000001E-2</v>
      </c>
      <c r="W3675">
        <v>0.19244900000000001</v>
      </c>
      <c r="X3675">
        <v>0.97924319999999998</v>
      </c>
      <c r="Y3675">
        <v>-0.1045117</v>
      </c>
      <c r="Z3675">
        <v>-1.7235970000000001E-3</v>
      </c>
      <c r="AA3675">
        <v>0.99452220000000002</v>
      </c>
      <c r="AB3675">
        <v>28</v>
      </c>
      <c r="AC3675">
        <v>-48.148499999999999</v>
      </c>
      <c r="AD3675">
        <v>-1.110364581814</v>
      </c>
      <c r="AE3675">
        <v>-5.8053999999999899</v>
      </c>
      <c r="AF3675">
        <v>-5.0964001774007297</v>
      </c>
      <c r="AG3675">
        <v>-1.110364581814</v>
      </c>
      <c r="AH3675">
        <v>48.203148705803699</v>
      </c>
      <c r="AI3675">
        <v>91.312269404916705</v>
      </c>
      <c r="AJ3675">
        <v>96.035320050302602</v>
      </c>
      <c r="AK3675">
        <v>48.484531032346602</v>
      </c>
      <c r="AL3675">
        <v>78.904260966710495</v>
      </c>
      <c r="AM3675">
        <v>93.716623899744505</v>
      </c>
      <c r="AN3675">
        <v>1.00000005549292</v>
      </c>
    </row>
    <row r="3676" spans="1:40" x14ac:dyDescent="0.25">
      <c r="A3676" t="str">
        <f>"20190304155445956"</f>
        <v>20190304155445956</v>
      </c>
      <c r="B3676" t="str">
        <f>"1551686085951500"</f>
        <v>1551686085951500</v>
      </c>
      <c r="C3676" t="s">
        <v>40</v>
      </c>
      <c r="D3676">
        <v>4.6546219999999998</v>
      </c>
      <c r="E3676">
        <v>0.48180810000000002</v>
      </c>
      <c r="F3676" t="s">
        <v>62</v>
      </c>
      <c r="G3676">
        <v>-417.44560000000001</v>
      </c>
      <c r="H3676" s="1">
        <v>-8.5678309999999993E-6</v>
      </c>
      <c r="I3676">
        <v>136.23599999999999</v>
      </c>
      <c r="J3676">
        <v>-369.46609999999998</v>
      </c>
      <c r="K3676">
        <v>1.110357</v>
      </c>
      <c r="L3676">
        <v>142.0548</v>
      </c>
      <c r="M3676">
        <v>-0.99980950000000002</v>
      </c>
      <c r="N3676">
        <v>-1.289674E-2</v>
      </c>
      <c r="O3676">
        <v>-1.4655659999999999E-2</v>
      </c>
      <c r="P3676">
        <v>-0.98051350000000004</v>
      </c>
      <c r="Q3676">
        <v>0.18018680000000001</v>
      </c>
      <c r="R3676">
        <v>-7.827017E-2</v>
      </c>
      <c r="S3676">
        <v>-3.0429379999999999</v>
      </c>
      <c r="T3676">
        <v>-7.0003510000000005E-2</v>
      </c>
      <c r="U3676">
        <v>-0.36711120000000003</v>
      </c>
      <c r="V3676">
        <v>-6.3883040000000002E-2</v>
      </c>
      <c r="W3676">
        <v>0.19283320000000001</v>
      </c>
      <c r="X3676">
        <v>0.97914979999999996</v>
      </c>
      <c r="Y3676">
        <v>-0.1051687</v>
      </c>
      <c r="Z3676">
        <v>-1.7385300000000001E-3</v>
      </c>
      <c r="AA3676">
        <v>0.99445289999999997</v>
      </c>
      <c r="AB3676">
        <v>28</v>
      </c>
      <c r="AC3676">
        <v>-47.979500000000002</v>
      </c>
      <c r="AD3676">
        <v>-1.110365567831</v>
      </c>
      <c r="AE3676">
        <v>-5.8188000000000004</v>
      </c>
      <c r="AF3676">
        <v>-5.11224697983877</v>
      </c>
      <c r="AG3676">
        <v>-1.110365567831</v>
      </c>
      <c r="AH3676">
        <v>48.034278510072397</v>
      </c>
      <c r="AI3676">
        <v>91.316785510086305</v>
      </c>
      <c r="AJ3676">
        <v>96.075071675603596</v>
      </c>
      <c r="AK3676">
        <v>48.318318398515302</v>
      </c>
      <c r="AL3676">
        <v>78.881827207864305</v>
      </c>
      <c r="AM3676">
        <v>93.732879588293699</v>
      </c>
      <c r="AN3676">
        <v>1.0000000083309599</v>
      </c>
    </row>
    <row r="3677" spans="1:40" x14ac:dyDescent="0.25">
      <c r="A3677" t="str">
        <f>"20190304155445979"</f>
        <v>20190304155445979</v>
      </c>
      <c r="B3677" t="str">
        <f>"1551686085971024"</f>
        <v>1551686085971024</v>
      </c>
      <c r="C3677" t="s">
        <v>40</v>
      </c>
      <c r="D3677">
        <v>4.6517019999999896</v>
      </c>
      <c r="E3677">
        <v>0.48157050000000001</v>
      </c>
      <c r="F3677" t="s">
        <v>62</v>
      </c>
      <c r="G3677">
        <v>-418.15260000000001</v>
      </c>
      <c r="H3677" s="1">
        <v>-8.4857370000000003E-6</v>
      </c>
      <c r="I3677">
        <v>136.1352</v>
      </c>
      <c r="J3677">
        <v>-369.76089999999999</v>
      </c>
      <c r="K3677">
        <v>1.110363</v>
      </c>
      <c r="L3677">
        <v>142.0505</v>
      </c>
      <c r="M3677">
        <v>-0.99980939999999996</v>
      </c>
      <c r="N3677">
        <v>-1.2901899999999999E-2</v>
      </c>
      <c r="O3677">
        <v>-1.4655690000000001E-2</v>
      </c>
      <c r="P3677">
        <v>-0.98045950000000004</v>
      </c>
      <c r="Q3677">
        <v>0.1804606</v>
      </c>
      <c r="R3677">
        <v>-7.8316469999999999E-2</v>
      </c>
      <c r="S3677">
        <v>-3.0428470000000001</v>
      </c>
      <c r="T3677">
        <v>-6.93965E-2</v>
      </c>
      <c r="U3677">
        <v>-0.36996459999999998</v>
      </c>
      <c r="V3677">
        <v>-6.3929899999999998E-2</v>
      </c>
      <c r="W3677">
        <v>0.19311110000000001</v>
      </c>
      <c r="X3677">
        <v>0.97909190000000001</v>
      </c>
      <c r="Y3677">
        <v>-0.1060914</v>
      </c>
      <c r="Z3677">
        <v>-1.7478029999999901E-3</v>
      </c>
      <c r="AA3677">
        <v>0.99435479999999998</v>
      </c>
      <c r="AB3677">
        <v>28</v>
      </c>
      <c r="AC3677">
        <v>-48.3917</v>
      </c>
      <c r="AD3677">
        <v>-1.110371485737</v>
      </c>
      <c r="AE3677">
        <v>-5.9153000000000002</v>
      </c>
      <c r="AF3677">
        <v>-5.2026929613069601</v>
      </c>
      <c r="AG3677">
        <v>-1.110371485737</v>
      </c>
      <c r="AH3677">
        <v>48.448069689624198</v>
      </c>
      <c r="AI3677">
        <v>91.305417683621101</v>
      </c>
      <c r="AJ3677">
        <v>96.129332924279495</v>
      </c>
      <c r="AK3677">
        <v>48.739269542501901</v>
      </c>
      <c r="AL3677">
        <v>78.865598918924206</v>
      </c>
      <c r="AM3677">
        <v>93.735830294834798</v>
      </c>
      <c r="AN3677">
        <v>0.99999993885141303</v>
      </c>
    </row>
    <row r="3678" spans="1:40" x14ac:dyDescent="0.25">
      <c r="A3678" t="str">
        <f>"20190304155446001"</f>
        <v>20190304155446001</v>
      </c>
      <c r="B3678" t="str">
        <f>"1551686085990540"</f>
        <v>1551686085990540</v>
      </c>
      <c r="C3678" t="s">
        <v>40</v>
      </c>
      <c r="D3678">
        <v>4.659567</v>
      </c>
      <c r="E3678">
        <v>0.48134500000000002</v>
      </c>
      <c r="F3678" t="s">
        <v>62</v>
      </c>
      <c r="G3678">
        <v>-418.69450000000001</v>
      </c>
      <c r="H3678" s="1">
        <v>-8.4242300000000001E-6</v>
      </c>
      <c r="I3678">
        <v>136.06139999999999</v>
      </c>
      <c r="J3678">
        <v>-370.0333</v>
      </c>
      <c r="K3678">
        <v>1.1103639999999999</v>
      </c>
      <c r="L3678">
        <v>142.04650000000001</v>
      </c>
      <c r="M3678">
        <v>-0.99980930000000001</v>
      </c>
      <c r="N3678">
        <v>-1.2905979999999999E-2</v>
      </c>
      <c r="O3678">
        <v>-1.4655720000000001E-2</v>
      </c>
      <c r="P3678">
        <v>-0.98035870000000003</v>
      </c>
      <c r="Q3678">
        <v>0.18095439999999999</v>
      </c>
      <c r="R3678">
        <v>-7.8438309999999997E-2</v>
      </c>
      <c r="S3678">
        <v>-3.0427550000000001</v>
      </c>
      <c r="T3678">
        <v>-6.9044350000000004E-2</v>
      </c>
      <c r="U3678">
        <v>-0.37240600000000001</v>
      </c>
      <c r="V3678">
        <v>-6.405284E-2</v>
      </c>
      <c r="W3678">
        <v>0.1936079</v>
      </c>
      <c r="X3678">
        <v>0.97898580000000002</v>
      </c>
      <c r="Y3678">
        <v>-0.10688110000000001</v>
      </c>
      <c r="Z3678">
        <v>-1.75770299999999E-3</v>
      </c>
      <c r="AA3678">
        <v>0.99427030000000005</v>
      </c>
      <c r="AB3678">
        <v>28</v>
      </c>
      <c r="AC3678">
        <v>-48.661200000000001</v>
      </c>
      <c r="AD3678">
        <v>-1.1103724242299999</v>
      </c>
      <c r="AE3678">
        <v>-5.9851000000000099</v>
      </c>
      <c r="AF3678">
        <v>-5.2685304186092603</v>
      </c>
      <c r="AG3678">
        <v>-1.1103724242299999</v>
      </c>
      <c r="AH3678">
        <v>48.718707256299403</v>
      </c>
      <c r="AI3678">
        <v>91.298065189434794</v>
      </c>
      <c r="AJ3678">
        <v>96.172085192713894</v>
      </c>
      <c r="AK3678">
        <v>49.015332054544899</v>
      </c>
      <c r="AL3678">
        <v>78.836587445988997</v>
      </c>
      <c r="AM3678">
        <v>93.743398560194095</v>
      </c>
      <c r="AN3678">
        <v>0.99999999092805703</v>
      </c>
    </row>
    <row r="3679" spans="1:40" x14ac:dyDescent="0.25">
      <c r="A3679" t="str">
        <f>"20190304155446023"</f>
        <v>20190304155446023</v>
      </c>
      <c r="B3679" t="str">
        <f>"1551686086020797"</f>
        <v>1551686086020797</v>
      </c>
      <c r="C3679" t="s">
        <v>40</v>
      </c>
      <c r="D3679">
        <v>4.588171</v>
      </c>
      <c r="E3679">
        <v>0.48106670000000001</v>
      </c>
      <c r="F3679" t="s">
        <v>62</v>
      </c>
      <c r="G3679">
        <v>-419.54989999999998</v>
      </c>
      <c r="H3679" s="1">
        <v>-8.3304689999999995E-6</v>
      </c>
      <c r="I3679">
        <v>135.95310000000001</v>
      </c>
      <c r="J3679">
        <v>-370.3152</v>
      </c>
      <c r="K3679">
        <v>1.110368</v>
      </c>
      <c r="L3679">
        <v>142.04230000000001</v>
      </c>
      <c r="M3679">
        <v>-0.99980930000000001</v>
      </c>
      <c r="N3679">
        <v>-1.2909550000000001E-2</v>
      </c>
      <c r="O3679">
        <v>-1.46555E-2</v>
      </c>
      <c r="P3679">
        <v>-0.98023210000000005</v>
      </c>
      <c r="Q3679">
        <v>0.1815939</v>
      </c>
      <c r="R3679">
        <v>-7.8539570000000003E-2</v>
      </c>
      <c r="S3679">
        <v>-3.042786</v>
      </c>
      <c r="T3679">
        <v>-6.8232059999999997E-2</v>
      </c>
      <c r="U3679">
        <v>-0.37443539999999997</v>
      </c>
      <c r="V3679">
        <v>-6.4156580000000005E-2</v>
      </c>
      <c r="W3679">
        <v>0.19424930000000001</v>
      </c>
      <c r="X3679">
        <v>0.97885200000000006</v>
      </c>
      <c r="Y3679">
        <v>-0.1075339</v>
      </c>
      <c r="Z3679">
        <v>-1.7591320000000001E-3</v>
      </c>
      <c r="AA3679">
        <v>0.99419990000000003</v>
      </c>
      <c r="AB3679">
        <v>28</v>
      </c>
      <c r="AC3679">
        <v>-49.234699999999897</v>
      </c>
      <c r="AD3679">
        <v>-1.110376330469</v>
      </c>
      <c r="AE3679">
        <v>-6.0891999999999999</v>
      </c>
      <c r="AF3679">
        <v>-5.3642393913295701</v>
      </c>
      <c r="AG3679">
        <v>-1.110376330469</v>
      </c>
      <c r="AH3679">
        <v>49.293964711901097</v>
      </c>
      <c r="AI3679">
        <v>91.282833008846097</v>
      </c>
      <c r="AJ3679">
        <v>96.210569805392595</v>
      </c>
      <c r="AK3679">
        <v>49.597408771637603</v>
      </c>
      <c r="AL3679">
        <v>78.799127408166498</v>
      </c>
      <c r="AM3679">
        <v>93.749955141487007</v>
      </c>
      <c r="AN3679">
        <v>1.0000000476058899</v>
      </c>
    </row>
    <row r="3680" spans="1:40" x14ac:dyDescent="0.25">
      <c r="A3680" t="str">
        <f>"20190304155446045"</f>
        <v>20190304155446045</v>
      </c>
      <c r="B3680" t="str">
        <f>"1551686086041292"</f>
        <v>1551686086041292</v>
      </c>
      <c r="C3680" t="s">
        <v>40</v>
      </c>
      <c r="D3680">
        <v>4.5717530000000002</v>
      </c>
      <c r="E3680">
        <v>0.48090290000000002</v>
      </c>
      <c r="F3680" t="s">
        <v>62</v>
      </c>
      <c r="G3680">
        <v>-420.89100000000002</v>
      </c>
      <c r="H3680" s="1">
        <v>-8.3710949999999999E-6</v>
      </c>
      <c r="I3680">
        <v>135.78200000000001</v>
      </c>
      <c r="J3680">
        <v>-370.60090000000002</v>
      </c>
      <c r="K3680">
        <v>1.1103639999999999</v>
      </c>
      <c r="L3680">
        <v>142.03809999999999</v>
      </c>
      <c r="M3680">
        <v>-0.99980930000000001</v>
      </c>
      <c r="N3680">
        <v>-1.29126E-2</v>
      </c>
      <c r="O3680">
        <v>-1.465552E-2</v>
      </c>
      <c r="P3680">
        <v>-0.98014590000000001</v>
      </c>
      <c r="Q3680">
        <v>0.18203359999999999</v>
      </c>
      <c r="R3680">
        <v>-7.8598950000000001E-2</v>
      </c>
      <c r="S3680">
        <v>-3.042694</v>
      </c>
      <c r="T3680">
        <v>-6.6801550000000001E-2</v>
      </c>
      <c r="U3680">
        <v>-0.37663269999999999</v>
      </c>
      <c r="V3680">
        <v>-6.4217129999999997E-2</v>
      </c>
      <c r="W3680">
        <v>0.1946908</v>
      </c>
      <c r="X3680">
        <v>0.97876019999999997</v>
      </c>
      <c r="Y3680">
        <v>-0.1082457</v>
      </c>
      <c r="Z3680">
        <v>-1.753433E-3</v>
      </c>
      <c r="AA3680">
        <v>0.99412259999999997</v>
      </c>
      <c r="AB3680">
        <v>28</v>
      </c>
      <c r="AC3680">
        <v>-50.290099999999903</v>
      </c>
      <c r="AD3680">
        <v>-1.110372371095</v>
      </c>
      <c r="AE3680">
        <v>-6.2560999999999698</v>
      </c>
      <c r="AF3680">
        <v>-5.5156911276744998</v>
      </c>
      <c r="AG3680">
        <v>-1.110372371095</v>
      </c>
      <c r="AH3680">
        <v>50.352219588910003</v>
      </c>
      <c r="AI3680">
        <v>91.2557782723744</v>
      </c>
      <c r="AJ3680">
        <v>96.251378780071406</v>
      </c>
      <c r="AK3680">
        <v>50.665587857521302</v>
      </c>
      <c r="AL3680">
        <v>78.773337737960802</v>
      </c>
      <c r="AM3680">
        <v>93.753835220180704</v>
      </c>
      <c r="AN3680">
        <v>0.99999993824705602</v>
      </c>
    </row>
    <row r="3681" spans="1:40" x14ac:dyDescent="0.25">
      <c r="A3681" t="str">
        <f>"20190304155446069"</f>
        <v>20190304155446069</v>
      </c>
      <c r="B3681" t="str">
        <f>"1551686086060584"</f>
        <v>1551686086060584</v>
      </c>
      <c r="C3681" t="s">
        <v>40</v>
      </c>
      <c r="D3681">
        <v>4.6508710000000004</v>
      </c>
      <c r="E3681">
        <v>0.48073880000000002</v>
      </c>
      <c r="F3681" t="s">
        <v>62</v>
      </c>
      <c r="G3681">
        <v>-422.13740000000001</v>
      </c>
      <c r="H3681" s="1">
        <v>-8.4843889999999995E-6</v>
      </c>
      <c r="I3681">
        <v>135.6206</v>
      </c>
      <c r="J3681">
        <v>-370.89120000000003</v>
      </c>
      <c r="K3681">
        <v>1.110363</v>
      </c>
      <c r="L3681">
        <v>142.03389999999999</v>
      </c>
      <c r="M3681">
        <v>-0.99980910000000001</v>
      </c>
      <c r="N3681">
        <v>-1.291514E-2</v>
      </c>
      <c r="O3681">
        <v>-1.465578E-2</v>
      </c>
      <c r="P3681">
        <v>-0.98022010000000004</v>
      </c>
      <c r="Q3681">
        <v>0.1818379</v>
      </c>
      <c r="R3681">
        <v>-7.8125929999999996E-2</v>
      </c>
      <c r="S3681">
        <v>-3.0426030000000002</v>
      </c>
      <c r="T3681">
        <v>-6.5554020000000005E-2</v>
      </c>
      <c r="U3681">
        <v>-0.37887569999999998</v>
      </c>
      <c r="V3681">
        <v>-6.3742629999999995E-2</v>
      </c>
      <c r="W3681">
        <v>0.19449859999999999</v>
      </c>
      <c r="X3681">
        <v>0.97882950000000002</v>
      </c>
      <c r="Y3681">
        <v>-0.10897179999999999</v>
      </c>
      <c r="Z3681">
        <v>-1.7499950000000001E-3</v>
      </c>
      <c r="AA3681">
        <v>0.99404329999999996</v>
      </c>
      <c r="AB3681">
        <v>28</v>
      </c>
      <c r="AC3681">
        <v>-51.246199999999902</v>
      </c>
      <c r="AD3681">
        <v>-1.110371484389</v>
      </c>
      <c r="AE3681">
        <v>-6.4132999999999898</v>
      </c>
      <c r="AF3681">
        <v>-5.6588796020487901</v>
      </c>
      <c r="AG3681">
        <v>-1.110371484389</v>
      </c>
      <c r="AH3681">
        <v>51.310977109854903</v>
      </c>
      <c r="AI3681">
        <v>91.232220577346297</v>
      </c>
      <c r="AJ3681">
        <v>96.293485561042701</v>
      </c>
      <c r="AK3681">
        <v>51.634021876587198</v>
      </c>
      <c r="AL3681">
        <v>78.784565409049605</v>
      </c>
      <c r="AM3681">
        <v>93.725913519043104</v>
      </c>
      <c r="AN3681">
        <v>1.0000000091757599</v>
      </c>
    </row>
    <row r="3682" spans="1:40" x14ac:dyDescent="0.25">
      <c r="A3682" t="str">
        <f>"20190304155446091"</f>
        <v>20190304155446091</v>
      </c>
      <c r="B3682" t="str">
        <f>"1551686086081080"</f>
        <v>1551686086081080</v>
      </c>
      <c r="C3682" t="s">
        <v>40</v>
      </c>
      <c r="D3682">
        <v>4.6331110000000004</v>
      </c>
      <c r="E3682">
        <v>0.48053299999999999</v>
      </c>
      <c r="F3682" t="s">
        <v>62</v>
      </c>
      <c r="G3682">
        <v>-421.75139999999999</v>
      </c>
      <c r="H3682" s="1">
        <v>-8.4622979999999998E-6</v>
      </c>
      <c r="I3682">
        <v>135.70249999999999</v>
      </c>
      <c r="J3682">
        <v>-371.17520000000002</v>
      </c>
      <c r="K3682">
        <v>1.11036</v>
      </c>
      <c r="L3682">
        <v>142.02969999999999</v>
      </c>
      <c r="M3682">
        <v>-0.99980930000000001</v>
      </c>
      <c r="N3682">
        <v>-1.2917140000000001E-2</v>
      </c>
      <c r="O3682">
        <v>-1.4655909999999999E-2</v>
      </c>
      <c r="P3682">
        <v>-0.98029599999999995</v>
      </c>
      <c r="Q3682">
        <v>0.18139079999999999</v>
      </c>
      <c r="R3682">
        <v>-7.8214489999999998E-2</v>
      </c>
      <c r="S3682">
        <v>-3.0426329999999999</v>
      </c>
      <c r="T3682">
        <v>-6.6426280000000004E-2</v>
      </c>
      <c r="U3682">
        <v>-0.37876890000000002</v>
      </c>
      <c r="V3682">
        <v>-6.3830029999999996E-2</v>
      </c>
      <c r="W3682">
        <v>0.19405420000000001</v>
      </c>
      <c r="X3682">
        <v>0.978912</v>
      </c>
      <c r="Y3682">
        <v>-0.108935199999999</v>
      </c>
      <c r="Z3682">
        <v>-1.760864E-3</v>
      </c>
      <c r="AA3682">
        <v>0.99404729999999997</v>
      </c>
      <c r="AB3682">
        <v>28</v>
      </c>
      <c r="AC3682">
        <v>-50.576199999999901</v>
      </c>
      <c r="AD3682">
        <v>-1.1103684622979999</v>
      </c>
      <c r="AE3682">
        <v>-6.3272000000000004</v>
      </c>
      <c r="AF3682">
        <v>-5.5825690431918602</v>
      </c>
      <c r="AG3682">
        <v>-1.1103684622979999</v>
      </c>
      <c r="AH3682">
        <v>50.6394738036498</v>
      </c>
      <c r="AI3682">
        <v>91.2485579178514</v>
      </c>
      <c r="AJ3682">
        <v>96.290966832300995</v>
      </c>
      <c r="AK3682">
        <v>50.958358513148802</v>
      </c>
      <c r="AL3682">
        <v>78.810522159970404</v>
      </c>
      <c r="AM3682">
        <v>93.730694293015603</v>
      </c>
      <c r="AN3682">
        <v>1.00000000450572</v>
      </c>
    </row>
    <row r="3683" spans="1:40" x14ac:dyDescent="0.25">
      <c r="A3683" t="str">
        <f>"20190304155446114"</f>
        <v>20190304155446114</v>
      </c>
      <c r="B3683" t="str">
        <f>"1551686086111336"</f>
        <v>1551686086111336</v>
      </c>
      <c r="C3683" t="s">
        <v>40</v>
      </c>
      <c r="D3683">
        <v>4.6468990000000003</v>
      </c>
      <c r="E3683">
        <v>0.48024539999999999</v>
      </c>
      <c r="F3683" t="s">
        <v>62</v>
      </c>
      <c r="G3683">
        <v>-420.43689999999998</v>
      </c>
      <c r="H3683" s="1">
        <v>-8.3438339999999993E-6</v>
      </c>
      <c r="I3683">
        <v>135.8751</v>
      </c>
      <c r="J3683">
        <v>-371.45729999999998</v>
      </c>
      <c r="K3683">
        <v>1.110355</v>
      </c>
      <c r="L3683">
        <v>142.0256</v>
      </c>
      <c r="M3683">
        <v>-0.99980919999999895</v>
      </c>
      <c r="N3683">
        <v>-1.2918600000000001E-2</v>
      </c>
      <c r="O3683">
        <v>-1.46558E-2</v>
      </c>
      <c r="P3683">
        <v>-0.98043440000000004</v>
      </c>
      <c r="Q3683">
        <v>0.18063080000000001</v>
      </c>
      <c r="R3683">
        <v>-7.8239069999999994E-2</v>
      </c>
      <c r="S3683">
        <v>-3.0426639999999998</v>
      </c>
      <c r="T3683">
        <v>-6.8582180000000006E-2</v>
      </c>
      <c r="U3683">
        <v>-0.38014219999999999</v>
      </c>
      <c r="V3683">
        <v>-6.3852820000000005E-2</v>
      </c>
      <c r="W3683">
        <v>0.19329779999999999</v>
      </c>
      <c r="X3683">
        <v>0.97906020000000005</v>
      </c>
      <c r="Y3683">
        <v>-0.1093737</v>
      </c>
      <c r="Z3683">
        <v>-1.7968120000000001E-3</v>
      </c>
      <c r="AA3683">
        <v>0.99399910000000002</v>
      </c>
      <c r="AB3683">
        <v>28</v>
      </c>
      <c r="AC3683">
        <v>-48.979599999999998</v>
      </c>
      <c r="AD3683">
        <v>-1.1103633438339999</v>
      </c>
      <c r="AE3683">
        <v>-6.1504999999999903</v>
      </c>
      <c r="AF3683">
        <v>-5.4291973414261401</v>
      </c>
      <c r="AG3683">
        <v>-1.1103633438339999</v>
      </c>
      <c r="AH3683">
        <v>49.039675154123799</v>
      </c>
      <c r="AI3683">
        <v>91.289203622380597</v>
      </c>
      <c r="AJ3683">
        <v>96.317506245428007</v>
      </c>
      <c r="AK3683">
        <v>49.351786489948601</v>
      </c>
      <c r="AL3683">
        <v>78.854697615729805</v>
      </c>
      <c r="AM3683">
        <v>93.731459224956396</v>
      </c>
      <c r="AN3683">
        <v>1.0000000486654099</v>
      </c>
    </row>
    <row r="3684" spans="1:40" x14ac:dyDescent="0.25">
      <c r="A3684" t="str">
        <f>"20190304155446135"</f>
        <v>20190304155446135</v>
      </c>
      <c r="B3684" t="str">
        <f>"1551686086130856"</f>
        <v>1551686086130856</v>
      </c>
      <c r="C3684" t="s">
        <v>40</v>
      </c>
      <c r="D3684">
        <v>4.5734149999999998</v>
      </c>
      <c r="E3684">
        <v>0.48013339999999999</v>
      </c>
      <c r="F3684" t="s">
        <v>62</v>
      </c>
      <c r="G3684">
        <v>-418.45979999999997</v>
      </c>
      <c r="H3684" s="1">
        <v>-8.4592179999999995E-6</v>
      </c>
      <c r="I3684">
        <v>136.1139</v>
      </c>
      <c r="J3684">
        <v>-371.73219999999998</v>
      </c>
      <c r="K3684">
        <v>1.11036</v>
      </c>
      <c r="L3684">
        <v>142.02160000000001</v>
      </c>
      <c r="M3684">
        <v>-0.99980930000000001</v>
      </c>
      <c r="N3684">
        <v>-1.291961E-2</v>
      </c>
      <c r="O3684">
        <v>-1.4656290000000001E-2</v>
      </c>
      <c r="P3684">
        <v>-0.98053630000000003</v>
      </c>
      <c r="Q3684">
        <v>0.18010489999999901</v>
      </c>
      <c r="R3684">
        <v>-7.8171569999999996E-2</v>
      </c>
      <c r="S3684">
        <v>-3.0425420000000001</v>
      </c>
      <c r="T3684">
        <v>-7.187557E-2</v>
      </c>
      <c r="U3684">
        <v>-0.38267519999999999</v>
      </c>
      <c r="V3684">
        <v>-6.3783880000000001E-2</v>
      </c>
      <c r="W3684">
        <v>0.19277420000000001</v>
      </c>
      <c r="X3684">
        <v>0.97916789999999998</v>
      </c>
      <c r="Y3684">
        <v>-0.1101891</v>
      </c>
      <c r="Z3684">
        <v>-1.854933E-3</v>
      </c>
      <c r="AA3684">
        <v>0.99390889999999998</v>
      </c>
      <c r="AB3684">
        <v>28</v>
      </c>
      <c r="AC3684">
        <v>-46.727600000000002</v>
      </c>
      <c r="AD3684">
        <v>-1.1103684592180001</v>
      </c>
      <c r="AE3684">
        <v>-5.9077000000000002</v>
      </c>
      <c r="AF3684">
        <v>-5.2192543158304696</v>
      </c>
      <c r="AG3684">
        <v>-1.1103684592180001</v>
      </c>
      <c r="AH3684">
        <v>46.7831713692592</v>
      </c>
      <c r="AI3684">
        <v>91.351243385875193</v>
      </c>
      <c r="AJ3684">
        <v>96.365745935530896</v>
      </c>
      <c r="AK3684">
        <v>47.086501856625702</v>
      </c>
      <c r="AL3684">
        <v>78.885272496310606</v>
      </c>
      <c r="AM3684">
        <v>93.727033011858296</v>
      </c>
      <c r="AN3684">
        <v>1.0000000259619499</v>
      </c>
    </row>
    <row r="3685" spans="1:40" x14ac:dyDescent="0.25">
      <c r="A3685" t="str">
        <f>"20190304155446157"</f>
        <v>20190304155446157</v>
      </c>
      <c r="B3685" t="str">
        <f>"1551686086150950"</f>
        <v>1551686086150950</v>
      </c>
      <c r="C3685" t="s">
        <v>40</v>
      </c>
      <c r="D3685">
        <v>5.4326049999999997</v>
      </c>
      <c r="E3685">
        <v>0.48007519999999998</v>
      </c>
      <c r="F3685" t="s">
        <v>62</v>
      </c>
      <c r="G3685">
        <v>-417.66199999999998</v>
      </c>
      <c r="H3685" s="1">
        <v>-8.5544590000000004E-6</v>
      </c>
      <c r="I3685">
        <v>136.23400000000001</v>
      </c>
      <c r="J3685">
        <v>-372.01499999999999</v>
      </c>
      <c r="K3685">
        <v>1.110358</v>
      </c>
      <c r="L3685">
        <v>142.01740000000001</v>
      </c>
      <c r="M3685">
        <v>-0.99980919999999895</v>
      </c>
      <c r="N3685">
        <v>-1.292037E-2</v>
      </c>
      <c r="O3685">
        <v>-1.465869E-2</v>
      </c>
      <c r="P3685">
        <v>-0.98054149999999995</v>
      </c>
      <c r="Q3685">
        <v>0.18006849999999999</v>
      </c>
      <c r="R3685">
        <v>-7.8192429999999993E-2</v>
      </c>
      <c r="S3685">
        <v>-3.0424799999999999</v>
      </c>
      <c r="T3685">
        <v>-7.3552969999999995E-2</v>
      </c>
      <c r="U3685">
        <v>-0.38337710000000003</v>
      </c>
      <c r="V3685">
        <v>-6.3802559999999994E-2</v>
      </c>
      <c r="W3685">
        <v>0.1927382</v>
      </c>
      <c r="X3685">
        <v>0.97917370000000004</v>
      </c>
      <c r="Y3685">
        <v>-0.1104131</v>
      </c>
      <c r="Z3685">
        <v>-1.8813269999999999E-3</v>
      </c>
      <c r="AA3685">
        <v>0.99388399999999999</v>
      </c>
      <c r="AB3685">
        <v>28</v>
      </c>
      <c r="AC3685">
        <v>-45.646999999999899</v>
      </c>
      <c r="AD3685">
        <v>-1.110366554459</v>
      </c>
      <c r="AE3685">
        <v>-5.7834000000000003</v>
      </c>
      <c r="AF3685">
        <v>-5.1106212807585196</v>
      </c>
      <c r="AG3685">
        <v>-1.110366554459</v>
      </c>
      <c r="AH3685">
        <v>45.700264761212402</v>
      </c>
      <c r="AI3685">
        <v>91.3832069275648</v>
      </c>
      <c r="AJ3685">
        <v>96.380826822725595</v>
      </c>
      <c r="AK3685">
        <v>45.9985387051101</v>
      </c>
      <c r="AL3685">
        <v>78.887373795584296</v>
      </c>
      <c r="AM3685">
        <v>93.728099426979995</v>
      </c>
      <c r="AN3685">
        <v>0.99999995758673998</v>
      </c>
    </row>
    <row r="3686" spans="1:40" x14ac:dyDescent="0.25">
      <c r="A3686" t="str">
        <f>"20190304155446180"</f>
        <v>20190304155446180</v>
      </c>
      <c r="B3686" t="str">
        <f>"1551686086171443"</f>
        <v>1551686086171443</v>
      </c>
      <c r="C3686" t="s">
        <v>40</v>
      </c>
      <c r="D3686">
        <v>4.7436559999999997</v>
      </c>
      <c r="E3686">
        <v>0.4808654</v>
      </c>
      <c r="F3686" t="s">
        <v>62</v>
      </c>
      <c r="G3686">
        <v>-417.95150000000001</v>
      </c>
      <c r="H3686" s="1">
        <v>-8.5301379999999903E-6</v>
      </c>
      <c r="I3686">
        <v>136.21559999999999</v>
      </c>
      <c r="J3686">
        <v>-372.29059999999998</v>
      </c>
      <c r="K3686">
        <v>1.110355</v>
      </c>
      <c r="L3686">
        <v>142.01339999999999</v>
      </c>
      <c r="M3686">
        <v>-0.99980899999999995</v>
      </c>
      <c r="N3686">
        <v>-1.2920869999999999E-2</v>
      </c>
      <c r="O3686">
        <v>-1.466518E-2</v>
      </c>
      <c r="P3686">
        <v>-0.98061310000000002</v>
      </c>
      <c r="Q3686">
        <v>0.17973430000000001</v>
      </c>
      <c r="R3686">
        <v>-7.8061649999999996E-2</v>
      </c>
      <c r="S3686">
        <v>-3.0424190000000002</v>
      </c>
      <c r="T3686">
        <v>-7.3540690000000006E-2</v>
      </c>
      <c r="U3686">
        <v>-0.3842621</v>
      </c>
      <c r="V3686">
        <v>-6.3665780000000005E-2</v>
      </c>
      <c r="W3686">
        <v>0.1924051</v>
      </c>
      <c r="X3686">
        <v>0.97924820000000001</v>
      </c>
      <c r="Y3686">
        <v>-0.1106936</v>
      </c>
      <c r="Z3686">
        <v>-1.8863339999999999E-3</v>
      </c>
      <c r="AA3686">
        <v>0.99385279999999998</v>
      </c>
      <c r="AB3686">
        <v>28</v>
      </c>
      <c r="AC3686">
        <v>-45.660899999999998</v>
      </c>
      <c r="AD3686">
        <v>-1.1103635301379999</v>
      </c>
      <c r="AE3686">
        <v>-5.7977999999999899</v>
      </c>
      <c r="AF3686">
        <v>-5.1245129234873499</v>
      </c>
      <c r="AG3686">
        <v>-1.1103635301379999</v>
      </c>
      <c r="AH3686">
        <v>45.7144176104051</v>
      </c>
      <c r="AI3686">
        <v>91.382733944373797</v>
      </c>
      <c r="AJ3686">
        <v>96.396063130336799</v>
      </c>
      <c r="AK3686">
        <v>46.014144752788397</v>
      </c>
      <c r="AL3686">
        <v>78.906824043130001</v>
      </c>
      <c r="AM3686">
        <v>93.719847362240699</v>
      </c>
      <c r="AN3686">
        <v>1.00000004562612</v>
      </c>
    </row>
    <row r="3687" spans="1:40" x14ac:dyDescent="0.25">
      <c r="A3687" t="str">
        <f>"20190304155446203"</f>
        <v>20190304155446203</v>
      </c>
      <c r="B3687" t="str">
        <f>"1551686086190963"</f>
        <v>1551686086190963</v>
      </c>
      <c r="C3687" t="s">
        <v>40</v>
      </c>
      <c r="D3687">
        <v>4.6604429999999999</v>
      </c>
      <c r="E3687">
        <v>0.48189650000000001</v>
      </c>
      <c r="F3687" t="s">
        <v>62</v>
      </c>
      <c r="G3687">
        <v>-418.93619999999999</v>
      </c>
      <c r="H3687" s="1">
        <v>-8.4749760000000004E-6</v>
      </c>
      <c r="I3687">
        <v>136.22040000000001</v>
      </c>
      <c r="J3687">
        <v>-372.57859999999999</v>
      </c>
      <c r="K3687">
        <v>1.1103590000000001</v>
      </c>
      <c r="L3687">
        <v>142.00909999999999</v>
      </c>
      <c r="M3687">
        <v>-0.99980880000000005</v>
      </c>
      <c r="N3687">
        <v>-1.29211E-2</v>
      </c>
      <c r="O3687">
        <v>-1.467921E-2</v>
      </c>
      <c r="P3687">
        <v>-0.98076700000000006</v>
      </c>
      <c r="Q3687">
        <v>0.17886729999999901</v>
      </c>
      <c r="R3687">
        <v>-7.8121469999999998E-2</v>
      </c>
      <c r="S3687">
        <v>-3.0425420000000001</v>
      </c>
      <c r="T3687">
        <v>-7.242548E-2</v>
      </c>
      <c r="U3687">
        <v>-0.37785340000000001</v>
      </c>
      <c r="V3687">
        <v>-6.3711809999999994E-2</v>
      </c>
      <c r="W3687">
        <v>0.1915393</v>
      </c>
      <c r="X3687">
        <v>0.97941489999999998</v>
      </c>
      <c r="Y3687">
        <v>-0.1086154</v>
      </c>
      <c r="Z3687">
        <v>-1.833246E-3</v>
      </c>
      <c r="AA3687">
        <v>0.99408220000000003</v>
      </c>
      <c r="AB3687">
        <v>28</v>
      </c>
      <c r="AC3687">
        <v>-46.357599999999898</v>
      </c>
      <c r="AD3687">
        <v>-1.110367474976</v>
      </c>
      <c r="AE3687">
        <v>-5.7886999999999702</v>
      </c>
      <c r="AF3687">
        <v>-5.1046428399564903</v>
      </c>
      <c r="AG3687">
        <v>-1.110367474976</v>
      </c>
      <c r="AH3687">
        <v>46.411367173566902</v>
      </c>
      <c r="AI3687">
        <v>91.362297807578798</v>
      </c>
      <c r="AJ3687">
        <v>96.276557423627196</v>
      </c>
      <c r="AK3687">
        <v>46.704446227020497</v>
      </c>
      <c r="AL3687">
        <v>78.957370620000404</v>
      </c>
      <c r="AM3687">
        <v>93.7218974246192</v>
      </c>
      <c r="AN3687">
        <v>1.0000000222599801</v>
      </c>
    </row>
    <row r="3688" spans="1:40" x14ac:dyDescent="0.25">
      <c r="A3688" t="str">
        <f>"20190304155446225"</f>
        <v>20190304155446225</v>
      </c>
      <c r="B3688" t="str">
        <f>"1551686086221220"</f>
        <v>1551686086221220</v>
      </c>
      <c r="C3688" t="s">
        <v>40</v>
      </c>
      <c r="D3688">
        <v>4.6220359999999996</v>
      </c>
      <c r="E3688">
        <v>0.48337049999999998</v>
      </c>
      <c r="F3688" t="s">
        <v>62</v>
      </c>
      <c r="G3688">
        <v>-417.96879999999999</v>
      </c>
      <c r="H3688" s="1">
        <v>-8.6442949999999992E-6</v>
      </c>
      <c r="I3688">
        <v>136.4983</v>
      </c>
      <c r="J3688">
        <v>-372.85410000000002</v>
      </c>
      <c r="K3688">
        <v>1.1103639999999999</v>
      </c>
      <c r="L3688">
        <v>142.005</v>
      </c>
      <c r="M3688">
        <v>-0.99980860000000005</v>
      </c>
      <c r="N3688">
        <v>-1.292108E-2</v>
      </c>
      <c r="O3688">
        <v>-1.4701840000000001E-2</v>
      </c>
      <c r="P3688">
        <v>-0.98082049999999998</v>
      </c>
      <c r="Q3688">
        <v>0.17861560000000001</v>
      </c>
      <c r="R3688">
        <v>-7.8026780000000004E-2</v>
      </c>
      <c r="S3688">
        <v>-3.0429689999999998</v>
      </c>
      <c r="T3688">
        <v>-7.4439290000000005E-2</v>
      </c>
      <c r="U3688">
        <v>-0.36944579999999999</v>
      </c>
      <c r="V3688">
        <v>-6.3597290000000001E-2</v>
      </c>
      <c r="W3688">
        <v>0.1912875</v>
      </c>
      <c r="X3688">
        <v>0.97947150000000005</v>
      </c>
      <c r="Y3688">
        <v>-0.1058688</v>
      </c>
      <c r="Z3688">
        <v>-1.8077690000000001E-3</v>
      </c>
      <c r="AA3688">
        <v>0.9943784</v>
      </c>
      <c r="AB3688">
        <v>28</v>
      </c>
      <c r="AC3688">
        <v>-45.1146999999999</v>
      </c>
      <c r="AD3688">
        <v>-1.1103726442949999</v>
      </c>
      <c r="AE3688">
        <v>-5.5066999999999897</v>
      </c>
      <c r="AF3688">
        <v>-4.8398916046013696</v>
      </c>
      <c r="AG3688">
        <v>-1.1103726442949999</v>
      </c>
      <c r="AH3688">
        <v>45.163831783280202</v>
      </c>
      <c r="AI3688">
        <v>91.400343660675901</v>
      </c>
      <c r="AJ3688">
        <v>96.116644439896902</v>
      </c>
      <c r="AK3688">
        <v>45.435989914405098</v>
      </c>
      <c r="AL3688">
        <v>78.972068915387794</v>
      </c>
      <c r="AM3688">
        <v>93.715012095318599</v>
      </c>
      <c r="AN3688">
        <v>0.99999997113192096</v>
      </c>
    </row>
    <row r="3689" spans="1:40" x14ac:dyDescent="0.25">
      <c r="A3689" t="str">
        <f>"20190304155446247"</f>
        <v>20190304155446247</v>
      </c>
      <c r="B3689" t="str">
        <f>"1551686086240743"</f>
        <v>1551686086240743</v>
      </c>
      <c r="C3689" t="s">
        <v>40</v>
      </c>
      <c r="D3689">
        <v>4.6314120000000001</v>
      </c>
      <c r="E3689">
        <v>0.48422720000000002</v>
      </c>
      <c r="F3689" t="s">
        <v>62</v>
      </c>
      <c r="G3689">
        <v>-418.78320000000002</v>
      </c>
      <c r="H3689" s="1">
        <v>-8.6439879999999994E-6</v>
      </c>
      <c r="I3689">
        <v>136.61359999999999</v>
      </c>
      <c r="J3689">
        <v>-373.13350000000003</v>
      </c>
      <c r="K3689">
        <v>1.1103769999999999</v>
      </c>
      <c r="L3689">
        <v>142.0009</v>
      </c>
      <c r="M3689">
        <v>-0.99980809999999998</v>
      </c>
      <c r="N3689">
        <v>-1.2920859999999999E-2</v>
      </c>
      <c r="O3689">
        <v>-1.473235E-2</v>
      </c>
      <c r="P3689">
        <v>-0.98075210000000002</v>
      </c>
      <c r="Q3689">
        <v>0.17902129999999999</v>
      </c>
      <c r="R3689">
        <v>-7.7954239999999994E-2</v>
      </c>
      <c r="S3689">
        <v>-3.0436709999999998</v>
      </c>
      <c r="T3689">
        <v>-7.3583250000000003E-2</v>
      </c>
      <c r="U3689">
        <v>-0.3572845</v>
      </c>
      <c r="V3689">
        <v>-6.3499260000000002E-2</v>
      </c>
      <c r="W3689">
        <v>0.191691</v>
      </c>
      <c r="X3689">
        <v>0.97939900000000002</v>
      </c>
      <c r="Y3689">
        <v>-0.1018955</v>
      </c>
      <c r="Z3689">
        <v>-1.722962E-3</v>
      </c>
      <c r="AA3689">
        <v>0.99479359999999994</v>
      </c>
      <c r="AB3689">
        <v>28</v>
      </c>
      <c r="AC3689">
        <v>-45.649700000000003</v>
      </c>
      <c r="AD3689">
        <v>-1.110385643988</v>
      </c>
      <c r="AE3689">
        <v>-5.3872999999999998</v>
      </c>
      <c r="AF3689">
        <v>-4.7113825635876898</v>
      </c>
      <c r="AG3689">
        <v>-1.110385643988</v>
      </c>
      <c r="AH3689">
        <v>45.697453210158699</v>
      </c>
      <c r="AI3689">
        <v>91.384598754325793</v>
      </c>
      <c r="AJ3689">
        <v>95.886366114422998</v>
      </c>
      <c r="AK3689">
        <v>45.953099044933801</v>
      </c>
      <c r="AL3689">
        <v>78.948514484894005</v>
      </c>
      <c r="AM3689">
        <v>93.7095755227936</v>
      </c>
      <c r="AN3689">
        <v>0.99999999835127296</v>
      </c>
    </row>
    <row r="3690" spans="1:40" x14ac:dyDescent="0.25">
      <c r="A3690" t="str">
        <f>"20190304155446268"</f>
        <v>20190304155446268</v>
      </c>
      <c r="B3690" t="str">
        <f>"1551686086260898"</f>
        <v>1551686086260898</v>
      </c>
      <c r="C3690" t="s">
        <v>40</v>
      </c>
      <c r="D3690">
        <v>4.6522699999999997</v>
      </c>
      <c r="E3690">
        <v>0.48504069999999999</v>
      </c>
      <c r="F3690" t="s">
        <v>62</v>
      </c>
      <c r="G3690">
        <v>-419.89260000000002</v>
      </c>
      <c r="H3690" s="1">
        <v>-8.583305E-6</v>
      </c>
      <c r="I3690">
        <v>136.62270000000001</v>
      </c>
      <c r="J3690">
        <v>-373.41430000000003</v>
      </c>
      <c r="K3690">
        <v>1.110393</v>
      </c>
      <c r="L3690">
        <v>141.9967</v>
      </c>
      <c r="M3690">
        <v>-0.99980740000000001</v>
      </c>
      <c r="N3690">
        <v>-1.292047E-2</v>
      </c>
      <c r="O3690">
        <v>-1.477358E-2</v>
      </c>
      <c r="P3690">
        <v>-0.98073259999999995</v>
      </c>
      <c r="Q3690">
        <v>0.17907479999999901</v>
      </c>
      <c r="R3690">
        <v>-7.8077519999999997E-2</v>
      </c>
      <c r="S3690">
        <v>-3.0442200000000001</v>
      </c>
      <c r="T3690">
        <v>-7.2290779999999999E-2</v>
      </c>
      <c r="U3690">
        <v>-0.35014339999999999</v>
      </c>
      <c r="V3690">
        <v>-6.3585470000000005E-2</v>
      </c>
      <c r="W3690">
        <v>0.19174289999999999</v>
      </c>
      <c r="X3690">
        <v>0.97938320000000001</v>
      </c>
      <c r="Y3690">
        <v>-9.9533150000000001E-2</v>
      </c>
      <c r="Z3690">
        <v>-1.663795E-3</v>
      </c>
      <c r="AA3690">
        <v>0.99503280000000005</v>
      </c>
      <c r="AB3690">
        <v>28</v>
      </c>
      <c r="AC3690">
        <v>-46.478299999999898</v>
      </c>
      <c r="AD3690">
        <v>-1.1104015833050001</v>
      </c>
      <c r="AE3690">
        <v>-5.3739999999999899</v>
      </c>
      <c r="AF3690">
        <v>-4.6840669705679696</v>
      </c>
      <c r="AG3690">
        <v>-1.1104015833050001</v>
      </c>
      <c r="AH3690">
        <v>46.526421117397497</v>
      </c>
      <c r="AI3690">
        <v>91.360290367789403</v>
      </c>
      <c r="AJ3690">
        <v>95.748906109331301</v>
      </c>
      <c r="AK3690">
        <v>46.774793821612697</v>
      </c>
      <c r="AL3690">
        <v>78.945484112851801</v>
      </c>
      <c r="AM3690">
        <v>93.714657508759799</v>
      </c>
      <c r="AN3690">
        <v>0.99999995206888403</v>
      </c>
    </row>
    <row r="3691" spans="1:40" x14ac:dyDescent="0.25">
      <c r="A3691" t="str">
        <f>"20190304155446293"</f>
        <v>20190304155446293</v>
      </c>
      <c r="B3691" t="str">
        <f>"1551686086281389"</f>
        <v>1551686086281389</v>
      </c>
      <c r="C3691" t="s">
        <v>40</v>
      </c>
      <c r="D3691">
        <v>4.6488079999999998</v>
      </c>
      <c r="E3691">
        <v>0.48583680000000001</v>
      </c>
      <c r="F3691" t="s">
        <v>62</v>
      </c>
      <c r="G3691">
        <v>-420.21890000000002</v>
      </c>
      <c r="H3691" s="1">
        <v>-8.6519829999999997E-6</v>
      </c>
      <c r="I3691">
        <v>136.70849999999999</v>
      </c>
      <c r="J3691">
        <v>-373.71629999999999</v>
      </c>
      <c r="K3691">
        <v>1.110403</v>
      </c>
      <c r="L3691">
        <v>141.9922</v>
      </c>
      <c r="M3691">
        <v>-0.9998068</v>
      </c>
      <c r="N3691">
        <v>-1.291989E-2</v>
      </c>
      <c r="O3691">
        <v>-1.483105E-2</v>
      </c>
      <c r="P3691">
        <v>-0.98070780000000002</v>
      </c>
      <c r="Q3691">
        <v>0.1791539</v>
      </c>
      <c r="R3691">
        <v>-7.8207219999999994E-2</v>
      </c>
      <c r="S3691">
        <v>-3.0447389999999999</v>
      </c>
      <c r="T3691">
        <v>-7.2233919999999993E-2</v>
      </c>
      <c r="U3691">
        <v>-0.34400940000000002</v>
      </c>
      <c r="V3691">
        <v>-6.3662949999999996E-2</v>
      </c>
      <c r="W3691">
        <v>0.19181970000000001</v>
      </c>
      <c r="X3691">
        <v>0.97936319999999999</v>
      </c>
      <c r="Y3691">
        <v>-9.7478549999999997E-2</v>
      </c>
      <c r="Z3691">
        <v>-1.624779E-3</v>
      </c>
      <c r="AA3691">
        <v>0.99523629999999996</v>
      </c>
      <c r="AB3691">
        <v>28</v>
      </c>
      <c r="AC3691">
        <v>-46.502600000000001</v>
      </c>
      <c r="AD3691">
        <v>-1.1104116519830001</v>
      </c>
      <c r="AE3691">
        <v>-5.2836999999999996</v>
      </c>
      <c r="AF3691">
        <v>-4.59079476770538</v>
      </c>
      <c r="AG3691">
        <v>-1.1104116519830001</v>
      </c>
      <c r="AH3691">
        <v>46.5496503580992</v>
      </c>
      <c r="AI3691">
        <v>91.359899600135094</v>
      </c>
      <c r="AJ3691">
        <v>95.632380361664204</v>
      </c>
      <c r="AK3691">
        <v>46.788656307884501</v>
      </c>
      <c r="AL3691">
        <v>78.941001366328905</v>
      </c>
      <c r="AM3691">
        <v>93.719246924808104</v>
      </c>
      <c r="AN3691">
        <v>1.0000000230125099</v>
      </c>
    </row>
    <row r="3692" spans="1:40" x14ac:dyDescent="0.25">
      <c r="A3692" t="str">
        <f>"20190304155446315"</f>
        <v>20190304155446315</v>
      </c>
      <c r="B3692" t="str">
        <f>"1551686086310670"</f>
        <v>1551686086310670</v>
      </c>
      <c r="C3692" t="s">
        <v>40</v>
      </c>
      <c r="D3692">
        <v>4.6412300000000002</v>
      </c>
      <c r="E3692">
        <v>0.48695339999999998</v>
      </c>
      <c r="F3692" t="s">
        <v>62</v>
      </c>
      <c r="G3692">
        <v>-420.62540000000001</v>
      </c>
      <c r="H3692" s="1">
        <v>-8.7430309999999905E-6</v>
      </c>
      <c r="I3692">
        <v>136.78870000000001</v>
      </c>
      <c r="J3692">
        <v>-373.99340000000001</v>
      </c>
      <c r="K3692">
        <v>1.110414</v>
      </c>
      <c r="L3692">
        <v>141.988</v>
      </c>
      <c r="M3692">
        <v>-0.99980570000000002</v>
      </c>
      <c r="N3692">
        <v>-1.291926E-2</v>
      </c>
      <c r="O3692">
        <v>-1.489472E-2</v>
      </c>
      <c r="P3692">
        <v>-0.98066200000000003</v>
      </c>
      <c r="Q3692">
        <v>0.17915220000000001</v>
      </c>
      <c r="R3692">
        <v>-7.8783560000000002E-2</v>
      </c>
      <c r="S3692">
        <v>-3.045258</v>
      </c>
      <c r="T3692">
        <v>-7.2085979999999994E-2</v>
      </c>
      <c r="U3692">
        <v>-0.33779910000000002</v>
      </c>
      <c r="V3692">
        <v>-6.4181360000000007E-2</v>
      </c>
      <c r="W3692">
        <v>0.1918155</v>
      </c>
      <c r="X3692">
        <v>0.97933020000000004</v>
      </c>
      <c r="Y3692">
        <v>-9.5392550000000007E-2</v>
      </c>
      <c r="Z3692">
        <v>-1.584189E-3</v>
      </c>
      <c r="AA3692">
        <v>0.9954385</v>
      </c>
      <c r="AB3692">
        <v>28</v>
      </c>
      <c r="AC3692">
        <v>-46.631999999999998</v>
      </c>
      <c r="AD3692">
        <v>-1.1104227430310001</v>
      </c>
      <c r="AE3692">
        <v>-5.1992999999999903</v>
      </c>
      <c r="AF3692">
        <v>-4.5015734462853398</v>
      </c>
      <c r="AG3692">
        <v>-1.1104227430310001</v>
      </c>
      <c r="AH3692">
        <v>46.678131645153698</v>
      </c>
      <c r="AI3692">
        <v>91.356457349955207</v>
      </c>
      <c r="AJ3692">
        <v>95.508489582663103</v>
      </c>
      <c r="AK3692">
        <v>46.907837042895601</v>
      </c>
      <c r="AL3692">
        <v>78.941246716369704</v>
      </c>
      <c r="AM3692">
        <v>93.749572843641602</v>
      </c>
      <c r="AN3692">
        <v>1.00000003682186</v>
      </c>
    </row>
    <row r="3693" spans="1:40" x14ac:dyDescent="0.25">
      <c r="A3693" t="str">
        <f>"20190304155446336"</f>
        <v>20190304155446336</v>
      </c>
      <c r="B3693" t="str">
        <f>"1551686086331166"</f>
        <v>1551686086331166</v>
      </c>
      <c r="C3693" t="s">
        <v>40</v>
      </c>
      <c r="D3693">
        <v>4.6219609999999998</v>
      </c>
      <c r="E3693">
        <v>0.4876607</v>
      </c>
      <c r="F3693" t="s">
        <v>62</v>
      </c>
      <c r="G3693">
        <v>-420.79570000000001</v>
      </c>
      <c r="H3693" s="1">
        <v>-8.8159639999999998E-6</v>
      </c>
      <c r="I3693">
        <v>136.90780000000001</v>
      </c>
      <c r="J3693">
        <v>-374.25889999999998</v>
      </c>
      <c r="K3693">
        <v>1.110419</v>
      </c>
      <c r="L3693">
        <v>141.98400000000001</v>
      </c>
      <c r="M3693">
        <v>-0.99980469999999999</v>
      </c>
      <c r="N3693">
        <v>-1.2918560000000001E-2</v>
      </c>
      <c r="O3693">
        <v>-1.4965300000000001E-2</v>
      </c>
      <c r="P3693">
        <v>-0.9805933</v>
      </c>
      <c r="Q3693">
        <v>0.17922089999999999</v>
      </c>
      <c r="R3693">
        <v>-7.9480990000000001E-2</v>
      </c>
      <c r="S3693">
        <v>-3.0458069999999999</v>
      </c>
      <c r="T3693">
        <v>-7.2264309999999998E-2</v>
      </c>
      <c r="U3693">
        <v>-0.33061220000000002</v>
      </c>
      <c r="V3693">
        <v>-6.4814189999999994E-2</v>
      </c>
      <c r="W3693">
        <v>0.19188140000000001</v>
      </c>
      <c r="X3693">
        <v>0.97927560000000002</v>
      </c>
      <c r="Y3693">
        <v>-9.2982339999999997E-2</v>
      </c>
      <c r="Z3693">
        <v>-1.541082E-3</v>
      </c>
      <c r="AA3693">
        <v>0.99566659999999996</v>
      </c>
      <c r="AB3693">
        <v>28</v>
      </c>
      <c r="AC3693">
        <v>-46.536799999999999</v>
      </c>
      <c r="AD3693">
        <v>-1.110427815964</v>
      </c>
      <c r="AE3693">
        <v>-5.0762</v>
      </c>
      <c r="AF3693">
        <v>-4.3766736399610897</v>
      </c>
      <c r="AG3693">
        <v>-1.110427815964</v>
      </c>
      <c r="AH3693">
        <v>46.581351080515297</v>
      </c>
      <c r="AI3693">
        <v>91.359598841204701</v>
      </c>
      <c r="AJ3693">
        <v>95.367617845150704</v>
      </c>
      <c r="AK3693">
        <v>46.7996857956485</v>
      </c>
      <c r="AL3693">
        <v>78.937399336969904</v>
      </c>
      <c r="AM3693">
        <v>93.786647210807104</v>
      </c>
      <c r="AN3693">
        <v>1.0000000258233299</v>
      </c>
    </row>
    <row r="3694" spans="1:40" x14ac:dyDescent="0.25">
      <c r="A3694" t="str">
        <f>"20190304155446359"</f>
        <v>20190304155446359</v>
      </c>
      <c r="B3694" t="str">
        <f>"1551686086351446"</f>
        <v>1551686086351446</v>
      </c>
      <c r="C3694" t="s">
        <v>40</v>
      </c>
      <c r="D3694">
        <v>4.6158890000000001</v>
      </c>
      <c r="E3694">
        <v>0.48834450000000001</v>
      </c>
      <c r="F3694" t="s">
        <v>62</v>
      </c>
      <c r="G3694">
        <v>-421.10059999999999</v>
      </c>
      <c r="H3694" s="1">
        <v>-8.8793849999999905E-6</v>
      </c>
      <c r="I3694">
        <v>136.95599999999999</v>
      </c>
      <c r="J3694">
        <v>-374.54109999999997</v>
      </c>
      <c r="K3694">
        <v>1.1104259999999999</v>
      </c>
      <c r="L3694">
        <v>141.97970000000001</v>
      </c>
      <c r="M3694">
        <v>-0.99980340000000001</v>
      </c>
      <c r="N3694">
        <v>-1.2917730000000001E-2</v>
      </c>
      <c r="O3694">
        <v>-1.504802E-2</v>
      </c>
      <c r="P3694">
        <v>-0.98057479999999997</v>
      </c>
      <c r="Q3694">
        <v>0.1791053</v>
      </c>
      <c r="R3694">
        <v>-7.9965330000000001E-2</v>
      </c>
      <c r="S3694">
        <v>-3.0460509999999998</v>
      </c>
      <c r="T3694">
        <v>-7.2209599999999999E-2</v>
      </c>
      <c r="U3694">
        <v>-0.32696530000000001</v>
      </c>
      <c r="V3694">
        <v>-6.5221500000000002E-2</v>
      </c>
      <c r="W3694">
        <v>0.1917635</v>
      </c>
      <c r="X3694">
        <v>0.97927169999999997</v>
      </c>
      <c r="Y3694">
        <v>-9.1713600000000006E-2</v>
      </c>
      <c r="Z3694">
        <v>-1.516325E-3</v>
      </c>
      <c r="AA3694">
        <v>0.99578429999999996</v>
      </c>
      <c r="AB3694">
        <v>28</v>
      </c>
      <c r="AC3694">
        <v>-46.5595</v>
      </c>
      <c r="AD3694">
        <v>-1.1104348793850001</v>
      </c>
      <c r="AE3694">
        <v>-5.0236999999999901</v>
      </c>
      <c r="AF3694">
        <v>-4.3200153814111397</v>
      </c>
      <c r="AG3694">
        <v>-1.1104348793850001</v>
      </c>
      <c r="AH3694">
        <v>46.603626641927796</v>
      </c>
      <c r="AI3694">
        <v>91.359116321768894</v>
      </c>
      <c r="AJ3694">
        <v>95.296011185556395</v>
      </c>
      <c r="AK3694">
        <v>46.816595505196503</v>
      </c>
      <c r="AL3694">
        <v>78.944282859269194</v>
      </c>
      <c r="AM3694">
        <v>93.810388779045596</v>
      </c>
      <c r="AN3694">
        <v>1.0000000732076899</v>
      </c>
    </row>
    <row r="3695" spans="1:40" x14ac:dyDescent="0.25">
      <c r="A3695" t="str">
        <f>"20190304155446380"</f>
        <v>20190304155446380</v>
      </c>
      <c r="B3695" t="str">
        <f>"1551686086370970"</f>
        <v>1551686086370970</v>
      </c>
      <c r="C3695" t="s">
        <v>40</v>
      </c>
      <c r="D3695">
        <v>4.5925140000000004</v>
      </c>
      <c r="E3695">
        <v>0.489014</v>
      </c>
      <c r="F3695" t="s">
        <v>62</v>
      </c>
      <c r="G3695">
        <v>-421.10539999999997</v>
      </c>
      <c r="H3695" s="1">
        <v>-8.9154350000000001E-6</v>
      </c>
      <c r="I3695">
        <v>137.0428</v>
      </c>
      <c r="J3695">
        <v>-374.81950000000001</v>
      </c>
      <c r="K3695">
        <v>1.110428</v>
      </c>
      <c r="L3695">
        <v>141.97540000000001</v>
      </c>
      <c r="M3695">
        <v>-0.99980210000000003</v>
      </c>
      <c r="N3695">
        <v>-1.2916810000000001E-2</v>
      </c>
      <c r="O3695">
        <v>-1.5135600000000001E-2</v>
      </c>
      <c r="P3695">
        <v>-0.98053170000000001</v>
      </c>
      <c r="Q3695">
        <v>0.17911199999999999</v>
      </c>
      <c r="R3695">
        <v>-8.0477129999999994E-2</v>
      </c>
      <c r="S3695">
        <v>-3.0463559999999998</v>
      </c>
      <c r="T3695">
        <v>-7.2647450000000002E-2</v>
      </c>
      <c r="U3695">
        <v>-0.32298280000000001</v>
      </c>
      <c r="V3695">
        <v>-6.5650089999999994E-2</v>
      </c>
      <c r="W3695">
        <v>0.1917682</v>
      </c>
      <c r="X3695">
        <v>0.9792421</v>
      </c>
      <c r="Y3695">
        <v>-9.0328790000000006E-2</v>
      </c>
      <c r="Z3695">
        <v>-1.4942460000000001E-3</v>
      </c>
      <c r="AA3695">
        <v>0.99591090000000004</v>
      </c>
      <c r="AB3695">
        <v>28</v>
      </c>
      <c r="AC3695">
        <v>-46.285899999999899</v>
      </c>
      <c r="AD3695">
        <v>-1.110436915435</v>
      </c>
      <c r="AE3695">
        <v>-4.9325999999999999</v>
      </c>
      <c r="AF3695">
        <v>-4.2290049069832802</v>
      </c>
      <c r="AG3695">
        <v>-1.110436915435</v>
      </c>
      <c r="AH3695">
        <v>46.328895544704103</v>
      </c>
      <c r="AI3695">
        <v>91.367351737810594</v>
      </c>
      <c r="AJ3695">
        <v>95.215632258453795</v>
      </c>
      <c r="AK3695">
        <v>46.534762436683302</v>
      </c>
      <c r="AL3695">
        <v>78.944008033700499</v>
      </c>
      <c r="AM3695">
        <v>93.835469082236997</v>
      </c>
      <c r="AN3695">
        <v>1.0000000336303201</v>
      </c>
    </row>
    <row r="3696" spans="1:40" x14ac:dyDescent="0.25">
      <c r="A3696" t="str">
        <f>"20190304155446403"</f>
        <v>20190304155446403</v>
      </c>
      <c r="B3696" t="str">
        <f>"1551686086391463"</f>
        <v>1551686086391463</v>
      </c>
      <c r="C3696" t="s">
        <v>40</v>
      </c>
      <c r="D3696">
        <v>4.6234640000000002</v>
      </c>
      <c r="E3696">
        <v>0.48974390000000001</v>
      </c>
      <c r="F3696" t="s">
        <v>62</v>
      </c>
      <c r="G3696">
        <v>-421.3544</v>
      </c>
      <c r="H3696" s="1">
        <v>-8.9739199999999901E-6</v>
      </c>
      <c r="I3696">
        <v>137.0986</v>
      </c>
      <c r="J3696">
        <v>-375.09370000000001</v>
      </c>
      <c r="K3696">
        <v>1.1104290000000001</v>
      </c>
      <c r="L3696">
        <v>141.97110000000001</v>
      </c>
      <c r="M3696">
        <v>-0.99980069999999999</v>
      </c>
      <c r="N3696">
        <v>-1.291585E-2</v>
      </c>
      <c r="O3696">
        <v>-1.5225280000000001E-2</v>
      </c>
      <c r="P3696">
        <v>-0.98046480000000003</v>
      </c>
      <c r="Q3696">
        <v>0.17935909999999999</v>
      </c>
      <c r="R3696">
        <v>-8.0741450000000006E-2</v>
      </c>
      <c r="S3696">
        <v>-3.0466920000000002</v>
      </c>
      <c r="T3696">
        <v>-7.2701689999999999E-2</v>
      </c>
      <c r="U3696">
        <v>-0.31929020000000002</v>
      </c>
      <c r="V3696">
        <v>-6.5828979999999995E-2</v>
      </c>
      <c r="W3696">
        <v>0.19201289999999999</v>
      </c>
      <c r="X3696">
        <v>0.97918210000000006</v>
      </c>
      <c r="Y3696">
        <v>-8.9034619999999995E-2</v>
      </c>
      <c r="Z3696">
        <v>-1.469906E-3</v>
      </c>
      <c r="AA3696">
        <v>0.99602749999999995</v>
      </c>
      <c r="AB3696">
        <v>28</v>
      </c>
      <c r="AC3696">
        <v>-46.2606999999999</v>
      </c>
      <c r="AD3696">
        <v>-1.1104379739200001</v>
      </c>
      <c r="AE3696">
        <v>-4.8724999999999996</v>
      </c>
      <c r="AF3696">
        <v>-4.1651706967814697</v>
      </c>
      <c r="AG3696">
        <v>-1.1104379739200001</v>
      </c>
      <c r="AH3696">
        <v>46.303141743046098</v>
      </c>
      <c r="AI3696">
        <v>91.368276501042104</v>
      </c>
      <c r="AJ3696">
        <v>95.140172070826395</v>
      </c>
      <c r="AK3696">
        <v>46.503361757015703</v>
      </c>
      <c r="AL3696">
        <v>78.929721860748998</v>
      </c>
      <c r="AM3696">
        <v>93.846123986177105</v>
      </c>
      <c r="AN3696">
        <v>0.99999999666732997</v>
      </c>
    </row>
    <row r="3697" spans="1:40" x14ac:dyDescent="0.25">
      <c r="A3697" t="str">
        <f>"20190304155446425"</f>
        <v>20190304155446425</v>
      </c>
      <c r="B3697" t="str">
        <f>"1551686086420743"</f>
        <v>1551686086420743</v>
      </c>
      <c r="C3697" t="s">
        <v>40</v>
      </c>
      <c r="D3697">
        <v>4.6191789999999999</v>
      </c>
      <c r="E3697">
        <v>0.4907127</v>
      </c>
      <c r="F3697" t="s">
        <v>62</v>
      </c>
      <c r="G3697">
        <v>-421.95179999999999</v>
      </c>
      <c r="H3697" s="1">
        <v>-9.0784090000000006E-6</v>
      </c>
      <c r="I3697">
        <v>137.14449999999999</v>
      </c>
      <c r="J3697">
        <v>-375.37419999999997</v>
      </c>
      <c r="K3697">
        <v>1.110433</v>
      </c>
      <c r="L3697">
        <v>141.96680000000001</v>
      </c>
      <c r="M3697">
        <v>-0.9997994</v>
      </c>
      <c r="N3697">
        <v>-1.291485E-2</v>
      </c>
      <c r="O3697">
        <v>-1.531923E-2</v>
      </c>
      <c r="P3697">
        <v>-0.98047830000000002</v>
      </c>
      <c r="Q3697">
        <v>0.17918480000000001</v>
      </c>
      <c r="R3697">
        <v>-8.0964720000000004E-2</v>
      </c>
      <c r="S3697">
        <v>-3.0471499999999998</v>
      </c>
      <c r="T3697">
        <v>-7.2210910000000003E-2</v>
      </c>
      <c r="U3697">
        <v>-0.31387330000000002</v>
      </c>
      <c r="V3697">
        <v>-6.5960149999999995E-2</v>
      </c>
      <c r="W3697">
        <v>0.19183790000000001</v>
      </c>
      <c r="X3697">
        <v>0.97920759999999996</v>
      </c>
      <c r="Y3697">
        <v>-8.7174849999999998E-2</v>
      </c>
      <c r="Z3697">
        <v>-1.430036E-3</v>
      </c>
      <c r="AA3697">
        <v>0.99619199999999997</v>
      </c>
      <c r="AB3697">
        <v>28</v>
      </c>
      <c r="AC3697">
        <v>-46.577599999999997</v>
      </c>
      <c r="AD3697">
        <v>-1.1104420784090001</v>
      </c>
      <c r="AE3697">
        <v>-4.82230000000001</v>
      </c>
      <c r="AF3697">
        <v>-4.1058327396910599</v>
      </c>
      <c r="AG3697">
        <v>-1.1104420784090001</v>
      </c>
      <c r="AH3697">
        <v>46.6197967826824</v>
      </c>
      <c r="AI3697">
        <v>91.359217313526202</v>
      </c>
      <c r="AJ3697">
        <v>95.033086658502995</v>
      </c>
      <c r="AK3697">
        <v>46.813421111412303</v>
      </c>
      <c r="AL3697">
        <v>78.939938845720903</v>
      </c>
      <c r="AM3697">
        <v>93.853664599104803</v>
      </c>
      <c r="AN3697">
        <v>1.0000000225810901</v>
      </c>
    </row>
    <row r="3698" spans="1:40" x14ac:dyDescent="0.25">
      <c r="A3698" t="str">
        <f>"20190304155446448"</f>
        <v>20190304155446448</v>
      </c>
      <c r="B3698" t="str">
        <f>"1551686086441242"</f>
        <v>1551686086441242</v>
      </c>
      <c r="C3698" t="s">
        <v>40</v>
      </c>
      <c r="D3698">
        <v>4.5817680000000003</v>
      </c>
      <c r="E3698">
        <v>0.4913477</v>
      </c>
      <c r="F3698" t="s">
        <v>62</v>
      </c>
      <c r="G3698">
        <v>-421.96969999999999</v>
      </c>
      <c r="H3698" s="1">
        <v>-9.1336009999999995E-6</v>
      </c>
      <c r="I3698">
        <v>137.27369999999999</v>
      </c>
      <c r="J3698">
        <v>-375.65929999999997</v>
      </c>
      <c r="K3698">
        <v>1.1104320000000001</v>
      </c>
      <c r="L3698">
        <v>141.9623</v>
      </c>
      <c r="M3698">
        <v>-0.99979790000000002</v>
      </c>
      <c r="N3698">
        <v>-1.291378E-2</v>
      </c>
      <c r="O3698">
        <v>-1.5414000000000001E-2</v>
      </c>
      <c r="P3698">
        <v>-0.98050610000000005</v>
      </c>
      <c r="Q3698">
        <v>0.17907029999999999</v>
      </c>
      <c r="R3698">
        <v>-8.0881460000000002E-2</v>
      </c>
      <c r="S3698">
        <v>-3.0476990000000002</v>
      </c>
      <c r="T3698">
        <v>-7.2631360000000006E-2</v>
      </c>
      <c r="U3698">
        <v>-0.30696109999999999</v>
      </c>
      <c r="V3698">
        <v>-6.5783759999999997E-2</v>
      </c>
      <c r="W3698">
        <v>0.1917228</v>
      </c>
      <c r="X3698">
        <v>0.97924199999999995</v>
      </c>
      <c r="Y3698">
        <v>-8.4826390000000002E-2</v>
      </c>
      <c r="Z3698">
        <v>-1.38963E-3</v>
      </c>
      <c r="AA3698">
        <v>0.99639480000000002</v>
      </c>
      <c r="AB3698">
        <v>28</v>
      </c>
      <c r="AC3698">
        <v>-46.310400000000001</v>
      </c>
      <c r="AD3698">
        <v>-1.1104411336009901</v>
      </c>
      <c r="AE3698">
        <v>-4.6886000000000001</v>
      </c>
      <c r="AF3698">
        <v>-3.9718944340717699</v>
      </c>
      <c r="AG3698">
        <v>-1.1104411336009901</v>
      </c>
      <c r="AH3698">
        <v>46.350794140149098</v>
      </c>
      <c r="AI3698">
        <v>91.367381871275796</v>
      </c>
      <c r="AJ3698">
        <v>94.897827565067701</v>
      </c>
      <c r="AK3698">
        <v>46.533913894374798</v>
      </c>
      <c r="AL3698">
        <v>78.946658230862298</v>
      </c>
      <c r="AM3698">
        <v>93.843255483237201</v>
      </c>
      <c r="AN3698">
        <v>1.00000001484178</v>
      </c>
    </row>
    <row r="3699" spans="1:40" x14ac:dyDescent="0.25">
      <c r="A3699" t="str">
        <f>"20190304155446470"</f>
        <v>20190304155446470</v>
      </c>
      <c r="B3699" t="str">
        <f>"1551686086460762"</f>
        <v>1551686086460762</v>
      </c>
      <c r="C3699" t="s">
        <v>40</v>
      </c>
      <c r="D3699">
        <v>4.5870800000000003</v>
      </c>
      <c r="E3699">
        <v>0.49195100000000003</v>
      </c>
      <c r="F3699" t="s">
        <v>62</v>
      </c>
      <c r="G3699">
        <v>-422.1157</v>
      </c>
      <c r="H3699" s="1">
        <v>-9.1893349999999993E-6</v>
      </c>
      <c r="I3699">
        <v>137.35910000000001</v>
      </c>
      <c r="J3699">
        <v>-375.93630000000002</v>
      </c>
      <c r="K3699">
        <v>1.110428</v>
      </c>
      <c r="L3699">
        <v>141.9579</v>
      </c>
      <c r="M3699">
        <v>-0.99979649999999998</v>
      </c>
      <c r="N3699">
        <v>-1.2912710000000001E-2</v>
      </c>
      <c r="O3699">
        <v>-1.55047E-2</v>
      </c>
      <c r="P3699">
        <v>-0.98051750000000004</v>
      </c>
      <c r="Q3699">
        <v>0.17898159999999999</v>
      </c>
      <c r="R3699">
        <v>-8.0940100000000001E-2</v>
      </c>
      <c r="S3699">
        <v>-3.0480040000000002</v>
      </c>
      <c r="T3699">
        <v>-7.2856069999999995E-2</v>
      </c>
      <c r="U3699">
        <v>-0.30201719999999999</v>
      </c>
      <c r="V3699">
        <v>-6.5753179999999994E-2</v>
      </c>
      <c r="W3699">
        <v>0.19163340000000001</v>
      </c>
      <c r="X3699">
        <v>0.97926150000000001</v>
      </c>
      <c r="Y3699">
        <v>-8.3126340000000007E-2</v>
      </c>
      <c r="Z3699">
        <v>-1.3592470000000001E-3</v>
      </c>
      <c r="AA3699">
        <v>0.99653809999999998</v>
      </c>
      <c r="AB3699">
        <v>28</v>
      </c>
      <c r="AC3699">
        <v>-46.179400000000001</v>
      </c>
      <c r="AD3699">
        <v>-1.110437189335</v>
      </c>
      <c r="AE3699">
        <v>-4.5987999999999802</v>
      </c>
      <c r="AF3699">
        <v>-3.8799682928417298</v>
      </c>
      <c r="AG3699">
        <v>-1.110437189335</v>
      </c>
      <c r="AH3699">
        <v>46.218694991030603</v>
      </c>
      <c r="AI3699">
        <v>91.371485010318295</v>
      </c>
      <c r="AJ3699">
        <v>94.798616414451601</v>
      </c>
      <c r="AK3699">
        <v>46.394557777597498</v>
      </c>
      <c r="AL3699">
        <v>78.951876665599002</v>
      </c>
      <c r="AM3699">
        <v>93.841398005737304</v>
      </c>
      <c r="AN3699">
        <v>0.99999996302895999</v>
      </c>
    </row>
    <row r="3700" spans="1:40" x14ac:dyDescent="0.25">
      <c r="A3700" t="str">
        <f>"20190304155446492"</f>
        <v>20190304155446492</v>
      </c>
      <c r="B3700" t="str">
        <f>"1551686086481255"</f>
        <v>1551686086481255</v>
      </c>
      <c r="C3700" t="s">
        <v>40</v>
      </c>
      <c r="D3700">
        <v>4.6092579999999996</v>
      </c>
      <c r="E3700">
        <v>0.49254730000000002</v>
      </c>
      <c r="F3700" t="s">
        <v>62</v>
      </c>
      <c r="G3700">
        <v>-422.34219999999999</v>
      </c>
      <c r="H3700" s="1">
        <v>-9.2510550000000005E-6</v>
      </c>
      <c r="I3700">
        <v>137.4307</v>
      </c>
      <c r="J3700">
        <v>-376.22309999999999</v>
      </c>
      <c r="K3700">
        <v>1.1104290000000001</v>
      </c>
      <c r="L3700">
        <v>141.95330000000001</v>
      </c>
      <c r="M3700">
        <v>-0.99979499999999999</v>
      </c>
      <c r="N3700">
        <v>-1.2911560000000001E-2</v>
      </c>
      <c r="O3700">
        <v>-1.5597669999999999E-2</v>
      </c>
      <c r="P3700">
        <v>-0.98053100000000004</v>
      </c>
      <c r="Q3700">
        <v>0.17898359999999999</v>
      </c>
      <c r="R3700">
        <v>-8.0769170000000001E-2</v>
      </c>
      <c r="S3700">
        <v>-3.0483090000000002</v>
      </c>
      <c r="T3700">
        <v>-7.2942499999999993E-2</v>
      </c>
      <c r="U3700">
        <v>-0.29737849999999999</v>
      </c>
      <c r="V3700">
        <v>-6.5490729999999997E-2</v>
      </c>
      <c r="W3700">
        <v>0.19163479999999999</v>
      </c>
      <c r="X3700">
        <v>0.97927889999999995</v>
      </c>
      <c r="Y3700">
        <v>-8.1522490000000003E-2</v>
      </c>
      <c r="Z3700">
        <v>-1.3293329999999901E-3</v>
      </c>
      <c r="AA3700">
        <v>0.99667059999999996</v>
      </c>
      <c r="AB3700">
        <v>28</v>
      </c>
      <c r="AC3700">
        <v>-46.119100000000003</v>
      </c>
      <c r="AD3700">
        <v>-1.1104382510549999</v>
      </c>
      <c r="AE3700">
        <v>-4.5226000000000104</v>
      </c>
      <c r="AF3700">
        <v>-3.8004570114431302</v>
      </c>
      <c r="AG3700">
        <v>-1.1104382510549999</v>
      </c>
      <c r="AH3700">
        <v>46.157532411937297</v>
      </c>
      <c r="AI3700">
        <v>91.373485623797507</v>
      </c>
      <c r="AJ3700">
        <v>94.7069256335745</v>
      </c>
      <c r="AK3700">
        <v>46.327036867948699</v>
      </c>
      <c r="AL3700">
        <v>78.951795888889507</v>
      </c>
      <c r="AM3700">
        <v>93.826043140193093</v>
      </c>
      <c r="AN3700">
        <v>1.00000004813609</v>
      </c>
    </row>
    <row r="3701" spans="1:40" x14ac:dyDescent="0.25">
      <c r="A3701" t="str">
        <f>"20190304155446515"</f>
        <v>20190304155446515</v>
      </c>
      <c r="B3701" t="str">
        <f>"1551686086511510"</f>
        <v>1551686086511510</v>
      </c>
      <c r="C3701" t="s">
        <v>40</v>
      </c>
      <c r="D3701">
        <v>4.5765229999999999</v>
      </c>
      <c r="E3701">
        <v>0.49340260000000002</v>
      </c>
      <c r="F3701" t="s">
        <v>62</v>
      </c>
      <c r="G3701">
        <v>-422.73450000000003</v>
      </c>
      <c r="H3701" s="1">
        <v>-9.3337830000000005E-6</v>
      </c>
      <c r="I3701">
        <v>137.49549999999999</v>
      </c>
      <c r="J3701">
        <v>-376.49549999999999</v>
      </c>
      <c r="K3701">
        <v>1.1104309999999999</v>
      </c>
      <c r="L3701">
        <v>141.94899999999899</v>
      </c>
      <c r="M3701">
        <v>-0.99979370000000001</v>
      </c>
      <c r="N3701">
        <v>-1.2910410000000001E-2</v>
      </c>
      <c r="O3701">
        <v>-1.5684899999999901E-2</v>
      </c>
      <c r="P3701">
        <v>-0.98045099999999996</v>
      </c>
      <c r="Q3701">
        <v>0.17943779999999901</v>
      </c>
      <c r="R3701">
        <v>-8.0735180000000004E-2</v>
      </c>
      <c r="S3701">
        <v>-3.0487980000000001</v>
      </c>
      <c r="T3701">
        <v>-7.2788720000000001E-2</v>
      </c>
      <c r="U3701">
        <v>-0.29220580000000002</v>
      </c>
      <c r="V3701">
        <v>-6.5371840000000001E-2</v>
      </c>
      <c r="W3701">
        <v>0.1920868</v>
      </c>
      <c r="X3701">
        <v>0.97919820000000002</v>
      </c>
      <c r="Y3701">
        <v>-7.9745529999999995E-2</v>
      </c>
      <c r="Z3701">
        <v>-1.294314E-3</v>
      </c>
      <c r="AA3701">
        <v>0.99681439999999999</v>
      </c>
      <c r="AB3701">
        <v>28</v>
      </c>
      <c r="AC3701">
        <v>-46.238999999999997</v>
      </c>
      <c r="AD3701">
        <v>-1.110440333783</v>
      </c>
      <c r="AE3701">
        <v>-4.4534999999999902</v>
      </c>
      <c r="AF3701">
        <v>-3.72550869840684</v>
      </c>
      <c r="AG3701">
        <v>-1.110440333783</v>
      </c>
      <c r="AH3701">
        <v>46.276725521189903</v>
      </c>
      <c r="AI3701">
        <v>91.370154808121001</v>
      </c>
      <c r="AJ3701">
        <v>94.602671589540705</v>
      </c>
      <c r="AK3701">
        <v>46.439722412610799</v>
      </c>
      <c r="AL3701">
        <v>78.925407040418307</v>
      </c>
      <c r="AM3701">
        <v>93.819431843082995</v>
      </c>
      <c r="AN3701">
        <v>0.99999996554123205</v>
      </c>
    </row>
    <row r="3702" spans="1:40" x14ac:dyDescent="0.25">
      <c r="A3702" t="str">
        <f>"20190304155446537"</f>
        <v>20190304155446537</v>
      </c>
      <c r="B3702" t="str">
        <f>"1551686086531030"</f>
        <v>1551686086531030</v>
      </c>
      <c r="C3702" t="s">
        <v>40</v>
      </c>
      <c r="D3702">
        <v>4.5782669999999897</v>
      </c>
      <c r="E3702">
        <v>0.49396380000000001</v>
      </c>
      <c r="F3702" t="s">
        <v>62</v>
      </c>
      <c r="G3702">
        <v>-424.13440000000003</v>
      </c>
      <c r="H3702" s="1">
        <v>-9.5329240000000005E-6</v>
      </c>
      <c r="I3702">
        <v>137.49090000000001</v>
      </c>
      <c r="J3702">
        <v>-376.78399999999999</v>
      </c>
      <c r="K3702">
        <v>1.110436</v>
      </c>
      <c r="L3702">
        <v>141.9443</v>
      </c>
      <c r="M3702">
        <v>-0.99979229999999997</v>
      </c>
      <c r="N3702">
        <v>-1.2909169999999999E-2</v>
      </c>
      <c r="O3702">
        <v>-1.5777030000000001E-2</v>
      </c>
      <c r="P3702">
        <v>-0.98050579999999998</v>
      </c>
      <c r="Q3702">
        <v>0.17917049999999901</v>
      </c>
      <c r="R3702">
        <v>-8.0662499999999998E-2</v>
      </c>
      <c r="S3702">
        <v>-3.0492859999999999</v>
      </c>
      <c r="T3702">
        <v>-7.1077470000000004E-2</v>
      </c>
      <c r="U3702">
        <v>-0.28535460000000001</v>
      </c>
      <c r="V3702">
        <v>-6.5207699999999993E-2</v>
      </c>
      <c r="W3702">
        <v>0.1918192</v>
      </c>
      <c r="X3702">
        <v>0.97926159999999995</v>
      </c>
      <c r="Y3702">
        <v>-7.742077E-2</v>
      </c>
      <c r="Z3702">
        <v>-1.2376069999999999E-3</v>
      </c>
      <c r="AA3702">
        <v>0.99699769999999999</v>
      </c>
      <c r="AB3702">
        <v>28</v>
      </c>
      <c r="AC3702">
        <v>-47.3504</v>
      </c>
      <c r="AD3702">
        <v>-1.1104455329239999</v>
      </c>
      <c r="AE3702">
        <v>-4.4533999999999798</v>
      </c>
      <c r="AF3702">
        <v>-3.70371564520218</v>
      </c>
      <c r="AG3702">
        <v>-1.1104455329239999</v>
      </c>
      <c r="AH3702">
        <v>47.3889383590422</v>
      </c>
      <c r="AI3702">
        <v>91.3382632699618</v>
      </c>
      <c r="AJ3702">
        <v>94.4689073614026</v>
      </c>
      <c r="AK3702">
        <v>47.546420240215802</v>
      </c>
      <c r="AL3702">
        <v>78.941029911451395</v>
      </c>
      <c r="AM3702">
        <v>93.809624101837699</v>
      </c>
      <c r="AN3702">
        <v>0.99999996543124403</v>
      </c>
    </row>
    <row r="3703" spans="1:40" x14ac:dyDescent="0.25">
      <c r="A3703" t="str">
        <f>"20190304155446561"</f>
        <v>20190304155446561</v>
      </c>
      <c r="B3703" t="str">
        <f>"1551686086550551"</f>
        <v>1551686086550551</v>
      </c>
      <c r="C3703" t="s">
        <v>40</v>
      </c>
      <c r="D3703">
        <v>4.6166879999999999</v>
      </c>
      <c r="E3703">
        <v>0.49452669999999999</v>
      </c>
      <c r="F3703" t="s">
        <v>62</v>
      </c>
      <c r="G3703">
        <v>-424.03710000000001</v>
      </c>
      <c r="H3703" s="1">
        <v>-9.5628189999999996E-6</v>
      </c>
      <c r="I3703">
        <v>137.5986</v>
      </c>
      <c r="J3703">
        <v>-377.06670000000003</v>
      </c>
      <c r="K3703">
        <v>1.1104350000000001</v>
      </c>
      <c r="L3703">
        <v>141.93969999999999</v>
      </c>
      <c r="M3703">
        <v>-0.99979090000000004</v>
      </c>
      <c r="N3703">
        <v>-1.2907989999999999E-2</v>
      </c>
      <c r="O3703">
        <v>-1.5867010000000001E-2</v>
      </c>
      <c r="P3703">
        <v>-0.98044039999999999</v>
      </c>
      <c r="Q3703">
        <v>0.17944160000000001</v>
      </c>
      <c r="R3703">
        <v>-8.0856670000000005E-2</v>
      </c>
      <c r="S3703">
        <v>-3.0496829999999999</v>
      </c>
      <c r="T3703">
        <v>-7.1667309999999998E-2</v>
      </c>
      <c r="U3703">
        <v>-0.28047179999999999</v>
      </c>
      <c r="V3703">
        <v>-6.5313930000000006E-2</v>
      </c>
      <c r="W3703">
        <v>0.19208819999999999</v>
      </c>
      <c r="X3703">
        <v>0.97920180000000001</v>
      </c>
      <c r="Y3703">
        <v>-7.573655E-2</v>
      </c>
      <c r="Z3703">
        <v>-1.210324E-3</v>
      </c>
      <c r="AA3703">
        <v>0.99712710000000004</v>
      </c>
      <c r="AB3703">
        <v>28</v>
      </c>
      <c r="AC3703">
        <v>-46.970399999999898</v>
      </c>
      <c r="AD3703">
        <v>-1.1104445628190001</v>
      </c>
      <c r="AE3703">
        <v>-4.3410999999999804</v>
      </c>
      <c r="AF3703">
        <v>-3.5932203002016001</v>
      </c>
      <c r="AG3703">
        <v>-1.1104445628190001</v>
      </c>
      <c r="AH3703">
        <v>47.007321424807998</v>
      </c>
      <c r="AI3703">
        <v>91.349300287032094</v>
      </c>
      <c r="AJ3703">
        <v>94.371165437574803</v>
      </c>
      <c r="AK3703">
        <v>47.157529481389197</v>
      </c>
      <c r="AL3703">
        <v>78.925325416767393</v>
      </c>
      <c r="AM3703">
        <v>93.816044391877796</v>
      </c>
      <c r="AN3703">
        <v>0.99999997557726195</v>
      </c>
    </row>
    <row r="3704" spans="1:40" x14ac:dyDescent="0.25">
      <c r="A3704" t="str">
        <f>"20190304155446583"</f>
        <v>20190304155446583</v>
      </c>
      <c r="B3704" t="str">
        <f>"1551686086571047"</f>
        <v>1551686086571047</v>
      </c>
      <c r="C3704" t="s">
        <v>40</v>
      </c>
      <c r="D3704">
        <v>4.593407</v>
      </c>
      <c r="E3704">
        <v>0.49476059999999999</v>
      </c>
      <c r="F3704" t="s">
        <v>62</v>
      </c>
      <c r="G3704">
        <v>-425.12349999999998</v>
      </c>
      <c r="H3704" s="1">
        <v>-9.7118769999999997E-6</v>
      </c>
      <c r="I3704">
        <v>137.58150000000001</v>
      </c>
      <c r="J3704">
        <v>-377.3417</v>
      </c>
      <c r="K3704">
        <v>1.1104400000000001</v>
      </c>
      <c r="L3704">
        <v>141.93530000000001</v>
      </c>
      <c r="M3704">
        <v>-0.99978940000000005</v>
      </c>
      <c r="N3704">
        <v>-1.2906799999999901E-2</v>
      </c>
      <c r="O3704">
        <v>-1.5954010000000001E-2</v>
      </c>
      <c r="P3704">
        <v>-0.98034929999999998</v>
      </c>
      <c r="Q3704">
        <v>0.17970610000000001</v>
      </c>
      <c r="R3704">
        <v>-8.1369830000000004E-2</v>
      </c>
      <c r="S3704">
        <v>-3.0499269999999998</v>
      </c>
      <c r="T3704">
        <v>-7.0474389999999998E-2</v>
      </c>
      <c r="U3704">
        <v>-0.27659610000000001</v>
      </c>
      <c r="V3704">
        <v>-6.5742850000000005E-2</v>
      </c>
      <c r="W3704">
        <v>0.19235079999999999</v>
      </c>
      <c r="X3704">
        <v>0.97912160000000004</v>
      </c>
      <c r="Y3704">
        <v>-7.4387159999999994E-2</v>
      </c>
      <c r="Z3704">
        <v>-1.1764760000000001E-3</v>
      </c>
      <c r="AA3704">
        <v>0.99722869999999997</v>
      </c>
      <c r="AB3704">
        <v>28</v>
      </c>
      <c r="AC3704">
        <v>-47.781799999999897</v>
      </c>
      <c r="AD3704">
        <v>-1.11044971187699</v>
      </c>
      <c r="AE3704">
        <v>-4.3537999999999997</v>
      </c>
      <c r="AF3704">
        <v>-3.58894852815884</v>
      </c>
      <c r="AG3704">
        <v>-1.11044971187699</v>
      </c>
      <c r="AH3704">
        <v>47.819569395114101</v>
      </c>
      <c r="AI3704">
        <v>91.326534492462002</v>
      </c>
      <c r="AJ3704">
        <v>94.292109129199901</v>
      </c>
      <c r="AK3704">
        <v>47.966914297612597</v>
      </c>
      <c r="AL3704">
        <v>78.909994249122406</v>
      </c>
      <c r="AM3704">
        <v>93.841343460560296</v>
      </c>
      <c r="AN3704">
        <v>1.0000000300866601</v>
      </c>
    </row>
    <row r="3705" spans="1:40" x14ac:dyDescent="0.25">
      <c r="A3705" t="str">
        <f>"20190304155446606"</f>
        <v>20190304155446606</v>
      </c>
      <c r="B3705" t="str">
        <f>"1551686086601303"</f>
        <v>1551686086601303</v>
      </c>
      <c r="C3705" t="s">
        <v>40</v>
      </c>
      <c r="D3705">
        <v>4.5375019999999999</v>
      </c>
      <c r="E3705">
        <v>0.49482219999999999</v>
      </c>
      <c r="F3705" t="s">
        <v>62</v>
      </c>
      <c r="G3705">
        <v>-425.94779999999997</v>
      </c>
      <c r="H3705" s="1">
        <v>-9.8092359999999993E-6</v>
      </c>
      <c r="I3705">
        <v>137.5299</v>
      </c>
      <c r="J3705">
        <v>-377.62209999999999</v>
      </c>
      <c r="K3705">
        <v>1.11043799999999</v>
      </c>
      <c r="L3705">
        <v>141.9307</v>
      </c>
      <c r="M3705">
        <v>-0.99978809999999996</v>
      </c>
      <c r="N3705">
        <v>-1.290557E-2</v>
      </c>
      <c r="O3705">
        <v>-1.604305E-2</v>
      </c>
      <c r="P3705">
        <v>-0.98026170000000001</v>
      </c>
      <c r="Q3705">
        <v>0.17999599999999999</v>
      </c>
      <c r="R3705">
        <v>-8.1784670000000004E-2</v>
      </c>
      <c r="S3705">
        <v>-3.0499269999999998</v>
      </c>
      <c r="T3705">
        <v>-6.9678309999999993E-2</v>
      </c>
      <c r="U3705">
        <v>-0.27642820000000001</v>
      </c>
      <c r="V3705">
        <v>-6.6071930000000001E-2</v>
      </c>
      <c r="W3705">
        <v>0.19263859999999999</v>
      </c>
      <c r="X3705">
        <v>0.97904279999999999</v>
      </c>
      <c r="Y3705">
        <v>-7.4244539999999998E-2</v>
      </c>
      <c r="Z3705">
        <v>-1.167448E-3</v>
      </c>
      <c r="AA3705">
        <v>0.9972394</v>
      </c>
      <c r="AB3705">
        <v>28</v>
      </c>
      <c r="AC3705">
        <v>-48.325699999999898</v>
      </c>
      <c r="AD3705">
        <v>-1.11044780923599</v>
      </c>
      <c r="AE3705">
        <v>-4.4008000000000003</v>
      </c>
      <c r="AF3705">
        <v>-3.62298018053967</v>
      </c>
      <c r="AG3705">
        <v>-1.11044780923599</v>
      </c>
      <c r="AH3705">
        <v>48.364760755114801</v>
      </c>
      <c r="AI3705">
        <v>91.3115980688478</v>
      </c>
      <c r="AJ3705">
        <v>94.283997188716995</v>
      </c>
      <c r="AK3705">
        <v>48.512979321261199</v>
      </c>
      <c r="AL3705">
        <v>78.893189548682102</v>
      </c>
      <c r="AM3705">
        <v>93.860823330555107</v>
      </c>
      <c r="AN3705">
        <v>0.99999996718786099</v>
      </c>
    </row>
    <row r="3706" spans="1:40" x14ac:dyDescent="0.25">
      <c r="A3706" t="str">
        <f>"20190304155446627"</f>
        <v>20190304155446627</v>
      </c>
      <c r="B3706" t="str">
        <f>"1551686086620823"</f>
        <v>1551686086620823</v>
      </c>
      <c r="C3706" t="s">
        <v>40</v>
      </c>
      <c r="D3706">
        <v>4.531644</v>
      </c>
      <c r="E3706">
        <v>0.49487249999999999</v>
      </c>
      <c r="F3706" t="s">
        <v>62</v>
      </c>
      <c r="G3706">
        <v>-426.94560000000001</v>
      </c>
      <c r="H3706" s="1">
        <v>-9.9221540000000005E-6</v>
      </c>
      <c r="I3706">
        <v>137.45529999999999</v>
      </c>
      <c r="J3706">
        <v>-377.89449999999999</v>
      </c>
      <c r="K3706">
        <v>1.110444</v>
      </c>
      <c r="L3706">
        <v>141.92619999999999</v>
      </c>
      <c r="M3706">
        <v>-0.99978670000000003</v>
      </c>
      <c r="N3706">
        <v>-1.290433E-2</v>
      </c>
      <c r="O3706">
        <v>-1.6129339999999999E-2</v>
      </c>
      <c r="P3706">
        <v>-0.98023170000000004</v>
      </c>
      <c r="Q3706">
        <v>0.17979059999999999</v>
      </c>
      <c r="R3706">
        <v>-8.2593730000000004E-2</v>
      </c>
      <c r="S3706">
        <v>-3.0498959999999999</v>
      </c>
      <c r="T3706">
        <v>-6.8663950000000001E-2</v>
      </c>
      <c r="U3706">
        <v>-0.27673340000000002</v>
      </c>
      <c r="V3706">
        <v>-6.6796410000000001E-2</v>
      </c>
      <c r="W3706">
        <v>0.19243170000000001</v>
      </c>
      <c r="X3706">
        <v>0.97903439999999997</v>
      </c>
      <c r="Y3706">
        <v>-7.4259000000000006E-2</v>
      </c>
      <c r="Z3706">
        <v>-1.15982E-3</v>
      </c>
      <c r="AA3706">
        <v>0.99723830000000002</v>
      </c>
      <c r="AB3706">
        <v>28</v>
      </c>
      <c r="AC3706">
        <v>-49.051099999999998</v>
      </c>
      <c r="AD3706">
        <v>-1.110453922154</v>
      </c>
      <c r="AE3706">
        <v>-4.4709000000000003</v>
      </c>
      <c r="AF3706">
        <v>-3.6772215088763902</v>
      </c>
      <c r="AG3706">
        <v>-1.110453922154</v>
      </c>
      <c r="AH3706">
        <v>49.091883883376397</v>
      </c>
      <c r="AI3706">
        <v>91.292185561201904</v>
      </c>
      <c r="AJ3706">
        <v>94.283733612011403</v>
      </c>
      <c r="AK3706">
        <v>49.241934660992797</v>
      </c>
      <c r="AL3706">
        <v>78.905270866796798</v>
      </c>
      <c r="AM3706">
        <v>93.903060580001295</v>
      </c>
      <c r="AN3706">
        <v>1.0000000379685601</v>
      </c>
    </row>
    <row r="3707" spans="1:40" x14ac:dyDescent="0.25">
      <c r="A3707" t="str">
        <f>"20190304155446649"</f>
        <v>20190304155446649</v>
      </c>
      <c r="B3707" t="str">
        <f>"1551686086641322"</f>
        <v>1551686086641322</v>
      </c>
      <c r="C3707" t="s">
        <v>40</v>
      </c>
      <c r="D3707">
        <v>4.5463269999999998</v>
      </c>
      <c r="E3707">
        <v>0.49493429999999999</v>
      </c>
      <c r="F3707" t="s">
        <v>62</v>
      </c>
      <c r="G3707">
        <v>-426.8313</v>
      </c>
      <c r="H3707" s="1">
        <v>-9.9033170000000004E-6</v>
      </c>
      <c r="I3707">
        <v>137.4494</v>
      </c>
      <c r="J3707">
        <v>-378.16829999999999</v>
      </c>
      <c r="K3707">
        <v>1.1104400000000001</v>
      </c>
      <c r="L3707">
        <v>141.92169999999999</v>
      </c>
      <c r="M3707">
        <v>-0.99978529999999999</v>
      </c>
      <c r="N3707">
        <v>-1.2903070000000001E-2</v>
      </c>
      <c r="O3707">
        <v>-1.6216230000000002E-2</v>
      </c>
      <c r="P3707">
        <v>-0.98025609999999996</v>
      </c>
      <c r="Q3707">
        <v>0.17957429999999999</v>
      </c>
      <c r="R3707">
        <v>-8.2771349999999994E-2</v>
      </c>
      <c r="S3707">
        <v>-3.0496829999999999</v>
      </c>
      <c r="T3707">
        <v>-6.9202180000000002E-2</v>
      </c>
      <c r="U3707">
        <v>-0.27899170000000001</v>
      </c>
      <c r="V3707">
        <v>-6.6888470000000005E-2</v>
      </c>
      <c r="W3707">
        <v>0.19221460000000001</v>
      </c>
      <c r="X3707">
        <v>0.97907069999999996</v>
      </c>
      <c r="Y3707">
        <v>-7.4910370000000004E-2</v>
      </c>
      <c r="Z3707">
        <v>-1.174217E-3</v>
      </c>
      <c r="AA3707">
        <v>0.99718960000000001</v>
      </c>
      <c r="AB3707">
        <v>28</v>
      </c>
      <c r="AC3707">
        <v>-48.662999999999997</v>
      </c>
      <c r="AD3707">
        <v>-1.1104499033170001</v>
      </c>
      <c r="AE3707">
        <v>-4.47229999999999</v>
      </c>
      <c r="AF3707">
        <v>-3.6806152723758401</v>
      </c>
      <c r="AG3707">
        <v>-1.1104499033170001</v>
      </c>
      <c r="AH3707">
        <v>48.703981545282602</v>
      </c>
      <c r="AI3707">
        <v>91.302404017079098</v>
      </c>
      <c r="AJ3707">
        <v>94.321692649849297</v>
      </c>
      <c r="AK3707">
        <v>48.855479182321503</v>
      </c>
      <c r="AL3707">
        <v>78.917945735623206</v>
      </c>
      <c r="AM3707">
        <v>93.908278727483903</v>
      </c>
      <c r="AN3707">
        <v>0.99999997773529503</v>
      </c>
    </row>
    <row r="3708" spans="1:40" x14ac:dyDescent="0.25">
      <c r="A3708" t="str">
        <f>"20190304155446671"</f>
        <v>20190304155446671</v>
      </c>
      <c r="B3708" t="str">
        <f>"1551686086660839"</f>
        <v>1551686086660839</v>
      </c>
      <c r="C3708" t="s">
        <v>40</v>
      </c>
      <c r="D3708">
        <v>4.5481400000000001</v>
      </c>
      <c r="E3708">
        <v>0.49504100000000001</v>
      </c>
      <c r="F3708" t="s">
        <v>62</v>
      </c>
      <c r="G3708">
        <v>-426.73379999999997</v>
      </c>
      <c r="H3708" s="1">
        <v>-9.8949920000000008E-6</v>
      </c>
      <c r="I3708">
        <v>137.4633</v>
      </c>
      <c r="J3708">
        <v>-378.45159999999998</v>
      </c>
      <c r="K3708">
        <v>1.1104339999999999</v>
      </c>
      <c r="L3708">
        <v>141.917</v>
      </c>
      <c r="M3708">
        <v>-0.9997838</v>
      </c>
      <c r="N3708">
        <v>-1.290175E-2</v>
      </c>
      <c r="O3708">
        <v>-1.630622E-2</v>
      </c>
      <c r="P3708">
        <v>-0.98028179999999998</v>
      </c>
      <c r="Q3708">
        <v>0.1792059</v>
      </c>
      <c r="R3708">
        <v>-8.3262840000000005E-2</v>
      </c>
      <c r="S3708">
        <v>-3.0495610000000002</v>
      </c>
      <c r="T3708">
        <v>-6.972826E-2</v>
      </c>
      <c r="U3708">
        <v>-0.27995300000000001</v>
      </c>
      <c r="V3708">
        <v>-6.7290719999999998E-2</v>
      </c>
      <c r="W3708">
        <v>0.19184580000000001</v>
      </c>
      <c r="X3708">
        <v>0.97911550000000003</v>
      </c>
      <c r="Y3708">
        <v>-7.5135510000000003E-2</v>
      </c>
      <c r="Z3708">
        <v>-1.1809500000000001E-3</v>
      </c>
      <c r="AA3708">
        <v>0.99717270000000002</v>
      </c>
      <c r="AB3708">
        <v>28</v>
      </c>
      <c r="AC3708">
        <v>-48.282199999999897</v>
      </c>
      <c r="AD3708">
        <v>-1.1104438949919999</v>
      </c>
      <c r="AE3708">
        <v>-4.4536999999999898</v>
      </c>
      <c r="AF3708">
        <v>-3.6638204009302502</v>
      </c>
      <c r="AG3708">
        <v>-1.1104438949919999</v>
      </c>
      <c r="AH3708">
        <v>48.323063522392502</v>
      </c>
      <c r="AI3708">
        <v>91.312635340196607</v>
      </c>
      <c r="AJ3708">
        <v>94.335829794748904</v>
      </c>
      <c r="AK3708">
        <v>48.4744792005379</v>
      </c>
      <c r="AL3708">
        <v>78.939477469880501</v>
      </c>
      <c r="AM3708">
        <v>93.931529279549196</v>
      </c>
      <c r="AN3708">
        <v>1.000000007158</v>
      </c>
    </row>
    <row r="3709" spans="1:40" x14ac:dyDescent="0.25">
      <c r="A3709" t="str">
        <f>"20190304155446694"</f>
        <v>20190304155446694</v>
      </c>
      <c r="B3709" t="str">
        <f>"1551686086691094"</f>
        <v>1551686086691094</v>
      </c>
      <c r="C3709" t="s">
        <v>40</v>
      </c>
      <c r="D3709">
        <v>4.542389</v>
      </c>
      <c r="E3709">
        <v>0.49516890000000002</v>
      </c>
      <c r="F3709" t="s">
        <v>62</v>
      </c>
      <c r="G3709">
        <v>-426.3098</v>
      </c>
      <c r="H3709" s="1">
        <v>-9.8582089999999995E-6</v>
      </c>
      <c r="I3709">
        <v>137.52250000000001</v>
      </c>
      <c r="J3709">
        <v>-378.72370000000001</v>
      </c>
      <c r="K3709">
        <v>1.110433</v>
      </c>
      <c r="L3709">
        <v>141.91239999999999</v>
      </c>
      <c r="M3709">
        <v>-0.99978250000000002</v>
      </c>
      <c r="N3709">
        <v>-1.2900389999999999E-2</v>
      </c>
      <c r="O3709">
        <v>-1.6392750000000001E-2</v>
      </c>
      <c r="P3709">
        <v>-0.98014299999999999</v>
      </c>
      <c r="Q3709">
        <v>0.17981629999999901</v>
      </c>
      <c r="R3709">
        <v>-8.3586010000000002E-2</v>
      </c>
      <c r="S3709">
        <v>-3.0495000000000001</v>
      </c>
      <c r="T3709">
        <v>-7.075679E-2</v>
      </c>
      <c r="U3709">
        <v>-0.28001399999999999</v>
      </c>
      <c r="V3709">
        <v>-6.7531380000000002E-2</v>
      </c>
      <c r="W3709">
        <v>0.19245280000000001</v>
      </c>
      <c r="X3709">
        <v>0.97897979999999996</v>
      </c>
      <c r="Y3709">
        <v>-7.5070159999999997E-2</v>
      </c>
      <c r="Z3709">
        <v>-1.185976E-3</v>
      </c>
      <c r="AA3709">
        <v>0.99717750000000005</v>
      </c>
      <c r="AB3709">
        <v>28</v>
      </c>
      <c r="AC3709">
        <v>-47.586099999999902</v>
      </c>
      <c r="AD3709">
        <v>-1.110442858209</v>
      </c>
      <c r="AE3709">
        <v>-4.3898999999999804</v>
      </c>
      <c r="AF3709">
        <v>-3.6072304296961302</v>
      </c>
      <c r="AG3709">
        <v>-1.110442858209</v>
      </c>
      <c r="AH3709">
        <v>47.625957766007403</v>
      </c>
      <c r="AI3709">
        <v>91.331848266369704</v>
      </c>
      <c r="AJ3709">
        <v>94.331361023337095</v>
      </c>
      <c r="AK3709">
        <v>47.77527653341</v>
      </c>
      <c r="AL3709">
        <v>78.904038563362505</v>
      </c>
      <c r="AM3709">
        <v>93.946090934856898</v>
      </c>
      <c r="AN3709">
        <v>1.00000000816029</v>
      </c>
    </row>
    <row r="3710" spans="1:40" x14ac:dyDescent="0.25">
      <c r="A3710" t="str">
        <f>"20190304155446716"</f>
        <v>20190304155446716</v>
      </c>
      <c r="B3710" t="str">
        <f>"1551686086710615"</f>
        <v>1551686086710615</v>
      </c>
      <c r="C3710" t="s">
        <v>40</v>
      </c>
      <c r="D3710">
        <v>4.5291399999999999</v>
      </c>
      <c r="E3710">
        <v>0.49528349999999999</v>
      </c>
      <c r="F3710" t="s">
        <v>62</v>
      </c>
      <c r="G3710">
        <v>-428.06360000000001</v>
      </c>
      <c r="H3710" s="1">
        <v>-1.005983E-5</v>
      </c>
      <c r="I3710">
        <v>137.38890000000001</v>
      </c>
      <c r="J3710">
        <v>-379.00670000000002</v>
      </c>
      <c r="K3710">
        <v>1.110428</v>
      </c>
      <c r="L3710">
        <v>141.90770000000001</v>
      </c>
      <c r="M3710">
        <v>-0.99978100000000003</v>
      </c>
      <c r="N3710">
        <v>-1.2899000000000001E-2</v>
      </c>
      <c r="O3710">
        <v>-1.6482509999999999E-2</v>
      </c>
      <c r="P3710">
        <v>-0.98019869999999998</v>
      </c>
      <c r="Q3710">
        <v>0.1796307</v>
      </c>
      <c r="R3710">
        <v>-8.3329260000000002E-2</v>
      </c>
      <c r="S3710">
        <v>-3.0495299999999999</v>
      </c>
      <c r="T3710">
        <v>-6.8632600000000002E-2</v>
      </c>
      <c r="U3710">
        <v>-0.27958680000000002</v>
      </c>
      <c r="V3710">
        <v>-6.7185629999999996E-2</v>
      </c>
      <c r="W3710">
        <v>0.19226660000000001</v>
      </c>
      <c r="X3710">
        <v>0.97904020000000003</v>
      </c>
      <c r="Y3710">
        <v>-7.4842690000000003E-2</v>
      </c>
      <c r="Z3710">
        <v>-1.166317E-3</v>
      </c>
      <c r="AA3710">
        <v>0.99719460000000004</v>
      </c>
      <c r="AB3710">
        <v>28</v>
      </c>
      <c r="AC3710">
        <v>-49.056899999999899</v>
      </c>
      <c r="AD3710">
        <v>-1.1104380598300001</v>
      </c>
      <c r="AE3710">
        <v>-4.5187999999999899</v>
      </c>
      <c r="AF3710">
        <v>-3.7076542312589398</v>
      </c>
      <c r="AG3710">
        <v>-1.1104380598300001</v>
      </c>
      <c r="AH3710">
        <v>49.099776210813701</v>
      </c>
      <c r="AI3710">
        <v>91.291900773931502</v>
      </c>
      <c r="AJ3710">
        <v>94.318360611399697</v>
      </c>
      <c r="AK3710">
        <v>49.252084184684797</v>
      </c>
      <c r="AL3710">
        <v>78.914910356035904</v>
      </c>
      <c r="AM3710">
        <v>93.925709466056404</v>
      </c>
      <c r="AN3710">
        <v>1.0000000337850401</v>
      </c>
    </row>
    <row r="3711" spans="1:40" x14ac:dyDescent="0.25">
      <c r="A3711" t="str">
        <f>"20190304155446738"</f>
        <v>20190304155446738</v>
      </c>
      <c r="B3711" t="str">
        <f>"1551686086731111"</f>
        <v>1551686086731111</v>
      </c>
      <c r="C3711" t="s">
        <v>40</v>
      </c>
      <c r="D3711">
        <v>4.5685929999999999</v>
      </c>
      <c r="E3711">
        <v>0.4953438</v>
      </c>
      <c r="F3711" t="s">
        <v>62</v>
      </c>
      <c r="G3711">
        <v>-428.14490000000001</v>
      </c>
      <c r="H3711" s="1">
        <v>-1.0086529999999999E-5</v>
      </c>
      <c r="I3711">
        <v>137.42429999999999</v>
      </c>
      <c r="J3711">
        <v>-379.28910000000002</v>
      </c>
      <c r="K3711">
        <v>1.1104339999999999</v>
      </c>
      <c r="L3711">
        <v>141.90289999999999</v>
      </c>
      <c r="M3711">
        <v>-0.99977950000000004</v>
      </c>
      <c r="N3711">
        <v>-1.28977999999999E-2</v>
      </c>
      <c r="O3711">
        <v>-1.6572739999999999E-2</v>
      </c>
      <c r="P3711">
        <v>-0.98024230000000001</v>
      </c>
      <c r="Q3711">
        <v>0.1794095</v>
      </c>
      <c r="R3711">
        <v>-8.3290050000000004E-2</v>
      </c>
      <c r="S3711">
        <v>-3.0495909999999999</v>
      </c>
      <c r="T3711">
        <v>-6.8915610000000002E-2</v>
      </c>
      <c r="U3711">
        <v>-0.27824399999999999</v>
      </c>
      <c r="V3711">
        <v>-6.7056950000000004E-2</v>
      </c>
      <c r="W3711">
        <v>0.19204470000000001</v>
      </c>
      <c r="X3711">
        <v>0.97909250000000003</v>
      </c>
      <c r="Y3711">
        <v>-7.4315469999999995E-2</v>
      </c>
      <c r="Z3711">
        <v>-1.157962E-3</v>
      </c>
      <c r="AA3711">
        <v>0.99723410000000001</v>
      </c>
      <c r="AB3711">
        <v>28</v>
      </c>
      <c r="AC3711">
        <v>-48.855799999999903</v>
      </c>
      <c r="AD3711">
        <v>-1.11044408652999</v>
      </c>
      <c r="AE3711">
        <v>-4.4786000000000001</v>
      </c>
      <c r="AF3711">
        <v>-3.6663647274950302</v>
      </c>
      <c r="AG3711">
        <v>-1.11044408652999</v>
      </c>
      <c r="AH3711">
        <v>48.898267280074002</v>
      </c>
      <c r="AI3711">
        <v>91.297281635368293</v>
      </c>
      <c r="AJ3711">
        <v>94.287981949786797</v>
      </c>
      <c r="AK3711">
        <v>49.048097408338698</v>
      </c>
      <c r="AL3711">
        <v>78.927864919439699</v>
      </c>
      <c r="AM3711">
        <v>93.918005387650098</v>
      </c>
      <c r="AN3711">
        <v>0.99999996244881995</v>
      </c>
    </row>
    <row r="3712" spans="1:40" x14ac:dyDescent="0.25">
      <c r="A3712" t="str">
        <f>"20190304155446761"</f>
        <v>20190304155446761</v>
      </c>
      <c r="B3712" t="str">
        <f>"1551686086750631"</f>
        <v>1551686086750631</v>
      </c>
      <c r="C3712" t="s">
        <v>40</v>
      </c>
      <c r="D3712">
        <v>4.4684039999999996</v>
      </c>
      <c r="E3712">
        <v>0.49507950000000001</v>
      </c>
      <c r="F3712" t="s">
        <v>62</v>
      </c>
      <c r="G3712">
        <v>-427.98360000000002</v>
      </c>
      <c r="H3712" s="1">
        <v>-1.007854E-5</v>
      </c>
      <c r="I3712">
        <v>137.46789999999999</v>
      </c>
      <c r="J3712">
        <v>-379.56939999999997</v>
      </c>
      <c r="K3712">
        <v>1.1104309999999999</v>
      </c>
      <c r="L3712">
        <v>141.8981</v>
      </c>
      <c r="M3712">
        <v>-0.9997781</v>
      </c>
      <c r="N3712">
        <v>-1.289674E-2</v>
      </c>
      <c r="O3712">
        <v>-1.6666690000000001E-2</v>
      </c>
      <c r="P3712">
        <v>-0.98025569999999895</v>
      </c>
      <c r="Q3712">
        <v>0.17933170000000001</v>
      </c>
      <c r="R3712">
        <v>-8.3304310000000006E-2</v>
      </c>
      <c r="S3712">
        <v>-3.049652</v>
      </c>
      <c r="T3712">
        <v>-6.9545270000000006E-2</v>
      </c>
      <c r="U3712">
        <v>-0.27775569999999999</v>
      </c>
      <c r="V3712">
        <v>-6.69791E-2</v>
      </c>
      <c r="W3712">
        <v>0.1919661</v>
      </c>
      <c r="X3712">
        <v>0.97911329999999996</v>
      </c>
      <c r="Y3712">
        <v>-7.4061299999999997E-2</v>
      </c>
      <c r="Z3712">
        <v>-1.1566770000000001E-3</v>
      </c>
      <c r="AA3712">
        <v>0.99725299999999995</v>
      </c>
      <c r="AB3712">
        <v>28</v>
      </c>
      <c r="AC3712">
        <v>-48.414200000000001</v>
      </c>
      <c r="AD3712">
        <v>-1.1104410785399901</v>
      </c>
      <c r="AE3712">
        <v>-4.4302000000000099</v>
      </c>
      <c r="AF3712">
        <v>-3.6207241684583402</v>
      </c>
      <c r="AG3712">
        <v>-1.1104410785399901</v>
      </c>
      <c r="AH3712">
        <v>48.4560373943618</v>
      </c>
      <c r="AI3712">
        <v>91.309138611814205</v>
      </c>
      <c r="AJ3712">
        <v>94.273304629623098</v>
      </c>
      <c r="AK3712">
        <v>48.603809345119899</v>
      </c>
      <c r="AL3712">
        <v>78.932454379907597</v>
      </c>
      <c r="AM3712">
        <v>93.913388029388699</v>
      </c>
      <c r="AN3712">
        <v>1.00000001881145</v>
      </c>
    </row>
    <row r="3713" spans="1:40" x14ac:dyDescent="0.25">
      <c r="A3713" t="str">
        <f>"20190304155446782"</f>
        <v>20190304155446782</v>
      </c>
      <c r="B3713" t="str">
        <f>"1551686086771127"</f>
        <v>1551686086771127</v>
      </c>
      <c r="C3713" t="s">
        <v>40</v>
      </c>
      <c r="D3713">
        <v>4.5444230000000001</v>
      </c>
      <c r="E3713">
        <v>0.49467850000000002</v>
      </c>
      <c r="F3713" t="s">
        <v>62</v>
      </c>
      <c r="G3713">
        <v>-427.91739999999999</v>
      </c>
      <c r="H3713" s="1">
        <v>-1.0062210000000001E-5</v>
      </c>
      <c r="I3713">
        <v>137.4528</v>
      </c>
      <c r="J3713">
        <v>-379.83390000000003</v>
      </c>
      <c r="K3713">
        <v>1.1104419999999999</v>
      </c>
      <c r="L3713">
        <v>141.8937</v>
      </c>
      <c r="M3713">
        <v>-0.99977640000000001</v>
      </c>
      <c r="N3713">
        <v>-1.28957E-2</v>
      </c>
      <c r="O3713">
        <v>-1.676211E-2</v>
      </c>
      <c r="P3713">
        <v>-0.98036190000000001</v>
      </c>
      <c r="Q3713">
        <v>0.17870510000000001</v>
      </c>
      <c r="R3713">
        <v>-8.3397689999999997E-2</v>
      </c>
      <c r="S3713">
        <v>-3.0494080000000001</v>
      </c>
      <c r="T3713">
        <v>-7.0037840000000004E-2</v>
      </c>
      <c r="U3713">
        <v>-0.28038020000000002</v>
      </c>
      <c r="V3713">
        <v>-6.6979049999999998E-2</v>
      </c>
      <c r="W3713">
        <v>0.19133900000000001</v>
      </c>
      <c r="X3713">
        <v>0.979236</v>
      </c>
      <c r="Y3713">
        <v>-7.4823829999999994E-2</v>
      </c>
      <c r="Z3713">
        <v>-1.1726429999999999E-3</v>
      </c>
      <c r="AA3713">
        <v>0.99719610000000003</v>
      </c>
      <c r="AB3713">
        <v>28</v>
      </c>
      <c r="AC3713">
        <v>-48.083499999999901</v>
      </c>
      <c r="AD3713">
        <v>-1.11045206221</v>
      </c>
      <c r="AE3713">
        <v>-4.4408999999999903</v>
      </c>
      <c r="AF3713">
        <v>-3.6323071977765</v>
      </c>
      <c r="AG3713">
        <v>-1.11045206221</v>
      </c>
      <c r="AH3713">
        <v>48.125737987649998</v>
      </c>
      <c r="AI3713">
        <v>91.318059299289104</v>
      </c>
      <c r="AJ3713">
        <v>94.316235902904097</v>
      </c>
      <c r="AK3713">
        <v>48.275391414440399</v>
      </c>
      <c r="AL3713">
        <v>78.969062695938007</v>
      </c>
      <c r="AM3713">
        <v>93.9128962863727</v>
      </c>
      <c r="AN3713">
        <v>0.99999997487795</v>
      </c>
    </row>
    <row r="3714" spans="1:40" x14ac:dyDescent="0.25">
      <c r="A3714" t="str">
        <f>"20190304155446806"</f>
        <v>20190304155446806</v>
      </c>
      <c r="B3714" t="str">
        <f>"1551686086801383"</f>
        <v>1551686086801383</v>
      </c>
      <c r="C3714" t="s">
        <v>40</v>
      </c>
      <c r="D3714">
        <v>4.5314860000000001</v>
      </c>
      <c r="E3714">
        <v>0.49410510000000002</v>
      </c>
      <c r="F3714" t="s">
        <v>62</v>
      </c>
      <c r="G3714">
        <v>-427.14370000000002</v>
      </c>
      <c r="H3714" s="1">
        <v>-9.9628310000000004E-6</v>
      </c>
      <c r="I3714">
        <v>137.4853</v>
      </c>
      <c r="J3714">
        <v>-380.1105</v>
      </c>
      <c r="K3714">
        <v>1.110452</v>
      </c>
      <c r="L3714">
        <v>141.88890000000001</v>
      </c>
      <c r="M3714">
        <v>-0.99977450000000001</v>
      </c>
      <c r="N3714">
        <v>-1.2894569999999999E-2</v>
      </c>
      <c r="O3714">
        <v>-1.6872359999999999E-2</v>
      </c>
      <c r="P3714">
        <v>-0.98033060000000005</v>
      </c>
      <c r="Q3714">
        <v>0.17889959999999999</v>
      </c>
      <c r="R3714">
        <v>-8.3347420000000005E-2</v>
      </c>
      <c r="S3714">
        <v>-3.0489809999999999</v>
      </c>
      <c r="T3714">
        <v>-7.1565390000000006E-2</v>
      </c>
      <c r="U3714">
        <v>-0.28410340000000001</v>
      </c>
      <c r="V3714">
        <v>-6.6824739999999994E-2</v>
      </c>
      <c r="W3714">
        <v>0.1915309</v>
      </c>
      <c r="X3714">
        <v>0.97920910000000005</v>
      </c>
      <c r="Y3714">
        <v>-7.5932440000000004E-2</v>
      </c>
      <c r="Z3714">
        <v>-1.2019450000000001E-3</v>
      </c>
      <c r="AA3714">
        <v>0.9971122</v>
      </c>
      <c r="AB3714">
        <v>28</v>
      </c>
      <c r="AC3714">
        <v>-47.033200000000001</v>
      </c>
      <c r="AD3714">
        <v>-1.110461962831</v>
      </c>
      <c r="AE3714">
        <v>-4.4036000000000097</v>
      </c>
      <c r="AF3714">
        <v>-3.60735257696098</v>
      </c>
      <c r="AG3714">
        <v>-1.110461962831</v>
      </c>
      <c r="AH3714">
        <v>47.074795738272897</v>
      </c>
      <c r="AI3714">
        <v>91.347368557570107</v>
      </c>
      <c r="AJ3714">
        <v>94.382024972879407</v>
      </c>
      <c r="AK3714">
        <v>47.225866981830201</v>
      </c>
      <c r="AL3714">
        <v>78.957861254563198</v>
      </c>
      <c r="AM3714">
        <v>93.904016361985995</v>
      </c>
      <c r="AN3714">
        <v>1.0000000465268399</v>
      </c>
    </row>
    <row r="3715" spans="1:40" x14ac:dyDescent="0.25">
      <c r="A3715" t="str">
        <f>"20190304155446828"</f>
        <v>20190304155446828</v>
      </c>
      <c r="B3715" t="str">
        <f>"1551686086820902"</f>
        <v>1551686086820902</v>
      </c>
      <c r="C3715" t="s">
        <v>40</v>
      </c>
      <c r="D3715">
        <v>4.5380459999999996</v>
      </c>
      <c r="E3715">
        <v>0.49373089999999997</v>
      </c>
      <c r="F3715" t="s">
        <v>62</v>
      </c>
      <c r="G3715">
        <v>-428.267</v>
      </c>
      <c r="H3715" s="1">
        <v>-1.006849E-5</v>
      </c>
      <c r="I3715">
        <v>137.33029999999999</v>
      </c>
      <c r="J3715">
        <v>-380.40050000000002</v>
      </c>
      <c r="K3715">
        <v>1.110465</v>
      </c>
      <c r="L3715">
        <v>141.88390000000001</v>
      </c>
      <c r="M3715">
        <v>-0.99977249999999995</v>
      </c>
      <c r="N3715">
        <v>-1.2893389999999999E-2</v>
      </c>
      <c r="O3715">
        <v>-1.6998849999999999E-2</v>
      </c>
      <c r="P3715">
        <v>-0.98023280000000002</v>
      </c>
      <c r="Q3715">
        <v>0.17928729999999901</v>
      </c>
      <c r="R3715">
        <v>-8.3665589999999998E-2</v>
      </c>
      <c r="S3715">
        <v>-3.048492</v>
      </c>
      <c r="T3715">
        <v>-7.0296650000000002E-2</v>
      </c>
      <c r="U3715">
        <v>-0.2885742</v>
      </c>
      <c r="V3715">
        <v>-6.7024600000000004E-2</v>
      </c>
      <c r="W3715">
        <v>0.19191510000000001</v>
      </c>
      <c r="X3715">
        <v>0.97912010000000005</v>
      </c>
      <c r="Y3715">
        <v>-7.7270809999999995E-2</v>
      </c>
      <c r="Z3715">
        <v>-1.2159499999999999E-3</v>
      </c>
      <c r="AA3715">
        <v>0.99700940000000005</v>
      </c>
      <c r="AB3715">
        <v>28</v>
      </c>
      <c r="AC3715">
        <v>-47.866499999999903</v>
      </c>
      <c r="AD3715">
        <v>-1.11047506849</v>
      </c>
      <c r="AE3715">
        <v>-4.5536000000000101</v>
      </c>
      <c r="AF3715">
        <v>-3.7372055720731798</v>
      </c>
      <c r="AG3715">
        <v>-1.11047506849</v>
      </c>
      <c r="AH3715">
        <v>47.911439675789602</v>
      </c>
      <c r="AI3715">
        <v>91.323724914757307</v>
      </c>
      <c r="AJ3715">
        <v>94.460175113530994</v>
      </c>
      <c r="AK3715">
        <v>48.069802497748</v>
      </c>
      <c r="AL3715">
        <v>78.935430902463807</v>
      </c>
      <c r="AM3715">
        <v>93.916011077123798</v>
      </c>
      <c r="AN3715">
        <v>0.99999993641858798</v>
      </c>
    </row>
    <row r="3716" spans="1:40" x14ac:dyDescent="0.25">
      <c r="A3716" t="str">
        <f>"20190304155446850"</f>
        <v>20190304155446850</v>
      </c>
      <c r="B3716" t="str">
        <f>"1551686086841399"</f>
        <v>1551686086841399</v>
      </c>
      <c r="C3716" t="s">
        <v>40</v>
      </c>
      <c r="D3716">
        <v>4.5219399999999998</v>
      </c>
      <c r="E3716">
        <v>0.49337120000000001</v>
      </c>
      <c r="F3716" t="s">
        <v>62</v>
      </c>
      <c r="G3716">
        <v>-429.69600000000003</v>
      </c>
      <c r="H3716" s="1">
        <v>-1.022213E-5</v>
      </c>
      <c r="I3716">
        <v>137.1541</v>
      </c>
      <c r="J3716">
        <v>-380.66250000000002</v>
      </c>
      <c r="K3716">
        <v>1.110473</v>
      </c>
      <c r="L3716">
        <v>141.8792</v>
      </c>
      <c r="M3716">
        <v>-0.9997703</v>
      </c>
      <c r="N3716">
        <v>-1.289233E-2</v>
      </c>
      <c r="O3716">
        <v>-1.7126780000000001E-2</v>
      </c>
      <c r="P3716">
        <v>-0.98025289999999998</v>
      </c>
      <c r="Q3716">
        <v>0.17934829999999999</v>
      </c>
      <c r="R3716">
        <v>-8.3300170000000007E-2</v>
      </c>
      <c r="S3716">
        <v>-3.048035</v>
      </c>
      <c r="T3716">
        <v>-6.8662879999999996E-2</v>
      </c>
      <c r="U3716">
        <v>-0.29244999999999999</v>
      </c>
      <c r="V3716">
        <v>-6.6537330000000006E-2</v>
      </c>
      <c r="W3716">
        <v>0.19197359999999999</v>
      </c>
      <c r="X3716">
        <v>0.97914199999999996</v>
      </c>
      <c r="Y3716">
        <v>-7.8414220000000007E-2</v>
      </c>
      <c r="Z3716">
        <v>-1.223392E-3</v>
      </c>
      <c r="AA3716">
        <v>0.99692009999999998</v>
      </c>
      <c r="AB3716">
        <v>28</v>
      </c>
      <c r="AC3716">
        <v>-49.033499999999897</v>
      </c>
      <c r="AD3716">
        <v>-1.1104832221300001</v>
      </c>
      <c r="AE3716">
        <v>-4.7250999999999896</v>
      </c>
      <c r="AF3716">
        <v>-3.8825780713595099</v>
      </c>
      <c r="AG3716">
        <v>-1.1104832221300001</v>
      </c>
      <c r="AH3716">
        <v>49.082296325481501</v>
      </c>
      <c r="AI3716">
        <v>91.292056784982293</v>
      </c>
      <c r="AJ3716">
        <v>94.522874726015502</v>
      </c>
      <c r="AK3716">
        <v>49.2481410618635</v>
      </c>
      <c r="AL3716">
        <v>78.932017066432905</v>
      </c>
      <c r="AM3716">
        <v>93.887542540572795</v>
      </c>
      <c r="AN3716">
        <v>1.00000006777224</v>
      </c>
    </row>
    <row r="3717" spans="1:40" x14ac:dyDescent="0.25">
      <c r="A3717" t="str">
        <f>"20190304155446871"</f>
        <v>20190304155446871</v>
      </c>
      <c r="B3717" t="str">
        <f>"1551686086860919"</f>
        <v>1551686086860919</v>
      </c>
      <c r="C3717" t="s">
        <v>40</v>
      </c>
      <c r="D3717">
        <v>4.5457090000000004</v>
      </c>
      <c r="E3717">
        <v>0.49300480000000002</v>
      </c>
      <c r="F3717" t="s">
        <v>62</v>
      </c>
      <c r="G3717">
        <v>-430.404</v>
      </c>
      <c r="H3717" s="1">
        <v>-1.006682E-5</v>
      </c>
      <c r="I3717">
        <v>137.08260000000001</v>
      </c>
      <c r="J3717">
        <v>-380.93880000000001</v>
      </c>
      <c r="K3717">
        <v>1.1104909999999999</v>
      </c>
      <c r="L3717">
        <v>141.87430000000001</v>
      </c>
      <c r="M3717">
        <v>-0.99976770000000004</v>
      </c>
      <c r="N3717">
        <v>-1.28912E-2</v>
      </c>
      <c r="O3717">
        <v>-1.7281950000000001E-2</v>
      </c>
      <c r="P3717">
        <v>-0.9802054</v>
      </c>
      <c r="Q3717">
        <v>0.1795456</v>
      </c>
      <c r="R3717">
        <v>-8.3433270000000004E-2</v>
      </c>
      <c r="S3717">
        <v>-3.0479430000000001</v>
      </c>
      <c r="T3717">
        <v>-6.8045620000000001E-2</v>
      </c>
      <c r="U3717">
        <v>-0.29391479999999998</v>
      </c>
      <c r="V3717">
        <v>-6.6525409999999993E-2</v>
      </c>
      <c r="W3717">
        <v>0.1921678</v>
      </c>
      <c r="X3717">
        <v>0.97910459999999999</v>
      </c>
      <c r="Y3717">
        <v>-7.8737399999999902E-2</v>
      </c>
      <c r="Z3717">
        <v>-1.2231080000000001E-3</v>
      </c>
      <c r="AA3717">
        <v>0.99689470000000002</v>
      </c>
      <c r="AB3717">
        <v>28</v>
      </c>
      <c r="AC3717">
        <v>-49.465199999999903</v>
      </c>
      <c r="AD3717">
        <v>-1.1105010668199999</v>
      </c>
      <c r="AE3717">
        <v>-4.7916999999999899</v>
      </c>
      <c r="AF3717">
        <v>-3.9340938597742001</v>
      </c>
      <c r="AG3717">
        <v>-1.1105010668199999</v>
      </c>
      <c r="AH3717">
        <v>49.515903771222803</v>
      </c>
      <c r="AI3717">
        <v>91.280731619702806</v>
      </c>
      <c r="AJ3717">
        <v>94.542671207040698</v>
      </c>
      <c r="AK3717">
        <v>49.684354010069598</v>
      </c>
      <c r="AL3717">
        <v>78.920677868644901</v>
      </c>
      <c r="AM3717">
        <v>93.886996247116997</v>
      </c>
      <c r="AN3717">
        <v>0.99999995563683297</v>
      </c>
    </row>
    <row r="3718" spans="1:40" x14ac:dyDescent="0.25">
      <c r="A3718" t="str">
        <f>"20190304155446895"</f>
        <v>20190304155446895</v>
      </c>
      <c r="B3718" t="str">
        <f>"1551686086891175"</f>
        <v>1551686086891175</v>
      </c>
      <c r="C3718" t="s">
        <v>40</v>
      </c>
      <c r="D3718">
        <v>4.5344530000000001</v>
      </c>
      <c r="E3718">
        <v>0.4924771</v>
      </c>
      <c r="F3718" t="s">
        <v>62</v>
      </c>
      <c r="G3718">
        <v>-431.42739999999998</v>
      </c>
      <c r="H3718" s="1">
        <v>-9.6316219999999996E-6</v>
      </c>
      <c r="I3718">
        <v>136.95609999999999</v>
      </c>
      <c r="J3718">
        <v>-381.21839999999997</v>
      </c>
      <c r="K3718">
        <v>1.110509</v>
      </c>
      <c r="L3718">
        <v>141.86930000000001</v>
      </c>
      <c r="M3718">
        <v>-0.9997646</v>
      </c>
      <c r="N3718">
        <v>-1.2886969999999999E-2</v>
      </c>
      <c r="O3718">
        <v>-1.7464469999999999E-2</v>
      </c>
      <c r="P3718">
        <v>-0.98013930000000005</v>
      </c>
      <c r="Q3718">
        <v>0.17985119999999999</v>
      </c>
      <c r="R3718">
        <v>-8.3551139999999996E-2</v>
      </c>
      <c r="S3718">
        <v>-3.047577</v>
      </c>
      <c r="T3718">
        <v>-6.7031740000000006E-2</v>
      </c>
      <c r="U3718">
        <v>-0.296875</v>
      </c>
      <c r="V3718">
        <v>-6.6473379999999999E-2</v>
      </c>
      <c r="W3718">
        <v>0.1924659</v>
      </c>
      <c r="X3718">
        <v>0.97904959999999996</v>
      </c>
      <c r="Y3718">
        <v>-7.95265E-2</v>
      </c>
      <c r="Z3718">
        <v>-1.2276870000000001E-3</v>
      </c>
      <c r="AA3718">
        <v>0.99683200000000005</v>
      </c>
      <c r="AB3718">
        <v>28</v>
      </c>
      <c r="AC3718">
        <v>-50.208999999999897</v>
      </c>
      <c r="AD3718">
        <v>-1.1105186316219999</v>
      </c>
      <c r="AE3718">
        <v>-4.9132000000000096</v>
      </c>
      <c r="AF3718">
        <v>-4.0335497817181603</v>
      </c>
      <c r="AG3718">
        <v>-1.1105186316219999</v>
      </c>
      <c r="AH3718">
        <v>50.262799163402903</v>
      </c>
      <c r="AI3718">
        <v>91.261646476831501</v>
      </c>
      <c r="AJ3718">
        <v>94.588108694772004</v>
      </c>
      <c r="AK3718">
        <v>50.436611258225398</v>
      </c>
      <c r="AL3718">
        <v>78.903273328856002</v>
      </c>
      <c r="AM3718">
        <v>93.8841830290621</v>
      </c>
      <c r="AN3718">
        <v>0.99999997608579605</v>
      </c>
    </row>
    <row r="3719" spans="1:40" x14ac:dyDescent="0.25">
      <c r="A3719" t="str">
        <f>"20190304155446918"</f>
        <v>20190304155446918</v>
      </c>
      <c r="B3719" t="str">
        <f>"1551686086910695"</f>
        <v>1551686086910695</v>
      </c>
      <c r="C3719" t="s">
        <v>40</v>
      </c>
      <c r="D3719">
        <v>4.5925979999999997</v>
      </c>
      <c r="E3719">
        <v>0.49206879999999997</v>
      </c>
      <c r="F3719" t="s">
        <v>62</v>
      </c>
      <c r="G3719">
        <v>-432.85480000000001</v>
      </c>
      <c r="H3719" s="1">
        <v>-9.0133980000000003E-6</v>
      </c>
      <c r="I3719">
        <v>136.75110000000001</v>
      </c>
      <c r="J3719">
        <v>-381.50659999999999</v>
      </c>
      <c r="K3719">
        <v>1.11053</v>
      </c>
      <c r="L3719">
        <v>141.864</v>
      </c>
      <c r="M3719">
        <v>-0.99976069999999995</v>
      </c>
      <c r="N3719">
        <v>-1.2877130000000001E-2</v>
      </c>
      <c r="O3719">
        <v>-1.7680439999999999E-2</v>
      </c>
      <c r="P3719">
        <v>-0.98013669999999997</v>
      </c>
      <c r="Q3719">
        <v>0.179866</v>
      </c>
      <c r="R3719">
        <v>-8.3550239999999998E-2</v>
      </c>
      <c r="S3719">
        <v>-3.0469970000000002</v>
      </c>
      <c r="T3719">
        <v>-6.5530179999999993E-2</v>
      </c>
      <c r="U3719">
        <v>-0.30201719999999999</v>
      </c>
      <c r="V3719">
        <v>-6.6272150000000002E-2</v>
      </c>
      <c r="W3719">
        <v>0.19246679999999999</v>
      </c>
      <c r="X3719">
        <v>0.97906309999999996</v>
      </c>
      <c r="Y3719">
        <v>-8.0996070000000003E-2</v>
      </c>
      <c r="Z3719">
        <v>-1.239633E-3</v>
      </c>
      <c r="AA3719">
        <v>0.99671359999999998</v>
      </c>
      <c r="AB3719">
        <v>28</v>
      </c>
      <c r="AC3719">
        <v>-51.348199999999999</v>
      </c>
      <c r="AD3719">
        <v>-1.110539013398</v>
      </c>
      <c r="AE3719">
        <v>-5.11289999999999</v>
      </c>
      <c r="AF3719">
        <v>-4.2022202513943299</v>
      </c>
      <c r="AG3719">
        <v>-1.110539013398</v>
      </c>
      <c r="AH3719">
        <v>51.406768556266002</v>
      </c>
      <c r="AI3719">
        <v>91.233453730396107</v>
      </c>
      <c r="AJ3719">
        <v>94.673223871944003</v>
      </c>
      <c r="AK3719">
        <v>51.590190979865604</v>
      </c>
      <c r="AL3719">
        <v>78.903221165507503</v>
      </c>
      <c r="AM3719">
        <v>93.872407321760207</v>
      </c>
      <c r="AN3719">
        <v>1.00000001037473</v>
      </c>
    </row>
    <row r="3720" spans="1:40" x14ac:dyDescent="0.25">
      <c r="A3720" t="str">
        <f>"20190304155446939"</f>
        <v>20190304155446939</v>
      </c>
      <c r="B3720" t="str">
        <f>"1551686086931191"</f>
        <v>1551686086931191</v>
      </c>
      <c r="C3720" t="s">
        <v>40</v>
      </c>
      <c r="D3720">
        <v>4.5785030000000004</v>
      </c>
      <c r="E3720">
        <v>0.49168070000000003</v>
      </c>
      <c r="F3720" t="s">
        <v>62</v>
      </c>
      <c r="G3720">
        <v>-433.1884</v>
      </c>
      <c r="H3720" s="1">
        <v>-8.8611489999999996E-6</v>
      </c>
      <c r="I3720">
        <v>136.68360000000001</v>
      </c>
      <c r="J3720">
        <v>-381.77679999999998</v>
      </c>
      <c r="K3720">
        <v>1.1105499999999999</v>
      </c>
      <c r="L3720">
        <v>141.85900000000001</v>
      </c>
      <c r="M3720">
        <v>-0.99975670000000005</v>
      </c>
      <c r="N3720">
        <v>-1.2866020000000001E-2</v>
      </c>
      <c r="O3720">
        <v>-1.7917280000000001E-2</v>
      </c>
      <c r="P3720">
        <v>-0.98007909999999998</v>
      </c>
      <c r="Q3720">
        <v>0.1799703</v>
      </c>
      <c r="R3720">
        <v>-8.3998680000000006E-2</v>
      </c>
      <c r="S3720">
        <v>-3.0468139999999999</v>
      </c>
      <c r="T3720">
        <v>-6.5469979999999997E-2</v>
      </c>
      <c r="U3720">
        <v>-0.30540469999999997</v>
      </c>
      <c r="V3720">
        <v>-6.6501119999999997E-2</v>
      </c>
      <c r="W3720">
        <v>0.1925557</v>
      </c>
      <c r="X3720">
        <v>0.97903010000000001</v>
      </c>
      <c r="Y3720">
        <v>-8.1862809999999994E-2</v>
      </c>
      <c r="Z3720">
        <v>-1.251404E-3</v>
      </c>
      <c r="AA3720">
        <v>0.99664280000000005</v>
      </c>
      <c r="AB3720">
        <v>28</v>
      </c>
      <c r="AC3720">
        <v>-51.4116</v>
      </c>
      <c r="AD3720">
        <v>-1.1105588611489901</v>
      </c>
      <c r="AE3720">
        <v>-5.17539999999999</v>
      </c>
      <c r="AF3720">
        <v>-4.2513729327218401</v>
      </c>
      <c r="AG3720">
        <v>-1.1105588611489901</v>
      </c>
      <c r="AH3720">
        <v>51.472305505597497</v>
      </c>
      <c r="AI3720">
        <v>91.231820212082894</v>
      </c>
      <c r="AJ3720">
        <v>94.721647240016694</v>
      </c>
      <c r="AK3720">
        <v>51.6595174857327</v>
      </c>
      <c r="AL3720">
        <v>78.898030548117504</v>
      </c>
      <c r="AM3720">
        <v>93.885876131375298</v>
      </c>
      <c r="AN3720">
        <v>1.0000000166348699</v>
      </c>
    </row>
    <row r="3721" spans="1:40" x14ac:dyDescent="0.25">
      <c r="A3721" t="str">
        <f>"20190304155446962"</f>
        <v>20190304155446962</v>
      </c>
      <c r="B3721" t="str">
        <f>"1551686086950711"</f>
        <v>1551686086950711</v>
      </c>
      <c r="C3721" t="s">
        <v>40</v>
      </c>
      <c r="D3721">
        <v>4.5695540000000001</v>
      </c>
      <c r="E3721">
        <v>0.49129420000000001</v>
      </c>
      <c r="F3721" t="s">
        <v>62</v>
      </c>
      <c r="G3721">
        <v>-433.68400000000003</v>
      </c>
      <c r="H3721" s="1">
        <v>-8.6334650000000005E-6</v>
      </c>
      <c r="I3721">
        <v>136.59450000000001</v>
      </c>
      <c r="J3721">
        <v>-382.05180000000001</v>
      </c>
      <c r="K3721">
        <v>1.1105750000000001</v>
      </c>
      <c r="L3721">
        <v>141.8537</v>
      </c>
      <c r="M3721">
        <v>-0.99975190000000003</v>
      </c>
      <c r="N3721">
        <v>-1.2855500000000001E-2</v>
      </c>
      <c r="O3721">
        <v>-1.819728E-2</v>
      </c>
      <c r="P3721">
        <v>-0.98013110000000003</v>
      </c>
      <c r="Q3721">
        <v>0.1795436</v>
      </c>
      <c r="R3721">
        <v>-8.4305140000000001E-2</v>
      </c>
      <c r="S3721">
        <v>-3.046478</v>
      </c>
      <c r="T3721">
        <v>-6.5179589999999996E-2</v>
      </c>
      <c r="U3721">
        <v>-0.30897520000000001</v>
      </c>
      <c r="V3721">
        <v>-6.6543389999999994E-2</v>
      </c>
      <c r="W3721">
        <v>0.19211539999999999</v>
      </c>
      <c r="X3721">
        <v>0.97911369999999998</v>
      </c>
      <c r="Y3721">
        <v>-8.2750770000000001E-2</v>
      </c>
      <c r="Z3721">
        <v>-1.261458E-3</v>
      </c>
      <c r="AA3721">
        <v>0.9965695</v>
      </c>
      <c r="AB3721">
        <v>28</v>
      </c>
      <c r="AC3721">
        <v>-51.632199999999997</v>
      </c>
      <c r="AD3721">
        <v>-1.1105836334649899</v>
      </c>
      <c r="AE3721">
        <v>-5.2591999999999901</v>
      </c>
      <c r="AF3721">
        <v>-4.3167092355412402</v>
      </c>
      <c r="AG3721">
        <v>-1.1105836334649899</v>
      </c>
      <c r="AH3721">
        <v>51.695688254970896</v>
      </c>
      <c r="AI3721">
        <v>91.226434641091998</v>
      </c>
      <c r="AJ3721">
        <v>94.773256270051803</v>
      </c>
      <c r="AK3721">
        <v>51.887489424583499</v>
      </c>
      <c r="AL3721">
        <v>78.923737596754194</v>
      </c>
      <c r="AM3721">
        <v>93.888007549159099</v>
      </c>
      <c r="AN3721">
        <v>0.99999999359877001</v>
      </c>
    </row>
    <row r="3722" spans="1:40" x14ac:dyDescent="0.25">
      <c r="A3722" t="str">
        <f>"20190304155446983"</f>
        <v>20190304155446983</v>
      </c>
      <c r="B3722" t="str">
        <f>"1551686086980967"</f>
        <v>1551686086980967</v>
      </c>
      <c r="C3722" t="s">
        <v>40</v>
      </c>
      <c r="D3722">
        <v>4.5265329999999997</v>
      </c>
      <c r="E3722">
        <v>0.49072389999999999</v>
      </c>
      <c r="F3722" t="s">
        <v>62</v>
      </c>
      <c r="G3722">
        <v>-432.88569999999999</v>
      </c>
      <c r="H3722" s="1">
        <v>-8.9575019999999905E-6</v>
      </c>
      <c r="I3722">
        <v>136.63900000000001</v>
      </c>
      <c r="J3722">
        <v>-382.31740000000002</v>
      </c>
      <c r="K3722">
        <v>1.1105910000000001</v>
      </c>
      <c r="L3722">
        <v>141.8485</v>
      </c>
      <c r="M3722">
        <v>-0.99974629999999998</v>
      </c>
      <c r="N3722">
        <v>-1.284603E-2</v>
      </c>
      <c r="O3722">
        <v>-1.8505529999999999E-2</v>
      </c>
      <c r="P3722">
        <v>-0.9800681</v>
      </c>
      <c r="Q3722">
        <v>0.179553399999999</v>
      </c>
      <c r="R3722">
        <v>-8.5011390000000006E-2</v>
      </c>
      <c r="S3722">
        <v>-3.0461429999999998</v>
      </c>
      <c r="T3722">
        <v>-6.6550020000000001E-2</v>
      </c>
      <c r="U3722">
        <v>-0.3124847</v>
      </c>
      <c r="V3722">
        <v>-6.6959879999999999E-2</v>
      </c>
      <c r="W3722">
        <v>0.19211120000000001</v>
      </c>
      <c r="X3722">
        <v>0.97908620000000002</v>
      </c>
      <c r="Y3722">
        <v>-8.3589579999999997E-2</v>
      </c>
      <c r="Z3722">
        <v>-1.28312E-3</v>
      </c>
      <c r="AA3722">
        <v>0.99649940000000004</v>
      </c>
      <c r="AB3722">
        <v>28</v>
      </c>
      <c r="AC3722">
        <v>-50.568299999999901</v>
      </c>
      <c r="AD3722">
        <v>-1.11059995750199</v>
      </c>
      <c r="AE3722">
        <v>-5.2094999999999896</v>
      </c>
      <c r="AF3722">
        <v>-4.2706990966125202</v>
      </c>
      <c r="AG3722">
        <v>-1.11059995750199</v>
      </c>
      <c r="AH3722">
        <v>50.6318860481366</v>
      </c>
      <c r="AI3722">
        <v>91.252124724664398</v>
      </c>
      <c r="AJ3722">
        <v>94.821372869991905</v>
      </c>
      <c r="AK3722">
        <v>50.823815164063603</v>
      </c>
      <c r="AL3722">
        <v>78.923983583484699</v>
      </c>
      <c r="AM3722">
        <v>93.912376501036803</v>
      </c>
      <c r="AN3722">
        <v>1.0000000628627399</v>
      </c>
    </row>
    <row r="3723" spans="1:40" x14ac:dyDescent="0.25">
      <c r="A3723" t="str">
        <f>"20190304155447006"</f>
        <v>20190304155447006</v>
      </c>
      <c r="B3723" t="str">
        <f>"1551686087001463"</f>
        <v>1551686087001463</v>
      </c>
      <c r="C3723" t="s">
        <v>40</v>
      </c>
      <c r="D3723">
        <v>4.4693079999999998</v>
      </c>
      <c r="E3723">
        <v>0.4903711</v>
      </c>
      <c r="F3723" t="s">
        <v>62</v>
      </c>
      <c r="G3723">
        <v>-433.14060000000001</v>
      </c>
      <c r="H3723" s="1">
        <v>-8.8148919999999905E-6</v>
      </c>
      <c r="I3723">
        <v>136.52080000000001</v>
      </c>
      <c r="J3723">
        <v>-382.59980000000002</v>
      </c>
      <c r="K3723">
        <v>1.110617</v>
      </c>
      <c r="L3723">
        <v>141.84289999999999</v>
      </c>
      <c r="M3723">
        <v>-0.99973970000000001</v>
      </c>
      <c r="N3723">
        <v>-1.283632E-2</v>
      </c>
      <c r="O3723">
        <v>-1.8863370000000001E-2</v>
      </c>
      <c r="P3723">
        <v>-0.98003379999999995</v>
      </c>
      <c r="Q3723">
        <v>0.17942230000000001</v>
      </c>
      <c r="R3723">
        <v>-8.5683099999999998E-2</v>
      </c>
      <c r="S3723">
        <v>-3.0455320000000001</v>
      </c>
      <c r="T3723">
        <v>-6.6551570000000004E-2</v>
      </c>
      <c r="U3723">
        <v>-0.31925959999999998</v>
      </c>
      <c r="V3723">
        <v>-6.7292850000000001E-2</v>
      </c>
      <c r="W3723">
        <v>0.19196659999999999</v>
      </c>
      <c r="X3723">
        <v>0.97909159999999995</v>
      </c>
      <c r="Y3723">
        <v>-8.544554E-2</v>
      </c>
      <c r="Z3723">
        <v>-1.311584E-3</v>
      </c>
      <c r="AA3723">
        <v>0.99634199999999995</v>
      </c>
      <c r="AB3723">
        <v>28</v>
      </c>
      <c r="AC3723">
        <v>-50.540799999999898</v>
      </c>
      <c r="AD3723">
        <v>-1.1106258148919901</v>
      </c>
      <c r="AE3723">
        <v>-5.3220999999999696</v>
      </c>
      <c r="AF3723">
        <v>-4.3656195452750097</v>
      </c>
      <c r="AG3723">
        <v>-1.1106258148919901</v>
      </c>
      <c r="AH3723">
        <v>50.608036573695301</v>
      </c>
      <c r="AI3723">
        <v>91.252540642156006</v>
      </c>
      <c r="AJ3723">
        <v>94.930321485104699</v>
      </c>
      <c r="AK3723">
        <v>50.808124247597199</v>
      </c>
      <c r="AL3723">
        <v>78.932424218248102</v>
      </c>
      <c r="AM3723">
        <v>93.931749008852407</v>
      </c>
      <c r="AN3723">
        <v>0.99999993218361805</v>
      </c>
    </row>
    <row r="3724" spans="1:40" x14ac:dyDescent="0.25">
      <c r="A3724" t="str">
        <f>"20190304155447028"</f>
        <v>20190304155447028</v>
      </c>
      <c r="B3724" t="str">
        <f>"1551686087020982"</f>
        <v>1551686087020982</v>
      </c>
      <c r="C3724" t="s">
        <v>40</v>
      </c>
      <c r="D3724">
        <v>4.4628139999999998</v>
      </c>
      <c r="E3724">
        <v>0.49004890000000001</v>
      </c>
      <c r="F3724" t="s">
        <v>62</v>
      </c>
      <c r="G3724">
        <v>-433.21519999999998</v>
      </c>
      <c r="H3724" s="1">
        <v>-8.7592599999999999E-6</v>
      </c>
      <c r="I3724">
        <v>136.45099999999999</v>
      </c>
      <c r="J3724">
        <v>-382.8732</v>
      </c>
      <c r="K3724">
        <v>1.1106389999999999</v>
      </c>
      <c r="L3724">
        <v>141.8373</v>
      </c>
      <c r="M3724">
        <v>-0.99973270000000003</v>
      </c>
      <c r="N3724">
        <v>-1.2827420000000001E-2</v>
      </c>
      <c r="O3724">
        <v>-1.923774E-2</v>
      </c>
      <c r="P3724">
        <v>-0.9799795</v>
      </c>
      <c r="Q3724">
        <v>0.17934530000000001</v>
      </c>
      <c r="R3724">
        <v>-8.6462910000000004E-2</v>
      </c>
      <c r="S3724">
        <v>-3.0449519999999999</v>
      </c>
      <c r="T3724">
        <v>-6.6813709999999998E-2</v>
      </c>
      <c r="U3724">
        <v>-0.32437129999999997</v>
      </c>
      <c r="V3724">
        <v>-6.7715620000000004E-2</v>
      </c>
      <c r="W3724">
        <v>0.19187670000000001</v>
      </c>
      <c r="X3724">
        <v>0.97908010000000001</v>
      </c>
      <c r="Y3724">
        <v>-8.6745489999999995E-2</v>
      </c>
      <c r="Z3724">
        <v>-1.332356E-3</v>
      </c>
      <c r="AA3724">
        <v>0.99622960000000005</v>
      </c>
      <c r="AB3724">
        <v>28</v>
      </c>
      <c r="AC3724">
        <v>-50.341999999999899</v>
      </c>
      <c r="AD3724">
        <v>-1.1106477592599999</v>
      </c>
      <c r="AE3724">
        <v>-5.3863000000000003</v>
      </c>
      <c r="AF3724">
        <v>-4.4146326588007598</v>
      </c>
      <c r="AG3724">
        <v>-1.1106477592599999</v>
      </c>
      <c r="AH3724">
        <v>50.4120512672785</v>
      </c>
      <c r="AI3724">
        <v>91.257291593063201</v>
      </c>
      <c r="AJ3724">
        <v>95.004680442820202</v>
      </c>
      <c r="AK3724">
        <v>50.617165398034899</v>
      </c>
      <c r="AL3724">
        <v>78.937672962610094</v>
      </c>
      <c r="AM3724">
        <v>93.956418499611502</v>
      </c>
      <c r="AN3724">
        <v>0.99999995770544103</v>
      </c>
    </row>
    <row r="3725" spans="1:40" x14ac:dyDescent="0.25">
      <c r="A3725" t="str">
        <f>"20190304155447050"</f>
        <v>20190304155447050</v>
      </c>
      <c r="B3725" t="str">
        <f>"1551686087041479"</f>
        <v>1551686087041479</v>
      </c>
      <c r="C3725" t="s">
        <v>40</v>
      </c>
      <c r="D3725">
        <v>4.4295109999999998</v>
      </c>
      <c r="E3725">
        <v>0.48973539999999999</v>
      </c>
      <c r="F3725" t="s">
        <v>62</v>
      </c>
      <c r="G3725">
        <v>-433.52050000000003</v>
      </c>
      <c r="H3725" s="1">
        <v>-8.6041689999999999E-6</v>
      </c>
      <c r="I3725">
        <v>136.3614</v>
      </c>
      <c r="J3725">
        <v>-383.14690000000002</v>
      </c>
      <c r="K3725">
        <v>1.11066</v>
      </c>
      <c r="L3725">
        <v>141.83160000000001</v>
      </c>
      <c r="M3725">
        <v>-0.99972490000000003</v>
      </c>
      <c r="N3725">
        <v>-1.281914E-2</v>
      </c>
      <c r="O3725">
        <v>-1.9641189999999999E-2</v>
      </c>
      <c r="P3725">
        <v>-0.97986329999999999</v>
      </c>
      <c r="Q3725">
        <v>0.1796227</v>
      </c>
      <c r="R3725">
        <v>-8.7201150000000005E-2</v>
      </c>
      <c r="S3725">
        <v>-3.0444640000000001</v>
      </c>
      <c r="T3725">
        <v>-6.6762210000000002E-2</v>
      </c>
      <c r="U3725">
        <v>-0.32916260000000003</v>
      </c>
      <c r="V3725">
        <v>-6.8070569999999997E-2</v>
      </c>
      <c r="W3725">
        <v>0.19214110000000001</v>
      </c>
      <c r="X3725">
        <v>0.97900370000000003</v>
      </c>
      <c r="Y3725">
        <v>-8.7909810000000005E-2</v>
      </c>
      <c r="Z3725">
        <v>-1.3480580000000001E-3</v>
      </c>
      <c r="AA3725">
        <v>0.99612750000000005</v>
      </c>
      <c r="AB3725">
        <v>28</v>
      </c>
      <c r="AC3725">
        <v>-50.373600000000003</v>
      </c>
      <c r="AD3725">
        <v>-1.1106686041689999</v>
      </c>
      <c r="AE3725">
        <v>-5.4702000000000002</v>
      </c>
      <c r="AF3725">
        <v>-4.4775144886657001</v>
      </c>
      <c r="AG3725">
        <v>-1.1106686041689999</v>
      </c>
      <c r="AH3725">
        <v>50.447092448346702</v>
      </c>
      <c r="AI3725">
        <v>91.256311838340295</v>
      </c>
      <c r="AJ3725">
        <v>95.072089943356701</v>
      </c>
      <c r="AK3725">
        <v>50.657584399934997</v>
      </c>
      <c r="AL3725">
        <v>78.922237490487305</v>
      </c>
      <c r="AM3725">
        <v>93.977400144135601</v>
      </c>
      <c r="AN3725">
        <v>1.0000000247115099</v>
      </c>
    </row>
    <row r="3726" spans="1:40" x14ac:dyDescent="0.25">
      <c r="A3726" t="str">
        <f>"20190304155447073"</f>
        <v>20190304155447073</v>
      </c>
      <c r="B3726" t="str">
        <f>"1551686087070760"</f>
        <v>1551686087070760</v>
      </c>
      <c r="C3726" t="s">
        <v>40</v>
      </c>
      <c r="D3726">
        <v>4.3813829999999996</v>
      </c>
      <c r="E3726">
        <v>0.48929260000000002</v>
      </c>
      <c r="F3726" t="s">
        <v>62</v>
      </c>
      <c r="G3726">
        <v>-434.63209999999998</v>
      </c>
      <c r="H3726" s="1">
        <v>-8.0857719999999998E-6</v>
      </c>
      <c r="I3726">
        <v>136.18469999999999</v>
      </c>
      <c r="J3726">
        <v>-383.4289</v>
      </c>
      <c r="K3726">
        <v>1.110687</v>
      </c>
      <c r="L3726">
        <v>141.82550000000001</v>
      </c>
      <c r="M3726">
        <v>-0.9997161</v>
      </c>
      <c r="N3726">
        <v>-1.281148E-2</v>
      </c>
      <c r="O3726">
        <v>-2.009068E-2</v>
      </c>
      <c r="P3726">
        <v>-0.97979950000000005</v>
      </c>
      <c r="Q3726">
        <v>0.179619</v>
      </c>
      <c r="R3726">
        <v>-8.7921650000000004E-2</v>
      </c>
      <c r="S3726">
        <v>-3.0439449999999999</v>
      </c>
      <c r="T3726">
        <v>-6.5665719999999997E-2</v>
      </c>
      <c r="U3726">
        <v>-0.3338623</v>
      </c>
      <c r="V3726">
        <v>-6.8361630000000007E-2</v>
      </c>
      <c r="W3726">
        <v>0.19212570000000001</v>
      </c>
      <c r="X3726">
        <v>0.97898640000000003</v>
      </c>
      <c r="Y3726">
        <v>-8.9000419999999997E-2</v>
      </c>
      <c r="Z3726">
        <v>-1.353733E-3</v>
      </c>
      <c r="AA3726">
        <v>0.99603070000000005</v>
      </c>
      <c r="AB3726">
        <v>28</v>
      </c>
      <c r="AC3726">
        <v>-51.203199999999903</v>
      </c>
      <c r="AD3726">
        <v>-1.1106950857719999</v>
      </c>
      <c r="AE3726">
        <v>-5.6408000000000103</v>
      </c>
      <c r="AF3726">
        <v>-4.60872718899705</v>
      </c>
      <c r="AG3726">
        <v>-1.1106950857719999</v>
      </c>
      <c r="AH3726">
        <v>51.282359354020997</v>
      </c>
      <c r="AI3726">
        <v>91.235763543429499</v>
      </c>
      <c r="AJ3726">
        <v>95.135355424480494</v>
      </c>
      <c r="AK3726">
        <v>51.501013492853801</v>
      </c>
      <c r="AL3726">
        <v>78.923136142702205</v>
      </c>
      <c r="AM3726">
        <v>93.994422360788803</v>
      </c>
      <c r="AN3726">
        <v>0.99999998422085301</v>
      </c>
    </row>
    <row r="3727" spans="1:40" x14ac:dyDescent="0.25">
      <c r="A3727" t="str">
        <f>"20190304155447095"</f>
        <v>20190304155447095</v>
      </c>
      <c r="B3727" t="str">
        <f>"1551686087091255"</f>
        <v>1551686087091255</v>
      </c>
      <c r="C3727" t="s">
        <v>40</v>
      </c>
      <c r="D3727">
        <v>4.5450730000000004</v>
      </c>
      <c r="E3727">
        <v>0.48930099999999999</v>
      </c>
      <c r="F3727" t="s">
        <v>62</v>
      </c>
      <c r="G3727">
        <v>-435.30360000000002</v>
      </c>
      <c r="H3727" s="1">
        <v>-7.7423159999999907E-6</v>
      </c>
      <c r="I3727">
        <v>136.03909999999999</v>
      </c>
      <c r="J3727">
        <v>-383.69389999999999</v>
      </c>
      <c r="K3727">
        <v>1.1107070000000001</v>
      </c>
      <c r="L3727">
        <v>141.81970000000001</v>
      </c>
      <c r="M3727">
        <v>-0.99970700000000001</v>
      </c>
      <c r="N3727">
        <v>-1.280503E-2</v>
      </c>
      <c r="O3727">
        <v>-2.054566E-2</v>
      </c>
      <c r="P3727">
        <v>-0.97972000000000004</v>
      </c>
      <c r="Q3727">
        <v>0.18013489999999999</v>
      </c>
      <c r="R3727">
        <v>-8.7753230000000002E-2</v>
      </c>
      <c r="S3727">
        <v>-3.043396</v>
      </c>
      <c r="T3727">
        <v>-6.5162419999999999E-2</v>
      </c>
      <c r="U3727">
        <v>-0.33947749999999999</v>
      </c>
      <c r="V3727">
        <v>-6.7759089999999994E-2</v>
      </c>
      <c r="W3727">
        <v>0.19263150000000001</v>
      </c>
      <c r="X3727">
        <v>0.97892889999999999</v>
      </c>
      <c r="Y3727">
        <v>-9.0381920000000004E-2</v>
      </c>
      <c r="Z3727">
        <v>-1.3690919999999999E-3</v>
      </c>
      <c r="AA3727">
        <v>0.99590619999999996</v>
      </c>
      <c r="AB3727">
        <v>28</v>
      </c>
      <c r="AC3727">
        <v>-51.609699999999997</v>
      </c>
      <c r="AD3727">
        <v>-1.110714742316</v>
      </c>
      <c r="AE3727">
        <v>-5.7806000000000202</v>
      </c>
      <c r="AF3727">
        <v>-4.7167797956846798</v>
      </c>
      <c r="AG3727">
        <v>-1.110714742316</v>
      </c>
      <c r="AH3727">
        <v>51.693933650756897</v>
      </c>
      <c r="AI3727">
        <v>91.225798082202402</v>
      </c>
      <c r="AJ3727">
        <v>95.2134802743808</v>
      </c>
      <c r="AK3727">
        <v>51.9205592724946</v>
      </c>
      <c r="AL3727">
        <v>78.893604371741802</v>
      </c>
      <c r="AM3727">
        <v>93.959559779206998</v>
      </c>
      <c r="AN3727">
        <v>0.99999999016254304</v>
      </c>
    </row>
    <row r="3728" spans="1:40" x14ac:dyDescent="0.25">
      <c r="A3728" t="str">
        <f>"20190304155447119"</f>
        <v>20190304155447119</v>
      </c>
      <c r="B3728" t="str">
        <f>"1551686087110775"</f>
        <v>1551686087110775</v>
      </c>
      <c r="C3728" t="s">
        <v>40</v>
      </c>
      <c r="D3728">
        <v>4.3463979999999998</v>
      </c>
      <c r="E3728">
        <v>0.55122769999999899</v>
      </c>
      <c r="F3728" t="s">
        <v>62</v>
      </c>
      <c r="G3728">
        <v>-437.54939999999999</v>
      </c>
      <c r="H3728" s="1">
        <v>-6.6604590000000004E-6</v>
      </c>
      <c r="I3728">
        <v>135.828</v>
      </c>
      <c r="J3728">
        <v>-383.98559999999998</v>
      </c>
      <c r="K3728">
        <v>1.1107320000000001</v>
      </c>
      <c r="L3728">
        <v>141.81309999999999</v>
      </c>
      <c r="M3728">
        <v>-0.99969580000000002</v>
      </c>
      <c r="N3728">
        <v>-1.27986E-2</v>
      </c>
      <c r="O3728">
        <v>-2.1085599999999999E-2</v>
      </c>
      <c r="P3728">
        <v>-0.97964059999999997</v>
      </c>
      <c r="Q3728">
        <v>0.18031459999999999</v>
      </c>
      <c r="R3728">
        <v>-8.8267330000000005E-2</v>
      </c>
      <c r="S3728">
        <v>-3.0432739999999998</v>
      </c>
      <c r="T3728">
        <v>-6.2764410000000007E-2</v>
      </c>
      <c r="U3728">
        <v>-0.33857730000000003</v>
      </c>
      <c r="V3728">
        <v>-6.7758689999999996E-2</v>
      </c>
      <c r="W3728">
        <v>0.19279950000000001</v>
      </c>
      <c r="X3728">
        <v>0.97889579999999998</v>
      </c>
      <c r="Y3728">
        <v>-8.95595E-2</v>
      </c>
      <c r="Z3728">
        <v>-1.331397E-3</v>
      </c>
      <c r="AA3728">
        <v>0.99598059999999999</v>
      </c>
      <c r="AB3728">
        <v>28</v>
      </c>
      <c r="AC3728">
        <v>-53.563800000000001</v>
      </c>
      <c r="AD3728">
        <v>-1.1107386604589999</v>
      </c>
      <c r="AE3728">
        <v>-5.9850999999999797</v>
      </c>
      <c r="AF3728">
        <v>-4.8521910469876799</v>
      </c>
      <c r="AG3728">
        <v>-1.1107386604589999</v>
      </c>
      <c r="AH3728">
        <v>53.655311245067097</v>
      </c>
      <c r="AI3728">
        <v>91.181113563823999</v>
      </c>
      <c r="AJ3728">
        <v>95.1673524570583</v>
      </c>
      <c r="AK3728">
        <v>53.885711678823803</v>
      </c>
      <c r="AL3728">
        <v>78.883794201479901</v>
      </c>
      <c r="AM3728">
        <v>93.959669939549102</v>
      </c>
      <c r="AN3728">
        <v>0.999999937264201</v>
      </c>
    </row>
    <row r="3729" spans="1:40" x14ac:dyDescent="0.25">
      <c r="A3729" t="str">
        <f>"20190304155447141"</f>
        <v>20190304155447141</v>
      </c>
      <c r="B3729" t="str">
        <f>"1551686087131271"</f>
        <v>1551686087131271</v>
      </c>
      <c r="C3729" t="s">
        <v>40</v>
      </c>
      <c r="D3729">
        <v>4.2816460000000003</v>
      </c>
      <c r="E3729">
        <v>0.55756839999999996</v>
      </c>
      <c r="F3729" t="s">
        <v>79</v>
      </c>
      <c r="G3729">
        <v>-550.16199999999901</v>
      </c>
      <c r="H3729">
        <v>0.39979039999999999</v>
      </c>
      <c r="I3729">
        <v>149.98089999999999</v>
      </c>
      <c r="J3729">
        <v>-384.25619999999998</v>
      </c>
      <c r="K3729">
        <v>1.1107629999999999</v>
      </c>
      <c r="L3729">
        <v>141.80680000000001</v>
      </c>
      <c r="M3729">
        <v>-0.99968429999999997</v>
      </c>
      <c r="N3729">
        <v>-1.2793300000000001E-2</v>
      </c>
      <c r="O3729">
        <v>-2.162855E-2</v>
      </c>
      <c r="P3729">
        <v>-0.97959569999999996</v>
      </c>
      <c r="Q3729">
        <v>0.18047260000000001</v>
      </c>
      <c r="R3729">
        <v>-8.8442080000000006E-2</v>
      </c>
      <c r="S3729">
        <v>-3.0783689999999999</v>
      </c>
      <c r="T3729">
        <v>-1.3169169999999999E-2</v>
      </c>
      <c r="U3729">
        <v>0.1513062</v>
      </c>
      <c r="V3729">
        <v>-6.7414989999999994E-2</v>
      </c>
      <c r="W3729">
        <v>0.19294829999999999</v>
      </c>
      <c r="X3729">
        <v>0.97889029999999999</v>
      </c>
      <c r="Y3729">
        <v>7.0681530000000006E-2</v>
      </c>
      <c r="Z3729">
        <v>4.1946939999999998E-4</v>
      </c>
      <c r="AA3729">
        <v>0.99749889999999997</v>
      </c>
      <c r="AB3729">
        <v>28</v>
      </c>
      <c r="AC3729">
        <v>-165.905799999999</v>
      </c>
      <c r="AD3729">
        <v>-0.71097259999999896</v>
      </c>
      <c r="AE3729">
        <v>8.1740999999999797</v>
      </c>
      <c r="AF3729">
        <v>11.760567391081301</v>
      </c>
      <c r="AG3729">
        <v>-0.71097259999999896</v>
      </c>
      <c r="AH3729">
        <v>165.68714042675299</v>
      </c>
      <c r="AI3729">
        <v>90.245240813553494</v>
      </c>
      <c r="AJ3729">
        <v>85.939922420775403</v>
      </c>
      <c r="AK3729">
        <v>166.10552347888</v>
      </c>
      <c r="AL3729">
        <v>78.875106415323302</v>
      </c>
      <c r="AM3729">
        <v>93.939670335009396</v>
      </c>
      <c r="AN3729">
        <v>1.00000002339183</v>
      </c>
    </row>
    <row r="3730" spans="1:40" x14ac:dyDescent="0.25">
      <c r="A3730" t="str">
        <f>"20190304155447163"</f>
        <v>20190304155447163</v>
      </c>
      <c r="B3730" t="str">
        <f>"1551686087150792"</f>
        <v>1551686087150792</v>
      </c>
      <c r="C3730" t="s">
        <v>40</v>
      </c>
      <c r="D3730">
        <v>4.2309159999999997</v>
      </c>
      <c r="E3730">
        <v>0.56000909999999904</v>
      </c>
      <c r="F3730" t="s">
        <v>79</v>
      </c>
      <c r="G3730">
        <v>-511.0591</v>
      </c>
      <c r="H3730">
        <v>1.274926</v>
      </c>
      <c r="I3730">
        <v>150.0735</v>
      </c>
      <c r="J3730">
        <v>-384.52249999999998</v>
      </c>
      <c r="K3730">
        <v>1.110795</v>
      </c>
      <c r="L3730">
        <v>141.8004</v>
      </c>
      <c r="M3730">
        <v>-0.99967159999999999</v>
      </c>
      <c r="N3730">
        <v>-1.278349E-2</v>
      </c>
      <c r="O3730">
        <v>-2.2212909999999999E-2</v>
      </c>
      <c r="P3730">
        <v>-0.97951319999999997</v>
      </c>
      <c r="Q3730">
        <v>0.18047969999999999</v>
      </c>
      <c r="R3730">
        <v>-8.9338139999999996E-2</v>
      </c>
      <c r="S3730">
        <v>-3.079895</v>
      </c>
      <c r="T3730">
        <v>3.9883849999999997E-3</v>
      </c>
      <c r="U3730">
        <v>0.20079040000000001</v>
      </c>
      <c r="V3730">
        <v>-6.7754449999999994E-2</v>
      </c>
      <c r="W3730">
        <v>0.1929399</v>
      </c>
      <c r="X3730">
        <v>0.97886850000000003</v>
      </c>
      <c r="Y3730">
        <v>8.7205859999999996E-2</v>
      </c>
      <c r="Z3730">
        <v>1.8923280000000001E-4</v>
      </c>
      <c r="AA3730">
        <v>0.99619029999999997</v>
      </c>
      <c r="AB3730">
        <v>28</v>
      </c>
      <c r="AC3730">
        <v>-126.53660000000001</v>
      </c>
      <c r="AD3730">
        <v>0.164131</v>
      </c>
      <c r="AE3730">
        <v>8.2730999999999995</v>
      </c>
      <c r="AF3730">
        <v>11.082015423046901</v>
      </c>
      <c r="AG3730">
        <v>0.164131</v>
      </c>
      <c r="AH3730">
        <v>126.321377365426</v>
      </c>
      <c r="AI3730">
        <v>89.925839727983998</v>
      </c>
      <c r="AJ3730">
        <v>84.986349335264293</v>
      </c>
      <c r="AK3730">
        <v>126.806657492105</v>
      </c>
      <c r="AL3730">
        <v>78.875596713791694</v>
      </c>
      <c r="AM3730">
        <v>93.959533025782406</v>
      </c>
      <c r="AN3730">
        <v>1.0000000053995299</v>
      </c>
    </row>
    <row r="3731" spans="1:40" x14ac:dyDescent="0.25">
      <c r="A3731" t="str">
        <f>"20190304155447184"</f>
        <v>20190304155447184</v>
      </c>
      <c r="B3731" t="str">
        <f>"1551686087181047"</f>
        <v>1551686087181047</v>
      </c>
      <c r="C3731" t="s">
        <v>40</v>
      </c>
      <c r="D3731">
        <v>4.1504029999999998</v>
      </c>
      <c r="E3731">
        <v>0.5616158</v>
      </c>
      <c r="F3731" t="s">
        <v>79</v>
      </c>
      <c r="G3731">
        <v>-511.05919999999998</v>
      </c>
      <c r="H3731">
        <v>1.5304139999999999</v>
      </c>
      <c r="I3731">
        <v>150.7234</v>
      </c>
      <c r="J3731">
        <v>-384.79610000000002</v>
      </c>
      <c r="K3731">
        <v>1.110832</v>
      </c>
      <c r="L3731">
        <v>141.79349999999999</v>
      </c>
      <c r="M3731">
        <v>-0.99965689999999996</v>
      </c>
      <c r="N3731">
        <v>-1.27697E-2</v>
      </c>
      <c r="O3731">
        <v>-2.2871610000000001E-2</v>
      </c>
      <c r="P3731">
        <v>-0.97935539999999999</v>
      </c>
      <c r="Q3731">
        <v>0.180645</v>
      </c>
      <c r="R3731">
        <v>-9.0720819999999994E-2</v>
      </c>
      <c r="S3731">
        <v>-3.0806580000000001</v>
      </c>
      <c r="T3731">
        <v>1.021707E-2</v>
      </c>
      <c r="U3731">
        <v>0.2172394</v>
      </c>
      <c r="V3731">
        <v>-6.8512809999999993E-2</v>
      </c>
      <c r="W3731">
        <v>0.193083</v>
      </c>
      <c r="X3731">
        <v>0.97878750000000003</v>
      </c>
      <c r="Y3731">
        <v>9.3139449999999999E-2</v>
      </c>
      <c r="Z3731" s="1">
        <v>7.3740900000000004E-5</v>
      </c>
      <c r="AA3731">
        <v>0.99565309999999996</v>
      </c>
      <c r="AB3731">
        <v>28</v>
      </c>
      <c r="AC3731">
        <v>-126.263099999999</v>
      </c>
      <c r="AD3731">
        <v>0.41958199999999901</v>
      </c>
      <c r="AE3731">
        <v>8.9298999999999999</v>
      </c>
      <c r="AF3731">
        <v>11.815509551380099</v>
      </c>
      <c r="AG3731">
        <v>0.41958199999999901</v>
      </c>
      <c r="AH3731">
        <v>126.024422939979</v>
      </c>
      <c r="AI3731">
        <v>89.8100747267179</v>
      </c>
      <c r="AJ3731">
        <v>84.643850512993396</v>
      </c>
      <c r="AK3731">
        <v>126.57779225586199</v>
      </c>
      <c r="AL3731">
        <v>78.867240615816499</v>
      </c>
      <c r="AM3731">
        <v>94.004038087142305</v>
      </c>
      <c r="AN3731">
        <v>1.00000001008967</v>
      </c>
    </row>
    <row r="3732" spans="1:40" x14ac:dyDescent="0.25">
      <c r="A3732" t="str">
        <f>"20190304155447219"</f>
        <v>20190304155447219</v>
      </c>
      <c r="B3732" t="str">
        <f>"1551686087211303"</f>
        <v>1551686087211303</v>
      </c>
      <c r="C3732" t="s">
        <v>40</v>
      </c>
      <c r="D3732">
        <v>4.1177349999999997</v>
      </c>
      <c r="E3732">
        <v>0.56300079999999997</v>
      </c>
      <c r="F3732" t="s">
        <v>79</v>
      </c>
      <c r="G3732">
        <v>-511.05930000000001</v>
      </c>
      <c r="H3732">
        <v>1.8736429999999999</v>
      </c>
      <c r="I3732">
        <v>151.02809999999999</v>
      </c>
      <c r="J3732">
        <v>-385.21260000000001</v>
      </c>
      <c r="K3732">
        <v>1.1108880000000001</v>
      </c>
      <c r="L3732">
        <v>141.78270000000001</v>
      </c>
      <c r="M3732">
        <v>-0.99963150000000001</v>
      </c>
      <c r="N3732">
        <v>-1.27495E-2</v>
      </c>
      <c r="O3732">
        <v>-2.3969890000000001E-2</v>
      </c>
      <c r="P3732">
        <v>-0.97927980000000003</v>
      </c>
      <c r="Q3732">
        <v>0.18022669999999999</v>
      </c>
      <c r="R3732">
        <v>-9.2357610000000007E-2</v>
      </c>
      <c r="S3732">
        <v>-3.0806580000000001</v>
      </c>
      <c r="T3732">
        <v>1.861262E-2</v>
      </c>
      <c r="U3732">
        <v>0.22531129999999999</v>
      </c>
      <c r="V3732">
        <v>-6.9100090000000003E-2</v>
      </c>
      <c r="W3732">
        <v>0.19263430000000001</v>
      </c>
      <c r="X3732">
        <v>0.9788346</v>
      </c>
      <c r="Y3732">
        <v>9.6827319999999995E-2</v>
      </c>
      <c r="Z3732">
        <v>-1.2382199999999999E-4</v>
      </c>
      <c r="AA3732">
        <v>0.9953012</v>
      </c>
      <c r="AB3732">
        <v>28</v>
      </c>
      <c r="AC3732">
        <v>-125.8467</v>
      </c>
      <c r="AD3732">
        <v>0.76275499999999996</v>
      </c>
      <c r="AE3732">
        <v>9.2453999999999894</v>
      </c>
      <c r="AF3732">
        <v>12.259071652840699</v>
      </c>
      <c r="AG3732">
        <v>0.76275499999999996</v>
      </c>
      <c r="AH3732">
        <v>125.584318119942</v>
      </c>
      <c r="AI3732">
        <v>89.653656047763505</v>
      </c>
      <c r="AJ3732">
        <v>84.424664423736004</v>
      </c>
      <c r="AK3732">
        <v>126.18354722637299</v>
      </c>
      <c r="AL3732">
        <v>78.893440824205101</v>
      </c>
      <c r="AM3732">
        <v>94.038053269652394</v>
      </c>
      <c r="AN3732">
        <v>0.99999998506582799</v>
      </c>
    </row>
    <row r="3733" spans="1:40" x14ac:dyDescent="0.25">
      <c r="A3733" t="str">
        <f>"20190304155447243"</f>
        <v>20190304155447243</v>
      </c>
      <c r="B3733" t="str">
        <f>"1551686087231047"</f>
        <v>1551686087231047</v>
      </c>
      <c r="C3733" t="s">
        <v>40</v>
      </c>
      <c r="D3733">
        <v>4.1009260000000003</v>
      </c>
      <c r="E3733">
        <v>0.56387279999999995</v>
      </c>
      <c r="F3733" t="s">
        <v>79</v>
      </c>
      <c r="G3733">
        <v>-511.05930000000001</v>
      </c>
      <c r="H3733">
        <v>2.0104700000000002</v>
      </c>
      <c r="I3733">
        <v>151.2287</v>
      </c>
      <c r="J3733">
        <v>-385.4966</v>
      </c>
      <c r="K3733">
        <v>1.1109309999999999</v>
      </c>
      <c r="L3733">
        <v>141.77500000000001</v>
      </c>
      <c r="M3733">
        <v>-0.99961140000000004</v>
      </c>
      <c r="N3733">
        <v>-1.273723E-2</v>
      </c>
      <c r="O3733">
        <v>-2.4795930000000001E-2</v>
      </c>
      <c r="P3733">
        <v>-0.97917089999999996</v>
      </c>
      <c r="Q3733">
        <v>0.1800195</v>
      </c>
      <c r="R3733">
        <v>-9.3900860000000003E-2</v>
      </c>
      <c r="S3733">
        <v>-3.0812680000000001</v>
      </c>
      <c r="T3733">
        <v>2.202666E-2</v>
      </c>
      <c r="U3733">
        <v>0.2312775</v>
      </c>
      <c r="V3733">
        <v>-6.9855630000000002E-2</v>
      </c>
      <c r="W3733">
        <v>0.19240650000000001</v>
      </c>
      <c r="X3733">
        <v>0.97882579999999997</v>
      </c>
      <c r="Y3733">
        <v>9.9551130000000002E-2</v>
      </c>
      <c r="Z3733">
        <v>-2.1277930000000001E-4</v>
      </c>
      <c r="AA3733">
        <v>0.99503240000000004</v>
      </c>
      <c r="AB3733">
        <v>28</v>
      </c>
      <c r="AC3733">
        <v>-125.56270000000001</v>
      </c>
      <c r="AD3733">
        <v>0.89953899999999998</v>
      </c>
      <c r="AE3733">
        <v>9.4536999999999907</v>
      </c>
      <c r="AF3733">
        <v>12.563848111960301</v>
      </c>
      <c r="AG3733">
        <v>0.89953899999999998</v>
      </c>
      <c r="AH3733">
        <v>125.28326136660399</v>
      </c>
      <c r="AI3733">
        <v>89.590674034413496</v>
      </c>
      <c r="AJ3733">
        <v>84.273322897729898</v>
      </c>
      <c r="AK3733">
        <v>125.914872149583</v>
      </c>
      <c r="AL3733">
        <v>78.906741884838794</v>
      </c>
      <c r="AM3733">
        <v>94.082093443690894</v>
      </c>
      <c r="AN3733">
        <v>1.00000000851529</v>
      </c>
    </row>
    <row r="3734" spans="1:40" x14ac:dyDescent="0.25">
      <c r="A3734" t="str">
        <f>"20190304155447263"</f>
        <v>20190304155447263</v>
      </c>
      <c r="B3734" t="str">
        <f>"1551686087250598"</f>
        <v>1551686087250598</v>
      </c>
      <c r="C3734" t="s">
        <v>40</v>
      </c>
      <c r="D3734">
        <v>4.0906539999999998</v>
      </c>
      <c r="E3734">
        <v>0.5644749</v>
      </c>
      <c r="F3734" t="s">
        <v>79</v>
      </c>
      <c r="G3734">
        <v>-511.05930000000001</v>
      </c>
      <c r="H3734">
        <v>2.0755620000000001</v>
      </c>
      <c r="I3734">
        <v>151.28620000000001</v>
      </c>
      <c r="J3734">
        <v>-385.75540000000001</v>
      </c>
      <c r="K3734">
        <v>1.1109849999999999</v>
      </c>
      <c r="L3734">
        <v>141.76769999999999</v>
      </c>
      <c r="M3734">
        <v>-0.99959050000000005</v>
      </c>
      <c r="N3734">
        <v>-1.272707E-2</v>
      </c>
      <c r="O3734">
        <v>-2.5633800000000002E-2</v>
      </c>
      <c r="P3734">
        <v>-0.97911720000000002</v>
      </c>
      <c r="Q3734">
        <v>0.17986529999999901</v>
      </c>
      <c r="R3734">
        <v>-9.475219E-2</v>
      </c>
      <c r="S3734">
        <v>-3.0818180000000002</v>
      </c>
      <c r="T3734">
        <v>2.3676989999999998E-2</v>
      </c>
      <c r="U3734">
        <v>0.23344419999999999</v>
      </c>
      <c r="V3734">
        <v>-6.9909379999999993E-2</v>
      </c>
      <c r="W3734">
        <v>0.1922343</v>
      </c>
      <c r="X3734">
        <v>0.97885580000000005</v>
      </c>
      <c r="Y3734">
        <v>0.101067</v>
      </c>
      <c r="Z3734">
        <v>-2.6600579999999999E-4</v>
      </c>
      <c r="AA3734">
        <v>0.99487959999999998</v>
      </c>
      <c r="AB3734">
        <v>27</v>
      </c>
      <c r="AC3734">
        <v>-125.3039</v>
      </c>
      <c r="AD3734">
        <v>0.96457699999999902</v>
      </c>
      <c r="AE3734">
        <v>9.5185000000000102</v>
      </c>
      <c r="AF3734">
        <v>12.7268967768849</v>
      </c>
      <c r="AG3734">
        <v>0.96457699999999902</v>
      </c>
      <c r="AH3734">
        <v>125.011338056803</v>
      </c>
      <c r="AI3734">
        <v>89.560192559348707</v>
      </c>
      <c r="AJ3734">
        <v>84.1869770313331</v>
      </c>
      <c r="AK3734">
        <v>125.66120703347799</v>
      </c>
      <c r="AL3734">
        <v>78.916795947595602</v>
      </c>
      <c r="AM3734">
        <v>94.085098975757305</v>
      </c>
      <c r="AN3734">
        <v>1.00000001235105</v>
      </c>
    </row>
    <row r="3735" spans="1:40" x14ac:dyDescent="0.25">
      <c r="A3735" t="str">
        <f>"20190304155447284"</f>
        <v>20190304155447284</v>
      </c>
      <c r="B3735" t="str">
        <f>"1551686087280853"</f>
        <v>1551686087280853</v>
      </c>
      <c r="C3735" t="s">
        <v>40</v>
      </c>
      <c r="D3735">
        <v>4.053833</v>
      </c>
      <c r="E3735">
        <v>0.565388</v>
      </c>
      <c r="F3735" t="s">
        <v>79</v>
      </c>
      <c r="G3735">
        <v>-511.05939999999998</v>
      </c>
      <c r="H3735">
        <v>2.1226850000000002</v>
      </c>
      <c r="I3735">
        <v>151.33369999999999</v>
      </c>
      <c r="J3735">
        <v>-386.02510000000001</v>
      </c>
      <c r="K3735">
        <v>1.111043</v>
      </c>
      <c r="L3735">
        <v>141.75970000000001</v>
      </c>
      <c r="M3735">
        <v>-0.99956579999999995</v>
      </c>
      <c r="N3735">
        <v>-1.271717E-2</v>
      </c>
      <c r="O3735">
        <v>-2.6582069999999999E-2</v>
      </c>
      <c r="P3735">
        <v>-0.97908899999999999</v>
      </c>
      <c r="Q3735">
        <v>0.17920810000000001</v>
      </c>
      <c r="R3735">
        <v>-9.6278669999999997E-2</v>
      </c>
      <c r="S3735">
        <v>-3.082214</v>
      </c>
      <c r="T3735">
        <v>2.4886729999999999E-2</v>
      </c>
      <c r="U3735">
        <v>0.23530580000000001</v>
      </c>
      <c r="V3735">
        <v>-7.0530789999999996E-2</v>
      </c>
      <c r="W3735">
        <v>0.19155759999999999</v>
      </c>
      <c r="X3735">
        <v>0.97894389999999998</v>
      </c>
      <c r="Y3735">
        <v>0.10259799999999999</v>
      </c>
      <c r="Z3735">
        <v>-3.1210199999999997E-4</v>
      </c>
      <c r="AA3735">
        <v>0.99472280000000002</v>
      </c>
      <c r="AB3735">
        <v>27</v>
      </c>
      <c r="AC3735">
        <v>-125.03429999999901</v>
      </c>
      <c r="AD3735">
        <v>1.0116419999999899</v>
      </c>
      <c r="AE3735">
        <v>9.5739999999999803</v>
      </c>
      <c r="AF3735">
        <v>12.8937162984425</v>
      </c>
      <c r="AG3735">
        <v>1.0116419999999899</v>
      </c>
      <c r="AH3735">
        <v>124.72747529406701</v>
      </c>
      <c r="AI3735">
        <v>89.537757667240399</v>
      </c>
      <c r="AJ3735">
        <v>84.098006707354401</v>
      </c>
      <c r="AK3735">
        <v>125.396229738987</v>
      </c>
      <c r="AL3735">
        <v>78.956302444824999</v>
      </c>
      <c r="AM3735">
        <v>94.120916386112995</v>
      </c>
      <c r="AN3735">
        <v>1.00000003290149</v>
      </c>
    </row>
    <row r="3736" spans="1:40" x14ac:dyDescent="0.25">
      <c r="A3736" t="str">
        <f>"20190304155447309"</f>
        <v>20190304155447309</v>
      </c>
      <c r="B3736" t="str">
        <f>"1551686087301349"</f>
        <v>1551686087301349</v>
      </c>
      <c r="C3736" t="s">
        <v>40</v>
      </c>
      <c r="D3736">
        <v>4.0123439999999997</v>
      </c>
      <c r="E3736">
        <v>0.56602830000000004</v>
      </c>
      <c r="F3736" t="s">
        <v>79</v>
      </c>
      <c r="G3736">
        <v>-511.05939999999998</v>
      </c>
      <c r="H3736">
        <v>2.1456919999999999</v>
      </c>
      <c r="I3736">
        <v>151.38999999999999</v>
      </c>
      <c r="J3736">
        <v>-386.3152</v>
      </c>
      <c r="K3736">
        <v>1.111105</v>
      </c>
      <c r="L3736">
        <v>141.75069999999999</v>
      </c>
      <c r="M3736">
        <v>-0.99953570000000003</v>
      </c>
      <c r="N3736">
        <v>-1.270781E-2</v>
      </c>
      <c r="O3736">
        <v>-2.769477E-2</v>
      </c>
      <c r="P3736">
        <v>-0.97898830000000003</v>
      </c>
      <c r="Q3736">
        <v>0.1789675</v>
      </c>
      <c r="R3736">
        <v>-9.7738119999999998E-2</v>
      </c>
      <c r="S3736">
        <v>-3.0827939999999998</v>
      </c>
      <c r="T3736">
        <v>2.5510910000000001E-2</v>
      </c>
      <c r="U3736">
        <v>0.23744199999999999</v>
      </c>
      <c r="V3736">
        <v>-7.0931259999999996E-2</v>
      </c>
      <c r="W3736">
        <v>0.19129599999999999</v>
      </c>
      <c r="X3736">
        <v>0.97896609999999995</v>
      </c>
      <c r="Y3736">
        <v>0.1043758</v>
      </c>
      <c r="Z3736">
        <v>-3.4726249999999999E-4</v>
      </c>
      <c r="AA3736">
        <v>0.99453789999999997</v>
      </c>
      <c r="AB3736">
        <v>27</v>
      </c>
      <c r="AC3736">
        <v>-124.744199999999</v>
      </c>
      <c r="AD3736">
        <v>1.0345869999999999</v>
      </c>
      <c r="AE3736">
        <v>9.6392999999999898</v>
      </c>
      <c r="AF3736">
        <v>13.089747721408401</v>
      </c>
      <c r="AG3736">
        <v>1.0345869999999999</v>
      </c>
      <c r="AH3736">
        <v>124.42085645800501</v>
      </c>
      <c r="AI3736">
        <v>89.526198597224194</v>
      </c>
      <c r="AJ3736">
        <v>83.994266282883402</v>
      </c>
      <c r="AK3736">
        <v>125.111795556671</v>
      </c>
      <c r="AL3736">
        <v>78.971573218326895</v>
      </c>
      <c r="AM3736">
        <v>94.144139779957001</v>
      </c>
      <c r="AN3736">
        <v>1.0000000141051899</v>
      </c>
    </row>
    <row r="3737" spans="1:40" x14ac:dyDescent="0.25">
      <c r="A3737" t="str">
        <f>"20190304155447331"</f>
        <v>20190304155447331</v>
      </c>
      <c r="B3737" t="str">
        <f>"1551686087320869"</f>
        <v>1551686087320869</v>
      </c>
      <c r="C3737" t="s">
        <v>40</v>
      </c>
      <c r="D3737">
        <v>4.1184849999999997</v>
      </c>
      <c r="E3737">
        <v>0.56649550000000004</v>
      </c>
      <c r="F3737" t="s">
        <v>79</v>
      </c>
      <c r="G3737">
        <v>-511.05939999999998</v>
      </c>
      <c r="H3737">
        <v>2.195154</v>
      </c>
      <c r="I3737">
        <v>151.3673</v>
      </c>
      <c r="J3737">
        <v>-386.58440000000002</v>
      </c>
      <c r="K3737">
        <v>1.1111719999999901</v>
      </c>
      <c r="L3737">
        <v>141.74209999999999</v>
      </c>
      <c r="M3737">
        <v>-0.99950380000000005</v>
      </c>
      <c r="N3737">
        <v>-1.2700349999999999E-2</v>
      </c>
      <c r="O3737">
        <v>-2.8823499999999998E-2</v>
      </c>
      <c r="P3737">
        <v>-0.97879389999999999</v>
      </c>
      <c r="Q3737">
        <v>0.1791005</v>
      </c>
      <c r="R3737">
        <v>-9.942376E-2</v>
      </c>
      <c r="S3737">
        <v>-3.083221</v>
      </c>
      <c r="T3737">
        <v>2.6794789999999999E-2</v>
      </c>
      <c r="U3737">
        <v>0.23768619999999999</v>
      </c>
      <c r="V3737">
        <v>-7.1545839999999999E-2</v>
      </c>
      <c r="W3737">
        <v>0.19140779999999999</v>
      </c>
      <c r="X3737">
        <v>0.97889950000000003</v>
      </c>
      <c r="Y3737">
        <v>0.10556599999999999</v>
      </c>
      <c r="Z3737">
        <v>-4.0226580000000001E-4</v>
      </c>
      <c r="AA3737">
        <v>0.99441219999999997</v>
      </c>
      <c r="AB3737">
        <v>27</v>
      </c>
      <c r="AC3737">
        <v>-124.474999999999</v>
      </c>
      <c r="AD3737">
        <v>1.083982</v>
      </c>
      <c r="AE3737">
        <v>9.6251999999999995</v>
      </c>
      <c r="AF3737">
        <v>13.2082991836796</v>
      </c>
      <c r="AG3737">
        <v>1.083982</v>
      </c>
      <c r="AH3737">
        <v>124.136461865459</v>
      </c>
      <c r="AI3737">
        <v>89.502503699855794</v>
      </c>
      <c r="AJ3737">
        <v>83.926497274816398</v>
      </c>
      <c r="AK3737">
        <v>124.84188138912501</v>
      </c>
      <c r="AL3737">
        <v>78.965046708940505</v>
      </c>
      <c r="AM3737">
        <v>94.180203103908596</v>
      </c>
      <c r="AN3737">
        <v>0.99999999211119694</v>
      </c>
    </row>
    <row r="3738" spans="1:40" x14ac:dyDescent="0.25">
      <c r="A3738" t="str">
        <f>"20190304155447353"</f>
        <v>20190304155447353</v>
      </c>
      <c r="B3738" t="str">
        <f>"1551686087351125"</f>
        <v>1551686087351125</v>
      </c>
      <c r="C3738" t="s">
        <v>40</v>
      </c>
      <c r="D3738">
        <v>4.1388129999999999</v>
      </c>
      <c r="E3738">
        <v>0.56628469999999997</v>
      </c>
      <c r="F3738" t="s">
        <v>79</v>
      </c>
      <c r="G3738">
        <v>-511.05939999999998</v>
      </c>
      <c r="H3738">
        <v>2.288767</v>
      </c>
      <c r="I3738">
        <v>151.2595</v>
      </c>
      <c r="J3738">
        <v>-386.8657</v>
      </c>
      <c r="K3738">
        <v>1.1112470000000001</v>
      </c>
      <c r="L3738">
        <v>141.73249999999999</v>
      </c>
      <c r="M3738">
        <v>-0.99946579999999996</v>
      </c>
      <c r="N3738">
        <v>-1.2693640000000001E-2</v>
      </c>
      <c r="O3738">
        <v>-3.0118260000000001E-2</v>
      </c>
      <c r="P3738">
        <v>-0.97866220000000004</v>
      </c>
      <c r="Q3738">
        <v>0.1790668</v>
      </c>
      <c r="R3738">
        <v>-0.100775</v>
      </c>
      <c r="S3738">
        <v>-3.0836489999999999</v>
      </c>
      <c r="T3738">
        <v>2.9173850000000001E-2</v>
      </c>
      <c r="U3738">
        <v>0.23577880000000001</v>
      </c>
      <c r="V3738">
        <v>-7.1666110000000005E-2</v>
      </c>
      <c r="W3738">
        <v>0.19135350000000001</v>
      </c>
      <c r="X3738">
        <v>0.97890129999999997</v>
      </c>
      <c r="Y3738">
        <v>0.106231199999999</v>
      </c>
      <c r="Z3738">
        <v>-4.9279249999999999E-4</v>
      </c>
      <c r="AA3738">
        <v>0.99434129999999998</v>
      </c>
      <c r="AB3738">
        <v>27</v>
      </c>
      <c r="AC3738">
        <v>-124.193699999999</v>
      </c>
      <c r="AD3738">
        <v>1.1775199999999999</v>
      </c>
      <c r="AE3738">
        <v>9.5270000000000099</v>
      </c>
      <c r="AF3738">
        <v>13.262291365553301</v>
      </c>
      <c r="AG3738">
        <v>1.1775199999999999</v>
      </c>
      <c r="AH3738">
        <v>123.839322274578</v>
      </c>
      <c r="AI3738">
        <v>89.458319549734796</v>
      </c>
      <c r="AJ3738">
        <v>83.887335806709103</v>
      </c>
      <c r="AK3738">
        <v>124.553011473195</v>
      </c>
      <c r="AL3738">
        <v>78.968216259887399</v>
      </c>
      <c r="AM3738">
        <v>94.187197465455995</v>
      </c>
      <c r="AN3738">
        <v>0.99999997421323505</v>
      </c>
    </row>
    <row r="3739" spans="1:40" x14ac:dyDescent="0.25">
      <c r="A3739" t="str">
        <f>"20190304155447374"</f>
        <v>20190304155447374</v>
      </c>
      <c r="B3739" t="str">
        <f>"1551686087370646"</f>
        <v>1551686087370646</v>
      </c>
      <c r="C3739" t="s">
        <v>40</v>
      </c>
      <c r="D3739">
        <v>4.1441509999999999</v>
      </c>
      <c r="E3739">
        <v>0.566173699999999</v>
      </c>
      <c r="F3739" t="s">
        <v>79</v>
      </c>
      <c r="G3739">
        <v>-511.05939999999998</v>
      </c>
      <c r="H3739">
        <v>2.302759</v>
      </c>
      <c r="I3739">
        <v>150.98759999999999</v>
      </c>
      <c r="J3739">
        <v>-387.1234</v>
      </c>
      <c r="K3739">
        <v>1.111326</v>
      </c>
      <c r="L3739">
        <v>141.7234</v>
      </c>
      <c r="M3739">
        <v>-0.99942600000000004</v>
      </c>
      <c r="N3739">
        <v>-1.2688680000000001E-2</v>
      </c>
      <c r="O3739">
        <v>-3.1414610000000003E-2</v>
      </c>
      <c r="P3739">
        <v>-0.97850210000000004</v>
      </c>
      <c r="Q3739">
        <v>0.17887520000000001</v>
      </c>
      <c r="R3739">
        <v>-0.10265340000000001</v>
      </c>
      <c r="S3739">
        <v>-3.0836489999999999</v>
      </c>
      <c r="T3739">
        <v>2.9585480000000001E-2</v>
      </c>
      <c r="U3739">
        <v>0.22979740000000001</v>
      </c>
      <c r="V3739">
        <v>-7.2312360000000006E-2</v>
      </c>
      <c r="W3739">
        <v>0.19114100000000001</v>
      </c>
      <c r="X3739">
        <v>0.97889530000000002</v>
      </c>
      <c r="Y3739">
        <v>0.1056026</v>
      </c>
      <c r="Z3739">
        <v>-5.3396400000000005E-4</v>
      </c>
      <c r="AA3739">
        <v>0.99440819999999996</v>
      </c>
      <c r="AB3739">
        <v>27</v>
      </c>
      <c r="AC3739">
        <v>-123.935999999999</v>
      </c>
      <c r="AD3739">
        <v>1.191433</v>
      </c>
      <c r="AE3739">
        <v>9.2641999999999793</v>
      </c>
      <c r="AF3739">
        <v>13.152132272217701</v>
      </c>
      <c r="AG3739">
        <v>1.191433</v>
      </c>
      <c r="AH3739">
        <v>123.57240905827901</v>
      </c>
      <c r="AI3739">
        <v>89.450697666253902</v>
      </c>
      <c r="AJ3739">
        <v>83.924732568669597</v>
      </c>
      <c r="AK3739">
        <v>124.276057132362</v>
      </c>
      <c r="AL3739">
        <v>78.9806206807758</v>
      </c>
      <c r="AM3739">
        <v>94.224845262039594</v>
      </c>
      <c r="AN3739">
        <v>0.99999998382592903</v>
      </c>
    </row>
    <row r="3740" spans="1:40" x14ac:dyDescent="0.25">
      <c r="A3740" t="str">
        <f>"20190304155447397"</f>
        <v>20190304155447397</v>
      </c>
      <c r="B3740" t="str">
        <f>"1551686087391145"</f>
        <v>1551686087391145</v>
      </c>
      <c r="C3740" t="s">
        <v>40</v>
      </c>
      <c r="D3740">
        <v>4.1765530000000002</v>
      </c>
      <c r="E3740">
        <v>0.56601099999999904</v>
      </c>
      <c r="F3740" t="s">
        <v>79</v>
      </c>
      <c r="G3740">
        <v>-511.05939999999998</v>
      </c>
      <c r="H3740">
        <v>2.288173</v>
      </c>
      <c r="I3740">
        <v>150.68600000000001</v>
      </c>
      <c r="J3740">
        <v>-387.4051</v>
      </c>
      <c r="K3740">
        <v>1.111416</v>
      </c>
      <c r="L3740">
        <v>141.71289999999999</v>
      </c>
      <c r="M3740">
        <v>-0.99937640000000005</v>
      </c>
      <c r="N3740">
        <v>-1.2684340000000001E-2</v>
      </c>
      <c r="O3740">
        <v>-3.2953070000000001E-2</v>
      </c>
      <c r="P3740">
        <v>-0.9783326</v>
      </c>
      <c r="Q3740">
        <v>0.179024499999999</v>
      </c>
      <c r="R3740">
        <v>-0.1039958</v>
      </c>
      <c r="S3740">
        <v>-3.0839840000000001</v>
      </c>
      <c r="T3740">
        <v>2.9285309999999998E-2</v>
      </c>
      <c r="U3740">
        <v>0.22302250000000001</v>
      </c>
      <c r="V3740">
        <v>-7.2192880000000001E-2</v>
      </c>
      <c r="W3740">
        <v>0.1912702</v>
      </c>
      <c r="X3740">
        <v>0.9788789</v>
      </c>
      <c r="Y3740">
        <v>0.1049522</v>
      </c>
      <c r="Z3740">
        <v>-5.6105960000000002E-4</v>
      </c>
      <c r="AA3740">
        <v>0.9944771</v>
      </c>
      <c r="AB3740">
        <v>27</v>
      </c>
      <c r="AC3740">
        <v>-123.654299999999</v>
      </c>
      <c r="AD3740">
        <v>1.1767570000000001</v>
      </c>
      <c r="AE3740">
        <v>8.9731000000000094</v>
      </c>
      <c r="AF3740">
        <v>13.0421676362947</v>
      </c>
      <c r="AG3740">
        <v>1.1767570000000001</v>
      </c>
      <c r="AH3740">
        <v>123.280311305512</v>
      </c>
      <c r="AI3740">
        <v>89.456141626064493</v>
      </c>
      <c r="AJ3740">
        <v>83.960982777463002</v>
      </c>
      <c r="AK3740">
        <v>123.973860346745</v>
      </c>
      <c r="AL3740">
        <v>78.973079113361507</v>
      </c>
      <c r="AM3740">
        <v>94.217960274702193</v>
      </c>
      <c r="AN3740">
        <v>1.0000000010979699</v>
      </c>
    </row>
    <row r="3741" spans="1:40" x14ac:dyDescent="0.25">
      <c r="A3741" t="str">
        <f>"20190304155447420"</f>
        <v>20190304155447420</v>
      </c>
      <c r="B3741" t="str">
        <f>"1551686087410661"</f>
        <v>1551686087410661</v>
      </c>
      <c r="C3741" t="s">
        <v>40</v>
      </c>
      <c r="D3741">
        <v>4.11707</v>
      </c>
      <c r="E3741">
        <v>0.56580559999999902</v>
      </c>
      <c r="F3741" t="s">
        <v>79</v>
      </c>
      <c r="G3741">
        <v>-511.05939999999998</v>
      </c>
      <c r="H3741">
        <v>2.3127369999999998</v>
      </c>
      <c r="I3741">
        <v>150.43469999999999</v>
      </c>
      <c r="J3741">
        <v>-387.67610000000002</v>
      </c>
      <c r="K3741">
        <v>1.1115079999999999</v>
      </c>
      <c r="L3741">
        <v>141.70230000000001</v>
      </c>
      <c r="M3741">
        <v>-0.9993225</v>
      </c>
      <c r="N3741">
        <v>-1.268119E-2</v>
      </c>
      <c r="O3741">
        <v>-3.455217E-2</v>
      </c>
      <c r="P3741">
        <v>-0.97810180000000002</v>
      </c>
      <c r="Q3741">
        <v>0.17921210000000001</v>
      </c>
      <c r="R3741">
        <v>-0.1058326</v>
      </c>
      <c r="S3741">
        <v>-3.0840450000000001</v>
      </c>
      <c r="T3741">
        <v>2.996302E-2</v>
      </c>
      <c r="U3741">
        <v>0.21752929999999901</v>
      </c>
      <c r="V3741">
        <v>-7.2507870000000002E-2</v>
      </c>
      <c r="W3741">
        <v>0.1914373</v>
      </c>
      <c r="X3741">
        <v>0.97882290000000005</v>
      </c>
      <c r="Y3741">
        <v>0.1047791</v>
      </c>
      <c r="Z3741">
        <v>-6.1600239999999996E-4</v>
      </c>
      <c r="AA3741">
        <v>0.99449529999999997</v>
      </c>
      <c r="AB3741">
        <v>27</v>
      </c>
      <c r="AC3741">
        <v>-123.383299999999</v>
      </c>
      <c r="AD3741">
        <v>1.2012290000000001</v>
      </c>
      <c r="AE3741">
        <v>8.7323999999999806</v>
      </c>
      <c r="AF3741">
        <v>12.989463257372099</v>
      </c>
      <c r="AG3741">
        <v>1.2012290000000001</v>
      </c>
      <c r="AH3741">
        <v>122.99626774389399</v>
      </c>
      <c r="AI3741">
        <v>89.443539454264993</v>
      </c>
      <c r="AJ3741">
        <v>83.971419452328107</v>
      </c>
      <c r="AK3741">
        <v>123.686098595407</v>
      </c>
      <c r="AL3741">
        <v>78.963324171215902</v>
      </c>
      <c r="AM3741">
        <v>94.236538592453698</v>
      </c>
      <c r="AN3741">
        <v>0.99999995030381705</v>
      </c>
    </row>
    <row r="3742" spans="1:40" x14ac:dyDescent="0.25">
      <c r="A3742" t="str">
        <f>"20190304155447442"</f>
        <v>20190304155447442</v>
      </c>
      <c r="B3742" t="str">
        <f>"1551686087431158"</f>
        <v>1551686087431158</v>
      </c>
      <c r="C3742" t="s">
        <v>40</v>
      </c>
      <c r="D3742">
        <v>4.1250179999999999</v>
      </c>
      <c r="E3742">
        <v>0.56575399999999998</v>
      </c>
      <c r="F3742" t="s">
        <v>79</v>
      </c>
      <c r="G3742">
        <v>-511.05939999999998</v>
      </c>
      <c r="H3742">
        <v>2.347515</v>
      </c>
      <c r="I3742">
        <v>150.11320000000001</v>
      </c>
      <c r="J3742">
        <v>-387.94529999999997</v>
      </c>
      <c r="K3742">
        <v>1.111588</v>
      </c>
      <c r="L3742">
        <v>141.69110000000001</v>
      </c>
      <c r="M3742">
        <v>-0.99926230000000005</v>
      </c>
      <c r="N3742">
        <v>-1.2678439999999999E-2</v>
      </c>
      <c r="O3742">
        <v>-3.6249879999999998E-2</v>
      </c>
      <c r="P3742">
        <v>-0.97778900000000002</v>
      </c>
      <c r="Q3742">
        <v>0.17966070000000001</v>
      </c>
      <c r="R3742">
        <v>-0.10793949999999999</v>
      </c>
      <c r="S3742">
        <v>-3.0842589999999999</v>
      </c>
      <c r="T3742">
        <v>3.089797E-2</v>
      </c>
      <c r="U3742">
        <v>0.21025089999999999</v>
      </c>
      <c r="V3742">
        <v>-7.2997770000000003E-2</v>
      </c>
      <c r="W3742">
        <v>0.19186600000000001</v>
      </c>
      <c r="X3742">
        <v>0.97870259999999998</v>
      </c>
      <c r="Y3742">
        <v>0.10412739999999999</v>
      </c>
      <c r="Z3742">
        <v>-6.8183809999999997E-4</v>
      </c>
      <c r="AA3742">
        <v>0.9945638</v>
      </c>
      <c r="AB3742">
        <v>27</v>
      </c>
      <c r="AC3742">
        <v>-123.11409999999999</v>
      </c>
      <c r="AD3742">
        <v>1.235927</v>
      </c>
      <c r="AE3742">
        <v>8.4221000000000004</v>
      </c>
      <c r="AF3742">
        <v>12.8785021210035</v>
      </c>
      <c r="AG3742">
        <v>1.235927</v>
      </c>
      <c r="AH3742">
        <v>122.715536908952</v>
      </c>
      <c r="AI3742">
        <v>89.426117653371193</v>
      </c>
      <c r="AJ3742">
        <v>84.0089685089211</v>
      </c>
      <c r="AK3742">
        <v>123.395649563842</v>
      </c>
      <c r="AL3742">
        <v>78.938298195090496</v>
      </c>
      <c r="AM3742">
        <v>94.2655798435528</v>
      </c>
      <c r="AN3742">
        <v>1.00000000781386</v>
      </c>
    </row>
    <row r="3743" spans="1:40" x14ac:dyDescent="0.25">
      <c r="A3743" t="str">
        <f>"20190304155447464"</f>
        <v>20190304155447464</v>
      </c>
      <c r="B3743" t="str">
        <f>"1551686087461209"</f>
        <v>1551686087461209</v>
      </c>
      <c r="C3743" t="s">
        <v>40</v>
      </c>
      <c r="D3743">
        <v>4.0954300000000003</v>
      </c>
      <c r="E3743">
        <v>0.56576519999999997</v>
      </c>
      <c r="F3743" t="s">
        <v>79</v>
      </c>
      <c r="G3743">
        <v>-511.53550000000001</v>
      </c>
      <c r="H3743">
        <v>2.4317479999999998</v>
      </c>
      <c r="I3743">
        <v>149.8432</v>
      </c>
      <c r="J3743">
        <v>-388.2099</v>
      </c>
      <c r="K3743">
        <v>1.1116629999999901</v>
      </c>
      <c r="L3743">
        <v>141.67959999999999</v>
      </c>
      <c r="M3743">
        <v>-0.99919659999999999</v>
      </c>
      <c r="N3743">
        <v>-1.2676369999999999E-2</v>
      </c>
      <c r="O3743">
        <v>-3.8018929999999999E-2</v>
      </c>
      <c r="P3743">
        <v>-0.97746250000000001</v>
      </c>
      <c r="Q3743">
        <v>0.1801671</v>
      </c>
      <c r="R3743">
        <v>-0.1100318</v>
      </c>
      <c r="S3743">
        <v>-3.0845639999999999</v>
      </c>
      <c r="T3743">
        <v>3.2949569999999997E-2</v>
      </c>
      <c r="U3743">
        <v>0.20346069999999999</v>
      </c>
      <c r="V3743">
        <v>-7.3398469999999993E-2</v>
      </c>
      <c r="W3743">
        <v>0.19235540000000001</v>
      </c>
      <c r="X3743">
        <v>0.97857649999999996</v>
      </c>
      <c r="Y3743">
        <v>0.1037006</v>
      </c>
      <c r="Z3743">
        <v>-7.8230960000000001E-4</v>
      </c>
      <c r="AA3743">
        <v>0.99460820000000005</v>
      </c>
      <c r="AB3743">
        <v>27</v>
      </c>
      <c r="AC3743">
        <v>-123.32559999999999</v>
      </c>
      <c r="AD3743">
        <v>1.320085</v>
      </c>
      <c r="AE3743">
        <v>8.1636000000000006</v>
      </c>
      <c r="AF3743">
        <v>12.8453157409953</v>
      </c>
      <c r="AG3743">
        <v>1.320085</v>
      </c>
      <c r="AH3743">
        <v>122.912005887584</v>
      </c>
      <c r="AI3743">
        <v>89.387995116408803</v>
      </c>
      <c r="AJ3743">
        <v>84.033777763826393</v>
      </c>
      <c r="AK3743">
        <v>123.588453959917</v>
      </c>
      <c r="AL3743">
        <v>78.909724782972901</v>
      </c>
      <c r="AM3743">
        <v>94.289457978587606</v>
      </c>
      <c r="AN3743">
        <v>0.99999995082987403</v>
      </c>
    </row>
    <row r="3744" spans="1:40" x14ac:dyDescent="0.25">
      <c r="A3744" t="str">
        <f>"20190304155447486"</f>
        <v>20190304155447486</v>
      </c>
      <c r="B3744" t="str">
        <f>"1551686087480732"</f>
        <v>1551686087480732</v>
      </c>
      <c r="C3744" t="s">
        <v>40</v>
      </c>
      <c r="D3744">
        <v>4.0038989999999997</v>
      </c>
      <c r="E3744">
        <v>0.56572259999999996</v>
      </c>
      <c r="F3744" t="s">
        <v>79</v>
      </c>
      <c r="G3744">
        <v>-529.23860000000002</v>
      </c>
      <c r="H3744">
        <v>2.7380650000000002</v>
      </c>
      <c r="I3744">
        <v>150.69999999999999</v>
      </c>
      <c r="J3744">
        <v>-388.48930000000001</v>
      </c>
      <c r="K3744">
        <v>1.11172</v>
      </c>
      <c r="L3744">
        <v>141.66679999999999</v>
      </c>
      <c r="M3744">
        <v>-0.99912080000000003</v>
      </c>
      <c r="N3744">
        <v>-1.267457E-2</v>
      </c>
      <c r="O3744">
        <v>-3.9962999999999999E-2</v>
      </c>
      <c r="P3744">
        <v>-0.97718640000000001</v>
      </c>
      <c r="Q3744">
        <v>0.17982300000000001</v>
      </c>
      <c r="R3744">
        <v>-0.113008</v>
      </c>
      <c r="S3744">
        <v>-3.0848390000000001</v>
      </c>
      <c r="T3744">
        <v>3.5576579999999997E-2</v>
      </c>
      <c r="U3744">
        <v>0.1973114</v>
      </c>
      <c r="V3744">
        <v>-7.450176E-2</v>
      </c>
      <c r="W3744">
        <v>0.19199469999999999</v>
      </c>
      <c r="X3744">
        <v>0.97856399999999999</v>
      </c>
      <c r="Y3744">
        <v>0.103654</v>
      </c>
      <c r="Z3744">
        <v>-9.0586949999999996E-4</v>
      </c>
      <c r="AA3744">
        <v>0.99461299999999997</v>
      </c>
      <c r="AB3744">
        <v>27</v>
      </c>
      <c r="AC3744">
        <v>-140.74930000000001</v>
      </c>
      <c r="AD3744">
        <v>1.6263449999999999</v>
      </c>
      <c r="AE3744">
        <v>9.0331999999999901</v>
      </c>
      <c r="AF3744">
        <v>14.649250835674399</v>
      </c>
      <c r="AG3744">
        <v>1.6263449999999999</v>
      </c>
      <c r="AH3744">
        <v>140.257173297767</v>
      </c>
      <c r="AI3744">
        <v>89.3392533534401</v>
      </c>
      <c r="AJ3744">
        <v>84.037324737233803</v>
      </c>
      <c r="AK3744">
        <v>141.02950120306599</v>
      </c>
      <c r="AL3744">
        <v>78.930784334202798</v>
      </c>
      <c r="AM3744">
        <v>94.353744339536405</v>
      </c>
      <c r="AN3744">
        <v>0.99999998958359304</v>
      </c>
    </row>
    <row r="3745" spans="1:40" x14ac:dyDescent="0.25">
      <c r="A3745" t="str">
        <f>"20190304155447509"</f>
        <v>20190304155447509</v>
      </c>
      <c r="B3745" t="str">
        <f>"1551686087501231"</f>
        <v>1551686087501231</v>
      </c>
      <c r="C3745" t="s">
        <v>40</v>
      </c>
      <c r="D3745">
        <v>3.768059</v>
      </c>
      <c r="E3745">
        <v>0.56527469999999902</v>
      </c>
      <c r="F3745" t="s">
        <v>79</v>
      </c>
      <c r="G3745">
        <v>-537.0575</v>
      </c>
      <c r="H3745">
        <v>2.7858999999999998</v>
      </c>
      <c r="I3745">
        <v>150.69999999999999</v>
      </c>
      <c r="J3745">
        <v>-388.76620000000003</v>
      </c>
      <c r="K3745">
        <v>1.111756</v>
      </c>
      <c r="L3745">
        <v>141.65350000000001</v>
      </c>
      <c r="M3745">
        <v>-0.99903949999999997</v>
      </c>
      <c r="N3745">
        <v>-1.2672660000000001E-2</v>
      </c>
      <c r="O3745">
        <v>-4.1949699999999902E-2</v>
      </c>
      <c r="P3745">
        <v>-0.97689709999999996</v>
      </c>
      <c r="Q3745">
        <v>0.1792928</v>
      </c>
      <c r="R3745">
        <v>-0.1163037</v>
      </c>
      <c r="S3745">
        <v>-3.0852970000000002</v>
      </c>
      <c r="T3745">
        <v>3.4768340000000002E-2</v>
      </c>
      <c r="U3745">
        <v>0.1875916</v>
      </c>
      <c r="V3745">
        <v>-7.5874759999999999E-2</v>
      </c>
      <c r="W3745">
        <v>0.19144990000000001</v>
      </c>
      <c r="X3745">
        <v>0.97856529999999997</v>
      </c>
      <c r="Y3745">
        <v>0.10250090000000001</v>
      </c>
      <c r="Z3745">
        <v>-9.3027590000000003E-4</v>
      </c>
      <c r="AA3745">
        <v>0.99473250000000002</v>
      </c>
      <c r="AB3745">
        <v>27</v>
      </c>
      <c r="AC3745">
        <v>-148.29129999999901</v>
      </c>
      <c r="AD3745">
        <v>1.6741440000000001</v>
      </c>
      <c r="AE3745">
        <v>9.0464999999999804</v>
      </c>
      <c r="AF3745">
        <v>15.257872038003001</v>
      </c>
      <c r="AG3745">
        <v>1.6741440000000001</v>
      </c>
      <c r="AH3745">
        <v>147.76245027090701</v>
      </c>
      <c r="AI3745">
        <v>89.354301328143507</v>
      </c>
      <c r="AJ3745">
        <v>84.104562431656205</v>
      </c>
      <c r="AK3745">
        <v>148.55755493182801</v>
      </c>
      <c r="AL3745">
        <v>78.962589696773605</v>
      </c>
      <c r="AM3745">
        <v>94.433657000980006</v>
      </c>
      <c r="AN3745">
        <v>1.0000000448895701</v>
      </c>
    </row>
    <row r="3746" spans="1:40" x14ac:dyDescent="0.25">
      <c r="A3746" t="str">
        <f>"20190304155447532"</f>
        <v>20190304155447532</v>
      </c>
      <c r="B3746" t="str">
        <f>"1551686087520745"</f>
        <v>1551686087520745</v>
      </c>
      <c r="C3746" t="s">
        <v>40</v>
      </c>
      <c r="D3746">
        <v>3.989242</v>
      </c>
      <c r="E3746">
        <v>0.48099160000000002</v>
      </c>
      <c r="F3746" t="s">
        <v>79</v>
      </c>
      <c r="G3746">
        <v>-548.66290000000004</v>
      </c>
      <c r="H3746">
        <v>2.832687</v>
      </c>
      <c r="I3746">
        <v>150.69999999999999</v>
      </c>
      <c r="J3746">
        <v>-389.0401</v>
      </c>
      <c r="K3746">
        <v>1.1117889999999999</v>
      </c>
      <c r="L3746">
        <v>141.63980000000001</v>
      </c>
      <c r="M3746">
        <v>-0.99895299999999998</v>
      </c>
      <c r="N3746">
        <v>-1.2670819999999999E-2</v>
      </c>
      <c r="O3746">
        <v>-4.3959900000000003E-2</v>
      </c>
      <c r="P3746">
        <v>-0.97664359999999995</v>
      </c>
      <c r="Q3746">
        <v>0.1783497</v>
      </c>
      <c r="R3746">
        <v>-0.119828</v>
      </c>
      <c r="S3746">
        <v>-3.0856319999999999</v>
      </c>
      <c r="T3746">
        <v>3.3210749999999997E-2</v>
      </c>
      <c r="U3746">
        <v>0.174575799999999</v>
      </c>
      <c r="V3746">
        <v>-7.7445020000000003E-2</v>
      </c>
      <c r="W3746">
        <v>0.1904941</v>
      </c>
      <c r="X3746">
        <v>0.97862879999999997</v>
      </c>
      <c r="Y3746">
        <v>0.1003143</v>
      </c>
      <c r="Z3746">
        <v>-9.3262810000000005E-4</v>
      </c>
      <c r="AA3746">
        <v>0.99495540000000005</v>
      </c>
      <c r="AB3746">
        <v>27</v>
      </c>
      <c r="AC3746">
        <v>-159.62280000000001</v>
      </c>
      <c r="AD3746">
        <v>1.720898</v>
      </c>
      <c r="AE3746">
        <v>9.0601999999999805</v>
      </c>
      <c r="AF3746">
        <v>16.0671438349037</v>
      </c>
      <c r="AG3746">
        <v>1.720898</v>
      </c>
      <c r="AH3746">
        <v>159.05172253763101</v>
      </c>
      <c r="AI3746">
        <v>89.383237562658294</v>
      </c>
      <c r="AJ3746">
        <v>84.231642794617798</v>
      </c>
      <c r="AK3746">
        <v>159.87046332304601</v>
      </c>
      <c r="AL3746">
        <v>79.018379634868793</v>
      </c>
      <c r="AM3746">
        <v>94.5247437682401</v>
      </c>
      <c r="AN3746">
        <v>1.00000003072352</v>
      </c>
    </row>
    <row r="3747" spans="1:40" x14ac:dyDescent="0.25">
      <c r="A3747" t="str">
        <f>"20190304155447555"</f>
        <v>20190304155447555</v>
      </c>
      <c r="B3747" t="str">
        <f>"1551686087551001"</f>
        <v>1551686087551001</v>
      </c>
      <c r="C3747" t="s">
        <v>40</v>
      </c>
      <c r="D3747">
        <v>3.9535809999999998</v>
      </c>
      <c r="E3747">
        <v>0.47107549999999998</v>
      </c>
      <c r="F3747" t="s">
        <v>74</v>
      </c>
      <c r="G3747">
        <v>-478.70740000000001</v>
      </c>
      <c r="H3747">
        <v>7.9986559999999998E-2</v>
      </c>
      <c r="I3747">
        <v>126.7043</v>
      </c>
      <c r="J3747">
        <v>-389.32740000000001</v>
      </c>
      <c r="K3747">
        <v>1.1118140000000001</v>
      </c>
      <c r="L3747">
        <v>141.62479999999999</v>
      </c>
      <c r="M3747">
        <v>-0.99885650000000004</v>
      </c>
      <c r="N3747">
        <v>-1.2669339999999999E-2</v>
      </c>
      <c r="O3747">
        <v>-4.6103970000000001E-2</v>
      </c>
      <c r="P3747">
        <v>-0.97620110000000004</v>
      </c>
      <c r="Q3747">
        <v>0.17801719999999999</v>
      </c>
      <c r="R3747">
        <v>-0.123860999999999</v>
      </c>
      <c r="S3747">
        <v>-3.0164789999999999</v>
      </c>
      <c r="T3747">
        <v>-3.4710650000000003E-2</v>
      </c>
      <c r="U3747">
        <v>-0.50244140000000004</v>
      </c>
      <c r="V3747">
        <v>-7.9399960000000006E-2</v>
      </c>
      <c r="W3747">
        <v>0.19014729999999999</v>
      </c>
      <c r="X3747">
        <v>0.97853959999999995</v>
      </c>
      <c r="Y3747">
        <v>-0.11862979999999999</v>
      </c>
      <c r="Z3747">
        <v>-1.489172E-3</v>
      </c>
      <c r="AA3747">
        <v>0.99293739999999997</v>
      </c>
      <c r="AB3747">
        <v>27</v>
      </c>
      <c r="AC3747">
        <v>-89.38</v>
      </c>
      <c r="AD3747">
        <v>-1.03182743999999</v>
      </c>
      <c r="AE3747">
        <v>-14.920499999999899</v>
      </c>
      <c r="AF3747">
        <v>-10.7821309330016</v>
      </c>
      <c r="AG3747">
        <v>-1.03182743999999</v>
      </c>
      <c r="AH3747">
        <v>89.9612274878222</v>
      </c>
      <c r="AI3747">
        <v>90.652466896519499</v>
      </c>
      <c r="AJ3747">
        <v>96.8344753328536</v>
      </c>
      <c r="AK3747">
        <v>90.610934585391107</v>
      </c>
      <c r="AL3747">
        <v>79.038619963700597</v>
      </c>
      <c r="AM3747">
        <v>94.638890278803203</v>
      </c>
      <c r="AN3747">
        <v>1.00000004905672</v>
      </c>
    </row>
    <row r="3748" spans="1:40" x14ac:dyDescent="0.25">
      <c r="A3748" t="str">
        <f>"20190304155447576"</f>
        <v>20190304155447576</v>
      </c>
      <c r="B3748" t="str">
        <f>"1551686087571498"</f>
        <v>1551686087571498</v>
      </c>
      <c r="C3748" t="s">
        <v>40</v>
      </c>
      <c r="D3748">
        <v>3.9249930000000002</v>
      </c>
      <c r="E3748">
        <v>0.46913749999999999</v>
      </c>
      <c r="F3748" t="s">
        <v>46</v>
      </c>
      <c r="G3748">
        <v>-450.28129999999999</v>
      </c>
      <c r="H3748">
        <v>1.5867289999999999E-2</v>
      </c>
      <c r="I3748">
        <v>129.6164</v>
      </c>
      <c r="J3748">
        <v>-389.58240000000001</v>
      </c>
      <c r="K3748">
        <v>1.111828</v>
      </c>
      <c r="L3748">
        <v>141.61099999999999</v>
      </c>
      <c r="M3748">
        <v>-0.99876580000000004</v>
      </c>
      <c r="N3748">
        <v>-1.2668260000000001E-2</v>
      </c>
      <c r="O3748">
        <v>-4.8026390000000002E-2</v>
      </c>
      <c r="P3748">
        <v>-0.97581099999999998</v>
      </c>
      <c r="Q3748">
        <v>0.17747650000000001</v>
      </c>
      <c r="R3748">
        <v>-0.12765309999999999</v>
      </c>
      <c r="S3748">
        <v>-3.0078130000000001</v>
      </c>
      <c r="T3748">
        <v>-5.4080250000000003E-2</v>
      </c>
      <c r="U3748">
        <v>-0.59255979999999997</v>
      </c>
      <c r="V3748">
        <v>-8.1324540000000001E-2</v>
      </c>
      <c r="W3748">
        <v>0.1895944</v>
      </c>
      <c r="X3748">
        <v>0.97848880000000005</v>
      </c>
      <c r="Y3748">
        <v>-0.14590549999999999</v>
      </c>
      <c r="Z3748">
        <v>-1.9817889999999999E-3</v>
      </c>
      <c r="AA3748">
        <v>0.98929659999999997</v>
      </c>
      <c r="AB3748">
        <v>27</v>
      </c>
      <c r="AC3748">
        <v>-60.698899999999902</v>
      </c>
      <c r="AD3748">
        <v>-1.0959607099999999</v>
      </c>
      <c r="AE3748">
        <v>-11.994599999999901</v>
      </c>
      <c r="AF3748">
        <v>-9.0625306076675205</v>
      </c>
      <c r="AG3748">
        <v>-1.0959607099999999</v>
      </c>
      <c r="AH3748">
        <v>61.185752424174403</v>
      </c>
      <c r="AI3748">
        <v>91.015101759896694</v>
      </c>
      <c r="AJ3748">
        <v>98.425113198553206</v>
      </c>
      <c r="AK3748">
        <v>61.862968653348197</v>
      </c>
      <c r="AL3748">
        <v>79.070885471967898</v>
      </c>
      <c r="AM3748">
        <v>94.7510694845313</v>
      </c>
      <c r="AN3748">
        <v>1.0000000245214999</v>
      </c>
    </row>
    <row r="3749" spans="1:40" x14ac:dyDescent="0.25">
      <c r="A3749" t="str">
        <f>"20190304155447598"</f>
        <v>20190304155447598</v>
      </c>
      <c r="B3749" t="str">
        <f>"1551686087591017"</f>
        <v>1551686087591017</v>
      </c>
      <c r="C3749" t="s">
        <v>40</v>
      </c>
      <c r="D3749">
        <v>3.896563</v>
      </c>
      <c r="E3749">
        <v>0.46796989999999999</v>
      </c>
      <c r="F3749" t="s">
        <v>46</v>
      </c>
      <c r="G3749">
        <v>-444.3374</v>
      </c>
      <c r="H3749" s="1">
        <v>-3.3736039999999999E-6</v>
      </c>
      <c r="I3749">
        <v>130.31899999999999</v>
      </c>
      <c r="J3749">
        <v>-389.85070000000002</v>
      </c>
      <c r="K3749">
        <v>1.1118410000000001</v>
      </c>
      <c r="L3749">
        <v>141.5958</v>
      </c>
      <c r="M3749">
        <v>-0.99866580000000005</v>
      </c>
      <c r="N3749">
        <v>-1.2667309999999999E-2</v>
      </c>
      <c r="O3749">
        <v>-5.006186E-2</v>
      </c>
      <c r="P3749">
        <v>-0.97541270000000002</v>
      </c>
      <c r="Q3749">
        <v>0.17694770000000001</v>
      </c>
      <c r="R3749">
        <v>-0.13137650000000001</v>
      </c>
      <c r="S3749">
        <v>-3.0043950000000001</v>
      </c>
      <c r="T3749">
        <v>-6.1005950000000003E-2</v>
      </c>
      <c r="U3749">
        <v>-0.61958310000000005</v>
      </c>
      <c r="V3749">
        <v>-8.3069359999999995E-2</v>
      </c>
      <c r="W3749">
        <v>0.18905449999999999</v>
      </c>
      <c r="X3749">
        <v>0.9784467</v>
      </c>
      <c r="Y3749">
        <v>-0.15263979999999999</v>
      </c>
      <c r="Z3749">
        <v>-2.1347750000000002E-3</v>
      </c>
      <c r="AA3749">
        <v>0.98827960000000004</v>
      </c>
      <c r="AB3749">
        <v>27</v>
      </c>
      <c r="AC3749">
        <v>-54.4866999999999</v>
      </c>
      <c r="AD3749">
        <v>-1.111844373604</v>
      </c>
      <c r="AE3749">
        <v>-11.2768</v>
      </c>
      <c r="AF3749">
        <v>-8.5313270882386192</v>
      </c>
      <c r="AG3749">
        <v>-1.111844373604</v>
      </c>
      <c r="AH3749">
        <v>54.961006517793003</v>
      </c>
      <c r="AI3749">
        <v>91.145207098899107</v>
      </c>
      <c r="AJ3749">
        <v>98.823326592993993</v>
      </c>
      <c r="AK3749">
        <v>55.6303152718598</v>
      </c>
      <c r="AL3749">
        <v>79.102389321944997</v>
      </c>
      <c r="AM3749">
        <v>94.852729926030193</v>
      </c>
      <c r="AN3749">
        <v>1.00000003364097</v>
      </c>
    </row>
    <row r="3750" spans="1:40" x14ac:dyDescent="0.25">
      <c r="A3750" t="str">
        <f>"20190304155447621"</f>
        <v>20190304155447621</v>
      </c>
      <c r="B3750" t="str">
        <f>"1551686087611514"</f>
        <v>1551686087611514</v>
      </c>
      <c r="C3750" t="s">
        <v>40</v>
      </c>
      <c r="D3750">
        <v>3.8844820000000002</v>
      </c>
      <c r="E3750">
        <v>0.46765220000000002</v>
      </c>
      <c r="F3750" t="s">
        <v>46</v>
      </c>
      <c r="G3750">
        <v>-440.55349999999999</v>
      </c>
      <c r="H3750" s="1">
        <v>-4.5872550000000003E-6</v>
      </c>
      <c r="I3750">
        <v>130.78960000000001</v>
      </c>
      <c r="J3750">
        <v>-390.12619999999998</v>
      </c>
      <c r="K3750">
        <v>1.1118509999999999</v>
      </c>
      <c r="L3750">
        <v>141.5797</v>
      </c>
      <c r="M3750">
        <v>-0.99855850000000002</v>
      </c>
      <c r="N3750">
        <v>-1.266611E-2</v>
      </c>
      <c r="O3750">
        <v>-5.215968E-2</v>
      </c>
      <c r="P3750">
        <v>-0.97504270000000004</v>
      </c>
      <c r="Q3750">
        <v>0.17629629999999999</v>
      </c>
      <c r="R3750">
        <v>-0.1349505</v>
      </c>
      <c r="S3750">
        <v>-3.001404</v>
      </c>
      <c r="T3750">
        <v>-6.5816879999999994E-2</v>
      </c>
      <c r="U3750">
        <v>-0.639679</v>
      </c>
      <c r="V3750">
        <v>-8.4598839999999995E-2</v>
      </c>
      <c r="W3750">
        <v>0.1883947</v>
      </c>
      <c r="X3750">
        <v>0.97844279999999995</v>
      </c>
      <c r="Y3750">
        <v>-0.15708759999999999</v>
      </c>
      <c r="Z3750">
        <v>-2.2345910000000002E-3</v>
      </c>
      <c r="AA3750">
        <v>0.98758210000000002</v>
      </c>
      <c r="AB3750">
        <v>27</v>
      </c>
      <c r="AC3750">
        <v>-50.427300000000002</v>
      </c>
      <c r="AD3750">
        <v>-1.111855587255</v>
      </c>
      <c r="AE3750">
        <v>-10.790099999999899</v>
      </c>
      <c r="AF3750">
        <v>-8.1411425408968601</v>
      </c>
      <c r="AG3750">
        <v>-1.111855587255</v>
      </c>
      <c r="AH3750">
        <v>50.897838055091299</v>
      </c>
      <c r="AI3750">
        <v>91.235716005302507</v>
      </c>
      <c r="AJ3750">
        <v>99.087520217078406</v>
      </c>
      <c r="AK3750">
        <v>51.556806955051101</v>
      </c>
      <c r="AL3750">
        <v>79.140883587846503</v>
      </c>
      <c r="AM3750">
        <v>94.941659928715495</v>
      </c>
      <c r="AN3750">
        <v>0.99999991979463398</v>
      </c>
    </row>
    <row r="3751" spans="1:40" x14ac:dyDescent="0.25">
      <c r="A3751" t="str">
        <f>"20190304155447642"</f>
        <v>20190304155447642</v>
      </c>
      <c r="B3751" t="str">
        <f>"1551686087631033"</f>
        <v>1551686087631033</v>
      </c>
      <c r="C3751" t="s">
        <v>40</v>
      </c>
      <c r="D3751">
        <v>3.8662269999999999</v>
      </c>
      <c r="E3751">
        <v>0.46749030000000003</v>
      </c>
      <c r="F3751" t="s">
        <v>62</v>
      </c>
      <c r="G3751">
        <v>-438.31889999999999</v>
      </c>
      <c r="H3751" s="1">
        <v>-4.0554869999999998E-6</v>
      </c>
      <c r="I3751">
        <v>131.0866</v>
      </c>
      <c r="J3751">
        <v>-390.38799999999998</v>
      </c>
      <c r="K3751">
        <v>1.1118650000000001</v>
      </c>
      <c r="L3751">
        <v>141.56379999999999</v>
      </c>
      <c r="M3751">
        <v>-0.99845209999999995</v>
      </c>
      <c r="N3751">
        <v>-1.266512E-2</v>
      </c>
      <c r="O3751">
        <v>-5.4159069999999997E-2</v>
      </c>
      <c r="P3751">
        <v>-0.97455329999999996</v>
      </c>
      <c r="Q3751">
        <v>0.17628429999999901</v>
      </c>
      <c r="R3751">
        <v>-0.1384561</v>
      </c>
      <c r="S3751">
        <v>-2.9989620000000001</v>
      </c>
      <c r="T3751">
        <v>-6.9189070000000005E-2</v>
      </c>
      <c r="U3751">
        <v>-0.65296940000000003</v>
      </c>
      <c r="V3751">
        <v>-8.6163950000000003E-2</v>
      </c>
      <c r="W3751">
        <v>0.18837319999999999</v>
      </c>
      <c r="X3751">
        <v>0.97831049999999997</v>
      </c>
      <c r="Y3751">
        <v>-0.1594507</v>
      </c>
      <c r="Z3751">
        <v>-2.2860900000000002E-3</v>
      </c>
      <c r="AA3751">
        <v>0.98720319999999995</v>
      </c>
      <c r="AB3751">
        <v>27</v>
      </c>
      <c r="AC3751">
        <v>-47.930899999999902</v>
      </c>
      <c r="AD3751">
        <v>-1.1118690554870001</v>
      </c>
      <c r="AE3751">
        <v>-10.4771999999999</v>
      </c>
      <c r="AF3751">
        <v>-7.86168186226414</v>
      </c>
      <c r="AG3751">
        <v>-1.1118690554870001</v>
      </c>
      <c r="AH3751">
        <v>48.403163644356098</v>
      </c>
      <c r="AI3751">
        <v>91.298894621896594</v>
      </c>
      <c r="AJ3751">
        <v>99.225466606742799</v>
      </c>
      <c r="AK3751">
        <v>49.050061623634299</v>
      </c>
      <c r="AL3751">
        <v>79.142139463414495</v>
      </c>
      <c r="AM3751">
        <v>95.033294286852794</v>
      </c>
      <c r="AN3751">
        <v>1.0000000615840401</v>
      </c>
    </row>
    <row r="3752" spans="1:40" x14ac:dyDescent="0.25">
      <c r="A3752" t="str">
        <f>"20190304155447665"</f>
        <v>20190304155447665</v>
      </c>
      <c r="B3752" t="str">
        <f>"1551686087661289"</f>
        <v>1551686087661289</v>
      </c>
      <c r="C3752" t="s">
        <v>40</v>
      </c>
      <c r="D3752">
        <v>3.8869859999999998</v>
      </c>
      <c r="E3752">
        <v>0.46757460000000001</v>
      </c>
      <c r="F3752" t="s">
        <v>62</v>
      </c>
      <c r="G3752">
        <v>-438.39690000000002</v>
      </c>
      <c r="H3752" s="1">
        <v>-3.9282440000000003E-6</v>
      </c>
      <c r="I3752">
        <v>130.91069999999999</v>
      </c>
      <c r="J3752">
        <v>-390.65820000000002</v>
      </c>
      <c r="K3752">
        <v>1.1118680000000001</v>
      </c>
      <c r="L3752">
        <v>141.54679999999999</v>
      </c>
      <c r="M3752">
        <v>-0.99833799999999995</v>
      </c>
      <c r="N3752">
        <v>-1.2664E-2</v>
      </c>
      <c r="O3752">
        <v>-5.6223960000000003E-2</v>
      </c>
      <c r="P3752">
        <v>-0.97403620000000002</v>
      </c>
      <c r="Q3752">
        <v>0.1764172</v>
      </c>
      <c r="R3752">
        <v>-0.14188329999999999</v>
      </c>
      <c r="S3752">
        <v>-2.996429</v>
      </c>
      <c r="T3752">
        <v>-6.9396260000000001E-2</v>
      </c>
      <c r="U3752">
        <v>-0.66490169999999904</v>
      </c>
      <c r="V3752">
        <v>-8.7587319999999996E-2</v>
      </c>
      <c r="W3752">
        <v>0.18849679999999999</v>
      </c>
      <c r="X3752">
        <v>0.97816020000000004</v>
      </c>
      <c r="Y3752">
        <v>-0.16133110000000001</v>
      </c>
      <c r="Z3752">
        <v>-2.3005859999999999E-3</v>
      </c>
      <c r="AA3752">
        <v>0.98689760000000004</v>
      </c>
      <c r="AB3752">
        <v>27</v>
      </c>
      <c r="AC3752">
        <v>-47.738700000000001</v>
      </c>
      <c r="AD3752">
        <v>-1.1118719282439999</v>
      </c>
      <c r="AE3752">
        <v>-10.636100000000001</v>
      </c>
      <c r="AF3752">
        <v>-7.93090053613252</v>
      </c>
      <c r="AG3752">
        <v>-1.1118719282439999</v>
      </c>
      <c r="AH3752">
        <v>48.236296651158099</v>
      </c>
      <c r="AI3752">
        <v>91.302975734808001</v>
      </c>
      <c r="AJ3752">
        <v>99.336902491750706</v>
      </c>
      <c r="AK3752">
        <v>48.896582264176402</v>
      </c>
      <c r="AL3752">
        <v>79.1349276242114</v>
      </c>
      <c r="AM3752">
        <v>95.116785137975</v>
      </c>
      <c r="AN3752">
        <v>0.99999997954953102</v>
      </c>
    </row>
    <row r="3753" spans="1:40" x14ac:dyDescent="0.25">
      <c r="A3753" t="str">
        <f>"20190304155447687"</f>
        <v>20190304155447687</v>
      </c>
      <c r="B3753" t="str">
        <f>"1551686087680809"</f>
        <v>1551686087680809</v>
      </c>
      <c r="C3753" t="s">
        <v>40</v>
      </c>
      <c r="D3753">
        <v>3.8685049999999999</v>
      </c>
      <c r="E3753">
        <v>0.4677713</v>
      </c>
      <c r="F3753" t="s">
        <v>62</v>
      </c>
      <c r="G3753">
        <v>-439.29219999999998</v>
      </c>
      <c r="H3753" s="1">
        <v>-3.2674799999999999E-6</v>
      </c>
      <c r="I3753">
        <v>130.59119999999999</v>
      </c>
      <c r="J3753">
        <v>-390.92680000000001</v>
      </c>
      <c r="K3753">
        <v>1.1118709999999901</v>
      </c>
      <c r="L3753">
        <v>141.52930000000001</v>
      </c>
      <c r="M3753">
        <v>-0.99822010000000005</v>
      </c>
      <c r="N3753">
        <v>-1.266319E-2</v>
      </c>
      <c r="O3753">
        <v>-5.8276759999999997E-2</v>
      </c>
      <c r="P3753">
        <v>-0.97354479999999999</v>
      </c>
      <c r="Q3753">
        <v>0.17705179999999901</v>
      </c>
      <c r="R3753">
        <v>-0.1444396</v>
      </c>
      <c r="S3753">
        <v>-2.99411</v>
      </c>
      <c r="T3753">
        <v>-6.8451289999999998E-2</v>
      </c>
      <c r="U3753">
        <v>-0.67446899999999999</v>
      </c>
      <c r="V3753">
        <v>-8.8153860000000001E-2</v>
      </c>
      <c r="W3753">
        <v>0.18912709999999999</v>
      </c>
      <c r="X3753">
        <v>0.97798759999999996</v>
      </c>
      <c r="Y3753">
        <v>-0.16246739999999901</v>
      </c>
      <c r="Z3753">
        <v>-2.2929700000000001E-3</v>
      </c>
      <c r="AA3753">
        <v>0.98671129999999996</v>
      </c>
      <c r="AB3753">
        <v>27</v>
      </c>
      <c r="AC3753">
        <v>-48.365399999999902</v>
      </c>
      <c r="AD3753">
        <v>-1.11187426747999</v>
      </c>
      <c r="AE3753">
        <v>-10.9381</v>
      </c>
      <c r="AF3753">
        <v>-8.0966315471541002</v>
      </c>
      <c r="AG3753">
        <v>-1.11187426747999</v>
      </c>
      <c r="AH3753">
        <v>48.896092288103397</v>
      </c>
      <c r="AI3753">
        <v>91.285160600574002</v>
      </c>
      <c r="AJ3753">
        <v>99.402208003912904</v>
      </c>
      <c r="AK3753">
        <v>49.574383988545698</v>
      </c>
      <c r="AL3753">
        <v>79.0981523529138</v>
      </c>
      <c r="AM3753">
        <v>95.150608544956</v>
      </c>
      <c r="AN3753">
        <v>0.99999995437053302</v>
      </c>
    </row>
    <row r="3754" spans="1:40" x14ac:dyDescent="0.25">
      <c r="A3754" t="str">
        <f>"20190304155447722"</f>
        <v>20190304155447722</v>
      </c>
      <c r="B3754" t="str">
        <f>"1551686087711065"</f>
        <v>1551686087711065</v>
      </c>
      <c r="C3754" t="s">
        <v>40</v>
      </c>
      <c r="D3754">
        <v>3.8158799999999999</v>
      </c>
      <c r="E3754">
        <v>0.46802480000000002</v>
      </c>
      <c r="F3754" t="s">
        <v>46</v>
      </c>
      <c r="G3754">
        <v>-441.16860000000003</v>
      </c>
      <c r="H3754" s="1">
        <v>-4.5087039999999998E-6</v>
      </c>
      <c r="I3754">
        <v>130.10570000000001</v>
      </c>
      <c r="J3754">
        <v>-391.34890000000001</v>
      </c>
      <c r="K3754">
        <v>1.1118729999999999</v>
      </c>
      <c r="L3754">
        <v>141.5009</v>
      </c>
      <c r="M3754">
        <v>-0.99802650000000004</v>
      </c>
      <c r="N3754">
        <v>-1.266164E-2</v>
      </c>
      <c r="O3754">
        <v>-6.1505030000000002E-2</v>
      </c>
      <c r="P3754">
        <v>-0.97278699999999996</v>
      </c>
      <c r="Q3754">
        <v>0.17769660000000001</v>
      </c>
      <c r="R3754">
        <v>-0.1486933</v>
      </c>
      <c r="S3754">
        <v>-2.9926149999999998</v>
      </c>
      <c r="T3754">
        <v>-6.6228029999999993E-2</v>
      </c>
      <c r="U3754">
        <v>-0.68043520000000002</v>
      </c>
      <c r="V3754">
        <v>-8.9276759999999997E-2</v>
      </c>
      <c r="W3754">
        <v>0.18976380000000001</v>
      </c>
      <c r="X3754">
        <v>0.97776240000000003</v>
      </c>
      <c r="Y3754">
        <v>-0.16125639999999999</v>
      </c>
      <c r="Z3754">
        <v>-2.2254179999999998E-3</v>
      </c>
      <c r="AA3754">
        <v>0.98690999999999995</v>
      </c>
      <c r="AB3754">
        <v>27</v>
      </c>
      <c r="AC3754">
        <v>-49.819699999999997</v>
      </c>
      <c r="AD3754">
        <v>-1.11187750870399</v>
      </c>
      <c r="AE3754">
        <v>-11.3951999999999</v>
      </c>
      <c r="AF3754">
        <v>-8.3052840263300194</v>
      </c>
      <c r="AG3754">
        <v>-1.11187750870399</v>
      </c>
      <c r="AH3754">
        <v>50.402426127854298</v>
      </c>
      <c r="AI3754">
        <v>91.246930215766398</v>
      </c>
      <c r="AJ3754">
        <v>99.357082956833693</v>
      </c>
      <c r="AK3754">
        <v>51.094212724399497</v>
      </c>
      <c r="AL3754">
        <v>79.060999564135798</v>
      </c>
      <c r="AM3754">
        <v>95.217051853203401</v>
      </c>
      <c r="AN3754">
        <v>0.99999997526014806</v>
      </c>
    </row>
    <row r="3755" spans="1:40" x14ac:dyDescent="0.25">
      <c r="A3755" t="str">
        <f>"20190304155447746"</f>
        <v>20190304155447746</v>
      </c>
      <c r="B3755" t="str">
        <f>"1551686087741321"</f>
        <v>1551686087741321</v>
      </c>
      <c r="C3755" t="s">
        <v>40</v>
      </c>
      <c r="D3755">
        <v>3.7989890000000002</v>
      </c>
      <c r="E3755">
        <v>0.46850619999999998</v>
      </c>
      <c r="F3755" t="s">
        <v>46</v>
      </c>
      <c r="G3755">
        <v>-442.75450000000001</v>
      </c>
      <c r="H3755">
        <v>2.874148E-2</v>
      </c>
      <c r="I3755">
        <v>129.6164</v>
      </c>
      <c r="J3755">
        <v>-391.63850000000002</v>
      </c>
      <c r="K3755">
        <v>1.1118760000000001</v>
      </c>
      <c r="L3755">
        <v>141.48050000000001</v>
      </c>
      <c r="M3755">
        <v>-0.99788710000000003</v>
      </c>
      <c r="N3755">
        <v>-1.266056E-2</v>
      </c>
      <c r="O3755">
        <v>-6.3726069999999996E-2</v>
      </c>
      <c r="P3755">
        <v>-0.97238579999999997</v>
      </c>
      <c r="Q3755">
        <v>0.17798069999999999</v>
      </c>
      <c r="R3755">
        <v>-0.15095910000000001</v>
      </c>
      <c r="S3755">
        <v>-2.9898069999999999</v>
      </c>
      <c r="T3755">
        <v>-6.2996150000000001E-2</v>
      </c>
      <c r="U3755">
        <v>-0.69120789999999999</v>
      </c>
      <c r="V3755">
        <v>-8.9383710000000005E-2</v>
      </c>
      <c r="W3755">
        <v>0.1900452</v>
      </c>
      <c r="X3755">
        <v>0.97769799999999996</v>
      </c>
      <c r="Y3755">
        <v>-0.16264200000000001</v>
      </c>
      <c r="Z3755">
        <v>-2.2103330000000001E-3</v>
      </c>
      <c r="AA3755">
        <v>0.98668270000000002</v>
      </c>
      <c r="AB3755">
        <v>27</v>
      </c>
      <c r="AC3755">
        <v>-51.1159999999999</v>
      </c>
      <c r="AD3755">
        <v>-1.08313452</v>
      </c>
      <c r="AE3755">
        <v>-11.864100000000001</v>
      </c>
      <c r="AF3755">
        <v>-8.5786435929131404</v>
      </c>
      <c r="AG3755">
        <v>-1.08313452</v>
      </c>
      <c r="AH3755">
        <v>51.7461528695463</v>
      </c>
      <c r="AI3755">
        <v>91.182980795084603</v>
      </c>
      <c r="AJ3755">
        <v>99.413065173837097</v>
      </c>
      <c r="AK3755">
        <v>52.463612562242602</v>
      </c>
      <c r="AL3755">
        <v>79.044577996793905</v>
      </c>
      <c r="AM3755">
        <v>95.223609272542305</v>
      </c>
      <c r="AN3755">
        <v>1.0000000024302</v>
      </c>
    </row>
    <row r="3756" spans="1:40" x14ac:dyDescent="0.25">
      <c r="A3756" t="str">
        <f>"20190304155447766"</f>
        <v>20190304155447766</v>
      </c>
      <c r="B3756" t="str">
        <f>"1551686087761152"</f>
        <v>1551686087761152</v>
      </c>
      <c r="C3756" t="s">
        <v>40</v>
      </c>
      <c r="D3756">
        <v>3.7694019999999999</v>
      </c>
      <c r="E3756">
        <v>0.46876669999999998</v>
      </c>
      <c r="F3756" t="s">
        <v>46</v>
      </c>
      <c r="G3756">
        <v>-442.82100000000003</v>
      </c>
      <c r="H3756">
        <v>7.549807E-2</v>
      </c>
      <c r="I3756">
        <v>129.5909</v>
      </c>
      <c r="J3756">
        <v>-391.88</v>
      </c>
      <c r="K3756">
        <v>1.111877</v>
      </c>
      <c r="L3756">
        <v>141.46299999999999</v>
      </c>
      <c r="M3756">
        <v>-0.99776690000000001</v>
      </c>
      <c r="N3756">
        <v>-1.2659790000000001E-2</v>
      </c>
      <c r="O3756">
        <v>-6.5581780000000006E-2</v>
      </c>
      <c r="P3756">
        <v>-0.97204299999999999</v>
      </c>
      <c r="Q3756">
        <v>0.17810090000000001</v>
      </c>
      <c r="R3756">
        <v>-0.15301189999999901</v>
      </c>
      <c r="S3756">
        <v>-2.9884949999999999</v>
      </c>
      <c r="T3756">
        <v>-6.051314E-2</v>
      </c>
      <c r="U3756">
        <v>-0.69421390000000005</v>
      </c>
      <c r="V3756">
        <v>-8.9633389999999993E-2</v>
      </c>
      <c r="W3756">
        <v>0.19016269999999999</v>
      </c>
      <c r="X3756">
        <v>0.97765230000000003</v>
      </c>
      <c r="Y3756">
        <v>-0.1618473</v>
      </c>
      <c r="Z3756">
        <v>-2.1692199999999999E-3</v>
      </c>
      <c r="AA3756">
        <v>0.98681339999999995</v>
      </c>
      <c r="AB3756">
        <v>27</v>
      </c>
      <c r="AC3756">
        <v>-50.940999999999903</v>
      </c>
      <c r="AD3756">
        <v>-1.0363789299999999</v>
      </c>
      <c r="AE3756">
        <v>-11.8720999999999</v>
      </c>
      <c r="AF3756">
        <v>-8.5021306639403704</v>
      </c>
      <c r="AG3756">
        <v>-1.0363789299999999</v>
      </c>
      <c r="AH3756">
        <v>51.589719085758297</v>
      </c>
      <c r="AI3756">
        <v>91.135539210169796</v>
      </c>
      <c r="AJ3756">
        <v>99.358386024290894</v>
      </c>
      <c r="AK3756">
        <v>52.295883417920301</v>
      </c>
      <c r="AL3756">
        <v>79.037720758777894</v>
      </c>
      <c r="AM3756">
        <v>95.238363078277601</v>
      </c>
      <c r="AN3756">
        <v>1.00000000838473</v>
      </c>
    </row>
    <row r="3757" spans="1:40" x14ac:dyDescent="0.25">
      <c r="A3757" t="str">
        <f>"20190304155447788"</f>
        <v>20190304155447788</v>
      </c>
      <c r="B3757" t="str">
        <f>"1551686087780671"</f>
        <v>1551686087780671</v>
      </c>
      <c r="C3757" t="s">
        <v>40</v>
      </c>
      <c r="D3757">
        <v>3.7762630000000001</v>
      </c>
      <c r="E3757">
        <v>0.46902650000000001</v>
      </c>
      <c r="F3757" t="s">
        <v>46</v>
      </c>
      <c r="G3757">
        <v>-443.80399999999997</v>
      </c>
      <c r="H3757">
        <v>7.9986730000000006E-2</v>
      </c>
      <c r="I3757">
        <v>129.32939999999999</v>
      </c>
      <c r="J3757">
        <v>-392.14859999999999</v>
      </c>
      <c r="K3757">
        <v>1.111882</v>
      </c>
      <c r="L3757">
        <v>141.44299999999899</v>
      </c>
      <c r="M3757">
        <v>-0.99762830000000002</v>
      </c>
      <c r="N3757">
        <v>-1.265905E-2</v>
      </c>
      <c r="O3757">
        <v>-6.7658570000000001E-2</v>
      </c>
      <c r="P3757">
        <v>-0.97168180000000004</v>
      </c>
      <c r="Q3757">
        <v>0.1780698</v>
      </c>
      <c r="R3757">
        <v>-0.15532589999999999</v>
      </c>
      <c r="S3757">
        <v>-2.9872740000000002</v>
      </c>
      <c r="T3757">
        <v>-5.9366460000000003E-2</v>
      </c>
      <c r="U3757">
        <v>-0.69805909999999904</v>
      </c>
      <c r="V3757">
        <v>-8.992957E-2</v>
      </c>
      <c r="W3757">
        <v>0.19012760000000001</v>
      </c>
      <c r="X3757">
        <v>0.9776319</v>
      </c>
      <c r="Y3757">
        <v>-0.1610885</v>
      </c>
      <c r="Z3757">
        <v>-2.1366559999999998E-3</v>
      </c>
      <c r="AA3757">
        <v>0.98693759999999997</v>
      </c>
      <c r="AB3757">
        <v>27</v>
      </c>
      <c r="AC3757">
        <v>-51.6554</v>
      </c>
      <c r="AD3757">
        <v>-1.0318952699999999</v>
      </c>
      <c r="AE3757">
        <v>-12.1135999999999</v>
      </c>
      <c r="AF3757">
        <v>-8.5873790975570898</v>
      </c>
      <c r="AG3757">
        <v>-1.0318952699999999</v>
      </c>
      <c r="AH3757">
        <v>52.336871958211098</v>
      </c>
      <c r="AI3757">
        <v>91.114620412692304</v>
      </c>
      <c r="AJ3757">
        <v>99.3180039850143</v>
      </c>
      <c r="AK3757">
        <v>53.046734621309</v>
      </c>
      <c r="AL3757">
        <v>79.0397689184298</v>
      </c>
      <c r="AM3757">
        <v>95.255684739546098</v>
      </c>
      <c r="AN3757">
        <v>0.99999998186987704</v>
      </c>
    </row>
    <row r="3758" spans="1:40" x14ac:dyDescent="0.25">
      <c r="A3758" t="str">
        <f>"20190304155447809"</f>
        <v>20190304155447809</v>
      </c>
      <c r="B3758" t="str">
        <f>"1551686087801167"</f>
        <v>1551686087801167</v>
      </c>
      <c r="C3758" t="s">
        <v>40</v>
      </c>
      <c r="D3758">
        <v>3.735792</v>
      </c>
      <c r="E3758">
        <v>0.46936519999999998</v>
      </c>
      <c r="F3758" t="s">
        <v>46</v>
      </c>
      <c r="G3758">
        <v>-445.29579999999999</v>
      </c>
      <c r="H3758">
        <v>7.9987799999999998E-2</v>
      </c>
      <c r="I3758">
        <v>128.93209999999999</v>
      </c>
      <c r="J3758">
        <v>-392.42059999999998</v>
      </c>
      <c r="K3758">
        <v>1.111888</v>
      </c>
      <c r="L3758">
        <v>141.4222</v>
      </c>
      <c r="M3758">
        <v>-0.99748190000000003</v>
      </c>
      <c r="N3758">
        <v>-1.265849E-2</v>
      </c>
      <c r="O3758">
        <v>-6.9783159999999997E-2</v>
      </c>
      <c r="P3758">
        <v>-0.97144909999999995</v>
      </c>
      <c r="Q3758">
        <v>0.17750189999999999</v>
      </c>
      <c r="R3758">
        <v>-0.15741640000000001</v>
      </c>
      <c r="S3758">
        <v>-2.9857179999999999</v>
      </c>
      <c r="T3758">
        <v>-5.7970050000000002E-2</v>
      </c>
      <c r="U3758">
        <v>-0.70283509999999905</v>
      </c>
      <c r="V3758">
        <v>-8.9947570000000004E-2</v>
      </c>
      <c r="W3758">
        <v>0.18955830000000001</v>
      </c>
      <c r="X3758">
        <v>0.97774079999999997</v>
      </c>
      <c r="Y3758">
        <v>-0.16059870000000001</v>
      </c>
      <c r="Z3758">
        <v>-2.1090900000000001E-3</v>
      </c>
      <c r="AA3758">
        <v>0.98701749999999999</v>
      </c>
      <c r="AB3758">
        <v>27</v>
      </c>
      <c r="AC3758">
        <v>-52.8752</v>
      </c>
      <c r="AD3758">
        <v>-1.0319001999999999</v>
      </c>
      <c r="AE3758">
        <v>-12.4901</v>
      </c>
      <c r="AF3758">
        <v>-8.7663901177485695</v>
      </c>
      <c r="AG3758">
        <v>-1.0319001999999999</v>
      </c>
      <c r="AH3758">
        <v>53.598612790910302</v>
      </c>
      <c r="AI3758">
        <v>91.088483957785499</v>
      </c>
      <c r="AJ3758">
        <v>99.288840161085304</v>
      </c>
      <c r="AK3758">
        <v>54.320582718056798</v>
      </c>
      <c r="AL3758">
        <v>79.072991704002305</v>
      </c>
      <c r="AM3758">
        <v>95.256148595928195</v>
      </c>
      <c r="AN3758">
        <v>0.99999999321621702</v>
      </c>
    </row>
    <row r="3759" spans="1:40" x14ac:dyDescent="0.25">
      <c r="A3759" t="str">
        <f>"20190304155447833"</f>
        <v>20190304155447833</v>
      </c>
      <c r="B3759" t="str">
        <f>"1551686087820687"</f>
        <v>1551686087820687</v>
      </c>
      <c r="C3759" t="s">
        <v>40</v>
      </c>
      <c r="D3759">
        <v>3.7988650000000002</v>
      </c>
      <c r="E3759">
        <v>0.46961360000000002</v>
      </c>
      <c r="F3759" t="s">
        <v>46</v>
      </c>
      <c r="G3759">
        <v>-444.72590000000002</v>
      </c>
      <c r="H3759">
        <v>7.9986489999999993E-2</v>
      </c>
      <c r="I3759">
        <v>129.04320000000001</v>
      </c>
      <c r="J3759">
        <v>-392.69369999999998</v>
      </c>
      <c r="K3759">
        <v>1.1119110000000001</v>
      </c>
      <c r="L3759">
        <v>141.4007</v>
      </c>
      <c r="M3759">
        <v>-0.99732849999999995</v>
      </c>
      <c r="N3759">
        <v>-1.2658020000000001E-2</v>
      </c>
      <c r="O3759">
        <v>-7.1944330000000001E-2</v>
      </c>
      <c r="P3759">
        <v>-0.97108090000000002</v>
      </c>
      <c r="Q3759">
        <v>0.1772079</v>
      </c>
      <c r="R3759">
        <v>-0.15999959999999999</v>
      </c>
      <c r="S3759">
        <v>-2.9844360000000001</v>
      </c>
      <c r="T3759">
        <v>-5.8878300000000001E-2</v>
      </c>
      <c r="U3759">
        <v>-0.70631409999999994</v>
      </c>
      <c r="V3759">
        <v>-9.0433570000000005E-2</v>
      </c>
      <c r="W3759">
        <v>0.18925819999999999</v>
      </c>
      <c r="X3759">
        <v>0.97775409999999996</v>
      </c>
      <c r="Y3759">
        <v>-0.1596436</v>
      </c>
      <c r="Z3759">
        <v>-2.0822649999999998E-3</v>
      </c>
      <c r="AA3759">
        <v>0.98717250000000001</v>
      </c>
      <c r="AB3759">
        <v>27</v>
      </c>
      <c r="AC3759">
        <v>-52.032200000000003</v>
      </c>
      <c r="AD3759">
        <v>-1.0319245100000001</v>
      </c>
      <c r="AE3759">
        <v>-12.3574999999999</v>
      </c>
      <c r="AF3759">
        <v>-8.5785572057738992</v>
      </c>
      <c r="AG3759">
        <v>-1.0319245100000001</v>
      </c>
      <c r="AH3759">
        <v>52.766821505624698</v>
      </c>
      <c r="AI3759">
        <v>91.105836459214601</v>
      </c>
      <c r="AJ3759">
        <v>99.234063514483196</v>
      </c>
      <c r="AK3759">
        <v>53.469561095388897</v>
      </c>
      <c r="AL3759">
        <v>79.090503099905604</v>
      </c>
      <c r="AM3759">
        <v>95.284316517736897</v>
      </c>
      <c r="AN3759">
        <v>0.99999998845849702</v>
      </c>
    </row>
    <row r="3760" spans="1:40" x14ac:dyDescent="0.25">
      <c r="A3760" t="str">
        <f>"20190304155447854"</f>
        <v>20190304155447854</v>
      </c>
      <c r="B3760" t="str">
        <f>"1551686087850943"</f>
        <v>1551686087850943</v>
      </c>
      <c r="C3760" t="s">
        <v>40</v>
      </c>
      <c r="D3760">
        <v>3.7001080000000002</v>
      </c>
      <c r="E3760">
        <v>0.47017150000000002</v>
      </c>
      <c r="F3760" t="s">
        <v>46</v>
      </c>
      <c r="G3760">
        <v>-444.38589999999999</v>
      </c>
      <c r="H3760">
        <v>7.9986580000000002E-2</v>
      </c>
      <c r="I3760">
        <v>129.0573</v>
      </c>
      <c r="J3760">
        <v>-392.95859999999999</v>
      </c>
      <c r="K3760">
        <v>1.111934</v>
      </c>
      <c r="L3760">
        <v>141.3792</v>
      </c>
      <c r="M3760">
        <v>-0.99717219999999995</v>
      </c>
      <c r="N3760">
        <v>-1.2657760000000001E-2</v>
      </c>
      <c r="O3760">
        <v>-7.4077260000000006E-2</v>
      </c>
      <c r="P3760">
        <v>-0.97062269999999995</v>
      </c>
      <c r="Q3760">
        <v>0.1771066</v>
      </c>
      <c r="R3760">
        <v>-0.16286489999999901</v>
      </c>
      <c r="S3760">
        <v>-2.9828190000000001</v>
      </c>
      <c r="T3760">
        <v>-5.9545639999999997E-2</v>
      </c>
      <c r="U3760">
        <v>-0.71224980000000004</v>
      </c>
      <c r="V3760">
        <v>-9.1238830000000007E-2</v>
      </c>
      <c r="W3760">
        <v>0.1891477</v>
      </c>
      <c r="X3760">
        <v>0.97770069999999998</v>
      </c>
      <c r="Y3760">
        <v>-0.15951089999999901</v>
      </c>
      <c r="Z3760">
        <v>-2.0670369999999999E-3</v>
      </c>
      <c r="AA3760">
        <v>0.98719400000000002</v>
      </c>
      <c r="AB3760">
        <v>27</v>
      </c>
      <c r="AC3760">
        <v>-51.427300000000002</v>
      </c>
      <c r="AD3760">
        <v>-1.0319474200000001</v>
      </c>
      <c r="AE3760">
        <v>-12.321899999999999</v>
      </c>
      <c r="AF3760">
        <v>-8.4749144666206</v>
      </c>
      <c r="AG3760">
        <v>-1.0319474200000001</v>
      </c>
      <c r="AH3760">
        <v>52.178957584813503</v>
      </c>
      <c r="AI3760">
        <v>91.118344200886895</v>
      </c>
      <c r="AJ3760">
        <v>99.225429194920693</v>
      </c>
      <c r="AK3760">
        <v>52.8727974040711</v>
      </c>
      <c r="AL3760">
        <v>79.096951063036997</v>
      </c>
      <c r="AM3760">
        <v>95.331389954273305</v>
      </c>
      <c r="AN3760">
        <v>1.0000000176477699</v>
      </c>
    </row>
    <row r="3761" spans="1:40" x14ac:dyDescent="0.25">
      <c r="A3761" t="str">
        <f>"20190304155447879"</f>
        <v>20190304155447879</v>
      </c>
      <c r="B3761" t="str">
        <f>"1551686087871463"</f>
        <v>1551686087871463</v>
      </c>
      <c r="C3761" t="s">
        <v>40</v>
      </c>
      <c r="D3761">
        <v>3.6955619999999998</v>
      </c>
      <c r="E3761">
        <v>0.47047450000000002</v>
      </c>
      <c r="F3761" t="s">
        <v>46</v>
      </c>
      <c r="G3761">
        <v>-445.98320000000001</v>
      </c>
      <c r="H3761">
        <v>7.9987600000000006E-2</v>
      </c>
      <c r="I3761">
        <v>128.62540000000001</v>
      </c>
      <c r="J3761">
        <v>-393.24149999999997</v>
      </c>
      <c r="K3761">
        <v>1.111966</v>
      </c>
      <c r="L3761">
        <v>141.35550000000001</v>
      </c>
      <c r="M3761">
        <v>-0.99699680000000002</v>
      </c>
      <c r="N3761">
        <v>-1.265789E-2</v>
      </c>
      <c r="O3761">
        <v>-7.6401079999999996E-2</v>
      </c>
      <c r="P3761">
        <v>-0.97021809999999997</v>
      </c>
      <c r="Q3761">
        <v>0.1770215</v>
      </c>
      <c r="R3761">
        <v>-0.16534960000000001</v>
      </c>
      <c r="S3761">
        <v>-2.9810490000000001</v>
      </c>
      <c r="T3761">
        <v>-5.8016180000000001E-2</v>
      </c>
      <c r="U3761">
        <v>-0.7170105</v>
      </c>
      <c r="V3761">
        <v>-9.1476840000000004E-2</v>
      </c>
      <c r="W3761">
        <v>0.189055</v>
      </c>
      <c r="X3761">
        <v>0.97769640000000002</v>
      </c>
      <c r="Y3761">
        <v>-0.15883529999999901</v>
      </c>
      <c r="Z3761">
        <v>-2.0382600000000001E-3</v>
      </c>
      <c r="AA3761">
        <v>0.98730300000000004</v>
      </c>
      <c r="AB3761">
        <v>27</v>
      </c>
      <c r="AC3761">
        <v>-52.741700000000002</v>
      </c>
      <c r="AD3761">
        <v>-1.0319784000000001</v>
      </c>
      <c r="AE3761">
        <v>-12.730099999999901</v>
      </c>
      <c r="AF3761">
        <v>-8.6599073428880509</v>
      </c>
      <c r="AG3761">
        <v>-1.0319784000000001</v>
      </c>
      <c r="AH3761">
        <v>53.540821493282799</v>
      </c>
      <c r="AI3761">
        <v>91.090054037560705</v>
      </c>
      <c r="AJ3761">
        <v>99.187680708469102</v>
      </c>
      <c r="AK3761">
        <v>54.246461089927699</v>
      </c>
      <c r="AL3761">
        <v>79.102360084919596</v>
      </c>
      <c r="AM3761">
        <v>95.345240595638899</v>
      </c>
      <c r="AN3761">
        <v>1.0000000279271699</v>
      </c>
    </row>
    <row r="3762" spans="1:40" x14ac:dyDescent="0.25">
      <c r="A3762" t="str">
        <f>"20190304155447899"</f>
        <v>20190304155447899</v>
      </c>
      <c r="B3762" t="str">
        <f>"1551686087890984"</f>
        <v>1551686087890984</v>
      </c>
      <c r="C3762" t="s">
        <v>40</v>
      </c>
      <c r="D3762">
        <v>3.6644939999999999</v>
      </c>
      <c r="E3762">
        <v>0.4707905</v>
      </c>
      <c r="F3762" t="s">
        <v>46</v>
      </c>
      <c r="G3762">
        <v>-447.1293</v>
      </c>
      <c r="H3762">
        <v>7.9987279999999994E-2</v>
      </c>
      <c r="I3762">
        <v>128.29249999999999</v>
      </c>
      <c r="J3762">
        <v>-393.49430000000001</v>
      </c>
      <c r="K3762">
        <v>1.11199</v>
      </c>
      <c r="L3762">
        <v>141.3338</v>
      </c>
      <c r="M3762">
        <v>-0.99683169999999999</v>
      </c>
      <c r="N3762">
        <v>-1.2658040000000001E-2</v>
      </c>
      <c r="O3762">
        <v>-7.852779E-2</v>
      </c>
      <c r="P3762">
        <v>-0.96970610000000002</v>
      </c>
      <c r="Q3762">
        <v>0.17726689999999901</v>
      </c>
      <c r="R3762">
        <v>-0.16806699999999999</v>
      </c>
      <c r="S3762">
        <v>-2.9794309999999999</v>
      </c>
      <c r="T3762">
        <v>-5.7057620000000003E-2</v>
      </c>
      <c r="U3762">
        <v>-0.72224429999999995</v>
      </c>
      <c r="V3762">
        <v>-9.2151849999999993E-2</v>
      </c>
      <c r="W3762">
        <v>0.18928909999999999</v>
      </c>
      <c r="X3762">
        <v>0.97758769999999995</v>
      </c>
      <c r="Y3762">
        <v>-0.15849089999999999</v>
      </c>
      <c r="Z3762">
        <v>-2.0187170000000002E-3</v>
      </c>
      <c r="AA3762">
        <v>0.98735839999999997</v>
      </c>
      <c r="AB3762">
        <v>27</v>
      </c>
      <c r="AC3762">
        <v>-53.634999999999899</v>
      </c>
      <c r="AD3762">
        <v>-1.0320027199999999</v>
      </c>
      <c r="AE3762">
        <v>-13.0413</v>
      </c>
      <c r="AF3762">
        <v>-8.7857750015424791</v>
      </c>
      <c r="AG3762">
        <v>-1.0320027199999999</v>
      </c>
      <c r="AH3762">
        <v>54.474488941456698</v>
      </c>
      <c r="AI3762">
        <v>91.071478490689202</v>
      </c>
      <c r="AJ3762">
        <v>99.161903277412506</v>
      </c>
      <c r="AK3762">
        <v>55.188085828597998</v>
      </c>
      <c r="AL3762">
        <v>79.088700406893693</v>
      </c>
      <c r="AM3762">
        <v>95.385047478985499</v>
      </c>
      <c r="AN3762">
        <v>1.0000000190142599</v>
      </c>
    </row>
    <row r="3763" spans="1:40" x14ac:dyDescent="0.25">
      <c r="A3763" t="str">
        <f>"20190304155447924"</f>
        <v>20190304155447924</v>
      </c>
      <c r="B3763" t="str">
        <f>"1551686087921239"</f>
        <v>1551686087921239</v>
      </c>
      <c r="C3763" t="s">
        <v>40</v>
      </c>
      <c r="D3763">
        <v>3.660844</v>
      </c>
      <c r="E3763">
        <v>0.4712307</v>
      </c>
      <c r="F3763" t="s">
        <v>46</v>
      </c>
      <c r="G3763">
        <v>-449.62549999999999</v>
      </c>
      <c r="H3763">
        <v>7.9986559999999998E-2</v>
      </c>
      <c r="I3763">
        <v>127.6048</v>
      </c>
      <c r="J3763">
        <v>-393.77839999999998</v>
      </c>
      <c r="K3763">
        <v>1.112033</v>
      </c>
      <c r="L3763">
        <v>141.30869999999999</v>
      </c>
      <c r="M3763">
        <v>-0.99663539999999995</v>
      </c>
      <c r="N3763">
        <v>-1.26587E-2</v>
      </c>
      <c r="O3763">
        <v>-8.0979140000000005E-2</v>
      </c>
      <c r="P3763">
        <v>-0.9690685</v>
      </c>
      <c r="Q3763">
        <v>0.1779221</v>
      </c>
      <c r="R3763">
        <v>-0.1710264</v>
      </c>
      <c r="S3763">
        <v>-2.977509</v>
      </c>
      <c r="T3763">
        <v>-5.4743170000000001E-2</v>
      </c>
      <c r="U3763">
        <v>-0.72825620000000002</v>
      </c>
      <c r="V3763">
        <v>-9.2764310000000003E-2</v>
      </c>
      <c r="W3763">
        <v>0.18993099999999999</v>
      </c>
      <c r="X3763">
        <v>0.97740530000000003</v>
      </c>
      <c r="Y3763">
        <v>-0.15809319999999999</v>
      </c>
      <c r="Z3763">
        <v>-1.9986969999999998E-3</v>
      </c>
      <c r="AA3763">
        <v>0.98742220000000003</v>
      </c>
      <c r="AB3763">
        <v>27</v>
      </c>
      <c r="AC3763">
        <v>-55.847099999999998</v>
      </c>
      <c r="AD3763">
        <v>-1.03204644</v>
      </c>
      <c r="AE3763">
        <v>-13.7038999999999</v>
      </c>
      <c r="AF3763">
        <v>-9.1331319503297603</v>
      </c>
      <c r="AG3763">
        <v>-1.03204644</v>
      </c>
      <c r="AH3763">
        <v>56.755194859191597</v>
      </c>
      <c r="AI3763">
        <v>91.028532425327995</v>
      </c>
      <c r="AJ3763">
        <v>99.141750522830193</v>
      </c>
      <c r="AK3763">
        <v>57.494620292521802</v>
      </c>
      <c r="AL3763">
        <v>79.051243212165502</v>
      </c>
      <c r="AM3763">
        <v>95.421630671060697</v>
      </c>
      <c r="AN3763">
        <v>1.00000006121943</v>
      </c>
    </row>
    <row r="3764" spans="1:40" x14ac:dyDescent="0.25">
      <c r="A3764" t="str">
        <f>"20190304155447946"</f>
        <v>20190304155447946</v>
      </c>
      <c r="B3764" t="str">
        <f>"1551686087940760"</f>
        <v>1551686087940760</v>
      </c>
      <c r="C3764" t="s">
        <v>40</v>
      </c>
      <c r="D3764">
        <v>3.643548</v>
      </c>
      <c r="E3764">
        <v>0.47138400000000003</v>
      </c>
      <c r="F3764" t="s">
        <v>46</v>
      </c>
      <c r="G3764">
        <v>-453.57580000000002</v>
      </c>
      <c r="H3764">
        <v>7.9986940000000006E-2</v>
      </c>
      <c r="I3764">
        <v>126.5647</v>
      </c>
      <c r="J3764">
        <v>-394.05259999999998</v>
      </c>
      <c r="K3764">
        <v>1.1120719999999999</v>
      </c>
      <c r="L3764">
        <v>141.28370000000001</v>
      </c>
      <c r="M3764">
        <v>-0.99643470000000001</v>
      </c>
      <c r="N3764">
        <v>-1.265927E-2</v>
      </c>
      <c r="O3764">
        <v>-8.3411319999999997E-2</v>
      </c>
      <c r="P3764">
        <v>-0.96857059999999995</v>
      </c>
      <c r="Q3764">
        <v>0.17811660000000001</v>
      </c>
      <c r="R3764">
        <v>-0.17362469999999999</v>
      </c>
      <c r="S3764">
        <v>-2.975708</v>
      </c>
      <c r="T3764">
        <v>-5.135787E-2</v>
      </c>
      <c r="U3764">
        <v>-0.73370360000000001</v>
      </c>
      <c r="V3764">
        <v>-9.3023800000000004E-2</v>
      </c>
      <c r="W3764">
        <v>0.19011449999999999</v>
      </c>
      <c r="X3764">
        <v>0.97734489999999996</v>
      </c>
      <c r="Y3764">
        <v>-0.15752969999999999</v>
      </c>
      <c r="Z3764">
        <v>-1.981797E-3</v>
      </c>
      <c r="AA3764">
        <v>0.98751219999999995</v>
      </c>
      <c r="AB3764">
        <v>27</v>
      </c>
      <c r="AC3764">
        <v>-59.523200000000003</v>
      </c>
      <c r="AD3764">
        <v>-1.03208506</v>
      </c>
      <c r="AE3764">
        <v>-14.718999999999999</v>
      </c>
      <c r="AF3764">
        <v>-9.6996438897421804</v>
      </c>
      <c r="AG3764">
        <v>-1.03208506</v>
      </c>
      <c r="AH3764">
        <v>60.5264216153234</v>
      </c>
      <c r="AI3764">
        <v>90.964596797095098</v>
      </c>
      <c r="AJ3764">
        <v>99.104505653088196</v>
      </c>
      <c r="AK3764">
        <v>61.307389478877397</v>
      </c>
      <c r="AL3764">
        <v>79.040533661008595</v>
      </c>
      <c r="AM3764">
        <v>95.437039852291406</v>
      </c>
      <c r="AN3764">
        <v>1.00000000201635</v>
      </c>
    </row>
    <row r="3765" spans="1:40" x14ac:dyDescent="0.25">
      <c r="A3765" t="str">
        <f>"20190304155447967"</f>
        <v>20190304155447967</v>
      </c>
      <c r="B3765" t="str">
        <f>"1551686087960787"</f>
        <v>1551686087960787</v>
      </c>
      <c r="C3765" t="s">
        <v>40</v>
      </c>
      <c r="D3765">
        <v>3.6332810000000002</v>
      </c>
      <c r="E3765">
        <v>0.47863430000000001</v>
      </c>
      <c r="F3765" t="s">
        <v>46</v>
      </c>
      <c r="G3765">
        <v>-454.56700000000001</v>
      </c>
      <c r="H3765">
        <v>7.9986650000000006E-2</v>
      </c>
      <c r="I3765">
        <v>126.22329999999999</v>
      </c>
      <c r="J3765">
        <v>-394.31670000000003</v>
      </c>
      <c r="K3765">
        <v>1.1121129999999999</v>
      </c>
      <c r="L3765">
        <v>141.25890000000001</v>
      </c>
      <c r="M3765">
        <v>-0.99623189999999995</v>
      </c>
      <c r="N3765">
        <v>-1.2660019999999999E-2</v>
      </c>
      <c r="O3765">
        <v>-8.5801310000000006E-2</v>
      </c>
      <c r="P3765">
        <v>-0.96791879999999997</v>
      </c>
      <c r="Q3765">
        <v>0.17835429999999999</v>
      </c>
      <c r="R3765">
        <v>-0.17698459999999999</v>
      </c>
      <c r="S3765">
        <v>-2.9739990000000001</v>
      </c>
      <c r="T3765">
        <v>-5.0722120000000002E-2</v>
      </c>
      <c r="U3765">
        <v>-0.74014279999999999</v>
      </c>
      <c r="V3765">
        <v>-9.4094720000000007E-2</v>
      </c>
      <c r="W3765">
        <v>0.19033829999999999</v>
      </c>
      <c r="X3765">
        <v>0.97719880000000003</v>
      </c>
      <c r="Y3765">
        <v>-0.157308</v>
      </c>
      <c r="Z3765">
        <v>-1.96978E-3</v>
      </c>
      <c r="AA3765">
        <v>0.98754759999999997</v>
      </c>
      <c r="AB3765">
        <v>27</v>
      </c>
      <c r="AC3765">
        <v>-60.250299999999903</v>
      </c>
      <c r="AD3765">
        <v>-1.03212635</v>
      </c>
      <c r="AE3765">
        <v>-15.035600000000001</v>
      </c>
      <c r="AF3765">
        <v>-9.8074658440929205</v>
      </c>
      <c r="AG3765">
        <v>-1.03212635</v>
      </c>
      <c r="AH3765">
        <v>61.301320084539498</v>
      </c>
      <c r="AI3765">
        <v>90.952483540643499</v>
      </c>
      <c r="AJ3765">
        <v>99.089597643374503</v>
      </c>
      <c r="AK3765">
        <v>62.089479907570301</v>
      </c>
      <c r="AL3765">
        <v>79.027472233361095</v>
      </c>
      <c r="AM3765">
        <v>95.500068414348206</v>
      </c>
      <c r="AN3765">
        <v>0.99999998975010396</v>
      </c>
    </row>
    <row r="3766" spans="1:40" x14ac:dyDescent="0.25">
      <c r="A3766" t="str">
        <f>"20190304155447990"</f>
        <v>20190304155447990</v>
      </c>
      <c r="B3766" t="str">
        <f>"1551686087981284"</f>
        <v>1551686087981284</v>
      </c>
      <c r="C3766" t="s">
        <v>40</v>
      </c>
      <c r="D3766">
        <v>3.621696</v>
      </c>
      <c r="E3766">
        <v>0.4796646</v>
      </c>
      <c r="F3766" t="s">
        <v>44</v>
      </c>
      <c r="G3766">
        <v>-460.6558</v>
      </c>
      <c r="H3766">
        <v>0.48809160000000001</v>
      </c>
      <c r="I3766">
        <v>125.8069</v>
      </c>
      <c r="J3766">
        <v>-394.57569999999998</v>
      </c>
      <c r="K3766">
        <v>1.1121449999999999</v>
      </c>
      <c r="L3766">
        <v>141.23400000000001</v>
      </c>
      <c r="M3766">
        <v>-0.99602310000000005</v>
      </c>
      <c r="N3766">
        <v>-1.266046E-2</v>
      </c>
      <c r="O3766">
        <v>-8.8192419999999994E-2</v>
      </c>
      <c r="P3766">
        <v>-0.96726259999999997</v>
      </c>
      <c r="Q3766">
        <v>0.1789964</v>
      </c>
      <c r="R3766">
        <v>-0.17989869999999999</v>
      </c>
      <c r="S3766">
        <v>-2.9777529999999999</v>
      </c>
      <c r="T3766">
        <v>-2.800894E-2</v>
      </c>
      <c r="U3766">
        <v>-0.69358830000000005</v>
      </c>
      <c r="V3766">
        <v>-9.4722200000000006E-2</v>
      </c>
      <c r="W3766">
        <v>0.19096830000000001</v>
      </c>
      <c r="X3766">
        <v>0.97701530000000003</v>
      </c>
      <c r="Y3766">
        <v>-0.14005310000000001</v>
      </c>
      <c r="Z3766">
        <v>-1.838433E-3</v>
      </c>
      <c r="AA3766">
        <v>0.99014230000000003</v>
      </c>
      <c r="AB3766">
        <v>27</v>
      </c>
      <c r="AC3766">
        <v>-66.080100000000002</v>
      </c>
      <c r="AD3766">
        <v>-0.62405339999999998</v>
      </c>
      <c r="AE3766">
        <v>-15.427099999999999</v>
      </c>
      <c r="AF3766">
        <v>-9.5379408578408</v>
      </c>
      <c r="AG3766">
        <v>-0.62405339999999998</v>
      </c>
      <c r="AH3766">
        <v>67.177555240743402</v>
      </c>
      <c r="AI3766">
        <v>90.526955684155894</v>
      </c>
      <c r="AJ3766">
        <v>98.080904696917997</v>
      </c>
      <c r="AK3766">
        <v>67.854150105773599</v>
      </c>
      <c r="AL3766">
        <v>78.990701998181095</v>
      </c>
      <c r="AM3766">
        <v>95.537552412390795</v>
      </c>
      <c r="AN3766">
        <v>1.0000000416059001</v>
      </c>
    </row>
    <row r="3767" spans="1:40" x14ac:dyDescent="0.25">
      <c r="A3767" t="str">
        <f>"20190304155448011"</f>
        <v>20190304155448011</v>
      </c>
      <c r="B3767" t="str">
        <f>"1551686088000804"</f>
        <v>1551686088000804</v>
      </c>
      <c r="C3767" t="s">
        <v>40</v>
      </c>
      <c r="D3767">
        <v>3.6235339999999998</v>
      </c>
      <c r="E3767">
        <v>0.4797304</v>
      </c>
      <c r="F3767" t="s">
        <v>44</v>
      </c>
      <c r="G3767">
        <v>-460.65359999999998</v>
      </c>
      <c r="H3767">
        <v>0.47807640000000001</v>
      </c>
      <c r="I3767">
        <v>125.8408</v>
      </c>
      <c r="J3767">
        <v>-394.84249999999997</v>
      </c>
      <c r="K3767">
        <v>1.112182</v>
      </c>
      <c r="L3767">
        <v>141.20760000000001</v>
      </c>
      <c r="M3767">
        <v>-0.9957975</v>
      </c>
      <c r="N3767">
        <v>-1.266082E-2</v>
      </c>
      <c r="O3767">
        <v>-9.0703439999999996E-2</v>
      </c>
      <c r="P3767">
        <v>-0.96658480000000002</v>
      </c>
      <c r="Q3767">
        <v>0.17953949999999999</v>
      </c>
      <c r="R3767">
        <v>-0.182974</v>
      </c>
      <c r="S3767">
        <v>-2.977814</v>
      </c>
      <c r="T3767">
        <v>-2.8573040000000001E-2</v>
      </c>
      <c r="U3767">
        <v>-0.69369510000000001</v>
      </c>
      <c r="V3767">
        <v>-9.5393690000000003E-2</v>
      </c>
      <c r="W3767">
        <v>0.19149959999999999</v>
      </c>
      <c r="X3767">
        <v>0.97684590000000004</v>
      </c>
      <c r="Y3767">
        <v>-0.13758519999999999</v>
      </c>
      <c r="Z3767">
        <v>-1.815695E-3</v>
      </c>
      <c r="AA3767">
        <v>0.99048829999999999</v>
      </c>
      <c r="AB3767">
        <v>27</v>
      </c>
      <c r="AC3767">
        <v>-65.811099999999996</v>
      </c>
      <c r="AD3767">
        <v>-0.63410559999999905</v>
      </c>
      <c r="AE3767">
        <v>-15.3668</v>
      </c>
      <c r="AF3767">
        <v>-9.3328539923569398</v>
      </c>
      <c r="AG3767">
        <v>-0.63410559999999905</v>
      </c>
      <c r="AH3767">
        <v>66.927820733745406</v>
      </c>
      <c r="AI3767">
        <v>90.537629162058494</v>
      </c>
      <c r="AJ3767">
        <v>97.938507504961294</v>
      </c>
      <c r="AK3767">
        <v>67.578379987411395</v>
      </c>
      <c r="AL3767">
        <v>78.959687719708995</v>
      </c>
      <c r="AM3767">
        <v>95.577522754755094</v>
      </c>
      <c r="AN3767">
        <v>0.99999998261939205</v>
      </c>
    </row>
    <row r="3768" spans="1:40" x14ac:dyDescent="0.25">
      <c r="A3768" t="str">
        <f>"20190304155448033"</f>
        <v>20190304155448033</v>
      </c>
      <c r="B3768" t="str">
        <f>"1551686088031060"</f>
        <v>1551686088031060</v>
      </c>
      <c r="C3768" t="s">
        <v>40</v>
      </c>
      <c r="D3768">
        <v>3.6187369999999999</v>
      </c>
      <c r="E3768">
        <v>0.48059459999999998</v>
      </c>
      <c r="F3768" t="s">
        <v>44</v>
      </c>
      <c r="G3768">
        <v>-460.66800000000001</v>
      </c>
      <c r="H3768">
        <v>0.54246799999999995</v>
      </c>
      <c r="I3768">
        <v>125.6641</v>
      </c>
      <c r="J3768">
        <v>-395.11520000000002</v>
      </c>
      <c r="K3768">
        <v>1.1122190000000001</v>
      </c>
      <c r="L3768">
        <v>141.1798</v>
      </c>
      <c r="M3768">
        <v>-0.99555590000000005</v>
      </c>
      <c r="N3768">
        <v>-1.266139E-2</v>
      </c>
      <c r="O3768">
        <v>-9.3318170000000006E-2</v>
      </c>
      <c r="P3768">
        <v>-0.96586070000000002</v>
      </c>
      <c r="Q3768">
        <v>0.17992720000000001</v>
      </c>
      <c r="R3768">
        <v>-0.18638579999999999</v>
      </c>
      <c r="S3768">
        <v>-2.9754939999999999</v>
      </c>
      <c r="T3768">
        <v>-2.575123E-2</v>
      </c>
      <c r="U3768">
        <v>-0.70260619999999996</v>
      </c>
      <c r="V3768">
        <v>-9.6303159999999999E-2</v>
      </c>
      <c r="W3768">
        <v>0.1918744</v>
      </c>
      <c r="X3768">
        <v>0.97668310000000003</v>
      </c>
      <c r="Y3768">
        <v>-0.13796839999999999</v>
      </c>
      <c r="Z3768">
        <v>-1.8507619999999999E-3</v>
      </c>
      <c r="AA3768">
        <v>0.99043490000000001</v>
      </c>
      <c r="AB3768">
        <v>27</v>
      </c>
      <c r="AC3768">
        <v>-65.552799999999905</v>
      </c>
      <c r="AD3768">
        <v>-0.56975100000000001</v>
      </c>
      <c r="AE3768">
        <v>-15.515699999999899</v>
      </c>
      <c r="AF3768">
        <v>-9.3295591963120899</v>
      </c>
      <c r="AG3768">
        <v>-0.56975100000000001</v>
      </c>
      <c r="AH3768">
        <v>66.709944511935305</v>
      </c>
      <c r="AI3768">
        <v>90.484619253455193</v>
      </c>
      <c r="AJ3768">
        <v>97.961327185427905</v>
      </c>
      <c r="AK3768">
        <v>67.361576494207497</v>
      </c>
      <c r="AL3768">
        <v>78.937807497811406</v>
      </c>
      <c r="AM3768">
        <v>95.631290471444203</v>
      </c>
      <c r="AN3768">
        <v>0.99999998091347697</v>
      </c>
    </row>
    <row r="3769" spans="1:40" x14ac:dyDescent="0.25">
      <c r="A3769" t="str">
        <f>"20190304155448056"</f>
        <v>20190304155448056</v>
      </c>
      <c r="B3769" t="str">
        <f>"1551686088051556"</f>
        <v>1551686088051556</v>
      </c>
      <c r="C3769" t="s">
        <v>40</v>
      </c>
      <c r="D3769">
        <v>3.630878</v>
      </c>
      <c r="E3769">
        <v>0.48078559999999998</v>
      </c>
      <c r="F3769" t="s">
        <v>47</v>
      </c>
      <c r="G3769">
        <v>-560.31510000000003</v>
      </c>
      <c r="H3769">
        <v>-0.05</v>
      </c>
      <c r="I3769">
        <v>101.9622</v>
      </c>
      <c r="J3769">
        <v>-395.37509999999997</v>
      </c>
      <c r="K3769">
        <v>1.1122510000000001</v>
      </c>
      <c r="L3769">
        <v>141.15260000000001</v>
      </c>
      <c r="M3769">
        <v>-0.99531499999999995</v>
      </c>
      <c r="N3769">
        <v>-1.2662090000000001E-2</v>
      </c>
      <c r="O3769">
        <v>-9.5853750000000001E-2</v>
      </c>
      <c r="P3769">
        <v>-0.96525139999999998</v>
      </c>
      <c r="Q3769">
        <v>0.17993339999999999</v>
      </c>
      <c r="R3769">
        <v>-0.18950939999999999</v>
      </c>
      <c r="S3769">
        <v>-2.9736630000000002</v>
      </c>
      <c r="T3769">
        <v>-2.0920399999999999E-2</v>
      </c>
      <c r="U3769">
        <v>-0.70593260000000002</v>
      </c>
      <c r="V3769">
        <v>-9.6992019999999998E-2</v>
      </c>
      <c r="W3769">
        <v>0.1918697</v>
      </c>
      <c r="X3769">
        <v>0.97661580000000003</v>
      </c>
      <c r="Y3769">
        <v>-0.1366348</v>
      </c>
      <c r="Z3769">
        <v>-1.890505E-3</v>
      </c>
      <c r="AA3769">
        <v>0.99061969999999999</v>
      </c>
      <c r="AB3769">
        <v>27</v>
      </c>
      <c r="AC3769">
        <v>-164.94</v>
      </c>
      <c r="AD3769">
        <v>-1.1622509999999999</v>
      </c>
      <c r="AE3769">
        <v>-39.190399999999997</v>
      </c>
      <c r="AF3769">
        <v>-23.1974424001024</v>
      </c>
      <c r="AG3769">
        <v>-1.1622509999999999</v>
      </c>
      <c r="AH3769">
        <v>167.92935495003201</v>
      </c>
      <c r="AI3769">
        <v>90.392811815459197</v>
      </c>
      <c r="AJ3769">
        <v>97.864955582764495</v>
      </c>
      <c r="AK3769">
        <v>169.52799301362299</v>
      </c>
      <c r="AL3769">
        <v>78.938081285196802</v>
      </c>
      <c r="AM3769">
        <v>95.671697900014706</v>
      </c>
      <c r="AN3769">
        <v>0.99999992726570197</v>
      </c>
    </row>
    <row r="3770" spans="1:40" x14ac:dyDescent="0.25">
      <c r="A3770" t="str">
        <f>"20190304155448078"</f>
        <v>20190304155448078</v>
      </c>
      <c r="B3770" t="str">
        <f>"1551686088071075"</f>
        <v>1551686088071075</v>
      </c>
      <c r="C3770" t="s">
        <v>40</v>
      </c>
      <c r="D3770">
        <v>3.6201219999999998</v>
      </c>
      <c r="E3770">
        <v>0.4808944</v>
      </c>
      <c r="F3770" t="s">
        <v>47</v>
      </c>
      <c r="G3770">
        <v>-534.41679999999997</v>
      </c>
      <c r="H3770">
        <v>-0.05</v>
      </c>
      <c r="I3770">
        <v>107.7612</v>
      </c>
      <c r="J3770">
        <v>-395.64179999999999</v>
      </c>
      <c r="K3770">
        <v>1.1122780000000001</v>
      </c>
      <c r="L3770">
        <v>141.124</v>
      </c>
      <c r="M3770">
        <v>-0.99505659999999896</v>
      </c>
      <c r="N3770">
        <v>-1.266281E-2</v>
      </c>
      <c r="O3770">
        <v>-9.8499149999999994E-2</v>
      </c>
      <c r="P3770">
        <v>-0.96459170000000005</v>
      </c>
      <c r="Q3770">
        <v>0.17978050000000001</v>
      </c>
      <c r="R3770">
        <v>-0.19298199999999999</v>
      </c>
      <c r="S3770">
        <v>-2.9724729999999999</v>
      </c>
      <c r="T3770">
        <v>-2.484691E-2</v>
      </c>
      <c r="U3770">
        <v>-0.71385189999999998</v>
      </c>
      <c r="V3770">
        <v>-9.7924709999999998E-2</v>
      </c>
      <c r="W3770">
        <v>0.1917045</v>
      </c>
      <c r="X3770">
        <v>0.97655519999999996</v>
      </c>
      <c r="Y3770">
        <v>-0.1365845</v>
      </c>
      <c r="Z3770">
        <v>-1.866415E-3</v>
      </c>
      <c r="AA3770">
        <v>0.99062669999999997</v>
      </c>
      <c r="AB3770">
        <v>27</v>
      </c>
      <c r="AC3770">
        <v>-138.77499999999901</v>
      </c>
      <c r="AD3770">
        <v>-1.1622779999999999</v>
      </c>
      <c r="AE3770">
        <v>-33.362799999999901</v>
      </c>
      <c r="AF3770">
        <v>-19.528924998394501</v>
      </c>
      <c r="AG3770">
        <v>-1.1622779999999999</v>
      </c>
      <c r="AH3770">
        <v>141.37714322218901</v>
      </c>
      <c r="AI3770">
        <v>90.466594399702799</v>
      </c>
      <c r="AJ3770">
        <v>97.8646989737925</v>
      </c>
      <c r="AK3770">
        <v>142.724302161228</v>
      </c>
      <c r="AL3770">
        <v>78.947725962041005</v>
      </c>
      <c r="AM3770">
        <v>95.726230068530796</v>
      </c>
      <c r="AN3770">
        <v>0.99999996139793601</v>
      </c>
    </row>
    <row r="3771" spans="1:40" x14ac:dyDescent="0.25">
      <c r="A3771" t="str">
        <f>"20190304155448100"</f>
        <v>20190304155448100</v>
      </c>
      <c r="B3771" t="str">
        <f>"1551686088091571"</f>
        <v>1551686088091571</v>
      </c>
      <c r="C3771" t="s">
        <v>40</v>
      </c>
      <c r="D3771">
        <v>3.6237029999999999</v>
      </c>
      <c r="E3771">
        <v>0.48118450000000001</v>
      </c>
      <c r="F3771" t="s">
        <v>47</v>
      </c>
      <c r="G3771">
        <v>-517.18979999999999</v>
      </c>
      <c r="H3771">
        <v>-0.05</v>
      </c>
      <c r="I3771">
        <v>111.5312</v>
      </c>
      <c r="J3771">
        <v>-395.91030000000001</v>
      </c>
      <c r="K3771">
        <v>1.11232</v>
      </c>
      <c r="L3771">
        <v>141.09450000000001</v>
      </c>
      <c r="M3771">
        <v>-0.99478489999999997</v>
      </c>
      <c r="N3771">
        <v>-1.266348E-2</v>
      </c>
      <c r="O3771">
        <v>-0.1012073</v>
      </c>
      <c r="P3771">
        <v>-0.96392389999999994</v>
      </c>
      <c r="Q3771">
        <v>0.17971099999999901</v>
      </c>
      <c r="R3771">
        <v>-0.19635459999999999</v>
      </c>
      <c r="S3771">
        <v>-2.970764</v>
      </c>
      <c r="T3771">
        <v>-2.840734E-2</v>
      </c>
      <c r="U3771">
        <v>-0.72328190000000003</v>
      </c>
      <c r="V3771">
        <v>-9.8698330000000001E-2</v>
      </c>
      <c r="W3771">
        <v>0.19162360000000001</v>
      </c>
      <c r="X3771">
        <v>0.97649319999999895</v>
      </c>
      <c r="Y3771">
        <v>-0.13698529999999901</v>
      </c>
      <c r="Z3771">
        <v>-1.8445549999999999E-3</v>
      </c>
      <c r="AA3771">
        <v>0.99057139999999999</v>
      </c>
      <c r="AB3771">
        <v>27</v>
      </c>
      <c r="AC3771">
        <v>-121.279499999999</v>
      </c>
      <c r="AD3771">
        <v>-1.16232</v>
      </c>
      <c r="AE3771">
        <v>-29.563300000000002</v>
      </c>
      <c r="AF3771">
        <v>-17.1346398312003</v>
      </c>
      <c r="AG3771">
        <v>-1.16232</v>
      </c>
      <c r="AH3771">
        <v>123.638215454498</v>
      </c>
      <c r="AI3771">
        <v>90.5335215982482</v>
      </c>
      <c r="AJ3771">
        <v>97.890188057157403</v>
      </c>
      <c r="AK3771">
        <v>124.825298680597</v>
      </c>
      <c r="AL3771">
        <v>78.952448811507196</v>
      </c>
      <c r="AM3771">
        <v>95.771527926209103</v>
      </c>
      <c r="AN3771">
        <v>0.99999996703399296</v>
      </c>
    </row>
    <row r="3772" spans="1:40" x14ac:dyDescent="0.25">
      <c r="A3772" t="str">
        <f>"20190304155448135"</f>
        <v>20190304155448135</v>
      </c>
      <c r="B3772" t="str">
        <f>"1551686088131588"</f>
        <v>1551686088131588</v>
      </c>
      <c r="C3772" t="s">
        <v>40</v>
      </c>
      <c r="D3772">
        <v>3.6015630000000001</v>
      </c>
      <c r="E3772">
        <v>0.48179280000000002</v>
      </c>
      <c r="F3772" t="s">
        <v>47</v>
      </c>
      <c r="G3772">
        <v>-511.15750000000003</v>
      </c>
      <c r="H3772">
        <v>-0.05</v>
      </c>
      <c r="I3772">
        <v>112.71420000000001</v>
      </c>
      <c r="J3772">
        <v>-396.31869999999998</v>
      </c>
      <c r="K3772">
        <v>1.1123700000000001</v>
      </c>
      <c r="L3772">
        <v>141.0479</v>
      </c>
      <c r="M3772">
        <v>-0.99434659999999997</v>
      </c>
      <c r="N3772">
        <v>-1.266482E-2</v>
      </c>
      <c r="O3772">
        <v>-0.1054258</v>
      </c>
      <c r="P3772">
        <v>-0.96279879999999995</v>
      </c>
      <c r="Q3772">
        <v>0.1797463</v>
      </c>
      <c r="R3772">
        <v>-0.20176669999999999</v>
      </c>
      <c r="S3772">
        <v>-2.9689640000000002</v>
      </c>
      <c r="T3772">
        <v>-2.9943350000000001E-2</v>
      </c>
      <c r="U3772">
        <v>-0.73112489999999997</v>
      </c>
      <c r="V3772">
        <v>-0.1000701</v>
      </c>
      <c r="W3772">
        <v>0.19163949999999999</v>
      </c>
      <c r="X3772">
        <v>0.97635050000000001</v>
      </c>
      <c r="Y3772">
        <v>-0.13538919999999999</v>
      </c>
      <c r="Z3772">
        <v>-1.8217159999999999E-3</v>
      </c>
      <c r="AA3772">
        <v>0.99079079999999997</v>
      </c>
      <c r="AB3772">
        <v>27</v>
      </c>
      <c r="AC3772">
        <v>-114.83880000000001</v>
      </c>
      <c r="AD3772">
        <v>-1.1623699999999999</v>
      </c>
      <c r="AE3772">
        <v>-28.3337</v>
      </c>
      <c r="AF3772">
        <v>-16.066281763008099</v>
      </c>
      <c r="AG3772">
        <v>-1.1623699999999999</v>
      </c>
      <c r="AH3772">
        <v>117.174746915838</v>
      </c>
      <c r="AI3772">
        <v>90.563085709544794</v>
      </c>
      <c r="AJ3772">
        <v>97.807361672354602</v>
      </c>
      <c r="AK3772">
        <v>118.276784824817</v>
      </c>
      <c r="AL3772">
        <v>78.951521096420905</v>
      </c>
      <c r="AM3772">
        <v>95.852040638079302</v>
      </c>
      <c r="AN3772">
        <v>1.00000001086225</v>
      </c>
    </row>
    <row r="3773" spans="1:40" x14ac:dyDescent="0.25">
      <c r="A3773" t="str">
        <f>"20190304155448157"</f>
        <v>20190304155448157</v>
      </c>
      <c r="B3773" t="str">
        <f>"1551686088151107"</f>
        <v>1551686088151107</v>
      </c>
      <c r="C3773" t="s">
        <v>40</v>
      </c>
      <c r="D3773">
        <v>3.6086589999999998</v>
      </c>
      <c r="E3773">
        <v>0.48205619999999999</v>
      </c>
      <c r="F3773" t="s">
        <v>47</v>
      </c>
      <c r="G3773">
        <v>-500.4991</v>
      </c>
      <c r="H3773">
        <v>-0.05</v>
      </c>
      <c r="I3773">
        <v>114.9752</v>
      </c>
      <c r="J3773">
        <v>-396.59039999999999</v>
      </c>
      <c r="K3773">
        <v>1.1124069999999999</v>
      </c>
      <c r="L3773">
        <v>141.01589999999999</v>
      </c>
      <c r="M3773">
        <v>-0.99403889999999995</v>
      </c>
      <c r="N3773">
        <v>-1.2665839999999999E-2</v>
      </c>
      <c r="O3773">
        <v>-0.1082878</v>
      </c>
      <c r="P3773">
        <v>-0.96202679999999996</v>
      </c>
      <c r="Q3773">
        <v>0.17965799999999901</v>
      </c>
      <c r="R3773">
        <v>-0.20549390000000001</v>
      </c>
      <c r="S3773">
        <v>-2.9665219999999999</v>
      </c>
      <c r="T3773">
        <v>-3.3098339999999997E-2</v>
      </c>
      <c r="U3773">
        <v>-0.74241639999999998</v>
      </c>
      <c r="V3773">
        <v>-0.1010563</v>
      </c>
      <c r="W3773">
        <v>0.19153790000000001</v>
      </c>
      <c r="X3773">
        <v>0.97626880000000005</v>
      </c>
      <c r="Y3773">
        <v>-0.1362757</v>
      </c>
      <c r="Z3773">
        <v>-1.7982269999999999E-3</v>
      </c>
      <c r="AA3773">
        <v>0.99066929999999997</v>
      </c>
      <c r="AB3773">
        <v>27</v>
      </c>
      <c r="AC3773">
        <v>-103.9087</v>
      </c>
      <c r="AD3773">
        <v>-1.162407</v>
      </c>
      <c r="AE3773">
        <v>-26.040699999999902</v>
      </c>
      <c r="AF3773">
        <v>-14.632875118601399</v>
      </c>
      <c r="AG3773">
        <v>-1.162407</v>
      </c>
      <c r="AH3773">
        <v>106.105198058844</v>
      </c>
      <c r="AI3773">
        <v>90.621778948739504</v>
      </c>
      <c r="AJ3773">
        <v>97.852081465053899</v>
      </c>
      <c r="AK3773">
        <v>107.115756447764</v>
      </c>
      <c r="AL3773">
        <v>78.957451610634806</v>
      </c>
      <c r="AM3773">
        <v>95.909797916610302</v>
      </c>
      <c r="AN3773">
        <v>0.99999995637976902</v>
      </c>
    </row>
    <row r="3774" spans="1:40" x14ac:dyDescent="0.25">
      <c r="A3774" t="str">
        <f>"20190304155448180"</f>
        <v>20190304155448180</v>
      </c>
      <c r="B3774" t="str">
        <f>"1551686088171603"</f>
        <v>1551686088171603</v>
      </c>
      <c r="C3774" t="s">
        <v>40</v>
      </c>
      <c r="D3774">
        <v>3.5851519999999999</v>
      </c>
      <c r="E3774">
        <v>0.4869154</v>
      </c>
      <c r="F3774" t="s">
        <v>47</v>
      </c>
      <c r="G3774">
        <v>-495.11169999999998</v>
      </c>
      <c r="H3774">
        <v>-0.05</v>
      </c>
      <c r="I3774">
        <v>116.0442</v>
      </c>
      <c r="J3774">
        <v>-396.8569</v>
      </c>
      <c r="K3774">
        <v>1.1124400000000001</v>
      </c>
      <c r="L3774">
        <v>140.9837</v>
      </c>
      <c r="M3774">
        <v>-0.99372389999999999</v>
      </c>
      <c r="N3774">
        <v>-1.266689E-2</v>
      </c>
      <c r="O3774">
        <v>-0.11114259999999999</v>
      </c>
      <c r="P3774">
        <v>-0.96124259999999995</v>
      </c>
      <c r="Q3774">
        <v>0.179559</v>
      </c>
      <c r="R3774">
        <v>-0.20921699999999999</v>
      </c>
      <c r="S3774">
        <v>-2.9644780000000002</v>
      </c>
      <c r="T3774">
        <v>-3.4976479999999997E-2</v>
      </c>
      <c r="U3774">
        <v>-0.75138850000000001</v>
      </c>
      <c r="V3774">
        <v>-0.1020464</v>
      </c>
      <c r="W3774">
        <v>0.19142609999999999</v>
      </c>
      <c r="X3774">
        <v>0.97618780000000005</v>
      </c>
      <c r="Y3774">
        <v>-0.1364088</v>
      </c>
      <c r="Z3774">
        <v>-1.778349E-3</v>
      </c>
      <c r="AA3774">
        <v>0.99065099999999995</v>
      </c>
      <c r="AB3774">
        <v>27</v>
      </c>
      <c r="AC3774">
        <v>-98.254800000000003</v>
      </c>
      <c r="AD3774">
        <v>-1.1624399999999999</v>
      </c>
      <c r="AE3774">
        <v>-24.939499999999899</v>
      </c>
      <c r="AF3774">
        <v>-13.861970524517099</v>
      </c>
      <c r="AG3774">
        <v>-1.1624399999999999</v>
      </c>
      <c r="AH3774">
        <v>100.404821377917</v>
      </c>
      <c r="AI3774">
        <v>90.657081931621207</v>
      </c>
      <c r="AJ3774">
        <v>97.8606096944131</v>
      </c>
      <c r="AK3774">
        <v>101.363867573745</v>
      </c>
      <c r="AL3774">
        <v>78.963978756440895</v>
      </c>
      <c r="AM3774">
        <v>95.967774990526195</v>
      </c>
      <c r="AN3774">
        <v>1.0000000201915</v>
      </c>
    </row>
    <row r="3775" spans="1:40" x14ac:dyDescent="0.25">
      <c r="A3775" t="str">
        <f>"20190304155448201"</f>
        <v>20190304155448201</v>
      </c>
      <c r="B3775" t="str">
        <f>"1551686088191123"</f>
        <v>1551686088191123</v>
      </c>
      <c r="C3775" t="s">
        <v>40</v>
      </c>
      <c r="D3775">
        <v>3.5315409999999998</v>
      </c>
      <c r="E3775">
        <v>0.49062480000000003</v>
      </c>
      <c r="F3775" t="s">
        <v>44</v>
      </c>
      <c r="G3775">
        <v>-460.37270000000001</v>
      </c>
      <c r="H3775">
        <v>0.1889585</v>
      </c>
      <c r="I3775">
        <v>125.4862</v>
      </c>
      <c r="J3775">
        <v>-397.11779999999999</v>
      </c>
      <c r="K3775">
        <v>1.1124670000000001</v>
      </c>
      <c r="L3775">
        <v>140.9513</v>
      </c>
      <c r="M3775">
        <v>-0.99340110000000004</v>
      </c>
      <c r="N3775">
        <v>-1.266804E-2</v>
      </c>
      <c r="O3775">
        <v>-0.11398999999999999</v>
      </c>
      <c r="P3775">
        <v>-0.96036710000000003</v>
      </c>
      <c r="Q3775">
        <v>0.179637299999999</v>
      </c>
      <c r="R3775">
        <v>-0.21313280000000001</v>
      </c>
      <c r="S3775">
        <v>-2.9712830000000001</v>
      </c>
      <c r="T3775">
        <v>-4.3199179999999997E-2</v>
      </c>
      <c r="U3775">
        <v>-0.72497559999999905</v>
      </c>
      <c r="V3775">
        <v>-0.1032483</v>
      </c>
      <c r="W3775">
        <v>0.1914892</v>
      </c>
      <c r="X3775">
        <v>0.97604900000000006</v>
      </c>
      <c r="Y3775">
        <v>-0.1247212</v>
      </c>
      <c r="Z3775">
        <v>-1.50058299999999E-3</v>
      </c>
      <c r="AA3775">
        <v>0.99219069999999998</v>
      </c>
      <c r="AB3775">
        <v>27</v>
      </c>
      <c r="AC3775">
        <v>-63.254899999999999</v>
      </c>
      <c r="AD3775">
        <v>-0.92350849999999995</v>
      </c>
      <c r="AE3775">
        <v>-15.4651</v>
      </c>
      <c r="AF3775">
        <v>-8.1516362174172308</v>
      </c>
      <c r="AG3775">
        <v>-0.92350849999999995</v>
      </c>
      <c r="AH3775">
        <v>64.592548313078595</v>
      </c>
      <c r="AI3775">
        <v>90.812682309134203</v>
      </c>
      <c r="AJ3775">
        <v>97.192752924491103</v>
      </c>
      <c r="AK3775">
        <v>65.111437847340397</v>
      </c>
      <c r="AL3775">
        <v>78.960294888956795</v>
      </c>
      <c r="AM3775">
        <v>96.038399354817997</v>
      </c>
      <c r="AN3775">
        <v>0.999999987785264</v>
      </c>
    </row>
    <row r="3776" spans="1:40" x14ac:dyDescent="0.25">
      <c r="A3776" t="str">
        <f>"20190304155448235"</f>
        <v>20190304155448235</v>
      </c>
      <c r="B3776" t="str">
        <f>"1551686088231140"</f>
        <v>1551686088231140</v>
      </c>
      <c r="C3776" t="s">
        <v>40</v>
      </c>
      <c r="D3776">
        <v>3.5559479999999999</v>
      </c>
      <c r="E3776">
        <v>0.49055219999999999</v>
      </c>
      <c r="F3776" t="s">
        <v>44</v>
      </c>
      <c r="G3776">
        <v>-460.65620000000001</v>
      </c>
      <c r="H3776">
        <v>0.48985109999999898</v>
      </c>
      <c r="I3776">
        <v>125.81789999999999</v>
      </c>
      <c r="J3776">
        <v>-397.50880000000001</v>
      </c>
      <c r="K3776">
        <v>1.1125339999999999</v>
      </c>
      <c r="L3776">
        <v>140.90119999999999</v>
      </c>
      <c r="M3776">
        <v>-0.99288869999999896</v>
      </c>
      <c r="N3776">
        <v>-1.267037E-2</v>
      </c>
      <c r="O3776">
        <v>-0.11837010000000001</v>
      </c>
      <c r="P3776">
        <v>-0.95895529999999995</v>
      </c>
      <c r="Q3776">
        <v>0.18020059999999999</v>
      </c>
      <c r="R3776">
        <v>-0.21893599999999999</v>
      </c>
      <c r="S3776">
        <v>-2.9721679999999999</v>
      </c>
      <c r="T3776">
        <v>-2.9122950000000002E-2</v>
      </c>
      <c r="U3776">
        <v>-0.707901</v>
      </c>
      <c r="V3776">
        <v>-0.104891899999999</v>
      </c>
      <c r="W3776">
        <v>0.19202739999999999</v>
      </c>
      <c r="X3776">
        <v>0.97576799999999997</v>
      </c>
      <c r="Y3776">
        <v>-0.1148962</v>
      </c>
      <c r="Z3776">
        <v>-1.6423709999999999E-3</v>
      </c>
      <c r="AA3776">
        <v>0.99337609999999998</v>
      </c>
      <c r="AB3776">
        <v>27</v>
      </c>
      <c r="AC3776">
        <v>-63.147399999999998</v>
      </c>
      <c r="AD3776">
        <v>-0.62268290000000004</v>
      </c>
      <c r="AE3776">
        <v>-15.0832999999999</v>
      </c>
      <c r="AF3776">
        <v>-7.5011862980220796</v>
      </c>
      <c r="AG3776">
        <v>-0.62268290000000004</v>
      </c>
      <c r="AH3776">
        <v>64.482997051708793</v>
      </c>
      <c r="AI3776">
        <v>90.549556382874101</v>
      </c>
      <c r="AJ3776">
        <v>96.635287899184803</v>
      </c>
      <c r="AK3776">
        <v>64.920816681879998</v>
      </c>
      <c r="AL3776">
        <v>78.928875484133002</v>
      </c>
      <c r="AM3776">
        <v>96.135549908966496</v>
      </c>
      <c r="AN3776">
        <v>1.0000000114301799</v>
      </c>
    </row>
    <row r="3777" spans="1:40" x14ac:dyDescent="0.25">
      <c r="A3777" t="str">
        <f>"20190304155448257"</f>
        <v>20190304155448257</v>
      </c>
      <c r="B3777" t="str">
        <f>"1551686088250660"</f>
        <v>1551686088250660</v>
      </c>
      <c r="C3777" t="s">
        <v>40</v>
      </c>
      <c r="D3777">
        <v>3.5830099999999998</v>
      </c>
      <c r="E3777">
        <v>0.49078949999999999</v>
      </c>
      <c r="F3777" t="s">
        <v>47</v>
      </c>
      <c r="G3777">
        <v>-508.03059999999999</v>
      </c>
      <c r="H3777">
        <v>-0.05</v>
      </c>
      <c r="I3777">
        <v>113.8523</v>
      </c>
      <c r="J3777">
        <v>-397.7799</v>
      </c>
      <c r="K3777">
        <v>1.112574</v>
      </c>
      <c r="L3777">
        <v>140.8655</v>
      </c>
      <c r="M3777">
        <v>-0.99251440000000002</v>
      </c>
      <c r="N3777">
        <v>-1.2672070000000001E-2</v>
      </c>
      <c r="O3777">
        <v>-0.12146940000000001</v>
      </c>
      <c r="P3777">
        <v>-0.95802160000000003</v>
      </c>
      <c r="Q3777">
        <v>0.179651799999999</v>
      </c>
      <c r="R3777">
        <v>-0.2234274</v>
      </c>
      <c r="S3777">
        <v>-2.9684140000000001</v>
      </c>
      <c r="T3777">
        <v>-3.1223540000000001E-2</v>
      </c>
      <c r="U3777">
        <v>-0.72648619999999997</v>
      </c>
      <c r="V3777">
        <v>-0.1064257</v>
      </c>
      <c r="W3777">
        <v>0.19146160000000001</v>
      </c>
      <c r="X3777">
        <v>0.9757131</v>
      </c>
      <c r="Y3777">
        <v>-0.1179519</v>
      </c>
      <c r="Z3777">
        <v>-1.6429769999999999E-3</v>
      </c>
      <c r="AA3777">
        <v>0.99301799999999996</v>
      </c>
      <c r="AB3777">
        <v>27</v>
      </c>
      <c r="AC3777">
        <v>-110.25069999999999</v>
      </c>
      <c r="AD3777">
        <v>-1.162574</v>
      </c>
      <c r="AE3777">
        <v>-27.013200000000001</v>
      </c>
      <c r="AF3777">
        <v>-13.418572050634699</v>
      </c>
      <c r="AG3777">
        <v>-1.162574</v>
      </c>
      <c r="AH3777">
        <v>112.703899744007</v>
      </c>
      <c r="AI3777">
        <v>90.586857386670303</v>
      </c>
      <c r="AJ3777">
        <v>96.789696968310494</v>
      </c>
      <c r="AK3777">
        <v>113.505853028338</v>
      </c>
      <c r="AL3777">
        <v>78.961906353065601</v>
      </c>
      <c r="AM3777">
        <v>96.224916282728501</v>
      </c>
      <c r="AN3777">
        <v>1.00000001370333</v>
      </c>
    </row>
    <row r="3778" spans="1:40" x14ac:dyDescent="0.25">
      <c r="A3778" t="str">
        <f>"20190304155448278"</f>
        <v>20190304155448278</v>
      </c>
      <c r="B3778" t="str">
        <f>"1551686088271156"</f>
        <v>1551686088271156</v>
      </c>
      <c r="C3778" t="s">
        <v>40</v>
      </c>
      <c r="D3778">
        <v>3.5647959999999999</v>
      </c>
      <c r="E3778">
        <v>0.49113820000000002</v>
      </c>
      <c r="F3778" t="s">
        <v>47</v>
      </c>
      <c r="G3778">
        <v>-497.68549999999999</v>
      </c>
      <c r="H3778">
        <v>-0.05</v>
      </c>
      <c r="I3778">
        <v>116.0014</v>
      </c>
      <c r="J3778">
        <v>-398.03899999999999</v>
      </c>
      <c r="K3778">
        <v>1.1126149999999999</v>
      </c>
      <c r="L3778">
        <v>140.8304</v>
      </c>
      <c r="M3778">
        <v>-0.99213870000000004</v>
      </c>
      <c r="N3778">
        <v>-1.267395E-2</v>
      </c>
      <c r="O3778">
        <v>-0.1245004</v>
      </c>
      <c r="P3778">
        <v>-0.95707450000000005</v>
      </c>
      <c r="Q3778">
        <v>0.17953569999999999</v>
      </c>
      <c r="R3778">
        <v>-0.22754289999999999</v>
      </c>
      <c r="S3778">
        <v>-2.9657900000000001</v>
      </c>
      <c r="T3778">
        <v>-3.4512040000000001E-2</v>
      </c>
      <c r="U3778">
        <v>-0.73811340000000003</v>
      </c>
      <c r="V3778">
        <v>-0.10765909999999999</v>
      </c>
      <c r="W3778">
        <v>0.19132779999999999</v>
      </c>
      <c r="X3778">
        <v>0.97560400000000003</v>
      </c>
      <c r="Y3778">
        <v>-0.11878850000000001</v>
      </c>
      <c r="Z3778">
        <v>-1.5895929999999901E-3</v>
      </c>
      <c r="AA3778">
        <v>0.99291830000000003</v>
      </c>
      <c r="AB3778">
        <v>27</v>
      </c>
      <c r="AC3778">
        <v>-99.646500000000003</v>
      </c>
      <c r="AD3778">
        <v>-1.162615</v>
      </c>
      <c r="AE3778">
        <v>-24.828999999999901</v>
      </c>
      <c r="AF3778">
        <v>-12.227196602145799</v>
      </c>
      <c r="AG3778">
        <v>-1.162615</v>
      </c>
      <c r="AH3778">
        <v>101.949482778831</v>
      </c>
      <c r="AI3778">
        <v>90.648714708885706</v>
      </c>
      <c r="AJ3778">
        <v>96.839038525916806</v>
      </c>
      <c r="AK3778">
        <v>102.68667415617701</v>
      </c>
      <c r="AL3778">
        <v>78.969716621023295</v>
      </c>
      <c r="AM3778">
        <v>96.297181056399893</v>
      </c>
      <c r="AN3778">
        <v>0.99999998684082403</v>
      </c>
    </row>
    <row r="3779" spans="1:40" x14ac:dyDescent="0.25">
      <c r="A3779" t="str">
        <f>"20190304155448313"</f>
        <v>20190304155448313</v>
      </c>
      <c r="B3779" t="str">
        <f>"1551686088301411"</f>
        <v>1551686088301411</v>
      </c>
      <c r="C3779" t="s">
        <v>40</v>
      </c>
      <c r="D3779">
        <v>3.5989499999999999</v>
      </c>
      <c r="E3779">
        <v>0.49887730000000002</v>
      </c>
      <c r="F3779" t="s">
        <v>47</v>
      </c>
      <c r="G3779">
        <v>-494.29950000000002</v>
      </c>
      <c r="H3779">
        <v>-0.05</v>
      </c>
      <c r="I3779">
        <v>116.55540000000001</v>
      </c>
      <c r="J3779">
        <v>-398.43920000000003</v>
      </c>
      <c r="K3779">
        <v>1.1126959999999999</v>
      </c>
      <c r="L3779">
        <v>140.77440000000001</v>
      </c>
      <c r="M3779">
        <v>-0.99151739999999999</v>
      </c>
      <c r="N3779">
        <v>-1.267776E-2</v>
      </c>
      <c r="O3779">
        <v>-0.1293542</v>
      </c>
      <c r="P3779">
        <v>-0.95542959999999999</v>
      </c>
      <c r="Q3779">
        <v>0.17994079999999901</v>
      </c>
      <c r="R3779">
        <v>-0.23404330000000001</v>
      </c>
      <c r="S3779">
        <v>-2.9635929999999999</v>
      </c>
      <c r="T3779">
        <v>-3.5793659999999998E-2</v>
      </c>
      <c r="U3779">
        <v>-0.74736020000000003</v>
      </c>
      <c r="V3779">
        <v>-0.1095735</v>
      </c>
      <c r="W3779">
        <v>0.19169890000000001</v>
      </c>
      <c r="X3779">
        <v>0.97531800000000002</v>
      </c>
      <c r="Y3779">
        <v>-0.117016</v>
      </c>
      <c r="Z3779">
        <v>-1.545051E-3</v>
      </c>
      <c r="AA3779">
        <v>0.99312880000000003</v>
      </c>
      <c r="AB3779">
        <v>27</v>
      </c>
      <c r="AC3779">
        <v>-95.860299999999995</v>
      </c>
      <c r="AD3779">
        <v>-1.162696</v>
      </c>
      <c r="AE3779">
        <v>-24.219000000000001</v>
      </c>
      <c r="AF3779">
        <v>-11.612955048505899</v>
      </c>
      <c r="AG3779">
        <v>-1.162696</v>
      </c>
      <c r="AH3779">
        <v>98.174300042764401</v>
      </c>
      <c r="AI3779">
        <v>90.6738351161937</v>
      </c>
      <c r="AJ3779">
        <v>96.746121286868501</v>
      </c>
      <c r="AK3779">
        <v>98.865594499976496</v>
      </c>
      <c r="AL3779">
        <v>78.948053432834797</v>
      </c>
      <c r="AM3779">
        <v>96.410097904650698</v>
      </c>
      <c r="AN3779">
        <v>1.0000000106437299</v>
      </c>
    </row>
    <row r="3780" spans="1:40" x14ac:dyDescent="0.25">
      <c r="A3780" t="str">
        <f>"20190304155448336"</f>
        <v>20190304155448336</v>
      </c>
      <c r="B3780" t="str">
        <f>"1551686088330691"</f>
        <v>1551686088330691</v>
      </c>
      <c r="C3780" t="s">
        <v>40</v>
      </c>
      <c r="D3780">
        <v>3.6378900000000001</v>
      </c>
      <c r="E3780">
        <v>0.50001649999999997</v>
      </c>
      <c r="F3780" t="s">
        <v>44</v>
      </c>
      <c r="G3780">
        <v>-460.84300000000002</v>
      </c>
      <c r="H3780">
        <v>1.199678</v>
      </c>
      <c r="I3780">
        <v>125.89319999999999</v>
      </c>
      <c r="J3780">
        <v>-398.72129999999999</v>
      </c>
      <c r="K3780">
        <v>1.1127609999999999</v>
      </c>
      <c r="L3780">
        <v>140.7337</v>
      </c>
      <c r="M3780">
        <v>-0.99104999999999999</v>
      </c>
      <c r="N3780">
        <v>-1.2681019999999999E-2</v>
      </c>
      <c r="O3780">
        <v>-0.13288800000000001</v>
      </c>
      <c r="P3780">
        <v>-0.95440599999999998</v>
      </c>
      <c r="Q3780">
        <v>0.17966019999999999</v>
      </c>
      <c r="R3780">
        <v>-0.23839360000000001</v>
      </c>
      <c r="S3780">
        <v>-2.9659420000000001</v>
      </c>
      <c r="T3780">
        <v>4.135489E-3</v>
      </c>
      <c r="U3780">
        <v>-0.7072754</v>
      </c>
      <c r="V3780">
        <v>-0.1105655</v>
      </c>
      <c r="W3780">
        <v>0.19139700000000001</v>
      </c>
      <c r="X3780">
        <v>0.9752653</v>
      </c>
      <c r="Y3780">
        <v>-0.1006433</v>
      </c>
      <c r="Z3780">
        <v>-2.4317369999999998E-3</v>
      </c>
      <c r="AA3780">
        <v>0.99491960000000002</v>
      </c>
      <c r="AB3780">
        <v>27</v>
      </c>
      <c r="AC3780">
        <v>-62.121699999999997</v>
      </c>
      <c r="AD3780">
        <v>8.6916999999999897E-2</v>
      </c>
      <c r="AE3780">
        <v>-14.8405</v>
      </c>
      <c r="AF3780">
        <v>-6.4529555475473801</v>
      </c>
      <c r="AG3780">
        <v>8.6916999999999897E-2</v>
      </c>
      <c r="AH3780">
        <v>63.542822621863202</v>
      </c>
      <c r="AI3780">
        <v>89.922029086487797</v>
      </c>
      <c r="AJ3780">
        <v>95.798671095057699</v>
      </c>
      <c r="AK3780">
        <v>63.869699362194297</v>
      </c>
      <c r="AL3780">
        <v>78.965676950201996</v>
      </c>
      <c r="AM3780">
        <v>96.467987323033896</v>
      </c>
      <c r="AN3780">
        <v>0.99999997339166902</v>
      </c>
    </row>
    <row r="3781" spans="1:40" x14ac:dyDescent="0.25">
      <c r="A3781" t="str">
        <f>"20190304155448358"</f>
        <v>20190304155448358</v>
      </c>
      <c r="B3781" t="str">
        <f>"1551686088351187"</f>
        <v>1551686088351187</v>
      </c>
      <c r="C3781" t="s">
        <v>40</v>
      </c>
      <c r="D3781">
        <v>3.615227</v>
      </c>
      <c r="E3781">
        <v>0.50056309999999904</v>
      </c>
      <c r="F3781" t="s">
        <v>43</v>
      </c>
      <c r="G3781">
        <v>0</v>
      </c>
      <c r="H3781">
        <v>0</v>
      </c>
      <c r="I3781">
        <v>0</v>
      </c>
      <c r="J3781">
        <v>-398.98099999999999</v>
      </c>
      <c r="K3781">
        <v>1.1128199999999999</v>
      </c>
      <c r="L3781">
        <v>140.6951</v>
      </c>
      <c r="M3781">
        <v>-0.99059609999999998</v>
      </c>
      <c r="N3781">
        <v>-1.26839E-2</v>
      </c>
      <c r="O3781">
        <v>-0.1362294</v>
      </c>
      <c r="P3781">
        <v>-0.95367179999999996</v>
      </c>
      <c r="Q3781">
        <v>0.17913470000000001</v>
      </c>
      <c r="R3781">
        <v>-0.241704</v>
      </c>
      <c r="S3781">
        <v>-2.9644170000000001</v>
      </c>
      <c r="T3781">
        <v>5.5333379999999996E-3</v>
      </c>
      <c r="U3781">
        <v>-0.71186830000000001</v>
      </c>
      <c r="V3781">
        <v>-0.1106741</v>
      </c>
      <c r="W3781">
        <v>0.1908579</v>
      </c>
      <c r="X3781">
        <v>0.97535870000000002</v>
      </c>
      <c r="Y3781">
        <v>-9.8862800000000001E-2</v>
      </c>
      <c r="Z3781">
        <v>-2.5088210000000001E-3</v>
      </c>
      <c r="AA3781">
        <v>0.99509789999999998</v>
      </c>
      <c r="AB3781">
        <v>27</v>
      </c>
      <c r="AC3781">
        <v>-2.9644170000000001</v>
      </c>
      <c r="AD3781">
        <v>5.5333379999999996E-3</v>
      </c>
      <c r="AE3781">
        <v>-0.71186830000000001</v>
      </c>
      <c r="AF3781">
        <v>-0.30135646749258299</v>
      </c>
      <c r="AG3781">
        <v>5.5333379999999996E-3</v>
      </c>
      <c r="AH3781">
        <v>3.0337514187187402</v>
      </c>
      <c r="AI3781">
        <v>89.896008655184403</v>
      </c>
      <c r="AJ3781">
        <v>95.672843212996199</v>
      </c>
      <c r="AK3781">
        <v>3.0486872599377901</v>
      </c>
      <c r="AL3781">
        <v>78.997146003491196</v>
      </c>
      <c r="AM3781">
        <v>96.473671703436906</v>
      </c>
      <c r="AN3781">
        <v>1.0000000440344501</v>
      </c>
    </row>
    <row r="3782" spans="1:40" x14ac:dyDescent="0.25">
      <c r="A3782" t="str">
        <f>"20190304155448380"</f>
        <v>20190304155448380</v>
      </c>
      <c r="B3782" t="str">
        <f>"1551686088370707"</f>
        <v>1551686088370707</v>
      </c>
      <c r="C3782" t="s">
        <v>40</v>
      </c>
      <c r="D3782">
        <v>3.6299299999999999</v>
      </c>
      <c r="E3782">
        <v>0.50106390000000001</v>
      </c>
      <c r="F3782" t="s">
        <v>43</v>
      </c>
      <c r="G3782">
        <v>0</v>
      </c>
      <c r="H3782">
        <v>0</v>
      </c>
      <c r="I3782">
        <v>0</v>
      </c>
      <c r="J3782">
        <v>-399.23610000000002</v>
      </c>
      <c r="K3782">
        <v>1.1128910000000001</v>
      </c>
      <c r="L3782">
        <v>140.65629999999999</v>
      </c>
      <c r="M3782">
        <v>-0.99012520000000004</v>
      </c>
      <c r="N3782">
        <v>-1.2687E-2</v>
      </c>
      <c r="O3782">
        <v>-0.13961080000000001</v>
      </c>
      <c r="P3782">
        <v>-0.95281800000000005</v>
      </c>
      <c r="Q3782">
        <v>0.1786884</v>
      </c>
      <c r="R3782">
        <v>-0.24537410000000001</v>
      </c>
      <c r="S3782">
        <v>-2.962799</v>
      </c>
      <c r="T3782">
        <v>5.3036209999999997E-3</v>
      </c>
      <c r="U3782">
        <v>-0.7179413</v>
      </c>
      <c r="V3782">
        <v>-0.1111163</v>
      </c>
      <c r="W3782">
        <v>0.19039490000000001</v>
      </c>
      <c r="X3782">
        <v>0.97539880000000001</v>
      </c>
      <c r="Y3782">
        <v>-9.7516060000000002E-2</v>
      </c>
      <c r="Z3782">
        <v>-2.544012E-3</v>
      </c>
      <c r="AA3782">
        <v>0.99523070000000002</v>
      </c>
      <c r="AB3782">
        <v>27</v>
      </c>
      <c r="AC3782">
        <v>-2.962799</v>
      </c>
      <c r="AD3782">
        <v>5.3036209999999997E-3</v>
      </c>
      <c r="AE3782">
        <v>-0.7179413</v>
      </c>
      <c r="AF3782">
        <v>-0.29723605058055202</v>
      </c>
      <c r="AG3782">
        <v>5.3036209999999997E-3</v>
      </c>
      <c r="AH3782">
        <v>3.03400924493415</v>
      </c>
      <c r="AI3782">
        <v>89.9003210188487</v>
      </c>
      <c r="AJ3782">
        <v>95.595302151959004</v>
      </c>
      <c r="AK3782">
        <v>3.0485389117586101</v>
      </c>
      <c r="AL3782">
        <v>79.024168270782994</v>
      </c>
      <c r="AM3782">
        <v>96.499051566976206</v>
      </c>
      <c r="AN3782">
        <v>0.99999993455656699</v>
      </c>
    </row>
    <row r="3783" spans="1:40" x14ac:dyDescent="0.25">
      <c r="A3783" t="str">
        <f>"20190304155448401"</f>
        <v>20190304155448401</v>
      </c>
      <c r="B3783" t="str">
        <f>"1551686088391204"</f>
        <v>1551686088391204</v>
      </c>
      <c r="C3783" t="s">
        <v>40</v>
      </c>
      <c r="D3783">
        <v>3.6647989999999999</v>
      </c>
      <c r="E3783">
        <v>0.50136210000000003</v>
      </c>
      <c r="F3783" t="s">
        <v>43</v>
      </c>
      <c r="G3783">
        <v>0</v>
      </c>
      <c r="H3783">
        <v>0</v>
      </c>
      <c r="I3783">
        <v>0</v>
      </c>
      <c r="J3783">
        <v>-399.4982</v>
      </c>
      <c r="K3783">
        <v>1.112968</v>
      </c>
      <c r="L3783">
        <v>140.61539999999999</v>
      </c>
      <c r="M3783">
        <v>-0.98961319999999997</v>
      </c>
      <c r="N3783">
        <v>-1.2691269999999999E-2</v>
      </c>
      <c r="O3783">
        <v>-0.14319519999999999</v>
      </c>
      <c r="P3783">
        <v>-0.95171329999999998</v>
      </c>
      <c r="Q3783">
        <v>0.1789125</v>
      </c>
      <c r="R3783">
        <v>-0.2494653</v>
      </c>
      <c r="S3783">
        <v>-2.9609990000000002</v>
      </c>
      <c r="T3783">
        <v>4.2910580000000004E-3</v>
      </c>
      <c r="U3783">
        <v>-0.72521969999999902</v>
      </c>
      <c r="V3783">
        <v>-0.111817899999999</v>
      </c>
      <c r="W3783">
        <v>0.19059719999999999</v>
      </c>
      <c r="X3783">
        <v>0.97527920000000001</v>
      </c>
      <c r="Y3783">
        <v>-9.6359490000000006E-2</v>
      </c>
      <c r="Z3783">
        <v>-2.5582729999999998E-3</v>
      </c>
      <c r="AA3783">
        <v>0.99534330000000004</v>
      </c>
      <c r="AB3783">
        <v>27</v>
      </c>
      <c r="AC3783">
        <v>-2.9609990000000002</v>
      </c>
      <c r="AD3783">
        <v>4.2910580000000004E-3</v>
      </c>
      <c r="AE3783">
        <v>-0.72521969999999902</v>
      </c>
      <c r="AF3783">
        <v>-0.29370918451089001</v>
      </c>
      <c r="AG3783">
        <v>4.2910580000000004E-3</v>
      </c>
      <c r="AH3783">
        <v>3.03432970851141</v>
      </c>
      <c r="AI3783">
        <v>89.919351015309203</v>
      </c>
      <c r="AJ3783">
        <v>95.528744414244798</v>
      </c>
      <c r="AK3783">
        <v>3.0485144379188598</v>
      </c>
      <c r="AL3783">
        <v>79.012362145617203</v>
      </c>
      <c r="AM3783">
        <v>96.540527912030896</v>
      </c>
      <c r="AN3783">
        <v>1.0000000266804401</v>
      </c>
    </row>
    <row r="3784" spans="1:40" x14ac:dyDescent="0.25">
      <c r="A3784" t="str">
        <f>"20190304155448425"</f>
        <v>20190304155448425</v>
      </c>
      <c r="B3784" t="str">
        <f>"1551686088421460"</f>
        <v>1551686088421460</v>
      </c>
      <c r="C3784" t="s">
        <v>40</v>
      </c>
      <c r="D3784">
        <v>3.707271</v>
      </c>
      <c r="E3784">
        <v>0.50778179999999995</v>
      </c>
      <c r="F3784" t="s">
        <v>43</v>
      </c>
      <c r="G3784">
        <v>0</v>
      </c>
      <c r="H3784">
        <v>0</v>
      </c>
      <c r="I3784">
        <v>0</v>
      </c>
      <c r="J3784">
        <v>-399.76560000000001</v>
      </c>
      <c r="K3784">
        <v>1.113048</v>
      </c>
      <c r="L3784">
        <v>140.57239999999999</v>
      </c>
      <c r="M3784">
        <v>-0.98905869999999996</v>
      </c>
      <c r="N3784">
        <v>-1.269664E-2</v>
      </c>
      <c r="O3784">
        <v>-0.14697560000000001</v>
      </c>
      <c r="P3784">
        <v>-0.95071740000000005</v>
      </c>
      <c r="Q3784">
        <v>0.17871509999999999</v>
      </c>
      <c r="R3784">
        <v>-0.25337290000000001</v>
      </c>
      <c r="S3784">
        <v>-2.958466</v>
      </c>
      <c r="T3784">
        <v>5.9305429999999999E-3</v>
      </c>
      <c r="U3784">
        <v>-0.73492429999999997</v>
      </c>
      <c r="V3784">
        <v>-0.1121296</v>
      </c>
      <c r="W3784">
        <v>0.1903813</v>
      </c>
      <c r="X3784">
        <v>0.97528550000000003</v>
      </c>
      <c r="Y3784">
        <v>-9.5832210000000001E-2</v>
      </c>
      <c r="Z3784">
        <v>-2.6628540000000001E-3</v>
      </c>
      <c r="AA3784">
        <v>0.99539390000000005</v>
      </c>
      <c r="AB3784">
        <v>27</v>
      </c>
      <c r="AC3784">
        <v>-2.958466</v>
      </c>
      <c r="AD3784">
        <v>5.9305429999999999E-3</v>
      </c>
      <c r="AE3784">
        <v>-0.73492429999999997</v>
      </c>
      <c r="AF3784">
        <v>-0.29208337448194999</v>
      </c>
      <c r="AG3784">
        <v>5.9305429999999999E-3</v>
      </c>
      <c r="AH3784">
        <v>3.0343453593743299</v>
      </c>
      <c r="AI3784">
        <v>89.888532373808204</v>
      </c>
      <c r="AJ3784">
        <v>95.498300247576694</v>
      </c>
      <c r="AK3784">
        <v>3.04837655629116</v>
      </c>
      <c r="AL3784">
        <v>79.024962145071896</v>
      </c>
      <c r="AM3784">
        <v>96.558559449374798</v>
      </c>
      <c r="AN3784">
        <v>0.99999994654804802</v>
      </c>
    </row>
    <row r="3785" spans="1:40" x14ac:dyDescent="0.25">
      <c r="A3785" t="str">
        <f>"20190304155448446"</f>
        <v>20190304155448446</v>
      </c>
      <c r="B3785" t="str">
        <f>"1551686088440983"</f>
        <v>1551686088440983</v>
      </c>
      <c r="C3785" t="s">
        <v>40</v>
      </c>
      <c r="D3785">
        <v>3.7332969999999999</v>
      </c>
      <c r="E3785">
        <v>0.50831190000000004</v>
      </c>
      <c r="F3785" t="s">
        <v>43</v>
      </c>
      <c r="G3785">
        <v>0</v>
      </c>
      <c r="H3785">
        <v>0</v>
      </c>
      <c r="I3785">
        <v>0</v>
      </c>
      <c r="J3785">
        <v>-400.02749999999997</v>
      </c>
      <c r="K3785">
        <v>1.1131310000000001</v>
      </c>
      <c r="L3785">
        <v>140.52930000000001</v>
      </c>
      <c r="M3785">
        <v>-0.9884868</v>
      </c>
      <c r="N3785">
        <v>-1.2701840000000001E-2</v>
      </c>
      <c r="O3785">
        <v>-0.1507733</v>
      </c>
      <c r="P3785">
        <v>-0.94966799999999996</v>
      </c>
      <c r="Q3785">
        <v>0.1783516</v>
      </c>
      <c r="R3785">
        <v>-0.25752960000000003</v>
      </c>
      <c r="S3785">
        <v>-2.9660030000000002</v>
      </c>
      <c r="T3785">
        <v>1.934934E-2</v>
      </c>
      <c r="U3785">
        <v>-0.6975403</v>
      </c>
      <c r="V3785">
        <v>-0.1126733</v>
      </c>
      <c r="W3785">
        <v>0.1899989</v>
      </c>
      <c r="X3785">
        <v>0.97529750000000004</v>
      </c>
      <c r="Y3785">
        <v>-7.9562279999999999E-2</v>
      </c>
      <c r="Z3785">
        <v>-3.1227820000000002E-3</v>
      </c>
      <c r="AA3785">
        <v>0.99682499999999996</v>
      </c>
      <c r="AB3785">
        <v>27</v>
      </c>
      <c r="AC3785">
        <v>-2.9660030000000002</v>
      </c>
      <c r="AD3785">
        <v>1.934934E-2</v>
      </c>
      <c r="AE3785">
        <v>-0.6975403</v>
      </c>
      <c r="AF3785">
        <v>-0.24232508638164299</v>
      </c>
      <c r="AG3785">
        <v>1.934934E-2</v>
      </c>
      <c r="AH3785">
        <v>3.0371476865671498</v>
      </c>
      <c r="AI3785">
        <v>89.636136019110495</v>
      </c>
      <c r="AJ3785">
        <v>94.561798110212493</v>
      </c>
      <c r="AK3785">
        <v>3.0468609936241799</v>
      </c>
      <c r="AL3785">
        <v>79.047280373044103</v>
      </c>
      <c r="AM3785">
        <v>96.590001505017796</v>
      </c>
      <c r="AN3785">
        <v>1.00000003402017</v>
      </c>
    </row>
    <row r="3786" spans="1:40" x14ac:dyDescent="0.25">
      <c r="A3786" t="str">
        <f>"20190304155448469"</f>
        <v>20190304155448469</v>
      </c>
      <c r="B3786" t="str">
        <f>"1551686088461476"</f>
        <v>1551686088461476</v>
      </c>
      <c r="C3786" t="s">
        <v>40</v>
      </c>
      <c r="D3786">
        <v>3.7639420000000001</v>
      </c>
      <c r="E3786">
        <v>0.5204801</v>
      </c>
      <c r="F3786" t="s">
        <v>44</v>
      </c>
      <c r="G3786">
        <v>-460.9015</v>
      </c>
      <c r="H3786">
        <v>1.4619740000000001</v>
      </c>
      <c r="I3786">
        <v>126.01949999999999</v>
      </c>
      <c r="J3786">
        <v>-400.28969999999998</v>
      </c>
      <c r="K3786">
        <v>1.1132040000000001</v>
      </c>
      <c r="L3786">
        <v>140.48490000000001</v>
      </c>
      <c r="M3786">
        <v>-0.98788419999999999</v>
      </c>
      <c r="N3786">
        <v>-1.2706739999999999E-2</v>
      </c>
      <c r="O3786">
        <v>-0.1546727</v>
      </c>
      <c r="P3786">
        <v>-0.94843489999999997</v>
      </c>
      <c r="Q3786">
        <v>0.1789212</v>
      </c>
      <c r="R3786">
        <v>-0.26164660000000001</v>
      </c>
      <c r="S3786">
        <v>-2.9642330000000001</v>
      </c>
      <c r="T3786">
        <v>1.6988159999999999E-2</v>
      </c>
      <c r="U3786">
        <v>-0.70654300000000003</v>
      </c>
      <c r="V3786">
        <v>-0.1131098</v>
      </c>
      <c r="W3786">
        <v>0.19054940000000001</v>
      </c>
      <c r="X3786">
        <v>0.9751396</v>
      </c>
      <c r="Y3786">
        <v>-7.8626570000000007E-2</v>
      </c>
      <c r="Z3786">
        <v>-3.1051410000000001E-3</v>
      </c>
      <c r="AA3786">
        <v>0.99689930000000004</v>
      </c>
      <c r="AB3786">
        <v>27</v>
      </c>
      <c r="AC3786">
        <v>-60.611800000000002</v>
      </c>
      <c r="AD3786">
        <v>0.34876999999999903</v>
      </c>
      <c r="AE3786">
        <v>-14.465400000000001</v>
      </c>
      <c r="AF3786">
        <v>-4.9153914873212496</v>
      </c>
      <c r="AG3786">
        <v>0.34876999999999903</v>
      </c>
      <c r="AH3786">
        <v>62.117902035819498</v>
      </c>
      <c r="AI3786">
        <v>89.6793103102749</v>
      </c>
      <c r="AJ3786">
        <v>94.524389253469195</v>
      </c>
      <c r="AK3786">
        <v>62.313052142534303</v>
      </c>
      <c r="AL3786">
        <v>79.015152496606603</v>
      </c>
      <c r="AM3786">
        <v>96.616367219980901</v>
      </c>
      <c r="AN3786">
        <v>1.00000007009227</v>
      </c>
    </row>
    <row r="3787" spans="1:40" x14ac:dyDescent="0.25">
      <c r="A3787" t="str">
        <f>"20190304155448491"</f>
        <v>20190304155448491</v>
      </c>
      <c r="B3787" t="str">
        <f>"1551686088480997"</f>
        <v>1551686088480997</v>
      </c>
      <c r="C3787" t="s">
        <v>40</v>
      </c>
      <c r="D3787">
        <v>3.8222870000000002</v>
      </c>
      <c r="E3787">
        <v>0.52145799999999998</v>
      </c>
      <c r="F3787" t="s">
        <v>43</v>
      </c>
      <c r="G3787">
        <v>0</v>
      </c>
      <c r="H3787">
        <v>0</v>
      </c>
      <c r="I3787">
        <v>0</v>
      </c>
      <c r="J3787">
        <v>-400.55180000000001</v>
      </c>
      <c r="K3787">
        <v>1.1132820000000001</v>
      </c>
      <c r="L3787">
        <v>140.43940000000001</v>
      </c>
      <c r="M3787">
        <v>-0.98724719999999999</v>
      </c>
      <c r="N3787">
        <v>-1.2711739999999999E-2</v>
      </c>
      <c r="O3787">
        <v>-0.15868599999999999</v>
      </c>
      <c r="P3787">
        <v>-0.94732119999999997</v>
      </c>
      <c r="Q3787">
        <v>0.178976</v>
      </c>
      <c r="R3787">
        <v>-0.26561299999999999</v>
      </c>
      <c r="S3787">
        <v>-2.9759829999999998</v>
      </c>
      <c r="T3787">
        <v>7.6428529999999995E-2</v>
      </c>
      <c r="U3787">
        <v>-0.625946</v>
      </c>
      <c r="V3787">
        <v>-0.1132642</v>
      </c>
      <c r="W3787">
        <v>0.19058729999999999</v>
      </c>
      <c r="X3787">
        <v>0.97511420000000004</v>
      </c>
      <c r="Y3787">
        <v>-4.802377E-2</v>
      </c>
      <c r="Z3787">
        <v>-5.7097110000000001E-3</v>
      </c>
      <c r="AA3787">
        <v>0.99882990000000005</v>
      </c>
      <c r="AB3787">
        <v>27</v>
      </c>
      <c r="AC3787">
        <v>-2.9759829999999998</v>
      </c>
      <c r="AD3787">
        <v>7.6428529999999995E-2</v>
      </c>
      <c r="AE3787">
        <v>-0.625946</v>
      </c>
      <c r="AF3787">
        <v>-0.14563639595623401</v>
      </c>
      <c r="AG3787">
        <v>7.6428529999999995E-2</v>
      </c>
      <c r="AH3787">
        <v>3.0356880060374598</v>
      </c>
      <c r="AI3787">
        <v>88.559443581608804</v>
      </c>
      <c r="AJ3787">
        <v>92.746645214578805</v>
      </c>
      <c r="AK3787">
        <v>3.0401402845962102</v>
      </c>
      <c r="AL3787">
        <v>79.012939674249097</v>
      </c>
      <c r="AM3787">
        <v>96.625489664528899</v>
      </c>
      <c r="AN3787">
        <v>1.00000000048228</v>
      </c>
    </row>
    <row r="3788" spans="1:40" x14ac:dyDescent="0.25">
      <c r="A3788" t="str">
        <f>"20190304155448514"</f>
        <v>20190304155448514</v>
      </c>
      <c r="B3788" t="str">
        <f>"1551686088511252"</f>
        <v>1551686088511252</v>
      </c>
      <c r="C3788" t="s">
        <v>40</v>
      </c>
      <c r="D3788">
        <v>3.7588879999999998</v>
      </c>
      <c r="E3788">
        <v>0.51475379999999904</v>
      </c>
      <c r="F3788" t="s">
        <v>43</v>
      </c>
      <c r="G3788">
        <v>0</v>
      </c>
      <c r="H3788">
        <v>0</v>
      </c>
      <c r="I3788">
        <v>0</v>
      </c>
      <c r="J3788">
        <v>-400.81099999999998</v>
      </c>
      <c r="K3788">
        <v>1.1133649999999999</v>
      </c>
      <c r="L3788">
        <v>140.3931</v>
      </c>
      <c r="M3788">
        <v>-0.98658109999999999</v>
      </c>
      <c r="N3788">
        <v>-1.2717610000000001E-2</v>
      </c>
      <c r="O3788">
        <v>-0.162775799999999</v>
      </c>
      <c r="P3788">
        <v>-0.94582849999999996</v>
      </c>
      <c r="Q3788">
        <v>0.17967529999999901</v>
      </c>
      <c r="R3788">
        <v>-0.27041720000000002</v>
      </c>
      <c r="S3788">
        <v>-2.9748230000000002</v>
      </c>
      <c r="T3788">
        <v>7.9442739999999998E-2</v>
      </c>
      <c r="U3788">
        <v>-0.63131709999999996</v>
      </c>
      <c r="V3788">
        <v>-0.1142384</v>
      </c>
      <c r="W3788">
        <v>0.1912604</v>
      </c>
      <c r="X3788">
        <v>0.97486870000000003</v>
      </c>
      <c r="Y3788">
        <v>-4.5697599999999998E-2</v>
      </c>
      <c r="Z3788">
        <v>-6.018921E-3</v>
      </c>
      <c r="AA3788">
        <v>0.99893719999999997</v>
      </c>
      <c r="AB3788">
        <v>27</v>
      </c>
      <c r="AC3788">
        <v>-2.9748230000000002</v>
      </c>
      <c r="AD3788">
        <v>7.9442739999999998E-2</v>
      </c>
      <c r="AE3788">
        <v>-0.63131709999999996</v>
      </c>
      <c r="AF3788">
        <v>-0.13853300050997</v>
      </c>
      <c r="AG3788">
        <v>7.9442739999999998E-2</v>
      </c>
      <c r="AH3788">
        <v>3.0358412970489099</v>
      </c>
      <c r="AI3788">
        <v>88.5025677398026</v>
      </c>
      <c r="AJ3788">
        <v>92.612736624376296</v>
      </c>
      <c r="AK3788">
        <v>3.0400386382473199</v>
      </c>
      <c r="AL3788">
        <v>78.973650797390903</v>
      </c>
      <c r="AM3788">
        <v>96.683630706696803</v>
      </c>
      <c r="AN3788">
        <v>0.99999996744120401</v>
      </c>
    </row>
    <row r="3789" spans="1:40" x14ac:dyDescent="0.25">
      <c r="A3789" t="str">
        <f>"20190304155448536"</f>
        <v>20190304155448536</v>
      </c>
      <c r="B3789" t="str">
        <f>"1551686088530772"</f>
        <v>1551686088530772</v>
      </c>
      <c r="C3789" t="s">
        <v>40</v>
      </c>
      <c r="D3789">
        <v>3.9411580000000002</v>
      </c>
      <c r="E3789">
        <v>0.5146347</v>
      </c>
      <c r="F3789" t="s">
        <v>43</v>
      </c>
      <c r="G3789">
        <v>0</v>
      </c>
      <c r="H3789">
        <v>0</v>
      </c>
      <c r="I3789">
        <v>0</v>
      </c>
      <c r="J3789">
        <v>-401.07859999999999</v>
      </c>
      <c r="K3789">
        <v>1.113461</v>
      </c>
      <c r="L3789">
        <v>140.3441</v>
      </c>
      <c r="M3789">
        <v>-0.98585279999999997</v>
      </c>
      <c r="N3789">
        <v>-1.2724549999999999E-2</v>
      </c>
      <c r="O3789">
        <v>-0.16712969999999999</v>
      </c>
      <c r="P3789">
        <v>-0.94424470000000005</v>
      </c>
      <c r="Q3789">
        <v>0.17955969999999999</v>
      </c>
      <c r="R3789">
        <v>-0.27597189999999999</v>
      </c>
      <c r="S3789">
        <v>-2.964874</v>
      </c>
      <c r="T3789">
        <v>3.8711910000000002E-2</v>
      </c>
      <c r="U3789">
        <v>-0.69804379999999999</v>
      </c>
      <c r="V3789">
        <v>-0.1157069</v>
      </c>
      <c r="W3789">
        <v>0.19111300000000001</v>
      </c>
      <c r="X3789">
        <v>0.97472449999999999</v>
      </c>
      <c r="Y3789">
        <v>-6.3305879999999995E-2</v>
      </c>
      <c r="Z3789">
        <v>-4.2510949999999999E-3</v>
      </c>
      <c r="AA3789">
        <v>0.99798509999999996</v>
      </c>
      <c r="AB3789">
        <v>27</v>
      </c>
      <c r="AC3789">
        <v>-2.964874</v>
      </c>
      <c r="AD3789">
        <v>3.8711910000000002E-2</v>
      </c>
      <c r="AE3789">
        <v>-0.69804379999999999</v>
      </c>
      <c r="AF3789">
        <v>-0.19263441565480899</v>
      </c>
      <c r="AG3789">
        <v>3.8711910000000002E-2</v>
      </c>
      <c r="AH3789">
        <v>3.0393483621647399</v>
      </c>
      <c r="AI3789">
        <v>89.271729331833598</v>
      </c>
      <c r="AJ3789">
        <v>93.626565405820998</v>
      </c>
      <c r="AK3789">
        <v>3.0456928762867701</v>
      </c>
      <c r="AL3789">
        <v>78.982255922049703</v>
      </c>
      <c r="AM3789">
        <v>96.769746653850206</v>
      </c>
      <c r="AN3789">
        <v>1.0000000581884201</v>
      </c>
    </row>
    <row r="3790" spans="1:40" x14ac:dyDescent="0.25">
      <c r="A3790" t="str">
        <f>"20190304155448561"</f>
        <v>20190304155448561</v>
      </c>
      <c r="B3790" t="str">
        <f>"1551686088551268"</f>
        <v>1551686088551268</v>
      </c>
      <c r="C3790" t="s">
        <v>40</v>
      </c>
      <c r="D3790">
        <v>3.830975</v>
      </c>
      <c r="E3790">
        <v>0.4581462</v>
      </c>
      <c r="F3790" t="s">
        <v>44</v>
      </c>
      <c r="G3790">
        <v>-460.84300000000002</v>
      </c>
      <c r="H3790">
        <v>1.8452850000000001</v>
      </c>
      <c r="I3790">
        <v>125.8909</v>
      </c>
      <c r="J3790">
        <v>-401.3605</v>
      </c>
      <c r="K3790">
        <v>1.1135630000000001</v>
      </c>
      <c r="L3790">
        <v>140.2911</v>
      </c>
      <c r="M3790">
        <v>-0.98503909999999995</v>
      </c>
      <c r="N3790">
        <v>-1.27327E-2</v>
      </c>
      <c r="O3790">
        <v>-0.17185989999999901</v>
      </c>
      <c r="P3790">
        <v>-0.94251660000000004</v>
      </c>
      <c r="Q3790">
        <v>0.17955679999999999</v>
      </c>
      <c r="R3790">
        <v>-0.28181850000000003</v>
      </c>
      <c r="S3790">
        <v>-2.9609990000000002</v>
      </c>
      <c r="T3790">
        <v>3.625929E-2</v>
      </c>
      <c r="U3790">
        <v>-0.71607969999999999</v>
      </c>
      <c r="V3790">
        <v>-0.117122</v>
      </c>
      <c r="W3790">
        <v>0.19107499999999999</v>
      </c>
      <c r="X3790">
        <v>0.97456290000000001</v>
      </c>
      <c r="Y3790">
        <v>-6.4556139999999998E-2</v>
      </c>
      <c r="Z3790">
        <v>-4.2601160000000004E-3</v>
      </c>
      <c r="AA3790">
        <v>0.99790500000000004</v>
      </c>
      <c r="AB3790">
        <v>27</v>
      </c>
      <c r="AC3790">
        <v>-59.482500000000002</v>
      </c>
      <c r="AD3790">
        <v>0.73172199999999998</v>
      </c>
      <c r="AE3790">
        <v>-14.4001999999999</v>
      </c>
      <c r="AF3790">
        <v>-3.9618584649124502</v>
      </c>
      <c r="AG3790">
        <v>0.73172199999999998</v>
      </c>
      <c r="AH3790">
        <v>61.063627792576497</v>
      </c>
      <c r="AI3790">
        <v>89.314901089130501</v>
      </c>
      <c r="AJ3790">
        <v>93.712194345824599</v>
      </c>
      <c r="AK3790">
        <v>61.196391877067398</v>
      </c>
      <c r="AL3790">
        <v>78.984473748612402</v>
      </c>
      <c r="AM3790">
        <v>96.852883857590101</v>
      </c>
      <c r="AN3790">
        <v>1.0000000322827001</v>
      </c>
    </row>
    <row r="3791" spans="1:40" x14ac:dyDescent="0.25">
      <c r="A3791" t="str">
        <f>"20190304155448603"</f>
        <v>20190304155448603</v>
      </c>
      <c r="B3791" t="str">
        <f>"1551686088601043"</f>
        <v>1551686088601043</v>
      </c>
      <c r="C3791" t="s">
        <v>40</v>
      </c>
      <c r="D3791">
        <v>3.6210230000000001</v>
      </c>
      <c r="E3791">
        <v>0.42057230000000001</v>
      </c>
      <c r="F3791" t="s">
        <v>77</v>
      </c>
      <c r="G3791">
        <v>-450.97300000000001</v>
      </c>
      <c r="H3791">
        <v>1.712178</v>
      </c>
      <c r="I3791">
        <v>119.8177</v>
      </c>
      <c r="J3791">
        <v>-401.86099999999999</v>
      </c>
      <c r="K3791">
        <v>1.113769</v>
      </c>
      <c r="L3791">
        <v>140.1927</v>
      </c>
      <c r="M3791">
        <v>-0.9834579</v>
      </c>
      <c r="N3791">
        <v>-1.274846E-2</v>
      </c>
      <c r="O3791">
        <v>-0.1806885</v>
      </c>
      <c r="P3791">
        <v>-0.93930449999999999</v>
      </c>
      <c r="Q3791">
        <v>0.17873169999999999</v>
      </c>
      <c r="R3791">
        <v>-0.29285229999999901</v>
      </c>
      <c r="S3791">
        <v>-2.8275760000000001</v>
      </c>
      <c r="T3791">
        <v>3.4118530000000001E-2</v>
      </c>
      <c r="U3791">
        <v>-1.1668400000000001</v>
      </c>
      <c r="V3791">
        <v>-0.1198728</v>
      </c>
      <c r="W3791">
        <v>0.19018470000000001</v>
      </c>
      <c r="X3791">
        <v>0.97440249999999995</v>
      </c>
      <c r="Y3791">
        <v>-0.20819099999999999</v>
      </c>
      <c r="Z3791">
        <v>-4.4839099999999998E-3</v>
      </c>
      <c r="AA3791">
        <v>0.97807789999999994</v>
      </c>
      <c r="AB3791">
        <v>27</v>
      </c>
      <c r="AC3791">
        <v>-49.112000000000002</v>
      </c>
      <c r="AD3791">
        <v>0.59840899999999997</v>
      </c>
      <c r="AE3791">
        <v>-20.375</v>
      </c>
      <c r="AF3791">
        <v>-11.1634727469316</v>
      </c>
      <c r="AG3791">
        <v>0.59840899999999997</v>
      </c>
      <c r="AH3791">
        <v>51.978745604475201</v>
      </c>
      <c r="AI3791">
        <v>89.355111564555003</v>
      </c>
      <c r="AJ3791">
        <v>102.121281208626</v>
      </c>
      <c r="AK3791">
        <v>53.167388611041602</v>
      </c>
      <c r="AL3791">
        <v>79.036436395972402</v>
      </c>
      <c r="AM3791">
        <v>97.013393459034205</v>
      </c>
      <c r="AN3791">
        <v>0.99999997015008901</v>
      </c>
    </row>
    <row r="3792" spans="1:40" x14ac:dyDescent="0.25">
      <c r="A3792" t="str">
        <f>"20190304155448626"</f>
        <v>20190304155448626</v>
      </c>
      <c r="B3792" t="str">
        <f>"1551686088621541"</f>
        <v>1551686088621541</v>
      </c>
      <c r="C3792" t="s">
        <v>40</v>
      </c>
      <c r="D3792">
        <v>3.513271</v>
      </c>
      <c r="E3792">
        <v>0.41477649999999999</v>
      </c>
      <c r="F3792" t="s">
        <v>77</v>
      </c>
      <c r="G3792">
        <v>-440.20710000000003</v>
      </c>
      <c r="H3792">
        <v>1.356439</v>
      </c>
      <c r="I3792">
        <v>119.2868</v>
      </c>
      <c r="J3792">
        <v>-402.12290000000002</v>
      </c>
      <c r="K3792">
        <v>1.1138589999999999</v>
      </c>
      <c r="L3792">
        <v>140.13919999999999</v>
      </c>
      <c r="M3792">
        <v>-0.98256100000000002</v>
      </c>
      <c r="N3792">
        <v>-1.2756979999999999E-2</v>
      </c>
      <c r="O3792">
        <v>-0.1855029</v>
      </c>
      <c r="P3792">
        <v>-0.93753450000000005</v>
      </c>
      <c r="Q3792">
        <v>0.17868039999999999</v>
      </c>
      <c r="R3792">
        <v>-0.29850019999999999</v>
      </c>
      <c r="S3792">
        <v>-2.7270810000000001</v>
      </c>
      <c r="T3792">
        <v>1.7260069999999999E-2</v>
      </c>
      <c r="U3792">
        <v>-1.4867709999999901</v>
      </c>
      <c r="V3792">
        <v>-0.1210083</v>
      </c>
      <c r="W3792">
        <v>0.19010369999999999</v>
      </c>
      <c r="X3792">
        <v>0.97427799999999998</v>
      </c>
      <c r="Y3792">
        <v>-0.3075097</v>
      </c>
      <c r="Z3792">
        <v>-4.5122259999999898E-3</v>
      </c>
      <c r="AA3792">
        <v>0.95153430000000006</v>
      </c>
      <c r="AB3792">
        <v>27</v>
      </c>
      <c r="AC3792">
        <v>-38.084200000000003</v>
      </c>
      <c r="AD3792">
        <v>0.24257999999999999</v>
      </c>
      <c r="AE3792">
        <v>-20.8523999999999</v>
      </c>
      <c r="AF3792">
        <v>-13.4246976238642</v>
      </c>
      <c r="AG3792">
        <v>0.24257999999999999</v>
      </c>
      <c r="AH3792">
        <v>41.290297704244097</v>
      </c>
      <c r="AI3792">
        <v>89.679886035907998</v>
      </c>
      <c r="AJ3792">
        <v>108.0108770482</v>
      </c>
      <c r="AK3792">
        <v>43.418544838049201</v>
      </c>
      <c r="AL3792">
        <v>79.041164186747295</v>
      </c>
      <c r="AM3792">
        <v>97.080052616003798</v>
      </c>
      <c r="AN3792">
        <v>1.00000002335328</v>
      </c>
    </row>
    <row r="3793" spans="1:40" x14ac:dyDescent="0.25">
      <c r="A3793" t="str">
        <f>"20190304155448647"</f>
        <v>20190304155448647</v>
      </c>
      <c r="B3793" t="str">
        <f>"1551686088641060"</f>
        <v>1551686088641060</v>
      </c>
      <c r="C3793" t="s">
        <v>40</v>
      </c>
      <c r="D3793">
        <v>3.5171869999999998</v>
      </c>
      <c r="E3793">
        <v>0.41081329999999999</v>
      </c>
      <c r="F3793" t="s">
        <v>77</v>
      </c>
      <c r="G3793">
        <v>-440.20710000000003</v>
      </c>
      <c r="H3793">
        <v>1.3895150000000001</v>
      </c>
      <c r="I3793">
        <v>118.3314</v>
      </c>
      <c r="J3793">
        <v>-402.37869999999998</v>
      </c>
      <c r="K3793">
        <v>1.1139300000000001</v>
      </c>
      <c r="L3793">
        <v>140.08539999999999</v>
      </c>
      <c r="M3793">
        <v>-0.98164280000000004</v>
      </c>
      <c r="N3793">
        <v>-1.2764259999999999E-2</v>
      </c>
      <c r="O3793">
        <v>-0.190301</v>
      </c>
      <c r="P3793">
        <v>-0.93555080000000002</v>
      </c>
      <c r="Q3793">
        <v>0.178643</v>
      </c>
      <c r="R3793">
        <v>-0.30468220000000001</v>
      </c>
      <c r="S3793">
        <v>-2.7032780000000001</v>
      </c>
      <c r="T3793">
        <v>1.9568439999999999E-2</v>
      </c>
      <c r="U3793">
        <v>-1.5479430000000001</v>
      </c>
      <c r="V3793">
        <v>-0.1227148</v>
      </c>
      <c r="W3793">
        <v>0.19003539999999999</v>
      </c>
      <c r="X3793">
        <v>0.97407779999999999</v>
      </c>
      <c r="Y3793">
        <v>-0.32271179999999999</v>
      </c>
      <c r="Z3793">
        <v>-4.6796759999999998E-3</v>
      </c>
      <c r="AA3793">
        <v>0.94648569999999999</v>
      </c>
      <c r="AB3793">
        <v>27</v>
      </c>
      <c r="AC3793">
        <v>-37.828400000000002</v>
      </c>
      <c r="AD3793">
        <v>0.27558500000000002</v>
      </c>
      <c r="AE3793">
        <v>-21.753999999999898</v>
      </c>
      <c r="AF3793">
        <v>-14.156463952328</v>
      </c>
      <c r="AG3793">
        <v>0.27558500000000002</v>
      </c>
      <c r="AH3793">
        <v>41.275501278950003</v>
      </c>
      <c r="AI3793">
        <v>89.638148234494196</v>
      </c>
      <c r="AJ3793">
        <v>108.930685256579</v>
      </c>
      <c r="AK3793">
        <v>43.636549182473097</v>
      </c>
      <c r="AL3793">
        <v>79.045149535255604</v>
      </c>
      <c r="AM3793">
        <v>97.180323404800404</v>
      </c>
      <c r="AN3793">
        <v>0.999999967922519</v>
      </c>
    </row>
    <row r="3794" spans="1:40" x14ac:dyDescent="0.25">
      <c r="A3794" t="str">
        <f>"20190304155448670"</f>
        <v>20190304155448670</v>
      </c>
      <c r="B3794" t="str">
        <f>"1551686088661556"</f>
        <v>1551686088661556</v>
      </c>
      <c r="C3794" t="s">
        <v>40</v>
      </c>
      <c r="D3794">
        <v>3.4886349999999999</v>
      </c>
      <c r="E3794">
        <v>0.40795629999999999</v>
      </c>
      <c r="F3794" t="s">
        <v>77</v>
      </c>
      <c r="G3794">
        <v>-440.20710000000003</v>
      </c>
      <c r="H3794">
        <v>1.417403</v>
      </c>
      <c r="I3794">
        <v>117.5775</v>
      </c>
      <c r="J3794">
        <v>-402.63659999999999</v>
      </c>
      <c r="K3794">
        <v>1.1140030000000001</v>
      </c>
      <c r="L3794">
        <v>140.02979999999999</v>
      </c>
      <c r="M3794">
        <v>-0.98066900000000001</v>
      </c>
      <c r="N3794">
        <v>-1.2771040000000001E-2</v>
      </c>
      <c r="O3794">
        <v>-0.19525790000000001</v>
      </c>
      <c r="P3794">
        <v>-0.93337740000000002</v>
      </c>
      <c r="Q3794">
        <v>0.17908479999999999</v>
      </c>
      <c r="R3794">
        <v>-0.31102299999999999</v>
      </c>
      <c r="S3794">
        <v>-2.682709</v>
      </c>
      <c r="T3794">
        <v>2.1523589999999999E-2</v>
      </c>
      <c r="U3794">
        <v>-1.5962069999999999</v>
      </c>
      <c r="V3794">
        <v>-0.1244603</v>
      </c>
      <c r="W3794">
        <v>0.19044359999999999</v>
      </c>
      <c r="X3794">
        <v>0.97377659999999999</v>
      </c>
      <c r="Y3794">
        <v>-0.33370949999999999</v>
      </c>
      <c r="Z3794">
        <v>-4.8299830000000004E-3</v>
      </c>
      <c r="AA3794">
        <v>0.94266360000000005</v>
      </c>
      <c r="AB3794">
        <v>27</v>
      </c>
      <c r="AC3794">
        <v>-37.570500000000003</v>
      </c>
      <c r="AD3794">
        <v>0.303399999999999</v>
      </c>
      <c r="AE3794">
        <v>-22.452299999999902</v>
      </c>
      <c r="AF3794">
        <v>-14.682826407603001</v>
      </c>
      <c r="AG3794">
        <v>0.303399999999999</v>
      </c>
      <c r="AH3794">
        <v>41.229586032038299</v>
      </c>
      <c r="AI3794">
        <v>89.602813720837304</v>
      </c>
      <c r="AJ3794">
        <v>109.602011741016</v>
      </c>
      <c r="AK3794">
        <v>43.767067610808198</v>
      </c>
      <c r="AL3794">
        <v>79.021326674961003</v>
      </c>
      <c r="AM3794">
        <v>97.283596073689793</v>
      </c>
      <c r="AN3794">
        <v>0.99999999888230495</v>
      </c>
    </row>
    <row r="3795" spans="1:40" x14ac:dyDescent="0.25">
      <c r="A3795" t="str">
        <f>"20190304155448692"</f>
        <v>20190304155448692</v>
      </c>
      <c r="B3795" t="str">
        <f>"1551686088681076"</f>
        <v>1551686088681076</v>
      </c>
      <c r="C3795" t="s">
        <v>40</v>
      </c>
      <c r="D3795">
        <v>3.4696609999999999</v>
      </c>
      <c r="E3795">
        <v>0.40601670000000001</v>
      </c>
      <c r="F3795" t="s">
        <v>77</v>
      </c>
      <c r="G3795">
        <v>-440.75</v>
      </c>
      <c r="H3795">
        <v>1.4674370000000001</v>
      </c>
      <c r="I3795">
        <v>116.62179999999999</v>
      </c>
      <c r="J3795">
        <v>-402.89319999999998</v>
      </c>
      <c r="K3795">
        <v>1.114088</v>
      </c>
      <c r="L3795">
        <v>139.97299999999899</v>
      </c>
      <c r="M3795">
        <v>-0.97964759999999995</v>
      </c>
      <c r="N3795">
        <v>-1.2778980000000001E-2</v>
      </c>
      <c r="O3795">
        <v>-0.20031860000000001</v>
      </c>
      <c r="P3795">
        <v>-0.93138209999999999</v>
      </c>
      <c r="Q3795">
        <v>0.17928329999999901</v>
      </c>
      <c r="R3795">
        <v>-0.31683620000000001</v>
      </c>
      <c r="S3795">
        <v>-2.6641849999999998</v>
      </c>
      <c r="T3795">
        <v>2.4707320000000001E-2</v>
      </c>
      <c r="U3795">
        <v>-1.6362460000000001</v>
      </c>
      <c r="V3795">
        <v>-0.1255522</v>
      </c>
      <c r="W3795">
        <v>0.19061400000000001</v>
      </c>
      <c r="X3795">
        <v>0.97360310000000005</v>
      </c>
      <c r="Y3795">
        <v>-0.34206419999999998</v>
      </c>
      <c r="Z3795">
        <v>-4.9855020000000002E-3</v>
      </c>
      <c r="AA3795">
        <v>0.93966340000000004</v>
      </c>
      <c r="AB3795">
        <v>27</v>
      </c>
      <c r="AC3795">
        <v>-37.8568</v>
      </c>
      <c r="AD3795">
        <v>0.35334900000000002</v>
      </c>
      <c r="AE3795">
        <v>-23.351199999999899</v>
      </c>
      <c r="AF3795">
        <v>-15.2928075356298</v>
      </c>
      <c r="AG3795">
        <v>0.35334900000000002</v>
      </c>
      <c r="AH3795">
        <v>41.764772212512398</v>
      </c>
      <c r="AI3795">
        <v>89.544817058515505</v>
      </c>
      <c r="AJ3795">
        <v>110.11097410903599</v>
      </c>
      <c r="AK3795">
        <v>44.477983495215497</v>
      </c>
      <c r="AL3795">
        <v>79.011381571479305</v>
      </c>
      <c r="AM3795">
        <v>97.348095420884505</v>
      </c>
      <c r="AN3795">
        <v>1.00000002412522</v>
      </c>
    </row>
    <row r="3796" spans="1:40" x14ac:dyDescent="0.25">
      <c r="A3796" t="str">
        <f>"20190304155448714"</f>
        <v>20190304155448714</v>
      </c>
      <c r="B3796" t="str">
        <f>"1551686088711332"</f>
        <v>1551686088711332</v>
      </c>
      <c r="C3796" t="s">
        <v>40</v>
      </c>
      <c r="D3796">
        <v>3.5118010000000002</v>
      </c>
      <c r="E3796">
        <v>0.40413830000000001</v>
      </c>
      <c r="F3796" t="s">
        <v>77</v>
      </c>
      <c r="G3796">
        <v>-440.75</v>
      </c>
      <c r="H3796">
        <v>1.4782580000000001</v>
      </c>
      <c r="I3796">
        <v>116.14060000000001</v>
      </c>
      <c r="J3796">
        <v>-403.14789999999999</v>
      </c>
      <c r="K3796">
        <v>1.114179</v>
      </c>
      <c r="L3796">
        <v>139.9151</v>
      </c>
      <c r="M3796">
        <v>-0.97858089999999998</v>
      </c>
      <c r="N3796">
        <v>-1.2788249999999999E-2</v>
      </c>
      <c r="O3796">
        <v>-0.20546529999999999</v>
      </c>
      <c r="P3796">
        <v>-0.92941119999999999</v>
      </c>
      <c r="Q3796">
        <v>0.17917849999999999</v>
      </c>
      <c r="R3796">
        <v>-0.32263039999999998</v>
      </c>
      <c r="S3796">
        <v>-2.6488339999999999</v>
      </c>
      <c r="T3796">
        <v>2.5482890000000001E-2</v>
      </c>
      <c r="U3796">
        <v>-1.6675420000000001</v>
      </c>
      <c r="V3796">
        <v>-0.12653689999999901</v>
      </c>
      <c r="W3796">
        <v>0.1904806</v>
      </c>
      <c r="X3796">
        <v>0.97350170000000003</v>
      </c>
      <c r="Y3796">
        <v>-0.34753859999999998</v>
      </c>
      <c r="Z3796">
        <v>-5.1160670000000002E-3</v>
      </c>
      <c r="AA3796">
        <v>0.93765169999999998</v>
      </c>
      <c r="AB3796">
        <v>27</v>
      </c>
      <c r="AC3796">
        <v>-37.6021</v>
      </c>
      <c r="AD3796">
        <v>0.36407899999999999</v>
      </c>
      <c r="AE3796">
        <v>-23.7744999999999</v>
      </c>
      <c r="AF3796">
        <v>-15.539574058446901</v>
      </c>
      <c r="AG3796">
        <v>0.36407899999999999</v>
      </c>
      <c r="AH3796">
        <v>41.682146445889202</v>
      </c>
      <c r="AI3796">
        <v>89.531079877980901</v>
      </c>
      <c r="AJ3796">
        <v>110.446022209346</v>
      </c>
      <c r="AK3796">
        <v>44.486090497735901</v>
      </c>
      <c r="AL3796">
        <v>79.019167246421006</v>
      </c>
      <c r="AM3796">
        <v>97.405851757376496</v>
      </c>
      <c r="AN3796">
        <v>1.0000000029704299</v>
      </c>
    </row>
    <row r="3797" spans="1:40" x14ac:dyDescent="0.25">
      <c r="A3797" t="str">
        <f>"20190304155448737"</f>
        <v>20190304155448737</v>
      </c>
      <c r="B3797" t="str">
        <f>"1551686088730852"</f>
        <v>1551686088730852</v>
      </c>
      <c r="C3797" t="s">
        <v>40</v>
      </c>
      <c r="D3797">
        <v>3.503628</v>
      </c>
      <c r="E3797">
        <v>0.40316150000000001</v>
      </c>
      <c r="F3797" t="s">
        <v>77</v>
      </c>
      <c r="G3797">
        <v>-440.75</v>
      </c>
      <c r="H3797">
        <v>1.4644360000000001</v>
      </c>
      <c r="I3797">
        <v>115.65900000000001</v>
      </c>
      <c r="J3797">
        <v>-403.4203</v>
      </c>
      <c r="K3797">
        <v>1.11429</v>
      </c>
      <c r="L3797">
        <v>139.85149999999999</v>
      </c>
      <c r="M3797">
        <v>-0.97737890000000005</v>
      </c>
      <c r="N3797">
        <v>-1.2799E-2</v>
      </c>
      <c r="O3797">
        <v>-0.21110880000000001</v>
      </c>
      <c r="P3797">
        <v>-0.92706350000000004</v>
      </c>
      <c r="Q3797">
        <v>0.17947099999999999</v>
      </c>
      <c r="R3797">
        <v>-0.32915620000000001</v>
      </c>
      <c r="S3797">
        <v>-2.6334230000000001</v>
      </c>
      <c r="T3797">
        <v>2.4531600000000001E-2</v>
      </c>
      <c r="U3797">
        <v>-1.6987460000000001</v>
      </c>
      <c r="V3797">
        <v>-0.1278311</v>
      </c>
      <c r="W3797">
        <v>0.19073519999999999</v>
      </c>
      <c r="X3797">
        <v>0.9732828</v>
      </c>
      <c r="Y3797">
        <v>-0.35248079999999998</v>
      </c>
      <c r="Z3797">
        <v>-5.239362E-3</v>
      </c>
      <c r="AA3797">
        <v>0.93580439999999998</v>
      </c>
      <c r="AB3797">
        <v>27</v>
      </c>
      <c r="AC3797">
        <v>-37.329700000000003</v>
      </c>
      <c r="AD3797">
        <v>0.35014600000000001</v>
      </c>
      <c r="AE3797">
        <v>-24.1924999999999</v>
      </c>
      <c r="AF3797">
        <v>-15.764923488969201</v>
      </c>
      <c r="AG3797">
        <v>0.35014600000000001</v>
      </c>
      <c r="AH3797">
        <v>41.593335572794999</v>
      </c>
      <c r="AI3797">
        <v>89.548985408852602</v>
      </c>
      <c r="AJ3797">
        <v>110.757972064133</v>
      </c>
      <c r="AK3797">
        <v>44.482142247260299</v>
      </c>
      <c r="AL3797">
        <v>79.004307911885604</v>
      </c>
      <c r="AM3797">
        <v>97.482407472443498</v>
      </c>
      <c r="AN3797">
        <v>1.0000000577110399</v>
      </c>
    </row>
    <row r="3798" spans="1:40" x14ac:dyDescent="0.25">
      <c r="A3798" t="str">
        <f>"20190304155448764"</f>
        <v>20190304155448764</v>
      </c>
      <c r="B3798" t="str">
        <f>"1551686088761107"</f>
        <v>1551686088761107</v>
      </c>
      <c r="C3798" t="s">
        <v>40</v>
      </c>
      <c r="D3798">
        <v>3.4865620000000002</v>
      </c>
      <c r="E3798">
        <v>0.4020357</v>
      </c>
      <c r="F3798" t="s">
        <v>77</v>
      </c>
      <c r="G3798">
        <v>-440.75</v>
      </c>
      <c r="H3798">
        <v>1.469401</v>
      </c>
      <c r="I3798">
        <v>115.2697</v>
      </c>
      <c r="J3798">
        <v>-403.70920000000001</v>
      </c>
      <c r="K3798">
        <v>1.1144099999999999</v>
      </c>
      <c r="L3798">
        <v>139.78200000000001</v>
      </c>
      <c r="M3798">
        <v>-0.97602599999999995</v>
      </c>
      <c r="N3798">
        <v>-1.2811019999999999E-2</v>
      </c>
      <c r="O3798">
        <v>-0.217277</v>
      </c>
      <c r="P3798">
        <v>-0.92455489999999996</v>
      </c>
      <c r="Q3798">
        <v>0.1790872</v>
      </c>
      <c r="R3798">
        <v>-0.33634199999999997</v>
      </c>
      <c r="S3798">
        <v>-2.6188959999999999</v>
      </c>
      <c r="T3798">
        <v>2.491486E-2</v>
      </c>
      <c r="U3798">
        <v>-1.724548</v>
      </c>
      <c r="V3798">
        <v>-0.12928010000000001</v>
      </c>
      <c r="W3798">
        <v>0.1903097</v>
      </c>
      <c r="X3798">
        <v>0.9731746</v>
      </c>
      <c r="Y3798">
        <v>-0.35539150000000003</v>
      </c>
      <c r="Z3798">
        <v>-5.3823969999999997E-3</v>
      </c>
      <c r="AA3798">
        <v>0.93470200000000003</v>
      </c>
      <c r="AB3798">
        <v>27</v>
      </c>
      <c r="AC3798">
        <v>-37.040799999999898</v>
      </c>
      <c r="AD3798">
        <v>0.354990999999999</v>
      </c>
      <c r="AE3798">
        <v>-24.5123</v>
      </c>
      <c r="AF3798">
        <v>-15.8768157351816</v>
      </c>
      <c r="AG3798">
        <v>0.354990999999999</v>
      </c>
      <c r="AH3798">
        <v>41.479494029790601</v>
      </c>
      <c r="AI3798">
        <v>89.542059742825003</v>
      </c>
      <c r="AJ3798">
        <v>110.944997100639</v>
      </c>
      <c r="AK3798">
        <v>44.415624744749699</v>
      </c>
      <c r="AL3798">
        <v>79.029141118279597</v>
      </c>
      <c r="AM3798">
        <v>97.567076858648804</v>
      </c>
      <c r="AN3798">
        <v>0.99999996412762904</v>
      </c>
    </row>
    <row r="3799" spans="1:40" x14ac:dyDescent="0.25">
      <c r="A3799" t="str">
        <f>"20190304155448785"</f>
        <v>20190304155448785</v>
      </c>
      <c r="B3799" t="str">
        <f>"1551686088781604"</f>
        <v>1551686088781604</v>
      </c>
      <c r="C3799" t="s">
        <v>40</v>
      </c>
      <c r="D3799">
        <v>3.496861</v>
      </c>
      <c r="E3799">
        <v>0.40147949999999999</v>
      </c>
      <c r="F3799" t="s">
        <v>77</v>
      </c>
      <c r="G3799">
        <v>-440.75</v>
      </c>
      <c r="H3799">
        <v>1.4411780000000001</v>
      </c>
      <c r="I3799">
        <v>114.83369999999999</v>
      </c>
      <c r="J3799">
        <v>-403.96019999999999</v>
      </c>
      <c r="K3799">
        <v>1.11452</v>
      </c>
      <c r="L3799">
        <v>139.71979999999999</v>
      </c>
      <c r="M3799">
        <v>-0.97477849999999999</v>
      </c>
      <c r="N3799">
        <v>-1.2822490000000001E-2</v>
      </c>
      <c r="O3799">
        <v>-0.22280559999999999</v>
      </c>
      <c r="P3799">
        <v>-0.92226589999999997</v>
      </c>
      <c r="Q3799">
        <v>0.17836189999999999</v>
      </c>
      <c r="R3799">
        <v>-0.34294709999999901</v>
      </c>
      <c r="S3799">
        <v>-2.6026310000000001</v>
      </c>
      <c r="T3799">
        <v>2.2961849999999999E-2</v>
      </c>
      <c r="U3799">
        <v>-1.7529600000000001</v>
      </c>
      <c r="V3799">
        <v>-0.13074140000000001</v>
      </c>
      <c r="W3799">
        <v>0.1895461</v>
      </c>
      <c r="X3799">
        <v>0.9731284</v>
      </c>
      <c r="Y3799">
        <v>-0.3598211</v>
      </c>
      <c r="Z3799">
        <v>-5.4863669999999998E-3</v>
      </c>
      <c r="AA3799">
        <v>0.93300519999999998</v>
      </c>
      <c r="AB3799">
        <v>27</v>
      </c>
      <c r="AC3799">
        <v>-36.7898</v>
      </c>
      <c r="AD3799">
        <v>0.326657999999999</v>
      </c>
      <c r="AE3799">
        <v>-24.886099999999999</v>
      </c>
      <c r="AF3799">
        <v>-16.061914551079401</v>
      </c>
      <c r="AG3799">
        <v>0.326657999999999</v>
      </c>
      <c r="AH3799">
        <v>41.4078357876759</v>
      </c>
      <c r="AI3799">
        <v>89.578605123944897</v>
      </c>
      <c r="AJ3799">
        <v>111.201050628506</v>
      </c>
      <c r="AK3799">
        <v>44.415095059160699</v>
      </c>
      <c r="AL3799">
        <v>79.073703254923103</v>
      </c>
      <c r="AM3799">
        <v>97.651961460534906</v>
      </c>
      <c r="AN3799">
        <v>0.99999996029286398</v>
      </c>
    </row>
    <row r="3800" spans="1:40" x14ac:dyDescent="0.25">
      <c r="A3800" t="str">
        <f>"20190304155448804"</f>
        <v>20190304155448804</v>
      </c>
      <c r="B3800" t="str">
        <f>"1551686088801124"</f>
        <v>1551686088801124</v>
      </c>
      <c r="C3800" t="s">
        <v>40</v>
      </c>
      <c r="D3800">
        <v>3.4884369999999998</v>
      </c>
      <c r="E3800">
        <v>0.40098610000000001</v>
      </c>
      <c r="F3800" t="s">
        <v>77</v>
      </c>
      <c r="G3800">
        <v>-440.75</v>
      </c>
      <c r="H3800">
        <v>1.3932180000000001</v>
      </c>
      <c r="I3800">
        <v>114.494</v>
      </c>
      <c r="J3800">
        <v>-404.17899999999997</v>
      </c>
      <c r="K3800">
        <v>1.1146049999999901</v>
      </c>
      <c r="L3800">
        <v>139.6643</v>
      </c>
      <c r="M3800">
        <v>-0.97364019999999996</v>
      </c>
      <c r="N3800">
        <v>-1.283303E-2</v>
      </c>
      <c r="O3800">
        <v>-0.22772809999999999</v>
      </c>
      <c r="P3800">
        <v>-0.91984889999999997</v>
      </c>
      <c r="Q3800">
        <v>0.178096</v>
      </c>
      <c r="R3800">
        <v>-0.34951379999999999</v>
      </c>
      <c r="S3800">
        <v>-2.588959</v>
      </c>
      <c r="T3800">
        <v>1.9614099999999999E-2</v>
      </c>
      <c r="U3800">
        <v>-1.775177</v>
      </c>
      <c r="V3800">
        <v>-0.13279270000000001</v>
      </c>
      <c r="W3800">
        <v>0.18923899999999999</v>
      </c>
      <c r="X3800">
        <v>0.97291039999999995</v>
      </c>
      <c r="Y3800">
        <v>-0.36284830000000001</v>
      </c>
      <c r="Z3800">
        <v>-5.5497560000000003E-3</v>
      </c>
      <c r="AA3800">
        <v>0.93183170000000004</v>
      </c>
      <c r="AB3800">
        <v>27</v>
      </c>
      <c r="AC3800">
        <v>-36.570999999999898</v>
      </c>
      <c r="AD3800">
        <v>0.278613</v>
      </c>
      <c r="AE3800">
        <v>-25.170300000000001</v>
      </c>
      <c r="AF3800">
        <v>-16.179266631190501</v>
      </c>
      <c r="AG3800">
        <v>0.278613</v>
      </c>
      <c r="AH3800">
        <v>41.340756320251302</v>
      </c>
      <c r="AI3800">
        <v>89.6404212011266</v>
      </c>
      <c r="AJ3800">
        <v>111.373565603583</v>
      </c>
      <c r="AK3800">
        <v>44.394869377635501</v>
      </c>
      <c r="AL3800">
        <v>79.091623257325097</v>
      </c>
      <c r="AM3800">
        <v>97.772283050503006</v>
      </c>
      <c r="AN3800">
        <v>0.99999997336122404</v>
      </c>
    </row>
    <row r="3801" spans="1:40" x14ac:dyDescent="0.25">
      <c r="A3801" t="str">
        <f>"20190304155448828"</f>
        <v>20190304155448828</v>
      </c>
      <c r="B3801" t="str">
        <f>"1551686088821620"</f>
        <v>1551686088821620</v>
      </c>
      <c r="C3801" t="s">
        <v>40</v>
      </c>
      <c r="D3801">
        <v>3.5051860000000001</v>
      </c>
      <c r="E3801">
        <v>0.40060220000000002</v>
      </c>
      <c r="F3801" t="s">
        <v>77</v>
      </c>
      <c r="G3801">
        <v>-440.75</v>
      </c>
      <c r="H3801">
        <v>1.3690370000000001</v>
      </c>
      <c r="I3801">
        <v>114.1478</v>
      </c>
      <c r="J3801">
        <v>-404.45679999999999</v>
      </c>
      <c r="K3801">
        <v>1.1147089999999999</v>
      </c>
      <c r="L3801">
        <v>139.59180000000001</v>
      </c>
      <c r="M3801">
        <v>-0.97211780000000003</v>
      </c>
      <c r="N3801">
        <v>-1.2853949999999999E-2</v>
      </c>
      <c r="O3801">
        <v>-0.2341406</v>
      </c>
      <c r="P3801">
        <v>-0.91696390000000005</v>
      </c>
      <c r="Q3801">
        <v>0.1772879</v>
      </c>
      <c r="R3801">
        <v>-0.35741650000000003</v>
      </c>
      <c r="S3801">
        <v>-2.5751949999999999</v>
      </c>
      <c r="T3801">
        <v>1.7917869999999999E-2</v>
      </c>
      <c r="U3801">
        <v>-1.7967679999999999</v>
      </c>
      <c r="V3801">
        <v>-0.1347594</v>
      </c>
      <c r="W3801">
        <v>0.18839610000000001</v>
      </c>
      <c r="X3801">
        <v>0.97280359999999999</v>
      </c>
      <c r="Y3801">
        <v>-0.36429859999999997</v>
      </c>
      <c r="Z3801">
        <v>-5.6566250000000002E-3</v>
      </c>
      <c r="AA3801">
        <v>0.93126509999999996</v>
      </c>
      <c r="AB3801">
        <v>27</v>
      </c>
      <c r="AC3801">
        <v>-36.293199999999999</v>
      </c>
      <c r="AD3801">
        <v>0.254328</v>
      </c>
      <c r="AE3801">
        <v>-25.443999999999999</v>
      </c>
      <c r="AF3801">
        <v>-16.237660091409001</v>
      </c>
      <c r="AG3801">
        <v>0.254328</v>
      </c>
      <c r="AH3801">
        <v>41.240787309668299</v>
      </c>
      <c r="AI3801">
        <v>89.671231659984798</v>
      </c>
      <c r="AJ3801">
        <v>111.490957597471</v>
      </c>
      <c r="AK3801">
        <v>44.3230056054079</v>
      </c>
      <c r="AL3801">
        <v>79.140802960657794</v>
      </c>
      <c r="AM3801">
        <v>97.886809905653195</v>
      </c>
      <c r="AN3801">
        <v>1.00000001527826</v>
      </c>
    </row>
    <row r="3802" spans="1:40" x14ac:dyDescent="0.25">
      <c r="A3802" t="str">
        <f>"20190304155448848"</f>
        <v>20190304155448848</v>
      </c>
      <c r="B3802" t="str">
        <f>"1551686088841140"</f>
        <v>1551686088841140</v>
      </c>
      <c r="C3802" t="s">
        <v>40</v>
      </c>
      <c r="D3802">
        <v>3.4809640000000002</v>
      </c>
      <c r="E3802">
        <v>0.40030939999999998</v>
      </c>
      <c r="F3802" t="s">
        <v>77</v>
      </c>
      <c r="G3802">
        <v>-440.75</v>
      </c>
      <c r="H3802">
        <v>1.328665</v>
      </c>
      <c r="I3802">
        <v>113.7563</v>
      </c>
      <c r="J3802">
        <v>-404.69330000000002</v>
      </c>
      <c r="K3802">
        <v>1.1147959999999999</v>
      </c>
      <c r="L3802">
        <v>139.5284</v>
      </c>
      <c r="M3802">
        <v>-0.97075120000000004</v>
      </c>
      <c r="N3802">
        <v>-1.288016E-2</v>
      </c>
      <c r="O3802">
        <v>-0.23974200000000001</v>
      </c>
      <c r="P3802">
        <v>-0.9142363</v>
      </c>
      <c r="Q3802">
        <v>0.17621110000000001</v>
      </c>
      <c r="R3802">
        <v>-0.36485780000000001</v>
      </c>
      <c r="S3802">
        <v>-2.5587460000000002</v>
      </c>
      <c r="T3802">
        <v>1.5086169999999999E-2</v>
      </c>
      <c r="U3802">
        <v>-1.821442</v>
      </c>
      <c r="V3802">
        <v>-0.137043</v>
      </c>
      <c r="W3802">
        <v>0.18728890000000001</v>
      </c>
      <c r="X3802">
        <v>0.97269830000000002</v>
      </c>
      <c r="Y3802">
        <v>-0.36771359999999997</v>
      </c>
      <c r="Z3802">
        <v>-5.7336440000000004E-3</v>
      </c>
      <c r="AA3802">
        <v>0.92992140000000001</v>
      </c>
      <c r="AB3802">
        <v>27</v>
      </c>
      <c r="AC3802">
        <v>-36.0566999999999</v>
      </c>
      <c r="AD3802">
        <v>0.213869</v>
      </c>
      <c r="AE3802">
        <v>-25.772099999999998</v>
      </c>
      <c r="AF3802">
        <v>-16.374968563341</v>
      </c>
      <c r="AG3802">
        <v>0.213869</v>
      </c>
      <c r="AH3802">
        <v>41.183196587278601</v>
      </c>
      <c r="AI3802">
        <v>89.723512966459097</v>
      </c>
      <c r="AJ3802">
        <v>111.683404699184</v>
      </c>
      <c r="AK3802">
        <v>44.319758760015901</v>
      </c>
      <c r="AL3802">
        <v>79.205389843854604</v>
      </c>
      <c r="AM3802">
        <v>98.019590489883299</v>
      </c>
      <c r="AN3802">
        <v>0.99999994936754799</v>
      </c>
    </row>
    <row r="3803" spans="1:40" x14ac:dyDescent="0.25">
      <c r="A3803" t="str">
        <f>"20190304155448871"</f>
        <v>20190304155448871</v>
      </c>
      <c r="B3803" t="str">
        <f>"1551686088861636"</f>
        <v>1551686088861636</v>
      </c>
      <c r="C3803" t="s">
        <v>40</v>
      </c>
      <c r="D3803">
        <v>3.445471</v>
      </c>
      <c r="E3803">
        <v>0.40014949999999999</v>
      </c>
      <c r="F3803" t="s">
        <v>77</v>
      </c>
      <c r="G3803">
        <v>-440.75</v>
      </c>
      <c r="H3803">
        <v>1.282659</v>
      </c>
      <c r="I3803">
        <v>113.3746</v>
      </c>
      <c r="J3803">
        <v>-404.94819999999999</v>
      </c>
      <c r="K3803">
        <v>1.114908</v>
      </c>
      <c r="L3803">
        <v>139.45830000000001</v>
      </c>
      <c r="M3803">
        <v>-0.96919920000000004</v>
      </c>
      <c r="N3803">
        <v>-1.291574E-2</v>
      </c>
      <c r="O3803">
        <v>-0.2459392</v>
      </c>
      <c r="P3803">
        <v>-0.9114719</v>
      </c>
      <c r="Q3803">
        <v>0.17504539999999999</v>
      </c>
      <c r="R3803">
        <v>-0.37226120000000001</v>
      </c>
      <c r="S3803">
        <v>-2.5430600000000001</v>
      </c>
      <c r="T3803">
        <v>1.184118E-2</v>
      </c>
      <c r="U3803">
        <v>-1.8446039999999999</v>
      </c>
      <c r="V3803">
        <v>-0.13870260000000001</v>
      </c>
      <c r="W3803">
        <v>0.1861042</v>
      </c>
      <c r="X3803">
        <v>0.97269050000000001</v>
      </c>
      <c r="Y3803">
        <v>-0.37004530000000002</v>
      </c>
      <c r="Z3803">
        <v>-5.8043679999999999E-3</v>
      </c>
      <c r="AA3803">
        <v>0.92899560000000003</v>
      </c>
      <c r="AB3803">
        <v>27</v>
      </c>
      <c r="AC3803">
        <v>-35.8018</v>
      </c>
      <c r="AD3803">
        <v>0.16775099999999901</v>
      </c>
      <c r="AE3803">
        <v>-26.0837</v>
      </c>
      <c r="AF3803">
        <v>-16.476373198529501</v>
      </c>
      <c r="AG3803">
        <v>0.16775099999999901</v>
      </c>
      <c r="AH3803">
        <v>41.116920307429403</v>
      </c>
      <c r="AI3803">
        <v>89.783015754245</v>
      </c>
      <c r="AJ3803">
        <v>111.836964624332</v>
      </c>
      <c r="AK3803">
        <v>44.295599665685998</v>
      </c>
      <c r="AL3803">
        <v>79.274483496263699</v>
      </c>
      <c r="AM3803">
        <v>98.115486336856193</v>
      </c>
      <c r="AN3803">
        <v>0.99999999664732397</v>
      </c>
    </row>
    <row r="3804" spans="1:40" x14ac:dyDescent="0.25">
      <c r="A3804" t="str">
        <f>"20190304155448893"</f>
        <v>20190304155448893</v>
      </c>
      <c r="B3804" t="str">
        <f>"1551686088890917"</f>
        <v>1551686088890917</v>
      </c>
      <c r="C3804" t="s">
        <v>40</v>
      </c>
      <c r="D3804">
        <v>3.6189390000000001</v>
      </c>
      <c r="E3804">
        <v>0.39983340000000001</v>
      </c>
      <c r="F3804" t="s">
        <v>77</v>
      </c>
      <c r="G3804">
        <v>-440.75</v>
      </c>
      <c r="H3804">
        <v>1.217503</v>
      </c>
      <c r="I3804">
        <v>113.0337</v>
      </c>
      <c r="J3804">
        <v>-405.1977</v>
      </c>
      <c r="K3804">
        <v>1.11503</v>
      </c>
      <c r="L3804">
        <v>139.3878</v>
      </c>
      <c r="M3804">
        <v>-0.96759499999999998</v>
      </c>
      <c r="N3804">
        <v>-1.2959480000000001E-2</v>
      </c>
      <c r="O3804">
        <v>-0.25217440000000002</v>
      </c>
      <c r="P3804">
        <v>-0.90821549999999995</v>
      </c>
      <c r="Q3804">
        <v>0.1748992</v>
      </c>
      <c r="R3804">
        <v>-0.3802043</v>
      </c>
      <c r="S3804">
        <v>-2.5279240000000001</v>
      </c>
      <c r="T3804">
        <v>7.24601699999999E-3</v>
      </c>
      <c r="U3804">
        <v>-1.865799</v>
      </c>
      <c r="V3804">
        <v>-0.14098189999999999</v>
      </c>
      <c r="W3804">
        <v>0.18593180000000001</v>
      </c>
      <c r="X3804">
        <v>0.97239569999999997</v>
      </c>
      <c r="Y3804">
        <v>-0.37175720000000001</v>
      </c>
      <c r="Z3804">
        <v>-5.8372850000000002E-3</v>
      </c>
      <c r="AA3804">
        <v>0.92831160000000001</v>
      </c>
      <c r="AB3804">
        <v>27</v>
      </c>
      <c r="AC3804">
        <v>-35.552300000000002</v>
      </c>
      <c r="AD3804">
        <v>0.10247299999999999</v>
      </c>
      <c r="AE3804">
        <v>-26.354099999999999</v>
      </c>
      <c r="AF3804">
        <v>-16.536015800460302</v>
      </c>
      <c r="AG3804">
        <v>0.10247299999999999</v>
      </c>
      <c r="AH3804">
        <v>41.049285039868401</v>
      </c>
      <c r="AI3804">
        <v>89.867330425848195</v>
      </c>
      <c r="AJ3804">
        <v>111.941213768975</v>
      </c>
      <c r="AK3804">
        <v>44.254876810959097</v>
      </c>
      <c r="AL3804">
        <v>79.284536399608498</v>
      </c>
      <c r="AM3804">
        <v>98.249494094210604</v>
      </c>
      <c r="AN3804">
        <v>0.99999996387866896</v>
      </c>
    </row>
    <row r="3805" spans="1:40" x14ac:dyDescent="0.25">
      <c r="A3805" t="str">
        <f>"20190304155448916"</f>
        <v>20190304155448916</v>
      </c>
      <c r="B3805" t="str">
        <f>"1551686088911412"</f>
        <v>1551686088911412</v>
      </c>
      <c r="C3805" t="s">
        <v>40</v>
      </c>
      <c r="D3805">
        <v>3.594954</v>
      </c>
      <c r="E3805">
        <v>0.3997252</v>
      </c>
      <c r="F3805" t="s">
        <v>77</v>
      </c>
      <c r="G3805">
        <v>-440.75</v>
      </c>
      <c r="H3805">
        <v>1.213473</v>
      </c>
      <c r="I3805">
        <v>112.6267</v>
      </c>
      <c r="J3805">
        <v>-405.45089999999999</v>
      </c>
      <c r="K3805">
        <v>1.115167</v>
      </c>
      <c r="L3805">
        <v>139.3143</v>
      </c>
      <c r="M3805">
        <v>-0.96587409999999996</v>
      </c>
      <c r="N3805">
        <v>-1.301534E-2</v>
      </c>
      <c r="O3805">
        <v>-0.258685</v>
      </c>
      <c r="P3805">
        <v>-0.90476959999999995</v>
      </c>
      <c r="Q3805">
        <v>0.174825799999999</v>
      </c>
      <c r="R3805">
        <v>-0.38836579999999998</v>
      </c>
      <c r="S3805">
        <v>-2.5106809999999999</v>
      </c>
      <c r="T3805">
        <v>6.9538350000000002E-3</v>
      </c>
      <c r="U3805">
        <v>-1.8898470000000001</v>
      </c>
      <c r="V3805">
        <v>-0.14325060000000001</v>
      </c>
      <c r="W3805">
        <v>0.18583630000000001</v>
      </c>
      <c r="X3805">
        <v>0.97208240000000001</v>
      </c>
      <c r="Y3805">
        <v>-0.37424449999999998</v>
      </c>
      <c r="Z3805">
        <v>-5.9657449999999997E-3</v>
      </c>
      <c r="AA3805">
        <v>0.92731090000000005</v>
      </c>
      <c r="AB3805">
        <v>27</v>
      </c>
      <c r="AC3805">
        <v>-35.299100000000003</v>
      </c>
      <c r="AD3805">
        <v>9.8305999999999893E-2</v>
      </c>
      <c r="AE3805">
        <v>-26.6876</v>
      </c>
      <c r="AF3805">
        <v>-16.646840964235398</v>
      </c>
      <c r="AG3805">
        <v>9.8305999999999893E-2</v>
      </c>
      <c r="AH3805">
        <v>41.001436712452602</v>
      </c>
      <c r="AI3805">
        <v>89.872717257285302</v>
      </c>
      <c r="AJ3805">
        <v>112.097461555552</v>
      </c>
      <c r="AK3805">
        <v>44.252059733343899</v>
      </c>
      <c r="AL3805">
        <v>79.290105902863402</v>
      </c>
      <c r="AM3805">
        <v>98.3830380091226</v>
      </c>
      <c r="AN3805">
        <v>1.0000000285938999</v>
      </c>
    </row>
    <row r="3806" spans="1:40" x14ac:dyDescent="0.25">
      <c r="A3806" t="str">
        <f>"20190304155448939"</f>
        <v>20190304155448939</v>
      </c>
      <c r="B3806" t="str">
        <f>"1551686088930932"</f>
        <v>1551686088930932</v>
      </c>
      <c r="C3806" t="s">
        <v>40</v>
      </c>
      <c r="D3806">
        <v>3.627097</v>
      </c>
      <c r="E3806">
        <v>0.3996499</v>
      </c>
      <c r="F3806" t="s">
        <v>77</v>
      </c>
      <c r="G3806">
        <v>-440.75</v>
      </c>
      <c r="H3806">
        <v>1.2310650000000001</v>
      </c>
      <c r="I3806">
        <v>112.2217</v>
      </c>
      <c r="J3806">
        <v>-405.7063</v>
      </c>
      <c r="K3806">
        <v>1.1153249999999999</v>
      </c>
      <c r="L3806">
        <v>139.2381</v>
      </c>
      <c r="M3806">
        <v>-0.96403369999999999</v>
      </c>
      <c r="N3806">
        <v>-1.308343E-2</v>
      </c>
      <c r="O3806">
        <v>-0.26545839999999998</v>
      </c>
      <c r="P3806">
        <v>-0.90105080000000004</v>
      </c>
      <c r="Q3806">
        <v>0.1751925</v>
      </c>
      <c r="R3806">
        <v>-0.39675579999999999</v>
      </c>
      <c r="S3806">
        <v>-2.4929199999999998</v>
      </c>
      <c r="T3806">
        <v>8.1869360000000006E-3</v>
      </c>
      <c r="U3806">
        <v>-1.9133450000000001</v>
      </c>
      <c r="V3806">
        <v>-0.14555470000000001</v>
      </c>
      <c r="W3806">
        <v>0.1861862</v>
      </c>
      <c r="X3806">
        <v>0.97167309999999996</v>
      </c>
      <c r="Y3806">
        <v>-0.3764285</v>
      </c>
      <c r="Z3806">
        <v>-6.1389089999999997E-3</v>
      </c>
      <c r="AA3806">
        <v>0.92642530000000001</v>
      </c>
      <c r="AB3806">
        <v>27</v>
      </c>
      <c r="AC3806">
        <v>-35.043700000000001</v>
      </c>
      <c r="AD3806">
        <v>0.115739999999999</v>
      </c>
      <c r="AE3806">
        <v>-27.016400000000001</v>
      </c>
      <c r="AF3806">
        <v>-16.743391451858798</v>
      </c>
      <c r="AG3806">
        <v>0.115739999999999</v>
      </c>
      <c r="AH3806">
        <v>40.958257166529499</v>
      </c>
      <c r="AI3806">
        <v>89.850132435364799</v>
      </c>
      <c r="AJ3806">
        <v>112.234331485053</v>
      </c>
      <c r="AK3806">
        <v>44.248541028799401</v>
      </c>
      <c r="AL3806">
        <v>79.269702164675095</v>
      </c>
      <c r="AM3806">
        <v>98.519446954028894</v>
      </c>
      <c r="AN3806">
        <v>1.00000004251306</v>
      </c>
    </row>
    <row r="3807" spans="1:40" x14ac:dyDescent="0.25">
      <c r="A3807" t="str">
        <f>"20190304155448962"</f>
        <v>20190304155448962</v>
      </c>
      <c r="B3807" t="str">
        <f>"1551686088951434"</f>
        <v>1551686088951434</v>
      </c>
      <c r="C3807" t="s">
        <v>40</v>
      </c>
      <c r="D3807">
        <v>3.6255250000000001</v>
      </c>
      <c r="E3807">
        <v>0.39972530000000001</v>
      </c>
      <c r="F3807" t="s">
        <v>77</v>
      </c>
      <c r="G3807">
        <v>-440.75</v>
      </c>
      <c r="H3807">
        <v>1.262148</v>
      </c>
      <c r="I3807">
        <v>111.8117</v>
      </c>
      <c r="J3807">
        <v>-405.9633</v>
      </c>
      <c r="K3807">
        <v>1.115494</v>
      </c>
      <c r="L3807">
        <v>139.1592</v>
      </c>
      <c r="M3807">
        <v>-0.96206579999999997</v>
      </c>
      <c r="N3807">
        <v>-1.315819E-2</v>
      </c>
      <c r="O3807">
        <v>-0.27250059999999998</v>
      </c>
      <c r="P3807">
        <v>-0.89737330000000004</v>
      </c>
      <c r="Q3807">
        <v>0.17502519999999999</v>
      </c>
      <c r="R3807">
        <v>-0.40507749999999998</v>
      </c>
      <c r="S3807">
        <v>-2.47464</v>
      </c>
      <c r="T3807">
        <v>1.036978E-2</v>
      </c>
      <c r="U3807">
        <v>-1.9367220000000001</v>
      </c>
      <c r="V3807">
        <v>-0.1475069</v>
      </c>
      <c r="W3807">
        <v>0.1860086</v>
      </c>
      <c r="X3807">
        <v>0.97141270000000002</v>
      </c>
      <c r="Y3807">
        <v>-0.37840560000000001</v>
      </c>
      <c r="Z3807">
        <v>-6.3490029999999998E-3</v>
      </c>
      <c r="AA3807">
        <v>0.9256181</v>
      </c>
      <c r="AB3807">
        <v>27</v>
      </c>
      <c r="AC3807">
        <v>-34.786700000000003</v>
      </c>
      <c r="AD3807">
        <v>0.14665400000000001</v>
      </c>
      <c r="AE3807">
        <v>-27.3475</v>
      </c>
      <c r="AF3807">
        <v>-16.831967479622499</v>
      </c>
      <c r="AG3807">
        <v>0.14665400000000001</v>
      </c>
      <c r="AH3807">
        <v>40.922391301367298</v>
      </c>
      <c r="AI3807">
        <v>89.810105076965201</v>
      </c>
      <c r="AJ3807">
        <v>112.358069645299</v>
      </c>
      <c r="AK3807">
        <v>44.249053622117202</v>
      </c>
      <c r="AL3807">
        <v>79.280058993609003</v>
      </c>
      <c r="AM3807">
        <v>98.634279969505997</v>
      </c>
      <c r="AN3807">
        <v>1.00000005927142</v>
      </c>
    </row>
    <row r="3808" spans="1:40" x14ac:dyDescent="0.25">
      <c r="A3808" t="str">
        <f>"20190304155449008"</f>
        <v>20190304155449008</v>
      </c>
      <c r="B3808" t="str">
        <f>"1551686089001205"</f>
        <v>1551686089001205</v>
      </c>
      <c r="C3808" t="s">
        <v>40</v>
      </c>
      <c r="D3808">
        <v>3.6762190000000001</v>
      </c>
      <c r="E3808">
        <v>0.40023720000000002</v>
      </c>
      <c r="F3808" t="s">
        <v>77</v>
      </c>
      <c r="G3808">
        <v>-440.75</v>
      </c>
      <c r="H3808">
        <v>1.2624930000000001</v>
      </c>
      <c r="I3808">
        <v>111.42189999999999</v>
      </c>
      <c r="J3808">
        <v>-406.45589999999999</v>
      </c>
      <c r="K3808">
        <v>1.115818</v>
      </c>
      <c r="L3808">
        <v>139.0008</v>
      </c>
      <c r="M3808">
        <v>-0.95792029999999995</v>
      </c>
      <c r="N3808">
        <v>-1.331441E-2</v>
      </c>
      <c r="O3808">
        <v>-0.28672579999999998</v>
      </c>
      <c r="P3808">
        <v>-0.88979769999999903</v>
      </c>
      <c r="Q3808">
        <v>0.1750591</v>
      </c>
      <c r="R3808">
        <v>-0.42144350000000003</v>
      </c>
      <c r="S3808">
        <v>-2.4568180000000002</v>
      </c>
      <c r="T3808">
        <v>1.038361E-2</v>
      </c>
      <c r="U3808">
        <v>-1.958939</v>
      </c>
      <c r="V3808">
        <v>-0.15105669999999999</v>
      </c>
      <c r="W3808">
        <v>0.18602969999999999</v>
      </c>
      <c r="X3808">
        <v>0.97086289999999997</v>
      </c>
      <c r="Y3808">
        <v>-0.37307420000000002</v>
      </c>
      <c r="Z3808">
        <v>-6.6211389999999998E-3</v>
      </c>
      <c r="AA3808">
        <v>0.92777790000000004</v>
      </c>
      <c r="AB3808">
        <v>27</v>
      </c>
      <c r="AC3808">
        <v>-34.2941</v>
      </c>
      <c r="AD3808">
        <v>0.146675</v>
      </c>
      <c r="AE3808">
        <v>-27.578900000000001</v>
      </c>
      <c r="AF3808">
        <v>-16.586668772847801</v>
      </c>
      <c r="AG3808">
        <v>0.146675</v>
      </c>
      <c r="AH3808">
        <v>40.761751834845299</v>
      </c>
      <c r="AI3808">
        <v>89.809035386908306</v>
      </c>
      <c r="AJ3808">
        <v>112.14226620549699</v>
      </c>
      <c r="AK3808">
        <v>44.007493761646003</v>
      </c>
      <c r="AL3808">
        <v>79.278827643990596</v>
      </c>
      <c r="AM3808">
        <v>98.843749592193205</v>
      </c>
      <c r="AN3808">
        <v>0.99999997324669399</v>
      </c>
    </row>
    <row r="3809" spans="1:40" x14ac:dyDescent="0.25">
      <c r="A3809" t="str">
        <f>"20190304155449027"</f>
        <v>20190304155449027</v>
      </c>
      <c r="B3809" t="str">
        <f>"1551686089020724"</f>
        <v>1551686089020724</v>
      </c>
      <c r="C3809" t="s">
        <v>40</v>
      </c>
      <c r="D3809">
        <v>3.720599</v>
      </c>
      <c r="E3809">
        <v>0.40053640000000001</v>
      </c>
      <c r="F3809" t="s">
        <v>77</v>
      </c>
      <c r="G3809">
        <v>-440.75</v>
      </c>
      <c r="H3809">
        <v>1.2726740000000001</v>
      </c>
      <c r="I3809">
        <v>110.67489999999999</v>
      </c>
      <c r="J3809">
        <v>-406.69810000000001</v>
      </c>
      <c r="K3809">
        <v>1.115958</v>
      </c>
      <c r="L3809">
        <v>138.91970000000001</v>
      </c>
      <c r="M3809">
        <v>-0.95570840000000001</v>
      </c>
      <c r="N3809">
        <v>-1.33893E-2</v>
      </c>
      <c r="O3809">
        <v>-0.29401050000000001</v>
      </c>
      <c r="P3809">
        <v>-0.88573899999999905</v>
      </c>
      <c r="Q3809">
        <v>0.17478399999999999</v>
      </c>
      <c r="R3809">
        <v>-0.4300197</v>
      </c>
      <c r="S3809">
        <v>-2.4219059999999999</v>
      </c>
      <c r="T3809">
        <v>1.1079189999999999E-2</v>
      </c>
      <c r="U3809">
        <v>-2.0004119999999999</v>
      </c>
      <c r="V3809">
        <v>-0.15309139999999999</v>
      </c>
      <c r="W3809">
        <v>0.18574769999999999</v>
      </c>
      <c r="X3809">
        <v>0.97059819999999997</v>
      </c>
      <c r="Y3809">
        <v>-0.38200139999999999</v>
      </c>
      <c r="Z3809">
        <v>-6.8452410000000002E-3</v>
      </c>
      <c r="AA3809">
        <v>0.92413639999999997</v>
      </c>
      <c r="AB3809">
        <v>26</v>
      </c>
      <c r="AC3809">
        <v>-34.051899999999897</v>
      </c>
      <c r="AD3809">
        <v>0.15671599999999999</v>
      </c>
      <c r="AE3809">
        <v>-28.244800000000001</v>
      </c>
      <c r="AF3809">
        <v>-16.983485852741499</v>
      </c>
      <c r="AG3809">
        <v>0.15671599999999999</v>
      </c>
      <c r="AH3809">
        <v>40.851104147316697</v>
      </c>
      <c r="AI3809">
        <v>89.797039821273003</v>
      </c>
      <c r="AJ3809">
        <v>112.57466731449</v>
      </c>
      <c r="AK3809">
        <v>44.2411127987288</v>
      </c>
      <c r="AL3809">
        <v>79.295272224327803</v>
      </c>
      <c r="AM3809">
        <v>98.963356532389994</v>
      </c>
      <c r="AN3809">
        <v>1.00000002532624</v>
      </c>
    </row>
    <row r="3810" spans="1:40" x14ac:dyDescent="0.25">
      <c r="A3810" t="str">
        <f>"20190304155449051"</f>
        <v>20190304155449051</v>
      </c>
      <c r="B3810" t="str">
        <f>"1551686089041220"</f>
        <v>1551686089041220</v>
      </c>
      <c r="C3810" t="s">
        <v>40</v>
      </c>
      <c r="D3810">
        <v>3.712126</v>
      </c>
      <c r="E3810">
        <v>0.40086329999999998</v>
      </c>
      <c r="F3810" t="s">
        <v>77</v>
      </c>
      <c r="G3810">
        <v>-440.75</v>
      </c>
      <c r="H3810">
        <v>1.250702</v>
      </c>
      <c r="I3810">
        <v>110.2808</v>
      </c>
      <c r="J3810">
        <v>-406.9658</v>
      </c>
      <c r="K3810">
        <v>1.116096</v>
      </c>
      <c r="L3810">
        <v>138.82730000000001</v>
      </c>
      <c r="M3810">
        <v>-0.95313380000000003</v>
      </c>
      <c r="N3810">
        <v>-1.3464169999999999E-2</v>
      </c>
      <c r="O3810">
        <v>-0.30224909999999999</v>
      </c>
      <c r="P3810">
        <v>-0.88132149999999998</v>
      </c>
      <c r="Q3810">
        <v>0.17466679999999901</v>
      </c>
      <c r="R3810">
        <v>-0.43904910000000003</v>
      </c>
      <c r="S3810">
        <v>-2.4036870000000001</v>
      </c>
      <c r="T3810">
        <v>9.5133779999999994E-3</v>
      </c>
      <c r="U3810">
        <v>-2.021576</v>
      </c>
      <c r="V3810">
        <v>-0.15468299999999999</v>
      </c>
      <c r="W3810">
        <v>0.18563289999999999</v>
      </c>
      <c r="X3810">
        <v>0.9703678</v>
      </c>
      <c r="Y3810">
        <v>-0.38223699999999999</v>
      </c>
      <c r="Z3810">
        <v>-6.9614300000000002E-3</v>
      </c>
      <c r="AA3810">
        <v>0.92403809999999997</v>
      </c>
      <c r="AB3810">
        <v>26</v>
      </c>
      <c r="AC3810">
        <v>-33.784199999999998</v>
      </c>
      <c r="AD3810">
        <v>0.134606</v>
      </c>
      <c r="AE3810">
        <v>-28.546500000000002</v>
      </c>
      <c r="AF3810">
        <v>-16.998774757217699</v>
      </c>
      <c r="AG3810">
        <v>0.134606</v>
      </c>
      <c r="AH3810">
        <v>40.832343204821598</v>
      </c>
      <c r="AI3810">
        <v>89.825628782886994</v>
      </c>
      <c r="AJ3810">
        <v>112.602285162301</v>
      </c>
      <c r="AK3810">
        <v>44.229590927547598</v>
      </c>
      <c r="AL3810">
        <v>79.301966311006595</v>
      </c>
      <c r="AM3810">
        <v>99.057121368554704</v>
      </c>
      <c r="AN3810">
        <v>1.0000000356641201</v>
      </c>
    </row>
    <row r="3811" spans="1:40" x14ac:dyDescent="0.25">
      <c r="A3811" t="str">
        <f>"20190304155449073"</f>
        <v>20190304155449073</v>
      </c>
      <c r="B3811" t="str">
        <f>"1551686089060740"</f>
        <v>1551686089060740</v>
      </c>
      <c r="C3811" t="s">
        <v>40</v>
      </c>
      <c r="D3811">
        <v>3.7680289999999999</v>
      </c>
      <c r="E3811">
        <v>0.4009489</v>
      </c>
      <c r="F3811" t="s">
        <v>77</v>
      </c>
      <c r="G3811">
        <v>-440.75</v>
      </c>
      <c r="H3811">
        <v>1.24447</v>
      </c>
      <c r="I3811">
        <v>109.8623</v>
      </c>
      <c r="J3811">
        <v>-407.19900000000001</v>
      </c>
      <c r="K3811">
        <v>1.116206</v>
      </c>
      <c r="L3811">
        <v>138.74469999999999</v>
      </c>
      <c r="M3811">
        <v>-0.95076660000000002</v>
      </c>
      <c r="N3811">
        <v>-1.352417E-2</v>
      </c>
      <c r="O3811">
        <v>-0.30961280000000002</v>
      </c>
      <c r="P3811">
        <v>-0.87707760000000001</v>
      </c>
      <c r="Q3811">
        <v>0.17445189999999999</v>
      </c>
      <c r="R3811">
        <v>-0.44755089999999997</v>
      </c>
      <c r="S3811">
        <v>-2.383972</v>
      </c>
      <c r="T3811">
        <v>9.060383E-3</v>
      </c>
      <c r="U3811">
        <v>-2.0438999999999998</v>
      </c>
      <c r="V3811">
        <v>-0.15659629999999999</v>
      </c>
      <c r="W3811">
        <v>0.18540709999999999</v>
      </c>
      <c r="X3811">
        <v>0.97010399999999997</v>
      </c>
      <c r="Y3811">
        <v>-0.38384960000000001</v>
      </c>
      <c r="Z3811">
        <v>-7.0997350000000002E-3</v>
      </c>
      <c r="AA3811">
        <v>0.92336830000000003</v>
      </c>
      <c r="AB3811">
        <v>26</v>
      </c>
      <c r="AC3811">
        <v>-33.550999999999902</v>
      </c>
      <c r="AD3811">
        <v>0.12826399999999899</v>
      </c>
      <c r="AE3811">
        <v>-28.882399999999901</v>
      </c>
      <c r="AF3811">
        <v>-17.074019404472001</v>
      </c>
      <c r="AG3811">
        <v>0.12826399999999899</v>
      </c>
      <c r="AH3811">
        <v>40.844921217240802</v>
      </c>
      <c r="AI3811">
        <v>89.833996583521994</v>
      </c>
      <c r="AJ3811">
        <v>112.68593339540899</v>
      </c>
      <c r="AK3811">
        <v>44.270149983037001</v>
      </c>
      <c r="AL3811">
        <v>79.315131675633907</v>
      </c>
      <c r="AM3811">
        <v>99.169710068801507</v>
      </c>
      <c r="AN3811">
        <v>0.99999998236004894</v>
      </c>
    </row>
    <row r="3812" spans="1:40" x14ac:dyDescent="0.25">
      <c r="A3812" t="str">
        <f>"20190304155449097"</f>
        <v>20190304155449097</v>
      </c>
      <c r="B3812" t="str">
        <f>"1551686089090998"</f>
        <v>1551686089090998</v>
      </c>
      <c r="C3812" t="s">
        <v>40</v>
      </c>
      <c r="D3812">
        <v>3.632625</v>
      </c>
      <c r="E3812">
        <v>0.41057359999999998</v>
      </c>
      <c r="F3812" t="s">
        <v>77</v>
      </c>
      <c r="G3812">
        <v>-440.40480000000002</v>
      </c>
      <c r="H3812">
        <v>1.227671</v>
      </c>
      <c r="I3812">
        <v>109.7255</v>
      </c>
      <c r="J3812">
        <v>-407.464</v>
      </c>
      <c r="K3812">
        <v>1.1163369999999999</v>
      </c>
      <c r="L3812">
        <v>138.648</v>
      </c>
      <c r="M3812">
        <v>-0.94792849999999995</v>
      </c>
      <c r="N3812">
        <v>-1.359051E-2</v>
      </c>
      <c r="O3812">
        <v>-0.31819360000000002</v>
      </c>
      <c r="P3812">
        <v>-0.87245539999999999</v>
      </c>
      <c r="Q3812">
        <v>0.17383309999999999</v>
      </c>
      <c r="R3812">
        <v>-0.45673239999999998</v>
      </c>
      <c r="S3812">
        <v>-2.3644409999999998</v>
      </c>
      <c r="T3812">
        <v>7.9387429999999998E-3</v>
      </c>
      <c r="U3812">
        <v>-2.0663149999999999</v>
      </c>
      <c r="V3812">
        <v>-0.158025</v>
      </c>
      <c r="W3812">
        <v>0.1847819</v>
      </c>
      <c r="X3812">
        <v>0.96999159999999995</v>
      </c>
      <c r="Y3812">
        <v>-0.38424429999999998</v>
      </c>
      <c r="Z3812">
        <v>-7.2244600000000003E-3</v>
      </c>
      <c r="AA3812">
        <v>0.9232032</v>
      </c>
      <c r="AB3812">
        <v>26</v>
      </c>
      <c r="AC3812">
        <v>-32.940800000000003</v>
      </c>
      <c r="AD3812">
        <v>0.111333999999999</v>
      </c>
      <c r="AE3812">
        <v>-28.922499999999999</v>
      </c>
      <c r="AF3812">
        <v>-16.936362600275501</v>
      </c>
      <c r="AG3812">
        <v>0.111333999999999</v>
      </c>
      <c r="AH3812">
        <v>40.431944579536797</v>
      </c>
      <c r="AI3812">
        <v>89.854480902881704</v>
      </c>
      <c r="AJ3812">
        <v>112.728111933919</v>
      </c>
      <c r="AK3812">
        <v>43.836000226643698</v>
      </c>
      <c r="AL3812">
        <v>79.351582797152105</v>
      </c>
      <c r="AM3812">
        <v>99.252982755621403</v>
      </c>
      <c r="AN3812">
        <v>0.99999997763158399</v>
      </c>
    </row>
    <row r="3813" spans="1:40" x14ac:dyDescent="0.25">
      <c r="A3813" t="str">
        <f>"20190304155449117"</f>
        <v>20190304155449117</v>
      </c>
      <c r="B3813" t="str">
        <f>"1551686089111492"</f>
        <v>1551686089111492</v>
      </c>
      <c r="C3813" t="s">
        <v>40</v>
      </c>
      <c r="D3813">
        <v>3.7527089999999999</v>
      </c>
      <c r="E3813">
        <v>0.41223169999999998</v>
      </c>
      <c r="F3813" t="s">
        <v>47</v>
      </c>
      <c r="G3813">
        <v>-442.89609999999999</v>
      </c>
      <c r="H3813">
        <v>-0.05</v>
      </c>
      <c r="I3813">
        <v>108.6489</v>
      </c>
      <c r="J3813">
        <v>-407.68540000000002</v>
      </c>
      <c r="K3813">
        <v>1.1164540000000001</v>
      </c>
      <c r="L3813">
        <v>138.565</v>
      </c>
      <c r="M3813">
        <v>-0.94542990000000005</v>
      </c>
      <c r="N3813">
        <v>-1.364484E-2</v>
      </c>
      <c r="O3813">
        <v>-0.32553989999999999</v>
      </c>
      <c r="P3813">
        <v>-0.86866049999999995</v>
      </c>
      <c r="Q3813">
        <v>0.1731634</v>
      </c>
      <c r="R3813">
        <v>-0.46415919999999999</v>
      </c>
      <c r="S3813">
        <v>-2.393402</v>
      </c>
      <c r="T3813">
        <v>-7.8784939999999998E-2</v>
      </c>
      <c r="U3813">
        <v>-2.0264129999999998</v>
      </c>
      <c r="V3813">
        <v>-0.15877620000000001</v>
      </c>
      <c r="W3813">
        <v>0.18410899999999999</v>
      </c>
      <c r="X3813">
        <v>0.96999690000000005</v>
      </c>
      <c r="Y3813">
        <v>-0.36233989999999999</v>
      </c>
      <c r="Z3813">
        <v>-3.1391029999999999E-3</v>
      </c>
      <c r="AA3813">
        <v>0.9320408</v>
      </c>
      <c r="AB3813">
        <v>26</v>
      </c>
      <c r="AC3813">
        <v>-35.210699999999903</v>
      </c>
      <c r="AD3813">
        <v>-1.1664540000000001</v>
      </c>
      <c r="AE3813">
        <v>-29.9161</v>
      </c>
      <c r="AF3813">
        <v>-16.811937649352199</v>
      </c>
      <c r="AG3813">
        <v>-1.1664540000000001</v>
      </c>
      <c r="AH3813">
        <v>43.004727132048203</v>
      </c>
      <c r="AI3813">
        <v>91.447102923007606</v>
      </c>
      <c r="AJ3813">
        <v>111.35213463226501</v>
      </c>
      <c r="AK3813">
        <v>46.188834345128697</v>
      </c>
      <c r="AL3813">
        <v>79.390810357394301</v>
      </c>
      <c r="AM3813">
        <v>99.296152426776999</v>
      </c>
      <c r="AN3813">
        <v>0.99999999578852405</v>
      </c>
    </row>
    <row r="3814" spans="1:40" x14ac:dyDescent="0.25">
      <c r="A3814" t="str">
        <f>"20190304155449139"</f>
        <v>20190304155449139</v>
      </c>
      <c r="B3814" t="str">
        <f>"1551686089131012"</f>
        <v>1551686089131012</v>
      </c>
      <c r="C3814" t="s">
        <v>40</v>
      </c>
      <c r="D3814">
        <v>3.786438</v>
      </c>
      <c r="E3814">
        <v>0.41399419999999998</v>
      </c>
      <c r="F3814" t="s">
        <v>46</v>
      </c>
      <c r="G3814">
        <v>-434.88959999999997</v>
      </c>
      <c r="H3814">
        <v>7.998682E-2</v>
      </c>
      <c r="I3814">
        <v>115.3335</v>
      </c>
      <c r="J3814">
        <v>-407.92110000000002</v>
      </c>
      <c r="K3814">
        <v>1.1165769999999999</v>
      </c>
      <c r="L3814">
        <v>138.4742</v>
      </c>
      <c r="M3814">
        <v>-0.94263869999999905</v>
      </c>
      <c r="N3814">
        <v>-1.369985E-2</v>
      </c>
      <c r="O3814">
        <v>-0.33353389999999999</v>
      </c>
      <c r="P3814">
        <v>-0.86445399999999994</v>
      </c>
      <c r="Q3814">
        <v>0.1728982</v>
      </c>
      <c r="R3814">
        <v>-0.47204429999999997</v>
      </c>
      <c r="S3814">
        <v>-2.3838810000000001</v>
      </c>
      <c r="T3814">
        <v>-9.0824479999999999E-2</v>
      </c>
      <c r="U3814">
        <v>-2.0357509999999999</v>
      </c>
      <c r="V3814">
        <v>-0.15942870000000001</v>
      </c>
      <c r="W3814">
        <v>0.18383659999999999</v>
      </c>
      <c r="X3814">
        <v>0.96994159999999996</v>
      </c>
      <c r="Y3814">
        <v>-0.35836780000000001</v>
      </c>
      <c r="Z3814">
        <v>-2.363347E-3</v>
      </c>
      <c r="AA3814">
        <v>0.93357749999999995</v>
      </c>
      <c r="AB3814">
        <v>26</v>
      </c>
      <c r="AC3814">
        <v>-26.968499999999899</v>
      </c>
      <c r="AD3814">
        <v>-1.0365901799999999</v>
      </c>
      <c r="AE3814">
        <v>-23.140699999999899</v>
      </c>
      <c r="AF3814">
        <v>-12.808712727442501</v>
      </c>
      <c r="AG3814">
        <v>-1.0365901799999999</v>
      </c>
      <c r="AH3814">
        <v>33.114688107303998</v>
      </c>
      <c r="AI3814">
        <v>91.672283309904003</v>
      </c>
      <c r="AJ3814">
        <v>111.14639713064</v>
      </c>
      <c r="AK3814">
        <v>35.520701138623998</v>
      </c>
      <c r="AL3814">
        <v>79.4066894029786</v>
      </c>
      <c r="AM3814">
        <v>99.3342073248361</v>
      </c>
      <c r="AN3814">
        <v>1.0000000566469001</v>
      </c>
    </row>
    <row r="3815" spans="1:40" x14ac:dyDescent="0.25">
      <c r="A3815" t="str">
        <f>"20190304155449166"</f>
        <v>20190304155449166</v>
      </c>
      <c r="B3815" t="str">
        <f>"1551686089161268"</f>
        <v>1551686089161268</v>
      </c>
      <c r="C3815" t="s">
        <v>40</v>
      </c>
      <c r="D3815">
        <v>3.9752040000000002</v>
      </c>
      <c r="E3815">
        <v>0.41694369999999997</v>
      </c>
      <c r="F3815" t="s">
        <v>46</v>
      </c>
      <c r="G3815">
        <v>-432.51940000000002</v>
      </c>
      <c r="H3815">
        <v>7.9986150000000006E-2</v>
      </c>
      <c r="I3815">
        <v>117.2698</v>
      </c>
      <c r="J3815">
        <v>-408.19459999999998</v>
      </c>
      <c r="K3815">
        <v>1.1167290000000001</v>
      </c>
      <c r="L3815">
        <v>138.3655</v>
      </c>
      <c r="M3815">
        <v>-0.93921940000000004</v>
      </c>
      <c r="N3815">
        <v>-1.37597E-2</v>
      </c>
      <c r="O3815">
        <v>-0.34304190000000001</v>
      </c>
      <c r="P3815">
        <v>-0.85926229999999904</v>
      </c>
      <c r="Q3815">
        <v>0.1731586</v>
      </c>
      <c r="R3815">
        <v>-0.4813365</v>
      </c>
      <c r="S3815">
        <v>-2.373291</v>
      </c>
      <c r="T3815">
        <v>-0.1000122</v>
      </c>
      <c r="U3815">
        <v>-2.0458370000000001</v>
      </c>
      <c r="V3815">
        <v>-0.1601764</v>
      </c>
      <c r="W3815">
        <v>0.1840841</v>
      </c>
      <c r="X3815">
        <v>0.96977139999999995</v>
      </c>
      <c r="Y3815">
        <v>-0.35324680000000003</v>
      </c>
      <c r="Z3815">
        <v>-1.603157E-3</v>
      </c>
      <c r="AA3815">
        <v>0.93552880000000005</v>
      </c>
      <c r="AB3815">
        <v>26</v>
      </c>
      <c r="AC3815">
        <v>-24.3248</v>
      </c>
      <c r="AD3815">
        <v>-1.03674285</v>
      </c>
      <c r="AE3815">
        <v>-21.095699999999901</v>
      </c>
      <c r="AF3815">
        <v>-11.4582705721525</v>
      </c>
      <c r="AG3815">
        <v>-1.03674285</v>
      </c>
      <c r="AH3815">
        <v>30.0547193628577</v>
      </c>
      <c r="AI3815">
        <v>91.8461275621315</v>
      </c>
      <c r="AJ3815">
        <v>110.86919602177601</v>
      </c>
      <c r="AK3815">
        <v>32.181562364525099</v>
      </c>
      <c r="AL3815">
        <v>79.392261893269094</v>
      </c>
      <c r="AM3815">
        <v>99.378824286586394</v>
      </c>
      <c r="AN3815">
        <v>1.0000000016238599</v>
      </c>
    </row>
    <row r="3816" spans="1:40" x14ac:dyDescent="0.25">
      <c r="A3816" t="str">
        <f>"20190304155449189"</f>
        <v>20190304155449189</v>
      </c>
      <c r="B3816" t="str">
        <f>"1551686089180789"</f>
        <v>1551686089180789</v>
      </c>
      <c r="C3816" t="s">
        <v>40</v>
      </c>
      <c r="D3816">
        <v>3.9941680000000002</v>
      </c>
      <c r="E3816">
        <v>0.4187631</v>
      </c>
      <c r="F3816" t="s">
        <v>46</v>
      </c>
      <c r="G3816">
        <v>-429.98540000000003</v>
      </c>
      <c r="H3816">
        <v>7.767802E-2</v>
      </c>
      <c r="I3816">
        <v>119.4597</v>
      </c>
      <c r="J3816">
        <v>-408.4588</v>
      </c>
      <c r="K3816">
        <v>1.116862</v>
      </c>
      <c r="L3816">
        <v>138.25710000000001</v>
      </c>
      <c r="M3816">
        <v>-0.93572909999999998</v>
      </c>
      <c r="N3816">
        <v>-1.381931E-2</v>
      </c>
      <c r="O3816">
        <v>-0.35244890000000001</v>
      </c>
      <c r="P3816">
        <v>-0.85419310000000004</v>
      </c>
      <c r="Q3816">
        <v>0.1734861</v>
      </c>
      <c r="R3816">
        <v>-0.49016029999999999</v>
      </c>
      <c r="S3816">
        <v>-2.3648069999999999</v>
      </c>
      <c r="T3816">
        <v>-0.1127611</v>
      </c>
      <c r="U3816">
        <v>-2.0517120000000002</v>
      </c>
      <c r="V3816">
        <v>-0.16052149999999901</v>
      </c>
      <c r="W3816">
        <v>0.18441170000000001</v>
      </c>
      <c r="X3816">
        <v>0.96965210000000002</v>
      </c>
      <c r="Y3816">
        <v>-0.3468155</v>
      </c>
      <c r="Z3816">
        <v>-5.2521749999999998E-4</v>
      </c>
      <c r="AA3816">
        <v>0.93793329999999997</v>
      </c>
      <c r="AB3816">
        <v>26</v>
      </c>
      <c r="AC3816">
        <v>-21.526599999999998</v>
      </c>
      <c r="AD3816">
        <v>-1.03918398</v>
      </c>
      <c r="AE3816">
        <v>-18.7974</v>
      </c>
      <c r="AF3816">
        <v>-9.9899932257917907</v>
      </c>
      <c r="AG3816">
        <v>-1.03918398</v>
      </c>
      <c r="AH3816">
        <v>26.735393377335701</v>
      </c>
      <c r="AI3816">
        <v>92.085240114215097</v>
      </c>
      <c r="AJ3816">
        <v>110.488791575953</v>
      </c>
      <c r="AK3816">
        <v>28.559781634958998</v>
      </c>
      <c r="AL3816">
        <v>79.373164952046807</v>
      </c>
      <c r="AM3816">
        <v>99.399806514990601</v>
      </c>
      <c r="AN3816">
        <v>1.0000000110467699</v>
      </c>
    </row>
    <row r="3817" spans="1:40" x14ac:dyDescent="0.25">
      <c r="A3817" t="str">
        <f>"20190304155449228"</f>
        <v>20190304155449228</v>
      </c>
      <c r="B3817" t="str">
        <f>"1551686089220807"</f>
        <v>1551686089220807</v>
      </c>
      <c r="C3817" t="s">
        <v>40</v>
      </c>
      <c r="D3817">
        <v>4.0549189999999999</v>
      </c>
      <c r="E3817">
        <v>0.42807070000000003</v>
      </c>
      <c r="F3817" t="s">
        <v>46</v>
      </c>
      <c r="G3817">
        <v>-429.95780000000002</v>
      </c>
      <c r="H3817">
        <v>2.8908159999999999E-2</v>
      </c>
      <c r="I3817">
        <v>119.3892</v>
      </c>
      <c r="J3817">
        <v>-408.87349999999998</v>
      </c>
      <c r="K3817">
        <v>1.117038</v>
      </c>
      <c r="L3817">
        <v>138.0804</v>
      </c>
      <c r="M3817">
        <v>-0.92988320000000002</v>
      </c>
      <c r="N3817">
        <v>-1.3910560000000001E-2</v>
      </c>
      <c r="O3817">
        <v>-0.36759180000000002</v>
      </c>
      <c r="P3817">
        <v>-0.84589150000000002</v>
      </c>
      <c r="Q3817">
        <v>0.17273859999999999</v>
      </c>
      <c r="R3817">
        <v>-0.50460779999999905</v>
      </c>
      <c r="S3817">
        <v>-2.3518680000000001</v>
      </c>
      <c r="T3817">
        <v>-0.1190162</v>
      </c>
      <c r="U3817">
        <v>-2.064041</v>
      </c>
      <c r="V3817">
        <v>-0.16127130000000001</v>
      </c>
      <c r="W3817">
        <v>0.1836777</v>
      </c>
      <c r="X3817">
        <v>0.96966699999999995</v>
      </c>
      <c r="Y3817">
        <v>-0.33690379999999998</v>
      </c>
      <c r="Z3817">
        <v>4.8237710000000001E-4</v>
      </c>
      <c r="AA3817">
        <v>0.94153900000000001</v>
      </c>
      <c r="AB3817">
        <v>26</v>
      </c>
      <c r="AC3817">
        <v>-21.084299999999999</v>
      </c>
      <c r="AD3817">
        <v>-1.0881298399999999</v>
      </c>
      <c r="AE3817">
        <v>-18.691199999999899</v>
      </c>
      <c r="AF3817">
        <v>-9.6168065536537792</v>
      </c>
      <c r="AG3817">
        <v>-1.0881298399999999</v>
      </c>
      <c r="AH3817">
        <v>26.439798213292601</v>
      </c>
      <c r="AI3817">
        <v>92.214873344160296</v>
      </c>
      <c r="AJ3817">
        <v>109.987574452451</v>
      </c>
      <c r="AK3817">
        <v>28.155459939392401</v>
      </c>
      <c r="AL3817">
        <v>79.415950922093501</v>
      </c>
      <c r="AM3817">
        <v>99.442781781757901</v>
      </c>
      <c r="AN3817">
        <v>1.00000001028499</v>
      </c>
    </row>
    <row r="3818" spans="1:40" x14ac:dyDescent="0.25">
      <c r="A3818" t="str">
        <f>"20190304155449251"</f>
        <v>20190304155449251</v>
      </c>
      <c r="B3818" t="str">
        <f>"1551686089241301"</f>
        <v>1551686089241301</v>
      </c>
      <c r="C3818" t="s">
        <v>40</v>
      </c>
      <c r="D3818">
        <v>4.060721</v>
      </c>
      <c r="E3818">
        <v>0.42793710000000001</v>
      </c>
      <c r="F3818" t="s">
        <v>62</v>
      </c>
      <c r="G3818">
        <v>-425.6737</v>
      </c>
      <c r="H3818" s="1">
        <v>-3.8596189999999997E-6</v>
      </c>
      <c r="I3818">
        <v>123.54510000000001</v>
      </c>
      <c r="J3818">
        <v>-409.10829999999999</v>
      </c>
      <c r="K3818">
        <v>1.1171249999999999</v>
      </c>
      <c r="L3818">
        <v>137.97649999999999</v>
      </c>
      <c r="M3818">
        <v>-0.92636680000000005</v>
      </c>
      <c r="N3818">
        <v>-1.3963110000000001E-2</v>
      </c>
      <c r="O3818">
        <v>-0.37636380000000003</v>
      </c>
      <c r="P3818">
        <v>-0.84089049999999999</v>
      </c>
      <c r="Q3818">
        <v>0.17301279999999999</v>
      </c>
      <c r="R3818">
        <v>-0.51280609999999904</v>
      </c>
      <c r="S3818">
        <v>-2.360382</v>
      </c>
      <c r="T3818">
        <v>-0.156942</v>
      </c>
      <c r="U3818">
        <v>-2.0421749999999999</v>
      </c>
      <c r="V3818">
        <v>-0.1615944</v>
      </c>
      <c r="W3818">
        <v>0.1839655</v>
      </c>
      <c r="X3818">
        <v>0.96955860000000005</v>
      </c>
      <c r="Y3818">
        <v>-0.32126719999999998</v>
      </c>
      <c r="Z3818">
        <v>3.8413739999999998E-3</v>
      </c>
      <c r="AA3818">
        <v>0.94698079999999996</v>
      </c>
      <c r="AB3818">
        <v>26</v>
      </c>
      <c r="AC3818">
        <v>-16.5654</v>
      </c>
      <c r="AD3818">
        <v>-1.1171288596190001</v>
      </c>
      <c r="AE3818">
        <v>-14.431399999999901</v>
      </c>
      <c r="AF3818">
        <v>-7.1164482867624699</v>
      </c>
      <c r="AG3818">
        <v>-1.1171288596190001</v>
      </c>
      <c r="AH3818">
        <v>20.7255311125672</v>
      </c>
      <c r="AI3818">
        <v>92.918386932554498</v>
      </c>
      <c r="AJ3818">
        <v>108.950742740732</v>
      </c>
      <c r="AK3818">
        <v>21.941728578330999</v>
      </c>
      <c r="AL3818">
        <v>79.3991748710759</v>
      </c>
      <c r="AM3818">
        <v>99.462396954825493</v>
      </c>
      <c r="AN3818">
        <v>0.99999996706778405</v>
      </c>
    </row>
    <row r="3819" spans="1:40" x14ac:dyDescent="0.25">
      <c r="A3819" t="str">
        <f>"20190304155449273"</f>
        <v>20190304155449273</v>
      </c>
      <c r="B3819" t="str">
        <f>"1551686089260821"</f>
        <v>1551686089260821</v>
      </c>
      <c r="C3819" t="s">
        <v>40</v>
      </c>
      <c r="D3819">
        <v>4.0543430000000003</v>
      </c>
      <c r="E3819">
        <v>0.42817149999999998</v>
      </c>
      <c r="F3819" t="s">
        <v>62</v>
      </c>
      <c r="G3819">
        <v>-426.09039999999999</v>
      </c>
      <c r="H3819" s="1">
        <v>-3.6422250000000001E-6</v>
      </c>
      <c r="I3819">
        <v>122.9786</v>
      </c>
      <c r="J3819">
        <v>-409.34539999999998</v>
      </c>
      <c r="K3819">
        <v>1.1172089999999999</v>
      </c>
      <c r="L3819">
        <v>137.86869999999999</v>
      </c>
      <c r="M3819">
        <v>-0.92266610000000004</v>
      </c>
      <c r="N3819">
        <v>-1.401905E-2</v>
      </c>
      <c r="O3819">
        <v>-0.38534550000000001</v>
      </c>
      <c r="P3819">
        <v>-0.83587959999999994</v>
      </c>
      <c r="Q3819">
        <v>0.17306859999999999</v>
      </c>
      <c r="R3819">
        <v>-0.52091560000000003</v>
      </c>
      <c r="S3819">
        <v>-2.3393860000000002</v>
      </c>
      <c r="T3819">
        <v>-0.15389120000000001</v>
      </c>
      <c r="U3819">
        <v>-2.0660400000000001</v>
      </c>
      <c r="V3819">
        <v>-0.1615924</v>
      </c>
      <c r="W3819">
        <v>0.1840466</v>
      </c>
      <c r="X3819">
        <v>0.96954359999999995</v>
      </c>
      <c r="Y3819">
        <v>-0.32171949999999999</v>
      </c>
      <c r="Z3819">
        <v>3.9350569999999996E-3</v>
      </c>
      <c r="AA3819">
        <v>0.94682679999999997</v>
      </c>
      <c r="AB3819">
        <v>26</v>
      </c>
      <c r="AC3819">
        <v>-16.745000000000001</v>
      </c>
      <c r="AD3819">
        <v>-1.1172126422249999</v>
      </c>
      <c r="AE3819">
        <v>-14.890099999999901</v>
      </c>
      <c r="AF3819">
        <v>-7.2686260202628503</v>
      </c>
      <c r="AG3819">
        <v>-1.1172126422249999</v>
      </c>
      <c r="AH3819">
        <v>21.137410627953098</v>
      </c>
      <c r="AI3819">
        <v>92.861382900608206</v>
      </c>
      <c r="AJ3819">
        <v>108.976810112002</v>
      </c>
      <c r="AK3819">
        <v>22.380152286459001</v>
      </c>
      <c r="AL3819">
        <v>79.394448068713004</v>
      </c>
      <c r="AM3819">
        <v>99.462425705187201</v>
      </c>
      <c r="AN3819">
        <v>1.0000000235051301</v>
      </c>
    </row>
    <row r="3820" spans="1:40" x14ac:dyDescent="0.25">
      <c r="A3820" t="str">
        <f>"20190304155449294"</f>
        <v>20190304155449294</v>
      </c>
      <c r="B3820" t="str">
        <f>"1551686089291077"</f>
        <v>1551686089291077</v>
      </c>
      <c r="C3820" t="s">
        <v>40</v>
      </c>
      <c r="D3820">
        <v>4.090484</v>
      </c>
      <c r="E3820">
        <v>0.42841570000000001</v>
      </c>
      <c r="F3820" t="s">
        <v>62</v>
      </c>
      <c r="G3820">
        <v>-426.13839999999999</v>
      </c>
      <c r="H3820" s="1">
        <v>-3.5287120000000001E-6</v>
      </c>
      <c r="I3820">
        <v>122.7516</v>
      </c>
      <c r="J3820">
        <v>-409.57170000000002</v>
      </c>
      <c r="K3820">
        <v>1.117292</v>
      </c>
      <c r="L3820">
        <v>137.76310000000001</v>
      </c>
      <c r="M3820">
        <v>-0.91897989999999996</v>
      </c>
      <c r="N3820">
        <v>-1.407545E-2</v>
      </c>
      <c r="O3820">
        <v>-0.3940536</v>
      </c>
      <c r="P3820">
        <v>-0.83076819999999896</v>
      </c>
      <c r="Q3820">
        <v>0.1730418</v>
      </c>
      <c r="R3820">
        <v>-0.52903820000000001</v>
      </c>
      <c r="S3820">
        <v>-2.3196720000000002</v>
      </c>
      <c r="T3820">
        <v>-0.15432390000000001</v>
      </c>
      <c r="U3820">
        <v>-2.088165</v>
      </c>
      <c r="V3820">
        <v>-0.16190750000000001</v>
      </c>
      <c r="W3820">
        <v>0.18403910000000001</v>
      </c>
      <c r="X3820">
        <v>0.96949240000000003</v>
      </c>
      <c r="Y3820">
        <v>-0.32175890000000001</v>
      </c>
      <c r="Z3820">
        <v>4.2821129999999997E-3</v>
      </c>
      <c r="AA3820">
        <v>0.94681199999999999</v>
      </c>
      <c r="AB3820">
        <v>26</v>
      </c>
      <c r="AC3820">
        <v>-16.566699999999901</v>
      </c>
      <c r="AD3820">
        <v>-1.1172955287120001</v>
      </c>
      <c r="AE3820">
        <v>-15.0115</v>
      </c>
      <c r="AF3820">
        <v>-7.2497099076179596</v>
      </c>
      <c r="AG3820">
        <v>-1.1172955287120001</v>
      </c>
      <c r="AH3820">
        <v>21.0892155313771</v>
      </c>
      <c r="AI3820">
        <v>92.868221333303296</v>
      </c>
      <c r="AJ3820">
        <v>108.971117451377</v>
      </c>
      <c r="AK3820">
        <v>22.328494234318001</v>
      </c>
      <c r="AL3820">
        <v>79.394884694609203</v>
      </c>
      <c r="AM3820">
        <v>99.481034086134002</v>
      </c>
      <c r="AN3820">
        <v>0.99999997127140905</v>
      </c>
    </row>
    <row r="3821" spans="1:40" x14ac:dyDescent="0.25">
      <c r="A3821" t="str">
        <f>"20190304155449319"</f>
        <v>20190304155449319</v>
      </c>
      <c r="B3821" t="str">
        <f>"1551686089311573"</f>
        <v>1551686089311573</v>
      </c>
      <c r="C3821" t="s">
        <v>40</v>
      </c>
      <c r="D3821">
        <v>4.0957220000000003</v>
      </c>
      <c r="E3821">
        <v>0.42861900000000003</v>
      </c>
      <c r="F3821" t="s">
        <v>62</v>
      </c>
      <c r="G3821">
        <v>-426.17110000000002</v>
      </c>
      <c r="H3821" s="1">
        <v>-3.4208470000000002E-6</v>
      </c>
      <c r="I3821">
        <v>122.5412</v>
      </c>
      <c r="J3821">
        <v>-409.81849999999997</v>
      </c>
      <c r="K3821">
        <v>1.1173879999999901</v>
      </c>
      <c r="L3821">
        <v>137.64490000000001</v>
      </c>
      <c r="M3821">
        <v>-0.91478649999999995</v>
      </c>
      <c r="N3821">
        <v>-1.4137800000000001E-2</v>
      </c>
      <c r="O3821">
        <v>-0.4036902</v>
      </c>
      <c r="P3821">
        <v>-0.82491170000000003</v>
      </c>
      <c r="Q3821">
        <v>0.17323529999999901</v>
      </c>
      <c r="R3821">
        <v>-0.53806169999999998</v>
      </c>
      <c r="S3821">
        <v>-2.3001399999999999</v>
      </c>
      <c r="T3821">
        <v>-0.1548213</v>
      </c>
      <c r="U3821">
        <v>-2.1092680000000001</v>
      </c>
      <c r="V3821">
        <v>-0.16234799999999999</v>
      </c>
      <c r="W3821">
        <v>0.1842482</v>
      </c>
      <c r="X3821">
        <v>0.96937910000000005</v>
      </c>
      <c r="Y3821">
        <v>-0.32053579999999998</v>
      </c>
      <c r="Z3821">
        <v>4.7119930000000003E-3</v>
      </c>
      <c r="AA3821">
        <v>0.94722470000000003</v>
      </c>
      <c r="AB3821">
        <v>26</v>
      </c>
      <c r="AC3821">
        <v>-16.352599999999999</v>
      </c>
      <c r="AD3821">
        <v>-1.1173914208469899</v>
      </c>
      <c r="AE3821">
        <v>-15.1037</v>
      </c>
      <c r="AF3821">
        <v>-7.1978615661280303</v>
      </c>
      <c r="AG3821">
        <v>-1.1173914208469899</v>
      </c>
      <c r="AH3821">
        <v>21.005531376210801</v>
      </c>
      <c r="AI3821">
        <v>92.880845743556506</v>
      </c>
      <c r="AJ3821">
        <v>108.914795678114</v>
      </c>
      <c r="AK3821">
        <v>22.232636440816002</v>
      </c>
      <c r="AL3821">
        <v>79.382696616106102</v>
      </c>
      <c r="AM3821">
        <v>99.507449666038895</v>
      </c>
      <c r="AN3821">
        <v>1.0000000559120199</v>
      </c>
    </row>
    <row r="3822" spans="1:40" x14ac:dyDescent="0.25">
      <c r="A3822" t="str">
        <f>"20190304155449340"</f>
        <v>20190304155449340</v>
      </c>
      <c r="B3822" t="str">
        <f>"1551686089331092"</f>
        <v>1551686089331092</v>
      </c>
      <c r="C3822" t="s">
        <v>40</v>
      </c>
      <c r="D3822">
        <v>4.0804289999999996</v>
      </c>
      <c r="E3822">
        <v>0.42877460000000001</v>
      </c>
      <c r="F3822" t="s">
        <v>62</v>
      </c>
      <c r="G3822">
        <v>-426.26369999999997</v>
      </c>
      <c r="H3822" s="1">
        <v>-3.27853E-6</v>
      </c>
      <c r="I3822">
        <v>122.24339999999999</v>
      </c>
      <c r="J3822">
        <v>-410.0412</v>
      </c>
      <c r="K3822">
        <v>1.1174809999999999</v>
      </c>
      <c r="L3822">
        <v>137.5351</v>
      </c>
      <c r="M3822">
        <v>-0.9108311</v>
      </c>
      <c r="N3822">
        <v>-1.4192120000000001E-2</v>
      </c>
      <c r="O3822">
        <v>-0.4125356</v>
      </c>
      <c r="P3822">
        <v>-0.81966890000000003</v>
      </c>
      <c r="Q3822">
        <v>0.17278789999999999</v>
      </c>
      <c r="R3822">
        <v>-0.54615719999999901</v>
      </c>
      <c r="S3822">
        <v>-2.2778320000000001</v>
      </c>
      <c r="T3822">
        <v>-0.15476980000000001</v>
      </c>
      <c r="U3822">
        <v>-2.1332550000000001</v>
      </c>
      <c r="V3822">
        <v>-0.16249350000000001</v>
      </c>
      <c r="W3822">
        <v>0.18381700000000001</v>
      </c>
      <c r="X3822">
        <v>0.96943650000000003</v>
      </c>
      <c r="Y3822">
        <v>-0.32130239999999999</v>
      </c>
      <c r="Z3822">
        <v>5.0082049999999999E-3</v>
      </c>
      <c r="AA3822">
        <v>0.94696340000000001</v>
      </c>
      <c r="AB3822">
        <v>26</v>
      </c>
      <c r="AC3822">
        <v>-16.222499999999901</v>
      </c>
      <c r="AD3822">
        <v>-1.1174842785300001</v>
      </c>
      <c r="AE3822">
        <v>-15.291700000000001</v>
      </c>
      <c r="AF3822">
        <v>-7.2183879325946796</v>
      </c>
      <c r="AG3822">
        <v>-1.1174842785300001</v>
      </c>
      <c r="AH3822">
        <v>21.0335995512274</v>
      </c>
      <c r="AI3822">
        <v>92.876789502361703</v>
      </c>
      <c r="AJ3822">
        <v>108.94138358562</v>
      </c>
      <c r="AK3822">
        <v>22.265807992066801</v>
      </c>
      <c r="AL3822">
        <v>79.407831019002202</v>
      </c>
      <c r="AM3822">
        <v>99.515261577178507</v>
      </c>
      <c r="AN3822">
        <v>0.99999997728174905</v>
      </c>
    </row>
    <row r="3823" spans="1:40" x14ac:dyDescent="0.25">
      <c r="A3823" t="str">
        <f>"20190304155449367"</f>
        <v>20190304155449367</v>
      </c>
      <c r="B3823" t="str">
        <f>"1551686089361349"</f>
        <v>1551686089361349</v>
      </c>
      <c r="C3823" t="s">
        <v>40</v>
      </c>
      <c r="D3823">
        <v>4.1405949999999896</v>
      </c>
      <c r="E3823">
        <v>0.43234210000000001</v>
      </c>
      <c r="F3823" t="s">
        <v>62</v>
      </c>
      <c r="G3823">
        <v>-426.17039999999997</v>
      </c>
      <c r="H3823" s="1">
        <v>-3.2019530000000002E-6</v>
      </c>
      <c r="I3823">
        <v>122.1412</v>
      </c>
      <c r="J3823">
        <v>-410.30279999999999</v>
      </c>
      <c r="K3823">
        <v>1.117591</v>
      </c>
      <c r="L3823">
        <v>137.40219999999999</v>
      </c>
      <c r="M3823">
        <v>-0.90596270000000001</v>
      </c>
      <c r="N3823">
        <v>-1.4252580000000001E-2</v>
      </c>
      <c r="O3823">
        <v>-0.42311739999999998</v>
      </c>
      <c r="P3823">
        <v>-0.81320570000000003</v>
      </c>
      <c r="Q3823">
        <v>0.17226469999999999</v>
      </c>
      <c r="R3823">
        <v>-0.55589690000000003</v>
      </c>
      <c r="S3823">
        <v>-2.2574160000000001</v>
      </c>
      <c r="T3823">
        <v>-0.15640079999999901</v>
      </c>
      <c r="U3823">
        <v>-2.1544949999999998</v>
      </c>
      <c r="V3823">
        <v>-0.1627603</v>
      </c>
      <c r="W3823">
        <v>0.18330650000000001</v>
      </c>
      <c r="X3823">
        <v>0.96948840000000003</v>
      </c>
      <c r="Y3823">
        <v>-0.31921670000000002</v>
      </c>
      <c r="Z3823">
        <v>5.6088369999999898E-3</v>
      </c>
      <c r="AA3823">
        <v>0.94766519999999999</v>
      </c>
      <c r="AB3823">
        <v>26</v>
      </c>
      <c r="AC3823">
        <v>-15.8675999999999</v>
      </c>
      <c r="AD3823">
        <v>-1.1175942019530001</v>
      </c>
      <c r="AE3823">
        <v>-15.2609999999999</v>
      </c>
      <c r="AF3823">
        <v>-7.0944795218633097</v>
      </c>
      <c r="AG3823">
        <v>-1.1175942019530001</v>
      </c>
      <c r="AH3823">
        <v>20.781212682268801</v>
      </c>
      <c r="AI3823">
        <v>92.913552919504298</v>
      </c>
      <c r="AJ3823">
        <v>108.849345450192</v>
      </c>
      <c r="AK3823">
        <v>21.98725669637</v>
      </c>
      <c r="AL3823">
        <v>79.437586062487199</v>
      </c>
      <c r="AM3823">
        <v>99.530097582725006</v>
      </c>
      <c r="AN3823">
        <v>0.99999997296644905</v>
      </c>
    </row>
    <row r="3824" spans="1:40" x14ac:dyDescent="0.25">
      <c r="A3824" t="str">
        <f>"20190304155449392"</f>
        <v>20190304155449392</v>
      </c>
      <c r="B3824" t="str">
        <f>"1551686089380868"</f>
        <v>1551686089380868</v>
      </c>
      <c r="C3824" t="s">
        <v>40</v>
      </c>
      <c r="D3824">
        <v>4.1795260000000001</v>
      </c>
      <c r="E3824">
        <v>0.42272110000000002</v>
      </c>
      <c r="F3824" t="s">
        <v>62</v>
      </c>
      <c r="G3824">
        <v>-424.38229999999999</v>
      </c>
      <c r="H3824" s="1">
        <v>-3.7639250000000001E-6</v>
      </c>
      <c r="I3824">
        <v>123.89360000000001</v>
      </c>
      <c r="J3824">
        <v>-410.55939999999998</v>
      </c>
      <c r="K3824">
        <v>1.1176950000000001</v>
      </c>
      <c r="L3824">
        <v>137.268</v>
      </c>
      <c r="M3824">
        <v>-0.90095689999999995</v>
      </c>
      <c r="N3824">
        <v>-1.4308130000000001E-2</v>
      </c>
      <c r="O3824">
        <v>-0.43367250000000002</v>
      </c>
      <c r="P3824">
        <v>-0.80664009999999997</v>
      </c>
      <c r="Q3824">
        <v>0.17185599999999901</v>
      </c>
      <c r="R3824">
        <v>-0.56550649999999902</v>
      </c>
      <c r="S3824">
        <v>-2.2507320000000002</v>
      </c>
      <c r="T3824">
        <v>-0.17865739999999999</v>
      </c>
      <c r="U3824">
        <v>-2.1594699999999998</v>
      </c>
      <c r="V3824">
        <v>-0.1629371</v>
      </c>
      <c r="W3824">
        <v>0.18290989999999999</v>
      </c>
      <c r="X3824">
        <v>0.9695336</v>
      </c>
      <c r="Y3824">
        <v>-0.31063089999999999</v>
      </c>
      <c r="Z3824">
        <v>8.3497050000000007E-3</v>
      </c>
      <c r="AA3824">
        <v>0.9504939</v>
      </c>
      <c r="AB3824">
        <v>26</v>
      </c>
      <c r="AC3824">
        <v>-13.822900000000001</v>
      </c>
      <c r="AD3824">
        <v>-1.117698763925</v>
      </c>
      <c r="AE3824">
        <v>-13.3743999999999</v>
      </c>
      <c r="AF3824">
        <v>-6.03538608316068</v>
      </c>
      <c r="AG3824">
        <v>-1.117698763925</v>
      </c>
      <c r="AH3824">
        <v>18.194376942934099</v>
      </c>
      <c r="AI3824">
        <v>93.336953892029001</v>
      </c>
      <c r="AJ3824">
        <v>108.35156579908499</v>
      </c>
      <c r="AK3824">
        <v>19.201835538334901</v>
      </c>
      <c r="AL3824">
        <v>79.4607002920458</v>
      </c>
      <c r="AM3824">
        <v>99.539822965294306</v>
      </c>
      <c r="AN3824">
        <v>0.99999996580168904</v>
      </c>
    </row>
    <row r="3825" spans="1:40" x14ac:dyDescent="0.25">
      <c r="A3825" t="str">
        <f>"20190304155449412"</f>
        <v>20190304155449412</v>
      </c>
      <c r="B3825" t="str">
        <f>"1551686089401364"</f>
        <v>1551686089401364</v>
      </c>
      <c r="C3825" t="s">
        <v>40</v>
      </c>
      <c r="D3825">
        <v>4.1284910000000004</v>
      </c>
      <c r="E3825">
        <v>0.43419239999999998</v>
      </c>
      <c r="F3825" t="s">
        <v>46</v>
      </c>
      <c r="G3825">
        <v>-429.71800000000002</v>
      </c>
      <c r="H3825" s="1">
        <v>-5.2869250000000002E-6</v>
      </c>
      <c r="I3825">
        <v>117.4571</v>
      </c>
      <c r="J3825">
        <v>-410.7629</v>
      </c>
      <c r="K3825">
        <v>1.1177520000000001</v>
      </c>
      <c r="L3825">
        <v>137.15860000000001</v>
      </c>
      <c r="M3825">
        <v>-0.89681949999999999</v>
      </c>
      <c r="N3825">
        <v>-1.4348970000000001E-2</v>
      </c>
      <c r="O3825">
        <v>-0.442164</v>
      </c>
      <c r="P3825">
        <v>-0.80121409999999904</v>
      </c>
      <c r="Q3825">
        <v>0.17156469999999999</v>
      </c>
      <c r="R3825">
        <v>-0.57325550000000003</v>
      </c>
      <c r="S3825">
        <v>-2.1717529999999998</v>
      </c>
      <c r="T3825">
        <v>-0.12669800000000001</v>
      </c>
      <c r="U3825">
        <v>-2.245682</v>
      </c>
      <c r="V3825">
        <v>-0.16312289999999999</v>
      </c>
      <c r="W3825">
        <v>0.1826296</v>
      </c>
      <c r="X3825">
        <v>0.96955530000000001</v>
      </c>
      <c r="Y3825">
        <v>-0.33711459999999999</v>
      </c>
      <c r="Z3825">
        <v>3.0323619999999998E-3</v>
      </c>
      <c r="AA3825">
        <v>0.94145880000000004</v>
      </c>
      <c r="AB3825">
        <v>26</v>
      </c>
      <c r="AC3825">
        <v>-18.955100000000002</v>
      </c>
      <c r="AD3825">
        <v>-1.1177572869249901</v>
      </c>
      <c r="AE3825">
        <v>-19.701499999999999</v>
      </c>
      <c r="AF3825">
        <v>-9.2728823208571391</v>
      </c>
      <c r="AG3825">
        <v>-1.1177572869249901</v>
      </c>
      <c r="AH3825">
        <v>25.670334244872901</v>
      </c>
      <c r="AI3825">
        <v>92.345110252678793</v>
      </c>
      <c r="AJ3825">
        <v>109.861215454456</v>
      </c>
      <c r="AK3825">
        <v>27.3166943119484</v>
      </c>
      <c r="AL3825">
        <v>79.477036514687995</v>
      </c>
      <c r="AM3825">
        <v>99.550291299017701</v>
      </c>
      <c r="AN3825">
        <v>1.00000006552932</v>
      </c>
    </row>
    <row r="3826" spans="1:40" x14ac:dyDescent="0.25">
      <c r="A3826" t="str">
        <f>"20190304155449432"</f>
        <v>20190304155449432</v>
      </c>
      <c r="B3826" t="str">
        <f>"1551686089420884"</f>
        <v>1551686089420884</v>
      </c>
      <c r="C3826" t="s">
        <v>40</v>
      </c>
      <c r="D3826">
        <v>4.1830530000000001</v>
      </c>
      <c r="E3826">
        <v>0.43398940000000003</v>
      </c>
      <c r="F3826" t="s">
        <v>62</v>
      </c>
      <c r="G3826">
        <v>-424.18759999999997</v>
      </c>
      <c r="H3826" s="1">
        <v>-3.6869140000000002E-6</v>
      </c>
      <c r="I3826">
        <v>123.8318</v>
      </c>
      <c r="J3826">
        <v>-410.96809999999999</v>
      </c>
      <c r="K3826">
        <v>1.1178159999999999</v>
      </c>
      <c r="L3826">
        <v>137.04580000000001</v>
      </c>
      <c r="M3826">
        <v>-0.89249429999999996</v>
      </c>
      <c r="N3826">
        <v>-1.4386899999999999E-2</v>
      </c>
      <c r="O3826">
        <v>-0.45082909999999998</v>
      </c>
      <c r="P3826">
        <v>-0.7954426</v>
      </c>
      <c r="Q3826">
        <v>0.17123389999999999</v>
      </c>
      <c r="R3826">
        <v>-0.58133480000000004</v>
      </c>
      <c r="S3826">
        <v>-2.212402</v>
      </c>
      <c r="T3826">
        <v>-0.18420800000000001</v>
      </c>
      <c r="U3826">
        <v>-2.1962890000000002</v>
      </c>
      <c r="V3826">
        <v>-0.16353599999999999</v>
      </c>
      <c r="W3826">
        <v>0.18230370000000001</v>
      </c>
      <c r="X3826">
        <v>0.96954700000000005</v>
      </c>
      <c r="Y3826">
        <v>-0.30865169999999997</v>
      </c>
      <c r="Z3826">
        <v>9.7636800000000003E-3</v>
      </c>
      <c r="AA3826">
        <v>0.951125</v>
      </c>
      <c r="AB3826">
        <v>26</v>
      </c>
      <c r="AC3826">
        <v>-13.219499999999901</v>
      </c>
      <c r="AD3826">
        <v>-1.117819686914</v>
      </c>
      <c r="AE3826">
        <v>-13.214</v>
      </c>
      <c r="AF3826">
        <v>-5.8134961580099098</v>
      </c>
      <c r="AG3826">
        <v>-1.117819686914</v>
      </c>
      <c r="AH3826">
        <v>17.6941385840924</v>
      </c>
      <c r="AI3826">
        <v>93.434666323203203</v>
      </c>
      <c r="AJ3826">
        <v>108.188191612523</v>
      </c>
      <c r="AK3826">
        <v>18.658209953388202</v>
      </c>
      <c r="AL3826">
        <v>79.496027593290194</v>
      </c>
      <c r="AM3826">
        <v>99.574110194681893</v>
      </c>
      <c r="AN3826">
        <v>1.0000000237693401</v>
      </c>
    </row>
    <row r="3827" spans="1:40" x14ac:dyDescent="0.25">
      <c r="A3827" t="str">
        <f>"20190304155449455"</f>
        <v>20190304155449455</v>
      </c>
      <c r="B3827" t="str">
        <f>"1551686089451141"</f>
        <v>1551686089451141</v>
      </c>
      <c r="C3827" t="s">
        <v>40</v>
      </c>
      <c r="D3827">
        <v>4.1853400000000001</v>
      </c>
      <c r="E3827">
        <v>0.42414020000000002</v>
      </c>
      <c r="F3827" t="s">
        <v>62</v>
      </c>
      <c r="G3827">
        <v>-424.35629999999998</v>
      </c>
      <c r="H3827" s="1">
        <v>-3.52392E-6</v>
      </c>
      <c r="I3827">
        <v>123.4653</v>
      </c>
      <c r="J3827">
        <v>-411.18430000000001</v>
      </c>
      <c r="K3827">
        <v>1.117877</v>
      </c>
      <c r="L3827">
        <v>136.9239</v>
      </c>
      <c r="M3827">
        <v>-0.88776149999999998</v>
      </c>
      <c r="N3827">
        <v>-1.44245E-2</v>
      </c>
      <c r="O3827">
        <v>-0.46007799999999999</v>
      </c>
      <c r="P3827">
        <v>-0.78944729999999996</v>
      </c>
      <c r="Q3827">
        <v>0.17068179999999999</v>
      </c>
      <c r="R3827">
        <v>-0.58961109999999906</v>
      </c>
      <c r="S3827">
        <v>-2.1884459999999999</v>
      </c>
      <c r="T3827">
        <v>-0.18271950000000001</v>
      </c>
      <c r="U3827">
        <v>-2.2198639999999998</v>
      </c>
      <c r="V3827">
        <v>-0.16355169999999999</v>
      </c>
      <c r="W3827">
        <v>0.18176410000000001</v>
      </c>
      <c r="X3827">
        <v>0.9696456</v>
      </c>
      <c r="Y3827">
        <v>-0.30903019999999998</v>
      </c>
      <c r="Z3827">
        <v>1.0044829999999999E-2</v>
      </c>
      <c r="AA3827">
        <v>0.95099920000000004</v>
      </c>
      <c r="AB3827">
        <v>26</v>
      </c>
      <c r="AC3827">
        <v>-13.171999999999899</v>
      </c>
      <c r="AD3827">
        <v>-1.11788052392</v>
      </c>
      <c r="AE3827">
        <v>-13.458600000000001</v>
      </c>
      <c r="AF3827">
        <v>-5.8678143388992403</v>
      </c>
      <c r="AG3827">
        <v>-1.11788052392</v>
      </c>
      <c r="AH3827">
        <v>17.8246483235455</v>
      </c>
      <c r="AI3827">
        <v>93.409115025581698</v>
      </c>
      <c r="AJ3827">
        <v>108.22137120182801</v>
      </c>
      <c r="AK3827">
        <v>18.798909272604799</v>
      </c>
      <c r="AL3827">
        <v>79.527469133187097</v>
      </c>
      <c r="AM3827">
        <v>99.574056697542602</v>
      </c>
      <c r="AN3827">
        <v>0.99999996811052905</v>
      </c>
    </row>
    <row r="3828" spans="1:40" x14ac:dyDescent="0.25">
      <c r="A3828" t="str">
        <f>"20190304155449476"</f>
        <v>20190304155449476</v>
      </c>
      <c r="B3828" t="str">
        <f>"1551686089470661"</f>
        <v>1551686089470661</v>
      </c>
      <c r="C3828" t="s">
        <v>40</v>
      </c>
      <c r="D3828">
        <v>4.1277660000000003</v>
      </c>
      <c r="E3828">
        <v>0.4264754</v>
      </c>
      <c r="F3828" t="s">
        <v>46</v>
      </c>
      <c r="G3828">
        <v>-429.57839999999999</v>
      </c>
      <c r="H3828" s="1">
        <v>-5.0541389999999996E-6</v>
      </c>
      <c r="I3828">
        <v>116.8459</v>
      </c>
      <c r="J3828">
        <v>-411.39420000000001</v>
      </c>
      <c r="K3828">
        <v>1.117947</v>
      </c>
      <c r="L3828">
        <v>136.80250000000001</v>
      </c>
      <c r="M3828">
        <v>-0.88298639999999995</v>
      </c>
      <c r="N3828">
        <v>-1.4459609999999999E-2</v>
      </c>
      <c r="O3828">
        <v>-0.46917599999999998</v>
      </c>
      <c r="P3828">
        <v>-0.78324689999999997</v>
      </c>
      <c r="Q3828">
        <v>0.17054059999999999</v>
      </c>
      <c r="R3828">
        <v>-0.59786359999999905</v>
      </c>
      <c r="S3828">
        <v>-2.1087340000000001</v>
      </c>
      <c r="T3828">
        <v>-0.12815560000000001</v>
      </c>
      <c r="U3828">
        <v>-2.3017729999999998</v>
      </c>
      <c r="V3828">
        <v>-0.16377549999999999</v>
      </c>
      <c r="W3828">
        <v>0.1816285</v>
      </c>
      <c r="X3828">
        <v>0.96963330000000003</v>
      </c>
      <c r="Y3828">
        <v>-0.33397169999999998</v>
      </c>
      <c r="Z3828">
        <v>4.04397E-3</v>
      </c>
      <c r="AA3828">
        <v>0.94257440000000003</v>
      </c>
      <c r="AB3828">
        <v>26</v>
      </c>
      <c r="AC3828">
        <v>-18.184199999999901</v>
      </c>
      <c r="AD3828">
        <v>-1.117952054139</v>
      </c>
      <c r="AE3828">
        <v>-19.956600000000002</v>
      </c>
      <c r="AF3828">
        <v>-9.0752055002524195</v>
      </c>
      <c r="AG3828">
        <v>-1.117952054139</v>
      </c>
      <c r="AH3828">
        <v>25.3787004954319</v>
      </c>
      <c r="AI3828">
        <v>92.375186503360396</v>
      </c>
      <c r="AJ3828">
        <v>109.67661415637301</v>
      </c>
      <c r="AK3828">
        <v>26.9756855427994</v>
      </c>
      <c r="AL3828">
        <v>79.535370622904793</v>
      </c>
      <c r="AM3828">
        <v>99.587033951177006</v>
      </c>
      <c r="AN3828">
        <v>1.0000000314406901</v>
      </c>
    </row>
    <row r="3829" spans="1:40" x14ac:dyDescent="0.25">
      <c r="A3829" t="str">
        <f>"20190304155449497"</f>
        <v>20190304155449497</v>
      </c>
      <c r="B3829" t="str">
        <f>"1551686089491157"</f>
        <v>1551686089491157</v>
      </c>
      <c r="C3829" t="s">
        <v>40</v>
      </c>
      <c r="D3829">
        <v>4.1302029999999998</v>
      </c>
      <c r="E3829">
        <v>0.42688520000000002</v>
      </c>
      <c r="F3829" t="s">
        <v>46</v>
      </c>
      <c r="G3829">
        <v>-428.28100000000001</v>
      </c>
      <c r="H3829" s="1">
        <v>-5.2857089999999997E-6</v>
      </c>
      <c r="I3829">
        <v>118.2026</v>
      </c>
      <c r="J3829">
        <v>-411.608</v>
      </c>
      <c r="K3829">
        <v>1.118012</v>
      </c>
      <c r="L3829">
        <v>136.67580000000001</v>
      </c>
      <c r="M3829">
        <v>-0.87794039999999995</v>
      </c>
      <c r="N3829">
        <v>-1.449377E-2</v>
      </c>
      <c r="O3829">
        <v>-0.4785509</v>
      </c>
      <c r="P3829">
        <v>-0.77678169999999902</v>
      </c>
      <c r="Q3829">
        <v>0.17029610000000001</v>
      </c>
      <c r="R3829">
        <v>-0.60630869999999903</v>
      </c>
      <c r="S3829">
        <v>-2.097229</v>
      </c>
      <c r="T3829">
        <v>-0.1388422</v>
      </c>
      <c r="U3829">
        <v>-2.3099820000000002</v>
      </c>
      <c r="V3829">
        <v>-0.1639494</v>
      </c>
      <c r="W3829">
        <v>0.18138850000000001</v>
      </c>
      <c r="X3829">
        <v>0.96964879999999998</v>
      </c>
      <c r="Y3829">
        <v>-0.32816650000000003</v>
      </c>
      <c r="Z3829">
        <v>5.6116450000000002E-3</v>
      </c>
      <c r="AA3829">
        <v>0.94460319999999998</v>
      </c>
      <c r="AB3829">
        <v>26</v>
      </c>
      <c r="AC3829">
        <v>-16.672999999999998</v>
      </c>
      <c r="AD3829">
        <v>-1.1180172857089901</v>
      </c>
      <c r="AE3829">
        <v>-18.473199999999999</v>
      </c>
      <c r="AF3829">
        <v>-8.22375366159938</v>
      </c>
      <c r="AG3829">
        <v>-1.1180172857089901</v>
      </c>
      <c r="AH3829">
        <v>23.433427972516</v>
      </c>
      <c r="AI3829">
        <v>92.577635125278206</v>
      </c>
      <c r="AJ3829">
        <v>109.33807015689101</v>
      </c>
      <c r="AK3829">
        <v>24.859719094971901</v>
      </c>
      <c r="AL3829">
        <v>79.5493534899975</v>
      </c>
      <c r="AM3829">
        <v>99.596873853790299</v>
      </c>
      <c r="AN3829">
        <v>0.99999999451702404</v>
      </c>
    </row>
    <row r="3830" spans="1:40" x14ac:dyDescent="0.25">
      <c r="A3830" t="str">
        <f>"20190304155449519"</f>
        <v>20190304155449519</v>
      </c>
      <c r="B3830" t="str">
        <f>"1551686089511654"</f>
        <v>1551686089511654</v>
      </c>
      <c r="C3830" t="s">
        <v>40</v>
      </c>
      <c r="D3830">
        <v>4.1674249999999997</v>
      </c>
      <c r="E3830">
        <v>0.42725849999999999</v>
      </c>
      <c r="F3830" t="s">
        <v>46</v>
      </c>
      <c r="G3830">
        <v>-428.21120000000002</v>
      </c>
      <c r="H3830" s="1">
        <v>-5.2127439999999996E-6</v>
      </c>
      <c r="I3830">
        <v>118.02460000000001</v>
      </c>
      <c r="J3830">
        <v>-411.81569999999999</v>
      </c>
      <c r="K3830">
        <v>1.118074</v>
      </c>
      <c r="L3830">
        <v>136.5496</v>
      </c>
      <c r="M3830">
        <v>-0.87285000000000001</v>
      </c>
      <c r="N3830">
        <v>-1.452532E-2</v>
      </c>
      <c r="O3830">
        <v>-0.48777229999999999</v>
      </c>
      <c r="P3830">
        <v>-0.77004519999999999</v>
      </c>
      <c r="Q3830">
        <v>0.1695914</v>
      </c>
      <c r="R3830">
        <v>-0.61503609999999997</v>
      </c>
      <c r="S3830">
        <v>-2.0740970000000001</v>
      </c>
      <c r="T3830">
        <v>-0.1396646</v>
      </c>
      <c r="U3830">
        <v>-2.3299409999999998</v>
      </c>
      <c r="V3830">
        <v>-0.16461999999999999</v>
      </c>
      <c r="W3830">
        <v>0.18067659999999999</v>
      </c>
      <c r="X3830">
        <v>0.96966810000000003</v>
      </c>
      <c r="Y3830">
        <v>-0.3274685</v>
      </c>
      <c r="Z3830">
        <v>6.0310980000000004E-3</v>
      </c>
      <c r="AA3830">
        <v>0.94484290000000004</v>
      </c>
      <c r="AB3830">
        <v>26</v>
      </c>
      <c r="AC3830">
        <v>-16.395499999999998</v>
      </c>
      <c r="AD3830">
        <v>-1.118079212744</v>
      </c>
      <c r="AE3830">
        <v>-18.524999999999899</v>
      </c>
      <c r="AF3830">
        <v>-8.1564769215524393</v>
      </c>
      <c r="AG3830">
        <v>-1.118079212744</v>
      </c>
      <c r="AH3830">
        <v>23.3016601794275</v>
      </c>
      <c r="AI3830">
        <v>92.593064411152696</v>
      </c>
      <c r="AJ3830">
        <v>109.292008602099</v>
      </c>
      <c r="AK3830">
        <v>24.713267368264098</v>
      </c>
      <c r="AL3830">
        <v>79.590827699553301</v>
      </c>
      <c r="AM3830">
        <v>99.635205168409797</v>
      </c>
      <c r="AN3830">
        <v>1.00000000117258</v>
      </c>
    </row>
    <row r="3831" spans="1:40" x14ac:dyDescent="0.25">
      <c r="A3831" t="str">
        <f>"20190304155449542"</f>
        <v>20190304155449542</v>
      </c>
      <c r="B3831" t="str">
        <f>"1551686089531172"</f>
        <v>1551686089531172</v>
      </c>
      <c r="C3831" t="s">
        <v>40</v>
      </c>
      <c r="D3831">
        <v>4.1699580000000003</v>
      </c>
      <c r="E3831">
        <v>0.4277203</v>
      </c>
      <c r="F3831" t="s">
        <v>46</v>
      </c>
      <c r="G3831">
        <v>-428.09370000000001</v>
      </c>
      <c r="H3831" s="1">
        <v>-5.1410130000000001E-6</v>
      </c>
      <c r="I3831">
        <v>117.8751</v>
      </c>
      <c r="J3831">
        <v>-412.02730000000003</v>
      </c>
      <c r="K3831">
        <v>1.1181410000000001</v>
      </c>
      <c r="L3831">
        <v>136.4178</v>
      </c>
      <c r="M3831">
        <v>-0.86747559999999901</v>
      </c>
      <c r="N3831">
        <v>-1.456006E-2</v>
      </c>
      <c r="O3831">
        <v>-0.49726700000000001</v>
      </c>
      <c r="P3831">
        <v>-0.76316209999999995</v>
      </c>
      <c r="Q3831">
        <v>0.16906450000000001</v>
      </c>
      <c r="R3831">
        <v>-0.62370000000000003</v>
      </c>
      <c r="S3831">
        <v>-2.049194</v>
      </c>
      <c r="T3831">
        <v>-0.14075260000000001</v>
      </c>
      <c r="U3831">
        <v>-2.3508909999999998</v>
      </c>
      <c r="V3831">
        <v>-0.16496160000000001</v>
      </c>
      <c r="W3831">
        <v>0.1801518</v>
      </c>
      <c r="X3831">
        <v>0.96970769999999995</v>
      </c>
      <c r="Y3831">
        <v>-0.32701780000000003</v>
      </c>
      <c r="Z3831">
        <v>6.4881330000000001E-3</v>
      </c>
      <c r="AA3831">
        <v>0.9449959</v>
      </c>
      <c r="AB3831">
        <v>26</v>
      </c>
      <c r="AC3831">
        <v>-16.066399999999899</v>
      </c>
      <c r="AD3831">
        <v>-1.118146141013</v>
      </c>
      <c r="AE3831">
        <v>-18.5427</v>
      </c>
      <c r="AF3831">
        <v>-8.0801239132449805</v>
      </c>
      <c r="AG3831">
        <v>-1.118146141013</v>
      </c>
      <c r="AH3831">
        <v>23.112329974910601</v>
      </c>
      <c r="AI3831">
        <v>92.614787968336998</v>
      </c>
      <c r="AJ3831">
        <v>109.269744329315</v>
      </c>
      <c r="AK3831">
        <v>24.509558341904199</v>
      </c>
      <c r="AL3831">
        <v>79.621398277518594</v>
      </c>
      <c r="AM3831">
        <v>99.654436192651602</v>
      </c>
      <c r="AN3831">
        <v>1.0000000119785399</v>
      </c>
    </row>
    <row r="3832" spans="1:40" x14ac:dyDescent="0.25">
      <c r="A3832" t="str">
        <f>"20190304155449569"</f>
        <v>20190304155449569</v>
      </c>
      <c r="B3832" t="str">
        <f>"1551686089561429"</f>
        <v>1551686089561429</v>
      </c>
      <c r="C3832" t="s">
        <v>40</v>
      </c>
      <c r="D3832">
        <v>4.2096099999999996</v>
      </c>
      <c r="E3832">
        <v>0.42787259999999999</v>
      </c>
      <c r="F3832" t="s">
        <v>46</v>
      </c>
      <c r="G3832">
        <v>-427.84100000000001</v>
      </c>
      <c r="H3832" s="1">
        <v>-5.1065350000000001E-6</v>
      </c>
      <c r="I3832">
        <v>117.9054</v>
      </c>
      <c r="J3832">
        <v>-412.29160000000002</v>
      </c>
      <c r="K3832">
        <v>1.118215</v>
      </c>
      <c r="L3832">
        <v>136.24780000000001</v>
      </c>
      <c r="M3832">
        <v>-0.86045130000000003</v>
      </c>
      <c r="N3832">
        <v>-1.4607820000000001E-2</v>
      </c>
      <c r="O3832">
        <v>-0.50932339999999998</v>
      </c>
      <c r="P3832">
        <v>-0.75420500000000001</v>
      </c>
      <c r="Q3832">
        <v>0.16887669999999999</v>
      </c>
      <c r="R3832">
        <v>-0.63455159999999999</v>
      </c>
      <c r="S3832">
        <v>-2.0252080000000001</v>
      </c>
      <c r="T3832">
        <v>-0.1431965</v>
      </c>
      <c r="U3832">
        <v>-2.3708040000000001</v>
      </c>
      <c r="V3832">
        <v>-0.1653107</v>
      </c>
      <c r="W3832">
        <v>0.17997260000000001</v>
      </c>
      <c r="X3832">
        <v>0.96968149999999997</v>
      </c>
      <c r="Y3832">
        <v>-0.32328109999999999</v>
      </c>
      <c r="Z3832">
        <v>7.2899459999999899E-3</v>
      </c>
      <c r="AA3832">
        <v>0.94627490000000003</v>
      </c>
      <c r="AB3832">
        <v>26</v>
      </c>
      <c r="AC3832">
        <v>-15.549399999999901</v>
      </c>
      <c r="AD3832">
        <v>-1.1182201065349999</v>
      </c>
      <c r="AE3832">
        <v>-18.342400000000001</v>
      </c>
      <c r="AF3832">
        <v>-7.84693812816991</v>
      </c>
      <c r="AG3832">
        <v>-1.1182201065349999</v>
      </c>
      <c r="AH3832">
        <v>22.675103008875801</v>
      </c>
      <c r="AI3832">
        <v>92.668238215185696</v>
      </c>
      <c r="AJ3832">
        <v>109.088672121893</v>
      </c>
      <c r="AK3832">
        <v>24.0205152038235</v>
      </c>
      <c r="AL3832">
        <v>79.631836035224296</v>
      </c>
      <c r="AM3832">
        <v>99.674738113523105</v>
      </c>
      <c r="AN3832">
        <v>0.99999998786375</v>
      </c>
    </row>
    <row r="3833" spans="1:40" x14ac:dyDescent="0.25">
      <c r="A3833" t="str">
        <f>"20190304155449609"</f>
        <v>20190304155449609</v>
      </c>
      <c r="B3833" t="str">
        <f>"1551686089600899"</f>
        <v>1551686089600899</v>
      </c>
      <c r="C3833" t="s">
        <v>40</v>
      </c>
      <c r="D3833">
        <v>4.0057080000000003</v>
      </c>
      <c r="E3833">
        <v>0.40327849999999998</v>
      </c>
      <c r="F3833" t="s">
        <v>46</v>
      </c>
      <c r="G3833">
        <v>-428.26459999999997</v>
      </c>
      <c r="H3833" s="1">
        <v>-4.8756920000000004E-6</v>
      </c>
      <c r="I3833">
        <v>117.0063</v>
      </c>
      <c r="J3833">
        <v>-412.66379999999998</v>
      </c>
      <c r="K3833">
        <v>1.118314</v>
      </c>
      <c r="L3833">
        <v>135.99959999999999</v>
      </c>
      <c r="M3833">
        <v>-0.85001530000000003</v>
      </c>
      <c r="N3833">
        <v>-1.467183E-2</v>
      </c>
      <c r="O3833">
        <v>-0.52655379999999996</v>
      </c>
      <c r="P3833">
        <v>-0.74105469999999996</v>
      </c>
      <c r="Q3833">
        <v>0.16745589999999999</v>
      </c>
      <c r="R3833">
        <v>-0.65022840000000004</v>
      </c>
      <c r="S3833">
        <v>-1.9909969999999999</v>
      </c>
      <c r="T3833">
        <v>-0.1393836</v>
      </c>
      <c r="U3833">
        <v>-2.3984070000000002</v>
      </c>
      <c r="V3833">
        <v>-0.165961</v>
      </c>
      <c r="W3833">
        <v>0.17856429999999901</v>
      </c>
      <c r="X3833">
        <v>0.96983079999999999</v>
      </c>
      <c r="Y3833">
        <v>-0.31756479999999998</v>
      </c>
      <c r="Z3833">
        <v>7.5822049999999998E-3</v>
      </c>
      <c r="AA3833">
        <v>0.9482062</v>
      </c>
      <c r="AB3833">
        <v>26</v>
      </c>
      <c r="AC3833">
        <v>-15.6007999999999</v>
      </c>
      <c r="AD3833">
        <v>-1.1183188756919999</v>
      </c>
      <c r="AE3833">
        <v>-18.993299999999898</v>
      </c>
      <c r="AF3833">
        <v>-7.9144040606039203</v>
      </c>
      <c r="AG3833">
        <v>-1.1183188756919999</v>
      </c>
      <c r="AH3833">
        <v>23.216353832907501</v>
      </c>
      <c r="AI3833">
        <v>92.610480227857494</v>
      </c>
      <c r="AJ3833">
        <v>108.824130705407</v>
      </c>
      <c r="AK3833">
        <v>24.5537678175263</v>
      </c>
      <c r="AL3833">
        <v>79.7138547229344</v>
      </c>
      <c r="AM3833">
        <v>99.710606528244895</v>
      </c>
      <c r="AN3833">
        <v>1.0000000216920599</v>
      </c>
    </row>
    <row r="3834" spans="1:40" x14ac:dyDescent="0.25">
      <c r="A3834" t="str">
        <f>"20190304155449635"</f>
        <v>20190304155449635</v>
      </c>
      <c r="B3834" t="str">
        <f>"1551686089631155"</f>
        <v>1551686089631155</v>
      </c>
      <c r="C3834" t="s">
        <v>40</v>
      </c>
      <c r="D3834">
        <v>3.7705609999999998</v>
      </c>
      <c r="E3834">
        <v>0.40077570000000001</v>
      </c>
      <c r="F3834" t="s">
        <v>77</v>
      </c>
      <c r="G3834">
        <v>-440.75</v>
      </c>
      <c r="H3834">
        <v>0.42523689999999997</v>
      </c>
      <c r="I3834">
        <v>95.646799999999999</v>
      </c>
      <c r="J3834">
        <v>-412.90370000000001</v>
      </c>
      <c r="K3834">
        <v>1.1183670000000001</v>
      </c>
      <c r="L3834">
        <v>135.83340000000001</v>
      </c>
      <c r="M3834">
        <v>-0.8429278</v>
      </c>
      <c r="N3834">
        <v>-1.470838E-2</v>
      </c>
      <c r="O3834">
        <v>-0.53782559999999902</v>
      </c>
      <c r="P3834">
        <v>-0.73220130000000005</v>
      </c>
      <c r="Q3834">
        <v>0.16666020000000001</v>
      </c>
      <c r="R3834">
        <v>-0.6603831</v>
      </c>
      <c r="S3834">
        <v>-1.7952269999999999</v>
      </c>
      <c r="T3834">
        <v>-4.4298530000000003E-2</v>
      </c>
      <c r="U3834">
        <v>-2.579269</v>
      </c>
      <c r="V3834">
        <v>-0.16632920000000001</v>
      </c>
      <c r="W3834">
        <v>0.17777699999999999</v>
      </c>
      <c r="X3834">
        <v>0.96991240000000001</v>
      </c>
      <c r="Y3834">
        <v>-0.38455470000000003</v>
      </c>
      <c r="Z3834">
        <v>-5.1860109999999999E-3</v>
      </c>
      <c r="AA3834">
        <v>0.92308769999999996</v>
      </c>
      <c r="AB3834">
        <v>26</v>
      </c>
      <c r="AC3834">
        <v>-27.8462999999999</v>
      </c>
      <c r="AD3834">
        <v>-0.69313009999999997</v>
      </c>
      <c r="AE3834">
        <v>-40.186599999999999</v>
      </c>
      <c r="AF3834">
        <v>-18.896196076694601</v>
      </c>
      <c r="AG3834">
        <v>-0.69313009999999997</v>
      </c>
      <c r="AH3834">
        <v>45.081619846774501</v>
      </c>
      <c r="AI3834">
        <v>90.812385493958899</v>
      </c>
      <c r="AJ3834">
        <v>112.741248651474</v>
      </c>
      <c r="AK3834">
        <v>48.886594312894303</v>
      </c>
      <c r="AL3834">
        <v>79.759697626906402</v>
      </c>
      <c r="AM3834">
        <v>99.730935802591603</v>
      </c>
      <c r="AN3834">
        <v>1.00000006408769</v>
      </c>
    </row>
    <row r="3835" spans="1:40" x14ac:dyDescent="0.25">
      <c r="A3835" t="str">
        <f>"20190304155449654"</f>
        <v>20190304155449654</v>
      </c>
      <c r="B3835" t="str">
        <f>"1551686089651652"</f>
        <v>1551686089651652</v>
      </c>
      <c r="C3835" t="s">
        <v>40</v>
      </c>
      <c r="D3835">
        <v>3.7895880000000002</v>
      </c>
      <c r="E3835">
        <v>0.40017799999999998</v>
      </c>
      <c r="F3835" t="s">
        <v>77</v>
      </c>
      <c r="G3835">
        <v>-440.75</v>
      </c>
      <c r="H3835">
        <v>0.68815919999999997</v>
      </c>
      <c r="I3835">
        <v>94.007059999999996</v>
      </c>
      <c r="J3835">
        <v>-413.08150000000001</v>
      </c>
      <c r="K3835">
        <v>1.1183959999999999</v>
      </c>
      <c r="L3835">
        <v>135.70699999999999</v>
      </c>
      <c r="M3835">
        <v>-0.83748230000000001</v>
      </c>
      <c r="N3835">
        <v>-1.4733690000000001E-2</v>
      </c>
      <c r="O3835">
        <v>-0.54626569999999997</v>
      </c>
      <c r="P3835">
        <v>-0.72561119999999901</v>
      </c>
      <c r="Q3835">
        <v>0.16575780000000001</v>
      </c>
      <c r="R3835">
        <v>-0.66784219999999905</v>
      </c>
      <c r="S3835">
        <v>-1.742615</v>
      </c>
      <c r="T3835">
        <v>-2.692056E-2</v>
      </c>
      <c r="U3835">
        <v>-2.6174620000000002</v>
      </c>
      <c r="V3835">
        <v>-0.1663984</v>
      </c>
      <c r="W3835">
        <v>0.1768854</v>
      </c>
      <c r="X3835">
        <v>0.97006340000000002</v>
      </c>
      <c r="Y3835">
        <v>-0.39437709999999998</v>
      </c>
      <c r="Z3835">
        <v>-7.3827719999999897E-3</v>
      </c>
      <c r="AA3835">
        <v>0.91891900000000004</v>
      </c>
      <c r="AB3835">
        <v>26</v>
      </c>
      <c r="AC3835">
        <v>-27.668499999999899</v>
      </c>
      <c r="AD3835">
        <v>-0.43023679999999997</v>
      </c>
      <c r="AE3835">
        <v>-41.699939999999998</v>
      </c>
      <c r="AF3835">
        <v>-19.809296414884901</v>
      </c>
      <c r="AG3835">
        <v>-0.43023679999999997</v>
      </c>
      <c r="AH3835">
        <v>45.952720239741403</v>
      </c>
      <c r="AI3835">
        <v>90.492603006601499</v>
      </c>
      <c r="AJ3835">
        <v>113.319905340368</v>
      </c>
      <c r="AK3835">
        <v>50.0424402441447</v>
      </c>
      <c r="AL3835">
        <v>79.811603896288702</v>
      </c>
      <c r="AM3835">
        <v>99.733420487856193</v>
      </c>
      <c r="AN3835">
        <v>0.99999993613763805</v>
      </c>
    </row>
    <row r="3836" spans="1:40" x14ac:dyDescent="0.25">
      <c r="A3836" t="str">
        <f>"20190304155449678"</f>
        <v>20190304155449678</v>
      </c>
      <c r="B3836" t="str">
        <f>"1551686089671172"</f>
        <v>1551686089671172</v>
      </c>
      <c r="C3836" t="s">
        <v>40</v>
      </c>
      <c r="D3836">
        <v>3.8687719999999999</v>
      </c>
      <c r="E3836">
        <v>0.40040049999999999</v>
      </c>
      <c r="F3836" t="s">
        <v>77</v>
      </c>
      <c r="G3836">
        <v>-440.75</v>
      </c>
      <c r="H3836">
        <v>0.70848979999999995</v>
      </c>
      <c r="I3836">
        <v>93.064670000000007</v>
      </c>
      <c r="J3836">
        <v>-413.29020000000003</v>
      </c>
      <c r="K3836">
        <v>1.1184400000000001</v>
      </c>
      <c r="L3836">
        <v>135.55520000000001</v>
      </c>
      <c r="M3836">
        <v>-0.83087369999999905</v>
      </c>
      <c r="N3836">
        <v>-1.476247E-2</v>
      </c>
      <c r="O3836">
        <v>-0.55626519999999902</v>
      </c>
      <c r="P3836">
        <v>-0.71774550000000004</v>
      </c>
      <c r="Q3836">
        <v>0.16420390000000001</v>
      </c>
      <c r="R3836">
        <v>-0.67666719999999903</v>
      </c>
      <c r="S3836">
        <v>-1.7119139999999999</v>
      </c>
      <c r="T3836">
        <v>-2.536047E-2</v>
      </c>
      <c r="U3836">
        <v>-2.6383670000000001</v>
      </c>
      <c r="V3836">
        <v>-0.166428399999999</v>
      </c>
      <c r="W3836">
        <v>0.1753439</v>
      </c>
      <c r="X3836">
        <v>0.97033820000000004</v>
      </c>
      <c r="Y3836">
        <v>-0.39421640000000002</v>
      </c>
      <c r="Z3836">
        <v>-7.6239180000000004E-3</v>
      </c>
      <c r="AA3836">
        <v>0.91898599999999997</v>
      </c>
      <c r="AB3836">
        <v>25</v>
      </c>
      <c r="AC3836">
        <v>-27.459799999999898</v>
      </c>
      <c r="AD3836">
        <v>-0.40995019999999899</v>
      </c>
      <c r="AE3836">
        <v>-42.49053</v>
      </c>
      <c r="AF3836">
        <v>-20.030200300133099</v>
      </c>
      <c r="AG3836">
        <v>-0.40995019999999899</v>
      </c>
      <c r="AH3836">
        <v>46.453640830687696</v>
      </c>
      <c r="AI3836">
        <v>90.464297543118207</v>
      </c>
      <c r="AJ3836">
        <v>113.325071443781</v>
      </c>
      <c r="AK3836">
        <v>50.589699837580298</v>
      </c>
      <c r="AL3836">
        <v>79.901329024286596</v>
      </c>
      <c r="AM3836">
        <v>99.732437491537794</v>
      </c>
      <c r="AN3836">
        <v>1.0000000589864999</v>
      </c>
    </row>
    <row r="3837" spans="1:40" x14ac:dyDescent="0.25">
      <c r="A3837" t="str">
        <f>"20190304155449700"</f>
        <v>20190304155449700</v>
      </c>
      <c r="B3837" t="str">
        <f>"1551686089691668"</f>
        <v>1551686089691668</v>
      </c>
      <c r="C3837" t="s">
        <v>40</v>
      </c>
      <c r="D3837">
        <v>3.843137</v>
      </c>
      <c r="E3837">
        <v>0.40052860000000001</v>
      </c>
      <c r="F3837" t="s">
        <v>77</v>
      </c>
      <c r="G3837">
        <v>-440.75</v>
      </c>
      <c r="H3837">
        <v>0.61259949999999996</v>
      </c>
      <c r="I3837">
        <v>92.111159999999998</v>
      </c>
      <c r="J3837">
        <v>-413.48790000000002</v>
      </c>
      <c r="K3837">
        <v>1.1184879999999999</v>
      </c>
      <c r="L3837">
        <v>135.4076</v>
      </c>
      <c r="M3837">
        <v>-0.82438020000000001</v>
      </c>
      <c r="N3837">
        <v>-1.479026E-2</v>
      </c>
      <c r="O3837">
        <v>-0.5658436</v>
      </c>
      <c r="P3837">
        <v>-0.70980010000000004</v>
      </c>
      <c r="Q3837">
        <v>0.16314419999999999</v>
      </c>
      <c r="R3837">
        <v>-0.68525069999999999</v>
      </c>
      <c r="S3837">
        <v>-1.68042</v>
      </c>
      <c r="T3837">
        <v>-3.0953649999999999E-2</v>
      </c>
      <c r="U3837">
        <v>-2.658569</v>
      </c>
      <c r="V3837">
        <v>-0.1667331</v>
      </c>
      <c r="W3837">
        <v>0.1742861</v>
      </c>
      <c r="X3837">
        <v>0.97047640000000002</v>
      </c>
      <c r="Y3837">
        <v>-0.39450089999999999</v>
      </c>
      <c r="Z3837">
        <v>-6.9763250000000002E-3</v>
      </c>
      <c r="AA3837">
        <v>0.91886909999999999</v>
      </c>
      <c r="AB3837">
        <v>25</v>
      </c>
      <c r="AC3837">
        <v>-27.262099999999901</v>
      </c>
      <c r="AD3837">
        <v>-0.50588849999999996</v>
      </c>
      <c r="AE3837">
        <v>-43.296439999999997</v>
      </c>
      <c r="AF3837">
        <v>-20.266874246682399</v>
      </c>
      <c r="AG3837">
        <v>-0.50588849999999996</v>
      </c>
      <c r="AH3837">
        <v>46.973884766465801</v>
      </c>
      <c r="AI3837">
        <v>90.566548628256299</v>
      </c>
      <c r="AJ3837">
        <v>113.33777400458099</v>
      </c>
      <c r="AK3837">
        <v>51.161977727199798</v>
      </c>
      <c r="AL3837">
        <v>79.962883845866898</v>
      </c>
      <c r="AM3837">
        <v>99.748552331019198</v>
      </c>
      <c r="AN3837">
        <v>1.0000000071228801</v>
      </c>
    </row>
    <row r="3838" spans="1:40" x14ac:dyDescent="0.25">
      <c r="A3838" t="str">
        <f>"20190304155449724"</f>
        <v>20190304155449724</v>
      </c>
      <c r="B3838" t="str">
        <f>"1551686089720949"</f>
        <v>1551686089720949</v>
      </c>
      <c r="C3838" t="s">
        <v>40</v>
      </c>
      <c r="D3838">
        <v>3.8043619999999998</v>
      </c>
      <c r="E3838">
        <v>0.40069640000000001</v>
      </c>
      <c r="F3838" t="s">
        <v>77</v>
      </c>
      <c r="G3838">
        <v>-440.75</v>
      </c>
      <c r="H3838">
        <v>0.52716879999999999</v>
      </c>
      <c r="I3838">
        <v>91.167820000000006</v>
      </c>
      <c r="J3838">
        <v>-413.70139999999998</v>
      </c>
      <c r="K3838">
        <v>1.1185529999999999</v>
      </c>
      <c r="L3838">
        <v>135.2439</v>
      </c>
      <c r="M3838">
        <v>-0.81709549999999997</v>
      </c>
      <c r="N3838">
        <v>-1.48203E-2</v>
      </c>
      <c r="O3838">
        <v>-0.57631189999999999</v>
      </c>
      <c r="P3838">
        <v>-0.70123659999999999</v>
      </c>
      <c r="Q3838">
        <v>0.1619215</v>
      </c>
      <c r="R3838">
        <v>-0.69429739999999995</v>
      </c>
      <c r="S3838">
        <v>-1.6499330000000001</v>
      </c>
      <c r="T3838">
        <v>-3.5786030000000003E-2</v>
      </c>
      <c r="U3838">
        <v>-2.6774290000000001</v>
      </c>
      <c r="V3838">
        <v>-0.1666407</v>
      </c>
      <c r="W3838">
        <v>0.17307320000000001</v>
      </c>
      <c r="X3838">
        <v>0.9707093</v>
      </c>
      <c r="Y3838">
        <v>-0.39324379999999998</v>
      </c>
      <c r="Z3838">
        <v>-6.3708130000000003E-3</v>
      </c>
      <c r="AA3838">
        <v>0.91941220000000001</v>
      </c>
      <c r="AB3838">
        <v>25</v>
      </c>
      <c r="AC3838">
        <v>-27.0486</v>
      </c>
      <c r="AD3838">
        <v>-0.59138420000000003</v>
      </c>
      <c r="AE3838">
        <v>-44.076079999999997</v>
      </c>
      <c r="AF3838">
        <v>-20.4255079226912</v>
      </c>
      <c r="AG3838">
        <v>-0.59138420000000003</v>
      </c>
      <c r="AH3838">
        <v>47.501861888440303</v>
      </c>
      <c r="AI3838">
        <v>90.655273949646499</v>
      </c>
      <c r="AJ3838">
        <v>113.267406863635</v>
      </c>
      <c r="AK3838">
        <v>51.710521096198498</v>
      </c>
      <c r="AL3838">
        <v>80.033450287740294</v>
      </c>
      <c r="AM3838">
        <v>99.740960579869906</v>
      </c>
      <c r="AN3838">
        <v>1.00000000028061</v>
      </c>
    </row>
    <row r="3839" spans="1:40" x14ac:dyDescent="0.25">
      <c r="A3839" t="str">
        <f>"20190304155449743"</f>
        <v>20190304155449743</v>
      </c>
      <c r="B3839" t="str">
        <f>"1551686089731684"</f>
        <v>1551686089731684</v>
      </c>
      <c r="C3839" t="s">
        <v>40</v>
      </c>
      <c r="D3839">
        <v>3.836687</v>
      </c>
      <c r="E3839">
        <v>0.40061010000000002</v>
      </c>
      <c r="F3839" t="s">
        <v>77</v>
      </c>
      <c r="G3839">
        <v>-440.75</v>
      </c>
      <c r="H3839">
        <v>0.43168040000000002</v>
      </c>
      <c r="I3839">
        <v>90.143169999999998</v>
      </c>
      <c r="J3839">
        <v>-413.86689999999999</v>
      </c>
      <c r="K3839">
        <v>1.1186100000000001</v>
      </c>
      <c r="L3839">
        <v>135.114</v>
      </c>
      <c r="M3839">
        <v>-0.81125780000000003</v>
      </c>
      <c r="N3839">
        <v>-1.4842620000000001E-2</v>
      </c>
      <c r="O3839">
        <v>-0.58450019999999903</v>
      </c>
      <c r="P3839">
        <v>-0.69457409999999997</v>
      </c>
      <c r="Q3839">
        <v>0.1627392</v>
      </c>
      <c r="R3839">
        <v>-0.70077299999999998</v>
      </c>
      <c r="S3839">
        <v>-1.617432</v>
      </c>
      <c r="T3839">
        <v>-4.1071530000000002E-2</v>
      </c>
      <c r="U3839">
        <v>-2.6968839999999998</v>
      </c>
      <c r="V3839">
        <v>-0.16603090000000001</v>
      </c>
      <c r="W3839">
        <v>0.17390529999999901</v>
      </c>
      <c r="X3839">
        <v>0.97066509999999995</v>
      </c>
      <c r="Y3839">
        <v>-0.39505839999999998</v>
      </c>
      <c r="Z3839">
        <v>-5.7043369999999899E-3</v>
      </c>
      <c r="AA3839">
        <v>0.91863830000000002</v>
      </c>
      <c r="AB3839">
        <v>25</v>
      </c>
      <c r="AC3839">
        <v>-26.883099999999999</v>
      </c>
      <c r="AD3839">
        <v>-0.68692959999999903</v>
      </c>
      <c r="AE3839">
        <v>-44.970829999999999</v>
      </c>
      <c r="AF3839">
        <v>-20.7684773781986</v>
      </c>
      <c r="AG3839">
        <v>-0.68692959999999903</v>
      </c>
      <c r="AH3839">
        <v>48.091615304800399</v>
      </c>
      <c r="AI3839">
        <v>90.751289612545904</v>
      </c>
      <c r="AJ3839">
        <v>113.357215152176</v>
      </c>
      <c r="AK3839">
        <v>52.388977729184703</v>
      </c>
      <c r="AL3839">
        <v>79.985040616075196</v>
      </c>
      <c r="AM3839">
        <v>99.706427614806401</v>
      </c>
      <c r="AN3839">
        <v>1.0000000247404499</v>
      </c>
    </row>
    <row r="3840" spans="1:40" x14ac:dyDescent="0.25">
      <c r="A3840" t="str">
        <f>"20190304155449768"</f>
        <v>20190304155449768</v>
      </c>
      <c r="B3840" t="str">
        <f>"1551686089760964"</f>
        <v>1551686089760964</v>
      </c>
      <c r="C3840" t="s">
        <v>40</v>
      </c>
      <c r="D3840">
        <v>3.8028590000000002</v>
      </c>
      <c r="E3840">
        <v>0.40082299999999998</v>
      </c>
      <c r="F3840" t="s">
        <v>77</v>
      </c>
      <c r="G3840">
        <v>-440.75</v>
      </c>
      <c r="H3840">
        <v>0.48746329999999999</v>
      </c>
      <c r="I3840">
        <v>89.258740000000003</v>
      </c>
      <c r="J3840">
        <v>-414.0822</v>
      </c>
      <c r="K3840">
        <v>1.118665</v>
      </c>
      <c r="L3840">
        <v>134.9402</v>
      </c>
      <c r="M3840">
        <v>-0.8033901</v>
      </c>
      <c r="N3840">
        <v>-1.4870359999999999E-2</v>
      </c>
      <c r="O3840">
        <v>-0.5952674</v>
      </c>
      <c r="P3840">
        <v>-0.68560089999999996</v>
      </c>
      <c r="Q3840">
        <v>0.163108</v>
      </c>
      <c r="R3840">
        <v>-0.70946989999999999</v>
      </c>
      <c r="S3840">
        <v>-1.5906070000000001</v>
      </c>
      <c r="T3840">
        <v>-3.7341829999999999E-2</v>
      </c>
      <c r="U3840">
        <v>-2.71312</v>
      </c>
      <c r="V3840">
        <v>-0.1653963</v>
      </c>
      <c r="W3840">
        <v>0.17429500000000001</v>
      </c>
      <c r="X3840">
        <v>0.97070350000000005</v>
      </c>
      <c r="Y3840">
        <v>-0.39197130000000002</v>
      </c>
      <c r="Z3840">
        <v>-6.172065E-3</v>
      </c>
      <c r="AA3840">
        <v>0.91995669999999996</v>
      </c>
      <c r="AB3840">
        <v>25</v>
      </c>
      <c r="AC3840">
        <v>-26.6678</v>
      </c>
      <c r="AD3840">
        <v>-0.63120169999999998</v>
      </c>
      <c r="AE3840">
        <v>-45.681459999999902</v>
      </c>
      <c r="AF3840">
        <v>-20.824897725935902</v>
      </c>
      <c r="AG3840">
        <v>-0.63120169999999998</v>
      </c>
      <c r="AH3840">
        <v>48.615782604707498</v>
      </c>
      <c r="AI3840">
        <v>90.683771019532301</v>
      </c>
      <c r="AJ3840">
        <v>113.188197272379</v>
      </c>
      <c r="AK3840">
        <v>52.8920513796728</v>
      </c>
      <c r="AL3840">
        <v>79.962365752679105</v>
      </c>
      <c r="AM3840">
        <v>99.669654401595594</v>
      </c>
      <c r="AN3840">
        <v>0.99999998399546997</v>
      </c>
    </row>
    <row r="3841" spans="1:40" x14ac:dyDescent="0.25">
      <c r="A3841" t="str">
        <f>"20190304155449810"</f>
        <v>20190304155449810</v>
      </c>
      <c r="B3841" t="str">
        <f>"1551686089801487"</f>
        <v>1551686089801487</v>
      </c>
      <c r="C3841" t="s">
        <v>40</v>
      </c>
      <c r="D3841">
        <v>3.8071830000000002</v>
      </c>
      <c r="E3841">
        <v>0.40101589999999998</v>
      </c>
      <c r="F3841" t="s">
        <v>77</v>
      </c>
      <c r="G3841">
        <v>-440.20710000000003</v>
      </c>
      <c r="H3841">
        <v>0.51276239999999995</v>
      </c>
      <c r="I3841">
        <v>89.061920000000001</v>
      </c>
      <c r="J3841">
        <v>-414.43880000000001</v>
      </c>
      <c r="K3841">
        <v>1.118733</v>
      </c>
      <c r="L3841">
        <v>134.64179999999999</v>
      </c>
      <c r="M3841">
        <v>-0.78970779999999996</v>
      </c>
      <c r="N3841">
        <v>-1.492226E-2</v>
      </c>
      <c r="O3841">
        <v>-0.61330180000000001</v>
      </c>
      <c r="P3841">
        <v>-0.66879339999999998</v>
      </c>
      <c r="Q3841">
        <v>0.16615859999999999</v>
      </c>
      <c r="R3841">
        <v>-0.72464269999999997</v>
      </c>
      <c r="S3841">
        <v>-1.556244</v>
      </c>
      <c r="T3841">
        <v>-3.60918E-2</v>
      </c>
      <c r="U3841">
        <v>-2.7329249999999998</v>
      </c>
      <c r="V3841">
        <v>-0.16569890000000001</v>
      </c>
      <c r="W3841">
        <v>0.1773612</v>
      </c>
      <c r="X3841">
        <v>0.97009630000000002</v>
      </c>
      <c r="Y3841">
        <v>-0.38272970000000001</v>
      </c>
      <c r="Z3841">
        <v>-6.2624769999999998E-3</v>
      </c>
      <c r="AA3841">
        <v>0.92383910000000002</v>
      </c>
      <c r="AB3841">
        <v>25</v>
      </c>
      <c r="AC3841">
        <v>-25.7683</v>
      </c>
      <c r="AD3841">
        <v>-0.60597060000000003</v>
      </c>
      <c r="AE3841">
        <v>-45.579879999999903</v>
      </c>
      <c r="AF3841">
        <v>-20.190584216163799</v>
      </c>
      <c r="AG3841">
        <v>-0.60597060000000003</v>
      </c>
      <c r="AH3841">
        <v>48.302554813387097</v>
      </c>
      <c r="AI3841">
        <v>90.663157060080493</v>
      </c>
      <c r="AJ3841">
        <v>112.685044989972</v>
      </c>
      <c r="AK3841">
        <v>52.356123737900297</v>
      </c>
      <c r="AL3841">
        <v>79.783905011175307</v>
      </c>
      <c r="AM3841">
        <v>99.692958835842703</v>
      </c>
      <c r="AN3841">
        <v>0.99999997600016899</v>
      </c>
    </row>
    <row r="3842" spans="1:40" x14ac:dyDescent="0.25">
      <c r="A3842" t="str">
        <f>"20190304155449835"</f>
        <v>20190304155449835</v>
      </c>
      <c r="B3842" t="str">
        <f>"1551686089830767"</f>
        <v>1551686089830767</v>
      </c>
      <c r="C3842" t="s">
        <v>40</v>
      </c>
      <c r="D3842">
        <v>3.776907</v>
      </c>
      <c r="E3842">
        <v>0.40123920000000002</v>
      </c>
      <c r="F3842" t="s">
        <v>77</v>
      </c>
      <c r="G3842">
        <v>-440.20710000000003</v>
      </c>
      <c r="H3842">
        <v>0.60289589999999904</v>
      </c>
      <c r="I3842">
        <v>86.955340000000007</v>
      </c>
      <c r="J3842">
        <v>-414.65010000000001</v>
      </c>
      <c r="K3842">
        <v>1.1187480000000001</v>
      </c>
      <c r="L3842">
        <v>134.4581</v>
      </c>
      <c r="M3842">
        <v>-0.78120119999999904</v>
      </c>
      <c r="N3842">
        <v>-1.495192E-2</v>
      </c>
      <c r="O3842">
        <v>-0.62410030000000005</v>
      </c>
      <c r="P3842">
        <v>-0.65746179999999999</v>
      </c>
      <c r="Q3842">
        <v>0.16630210000000001</v>
      </c>
      <c r="R3842">
        <v>-0.73490679999999997</v>
      </c>
      <c r="S3842">
        <v>-1.4951779999999999</v>
      </c>
      <c r="T3842">
        <v>-2.9929520000000001E-2</v>
      </c>
      <c r="U3842">
        <v>-2.766937</v>
      </c>
      <c r="V3842">
        <v>-0.1674127</v>
      </c>
      <c r="W3842">
        <v>0.1774888</v>
      </c>
      <c r="X3842">
        <v>0.96977869999999999</v>
      </c>
      <c r="Y3842">
        <v>-0.39055790000000001</v>
      </c>
      <c r="Z3842">
        <v>-7.2810469999999997E-3</v>
      </c>
      <c r="AA3842">
        <v>0.92054959999999997</v>
      </c>
      <c r="AB3842">
        <v>25</v>
      </c>
      <c r="AC3842">
        <v>-25.556999999999999</v>
      </c>
      <c r="AD3842">
        <v>-0.51585209999999904</v>
      </c>
      <c r="AE3842">
        <v>-47.502760000000002</v>
      </c>
      <c r="AF3842">
        <v>-21.159511540995801</v>
      </c>
      <c r="AG3842">
        <v>-0.51585209999999904</v>
      </c>
      <c r="AH3842">
        <v>49.612653569288902</v>
      </c>
      <c r="AI3842">
        <v>90.547964292325503</v>
      </c>
      <c r="AJ3842">
        <v>113.09796906311099</v>
      </c>
      <c r="AK3842">
        <v>53.938913839906697</v>
      </c>
      <c r="AL3842">
        <v>79.776476522827906</v>
      </c>
      <c r="AM3842">
        <v>99.794425423893003</v>
      </c>
      <c r="AN3842">
        <v>1.0000000066102099</v>
      </c>
    </row>
    <row r="3843" spans="1:40" x14ac:dyDescent="0.25">
      <c r="A3843" t="str">
        <f>"20190304155449857"</f>
        <v>20190304155449857</v>
      </c>
      <c r="B3843" t="str">
        <f>"1551686089851263"</f>
        <v>1551686089851263</v>
      </c>
      <c r="C3843" t="s">
        <v>40</v>
      </c>
      <c r="D3843">
        <v>3.7581669999999998</v>
      </c>
      <c r="E3843">
        <v>0.40126020000000001</v>
      </c>
      <c r="F3843" t="s">
        <v>80</v>
      </c>
      <c r="G3843">
        <v>-451.14260000000002</v>
      </c>
      <c r="H3843">
        <v>0.32761990000000002</v>
      </c>
      <c r="I3843">
        <v>64.450009999999907</v>
      </c>
      <c r="J3843">
        <v>-414.82159999999999</v>
      </c>
      <c r="K3843">
        <v>1.118749</v>
      </c>
      <c r="L3843">
        <v>134.30520000000001</v>
      </c>
      <c r="M3843">
        <v>-0.77408840000000001</v>
      </c>
      <c r="N3843">
        <v>-1.497415E-2</v>
      </c>
      <c r="O3843">
        <v>-0.63290059999999904</v>
      </c>
      <c r="P3843">
        <v>-0.64718120000000001</v>
      </c>
      <c r="Q3843">
        <v>0.16570190000000001</v>
      </c>
      <c r="R3843">
        <v>-0.7441103</v>
      </c>
      <c r="S3843">
        <v>-1.4536739999999999</v>
      </c>
      <c r="T3843">
        <v>-3.1513689999999997E-2</v>
      </c>
      <c r="U3843">
        <v>-2.7887569999999999</v>
      </c>
      <c r="V3843">
        <v>-0.17001920000000001</v>
      </c>
      <c r="W3843">
        <v>0.17685109999999901</v>
      </c>
      <c r="X3843">
        <v>0.96944169999999996</v>
      </c>
      <c r="Y3843">
        <v>-0.3938584</v>
      </c>
      <c r="Z3843">
        <v>-7.1074719999999897E-3</v>
      </c>
      <c r="AA3843">
        <v>0.91914370000000001</v>
      </c>
      <c r="AB3843">
        <v>25</v>
      </c>
      <c r="AC3843">
        <v>-36.320999999999998</v>
      </c>
      <c r="AD3843">
        <v>-0.79112910000000003</v>
      </c>
      <c r="AE3843">
        <v>-69.855189999999993</v>
      </c>
      <c r="AF3843">
        <v>-31.086852802474201</v>
      </c>
      <c r="AG3843">
        <v>-0.79112910000000003</v>
      </c>
      <c r="AH3843">
        <v>72.327855027103993</v>
      </c>
      <c r="AI3843">
        <v>90.575757642636106</v>
      </c>
      <c r="AJ3843">
        <v>113.25826093462901</v>
      </c>
      <c r="AK3843">
        <v>78.729517433027297</v>
      </c>
      <c r="AL3843">
        <v>79.813601533933095</v>
      </c>
      <c r="AM3843">
        <v>99.947284405500895</v>
      </c>
      <c r="AN3843">
        <v>1.0000000248193599</v>
      </c>
    </row>
    <row r="3844" spans="1:40" x14ac:dyDescent="0.25">
      <c r="A3844" t="str">
        <f>"20190304155449879"</f>
        <v>20190304155449879</v>
      </c>
      <c r="B3844" t="str">
        <f>"1551686089870783"</f>
        <v>1551686089870783</v>
      </c>
      <c r="C3844" t="s">
        <v>40</v>
      </c>
      <c r="D3844">
        <v>3.785072</v>
      </c>
      <c r="E3844">
        <v>0.40145120000000001</v>
      </c>
      <c r="F3844" t="s">
        <v>80</v>
      </c>
      <c r="G3844">
        <v>-449.9939</v>
      </c>
      <c r="H3844">
        <v>0.2855143</v>
      </c>
      <c r="I3844">
        <v>64.450009999999907</v>
      </c>
      <c r="J3844">
        <v>-415.00760000000002</v>
      </c>
      <c r="K3844">
        <v>1.118744</v>
      </c>
      <c r="L3844">
        <v>134.13550000000001</v>
      </c>
      <c r="M3844">
        <v>-0.76616260000000003</v>
      </c>
      <c r="N3844">
        <v>-1.499675E-2</v>
      </c>
      <c r="O3844">
        <v>-0.64247169999999998</v>
      </c>
      <c r="P3844">
        <v>-0.63576940000000004</v>
      </c>
      <c r="Q3844">
        <v>0.165708299999999</v>
      </c>
      <c r="R3844">
        <v>-0.75388219999999995</v>
      </c>
      <c r="S3844">
        <v>-1.4143680000000001</v>
      </c>
      <c r="T3844">
        <v>-3.3505680000000003E-2</v>
      </c>
      <c r="U3844">
        <v>-2.8090519999999999</v>
      </c>
      <c r="V3844">
        <v>-0.17274410000000001</v>
      </c>
      <c r="W3844">
        <v>0.17682010000000001</v>
      </c>
      <c r="X3844">
        <v>0.96896550000000004</v>
      </c>
      <c r="Y3844">
        <v>-0.3953583</v>
      </c>
      <c r="Z3844">
        <v>-6.8419290000000001E-3</v>
      </c>
      <c r="AA3844">
        <v>0.91850149999999997</v>
      </c>
      <c r="AB3844">
        <v>25</v>
      </c>
      <c r="AC3844">
        <v>-34.9862999999999</v>
      </c>
      <c r="AD3844">
        <v>-0.83322969999999896</v>
      </c>
      <c r="AE3844">
        <v>-69.685490000000001</v>
      </c>
      <c r="AF3844">
        <v>-30.912656763116999</v>
      </c>
      <c r="AG3844">
        <v>-0.83322969999999896</v>
      </c>
      <c r="AH3844">
        <v>71.576029859198698</v>
      </c>
      <c r="AI3844">
        <v>90.612300701522699</v>
      </c>
      <c r="AJ3844">
        <v>113.35882058588</v>
      </c>
      <c r="AK3844">
        <v>77.970601320575597</v>
      </c>
      <c r="AL3844">
        <v>79.815405949452895</v>
      </c>
      <c r="AM3844">
        <v>100.108313306391</v>
      </c>
      <c r="AN3844">
        <v>1.00000000601953</v>
      </c>
    </row>
    <row r="3845" spans="1:40" x14ac:dyDescent="0.25">
      <c r="A3845" t="str">
        <f>"20190304155449899"</f>
        <v>20190304155449899</v>
      </c>
      <c r="B3845" t="str">
        <f>"1551686089891279"</f>
        <v>1551686089891279</v>
      </c>
      <c r="C3845" t="s">
        <v>40</v>
      </c>
      <c r="D3845">
        <v>3.7915839999999998</v>
      </c>
      <c r="E3845">
        <v>0.40805019999999997</v>
      </c>
      <c r="F3845" t="s">
        <v>80</v>
      </c>
      <c r="G3845">
        <v>-448.81849999999997</v>
      </c>
      <c r="H3845">
        <v>0.24592919999999999</v>
      </c>
      <c r="I3845">
        <v>64.450009999999907</v>
      </c>
      <c r="J3845">
        <v>-415.16849999999999</v>
      </c>
      <c r="K3845">
        <v>1.118727</v>
      </c>
      <c r="L3845">
        <v>133.98490000000001</v>
      </c>
      <c r="M3845">
        <v>-0.7591194</v>
      </c>
      <c r="N3845">
        <v>-1.501429E-2</v>
      </c>
      <c r="O3845">
        <v>-0.65077819999999997</v>
      </c>
      <c r="P3845">
        <v>-0.62498830000000005</v>
      </c>
      <c r="Q3845">
        <v>0.16555710000000001</v>
      </c>
      <c r="R3845">
        <v>-0.76287649999999996</v>
      </c>
      <c r="S3845">
        <v>-1.372833</v>
      </c>
      <c r="T3845">
        <v>-3.5438299999999999E-2</v>
      </c>
      <c r="U3845">
        <v>-2.829453</v>
      </c>
      <c r="V3845">
        <v>-0.17598849999999999</v>
      </c>
      <c r="W3845">
        <v>0.17661779999999999</v>
      </c>
      <c r="X3845">
        <v>0.96841840000000001</v>
      </c>
      <c r="Y3845">
        <v>-0.39886090000000002</v>
      </c>
      <c r="Z3845">
        <v>-6.5906949999999997E-3</v>
      </c>
      <c r="AA3845">
        <v>0.91698780000000002</v>
      </c>
      <c r="AB3845">
        <v>25</v>
      </c>
      <c r="AC3845">
        <v>-33.649999999999899</v>
      </c>
      <c r="AD3845">
        <v>-0.87279779999999996</v>
      </c>
      <c r="AE3845">
        <v>-69.534890000000004</v>
      </c>
      <c r="AF3845">
        <v>-30.8861373565408</v>
      </c>
      <c r="AG3845">
        <v>-0.87279779999999996</v>
      </c>
      <c r="AH3845">
        <v>70.795103546723197</v>
      </c>
      <c r="AI3845">
        <v>90.647410592438405</v>
      </c>
      <c r="AJ3845">
        <v>113.570442324659</v>
      </c>
      <c r="AK3845">
        <v>77.244170932168402</v>
      </c>
      <c r="AL3845">
        <v>79.827182150294803</v>
      </c>
      <c r="AM3845">
        <v>100.299831009087</v>
      </c>
      <c r="AN3845">
        <v>0.99999999843382503</v>
      </c>
    </row>
    <row r="3846" spans="1:40" x14ac:dyDescent="0.25">
      <c r="A3846" t="str">
        <f>"20190304155449923"</f>
        <v>20190304155449923</v>
      </c>
      <c r="B3846" t="str">
        <f>"1551686089910799"</f>
        <v>1551686089910799</v>
      </c>
      <c r="C3846" t="s">
        <v>40</v>
      </c>
      <c r="D3846">
        <v>3.7930920000000001</v>
      </c>
      <c r="E3846">
        <v>0.40821220000000003</v>
      </c>
      <c r="F3846" t="s">
        <v>46</v>
      </c>
      <c r="G3846">
        <v>-433.64600000000002</v>
      </c>
      <c r="H3846">
        <v>7.9986509999999997E-2</v>
      </c>
      <c r="I3846">
        <v>96.218050000000005</v>
      </c>
      <c r="J3846">
        <v>-415.35309999999998</v>
      </c>
      <c r="K3846">
        <v>1.118711</v>
      </c>
      <c r="L3846">
        <v>133.8083</v>
      </c>
      <c r="M3846">
        <v>-0.75083979999999995</v>
      </c>
      <c r="N3846">
        <v>-1.5031310000000001E-2</v>
      </c>
      <c r="O3846">
        <v>-0.6603135</v>
      </c>
      <c r="P3846">
        <v>-0.61414639999999998</v>
      </c>
      <c r="Q3846">
        <v>0.16533809999999999</v>
      </c>
      <c r="R3846">
        <v>-0.77167869999999905</v>
      </c>
      <c r="S3846">
        <v>-1.3793329999999999</v>
      </c>
      <c r="T3846">
        <v>-7.7541349999999995E-2</v>
      </c>
      <c r="U3846">
        <v>-2.8192750000000002</v>
      </c>
      <c r="V3846">
        <v>-0.17746779999999901</v>
      </c>
      <c r="W3846">
        <v>0.1763911</v>
      </c>
      <c r="X3846">
        <v>0.96818970000000004</v>
      </c>
      <c r="Y3846">
        <v>-0.38415680000000002</v>
      </c>
      <c r="Z3846">
        <v>4.2564769999999999E-4</v>
      </c>
      <c r="AA3846">
        <v>0.92326779999999997</v>
      </c>
      <c r="AB3846">
        <v>25</v>
      </c>
      <c r="AC3846">
        <v>-18.2928999999999</v>
      </c>
      <c r="AD3846">
        <v>-1.0387244899999999</v>
      </c>
      <c r="AE3846">
        <v>-37.590249999999997</v>
      </c>
      <c r="AF3846">
        <v>-16.1370665549377</v>
      </c>
      <c r="AG3846">
        <v>-1.0387244899999999</v>
      </c>
      <c r="AH3846">
        <v>38.5369467916817</v>
      </c>
      <c r="AI3846">
        <v>91.424208160324199</v>
      </c>
      <c r="AJ3846">
        <v>112.72114407158</v>
      </c>
      <c r="AK3846">
        <v>41.792106115742897</v>
      </c>
      <c r="AL3846">
        <v>79.840377969311007</v>
      </c>
      <c r="AM3846">
        <v>100.386931496442</v>
      </c>
      <c r="AN3846">
        <v>0.99999996769106902</v>
      </c>
    </row>
    <row r="3847" spans="1:40" x14ac:dyDescent="0.25">
      <c r="A3847" t="str">
        <f>"20190304155449944"</f>
        <v>20190304155449944</v>
      </c>
      <c r="B3847" t="str">
        <f>"1551686089941055"</f>
        <v>1551686089941055</v>
      </c>
      <c r="C3847" t="s">
        <v>40</v>
      </c>
      <c r="D3847">
        <v>3.8706209999999999</v>
      </c>
      <c r="E3847">
        <v>0.4095859</v>
      </c>
      <c r="F3847" t="s">
        <v>46</v>
      </c>
      <c r="G3847">
        <v>-432.74549999999999</v>
      </c>
      <c r="H3847">
        <v>7.9986230000000005E-2</v>
      </c>
      <c r="I3847">
        <v>97.007679999999993</v>
      </c>
      <c r="J3847">
        <v>-415.52539999999999</v>
      </c>
      <c r="K3847">
        <v>1.1186969999999901</v>
      </c>
      <c r="L3847">
        <v>133.63900000000001</v>
      </c>
      <c r="M3847">
        <v>-0.74289799999999995</v>
      </c>
      <c r="N3847">
        <v>-1.5044389999999999E-2</v>
      </c>
      <c r="O3847">
        <v>-0.66923559999999904</v>
      </c>
      <c r="P3847">
        <v>-0.60420369999999901</v>
      </c>
      <c r="Q3847">
        <v>0.16503209999999999</v>
      </c>
      <c r="R3847">
        <v>-0.77955269999999899</v>
      </c>
      <c r="S3847">
        <v>-1.341064</v>
      </c>
      <c r="T3847">
        <v>-8.0092070000000001E-2</v>
      </c>
      <c r="U3847">
        <v>-2.837555</v>
      </c>
      <c r="V3847">
        <v>-0.178347799999999</v>
      </c>
      <c r="W3847">
        <v>0.17608840000000001</v>
      </c>
      <c r="X3847">
        <v>0.96808309999999997</v>
      </c>
      <c r="Y3847">
        <v>-0.38559929999999998</v>
      </c>
      <c r="Z3847">
        <v>9.6338680000000005E-4</v>
      </c>
      <c r="AA3847">
        <v>0.92266579999999998</v>
      </c>
      <c r="AB3847">
        <v>25</v>
      </c>
      <c r="AC3847">
        <v>-17.220099999999999</v>
      </c>
      <c r="AD3847">
        <v>-1.03871076999999</v>
      </c>
      <c r="AE3847">
        <v>-36.631320000000002</v>
      </c>
      <c r="AF3847">
        <v>-15.680479705560799</v>
      </c>
      <c r="AG3847">
        <v>-1.03871076999999</v>
      </c>
      <c r="AH3847">
        <v>37.287428104530001</v>
      </c>
      <c r="AI3847">
        <v>91.470956048672093</v>
      </c>
      <c r="AJ3847">
        <v>112.808210963031</v>
      </c>
      <c r="AK3847">
        <v>40.463670848190702</v>
      </c>
      <c r="AL3847">
        <v>79.857997270771506</v>
      </c>
      <c r="AM3847">
        <v>100.43843144589501</v>
      </c>
      <c r="AN3847">
        <v>0.99999997544250396</v>
      </c>
    </row>
    <row r="3848" spans="1:40" x14ac:dyDescent="0.25">
      <c r="A3848" t="str">
        <f>"20190304155449967"</f>
        <v>20190304155449967</v>
      </c>
      <c r="B3848" t="str">
        <f>"1551686089961551"</f>
        <v>1551686089961551</v>
      </c>
      <c r="C3848" t="s">
        <v>40</v>
      </c>
      <c r="D3848">
        <v>3.9234339999999999</v>
      </c>
      <c r="E3848">
        <v>0.41687940000000001</v>
      </c>
      <c r="F3848" t="s">
        <v>46</v>
      </c>
      <c r="G3848">
        <v>-430.82960000000003</v>
      </c>
      <c r="H3848">
        <v>7.9986570000000007E-2</v>
      </c>
      <c r="I3848">
        <v>100.4623</v>
      </c>
      <c r="J3848">
        <v>-415.69839999999999</v>
      </c>
      <c r="K3848">
        <v>1.118676</v>
      </c>
      <c r="L3848">
        <v>133.4649</v>
      </c>
      <c r="M3848">
        <v>-0.73472139999999997</v>
      </c>
      <c r="N3848">
        <v>-1.505536E-2</v>
      </c>
      <c r="O3848">
        <v>-0.67820219999999998</v>
      </c>
      <c r="P3848">
        <v>-0.59374559999999998</v>
      </c>
      <c r="Q3848">
        <v>0.16551199999999999</v>
      </c>
      <c r="R3848">
        <v>-0.7874466</v>
      </c>
      <c r="S3848">
        <v>-1.314117</v>
      </c>
      <c r="T3848">
        <v>-8.9190130000000006E-2</v>
      </c>
      <c r="U3848">
        <v>-2.8487550000000001</v>
      </c>
      <c r="V3848">
        <v>-0.17944740000000001</v>
      </c>
      <c r="W3848">
        <v>0.17656340000000001</v>
      </c>
      <c r="X3848">
        <v>0.96779329999999997</v>
      </c>
      <c r="Y3848">
        <v>-0.38296400000000003</v>
      </c>
      <c r="Z3848">
        <v>2.7063199999999999E-3</v>
      </c>
      <c r="AA3848">
        <v>0.92375929999999995</v>
      </c>
      <c r="AB3848">
        <v>25</v>
      </c>
      <c r="AC3848">
        <v>-15.1312</v>
      </c>
      <c r="AD3848">
        <v>-1.03868943</v>
      </c>
      <c r="AE3848">
        <v>-33.002600000000001</v>
      </c>
      <c r="AF3848">
        <v>-13.9758465499555</v>
      </c>
      <c r="AG3848">
        <v>-1.03868943</v>
      </c>
      <c r="AH3848">
        <v>33.476042600883602</v>
      </c>
      <c r="AI3848">
        <v>91.640086509256193</v>
      </c>
      <c r="AJ3848">
        <v>112.659951500069</v>
      </c>
      <c r="AK3848">
        <v>36.291164086263002</v>
      </c>
      <c r="AL3848">
        <v>79.830348180947794</v>
      </c>
      <c r="AM3848">
        <v>100.504436563157</v>
      </c>
      <c r="AN3848">
        <v>0.99999993755560301</v>
      </c>
    </row>
    <row r="3849" spans="1:40" x14ac:dyDescent="0.25">
      <c r="A3849" t="str">
        <f>"20190304155450010"</f>
        <v>20190304155450010</v>
      </c>
      <c r="B3849" t="str">
        <f>"1551686090001581"</f>
        <v>1551686090001581</v>
      </c>
      <c r="C3849" t="s">
        <v>40</v>
      </c>
      <c r="D3849">
        <v>3.9553530000000001</v>
      </c>
      <c r="E3849">
        <v>0.41765419999999998</v>
      </c>
      <c r="F3849" t="s">
        <v>46</v>
      </c>
      <c r="G3849">
        <v>-427.21699999999998</v>
      </c>
      <c r="H3849" s="1">
        <v>-5.7234269999999998E-6</v>
      </c>
      <c r="I3849">
        <v>108.8566</v>
      </c>
      <c r="J3849">
        <v>-416.02539999999999</v>
      </c>
      <c r="K3849">
        <v>1.1186339999999999</v>
      </c>
      <c r="L3849">
        <v>133.12389999999999</v>
      </c>
      <c r="M3849">
        <v>-0.71868589999999999</v>
      </c>
      <c r="N3849">
        <v>-1.5070450000000001E-2</v>
      </c>
      <c r="O3849">
        <v>-0.695171599999999</v>
      </c>
      <c r="P3849">
        <v>-0.57337709999999997</v>
      </c>
      <c r="Q3849">
        <v>0.16846129999999901</v>
      </c>
      <c r="R3849">
        <v>-0.80178549999999904</v>
      </c>
      <c r="S3849">
        <v>-1.3274539999999999</v>
      </c>
      <c r="T3849">
        <v>-0.1289217</v>
      </c>
      <c r="U3849">
        <v>-2.8359679999999998</v>
      </c>
      <c r="V3849">
        <v>-0.1812454</v>
      </c>
      <c r="W3849">
        <v>0.1795012</v>
      </c>
      <c r="X3849">
        <v>0.96691749999999999</v>
      </c>
      <c r="Y3849">
        <v>-0.35607909999999998</v>
      </c>
      <c r="Z3849">
        <v>1.069433E-2</v>
      </c>
      <c r="AA3849">
        <v>0.93439459999999996</v>
      </c>
      <c r="AB3849">
        <v>25</v>
      </c>
      <c r="AC3849">
        <v>-11.1915999999999</v>
      </c>
      <c r="AD3849">
        <v>-1.11863972342699</v>
      </c>
      <c r="AE3849">
        <v>-24.267299999999899</v>
      </c>
      <c r="AF3849">
        <v>-9.6446810211944598</v>
      </c>
      <c r="AG3849">
        <v>-1.11863972342699</v>
      </c>
      <c r="AH3849">
        <v>24.872429330524501</v>
      </c>
      <c r="AI3849">
        <v>92.401170306261804</v>
      </c>
      <c r="AJ3849">
        <v>111.19459645043899</v>
      </c>
      <c r="AK3849">
        <v>26.700355196763901</v>
      </c>
      <c r="AL3849">
        <v>79.659292672263803</v>
      </c>
      <c r="AM3849">
        <v>100.616699686465</v>
      </c>
      <c r="AN3849">
        <v>1.0000000138144201</v>
      </c>
    </row>
    <row r="3850" spans="1:40" x14ac:dyDescent="0.25">
      <c r="A3850" t="str">
        <f>"20190304155450033"</f>
        <v>20190304155450033</v>
      </c>
      <c r="B3850" t="str">
        <f>"1551686090030848"</f>
        <v>1551686090030848</v>
      </c>
      <c r="C3850" t="s">
        <v>40</v>
      </c>
      <c r="D3850">
        <v>4.0145499999999998</v>
      </c>
      <c r="E3850">
        <v>0.42126720000000001</v>
      </c>
      <c r="F3850" t="s">
        <v>46</v>
      </c>
      <c r="G3850">
        <v>-427.31900000000002</v>
      </c>
      <c r="H3850" s="1">
        <v>-5.2180229999999901E-6</v>
      </c>
      <c r="I3850">
        <v>107.49339999999999</v>
      </c>
      <c r="J3850">
        <v>-416.19720000000001</v>
      </c>
      <c r="K3850">
        <v>1.118608</v>
      </c>
      <c r="L3850">
        <v>132.9383</v>
      </c>
      <c r="M3850">
        <v>-0.70994060000000003</v>
      </c>
      <c r="N3850">
        <v>-1.5075689999999999E-2</v>
      </c>
      <c r="O3850">
        <v>-0.70410039999999996</v>
      </c>
      <c r="P3850">
        <v>-0.56309030000000004</v>
      </c>
      <c r="Q3850">
        <v>0.16821820000000001</v>
      </c>
      <c r="R3850">
        <v>-0.80909359999999997</v>
      </c>
      <c r="S3850">
        <v>-1.262451</v>
      </c>
      <c r="T3850">
        <v>-0.1250463</v>
      </c>
      <c r="U3850">
        <v>-2.865097</v>
      </c>
      <c r="V3850">
        <v>-0.18152889999999999</v>
      </c>
      <c r="W3850">
        <v>0.17926900000000001</v>
      </c>
      <c r="X3850">
        <v>0.96690739999999997</v>
      </c>
      <c r="Y3850">
        <v>-0.36563250000000003</v>
      </c>
      <c r="Z3850">
        <v>1.010028E-2</v>
      </c>
      <c r="AA3850">
        <v>0.93070450000000005</v>
      </c>
      <c r="AB3850">
        <v>25</v>
      </c>
      <c r="AC3850">
        <v>-11.1218</v>
      </c>
      <c r="AD3850">
        <v>-1.118613218023</v>
      </c>
      <c r="AE3850">
        <v>-25.444900000000001</v>
      </c>
      <c r="AF3850">
        <v>-10.218084796362801</v>
      </c>
      <c r="AG3850">
        <v>-1.118613218023</v>
      </c>
      <c r="AH3850">
        <v>25.7726910007346</v>
      </c>
      <c r="AI3850">
        <v>92.310496658489598</v>
      </c>
      <c r="AJ3850">
        <v>111.62681364415199</v>
      </c>
      <c r="AK3850">
        <v>27.7469305303586</v>
      </c>
      <c r="AL3850">
        <v>79.672816160902599</v>
      </c>
      <c r="AM3850">
        <v>100.633036248012</v>
      </c>
      <c r="AN3850">
        <v>1.00000001803548</v>
      </c>
    </row>
    <row r="3851" spans="1:40" x14ac:dyDescent="0.25">
      <c r="A3851" t="str">
        <f>"20190304155450077"</f>
        <v>20190304155450077</v>
      </c>
      <c r="B3851" t="str">
        <f>"1551686090070867"</f>
        <v>1551686090070867</v>
      </c>
      <c r="C3851" t="s">
        <v>40</v>
      </c>
      <c r="D3851">
        <v>4.2638220000000002</v>
      </c>
      <c r="E3851">
        <v>0.42278510000000002</v>
      </c>
      <c r="F3851" t="s">
        <v>46</v>
      </c>
      <c r="G3851">
        <v>-425.75540000000001</v>
      </c>
      <c r="H3851" s="1">
        <v>-2.159536E-6</v>
      </c>
      <c r="I3851">
        <v>111.0534</v>
      </c>
      <c r="J3851">
        <v>-416.51330000000002</v>
      </c>
      <c r="K3851">
        <v>1.1185529999999999</v>
      </c>
      <c r="L3851">
        <v>132.58420000000001</v>
      </c>
      <c r="M3851">
        <v>-0.69322930000000005</v>
      </c>
      <c r="N3851">
        <v>-1.5081270000000001E-2</v>
      </c>
      <c r="O3851">
        <v>-0.72055950000000002</v>
      </c>
      <c r="P3851">
        <v>-0.54354139999999995</v>
      </c>
      <c r="Q3851">
        <v>0.16698940000000001</v>
      </c>
      <c r="R3851">
        <v>-0.82260440000000001</v>
      </c>
      <c r="S3851">
        <v>-1.2521059999999999</v>
      </c>
      <c r="T3851">
        <v>-0.14653559999999999</v>
      </c>
      <c r="U3851">
        <v>-2.8668819999999999</v>
      </c>
      <c r="V3851">
        <v>-0.18214640000000001</v>
      </c>
      <c r="W3851">
        <v>0.1780562</v>
      </c>
      <c r="X3851">
        <v>0.96701530000000002</v>
      </c>
      <c r="Y3851">
        <v>-0.34677659999999899</v>
      </c>
      <c r="Z3851">
        <v>1.5186430000000001E-2</v>
      </c>
      <c r="AA3851">
        <v>0.93782480000000001</v>
      </c>
      <c r="AB3851">
        <v>25</v>
      </c>
      <c r="AC3851">
        <v>-9.24209999999999</v>
      </c>
      <c r="AD3851">
        <v>-1.1185551595359999</v>
      </c>
      <c r="AE3851">
        <v>-21.530799999999999</v>
      </c>
      <c r="AF3851">
        <v>-8.2484390456684302</v>
      </c>
      <c r="AG3851">
        <v>-1.1185551595359999</v>
      </c>
      <c r="AH3851">
        <v>21.873756226610698</v>
      </c>
      <c r="AI3851">
        <v>92.739395047278904</v>
      </c>
      <c r="AJ3851">
        <v>110.661105200976</v>
      </c>
      <c r="AK3851">
        <v>23.404040757873901</v>
      </c>
      <c r="AL3851">
        <v>79.743440164095503</v>
      </c>
      <c r="AM3851">
        <v>100.667214311424</v>
      </c>
      <c r="AN3851">
        <v>0.99999995591274404</v>
      </c>
    </row>
    <row r="3852" spans="1:40" x14ac:dyDescent="0.25">
      <c r="A3852" t="str">
        <f>"20190304155450100"</f>
        <v>20190304155450100</v>
      </c>
      <c r="B3852" t="str">
        <f>"1551686090091359"</f>
        <v>1551686090091359</v>
      </c>
      <c r="C3852" t="s">
        <v>40</v>
      </c>
      <c r="D3852">
        <v>4.2975890000000003</v>
      </c>
      <c r="E3852">
        <v>0.428282</v>
      </c>
      <c r="F3852" t="s">
        <v>46</v>
      </c>
      <c r="G3852">
        <v>-425.05619999999999</v>
      </c>
      <c r="H3852" s="1">
        <v>-2.3382770000000001E-6</v>
      </c>
      <c r="I3852">
        <v>111.9037</v>
      </c>
      <c r="J3852">
        <v>-416.67180000000002</v>
      </c>
      <c r="K3852">
        <v>1.1185259999999999</v>
      </c>
      <c r="L3852">
        <v>132.40029999999999</v>
      </c>
      <c r="M3852">
        <v>-0.68453509999999995</v>
      </c>
      <c r="N3852">
        <v>-1.5082409999999999E-2</v>
      </c>
      <c r="O3852">
        <v>-0.72882380000000002</v>
      </c>
      <c r="P3852">
        <v>-0.53400979999999998</v>
      </c>
      <c r="Q3852">
        <v>0.16678399999999999</v>
      </c>
      <c r="R3852">
        <v>-0.82886479999999996</v>
      </c>
      <c r="S3852">
        <v>-1.1937869999999999</v>
      </c>
      <c r="T3852">
        <v>-0.15630669999999999</v>
      </c>
      <c r="U3852">
        <v>-2.8898929999999998</v>
      </c>
      <c r="V3852">
        <v>-0.18171960000000001</v>
      </c>
      <c r="W3852">
        <v>0.17787320000000001</v>
      </c>
      <c r="X3852">
        <v>0.96712929999999997</v>
      </c>
      <c r="Y3852">
        <v>-0.35430420000000001</v>
      </c>
      <c r="Z3852">
        <v>1.7264789999999999E-2</v>
      </c>
      <c r="AA3852">
        <v>0.93497090000000005</v>
      </c>
      <c r="AB3852">
        <v>25</v>
      </c>
      <c r="AC3852">
        <v>-8.3843999999999692</v>
      </c>
      <c r="AD3852">
        <v>-1.1185283382769999</v>
      </c>
      <c r="AE3852">
        <v>-20.496599999999901</v>
      </c>
      <c r="AF3852">
        <v>-7.9006374625931999</v>
      </c>
      <c r="AG3852">
        <v>-1.1185283382769999</v>
      </c>
      <c r="AH3852">
        <v>20.6275552143168</v>
      </c>
      <c r="AI3852">
        <v>92.898853414663193</v>
      </c>
      <c r="AJ3852">
        <v>110.957527335656</v>
      </c>
      <c r="AK3852">
        <v>22.117124860129302</v>
      </c>
      <c r="AL3852">
        <v>79.754095690426198</v>
      </c>
      <c r="AM3852">
        <v>100.641564992916</v>
      </c>
      <c r="AN3852">
        <v>0.99999998561044401</v>
      </c>
    </row>
    <row r="3853" spans="1:40" x14ac:dyDescent="0.25">
      <c r="A3853" t="str">
        <f>"20190304155450122"</f>
        <v>20190304155450122</v>
      </c>
      <c r="B3853" t="str">
        <f>"1551686090111855"</f>
        <v>1551686090111855</v>
      </c>
      <c r="C3853" t="s">
        <v>40</v>
      </c>
      <c r="D3853">
        <v>4.3201929999999997</v>
      </c>
      <c r="E3853">
        <v>0.42920849999999999</v>
      </c>
      <c r="F3853" t="s">
        <v>46</v>
      </c>
      <c r="G3853">
        <v>-424.26280000000003</v>
      </c>
      <c r="H3853" s="1">
        <v>-3.0908199999999998E-6</v>
      </c>
      <c r="I3853">
        <v>114.15</v>
      </c>
      <c r="J3853">
        <v>-416.8297</v>
      </c>
      <c r="K3853">
        <v>1.118498</v>
      </c>
      <c r="L3853">
        <v>132.2124</v>
      </c>
      <c r="M3853">
        <v>-0.67563930000000005</v>
      </c>
      <c r="N3853">
        <v>-1.508254E-2</v>
      </c>
      <c r="O3853">
        <v>-0.73707819999999902</v>
      </c>
      <c r="P3853">
        <v>-0.52424470000000001</v>
      </c>
      <c r="Q3853">
        <v>0.16583879999999901</v>
      </c>
      <c r="R3853">
        <v>-0.83526359999999999</v>
      </c>
      <c r="S3853">
        <v>-1.198944</v>
      </c>
      <c r="T3853">
        <v>-0.17666389999999901</v>
      </c>
      <c r="U3853">
        <v>-2.8825069999999999</v>
      </c>
      <c r="V3853">
        <v>-0.18143020000000001</v>
      </c>
      <c r="W3853">
        <v>0.17694770000000001</v>
      </c>
      <c r="X3853">
        <v>0.96735340000000003</v>
      </c>
      <c r="Y3853">
        <v>-0.34067829999999999</v>
      </c>
      <c r="Z3853">
        <v>2.2057899999999998E-2</v>
      </c>
      <c r="AA3853">
        <v>0.93992109999999995</v>
      </c>
      <c r="AB3853">
        <v>25</v>
      </c>
      <c r="AC3853">
        <v>-7.43310000000002</v>
      </c>
      <c r="AD3853">
        <v>-1.1185010908199999</v>
      </c>
      <c r="AE3853">
        <v>-18.0624</v>
      </c>
      <c r="AF3853">
        <v>-6.70367248006281</v>
      </c>
      <c r="AG3853">
        <v>-1.1185010908199999</v>
      </c>
      <c r="AH3853">
        <v>18.2776423317361</v>
      </c>
      <c r="AI3853">
        <v>93.288181104834194</v>
      </c>
      <c r="AJ3853">
        <v>110.141471329673</v>
      </c>
      <c r="AK3853">
        <v>19.5003199619131</v>
      </c>
      <c r="AL3853">
        <v>79.807977851643599</v>
      </c>
      <c r="AM3853">
        <v>100.622598391145</v>
      </c>
      <c r="AN3853">
        <v>1.0000000032494401</v>
      </c>
    </row>
    <row r="3854" spans="1:40" x14ac:dyDescent="0.25">
      <c r="A3854" t="str">
        <f>"20190304155450144"</f>
        <v>20190304155450144</v>
      </c>
      <c r="B3854" t="str">
        <f>"1551686090141136"</f>
        <v>1551686090141136</v>
      </c>
      <c r="C3854" t="s">
        <v>40</v>
      </c>
      <c r="D3854">
        <v>4.2842510000000003</v>
      </c>
      <c r="E3854">
        <v>0.4303091</v>
      </c>
      <c r="F3854" t="s">
        <v>46</v>
      </c>
      <c r="G3854">
        <v>-423.98970000000003</v>
      </c>
      <c r="H3854" s="1">
        <v>-3.1774240000000001E-6</v>
      </c>
      <c r="I3854">
        <v>114.5213</v>
      </c>
      <c r="J3854">
        <v>-416.9821</v>
      </c>
      <c r="K3854">
        <v>1.1184750000000001</v>
      </c>
      <c r="L3854">
        <v>132.0264</v>
      </c>
      <c r="M3854">
        <v>-0.66682719999999995</v>
      </c>
      <c r="N3854">
        <v>-1.50817999999999E-2</v>
      </c>
      <c r="O3854">
        <v>-0.74505980000000005</v>
      </c>
      <c r="P3854">
        <v>-0.51477569999999995</v>
      </c>
      <c r="Q3854">
        <v>0.1647855</v>
      </c>
      <c r="R3854">
        <v>-0.84133910000000001</v>
      </c>
      <c r="S3854">
        <v>-1.170898</v>
      </c>
      <c r="T3854">
        <v>-0.1829123</v>
      </c>
      <c r="U3854">
        <v>-2.893097</v>
      </c>
      <c r="V3854">
        <v>-0.18096090000000001</v>
      </c>
      <c r="W3854">
        <v>0.1759175</v>
      </c>
      <c r="X3854">
        <v>0.96762910000000002</v>
      </c>
      <c r="Y3854">
        <v>-0.33853470000000002</v>
      </c>
      <c r="Z3854">
        <v>2.3820589999999999E-2</v>
      </c>
      <c r="AA3854">
        <v>0.94065240000000006</v>
      </c>
      <c r="AB3854">
        <v>25</v>
      </c>
      <c r="AC3854">
        <v>-7.0076000000000196</v>
      </c>
      <c r="AD3854">
        <v>-1.118478177424</v>
      </c>
      <c r="AE3854">
        <v>-17.505099999999999</v>
      </c>
      <c r="AF3854">
        <v>-6.4299049841785703</v>
      </c>
      <c r="AG3854">
        <v>-1.118478177424</v>
      </c>
      <c r="AH3854">
        <v>17.6550973499908</v>
      </c>
      <c r="AI3854">
        <v>93.4066085774123</v>
      </c>
      <c r="AJ3854">
        <v>110.011390348966</v>
      </c>
      <c r="AK3854">
        <v>18.8227823123094</v>
      </c>
      <c r="AL3854">
        <v>79.867944082722502</v>
      </c>
      <c r="AM3854">
        <v>100.592793571374</v>
      </c>
      <c r="AN3854">
        <v>0.999999944650933</v>
      </c>
    </row>
    <row r="3855" spans="1:40" x14ac:dyDescent="0.25">
      <c r="A3855" t="str">
        <f>"20190304155450166"</f>
        <v>20190304155450166</v>
      </c>
      <c r="B3855" t="str">
        <f>"1551686090161631"</f>
        <v>1551686090161631</v>
      </c>
      <c r="C3855" t="s">
        <v>40</v>
      </c>
      <c r="D3855">
        <v>4.3084699999999998</v>
      </c>
      <c r="E3855">
        <v>0.43088080000000001</v>
      </c>
      <c r="F3855" t="s">
        <v>46</v>
      </c>
      <c r="G3855">
        <v>-423.72879999999998</v>
      </c>
      <c r="H3855" s="1">
        <v>-3.2813210000000002E-6</v>
      </c>
      <c r="I3855">
        <v>114.92529999999999</v>
      </c>
      <c r="J3855">
        <v>-417.13069999999999</v>
      </c>
      <c r="K3855">
        <v>1.1184449999999999</v>
      </c>
      <c r="L3855">
        <v>131.84049999999999</v>
      </c>
      <c r="M3855">
        <v>-0.65801100000000001</v>
      </c>
      <c r="N3855">
        <v>-1.5080440000000001E-2</v>
      </c>
      <c r="O3855">
        <v>-0.75285740000000001</v>
      </c>
      <c r="P3855">
        <v>-0.50549909999999998</v>
      </c>
      <c r="Q3855">
        <v>0.16406989999999999</v>
      </c>
      <c r="R3855">
        <v>-0.84708449999999902</v>
      </c>
      <c r="S3855">
        <v>-1.1450199999999999</v>
      </c>
      <c r="T3855">
        <v>-0.18982299999999999</v>
      </c>
      <c r="U3855">
        <v>-2.9023279999999998</v>
      </c>
      <c r="V3855">
        <v>-0.1802706</v>
      </c>
      <c r="W3855">
        <v>0.17522750000000001</v>
      </c>
      <c r="X3855">
        <v>0.96788320000000005</v>
      </c>
      <c r="Y3855">
        <v>-0.33574989999999999</v>
      </c>
      <c r="Z3855">
        <v>2.577049E-2</v>
      </c>
      <c r="AA3855">
        <v>0.94159859999999895</v>
      </c>
      <c r="AB3855">
        <v>25</v>
      </c>
      <c r="AC3855">
        <v>-6.5980999999999801</v>
      </c>
      <c r="AD3855">
        <v>-1.1184482813209999</v>
      </c>
      <c r="AE3855">
        <v>-16.915199999999999</v>
      </c>
      <c r="AF3855">
        <v>-6.1403594093449003</v>
      </c>
      <c r="AG3855">
        <v>-1.1184482813209999</v>
      </c>
      <c r="AH3855">
        <v>17.0137361117343</v>
      </c>
      <c r="AI3855">
        <v>93.538330513056707</v>
      </c>
      <c r="AJ3855">
        <v>109.84481727211499</v>
      </c>
      <c r="AK3855">
        <v>18.122421381086198</v>
      </c>
      <c r="AL3855">
        <v>79.908102810012295</v>
      </c>
      <c r="AM3855">
        <v>100.550586962628</v>
      </c>
      <c r="AN3855">
        <v>1.00000002741142</v>
      </c>
    </row>
    <row r="3856" spans="1:40" x14ac:dyDescent="0.25">
      <c r="A3856" t="str">
        <f>"20190304155450193"</f>
        <v>20190304155450193</v>
      </c>
      <c r="B3856" t="str">
        <f>"1551686090181152"</f>
        <v>1551686090181152</v>
      </c>
      <c r="C3856" t="s">
        <v>40</v>
      </c>
      <c r="D3856">
        <v>4.3257940000000001</v>
      </c>
      <c r="E3856">
        <v>0.43404609999999899</v>
      </c>
      <c r="F3856" t="s">
        <v>46</v>
      </c>
      <c r="G3856">
        <v>-423.57499999999999</v>
      </c>
      <c r="H3856" s="1">
        <v>-3.2872660000000002E-6</v>
      </c>
      <c r="I3856">
        <v>115.03449999999999</v>
      </c>
      <c r="J3856">
        <v>-417.30970000000002</v>
      </c>
      <c r="K3856">
        <v>1.1184130000000001</v>
      </c>
      <c r="L3856">
        <v>131.61060000000001</v>
      </c>
      <c r="M3856">
        <v>-0.64708859999999901</v>
      </c>
      <c r="N3856">
        <v>-1.5078029999999999E-2</v>
      </c>
      <c r="O3856">
        <v>-0.76226590000000005</v>
      </c>
      <c r="P3856">
        <v>-0.49401240000000002</v>
      </c>
      <c r="Q3856">
        <v>0.16366069999999999</v>
      </c>
      <c r="R3856">
        <v>-0.85391309999999998</v>
      </c>
      <c r="S3856">
        <v>-1.116852</v>
      </c>
      <c r="T3856">
        <v>-0.19383549999999999</v>
      </c>
      <c r="U3856">
        <v>-2.9126129999999999</v>
      </c>
      <c r="V3856">
        <v>-0.17941650000000001</v>
      </c>
      <c r="W3856">
        <v>0.17484810000000001</v>
      </c>
      <c r="X3856">
        <v>0.96811040000000004</v>
      </c>
      <c r="Y3856">
        <v>-0.33123170000000002</v>
      </c>
      <c r="Z3856">
        <v>2.7309900000000002E-2</v>
      </c>
      <c r="AA3856">
        <v>0.94315420000000005</v>
      </c>
      <c r="AB3856">
        <v>25</v>
      </c>
      <c r="AC3856">
        <v>-6.2652999999999599</v>
      </c>
      <c r="AD3856">
        <v>-1.118416287266</v>
      </c>
      <c r="AE3856">
        <v>-16.5761</v>
      </c>
      <c r="AF3856">
        <v>-5.9274453326119598</v>
      </c>
      <c r="AG3856">
        <v>-1.118416287266</v>
      </c>
      <c r="AH3856">
        <v>16.625270702125601</v>
      </c>
      <c r="AI3856">
        <v>93.625709326214405</v>
      </c>
      <c r="AJ3856">
        <v>109.622790946327</v>
      </c>
      <c r="AK3856">
        <v>17.6857312283569</v>
      </c>
      <c r="AL3856">
        <v>79.930180825056595</v>
      </c>
      <c r="AM3856">
        <v>100.499304407835</v>
      </c>
      <c r="AN3856">
        <v>0.99999994256700797</v>
      </c>
    </row>
    <row r="3857" spans="1:40" x14ac:dyDescent="0.25">
      <c r="A3857" t="str">
        <f>"20190304155450219"</f>
        <v>20190304155450219</v>
      </c>
      <c r="B3857" t="str">
        <f>"1551686090211407"</f>
        <v>1551686090211407</v>
      </c>
      <c r="C3857" t="s">
        <v>40</v>
      </c>
      <c r="D3857">
        <v>4.3292809999999999</v>
      </c>
      <c r="E3857">
        <v>0.43446040000000002</v>
      </c>
      <c r="F3857" t="s">
        <v>46</v>
      </c>
      <c r="G3857">
        <v>-423.24209999999999</v>
      </c>
      <c r="H3857" s="1">
        <v>-3.5637389999999999E-6</v>
      </c>
      <c r="I3857">
        <v>115.88549999999999</v>
      </c>
      <c r="J3857">
        <v>-417.47460000000001</v>
      </c>
      <c r="K3857">
        <v>1.118385</v>
      </c>
      <c r="L3857">
        <v>131.3929</v>
      </c>
      <c r="M3857">
        <v>-0.63672600000000001</v>
      </c>
      <c r="N3857">
        <v>-1.5075130000000001E-2</v>
      </c>
      <c r="O3857">
        <v>-0.77094280000000004</v>
      </c>
      <c r="P3857">
        <v>-0.48301719999999998</v>
      </c>
      <c r="Q3857">
        <v>0.16290180000000001</v>
      </c>
      <c r="R3857">
        <v>-0.86032419999999998</v>
      </c>
      <c r="S3857">
        <v>-1.10025</v>
      </c>
      <c r="T3857">
        <v>-0.20742679999999999</v>
      </c>
      <c r="U3857">
        <v>-2.916458</v>
      </c>
      <c r="V3857">
        <v>-0.1788141</v>
      </c>
      <c r="W3857">
        <v>0.17411279999999901</v>
      </c>
      <c r="X3857">
        <v>0.96835439999999995</v>
      </c>
      <c r="Y3857">
        <v>-0.3236115</v>
      </c>
      <c r="Z3857">
        <v>3.0977999999999999E-2</v>
      </c>
      <c r="AA3857">
        <v>0.94568280000000005</v>
      </c>
      <c r="AB3857">
        <v>25</v>
      </c>
      <c r="AC3857">
        <v>-5.7674999999999796</v>
      </c>
      <c r="AD3857">
        <v>-1.1183885637390001</v>
      </c>
      <c r="AE3857">
        <v>-15.507400000000001</v>
      </c>
      <c r="AF3857">
        <v>-5.4034791899341901</v>
      </c>
      <c r="AG3857">
        <v>-1.1183885637390001</v>
      </c>
      <c r="AH3857">
        <v>15.5583218651587</v>
      </c>
      <c r="AI3857">
        <v>93.884696625090797</v>
      </c>
      <c r="AJ3857">
        <v>109.152357439113</v>
      </c>
      <c r="AK3857">
        <v>16.507869626194299</v>
      </c>
      <c r="AL3857">
        <v>79.972967272493605</v>
      </c>
      <c r="AM3857">
        <v>100.462253870457</v>
      </c>
      <c r="AN3857">
        <v>0.99999999674100404</v>
      </c>
    </row>
    <row r="3858" spans="1:40" x14ac:dyDescent="0.25">
      <c r="A3858" t="str">
        <f>"20190304155450238"</f>
        <v>20190304155450238</v>
      </c>
      <c r="B3858" t="str">
        <f>"1551686090230927"</f>
        <v>1551686090230927</v>
      </c>
      <c r="C3858" t="s">
        <v>40</v>
      </c>
      <c r="D3858">
        <v>4.3447809999999896</v>
      </c>
      <c r="E3858">
        <v>0.43460130000000002</v>
      </c>
      <c r="F3858" t="s">
        <v>46</v>
      </c>
      <c r="G3858">
        <v>-423.1703</v>
      </c>
      <c r="H3858" s="1">
        <v>-3.4765300000000001E-6</v>
      </c>
      <c r="I3858">
        <v>115.72669999999999</v>
      </c>
      <c r="J3858">
        <v>-417.59789999999998</v>
      </c>
      <c r="K3858">
        <v>1.1183670000000001</v>
      </c>
      <c r="L3858">
        <v>131.22569999999999</v>
      </c>
      <c r="M3858">
        <v>-0.62876379999999998</v>
      </c>
      <c r="N3858">
        <v>-1.5072500000000001E-2</v>
      </c>
      <c r="O3858">
        <v>-0.77745019999999998</v>
      </c>
      <c r="P3858">
        <v>-0.47523029999999999</v>
      </c>
      <c r="Q3858">
        <v>0.16241630000000001</v>
      </c>
      <c r="R3858">
        <v>-0.86474130000000005</v>
      </c>
      <c r="S3858">
        <v>-1.064819</v>
      </c>
      <c r="T3858">
        <v>-0.20908489999999999</v>
      </c>
      <c r="U3858">
        <v>-2.9288180000000001</v>
      </c>
      <c r="V3858">
        <v>-0.17763429999999999</v>
      </c>
      <c r="W3858">
        <v>0.17366019999999999</v>
      </c>
      <c r="X3858">
        <v>0.96865279999999998</v>
      </c>
      <c r="Y3858">
        <v>-0.32526929999999998</v>
      </c>
      <c r="Z3858">
        <v>3.1742430000000002E-2</v>
      </c>
      <c r="AA3858">
        <v>0.9450885</v>
      </c>
      <c r="AB3858">
        <v>25</v>
      </c>
      <c r="AC3858">
        <v>-5.5724000000000098</v>
      </c>
      <c r="AD3858">
        <v>-1.11837047653</v>
      </c>
      <c r="AE3858">
        <v>-15.498999999999899</v>
      </c>
      <c r="AF3858">
        <v>-5.38871599609414</v>
      </c>
      <c r="AG3858">
        <v>-1.11837047653</v>
      </c>
      <c r="AH3858">
        <v>15.483800324294</v>
      </c>
      <c r="AI3858">
        <v>93.902406000741095</v>
      </c>
      <c r="AJ3858">
        <v>109.189063319992</v>
      </c>
      <c r="AK3858">
        <v>16.432805149819799</v>
      </c>
      <c r="AL3858">
        <v>79.999300829674098</v>
      </c>
      <c r="AM3858">
        <v>100.391601993685</v>
      </c>
      <c r="AN3858">
        <v>1.0000000282741801</v>
      </c>
    </row>
    <row r="3859" spans="1:40" x14ac:dyDescent="0.25">
      <c r="A3859" t="str">
        <f>"20190304155450257"</f>
        <v>20190304155450257</v>
      </c>
      <c r="B3859" t="str">
        <f>"1551686090251424"</f>
        <v>1551686090251424</v>
      </c>
      <c r="C3859" t="s">
        <v>40</v>
      </c>
      <c r="D3859">
        <v>4.3444570000000002</v>
      </c>
      <c r="E3859">
        <v>0.42547059999999998</v>
      </c>
      <c r="F3859" t="s">
        <v>46</v>
      </c>
      <c r="G3859">
        <v>-423.10340000000002</v>
      </c>
      <c r="H3859" s="1">
        <v>-3.4277709999999999E-6</v>
      </c>
      <c r="I3859">
        <v>115.6545</v>
      </c>
      <c r="J3859">
        <v>-417.71710000000002</v>
      </c>
      <c r="K3859">
        <v>1.1183459999999901</v>
      </c>
      <c r="L3859">
        <v>131.06059999999999</v>
      </c>
      <c r="M3859">
        <v>-0.62089569999999905</v>
      </c>
      <c r="N3859">
        <v>-1.5069559999999999E-2</v>
      </c>
      <c r="O3859">
        <v>-0.78374829999999995</v>
      </c>
      <c r="P3859">
        <v>-0.46746140000000003</v>
      </c>
      <c r="Q3859">
        <v>0.1614109</v>
      </c>
      <c r="R3859">
        <v>-0.8691527</v>
      </c>
      <c r="S3859">
        <v>-1.0387879999999901</v>
      </c>
      <c r="T3859">
        <v>-0.21101919999999999</v>
      </c>
      <c r="U3859">
        <v>-2.938034</v>
      </c>
      <c r="V3859">
        <v>-0.1766382</v>
      </c>
      <c r="W3859">
        <v>0.1726847</v>
      </c>
      <c r="X3859">
        <v>0.96900920000000001</v>
      </c>
      <c r="Y3859">
        <v>-0.32412229999999997</v>
      </c>
      <c r="Z3859">
        <v>3.2633339999999997E-2</v>
      </c>
      <c r="AA3859">
        <v>0.94545219999999996</v>
      </c>
      <c r="AB3859">
        <v>24</v>
      </c>
      <c r="AC3859">
        <v>-5.3863000000000003</v>
      </c>
      <c r="AD3859">
        <v>-1.11834942777099</v>
      </c>
      <c r="AE3859">
        <v>-15.406099999999901</v>
      </c>
      <c r="AF3859">
        <v>-5.3197058780636501</v>
      </c>
      <c r="AG3859">
        <v>-1.11834942777099</v>
      </c>
      <c r="AH3859">
        <v>15.3485169299584</v>
      </c>
      <c r="AI3859">
        <v>93.938358656952403</v>
      </c>
      <c r="AJ3859">
        <v>109.116016101</v>
      </c>
      <c r="AK3859">
        <v>16.282719306704301</v>
      </c>
      <c r="AL3859">
        <v>80.056049419689103</v>
      </c>
      <c r="AM3859">
        <v>100.33087009605801</v>
      </c>
      <c r="AN3859">
        <v>0.999999944498983</v>
      </c>
    </row>
    <row r="3860" spans="1:40" x14ac:dyDescent="0.25">
      <c r="A3860" t="str">
        <f>"20190304155450279"</f>
        <v>20190304155450279</v>
      </c>
      <c r="B3860" t="str">
        <f>"1551686090270944"</f>
        <v>1551686090270944</v>
      </c>
      <c r="C3860" t="s">
        <v>40</v>
      </c>
      <c r="D3860">
        <v>4.3405630000000004</v>
      </c>
      <c r="E3860">
        <v>0.42566009999999999</v>
      </c>
      <c r="F3860" t="s">
        <v>46</v>
      </c>
      <c r="G3860">
        <v>-424.46609999999998</v>
      </c>
      <c r="H3860" s="1">
        <v>-1.260699E-6</v>
      </c>
      <c r="I3860">
        <v>109.7578</v>
      </c>
      <c r="J3860">
        <v>-417.851</v>
      </c>
      <c r="K3860">
        <v>1.1183209999999999</v>
      </c>
      <c r="L3860">
        <v>130.87110000000001</v>
      </c>
      <c r="M3860">
        <v>-0.61184810000000001</v>
      </c>
      <c r="N3860">
        <v>-1.506587E-2</v>
      </c>
      <c r="O3860">
        <v>-0.79083199999999998</v>
      </c>
      <c r="P3860">
        <v>-0.45817989999999997</v>
      </c>
      <c r="Q3860">
        <v>0.1603445</v>
      </c>
      <c r="R3860">
        <v>-0.87427770000000005</v>
      </c>
      <c r="S3860">
        <v>-0.94216920000000004</v>
      </c>
      <c r="T3860">
        <v>-0.15612139999999999</v>
      </c>
      <c r="U3860">
        <v>-2.9738769999999999</v>
      </c>
      <c r="V3860">
        <v>-0.1759088</v>
      </c>
      <c r="W3860">
        <v>0.17164199999999999</v>
      </c>
      <c r="X3860">
        <v>0.96932720000000006</v>
      </c>
      <c r="Y3860">
        <v>-0.34433619999999998</v>
      </c>
      <c r="Z3860">
        <v>2.0563069999999999E-2</v>
      </c>
      <c r="AA3860">
        <v>0.93862120000000004</v>
      </c>
      <c r="AB3860">
        <v>24</v>
      </c>
      <c r="AC3860">
        <v>-6.6150999999999804</v>
      </c>
      <c r="AD3860">
        <v>-1.118322260699</v>
      </c>
      <c r="AE3860">
        <v>-21.113299999999999</v>
      </c>
      <c r="AF3860">
        <v>-7.6679809555483498</v>
      </c>
      <c r="AG3860">
        <v>-1.118322260699</v>
      </c>
      <c r="AH3860">
        <v>20.693992278723002</v>
      </c>
      <c r="AI3860">
        <v>92.900923660945395</v>
      </c>
      <c r="AJ3860">
        <v>110.33175377267401</v>
      </c>
      <c r="AK3860">
        <v>22.097282481003798</v>
      </c>
      <c r="AL3860">
        <v>80.116698371384501</v>
      </c>
      <c r="AM3860">
        <v>100.285820038293</v>
      </c>
      <c r="AN3860">
        <v>1.00000005137063</v>
      </c>
    </row>
    <row r="3861" spans="1:40" x14ac:dyDescent="0.25">
      <c r="A3861" t="str">
        <f>"20190304155450304"</f>
        <v>20190304155450304</v>
      </c>
      <c r="B3861" t="str">
        <f>"1551686090291440"</f>
        <v>1551686090291440</v>
      </c>
      <c r="C3861" t="s">
        <v>40</v>
      </c>
      <c r="D3861">
        <v>4.3670269999999896</v>
      </c>
      <c r="E3861">
        <v>0.42571140000000002</v>
      </c>
      <c r="F3861" t="s">
        <v>46</v>
      </c>
      <c r="G3861">
        <v>-424.25170000000003</v>
      </c>
      <c r="H3861" s="1">
        <v>-1.2774780000000001E-6</v>
      </c>
      <c r="I3861">
        <v>109.9299</v>
      </c>
      <c r="J3861">
        <v>-417.99610000000001</v>
      </c>
      <c r="K3861">
        <v>1.1183019999999999</v>
      </c>
      <c r="L3861">
        <v>130.6601</v>
      </c>
      <c r="M3861">
        <v>-0.60176649999999998</v>
      </c>
      <c r="N3861">
        <v>-1.5061420000000001E-2</v>
      </c>
      <c r="O3861">
        <v>-0.79853019999999997</v>
      </c>
      <c r="P3861">
        <v>-0.44762770000000002</v>
      </c>
      <c r="Q3861">
        <v>0.16056519999999999</v>
      </c>
      <c r="R3861">
        <v>-0.87968679999999999</v>
      </c>
      <c r="S3861">
        <v>-0.91171259999999998</v>
      </c>
      <c r="T3861">
        <v>-0.1592915</v>
      </c>
      <c r="U3861">
        <v>-2.9828190000000001</v>
      </c>
      <c r="V3861">
        <v>-0.17524310000000001</v>
      </c>
      <c r="W3861">
        <v>0.17188299999999901</v>
      </c>
      <c r="X3861">
        <v>0.96940510000000002</v>
      </c>
      <c r="Y3861">
        <v>-0.3419818</v>
      </c>
      <c r="Z3861">
        <v>2.1710790000000001E-2</v>
      </c>
      <c r="AA3861">
        <v>0.9394557</v>
      </c>
      <c r="AB3861">
        <v>24</v>
      </c>
      <c r="AC3861">
        <v>-6.25560000000001</v>
      </c>
      <c r="AD3861">
        <v>-1.118303277478</v>
      </c>
      <c r="AE3861">
        <v>-20.7302</v>
      </c>
      <c r="AF3861">
        <v>-7.4604032012332704</v>
      </c>
      <c r="AG3861">
        <v>-1.118303277478</v>
      </c>
      <c r="AH3861">
        <v>20.266348328222598</v>
      </c>
      <c r="AI3861">
        <v>92.964308338698501</v>
      </c>
      <c r="AJ3861">
        <v>110.209558471587</v>
      </c>
      <c r="AK3861">
        <v>21.6248258422176</v>
      </c>
      <c r="AL3861">
        <v>80.102682054747007</v>
      </c>
      <c r="AM3861">
        <v>100.246915230756</v>
      </c>
      <c r="AN3861">
        <v>1.0000000788462999</v>
      </c>
    </row>
    <row r="3862" spans="1:40" x14ac:dyDescent="0.25">
      <c r="A3862" t="str">
        <f>"20190304155450324"</f>
        <v>20190304155450324</v>
      </c>
      <c r="B3862" t="str">
        <f>"1551686090321697"</f>
        <v>1551686090321697</v>
      </c>
      <c r="C3862" t="s">
        <v>40</v>
      </c>
      <c r="D3862">
        <v>4.371232</v>
      </c>
      <c r="E3862">
        <v>0.42751</v>
      </c>
      <c r="F3862" t="s">
        <v>46</v>
      </c>
      <c r="G3862">
        <v>-424.19940000000003</v>
      </c>
      <c r="H3862" s="1">
        <v>-5.4201500000000001E-6</v>
      </c>
      <c r="I3862">
        <v>109.4607</v>
      </c>
      <c r="J3862">
        <v>-418.12220000000002</v>
      </c>
      <c r="K3862">
        <v>1.1182840000000001</v>
      </c>
      <c r="L3862">
        <v>130.4718</v>
      </c>
      <c r="M3862">
        <v>-0.59276219999999902</v>
      </c>
      <c r="N3862">
        <v>-1.505712E-2</v>
      </c>
      <c r="O3862">
        <v>-0.80523679999999997</v>
      </c>
      <c r="P3862">
        <v>-0.43877630000000001</v>
      </c>
      <c r="Q3862">
        <v>0.1614062</v>
      </c>
      <c r="R3862">
        <v>-0.88398149999999998</v>
      </c>
      <c r="S3862">
        <v>-0.87591549999999996</v>
      </c>
      <c r="T3862">
        <v>-0.15790609999999999</v>
      </c>
      <c r="U3862">
        <v>-2.9933779999999999</v>
      </c>
      <c r="V3862">
        <v>-0.1740003</v>
      </c>
      <c r="W3862">
        <v>0.1727533</v>
      </c>
      <c r="X3862">
        <v>0.96947419999999995</v>
      </c>
      <c r="Y3862">
        <v>-0.3426729</v>
      </c>
      <c r="Z3862">
        <v>2.1737090000000001E-2</v>
      </c>
      <c r="AA3862">
        <v>0.93920329999999996</v>
      </c>
      <c r="AB3862">
        <v>24</v>
      </c>
      <c r="AC3862">
        <v>-6.0772000000000004</v>
      </c>
      <c r="AD3862">
        <v>-1.11828942015</v>
      </c>
      <c r="AE3862">
        <v>-21.011099999999999</v>
      </c>
      <c r="AF3862">
        <v>-7.5421421079705304</v>
      </c>
      <c r="AG3862">
        <v>-1.11828942015</v>
      </c>
      <c r="AH3862">
        <v>20.470061216756001</v>
      </c>
      <c r="AI3862">
        <v>92.934510609082906</v>
      </c>
      <c r="AJ3862">
        <v>110.22619173976</v>
      </c>
      <c r="AK3862">
        <v>21.8439438980642</v>
      </c>
      <c r="AL3862">
        <v>80.052059673026804</v>
      </c>
      <c r="AM3862">
        <v>100.17505911251401</v>
      </c>
      <c r="AN3862">
        <v>1.0000000157633</v>
      </c>
    </row>
    <row r="3863" spans="1:40" x14ac:dyDescent="0.25">
      <c r="A3863" t="str">
        <f>"20190304155450347"</f>
        <v>20190304155450347</v>
      </c>
      <c r="B3863" t="str">
        <f>"1551686090341216"</f>
        <v>1551686090341216</v>
      </c>
      <c r="C3863" t="s">
        <v>40</v>
      </c>
      <c r="D3863">
        <v>4.3748680000000002</v>
      </c>
      <c r="E3863">
        <v>0.42788910000000002</v>
      </c>
      <c r="F3863" t="s">
        <v>46</v>
      </c>
      <c r="G3863">
        <v>-424.04730000000001</v>
      </c>
      <c r="H3863" s="1">
        <v>-1.159412E-6</v>
      </c>
      <c r="I3863">
        <v>109.78149999999999</v>
      </c>
      <c r="J3863">
        <v>-418.25279999999998</v>
      </c>
      <c r="K3863">
        <v>1.1182639999999999</v>
      </c>
      <c r="L3863">
        <v>130.27189999999999</v>
      </c>
      <c r="M3863">
        <v>-0.58319209999999999</v>
      </c>
      <c r="N3863">
        <v>-1.505252E-2</v>
      </c>
      <c r="O3863">
        <v>-0.81219479999999999</v>
      </c>
      <c r="P3863">
        <v>-0.4293052</v>
      </c>
      <c r="Q3863">
        <v>0.16211729999999899</v>
      </c>
      <c r="R3863">
        <v>-0.88849040000000001</v>
      </c>
      <c r="S3863">
        <v>-0.85833740000000003</v>
      </c>
      <c r="T3863">
        <v>-0.16199959999999999</v>
      </c>
      <c r="U3863">
        <v>-2.9972989999999999</v>
      </c>
      <c r="V3863">
        <v>-0.172813299999999</v>
      </c>
      <c r="W3863">
        <v>0.17349349999999999</v>
      </c>
      <c r="X3863">
        <v>0.96955429999999998</v>
      </c>
      <c r="Y3863">
        <v>-0.3369741</v>
      </c>
      <c r="Z3863">
        <v>2.3162869999999999E-2</v>
      </c>
      <c r="AA3863">
        <v>0.94122899999999998</v>
      </c>
      <c r="AB3863">
        <v>24</v>
      </c>
      <c r="AC3863">
        <v>-5.7945000000000197</v>
      </c>
      <c r="AD3863">
        <v>-1.1182651594120001</v>
      </c>
      <c r="AE3863">
        <v>-20.490399999999902</v>
      </c>
      <c r="AF3863">
        <v>-7.2244731138777301</v>
      </c>
      <c r="AG3863">
        <v>-1.1182651594120001</v>
      </c>
      <c r="AH3863">
        <v>19.9687001366716</v>
      </c>
      <c r="AI3863">
        <v>93.014436334816693</v>
      </c>
      <c r="AJ3863">
        <v>109.889609844436</v>
      </c>
      <c r="AK3863">
        <v>21.264818689285899</v>
      </c>
      <c r="AL3863">
        <v>80.008998827307295</v>
      </c>
      <c r="AM3863">
        <v>100.106264614285</v>
      </c>
      <c r="AN3863">
        <v>0.99999998592381401</v>
      </c>
    </row>
    <row r="3864" spans="1:40" x14ac:dyDescent="0.25">
      <c r="A3864" t="str">
        <f>"20190304155450370"</f>
        <v>20190304155450370</v>
      </c>
      <c r="B3864" t="str">
        <f>"1551686090361712"</f>
        <v>1551686090361712</v>
      </c>
      <c r="C3864" t="s">
        <v>40</v>
      </c>
      <c r="D3864">
        <v>4.3758879999999998</v>
      </c>
      <c r="E3864">
        <v>0.42833779999999999</v>
      </c>
      <c r="F3864" t="s">
        <v>46</v>
      </c>
      <c r="G3864">
        <v>-424.01510000000002</v>
      </c>
      <c r="H3864" s="1">
        <v>-5.3541549999999997E-6</v>
      </c>
      <c r="I3864">
        <v>109.374</v>
      </c>
      <c r="J3864">
        <v>-418.38580000000002</v>
      </c>
      <c r="K3864">
        <v>1.1182460000000001</v>
      </c>
      <c r="L3864">
        <v>130.06280000000001</v>
      </c>
      <c r="M3864">
        <v>-0.57316829999999996</v>
      </c>
      <c r="N3864">
        <v>-1.5047670000000001E-2</v>
      </c>
      <c r="O3864">
        <v>-0.81929969999999996</v>
      </c>
      <c r="P3864">
        <v>-0.419456</v>
      </c>
      <c r="Q3864">
        <v>0.16279379999999999</v>
      </c>
      <c r="R3864">
        <v>-0.89305959999999995</v>
      </c>
      <c r="S3864">
        <v>-0.82870480000000002</v>
      </c>
      <c r="T3864">
        <v>-0.16082449999999901</v>
      </c>
      <c r="U3864">
        <v>-3.0054470000000002</v>
      </c>
      <c r="V3864">
        <v>-0.1715487</v>
      </c>
      <c r="W3864">
        <v>0.1742002</v>
      </c>
      <c r="X3864">
        <v>0.96965219999999996</v>
      </c>
      <c r="Y3864">
        <v>-0.3346864</v>
      </c>
      <c r="Z3864">
        <v>2.3324790000000001E-2</v>
      </c>
      <c r="AA3864">
        <v>0.94204089999999996</v>
      </c>
      <c r="AB3864">
        <v>24</v>
      </c>
      <c r="AC3864">
        <v>-5.6292999999999997</v>
      </c>
      <c r="AD3864">
        <v>-1.1182513541550001</v>
      </c>
      <c r="AE3864">
        <v>-20.688800000000001</v>
      </c>
      <c r="AF3864">
        <v>-7.2272407987450604</v>
      </c>
      <c r="AG3864">
        <v>-1.1182513541550001</v>
      </c>
      <c r="AH3864">
        <v>20.124404332965302</v>
      </c>
      <c r="AI3864">
        <v>92.993655258731806</v>
      </c>
      <c r="AJ3864">
        <v>109.75464370332401</v>
      </c>
      <c r="AK3864">
        <v>21.412032724867199</v>
      </c>
      <c r="AL3864">
        <v>79.967882219079797</v>
      </c>
      <c r="AM3864">
        <v>100.032825437914</v>
      </c>
      <c r="AN3864">
        <v>1.0000000275582801</v>
      </c>
    </row>
    <row r="3865" spans="1:40" x14ac:dyDescent="0.25">
      <c r="A3865" t="str">
        <f>"20190304155450394"</f>
        <v>20190304155450394</v>
      </c>
      <c r="B3865" t="str">
        <f>"1551686090390992"</f>
        <v>1551686090390992</v>
      </c>
      <c r="C3865" t="s">
        <v>40</v>
      </c>
      <c r="D3865">
        <v>4.3763829999999997</v>
      </c>
      <c r="E3865">
        <v>0.42882439999999999</v>
      </c>
      <c r="F3865" t="s">
        <v>46</v>
      </c>
      <c r="G3865">
        <v>-424.0652</v>
      </c>
      <c r="H3865" s="1">
        <v>-5.0698600000000001E-6</v>
      </c>
      <c r="I3865">
        <v>108.6105</v>
      </c>
      <c r="J3865">
        <v>-418.52249999999998</v>
      </c>
      <c r="K3865">
        <v>1.118234</v>
      </c>
      <c r="L3865">
        <v>129.84190000000001</v>
      </c>
      <c r="M3865">
        <v>-0.5625599</v>
      </c>
      <c r="N3865">
        <v>-1.504278E-2</v>
      </c>
      <c r="O3865">
        <v>-0.82661989999999996</v>
      </c>
      <c r="P3865">
        <v>-0.40887400000000002</v>
      </c>
      <c r="Q3865">
        <v>0.1631071</v>
      </c>
      <c r="R3865">
        <v>-0.89789680000000005</v>
      </c>
      <c r="S3865">
        <v>-0.79772949999999998</v>
      </c>
      <c r="T3865">
        <v>-0.1570684</v>
      </c>
      <c r="U3865">
        <v>-3.0131679999999998</v>
      </c>
      <c r="V3865">
        <v>-0.1704697</v>
      </c>
      <c r="W3865">
        <v>0.17453920000000001</v>
      </c>
      <c r="X3865">
        <v>0.96978149999999996</v>
      </c>
      <c r="Y3865">
        <v>-0.3321868</v>
      </c>
      <c r="Z3865">
        <v>2.2898689999999999E-2</v>
      </c>
      <c r="AA3865">
        <v>0.94293559999999998</v>
      </c>
      <c r="AB3865">
        <v>24</v>
      </c>
      <c r="AC3865">
        <v>-5.5427000000000204</v>
      </c>
      <c r="AD3865">
        <v>-1.11823906986</v>
      </c>
      <c r="AE3865">
        <v>-21.231400000000001</v>
      </c>
      <c r="AF3865">
        <v>-7.3439872199074498</v>
      </c>
      <c r="AG3865">
        <v>-1.11823906986</v>
      </c>
      <c r="AH3865">
        <v>20.617189735127901</v>
      </c>
      <c r="AI3865">
        <v>92.924898790358696</v>
      </c>
      <c r="AJ3865">
        <v>109.606254782485</v>
      </c>
      <c r="AK3865">
        <v>21.914678174177901</v>
      </c>
      <c r="AL3865">
        <v>79.948156525595905</v>
      </c>
      <c r="AM3865">
        <v>99.969688900505801</v>
      </c>
      <c r="AN3865">
        <v>1.00000000434848</v>
      </c>
    </row>
    <row r="3866" spans="1:40" x14ac:dyDescent="0.25">
      <c r="A3866" t="str">
        <f>"20190304155450420"</f>
        <v>20190304155450420</v>
      </c>
      <c r="B3866" t="str">
        <f>"1551686090411488"</f>
        <v>1551686090411488</v>
      </c>
      <c r="C3866" t="s">
        <v>40</v>
      </c>
      <c r="D3866">
        <v>4.4235419999999896</v>
      </c>
      <c r="E3866">
        <v>0.4292531</v>
      </c>
      <c r="F3866" t="s">
        <v>46</v>
      </c>
      <c r="G3866">
        <v>-423.94330000000002</v>
      </c>
      <c r="H3866" s="1">
        <v>-4.9852579999999996E-6</v>
      </c>
      <c r="I3866">
        <v>108.4465</v>
      </c>
      <c r="J3866">
        <v>-418.65989999999999</v>
      </c>
      <c r="K3866">
        <v>1.1182160000000001</v>
      </c>
      <c r="L3866">
        <v>129.61359999999999</v>
      </c>
      <c r="M3866">
        <v>-0.55156260000000001</v>
      </c>
      <c r="N3866">
        <v>-1.503841E-2</v>
      </c>
      <c r="O3866">
        <v>-0.83399799999999902</v>
      </c>
      <c r="P3866">
        <v>-0.39788600000000002</v>
      </c>
      <c r="Q3866">
        <v>0.1631455</v>
      </c>
      <c r="R3866">
        <v>-0.90281250000000002</v>
      </c>
      <c r="S3866">
        <v>-0.76547240000000005</v>
      </c>
      <c r="T3866">
        <v>-0.15790770000000001</v>
      </c>
      <c r="U3866">
        <v>-3.021271</v>
      </c>
      <c r="V3866">
        <v>-0.16944809999999999</v>
      </c>
      <c r="W3866">
        <v>0.1746016</v>
      </c>
      <c r="X3866">
        <v>0.96994930000000001</v>
      </c>
      <c r="Y3866">
        <v>-0.329760099999999</v>
      </c>
      <c r="Z3866">
        <v>2.3535549999999999E-2</v>
      </c>
      <c r="AA3866">
        <v>0.94377140000000004</v>
      </c>
      <c r="AB3866">
        <v>24</v>
      </c>
      <c r="AC3866">
        <v>-5.2834000000000199</v>
      </c>
      <c r="AD3866">
        <v>-1.1182209852579901</v>
      </c>
      <c r="AE3866">
        <v>-21.167099999999898</v>
      </c>
      <c r="AF3866">
        <v>-7.25040940358216</v>
      </c>
      <c r="AG3866">
        <v>-1.1182209852579901</v>
      </c>
      <c r="AH3866">
        <v>20.5158715583025</v>
      </c>
      <c r="AI3866">
        <v>92.9418628347496</v>
      </c>
      <c r="AJ3866">
        <v>109.46365738785801</v>
      </c>
      <c r="AK3866">
        <v>21.788066469702802</v>
      </c>
      <c r="AL3866">
        <v>79.944525580677904</v>
      </c>
      <c r="AM3866">
        <v>99.909449595379698</v>
      </c>
      <c r="AN3866">
        <v>1.00000001094333</v>
      </c>
    </row>
    <row r="3867" spans="1:40" x14ac:dyDescent="0.25">
      <c r="A3867" t="str">
        <f>"20190304155450458"</f>
        <v>20190304155450458</v>
      </c>
      <c r="B3867" t="str">
        <f>"1551686090451504"</f>
        <v>1551686090451504</v>
      </c>
      <c r="C3867" t="s">
        <v>40</v>
      </c>
      <c r="D3867">
        <v>4.4140759999999997</v>
      </c>
      <c r="E3867">
        <v>0.4301664</v>
      </c>
      <c r="F3867" t="s">
        <v>46</v>
      </c>
      <c r="G3867">
        <v>-423.82159999999999</v>
      </c>
      <c r="H3867" s="1">
        <v>-4.8774019999999997E-6</v>
      </c>
      <c r="I3867">
        <v>108.22190000000001</v>
      </c>
      <c r="J3867">
        <v>-418.8623</v>
      </c>
      <c r="K3867">
        <v>1.118212</v>
      </c>
      <c r="L3867">
        <v>129.26320000000001</v>
      </c>
      <c r="M3867">
        <v>-0.53463190000000005</v>
      </c>
      <c r="N3867">
        <v>-1.503353E-2</v>
      </c>
      <c r="O3867">
        <v>-0.84495140000000002</v>
      </c>
      <c r="P3867">
        <v>-0.38180039999999998</v>
      </c>
      <c r="Q3867">
        <v>0.16347900000000001</v>
      </c>
      <c r="R3867">
        <v>-0.90967209999999998</v>
      </c>
      <c r="S3867">
        <v>-0.73098750000000001</v>
      </c>
      <c r="T3867">
        <v>-0.15835869999999999</v>
      </c>
      <c r="U3867">
        <v>-3.0294189999999999</v>
      </c>
      <c r="V3867">
        <v>-0.16706379999999901</v>
      </c>
      <c r="W3867">
        <v>0.17498620000000001</v>
      </c>
      <c r="X3867">
        <v>0.97029350000000003</v>
      </c>
      <c r="Y3867">
        <v>-0.3214494</v>
      </c>
      <c r="Z3867">
        <v>2.4390490000000001E-2</v>
      </c>
      <c r="AA3867">
        <v>0.94661260000000003</v>
      </c>
      <c r="AB3867">
        <v>24</v>
      </c>
      <c r="AC3867">
        <v>-4.9592999999999803</v>
      </c>
      <c r="AD3867">
        <v>-1.118216877402</v>
      </c>
      <c r="AE3867">
        <v>-21.0413</v>
      </c>
      <c r="AF3867">
        <v>-7.0409410195786197</v>
      </c>
      <c r="AG3867">
        <v>-1.118216877402</v>
      </c>
      <c r="AH3867">
        <v>20.378059157114802</v>
      </c>
      <c r="AI3867">
        <v>92.968984294603104</v>
      </c>
      <c r="AJ3867">
        <v>109.06083891126499</v>
      </c>
      <c r="AK3867">
        <v>21.589130469682299</v>
      </c>
      <c r="AL3867">
        <v>79.922144759983794</v>
      </c>
      <c r="AM3867">
        <v>99.769321314501795</v>
      </c>
      <c r="AN3867">
        <v>0.99999997980156397</v>
      </c>
    </row>
    <row r="3868" spans="1:40" x14ac:dyDescent="0.25">
      <c r="A3868" t="str">
        <f>"20190304155450479"</f>
        <v>20190304155450479</v>
      </c>
      <c r="B3868" t="str">
        <f>"1551686090471024"</f>
        <v>1551686090471024</v>
      </c>
      <c r="C3868" t="s">
        <v>40</v>
      </c>
      <c r="D3868">
        <v>4.4179529999999998</v>
      </c>
      <c r="E3868">
        <v>0.43085580000000001</v>
      </c>
      <c r="F3868" t="s">
        <v>46</v>
      </c>
      <c r="G3868">
        <v>-423.755</v>
      </c>
      <c r="H3868" s="1">
        <v>-4.5607049999999997E-6</v>
      </c>
      <c r="I3868">
        <v>107.42789999999999</v>
      </c>
      <c r="J3868">
        <v>-418.97449999999998</v>
      </c>
      <c r="K3868">
        <v>1.1182030000000001</v>
      </c>
      <c r="L3868">
        <v>129.0617</v>
      </c>
      <c r="M3868">
        <v>-0.5248545</v>
      </c>
      <c r="N3868">
        <v>-1.5031299999999999E-2</v>
      </c>
      <c r="O3868">
        <v>-0.85105929999999996</v>
      </c>
      <c r="P3868">
        <v>-0.37243379999999998</v>
      </c>
      <c r="Q3868">
        <v>0.16340009999999999</v>
      </c>
      <c r="R3868">
        <v>-0.9135607</v>
      </c>
      <c r="S3868">
        <v>-0.68118290000000004</v>
      </c>
      <c r="T3868">
        <v>-0.15568199999999999</v>
      </c>
      <c r="U3868">
        <v>-3.0399780000000001</v>
      </c>
      <c r="V3868">
        <v>-0.1658461</v>
      </c>
      <c r="W3868">
        <v>0.17493359999999999</v>
      </c>
      <c r="X3868">
        <v>0.97051189999999998</v>
      </c>
      <c r="Y3868">
        <v>-0.32598929999999998</v>
      </c>
      <c r="Z3868">
        <v>2.3990299999999999E-2</v>
      </c>
      <c r="AA3868">
        <v>0.94506900000000005</v>
      </c>
      <c r="AB3868">
        <v>24</v>
      </c>
      <c r="AC3868">
        <v>-4.7805000000000097</v>
      </c>
      <c r="AD3868">
        <v>-1.1182075607049999</v>
      </c>
      <c r="AE3868">
        <v>-21.633800000000001</v>
      </c>
      <c r="AF3868">
        <v>-7.2684165242738903</v>
      </c>
      <c r="AG3868">
        <v>-1.1182075607049999</v>
      </c>
      <c r="AH3868">
        <v>20.869914961203001</v>
      </c>
      <c r="AI3868">
        <v>92.896639580140103</v>
      </c>
      <c r="AJ3868">
        <v>109.20181967971899</v>
      </c>
      <c r="AK3868">
        <v>22.127666334410399</v>
      </c>
      <c r="AL3868">
        <v>79.925206147842104</v>
      </c>
      <c r="AM3868">
        <v>99.697330578426204</v>
      </c>
      <c r="AN3868">
        <v>1.0000000206678801</v>
      </c>
    </row>
    <row r="3869" spans="1:40" x14ac:dyDescent="0.25">
      <c r="A3869" t="str">
        <f>"20190304155450501"</f>
        <v>20190304155450501</v>
      </c>
      <c r="B3869" t="str">
        <f>"1551686090491520"</f>
        <v>1551686090491520</v>
      </c>
      <c r="C3869" t="s">
        <v>40</v>
      </c>
      <c r="D3869">
        <v>4.4274509999999996</v>
      </c>
      <c r="E3869">
        <v>0.43132880000000001</v>
      </c>
      <c r="F3869" t="s">
        <v>46</v>
      </c>
      <c r="G3869">
        <v>-423.62819999999999</v>
      </c>
      <c r="H3869" s="1">
        <v>-4.5340129999999999E-6</v>
      </c>
      <c r="I3869">
        <v>107.417</v>
      </c>
      <c r="J3869">
        <v>-419.08420000000001</v>
      </c>
      <c r="K3869">
        <v>1.118201</v>
      </c>
      <c r="L3869">
        <v>128.8595</v>
      </c>
      <c r="M3869">
        <v>-0.51501450000000004</v>
      </c>
      <c r="N3869">
        <v>-1.502915E-2</v>
      </c>
      <c r="O3869">
        <v>-0.85704979999999997</v>
      </c>
      <c r="P3869">
        <v>-0.3626373</v>
      </c>
      <c r="Q3869">
        <v>0.16369800000000001</v>
      </c>
      <c r="R3869">
        <v>-0.91744079999999995</v>
      </c>
      <c r="S3869">
        <v>-0.65469359999999999</v>
      </c>
      <c r="T3869">
        <v>-0.15731500000000001</v>
      </c>
      <c r="U3869">
        <v>-3.0450740000000001</v>
      </c>
      <c r="V3869">
        <v>-0.16502349999999999</v>
      </c>
      <c r="W3869">
        <v>0.1752486</v>
      </c>
      <c r="X3869">
        <v>0.97059519999999999</v>
      </c>
      <c r="Y3869">
        <v>-0.32328220000000002</v>
      </c>
      <c r="Z3869">
        <v>2.4769699999999999E-2</v>
      </c>
      <c r="AA3869">
        <v>0.9459784</v>
      </c>
      <c r="AB3869">
        <v>24</v>
      </c>
      <c r="AC3869">
        <v>-4.5439999999999801</v>
      </c>
      <c r="AD3869">
        <v>-1.1182055340129999</v>
      </c>
      <c r="AE3869">
        <v>-21.4424999999999</v>
      </c>
      <c r="AF3869">
        <v>-7.1310115537962</v>
      </c>
      <c r="AG3869">
        <v>-1.1182055340129999</v>
      </c>
      <c r="AH3869">
        <v>20.666068285171701</v>
      </c>
      <c r="AI3869">
        <v>92.928062328766003</v>
      </c>
      <c r="AJ3869">
        <v>109.037451962289</v>
      </c>
      <c r="AK3869">
        <v>21.890365181148798</v>
      </c>
      <c r="AL3869">
        <v>79.906873923596294</v>
      </c>
      <c r="AM3869">
        <v>99.649325658206095</v>
      </c>
      <c r="AN3869">
        <v>0.99999993480862204</v>
      </c>
    </row>
    <row r="3870" spans="1:40" x14ac:dyDescent="0.25">
      <c r="A3870" t="str">
        <f>"20190304155450524"</f>
        <v>20190304155450524</v>
      </c>
      <c r="B3870" t="str">
        <f>"1551686090520800"</f>
        <v>1551686090520800</v>
      </c>
      <c r="C3870" t="s">
        <v>40</v>
      </c>
      <c r="D3870">
        <v>4.4298769999999896</v>
      </c>
      <c r="E3870">
        <v>0.43205339999999998</v>
      </c>
      <c r="F3870" t="s">
        <v>46</v>
      </c>
      <c r="G3870">
        <v>-423.53550000000001</v>
      </c>
      <c r="H3870" s="1">
        <v>-4.4115370000000004E-6</v>
      </c>
      <c r="I3870">
        <v>107.1409</v>
      </c>
      <c r="J3870">
        <v>-419.19439999999997</v>
      </c>
      <c r="K3870">
        <v>1.118188</v>
      </c>
      <c r="L3870">
        <v>128.6497</v>
      </c>
      <c r="M3870">
        <v>-0.50478159999999905</v>
      </c>
      <c r="N3870">
        <v>-1.5026869999999999E-2</v>
      </c>
      <c r="O3870">
        <v>-0.86311640000000001</v>
      </c>
      <c r="P3870">
        <v>-0.35283550000000002</v>
      </c>
      <c r="Q3870">
        <v>0.16292209999999999</v>
      </c>
      <c r="R3870">
        <v>-0.92139230000000005</v>
      </c>
      <c r="S3870">
        <v>-0.62527469999999996</v>
      </c>
      <c r="T3870">
        <v>-0.15707470000000001</v>
      </c>
      <c r="U3870">
        <v>-3.0508120000000001</v>
      </c>
      <c r="V3870">
        <v>-0.16387189999999999</v>
      </c>
      <c r="W3870">
        <v>0.1744993</v>
      </c>
      <c r="X3870">
        <v>0.97092529999999999</v>
      </c>
      <c r="Y3870">
        <v>-0.32112950000000001</v>
      </c>
      <c r="Z3870">
        <v>2.508202E-2</v>
      </c>
      <c r="AA3870">
        <v>0.94670310000000002</v>
      </c>
      <c r="AB3870">
        <v>24</v>
      </c>
      <c r="AC3870">
        <v>-4.3411000000000399</v>
      </c>
      <c r="AD3870">
        <v>-1.1181924115370001</v>
      </c>
      <c r="AE3870">
        <v>-21.508799999999901</v>
      </c>
      <c r="AF3870">
        <v>-7.0927547161699698</v>
      </c>
      <c r="AG3870">
        <v>-1.1181924115370001</v>
      </c>
      <c r="AH3870">
        <v>20.704479135737099</v>
      </c>
      <c r="AI3870">
        <v>92.924838024023799</v>
      </c>
      <c r="AJ3870">
        <v>108.90997432739699</v>
      </c>
      <c r="AK3870">
        <v>21.9142186722489</v>
      </c>
      <c r="AL3870">
        <v>79.950477925980806</v>
      </c>
      <c r="AM3870">
        <v>99.580044151805197</v>
      </c>
      <c r="AN3870">
        <v>0.99999997174509403</v>
      </c>
    </row>
    <row r="3871" spans="1:40" x14ac:dyDescent="0.25">
      <c r="A3871" t="str">
        <f>"20190304155450548"</f>
        <v>20190304155450548</v>
      </c>
      <c r="B3871" t="str">
        <f>"1551686090541296"</f>
        <v>1551686090541296</v>
      </c>
      <c r="C3871" t="s">
        <v>40</v>
      </c>
      <c r="D3871">
        <v>4.4014300000000004</v>
      </c>
      <c r="E3871">
        <v>0.43253799999999998</v>
      </c>
      <c r="F3871" t="s">
        <v>46</v>
      </c>
      <c r="G3871">
        <v>-423.32659999999998</v>
      </c>
      <c r="H3871" s="1">
        <v>-4.5272189999999999E-6</v>
      </c>
      <c r="I3871">
        <v>107.5386</v>
      </c>
      <c r="J3871">
        <v>-419.3082</v>
      </c>
      <c r="K3871">
        <v>1.11817099999999</v>
      </c>
      <c r="L3871">
        <v>128.4265</v>
      </c>
      <c r="M3871">
        <v>-0.49386910000000001</v>
      </c>
      <c r="N3871">
        <v>-1.5024010000000001E-2</v>
      </c>
      <c r="O3871">
        <v>-0.86940649999999997</v>
      </c>
      <c r="P3871">
        <v>-0.34222259999999999</v>
      </c>
      <c r="Q3871">
        <v>0.1611022</v>
      </c>
      <c r="R3871">
        <v>-0.92570520000000001</v>
      </c>
      <c r="S3871">
        <v>-0.59808349999999999</v>
      </c>
      <c r="T3871">
        <v>-0.16184409999999999</v>
      </c>
      <c r="U3871">
        <v>-3.0555569999999999</v>
      </c>
      <c r="V3871">
        <v>-0.1629157</v>
      </c>
      <c r="W3871">
        <v>0.17270679999999999</v>
      </c>
      <c r="X3871">
        <v>0.97140660000000001</v>
      </c>
      <c r="Y3871">
        <v>-0.31759349999999997</v>
      </c>
      <c r="Z3871">
        <v>2.670061E-2</v>
      </c>
      <c r="AA3871">
        <v>0.94785090000000005</v>
      </c>
      <c r="AB3871">
        <v>24</v>
      </c>
      <c r="AC3871">
        <v>-4.0183999999999802</v>
      </c>
      <c r="AD3871">
        <v>-1.1181755272189899</v>
      </c>
      <c r="AE3871">
        <v>-20.887899999999998</v>
      </c>
      <c r="AF3871">
        <v>-6.8042321667352104</v>
      </c>
      <c r="AG3871">
        <v>-1.1181755272189899</v>
      </c>
      <c r="AH3871">
        <v>20.091391787915001</v>
      </c>
      <c r="AI3871">
        <v>93.017471051315397</v>
      </c>
      <c r="AJ3871">
        <v>108.70939277346601</v>
      </c>
      <c r="AK3871">
        <v>21.241749359786802</v>
      </c>
      <c r="AL3871">
        <v>80.054764157076406</v>
      </c>
      <c r="AM3871">
        <v>99.520538362780101</v>
      </c>
      <c r="AN3871">
        <v>0.99999997329814405</v>
      </c>
    </row>
    <row r="3872" spans="1:40" x14ac:dyDescent="0.25">
      <c r="A3872" t="str">
        <f>"20190304155450573"</f>
        <v>20190304155450573</v>
      </c>
      <c r="B3872" t="str">
        <f>"1551686090560816"</f>
        <v>1551686090560816</v>
      </c>
      <c r="C3872" t="s">
        <v>40</v>
      </c>
      <c r="D3872">
        <v>4.4500999999999999</v>
      </c>
      <c r="E3872">
        <v>0.44187799999999999</v>
      </c>
      <c r="F3872" t="s">
        <v>46</v>
      </c>
      <c r="G3872">
        <v>-423.04590000000002</v>
      </c>
      <c r="H3872" s="1">
        <v>-4.7633209999999997E-6</v>
      </c>
      <c r="I3872">
        <v>108.2831</v>
      </c>
      <c r="J3872">
        <v>-419.42200000000003</v>
      </c>
      <c r="K3872">
        <v>1.118147</v>
      </c>
      <c r="L3872">
        <v>128.1962</v>
      </c>
      <c r="M3872">
        <v>-0.4825834</v>
      </c>
      <c r="N3872">
        <v>-1.5020510000000001E-2</v>
      </c>
      <c r="O3872">
        <v>-0.87572119999999998</v>
      </c>
      <c r="P3872">
        <v>-0.33064070000000001</v>
      </c>
      <c r="Q3872">
        <v>0.15954260000000001</v>
      </c>
      <c r="R3872">
        <v>-0.93017369999999999</v>
      </c>
      <c r="S3872">
        <v>-0.56787109999999996</v>
      </c>
      <c r="T3872">
        <v>-0.16988639999999999</v>
      </c>
      <c r="U3872">
        <v>-3.060425</v>
      </c>
      <c r="V3872">
        <v>-0.16256970000000001</v>
      </c>
      <c r="W3872">
        <v>0.17116189999999901</v>
      </c>
      <c r="X3872">
        <v>0.97173799999999999</v>
      </c>
      <c r="Y3872">
        <v>-0.31464979999999998</v>
      </c>
      <c r="Z3872">
        <v>2.917821E-2</v>
      </c>
      <c r="AA3872">
        <v>0.94875929999999997</v>
      </c>
      <c r="AB3872">
        <v>24</v>
      </c>
      <c r="AC3872">
        <v>-3.6239000000000399</v>
      </c>
      <c r="AD3872">
        <v>-1.1181517633210001</v>
      </c>
      <c r="AE3872">
        <v>-19.9131</v>
      </c>
      <c r="AF3872">
        <v>-6.4173464640702802</v>
      </c>
      <c r="AG3872">
        <v>-1.1181517633210001</v>
      </c>
      <c r="AH3872">
        <v>19.130936756074799</v>
      </c>
      <c r="AI3872">
        <v>93.171676397986403</v>
      </c>
      <c r="AJ3872">
        <v>108.543687963571</v>
      </c>
      <c r="AK3872">
        <v>20.209535872222901</v>
      </c>
      <c r="AL3872">
        <v>80.144618977954906</v>
      </c>
      <c r="AM3872">
        <v>99.497506586831406</v>
      </c>
      <c r="AN3872">
        <v>1.0000000220068399</v>
      </c>
    </row>
    <row r="3873" spans="1:40" x14ac:dyDescent="0.25">
      <c r="A3873" t="str">
        <f>"20190304155450594"</f>
        <v>20190304155450594</v>
      </c>
      <c r="B3873" t="str">
        <f>"1551686090591072"</f>
        <v>1551686090591072</v>
      </c>
      <c r="C3873" t="s">
        <v>40</v>
      </c>
      <c r="D3873">
        <v>4.3622199999999998</v>
      </c>
      <c r="E3873">
        <v>0.44326320000000002</v>
      </c>
      <c r="F3873" t="s">
        <v>46</v>
      </c>
      <c r="G3873">
        <v>-422.75779999999997</v>
      </c>
      <c r="H3873" s="1">
        <v>-1.461727E-6</v>
      </c>
      <c r="I3873">
        <v>111.286</v>
      </c>
      <c r="J3873">
        <v>-419.52210000000002</v>
      </c>
      <c r="K3873">
        <v>1.118126</v>
      </c>
      <c r="L3873">
        <v>127.9875</v>
      </c>
      <c r="M3873">
        <v>-0.47233639999999999</v>
      </c>
      <c r="N3873">
        <v>-1.501686E-2</v>
      </c>
      <c r="O3873">
        <v>-0.88129059999999904</v>
      </c>
      <c r="P3873">
        <v>-0.32060090000000002</v>
      </c>
      <c r="Q3873">
        <v>0.15858340000000001</v>
      </c>
      <c r="R3873">
        <v>-0.93384489999999998</v>
      </c>
      <c r="S3873">
        <v>-0.60089110000000001</v>
      </c>
      <c r="T3873">
        <v>-0.2014195</v>
      </c>
      <c r="U3873">
        <v>-3.0461580000000001</v>
      </c>
      <c r="V3873">
        <v>-0.16175239999999999</v>
      </c>
      <c r="W3873">
        <v>0.17022590000000001</v>
      </c>
      <c r="X3873">
        <v>0.97203870000000003</v>
      </c>
      <c r="Y3873">
        <v>-0.29283320000000002</v>
      </c>
      <c r="Z3873">
        <v>3.8212250000000003E-2</v>
      </c>
      <c r="AA3873">
        <v>0.95539960000000002</v>
      </c>
      <c r="AB3873">
        <v>24</v>
      </c>
      <c r="AC3873">
        <v>-3.2356999999999498</v>
      </c>
      <c r="AD3873">
        <v>-1.1181274617270001</v>
      </c>
      <c r="AE3873">
        <v>-16.7014999999999</v>
      </c>
      <c r="AF3873">
        <v>-5.0160331335497297</v>
      </c>
      <c r="AG3873">
        <v>-1.1181274617270001</v>
      </c>
      <c r="AH3873">
        <v>16.179152006579798</v>
      </c>
      <c r="AI3873">
        <v>93.776589197019703</v>
      </c>
      <c r="AJ3873">
        <v>107.225038715669</v>
      </c>
      <c r="AK3873">
        <v>16.975740251003899</v>
      </c>
      <c r="AL3873">
        <v>80.199046039573403</v>
      </c>
      <c r="AM3873">
        <v>99.447751607555702</v>
      </c>
      <c r="AN3873">
        <v>0.99999996511712896</v>
      </c>
    </row>
    <row r="3874" spans="1:40" x14ac:dyDescent="0.25">
      <c r="A3874" t="str">
        <f>"20190304155450636"</f>
        <v>20190304155450636</v>
      </c>
      <c r="B3874" t="str">
        <f>"1551686090631088"</f>
        <v>1551686090631088</v>
      </c>
      <c r="C3874" t="s">
        <v>40</v>
      </c>
      <c r="D3874">
        <v>4.4614830000000003</v>
      </c>
      <c r="E3874">
        <v>0.44502069999999999</v>
      </c>
      <c r="F3874" t="s">
        <v>46</v>
      </c>
      <c r="G3874">
        <v>-422.5249</v>
      </c>
      <c r="H3874" s="1">
        <v>-1.7733240000000001E-6</v>
      </c>
      <c r="I3874">
        <v>112.1568</v>
      </c>
      <c r="J3874">
        <v>-419.7045</v>
      </c>
      <c r="K3874">
        <v>1.1180779999999999</v>
      </c>
      <c r="L3874">
        <v>127.5899</v>
      </c>
      <c r="M3874">
        <v>-0.45278089999999999</v>
      </c>
      <c r="N3874">
        <v>-1.500896E-2</v>
      </c>
      <c r="O3874">
        <v>-0.89149560000000005</v>
      </c>
      <c r="P3874">
        <v>-0.30126419999999998</v>
      </c>
      <c r="Q3874">
        <v>0.15950880000000001</v>
      </c>
      <c r="R3874">
        <v>-0.94010490000000002</v>
      </c>
      <c r="S3874">
        <v>-0.5786133</v>
      </c>
      <c r="T3874">
        <v>-0.21545800000000001</v>
      </c>
      <c r="U3874">
        <v>-3.0505070000000001</v>
      </c>
      <c r="V3874">
        <v>-0.1602925</v>
      </c>
      <c r="W3874">
        <v>0.1711877</v>
      </c>
      <c r="X3874">
        <v>0.97211159999999996</v>
      </c>
      <c r="Y3874">
        <v>-0.27873100000000001</v>
      </c>
      <c r="Z3874">
        <v>4.2951679999999999E-2</v>
      </c>
      <c r="AA3874">
        <v>0.95940820000000004</v>
      </c>
      <c r="AB3874">
        <v>24</v>
      </c>
      <c r="AC3874">
        <v>-2.8203999999999998</v>
      </c>
      <c r="AD3874">
        <v>-1.118079773324</v>
      </c>
      <c r="AE3874">
        <v>-15.4330999999999</v>
      </c>
      <c r="AF3874">
        <v>-4.4513341877498904</v>
      </c>
      <c r="AG3874">
        <v>-1.118079773324</v>
      </c>
      <c r="AH3874">
        <v>14.9612690074927</v>
      </c>
      <c r="AI3874">
        <v>94.097015502967196</v>
      </c>
      <c r="AJ3874">
        <v>106.568996436991</v>
      </c>
      <c r="AK3874">
        <v>15.649410491935701</v>
      </c>
      <c r="AL3874">
        <v>80.143117771220503</v>
      </c>
      <c r="AM3874">
        <v>99.363307919348202</v>
      </c>
      <c r="AN3874">
        <v>0.99999993852104796</v>
      </c>
    </row>
    <row r="3875" spans="1:40" x14ac:dyDescent="0.25">
      <c r="A3875" t="str">
        <f>"20190304155450659"</f>
        <v>20190304155450659</v>
      </c>
      <c r="B3875" t="str">
        <f>"1551686090651585"</f>
        <v>1551686090651585</v>
      </c>
      <c r="C3875" t="s">
        <v>40</v>
      </c>
      <c r="D3875">
        <v>4.4643790000000001</v>
      </c>
      <c r="E3875">
        <v>0.44578220000000002</v>
      </c>
      <c r="F3875" t="s">
        <v>46</v>
      </c>
      <c r="G3875">
        <v>-422.55790000000002</v>
      </c>
      <c r="H3875" s="1">
        <v>-1.2972229999999901E-6</v>
      </c>
      <c r="I3875">
        <v>111.0265</v>
      </c>
      <c r="J3875">
        <v>-419.79730000000001</v>
      </c>
      <c r="K3875">
        <v>1.1180619999999999</v>
      </c>
      <c r="L3875">
        <v>127.37820000000001</v>
      </c>
      <c r="M3875">
        <v>-0.44235210000000003</v>
      </c>
      <c r="N3875">
        <v>-1.500466E-2</v>
      </c>
      <c r="O3875">
        <v>-0.89671610000000002</v>
      </c>
      <c r="P3875">
        <v>-0.29156399999999999</v>
      </c>
      <c r="Q3875">
        <v>0.15997749999999999</v>
      </c>
      <c r="R3875">
        <v>-0.943079</v>
      </c>
      <c r="S3875">
        <v>-0.52670289999999997</v>
      </c>
      <c r="T3875">
        <v>-0.2063797</v>
      </c>
      <c r="U3875">
        <v>-3.0573429999999999</v>
      </c>
      <c r="V3875">
        <v>-0.15892990000000001</v>
      </c>
      <c r="W3875">
        <v>0.17168710000000001</v>
      </c>
      <c r="X3875">
        <v>0.97224730000000004</v>
      </c>
      <c r="Y3875">
        <v>-0.28367920000000002</v>
      </c>
      <c r="Z3875">
        <v>4.0888510000000003E-2</v>
      </c>
      <c r="AA3875">
        <v>0.95804710000000004</v>
      </c>
      <c r="AB3875">
        <v>24</v>
      </c>
      <c r="AC3875">
        <v>-2.7606000000000099</v>
      </c>
      <c r="AD3875">
        <v>-1.118063297223</v>
      </c>
      <c r="AE3875">
        <v>-16.351700000000001</v>
      </c>
      <c r="AF3875">
        <v>-4.7367375279556496</v>
      </c>
      <c r="AG3875">
        <v>-1.118063297223</v>
      </c>
      <c r="AH3875">
        <v>15.8138906134071</v>
      </c>
      <c r="AI3875">
        <v>93.874631690523202</v>
      </c>
      <c r="AJ3875">
        <v>106.674545070305</v>
      </c>
      <c r="AK3875">
        <v>16.545872122017201</v>
      </c>
      <c r="AL3875">
        <v>80.114074811036502</v>
      </c>
      <c r="AM3875">
        <v>99.283831790662006</v>
      </c>
      <c r="AN3875">
        <v>0.99999999288885499</v>
      </c>
    </row>
    <row r="3876" spans="1:40" x14ac:dyDescent="0.25">
      <c r="A3876" t="str">
        <f>"20190304155450680"</f>
        <v>20190304155450680</v>
      </c>
      <c r="B3876" t="str">
        <f>"1551686090671106"</f>
        <v>1551686090671106</v>
      </c>
      <c r="C3876" t="s">
        <v>40</v>
      </c>
      <c r="D3876">
        <v>4.4951679999999996</v>
      </c>
      <c r="E3876">
        <v>0.44618380000000002</v>
      </c>
      <c r="F3876" t="s">
        <v>46</v>
      </c>
      <c r="G3876">
        <v>-422.56020000000001</v>
      </c>
      <c r="H3876" s="1">
        <v>-1.062026E-6</v>
      </c>
      <c r="I3876">
        <v>110.4768</v>
      </c>
      <c r="J3876">
        <v>-419.88709999999998</v>
      </c>
      <c r="K3876">
        <v>1.1180589999999999</v>
      </c>
      <c r="L3876">
        <v>127.16670000000001</v>
      </c>
      <c r="M3876">
        <v>-0.43191560000000001</v>
      </c>
      <c r="N3876">
        <v>-1.5000690000000001E-2</v>
      </c>
      <c r="O3876">
        <v>-0.90178939999999996</v>
      </c>
      <c r="P3876">
        <v>-0.28126430000000002</v>
      </c>
      <c r="Q3876">
        <v>0.1605924</v>
      </c>
      <c r="R3876">
        <v>-0.94609759999999998</v>
      </c>
      <c r="S3876">
        <v>-0.50033570000000005</v>
      </c>
      <c r="T3876">
        <v>-0.2024754</v>
      </c>
      <c r="U3876">
        <v>-3.0607449999999998</v>
      </c>
      <c r="V3876">
        <v>-0.1582047</v>
      </c>
      <c r="W3876">
        <v>0.172318</v>
      </c>
      <c r="X3876">
        <v>0.97225399999999995</v>
      </c>
      <c r="Y3876">
        <v>-0.2807558</v>
      </c>
      <c r="Z3876">
        <v>4.0296510000000001E-2</v>
      </c>
      <c r="AA3876">
        <v>0.95893289999999998</v>
      </c>
      <c r="AB3876">
        <v>24</v>
      </c>
      <c r="AC3876">
        <v>-2.67310000000003</v>
      </c>
      <c r="AD3876">
        <v>-1.1180600620259999</v>
      </c>
      <c r="AE3876">
        <v>-16.689900000000002</v>
      </c>
      <c r="AF3876">
        <v>-4.77768975900364</v>
      </c>
      <c r="AG3876">
        <v>-1.1180600620259999</v>
      </c>
      <c r="AH3876">
        <v>16.136545574517299</v>
      </c>
      <c r="AI3876">
        <v>93.800951573611201</v>
      </c>
      <c r="AJ3876">
        <v>106.492907128121</v>
      </c>
      <c r="AK3876">
        <v>16.866074849059</v>
      </c>
      <c r="AL3876">
        <v>80.077380397859599</v>
      </c>
      <c r="AM3876">
        <v>99.242139564319402</v>
      </c>
      <c r="AN3876">
        <v>1.0000000303710399</v>
      </c>
    </row>
    <row r="3877" spans="1:40" x14ac:dyDescent="0.25">
      <c r="A3877" t="str">
        <f>"20190304155450703"</f>
        <v>20190304155450703</v>
      </c>
      <c r="B3877" t="str">
        <f>"1551686090691600"</f>
        <v>1551686090691600</v>
      </c>
      <c r="C3877" t="s">
        <v>40</v>
      </c>
      <c r="D3877">
        <v>4.4938190000000002</v>
      </c>
      <c r="E3877">
        <v>0.4527429</v>
      </c>
      <c r="F3877" t="s">
        <v>46</v>
      </c>
      <c r="G3877">
        <v>-422.52249999999998</v>
      </c>
      <c r="H3877" s="1">
        <v>-8.3519809999999995E-7</v>
      </c>
      <c r="I3877">
        <v>109.97150000000001</v>
      </c>
      <c r="J3877">
        <v>-419.976</v>
      </c>
      <c r="K3877">
        <v>1.1180559999999999</v>
      </c>
      <c r="L3877">
        <v>126.95</v>
      </c>
      <c r="M3877">
        <v>-0.42119640000000003</v>
      </c>
      <c r="N3877">
        <v>-1.4997450000000001E-2</v>
      </c>
      <c r="O3877">
        <v>-0.90684569999999998</v>
      </c>
      <c r="P3877">
        <v>-0.27094099999999999</v>
      </c>
      <c r="Q3877">
        <v>0.1614496</v>
      </c>
      <c r="R3877">
        <v>-0.94896040000000004</v>
      </c>
      <c r="S3877">
        <v>-0.46975709999999998</v>
      </c>
      <c r="T3877">
        <v>-0.1992987</v>
      </c>
      <c r="U3877">
        <v>-3.0651250000000001</v>
      </c>
      <c r="V3877">
        <v>-0.1572199</v>
      </c>
      <c r="W3877">
        <v>0.17319389999999901</v>
      </c>
      <c r="X3877">
        <v>0.97225810000000001</v>
      </c>
      <c r="Y3877">
        <v>-0.27893069999999998</v>
      </c>
      <c r="Z3877">
        <v>3.985358E-2</v>
      </c>
      <c r="AA3877">
        <v>0.95948389999999995</v>
      </c>
      <c r="AB3877">
        <v>24</v>
      </c>
      <c r="AC3877">
        <v>-2.54649999999998</v>
      </c>
      <c r="AD3877">
        <v>-1.1180568351981</v>
      </c>
      <c r="AE3877">
        <v>-16.978499999999901</v>
      </c>
      <c r="AF3877">
        <v>-4.8220935535457503</v>
      </c>
      <c r="AG3877">
        <v>-1.1180568351981</v>
      </c>
      <c r="AH3877">
        <v>16.4017453648414</v>
      </c>
      <c r="AI3877">
        <v>93.741764872096098</v>
      </c>
      <c r="AJ3877">
        <v>106.38327316631801</v>
      </c>
      <c r="AK3877">
        <v>17.132422138710499</v>
      </c>
      <c r="AL3877">
        <v>80.026428832280899</v>
      </c>
      <c r="AM3877">
        <v>99.185554297826499</v>
      </c>
      <c r="AN3877">
        <v>1.00000001848441</v>
      </c>
    </row>
    <row r="3878" spans="1:40" x14ac:dyDescent="0.25">
      <c r="A3878" t="str">
        <f>"20190304155450725"</f>
        <v>20190304155450725</v>
      </c>
      <c r="B3878" t="str">
        <f>"1551686090720881"</f>
        <v>1551686090720881</v>
      </c>
      <c r="C3878" t="s">
        <v>40</v>
      </c>
      <c r="D3878">
        <v>4.4873799999999999</v>
      </c>
      <c r="E3878">
        <v>0.4578082</v>
      </c>
      <c r="F3878" t="s">
        <v>46</v>
      </c>
      <c r="G3878">
        <v>-422.82440000000003</v>
      </c>
      <c r="H3878" s="1">
        <v>-5.0074079999999999E-6</v>
      </c>
      <c r="I3878">
        <v>109.021</v>
      </c>
      <c r="J3878">
        <v>-420.06049999999999</v>
      </c>
      <c r="K3878">
        <v>1.1180540000000001</v>
      </c>
      <c r="L3878">
        <v>126.7364</v>
      </c>
      <c r="M3878">
        <v>-0.41060079999999999</v>
      </c>
      <c r="N3878">
        <v>-1.4995120000000001E-2</v>
      </c>
      <c r="O3878">
        <v>-0.91169180000000005</v>
      </c>
      <c r="P3878">
        <v>-0.26086120000000002</v>
      </c>
      <c r="Q3878">
        <v>0.16151260000000001</v>
      </c>
      <c r="R3878">
        <v>-0.95176950000000005</v>
      </c>
      <c r="S3878">
        <v>-0.48538209999999998</v>
      </c>
      <c r="T3878">
        <v>-0.19052350000000001</v>
      </c>
      <c r="U3878">
        <v>-3.0551910000000002</v>
      </c>
      <c r="V3878">
        <v>-0.15619479999999999</v>
      </c>
      <c r="W3878">
        <v>0.17327790000000001</v>
      </c>
      <c r="X3878">
        <v>0.9724083</v>
      </c>
      <c r="Y3878">
        <v>-0.26245210000000002</v>
      </c>
      <c r="Z3878">
        <v>3.8208279999999997E-2</v>
      </c>
      <c r="AA3878">
        <v>0.9641883</v>
      </c>
      <c r="AB3878">
        <v>24</v>
      </c>
      <c r="AC3878">
        <v>-2.7639000000000302</v>
      </c>
      <c r="AD3878">
        <v>-1.1180590074079999</v>
      </c>
      <c r="AE3878">
        <v>-17.715399999999999</v>
      </c>
      <c r="AF3878">
        <v>-4.7362505405754796</v>
      </c>
      <c r="AG3878">
        <v>-1.1180590074079999</v>
      </c>
      <c r="AH3878">
        <v>17.220826536841599</v>
      </c>
      <c r="AI3878">
        <v>93.582062861650201</v>
      </c>
      <c r="AJ3878">
        <v>105.377869730399</v>
      </c>
      <c r="AK3878">
        <v>17.8952225954061</v>
      </c>
      <c r="AL3878">
        <v>80.021541653273303</v>
      </c>
      <c r="AM3878">
        <v>99.125288137596897</v>
      </c>
      <c r="AN3878">
        <v>0.999999974042169</v>
      </c>
    </row>
    <row r="3879" spans="1:40" x14ac:dyDescent="0.25">
      <c r="A3879" t="str">
        <f>"20190304155450748"</f>
        <v>20190304155450748</v>
      </c>
      <c r="B3879" t="str">
        <f>"1551686090741376"</f>
        <v>1551686090741376</v>
      </c>
      <c r="C3879" t="s">
        <v>40</v>
      </c>
      <c r="D3879">
        <v>4.4413140000000002</v>
      </c>
      <c r="E3879">
        <v>0.45929950000000003</v>
      </c>
      <c r="F3879" t="s">
        <v>46</v>
      </c>
      <c r="G3879">
        <v>-423.0249</v>
      </c>
      <c r="H3879" s="1">
        <v>-4.7727089999999997E-6</v>
      </c>
      <c r="I3879">
        <v>108.3173</v>
      </c>
      <c r="J3879">
        <v>-420.1431</v>
      </c>
      <c r="K3879">
        <v>1.118058</v>
      </c>
      <c r="L3879">
        <v>126.5205</v>
      </c>
      <c r="M3879">
        <v>-0.39985809999999999</v>
      </c>
      <c r="N3879">
        <v>-1.499325E-2</v>
      </c>
      <c r="O3879">
        <v>-0.91645449999999995</v>
      </c>
      <c r="P3879">
        <v>-0.250282</v>
      </c>
      <c r="Q3879">
        <v>0.16211110000000001</v>
      </c>
      <c r="R3879">
        <v>-0.95450469999999998</v>
      </c>
      <c r="S3879">
        <v>-0.49069210000000002</v>
      </c>
      <c r="T3879">
        <v>-0.18507280000000001</v>
      </c>
      <c r="U3879">
        <v>-3.0489350000000002</v>
      </c>
      <c r="V3879">
        <v>-0.15552539999999901</v>
      </c>
      <c r="W3879">
        <v>0.1738884</v>
      </c>
      <c r="X3879">
        <v>0.97240660000000001</v>
      </c>
      <c r="Y3879">
        <v>-0.24915109999999999</v>
      </c>
      <c r="Z3879">
        <v>3.7324990000000002E-2</v>
      </c>
      <c r="AA3879">
        <v>0.96774510000000002</v>
      </c>
      <c r="AB3879">
        <v>24</v>
      </c>
      <c r="AC3879">
        <v>-2.8817999999999899</v>
      </c>
      <c r="AD3879">
        <v>-1.118062772709</v>
      </c>
      <c r="AE3879">
        <v>-18.203199999999899</v>
      </c>
      <c r="AF3879">
        <v>-4.6211719769587498</v>
      </c>
      <c r="AG3879">
        <v>-1.118062772709</v>
      </c>
      <c r="AH3879">
        <v>17.771315000018699</v>
      </c>
      <c r="AI3879">
        <v>93.484378872786607</v>
      </c>
      <c r="AJ3879">
        <v>104.576118959502</v>
      </c>
      <c r="AK3879">
        <v>18.396329297830999</v>
      </c>
      <c r="AL3879">
        <v>79.986023248311099</v>
      </c>
      <c r="AM3879">
        <v>99.086849598034703</v>
      </c>
      <c r="AN3879">
        <v>0.99999996071163899</v>
      </c>
    </row>
    <row r="3880" spans="1:40" x14ac:dyDescent="0.25">
      <c r="A3880" t="str">
        <f>"20190304155450770"</f>
        <v>20190304155450770</v>
      </c>
      <c r="B3880" t="str">
        <f>"1551686090760895"</f>
        <v>1551686090760895</v>
      </c>
      <c r="C3880" t="s">
        <v>40</v>
      </c>
      <c r="D3880">
        <v>4.5051829999999997</v>
      </c>
      <c r="E3880">
        <v>0.45987280000000003</v>
      </c>
      <c r="F3880" t="s">
        <v>46</v>
      </c>
      <c r="G3880">
        <v>-422.92149999999998</v>
      </c>
      <c r="H3880" s="1">
        <v>-4.7784179999999999E-6</v>
      </c>
      <c r="I3880">
        <v>108.37990000000001</v>
      </c>
      <c r="J3880">
        <v>-420.2235</v>
      </c>
      <c r="K3880">
        <v>1.118053</v>
      </c>
      <c r="L3880">
        <v>126.3027</v>
      </c>
      <c r="M3880">
        <v>-0.3889939</v>
      </c>
      <c r="N3880">
        <v>-1.499119E-2</v>
      </c>
      <c r="O3880">
        <v>-0.9211184</v>
      </c>
      <c r="P3880">
        <v>-0.23963809999999999</v>
      </c>
      <c r="Q3880">
        <v>0.1615876</v>
      </c>
      <c r="R3880">
        <v>-0.95732099999999998</v>
      </c>
      <c r="S3880">
        <v>-0.46749879999999999</v>
      </c>
      <c r="T3880">
        <v>-0.18812719999999999</v>
      </c>
      <c r="U3880">
        <v>-3.052368</v>
      </c>
      <c r="V3880">
        <v>-0.15487679999999901</v>
      </c>
      <c r="W3880">
        <v>0.173379799999999</v>
      </c>
      <c r="X3880">
        <v>0.97260089999999999</v>
      </c>
      <c r="Y3880">
        <v>-0.24505279999999999</v>
      </c>
      <c r="Z3880">
        <v>3.856445E-2</v>
      </c>
      <c r="AA3880">
        <v>0.9687424</v>
      </c>
      <c r="AB3880">
        <v>24</v>
      </c>
      <c r="AC3880">
        <v>-2.6979999999999702</v>
      </c>
      <c r="AD3880">
        <v>-1.1180577784179999</v>
      </c>
      <c r="AE3880">
        <v>-17.922799999999899</v>
      </c>
      <c r="AF3880">
        <v>-4.4701762363465498</v>
      </c>
      <c r="AG3880">
        <v>-1.1180577784179999</v>
      </c>
      <c r="AH3880">
        <v>17.493929809094599</v>
      </c>
      <c r="AI3880">
        <v>93.543321601572302</v>
      </c>
      <c r="AJ3880">
        <v>104.333914459808</v>
      </c>
      <c r="AK3880">
        <v>18.0906083077769</v>
      </c>
      <c r="AL3880">
        <v>80.015613186001005</v>
      </c>
      <c r="AM3880">
        <v>99.047804410252795</v>
      </c>
      <c r="AN3880">
        <v>0.99999994445354301</v>
      </c>
    </row>
    <row r="3881" spans="1:40" x14ac:dyDescent="0.25">
      <c r="A3881" t="str">
        <f>"20190304155450793"</f>
        <v>20190304155450793</v>
      </c>
      <c r="B3881" t="str">
        <f>"1551686090781393"</f>
        <v>1551686090781393</v>
      </c>
      <c r="C3881" t="s">
        <v>40</v>
      </c>
      <c r="D3881">
        <v>4.4743769999999996</v>
      </c>
      <c r="E3881">
        <v>0.46037679999999997</v>
      </c>
      <c r="F3881" t="s">
        <v>46</v>
      </c>
      <c r="G3881">
        <v>-422.73849999999999</v>
      </c>
      <c r="H3881" s="1">
        <v>-4.8702639999999996E-6</v>
      </c>
      <c r="I3881">
        <v>108.70359999999999</v>
      </c>
      <c r="J3881">
        <v>-420.30180000000001</v>
      </c>
      <c r="K3881">
        <v>1.1180460000000001</v>
      </c>
      <c r="L3881">
        <v>126.0826</v>
      </c>
      <c r="M3881">
        <v>-0.37797910000000001</v>
      </c>
      <c r="N3881">
        <v>-1.498882E-2</v>
      </c>
      <c r="O3881">
        <v>-0.92569270000000003</v>
      </c>
      <c r="P3881">
        <v>-0.22874720000000001</v>
      </c>
      <c r="Q3881">
        <v>0.160447799999999</v>
      </c>
      <c r="R3881">
        <v>-0.96017260000000004</v>
      </c>
      <c r="S3881">
        <v>-0.43688959999999999</v>
      </c>
      <c r="T3881">
        <v>-0.19421959999999999</v>
      </c>
      <c r="U3881">
        <v>-3.057175</v>
      </c>
      <c r="V3881">
        <v>-0.1543707</v>
      </c>
      <c r="W3881">
        <v>0.17225409999999999</v>
      </c>
      <c r="X3881">
        <v>0.97288140000000001</v>
      </c>
      <c r="Y3881">
        <v>-0.2432164</v>
      </c>
      <c r="Z3881">
        <v>4.0629360000000003E-2</v>
      </c>
      <c r="AA3881">
        <v>0.96912069999999995</v>
      </c>
      <c r="AB3881">
        <v>24</v>
      </c>
      <c r="AC3881">
        <v>-2.4366999999999699</v>
      </c>
      <c r="AD3881">
        <v>-1.118050870264</v>
      </c>
      <c r="AE3881">
        <v>-17.379000000000001</v>
      </c>
      <c r="AF3881">
        <v>-4.2963096154752796</v>
      </c>
      <c r="AG3881">
        <v>-1.118050870264</v>
      </c>
      <c r="AH3881">
        <v>16.941780774635099</v>
      </c>
      <c r="AI3881">
        <v>93.660158570671001</v>
      </c>
      <c r="AJ3881">
        <v>104.229809668928</v>
      </c>
      <c r="AK3881">
        <v>17.5137731479062</v>
      </c>
      <c r="AL3881">
        <v>80.081096903194506</v>
      </c>
      <c r="AM3881">
        <v>99.016167550736895</v>
      </c>
      <c r="AN3881">
        <v>1.00000000322563</v>
      </c>
    </row>
    <row r="3882" spans="1:40" x14ac:dyDescent="0.25">
      <c r="A3882" t="str">
        <f>"20190304155450817"</f>
        <v>20190304155450817</v>
      </c>
      <c r="B3882" t="str">
        <f>"1551686090811648"</f>
        <v>1551686090811648</v>
      </c>
      <c r="C3882" t="s">
        <v>40</v>
      </c>
      <c r="D3882">
        <v>4.468451</v>
      </c>
      <c r="E3882">
        <v>0.46440759999999998</v>
      </c>
      <c r="F3882" t="s">
        <v>46</v>
      </c>
      <c r="G3882">
        <v>-422.5772</v>
      </c>
      <c r="H3882" s="1">
        <v>-4.92297199999999E-6</v>
      </c>
      <c r="I3882">
        <v>108.91540000000001</v>
      </c>
      <c r="J3882">
        <v>-420.38159999999999</v>
      </c>
      <c r="K3882">
        <v>1.118031</v>
      </c>
      <c r="L3882">
        <v>125.8492</v>
      </c>
      <c r="M3882">
        <v>-0.36627189999999998</v>
      </c>
      <c r="N3882">
        <v>-1.4985969999999999E-2</v>
      </c>
      <c r="O3882">
        <v>-0.93038730000000003</v>
      </c>
      <c r="P3882">
        <v>-0.2169092</v>
      </c>
      <c r="Q3882">
        <v>0.15976070000000001</v>
      </c>
      <c r="R3882">
        <v>-0.96303000000000005</v>
      </c>
      <c r="S3882">
        <v>-0.40573120000000001</v>
      </c>
      <c r="T3882">
        <v>-0.19936119999999999</v>
      </c>
      <c r="U3882">
        <v>-3.0611109999999999</v>
      </c>
      <c r="V3882">
        <v>-0.1540974</v>
      </c>
      <c r="W3882">
        <v>0.17157620000000001</v>
      </c>
      <c r="X3882">
        <v>0.97304449999999998</v>
      </c>
      <c r="Y3882">
        <v>-0.24084369999999999</v>
      </c>
      <c r="Z3882">
        <v>4.2477920000000002E-2</v>
      </c>
      <c r="AA3882">
        <v>0.96963390000000005</v>
      </c>
      <c r="AB3882">
        <v>24</v>
      </c>
      <c r="AC3882">
        <v>-2.19560000000001</v>
      </c>
      <c r="AD3882">
        <v>-1.1180359229720001</v>
      </c>
      <c r="AE3882">
        <v>-16.933799999999898</v>
      </c>
      <c r="AF3882">
        <v>-4.1423249537376998</v>
      </c>
      <c r="AG3882">
        <v>-1.1180359229720001</v>
      </c>
      <c r="AH3882">
        <v>16.4903414869366</v>
      </c>
      <c r="AI3882">
        <v>93.762156947159397</v>
      </c>
      <c r="AJ3882">
        <v>104.10077611922399</v>
      </c>
      <c r="AK3882">
        <v>17.039372720355502</v>
      </c>
      <c r="AL3882">
        <v>80.120524691836494</v>
      </c>
      <c r="AM3882">
        <v>98.998982782448905</v>
      </c>
      <c r="AN3882">
        <v>1.00000000003672</v>
      </c>
    </row>
    <row r="3883" spans="1:40" x14ac:dyDescent="0.25">
      <c r="A3883" t="str">
        <f>"20190304155450843"</f>
        <v>20190304155450843</v>
      </c>
      <c r="B3883" t="str">
        <f>"1551686090831168"</f>
        <v>1551686090831168</v>
      </c>
      <c r="C3883" t="s">
        <v>40</v>
      </c>
      <c r="D3883">
        <v>4.4187770000000004</v>
      </c>
      <c r="E3883">
        <v>0.46851660000000001</v>
      </c>
      <c r="F3883" t="s">
        <v>46</v>
      </c>
      <c r="G3883">
        <v>-422.49689999999998</v>
      </c>
      <c r="H3883" s="1">
        <v>-6.7788019999999901E-7</v>
      </c>
      <c r="I3883">
        <v>109.6206</v>
      </c>
      <c r="J3883">
        <v>-420.46409999999997</v>
      </c>
      <c r="K3883">
        <v>1.118009</v>
      </c>
      <c r="L3883">
        <v>125.5971</v>
      </c>
      <c r="M3883">
        <v>-0.3536049</v>
      </c>
      <c r="N3883">
        <v>-1.4982290000000001E-2</v>
      </c>
      <c r="O3883">
        <v>-0.93527499999999997</v>
      </c>
      <c r="P3883">
        <v>-0.20315159999999999</v>
      </c>
      <c r="Q3883">
        <v>0.15919420000000001</v>
      </c>
      <c r="R3883">
        <v>-0.96611930000000001</v>
      </c>
      <c r="S3883">
        <v>-0.39889530000000001</v>
      </c>
      <c r="T3883">
        <v>-0.2108332</v>
      </c>
      <c r="U3883">
        <v>-3.0603030000000002</v>
      </c>
      <c r="V3883">
        <v>-0.15477939999999901</v>
      </c>
      <c r="W3883">
        <v>0.17100119999999999</v>
      </c>
      <c r="X3883">
        <v>0.9730375</v>
      </c>
      <c r="Y3883">
        <v>-0.22976869999999999</v>
      </c>
      <c r="Z3883">
        <v>4.6345770000000001E-2</v>
      </c>
      <c r="AA3883">
        <v>0.97214109999999998</v>
      </c>
      <c r="AB3883">
        <v>24</v>
      </c>
      <c r="AC3883">
        <v>-2.0327999999999999</v>
      </c>
      <c r="AD3883">
        <v>-1.1180096778802</v>
      </c>
      <c r="AE3883">
        <v>-15.9765</v>
      </c>
      <c r="AF3883">
        <v>-3.7305844597121198</v>
      </c>
      <c r="AG3883">
        <v>-1.1180096778802</v>
      </c>
      <c r="AH3883">
        <v>15.5878680806312</v>
      </c>
      <c r="AI3883">
        <v>93.990103904641401</v>
      </c>
      <c r="AJ3883">
        <v>103.459221706254</v>
      </c>
      <c r="AK3883">
        <v>16.067010840540298</v>
      </c>
      <c r="AL3883">
        <v>80.153964214282198</v>
      </c>
      <c r="AM3883">
        <v>99.038218166888797</v>
      </c>
      <c r="AN3883">
        <v>1.0000000247360199</v>
      </c>
    </row>
    <row r="3884" spans="1:40" x14ac:dyDescent="0.25">
      <c r="A3884" t="str">
        <f>"20190304155450871"</f>
        <v>20190304155450871</v>
      </c>
      <c r="B3884" t="str">
        <f>"1551686090861424"</f>
        <v>1551686090861424</v>
      </c>
      <c r="C3884" t="s">
        <v>40</v>
      </c>
      <c r="D3884">
        <v>4.3806729999999998</v>
      </c>
      <c r="E3884">
        <v>0.47381450000000003</v>
      </c>
      <c r="F3884" t="s">
        <v>46</v>
      </c>
      <c r="G3884">
        <v>-422.40649999999999</v>
      </c>
      <c r="H3884" s="1">
        <v>-9.4596629999999997E-7</v>
      </c>
      <c r="I3884">
        <v>110.30159999999999</v>
      </c>
      <c r="J3884">
        <v>-420.54989999999998</v>
      </c>
      <c r="K3884">
        <v>1.117982</v>
      </c>
      <c r="L3884">
        <v>125.32080000000001</v>
      </c>
      <c r="M3884">
        <v>-0.33969829999999901</v>
      </c>
      <c r="N3884">
        <v>-1.497734E-2</v>
      </c>
      <c r="O3884">
        <v>-0.94041509999999995</v>
      </c>
      <c r="P3884">
        <v>-0.18840409999999999</v>
      </c>
      <c r="Q3884">
        <v>0.15832179999999901</v>
      </c>
      <c r="R3884">
        <v>-0.96924600000000005</v>
      </c>
      <c r="S3884">
        <v>-0.38864140000000003</v>
      </c>
      <c r="T3884">
        <v>-0.22369230000000001</v>
      </c>
      <c r="U3884">
        <v>-3.060349</v>
      </c>
      <c r="V3884">
        <v>-0.1552036</v>
      </c>
      <c r="W3884">
        <v>0.17012729999999901</v>
      </c>
      <c r="X3884">
        <v>0.97312310000000002</v>
      </c>
      <c r="Y3884">
        <v>-0.21855669999999999</v>
      </c>
      <c r="Z3884">
        <v>5.0688770000000001E-2</v>
      </c>
      <c r="AA3884">
        <v>0.97450689999999995</v>
      </c>
      <c r="AB3884">
        <v>23</v>
      </c>
      <c r="AC3884">
        <v>-1.85660000000001</v>
      </c>
      <c r="AD3884">
        <v>-1.1179829459663</v>
      </c>
      <c r="AE3884">
        <v>-15.0192</v>
      </c>
      <c r="AF3884">
        <v>-3.3381808263072599</v>
      </c>
      <c r="AG3884">
        <v>-1.1179829459663</v>
      </c>
      <c r="AH3884">
        <v>14.676526324334001</v>
      </c>
      <c r="AI3884">
        <v>94.248003398198094</v>
      </c>
      <c r="AJ3884">
        <v>102.813942044553</v>
      </c>
      <c r="AK3884">
        <v>15.0928381043946</v>
      </c>
      <c r="AL3884">
        <v>80.204779488249997</v>
      </c>
      <c r="AM3884">
        <v>99.061794488811003</v>
      </c>
      <c r="AN3884">
        <v>1.00000001170593</v>
      </c>
    </row>
    <row r="3885" spans="1:40" x14ac:dyDescent="0.25">
      <c r="A3885" t="str">
        <f>"20190304155450904"</f>
        <v>20190304155450904</v>
      </c>
      <c r="B3885" t="str">
        <f>"1551686090901440"</f>
        <v>1551686090901440</v>
      </c>
      <c r="C3885" t="s">
        <v>40</v>
      </c>
      <c r="D3885">
        <v>4.3468479999999996</v>
      </c>
      <c r="E3885">
        <v>0.44730140000000002</v>
      </c>
      <c r="F3885" t="s">
        <v>46</v>
      </c>
      <c r="G3885">
        <v>-422.67959999999999</v>
      </c>
      <c r="H3885" s="1">
        <v>-4.7468199999999997E-6</v>
      </c>
      <c r="I3885">
        <v>108.40940000000001</v>
      </c>
      <c r="J3885">
        <v>-420.64510000000001</v>
      </c>
      <c r="K3885">
        <v>1.1179380000000001</v>
      </c>
      <c r="L3885">
        <v>124.997</v>
      </c>
      <c r="M3885">
        <v>-0.32338149999999999</v>
      </c>
      <c r="N3885">
        <v>-1.4970570000000001E-2</v>
      </c>
      <c r="O3885">
        <v>-0.94615020000000005</v>
      </c>
      <c r="P3885">
        <v>-0.17320329999999901</v>
      </c>
      <c r="Q3885">
        <v>0.15708659999999999</v>
      </c>
      <c r="R3885">
        <v>-0.97227810000000003</v>
      </c>
      <c r="S3885">
        <v>-0.38452150000000002</v>
      </c>
      <c r="T3885">
        <v>-0.20185629999999999</v>
      </c>
      <c r="U3885">
        <v>-3.0534210000000002</v>
      </c>
      <c r="V3885">
        <v>-0.15363360000000001</v>
      </c>
      <c r="W3885">
        <v>0.16893359999999999</v>
      </c>
      <c r="X3885">
        <v>0.97358009999999995</v>
      </c>
      <c r="Y3885">
        <v>-0.20265620000000001</v>
      </c>
      <c r="Z3885">
        <v>4.5130969999999999E-2</v>
      </c>
      <c r="AA3885">
        <v>0.97820940000000001</v>
      </c>
      <c r="AB3885">
        <v>23</v>
      </c>
      <c r="AC3885">
        <v>-2.03449999999998</v>
      </c>
      <c r="AD3885">
        <v>-1.1179427468199901</v>
      </c>
      <c r="AE3885">
        <v>-16.587599999999998</v>
      </c>
      <c r="AF3885">
        <v>-3.42424270607447</v>
      </c>
      <c r="AG3885">
        <v>-1.1179427468199901</v>
      </c>
      <c r="AH3885">
        <v>16.281256483131202</v>
      </c>
      <c r="AI3885">
        <v>93.844174340753796</v>
      </c>
      <c r="AJ3885">
        <v>101.87723323069299</v>
      </c>
      <c r="AK3885">
        <v>16.674967669077301</v>
      </c>
      <c r="AL3885">
        <v>80.274178168028797</v>
      </c>
      <c r="AM3885">
        <v>98.967483301194704</v>
      </c>
      <c r="AN3885">
        <v>1.0000000276869601</v>
      </c>
    </row>
    <row r="3886" spans="1:40" x14ac:dyDescent="0.25">
      <c r="A3886" t="str">
        <f>"20190304155450926"</f>
        <v>20190304155450926</v>
      </c>
      <c r="B3886" t="str">
        <f>"1551686090920960"</f>
        <v>1551686090920960</v>
      </c>
      <c r="C3886" t="s">
        <v>40</v>
      </c>
      <c r="D3886">
        <v>4.3132650000000003</v>
      </c>
      <c r="E3886">
        <v>0.44159290000000001</v>
      </c>
      <c r="F3886" t="s">
        <v>46</v>
      </c>
      <c r="G3886">
        <v>-421.3811</v>
      </c>
      <c r="H3886" s="1">
        <v>-4.1385119999999998E-6</v>
      </c>
      <c r="I3886">
        <v>107.5692</v>
      </c>
      <c r="J3886">
        <v>-420.70800000000003</v>
      </c>
      <c r="K3886">
        <v>1.1179079999999999</v>
      </c>
      <c r="L3886">
        <v>124.7701</v>
      </c>
      <c r="M3886">
        <v>-0.31196220000000002</v>
      </c>
      <c r="N3886">
        <v>-1.496429E-2</v>
      </c>
      <c r="O3886">
        <v>-0.9499765</v>
      </c>
      <c r="P3886">
        <v>-0.16434409999999999</v>
      </c>
      <c r="Q3886">
        <v>0.15647929999999999</v>
      </c>
      <c r="R3886">
        <v>-0.97391209999999995</v>
      </c>
      <c r="S3886">
        <v>-0.1306763</v>
      </c>
      <c r="T3886">
        <v>-0.19849120000000001</v>
      </c>
      <c r="U3886">
        <v>-3.0943149999999999</v>
      </c>
      <c r="V3886">
        <v>-0.15076929999999999</v>
      </c>
      <c r="W3886">
        <v>0.16839219999999999</v>
      </c>
      <c r="X3886">
        <v>0.97412149999999997</v>
      </c>
      <c r="Y3886">
        <v>-0.27149719999999999</v>
      </c>
      <c r="Z3886">
        <v>4.3168600000000001E-2</v>
      </c>
      <c r="AA3886">
        <v>0.96147059999999995</v>
      </c>
      <c r="AB3886">
        <v>23</v>
      </c>
      <c r="AC3886">
        <v>-0.67309999999997605</v>
      </c>
      <c r="AD3886">
        <v>-1.1179121385120001</v>
      </c>
      <c r="AE3886">
        <v>-17.200900000000001</v>
      </c>
      <c r="AF3886">
        <v>-4.7072788020742804</v>
      </c>
      <c r="AG3886">
        <v>-1.1179121385120001</v>
      </c>
      <c r="AH3886">
        <v>16.482773404064702</v>
      </c>
      <c r="AI3886">
        <v>93.731299113549994</v>
      </c>
      <c r="AJ3886">
        <v>105.93869491223199</v>
      </c>
      <c r="AK3886">
        <v>17.178184431412799</v>
      </c>
      <c r="AL3886">
        <v>80.305648745472794</v>
      </c>
      <c r="AM3886">
        <v>98.798123058905304</v>
      </c>
      <c r="AN3886">
        <v>1.00000000580279</v>
      </c>
    </row>
    <row r="3887" spans="1:40" x14ac:dyDescent="0.25">
      <c r="A3887" t="str">
        <f>"20190304155450949"</f>
        <v>20190304155450949</v>
      </c>
      <c r="B3887" t="str">
        <f>"1551686090941457"</f>
        <v>1551686090941457</v>
      </c>
      <c r="C3887" t="s">
        <v>40</v>
      </c>
      <c r="D3887">
        <v>4.3407070000000001</v>
      </c>
      <c r="E3887">
        <v>0.4397221</v>
      </c>
      <c r="F3887" t="s">
        <v>46</v>
      </c>
      <c r="G3887">
        <v>-421.0772</v>
      </c>
      <c r="H3887" s="1">
        <v>-2.65201E-6</v>
      </c>
      <c r="I3887">
        <v>104.5956</v>
      </c>
      <c r="J3887">
        <v>-420.76679999999999</v>
      </c>
      <c r="K3887">
        <v>1.11788</v>
      </c>
      <c r="L3887">
        <v>124.548</v>
      </c>
      <c r="M3887">
        <v>-0.30080000000000001</v>
      </c>
      <c r="N3887">
        <v>-1.495662E-2</v>
      </c>
      <c r="O3887">
        <v>-0.95357000000000003</v>
      </c>
      <c r="P3887">
        <v>-0.15617799999999901</v>
      </c>
      <c r="Q3887">
        <v>0.1573512</v>
      </c>
      <c r="R3887">
        <v>-0.97511490000000001</v>
      </c>
      <c r="S3887">
        <v>-5.6701660000000001E-2</v>
      </c>
      <c r="T3887">
        <v>-0.1716878</v>
      </c>
      <c r="U3887">
        <v>-3.0983890000000001</v>
      </c>
      <c r="V3887">
        <v>-0.14745649999999999</v>
      </c>
      <c r="W3887">
        <v>0.16933500000000001</v>
      </c>
      <c r="X3887">
        <v>0.97446509999999997</v>
      </c>
      <c r="Y3887">
        <v>-0.2831842</v>
      </c>
      <c r="Z3887">
        <v>3.5454159999999998E-2</v>
      </c>
      <c r="AA3887">
        <v>0.95840999999999998</v>
      </c>
      <c r="AB3887">
        <v>23</v>
      </c>
      <c r="AC3887">
        <v>-0.310400000000015</v>
      </c>
      <c r="AD3887">
        <v>-1.11788265201</v>
      </c>
      <c r="AE3887">
        <v>-19.952399999999901</v>
      </c>
      <c r="AF3887">
        <v>-5.6884795765302396</v>
      </c>
      <c r="AG3887">
        <v>-1.11788265201</v>
      </c>
      <c r="AH3887">
        <v>19.0616947633231</v>
      </c>
      <c r="AI3887">
        <v>93.216439810075101</v>
      </c>
      <c r="AJ3887">
        <v>106.61640016902</v>
      </c>
      <c r="AK3887">
        <v>19.923771449360899</v>
      </c>
      <c r="AL3887">
        <v>80.250843151473404</v>
      </c>
      <c r="AM3887">
        <v>98.604742791324099</v>
      </c>
      <c r="AN3887">
        <v>0.99999999636762904</v>
      </c>
    </row>
    <row r="3888" spans="1:40" x14ac:dyDescent="0.25">
      <c r="A3888" t="str">
        <f>"20190304155450971"</f>
        <v>20190304155450971</v>
      </c>
      <c r="B3888" t="str">
        <f>"1551686090960977"</f>
        <v>1551686090960977</v>
      </c>
      <c r="C3888" t="s">
        <v>40</v>
      </c>
      <c r="D3888">
        <v>4.34429</v>
      </c>
      <c r="E3888">
        <v>0.43918269999999998</v>
      </c>
      <c r="F3888" t="s">
        <v>46</v>
      </c>
      <c r="G3888">
        <v>-420.87200000000001</v>
      </c>
      <c r="H3888" s="1">
        <v>-1.68388E-6</v>
      </c>
      <c r="I3888">
        <v>102.663</v>
      </c>
      <c r="J3888">
        <v>-420.82209999999998</v>
      </c>
      <c r="K3888">
        <v>1.1178410000000001</v>
      </c>
      <c r="L3888">
        <v>124.3296</v>
      </c>
      <c r="M3888">
        <v>-0.289858</v>
      </c>
      <c r="N3888">
        <v>-1.4947190000000001E-2</v>
      </c>
      <c r="O3888">
        <v>-0.9569531</v>
      </c>
      <c r="P3888">
        <v>-0.1472002</v>
      </c>
      <c r="Q3888">
        <v>0.1591562</v>
      </c>
      <c r="R3888">
        <v>-0.97621800000000003</v>
      </c>
      <c r="S3888">
        <v>-1.4892580000000001E-2</v>
      </c>
      <c r="T3888">
        <v>-0.1583331</v>
      </c>
      <c r="U3888">
        <v>-3.0997159999999999</v>
      </c>
      <c r="V3888">
        <v>-0.14518130000000001</v>
      </c>
      <c r="W3888">
        <v>0.17118910000000001</v>
      </c>
      <c r="X3888">
        <v>0.97448279999999998</v>
      </c>
      <c r="Y3888">
        <v>-0.28514030000000001</v>
      </c>
      <c r="Z3888">
        <v>3.1748129999999999E-2</v>
      </c>
      <c r="AA3888">
        <v>0.95795980000000003</v>
      </c>
      <c r="AB3888">
        <v>23</v>
      </c>
      <c r="AC3888">
        <v>-4.98999999999796E-2</v>
      </c>
      <c r="AD3888">
        <v>-1.11784268388</v>
      </c>
      <c r="AE3888">
        <v>-21.666599999999999</v>
      </c>
      <c r="AF3888">
        <v>-6.2166332312261803</v>
      </c>
      <c r="AG3888">
        <v>-1.11784268388</v>
      </c>
      <c r="AH3888">
        <v>20.695611017630501</v>
      </c>
      <c r="AI3888">
        <v>92.961276335810098</v>
      </c>
      <c r="AJ3888">
        <v>106.719434174192</v>
      </c>
      <c r="AK3888">
        <v>21.6380317124862</v>
      </c>
      <c r="AL3888">
        <v>80.143037192943794</v>
      </c>
      <c r="AM3888">
        <v>98.473765454826093</v>
      </c>
      <c r="AN3888">
        <v>1.0000000226621599</v>
      </c>
    </row>
    <row r="3889" spans="1:40" x14ac:dyDescent="0.25">
      <c r="A3889" t="str">
        <f>"20190304155450993"</f>
        <v>20190304155450993</v>
      </c>
      <c r="B3889" t="str">
        <f>"1551686090981473"</f>
        <v>1551686090981473</v>
      </c>
      <c r="C3889" t="s">
        <v>40</v>
      </c>
      <c r="D3889">
        <v>4.3661799999999999</v>
      </c>
      <c r="E3889">
        <v>0.43903769999999998</v>
      </c>
      <c r="F3889" t="s">
        <v>46</v>
      </c>
      <c r="G3889">
        <v>-420.68329999999997</v>
      </c>
      <c r="H3889" s="1">
        <v>-8.2821319999999999E-7</v>
      </c>
      <c r="I3889">
        <v>100.95910000000001</v>
      </c>
      <c r="J3889">
        <v>-420.87369999999999</v>
      </c>
      <c r="K3889">
        <v>1.1177840000000001</v>
      </c>
      <c r="L3889">
        <v>124.1156</v>
      </c>
      <c r="M3889">
        <v>-0.27919539999999998</v>
      </c>
      <c r="N3889">
        <v>-1.4935240000000001E-2</v>
      </c>
      <c r="O3889">
        <v>-0.96011809999999997</v>
      </c>
      <c r="P3889">
        <v>-0.13743559999999999</v>
      </c>
      <c r="Q3889">
        <v>0.16051799999999999</v>
      </c>
      <c r="R3889">
        <v>-0.97741769999999994</v>
      </c>
      <c r="S3889">
        <v>1.8402100000000001E-2</v>
      </c>
      <c r="T3889">
        <v>-0.1482781</v>
      </c>
      <c r="U3889">
        <v>-3.1000209999999999</v>
      </c>
      <c r="V3889">
        <v>-0.1440129</v>
      </c>
      <c r="W3889">
        <v>0.17258189999999901</v>
      </c>
      <c r="X3889">
        <v>0.97441049999999996</v>
      </c>
      <c r="Y3889">
        <v>-0.28477669999999999</v>
      </c>
      <c r="Z3889">
        <v>2.900115E-2</v>
      </c>
      <c r="AA3889">
        <v>0.95815510000000004</v>
      </c>
      <c r="AB3889">
        <v>23</v>
      </c>
      <c r="AC3889">
        <v>0.190400000000011</v>
      </c>
      <c r="AD3889">
        <v>-1.1177848282131999</v>
      </c>
      <c r="AE3889">
        <v>-23.156499999999902</v>
      </c>
      <c r="AF3889">
        <v>-6.6332816593992501</v>
      </c>
      <c r="AG3889">
        <v>-1.1177848282131999</v>
      </c>
      <c r="AH3889">
        <v>22.130728394054699</v>
      </c>
      <c r="AI3889">
        <v>92.769908471744799</v>
      </c>
      <c r="AJ3889">
        <v>106.685141958142</v>
      </c>
      <c r="AK3889">
        <v>23.130477897063098</v>
      </c>
      <c r="AL3889">
        <v>80.062030014248194</v>
      </c>
      <c r="AM3889">
        <v>98.407162918112704</v>
      </c>
      <c r="AN3889">
        <v>1.0000000250421299</v>
      </c>
    </row>
    <row r="3890" spans="1:40" x14ac:dyDescent="0.25">
      <c r="A3890" t="str">
        <f>"20190304155451018"</f>
        <v>20190304155451018</v>
      </c>
      <c r="B3890" t="str">
        <f>"1551686091011729"</f>
        <v>1551686091011729</v>
      </c>
      <c r="C3890" t="s">
        <v>40</v>
      </c>
      <c r="D3890">
        <v>4.3790319999999996</v>
      </c>
      <c r="E3890">
        <v>0.43913869999999999</v>
      </c>
      <c r="F3890" t="s">
        <v>46</v>
      </c>
      <c r="G3890">
        <v>-420.47219999999999</v>
      </c>
      <c r="H3890" s="1">
        <v>-1.8991939999999999E-7</v>
      </c>
      <c r="I3890">
        <v>99.727590000000006</v>
      </c>
      <c r="J3890">
        <v>-420.92950000000002</v>
      </c>
      <c r="K3890">
        <v>1.1176950000000001</v>
      </c>
      <c r="L3890">
        <v>123.8721</v>
      </c>
      <c r="M3890">
        <v>-0.26715739999999999</v>
      </c>
      <c r="N3890">
        <v>-1.4917679999999999E-2</v>
      </c>
      <c r="O3890">
        <v>-0.96353750000000005</v>
      </c>
      <c r="P3890">
        <v>-0.1261668</v>
      </c>
      <c r="Q3890">
        <v>0.1625991</v>
      </c>
      <c r="R3890">
        <v>-0.97859260000000003</v>
      </c>
      <c r="S3890">
        <v>5.1025389999999997E-2</v>
      </c>
      <c r="T3890">
        <v>-0.14207539999999999</v>
      </c>
      <c r="U3890">
        <v>-3.0998230000000002</v>
      </c>
      <c r="V3890">
        <v>-0.14294490000000001</v>
      </c>
      <c r="W3890">
        <v>0.17469409999999999</v>
      </c>
      <c r="X3890">
        <v>0.97419129999999998</v>
      </c>
      <c r="Y3890">
        <v>-0.28286899999999998</v>
      </c>
      <c r="Z3890">
        <v>2.74094E-2</v>
      </c>
      <c r="AA3890">
        <v>0.95876680000000003</v>
      </c>
      <c r="AB3890">
        <v>23</v>
      </c>
      <c r="AC3890">
        <v>0.45730000000003201</v>
      </c>
      <c r="AD3890">
        <v>-1.1176951899193901</v>
      </c>
      <c r="AE3890">
        <v>-24.14451</v>
      </c>
      <c r="AF3890">
        <v>-6.8770448478742701</v>
      </c>
      <c r="AG3890">
        <v>-1.1176951899193901</v>
      </c>
      <c r="AH3890">
        <v>23.095070056630099</v>
      </c>
      <c r="AI3890">
        <v>92.655632178520904</v>
      </c>
      <c r="AJ3890">
        <v>106.58201148073699</v>
      </c>
      <c r="AK3890">
        <v>24.123126855735201</v>
      </c>
      <c r="AL3890">
        <v>79.939142691616595</v>
      </c>
      <c r="AM3890">
        <v>98.347548110985997</v>
      </c>
      <c r="AN3890">
        <v>0.99999998100325405</v>
      </c>
    </row>
    <row r="3891" spans="1:40" x14ac:dyDescent="0.25">
      <c r="A3891" t="str">
        <f>"20190304155451061"</f>
        <v>20190304155451061</v>
      </c>
      <c r="B3891" t="str">
        <f>"1551686091051744"</f>
        <v>1551686091051744</v>
      </c>
      <c r="C3891" t="s">
        <v>40</v>
      </c>
      <c r="D3891">
        <v>4.4829660000000002</v>
      </c>
      <c r="E3891">
        <v>0.44000459999999902</v>
      </c>
      <c r="F3891" t="s">
        <v>46</v>
      </c>
      <c r="G3891">
        <v>-420.2518</v>
      </c>
      <c r="H3891" s="1">
        <v>-4.200614E-6</v>
      </c>
      <c r="I3891">
        <v>99.22466</v>
      </c>
      <c r="J3891">
        <v>-421.01949999999999</v>
      </c>
      <c r="K3891">
        <v>1.117464</v>
      </c>
      <c r="L3891">
        <v>123.4479</v>
      </c>
      <c r="M3891">
        <v>-0.24656520000000001</v>
      </c>
      <c r="N3891">
        <v>-1.4875009999999999E-2</v>
      </c>
      <c r="O3891">
        <v>-0.96901210000000004</v>
      </c>
      <c r="P3891">
        <v>-0.1084565</v>
      </c>
      <c r="Q3891">
        <v>0.16431889999999999</v>
      </c>
      <c r="R3891">
        <v>-0.98042680000000004</v>
      </c>
      <c r="S3891">
        <v>8.5235599999999995E-2</v>
      </c>
      <c r="T3891">
        <v>-0.14057639999999999</v>
      </c>
      <c r="U3891">
        <v>-3.0999759999999998</v>
      </c>
      <c r="V3891">
        <v>-0.13964649999999901</v>
      </c>
      <c r="W3891">
        <v>0.17650850000000001</v>
      </c>
      <c r="X3891">
        <v>0.97434259999999995</v>
      </c>
      <c r="Y3891">
        <v>-0.27299659999999998</v>
      </c>
      <c r="Z3891">
        <v>2.7416780000000002E-2</v>
      </c>
      <c r="AA3891">
        <v>0.96162429999999999</v>
      </c>
      <c r="AB3891">
        <v>23</v>
      </c>
      <c r="AC3891">
        <v>0.76769999999998995</v>
      </c>
      <c r="AD3891">
        <v>-1.117468200614</v>
      </c>
      <c r="AE3891">
        <v>-24.223240000000001</v>
      </c>
      <c r="AF3891">
        <v>-6.7030105961832804</v>
      </c>
      <c r="AG3891">
        <v>-1.117468200614</v>
      </c>
      <c r="AH3891">
        <v>23.236498015264299</v>
      </c>
      <c r="AI3891">
        <v>92.645581343776001</v>
      </c>
      <c r="AJ3891">
        <v>106.091213867821</v>
      </c>
      <c r="AK3891">
        <v>24.2097898843693</v>
      </c>
      <c r="AL3891">
        <v>79.833544027057101</v>
      </c>
      <c r="AM3891">
        <v>98.156304301378995</v>
      </c>
      <c r="AN3891">
        <v>0.99999994885462795</v>
      </c>
    </row>
    <row r="3892" spans="1:40" x14ac:dyDescent="0.25">
      <c r="A3892" t="str">
        <f>"20190304155451083"</f>
        <v>20190304155451083</v>
      </c>
      <c r="B3892" t="str">
        <f>"1551686091071265"</f>
        <v>1551686091071265</v>
      </c>
      <c r="C3892" t="s">
        <v>40</v>
      </c>
      <c r="D3892">
        <v>4.4657080000000002</v>
      </c>
      <c r="E3892">
        <v>0.44076900000000002</v>
      </c>
      <c r="F3892" t="s">
        <v>46</v>
      </c>
      <c r="G3892">
        <v>-419.9135</v>
      </c>
      <c r="H3892" s="1">
        <v>-3.6907570000000002E-6</v>
      </c>
      <c r="I3892">
        <v>98.200239999999994</v>
      </c>
      <c r="J3892">
        <v>-421.06319999999999</v>
      </c>
      <c r="K3892">
        <v>1.1173310000000001</v>
      </c>
      <c r="L3892">
        <v>123.2251</v>
      </c>
      <c r="M3892">
        <v>-0.23598369999999999</v>
      </c>
      <c r="N3892">
        <v>-1.4847040000000001E-2</v>
      </c>
      <c r="O3892">
        <v>-0.9716437</v>
      </c>
      <c r="P3892">
        <v>-9.9113400000000004E-2</v>
      </c>
      <c r="Q3892">
        <v>0.16408639999999999</v>
      </c>
      <c r="R3892">
        <v>-0.9814541</v>
      </c>
      <c r="S3892">
        <v>0.13571169999999999</v>
      </c>
      <c r="T3892">
        <v>-0.13711400000000001</v>
      </c>
      <c r="U3892">
        <v>-3.0979000000000001</v>
      </c>
      <c r="V3892">
        <v>-0.13824330000000001</v>
      </c>
      <c r="W3892">
        <v>0.17632210000000001</v>
      </c>
      <c r="X3892">
        <v>0.97457649999999996</v>
      </c>
      <c r="Y3892">
        <v>-0.27816929999999901</v>
      </c>
      <c r="Z3892">
        <v>2.6533149999999998E-2</v>
      </c>
      <c r="AA3892">
        <v>0.96016550000000001</v>
      </c>
      <c r="AB3892">
        <v>23</v>
      </c>
      <c r="AC3892">
        <v>1.14969999999999</v>
      </c>
      <c r="AD3892">
        <v>-1.1173346907570001</v>
      </c>
      <c r="AE3892">
        <v>-25.024859999999901</v>
      </c>
      <c r="AF3892">
        <v>-7.0093871683315898</v>
      </c>
      <c r="AG3892">
        <v>-1.1173346907570001</v>
      </c>
      <c r="AH3892">
        <v>23.998843242311299</v>
      </c>
      <c r="AI3892">
        <v>92.558884158294703</v>
      </c>
      <c r="AJ3892">
        <v>106.281598967337</v>
      </c>
      <c r="AK3892">
        <v>25.0264744272095</v>
      </c>
      <c r="AL3892">
        <v>79.844394903579598</v>
      </c>
      <c r="AM3892">
        <v>98.073521763894306</v>
      </c>
      <c r="AN3892">
        <v>1.00000002364777</v>
      </c>
    </row>
    <row r="3893" spans="1:40" x14ac:dyDescent="0.25">
      <c r="A3893" t="str">
        <f>"20190304155451106"</f>
        <v>20190304155451106</v>
      </c>
      <c r="B3893" t="str">
        <f>"1551686091101391"</f>
        <v>1551686091101391</v>
      </c>
      <c r="C3893" t="s">
        <v>40</v>
      </c>
      <c r="D3893">
        <v>4.53078</v>
      </c>
      <c r="E3893">
        <v>0.44209789999999999</v>
      </c>
      <c r="F3893" t="s">
        <v>46</v>
      </c>
      <c r="G3893">
        <v>-419.76600000000002</v>
      </c>
      <c r="H3893" s="1">
        <v>-3.6276779999999998E-6</v>
      </c>
      <c r="I3893">
        <v>97.992230000000006</v>
      </c>
      <c r="J3893">
        <v>-421.10550000000001</v>
      </c>
      <c r="K3893">
        <v>1.1171580000000001</v>
      </c>
      <c r="L3893">
        <v>122.99769999999999</v>
      </c>
      <c r="M3893">
        <v>-0.22542909999999999</v>
      </c>
      <c r="N3893">
        <v>-1.4814300000000001E-2</v>
      </c>
      <c r="O3893">
        <v>-0.97414699999999999</v>
      </c>
      <c r="P3893">
        <v>-8.9432349999999994E-2</v>
      </c>
      <c r="Q3893">
        <v>0.1656744</v>
      </c>
      <c r="R3893">
        <v>-0.98211709999999997</v>
      </c>
      <c r="S3893">
        <v>0.15914919999999999</v>
      </c>
      <c r="T3893">
        <v>-0.13707939999999999</v>
      </c>
      <c r="U3893">
        <v>-3.0956730000000001</v>
      </c>
      <c r="V3893">
        <v>-0.13716789999999901</v>
      </c>
      <c r="W3893">
        <v>0.17794969999999999</v>
      </c>
      <c r="X3893">
        <v>0.97443259999999998</v>
      </c>
      <c r="Y3893">
        <v>-0.27503270000000002</v>
      </c>
      <c r="Z3893">
        <v>2.6754360000000001E-2</v>
      </c>
      <c r="AA3893">
        <v>0.96106259999999999</v>
      </c>
      <c r="AB3893">
        <v>23</v>
      </c>
      <c r="AC3893">
        <v>1.3395000000000401</v>
      </c>
      <c r="AD3893">
        <v>-1.1171616276780001</v>
      </c>
      <c r="AE3893">
        <v>-25.005469999999899</v>
      </c>
      <c r="AF3893">
        <v>-6.9288015892902202</v>
      </c>
      <c r="AG3893">
        <v>-1.1171616276780001</v>
      </c>
      <c r="AH3893">
        <v>24.0118893621671</v>
      </c>
      <c r="AI3893">
        <v>92.559504446702803</v>
      </c>
      <c r="AJ3893">
        <v>106.09587183929401</v>
      </c>
      <c r="AK3893">
        <v>25.016537976048198</v>
      </c>
      <c r="AL3893">
        <v>79.749641758461195</v>
      </c>
      <c r="AM3893">
        <v>98.012703826962806</v>
      </c>
      <c r="AN3893">
        <v>1.00000001023162</v>
      </c>
    </row>
    <row r="3894" spans="1:40" x14ac:dyDescent="0.25">
      <c r="A3894" t="str">
        <f>"20190304155451128"</f>
        <v>20190304155451128</v>
      </c>
      <c r="B3894" t="str">
        <f>"1551686091120910"</f>
        <v>1551686091120910</v>
      </c>
      <c r="C3894" t="s">
        <v>40</v>
      </c>
      <c r="D3894">
        <v>4.5143040000000001</v>
      </c>
      <c r="E3894">
        <v>0.44248910000000002</v>
      </c>
      <c r="F3894" t="s">
        <v>46</v>
      </c>
      <c r="G3894">
        <v>-419.6377</v>
      </c>
      <c r="H3894" s="1">
        <v>-3.386211E-6</v>
      </c>
      <c r="I3894">
        <v>97.376310000000004</v>
      </c>
      <c r="J3894">
        <v>-421.14490000000001</v>
      </c>
      <c r="K3894">
        <v>1.1169830000000001</v>
      </c>
      <c r="L3894">
        <v>122.7735</v>
      </c>
      <c r="M3894">
        <v>-0.21525040000000001</v>
      </c>
      <c r="N3894">
        <v>-1.4778360000000001E-2</v>
      </c>
      <c r="O3894">
        <v>-0.97644699999999995</v>
      </c>
      <c r="P3894">
        <v>-8.0068630000000002E-2</v>
      </c>
      <c r="Q3894">
        <v>0.16716879999999901</v>
      </c>
      <c r="R3894">
        <v>-0.98267190000000004</v>
      </c>
      <c r="S3894">
        <v>0.1772156</v>
      </c>
      <c r="T3894">
        <v>-0.13488510000000001</v>
      </c>
      <c r="U3894">
        <v>-3.0935060000000001</v>
      </c>
      <c r="V3894">
        <v>-0.13617360000000001</v>
      </c>
      <c r="W3894">
        <v>0.179481</v>
      </c>
      <c r="X3894">
        <v>0.97429120000000002</v>
      </c>
      <c r="Y3894">
        <v>-0.27063160000000003</v>
      </c>
      <c r="Z3894">
        <v>2.631878E-2</v>
      </c>
      <c r="AA3894">
        <v>0.96232309999999999</v>
      </c>
      <c r="AB3894">
        <v>23</v>
      </c>
      <c r="AC3894">
        <v>1.5072000000000101</v>
      </c>
      <c r="AD3894">
        <v>-1.1169863862109899</v>
      </c>
      <c r="AE3894">
        <v>-25.397189999999899</v>
      </c>
      <c r="AF3894">
        <v>-6.9258647471027599</v>
      </c>
      <c r="AG3894">
        <v>-1.1169863862109899</v>
      </c>
      <c r="AH3894">
        <v>24.430169631192101</v>
      </c>
      <c r="AI3894">
        <v>92.518708183940205</v>
      </c>
      <c r="AJ3894">
        <v>105.827841451551</v>
      </c>
      <c r="AK3894">
        <v>25.4174831423366</v>
      </c>
      <c r="AL3894">
        <v>79.660469119375193</v>
      </c>
      <c r="AM3894">
        <v>97.956507565212206</v>
      </c>
      <c r="AN3894">
        <v>1.0000000105477</v>
      </c>
    </row>
    <row r="3895" spans="1:40" x14ac:dyDescent="0.25">
      <c r="A3895" t="str">
        <f>"20190304155451150"</f>
        <v>20190304155451150</v>
      </c>
      <c r="B3895" t="str">
        <f>"1551686091141406"</f>
        <v>1551686091141406</v>
      </c>
      <c r="C3895" t="s">
        <v>40</v>
      </c>
      <c r="D3895">
        <v>4.5145730000000004</v>
      </c>
      <c r="E3895">
        <v>0.45385769999999998</v>
      </c>
      <c r="F3895" t="s">
        <v>46</v>
      </c>
      <c r="G3895">
        <v>-419.44099999999997</v>
      </c>
      <c r="H3895" s="1">
        <v>-3.0842609999999998E-6</v>
      </c>
      <c r="I3895">
        <v>96.591130000000007</v>
      </c>
      <c r="J3895">
        <v>-421.18130000000002</v>
      </c>
      <c r="K3895">
        <v>1.1168039999999999</v>
      </c>
      <c r="L3895">
        <v>122.5549</v>
      </c>
      <c r="M3895">
        <v>-0.2055718</v>
      </c>
      <c r="N3895">
        <v>-1.474018E-2</v>
      </c>
      <c r="O3895">
        <v>-0.97853109999999999</v>
      </c>
      <c r="P3895">
        <v>-7.2535660000000002E-2</v>
      </c>
      <c r="Q3895">
        <v>0.16703950000000001</v>
      </c>
      <c r="R3895">
        <v>-0.9832786</v>
      </c>
      <c r="S3895">
        <v>0.2012024</v>
      </c>
      <c r="T3895">
        <v>-0.13189879999999901</v>
      </c>
      <c r="U3895">
        <v>-3.091736</v>
      </c>
      <c r="V3895">
        <v>-0.13390769999999999</v>
      </c>
      <c r="W3895">
        <v>0.17941389999999999</v>
      </c>
      <c r="X3895">
        <v>0.97461750000000003</v>
      </c>
      <c r="Y3895">
        <v>-0.26857370000000003</v>
      </c>
      <c r="Z3895">
        <v>2.5597689999999999E-2</v>
      </c>
      <c r="AA3895">
        <v>0.96291890000000002</v>
      </c>
      <c r="AB3895">
        <v>23</v>
      </c>
      <c r="AC3895">
        <v>1.7403000000000399</v>
      </c>
      <c r="AD3895">
        <v>-1.1168070842610001</v>
      </c>
      <c r="AE3895">
        <v>-25.96377</v>
      </c>
      <c r="AF3895">
        <v>-7.0281756036322403</v>
      </c>
      <c r="AG3895">
        <v>-1.1168070842610001</v>
      </c>
      <c r="AH3895">
        <v>25.005261515792</v>
      </c>
      <c r="AI3895">
        <v>92.462019138102406</v>
      </c>
      <c r="AJ3895">
        <v>105.69896705132101</v>
      </c>
      <c r="AK3895">
        <v>25.9981848184079</v>
      </c>
      <c r="AL3895">
        <v>79.664376422218396</v>
      </c>
      <c r="AM3895">
        <v>97.823179419466101</v>
      </c>
      <c r="AN3895">
        <v>0.99999994546937299</v>
      </c>
    </row>
    <row r="3896" spans="1:40" x14ac:dyDescent="0.25">
      <c r="A3896" t="str">
        <f>"20190304155451172"</f>
        <v>20190304155451172</v>
      </c>
      <c r="B3896" t="str">
        <f>"1551686091160926"</f>
        <v>1551686091160926</v>
      </c>
      <c r="C3896" t="s">
        <v>40</v>
      </c>
      <c r="D3896">
        <v>4.4832999999999998</v>
      </c>
      <c r="E3896">
        <v>0.45991520000000002</v>
      </c>
      <c r="F3896" t="s">
        <v>46</v>
      </c>
      <c r="G3896">
        <v>-420.15030000000002</v>
      </c>
      <c r="H3896" s="1">
        <v>-4.0067629999999999E-6</v>
      </c>
      <c r="I3896">
        <v>98.835750000000004</v>
      </c>
      <c r="J3896">
        <v>-421.21620000000001</v>
      </c>
      <c r="K3896">
        <v>1.1165909999999999</v>
      </c>
      <c r="L3896">
        <v>122.3344</v>
      </c>
      <c r="M3896">
        <v>-0.19609489999999999</v>
      </c>
      <c r="N3896">
        <v>-1.469842E-2</v>
      </c>
      <c r="O3896">
        <v>-0.98047479999999998</v>
      </c>
      <c r="P3896">
        <v>-6.5678890000000004E-2</v>
      </c>
      <c r="Q3896">
        <v>0.16687689999999999</v>
      </c>
      <c r="R3896">
        <v>-0.98378779999999999</v>
      </c>
      <c r="S3896">
        <v>0.13412479999999999</v>
      </c>
      <c r="T3896">
        <v>-0.1452842</v>
      </c>
      <c r="U3896">
        <v>-3.0856020000000002</v>
      </c>
      <c r="V3896">
        <v>-0.13117770000000001</v>
      </c>
      <c r="W3896">
        <v>0.17932290000000001</v>
      </c>
      <c r="X3896">
        <v>0.97500549999999997</v>
      </c>
      <c r="Y3896">
        <v>-0.2383825</v>
      </c>
      <c r="Z3896">
        <v>3.0211439999999999E-2</v>
      </c>
      <c r="AA3896">
        <v>0.97070129999999999</v>
      </c>
      <c r="AB3896">
        <v>23</v>
      </c>
      <c r="AC3896">
        <v>1.0658999999999901</v>
      </c>
      <c r="AD3896">
        <v>-1.1165950067629999</v>
      </c>
      <c r="AE3896">
        <v>-23.498650000000001</v>
      </c>
      <c r="AF3896">
        <v>-5.6409534368839704</v>
      </c>
      <c r="AG3896">
        <v>-1.1165950067629999</v>
      </c>
      <c r="AH3896">
        <v>22.781948400133</v>
      </c>
      <c r="AI3896">
        <v>92.723825043586203</v>
      </c>
      <c r="AJ3896">
        <v>103.907088403168</v>
      </c>
      <c r="AK3896">
        <v>23.4964744800692</v>
      </c>
      <c r="AL3896">
        <v>79.669676947378605</v>
      </c>
      <c r="AM3896">
        <v>97.6625884288527</v>
      </c>
      <c r="AN3896">
        <v>1.0000000082359699</v>
      </c>
    </row>
    <row r="3897" spans="1:40" x14ac:dyDescent="0.25">
      <c r="A3897" t="str">
        <f>"20190304155451195"</f>
        <v>20190304155451195</v>
      </c>
      <c r="B3897" t="str">
        <f>"1551686091191222"</f>
        <v>1551686091191222</v>
      </c>
      <c r="C3897" t="s">
        <v>40</v>
      </c>
      <c r="D3897">
        <v>4.5027150000000002</v>
      </c>
      <c r="E3897">
        <v>0.46435789999999999</v>
      </c>
      <c r="F3897" t="s">
        <v>46</v>
      </c>
      <c r="G3897">
        <v>-420.30930000000001</v>
      </c>
      <c r="H3897" s="1">
        <v>-3.0254159999999999E-6</v>
      </c>
      <c r="I3897">
        <v>96.449579999999997</v>
      </c>
      <c r="J3897">
        <v>-421.25</v>
      </c>
      <c r="K3897">
        <v>1.1163529999999999</v>
      </c>
      <c r="L3897">
        <v>122.1086</v>
      </c>
      <c r="M3897">
        <v>-0.18673480000000001</v>
      </c>
      <c r="N3897">
        <v>-1.46514E-2</v>
      </c>
      <c r="O3897">
        <v>-0.98230110000000004</v>
      </c>
      <c r="P3897">
        <v>-5.7761E-2</v>
      </c>
      <c r="Q3897">
        <v>0.1671916</v>
      </c>
      <c r="R3897">
        <v>-0.98423110000000003</v>
      </c>
      <c r="S3897">
        <v>0.10787960000000001</v>
      </c>
      <c r="T3897">
        <v>-0.132826799999999</v>
      </c>
      <c r="U3897">
        <v>-3.0791780000000002</v>
      </c>
      <c r="V3897">
        <v>-0.12960930000000001</v>
      </c>
      <c r="W3897">
        <v>0.17969070000000001</v>
      </c>
      <c r="X3897">
        <v>0.97514749999999994</v>
      </c>
      <c r="Y3897">
        <v>-0.22092919999999999</v>
      </c>
      <c r="Z3897">
        <v>2.6722949999999999E-2</v>
      </c>
      <c r="AA3897">
        <v>0.97492369999999995</v>
      </c>
      <c r="AB3897">
        <v>23</v>
      </c>
      <c r="AC3897">
        <v>0.94069999999999199</v>
      </c>
      <c r="AD3897">
        <v>-1.1163560254160001</v>
      </c>
      <c r="AE3897">
        <v>-25.659019999999899</v>
      </c>
      <c r="AF3897">
        <v>-5.70531113502126</v>
      </c>
      <c r="AG3897">
        <v>-1.1163560254160001</v>
      </c>
      <c r="AH3897">
        <v>24.984679244029898</v>
      </c>
      <c r="AI3897">
        <v>92.494246375118806</v>
      </c>
      <c r="AJ3897">
        <v>102.86307394205799</v>
      </c>
      <c r="AK3897">
        <v>25.652115367936801</v>
      </c>
      <c r="AL3897">
        <v>79.648255338171694</v>
      </c>
      <c r="AM3897">
        <v>97.570951716218602</v>
      </c>
      <c r="AN3897">
        <v>0.99999998253461397</v>
      </c>
    </row>
    <row r="3898" spans="1:40" x14ac:dyDescent="0.25">
      <c r="A3898" t="str">
        <f>"20190304155451218"</f>
        <v>20190304155451218</v>
      </c>
      <c r="B3898" t="str">
        <f>"1551686091211717"</f>
        <v>1551686091211717</v>
      </c>
      <c r="C3898" t="s">
        <v>40</v>
      </c>
      <c r="D3898">
        <v>4.4904729999999997</v>
      </c>
      <c r="E3898">
        <v>0.46452769999999999</v>
      </c>
      <c r="F3898" t="s">
        <v>46</v>
      </c>
      <c r="G3898">
        <v>-420.47370000000001</v>
      </c>
      <c r="H3898" s="1">
        <v>-3.413583E-6</v>
      </c>
      <c r="I3898">
        <v>97.252440000000007</v>
      </c>
      <c r="J3898">
        <v>-421.28300000000002</v>
      </c>
      <c r="K3898">
        <v>1.1160840000000001</v>
      </c>
      <c r="L3898">
        <v>121.87569999999999</v>
      </c>
      <c r="M3898">
        <v>-0.1774654</v>
      </c>
      <c r="N3898">
        <v>-1.459858E-2</v>
      </c>
      <c r="O3898">
        <v>-0.98401899999999998</v>
      </c>
      <c r="P3898">
        <v>-5.0462979999999998E-2</v>
      </c>
      <c r="Q3898">
        <v>0.16768729999999901</v>
      </c>
      <c r="R3898">
        <v>-0.98454799999999998</v>
      </c>
      <c r="S3898">
        <v>9.6099850000000001E-2</v>
      </c>
      <c r="T3898">
        <v>-0.1382043</v>
      </c>
      <c r="U3898">
        <v>-3.0771790000000001</v>
      </c>
      <c r="V3898">
        <v>-0.12751029999999999</v>
      </c>
      <c r="W3898">
        <v>0.18024979999999999</v>
      </c>
      <c r="X3898">
        <v>0.97532110000000005</v>
      </c>
      <c r="Y3898">
        <v>-0.208011</v>
      </c>
      <c r="Z3898">
        <v>2.8667740000000001E-2</v>
      </c>
      <c r="AA3898">
        <v>0.97770630000000003</v>
      </c>
      <c r="AB3898">
        <v>23</v>
      </c>
      <c r="AC3898">
        <v>0.80930000000000701</v>
      </c>
      <c r="AD3898">
        <v>-1.1160874135829999</v>
      </c>
      <c r="AE3898">
        <v>-24.623259999999899</v>
      </c>
      <c r="AF3898">
        <v>-5.1561108339370598</v>
      </c>
      <c r="AG3898">
        <v>-1.1160874135829999</v>
      </c>
      <c r="AH3898">
        <v>24.039358699748998</v>
      </c>
      <c r="AI3898">
        <v>92.599160934976894</v>
      </c>
      <c r="AJ3898">
        <v>102.10573961425899</v>
      </c>
      <c r="AK3898">
        <v>24.611418015664999</v>
      </c>
      <c r="AL3898">
        <v>79.615690321776597</v>
      </c>
      <c r="AM3898">
        <v>97.4484187143768</v>
      </c>
      <c r="AN3898">
        <v>1.00000005755566</v>
      </c>
    </row>
    <row r="3899" spans="1:40" x14ac:dyDescent="0.25">
      <c r="A3899" t="str">
        <f>"20190304155451241"</f>
        <v>20190304155451241</v>
      </c>
      <c r="B3899" t="str">
        <f>"1551686091231239"</f>
        <v>1551686091231239</v>
      </c>
      <c r="C3899" t="s">
        <v>40</v>
      </c>
      <c r="D3899">
        <v>4.4614929999999999</v>
      </c>
      <c r="E3899">
        <v>0.46551340000000002</v>
      </c>
      <c r="F3899" t="s">
        <v>46</v>
      </c>
      <c r="G3899">
        <v>-420.30810000000002</v>
      </c>
      <c r="H3899" s="1">
        <v>-2.7498910000000001E-6</v>
      </c>
      <c r="I3899">
        <v>95.808080000000004</v>
      </c>
      <c r="J3899">
        <v>-421.31380000000001</v>
      </c>
      <c r="K3899">
        <v>1.1157969999999999</v>
      </c>
      <c r="L3899">
        <v>121.6467</v>
      </c>
      <c r="M3899">
        <v>-0.1687621</v>
      </c>
      <c r="N3899">
        <v>-1.45438999999999E-2</v>
      </c>
      <c r="O3899">
        <v>-0.98554960000000003</v>
      </c>
      <c r="P3899">
        <v>-4.4720120000000002E-2</v>
      </c>
      <c r="Q3899">
        <v>0.16882249999999999</v>
      </c>
      <c r="R3899">
        <v>-0.9846317</v>
      </c>
      <c r="S3899">
        <v>0.11502080000000001</v>
      </c>
      <c r="T3899">
        <v>-0.13167390000000001</v>
      </c>
      <c r="U3899">
        <v>-3.0754090000000001</v>
      </c>
      <c r="V3899">
        <v>-0.1244251</v>
      </c>
      <c r="W3899">
        <v>0.18146209999999999</v>
      </c>
      <c r="X3899">
        <v>0.97549470000000005</v>
      </c>
      <c r="Y3899">
        <v>-0.20539859999999999</v>
      </c>
      <c r="Z3899">
        <v>2.6802960000000001E-2</v>
      </c>
      <c r="AA3899">
        <v>0.97831129999999999</v>
      </c>
      <c r="AB3899">
        <v>23</v>
      </c>
      <c r="AC3899">
        <v>1.00569999999999</v>
      </c>
      <c r="AD3899">
        <v>-1.1157997498909999</v>
      </c>
      <c r="AE3899">
        <v>-25.838619999999899</v>
      </c>
      <c r="AF3899">
        <v>-5.3423652023890504</v>
      </c>
      <c r="AG3899">
        <v>-1.1157997498909999</v>
      </c>
      <c r="AH3899">
        <v>25.251173620614999</v>
      </c>
      <c r="AI3899">
        <v>92.475417297565102</v>
      </c>
      <c r="AJ3899">
        <v>101.94585120035001</v>
      </c>
      <c r="AK3899">
        <v>25.834233959148001</v>
      </c>
      <c r="AL3899">
        <v>79.545065463295401</v>
      </c>
      <c r="AM3899">
        <v>97.268870797300295</v>
      </c>
      <c r="AN3899">
        <v>1.0000000044872499</v>
      </c>
    </row>
    <row r="3900" spans="1:40" x14ac:dyDescent="0.25">
      <c r="A3900" t="str">
        <f>"20190304155451263"</f>
        <v>20190304155451263</v>
      </c>
      <c r="B3900" t="str">
        <f>"1551686091251733"</f>
        <v>1551686091251733</v>
      </c>
      <c r="C3900" t="s">
        <v>40</v>
      </c>
      <c r="D3900">
        <v>4.4903329999999997</v>
      </c>
      <c r="E3900">
        <v>0.46644920000000001</v>
      </c>
      <c r="F3900" t="s">
        <v>46</v>
      </c>
      <c r="G3900">
        <v>-420.18759999999997</v>
      </c>
      <c r="H3900" s="1">
        <v>-1.9765009999999999E-6</v>
      </c>
      <c r="I3900">
        <v>94.080039999999997</v>
      </c>
      <c r="J3900">
        <v>-421.34059999999999</v>
      </c>
      <c r="K3900">
        <v>1.1155170000000001</v>
      </c>
      <c r="L3900">
        <v>121.4367</v>
      </c>
      <c r="M3900">
        <v>-0.1612045</v>
      </c>
      <c r="N3900">
        <v>-1.4492049999999999E-2</v>
      </c>
      <c r="O3900">
        <v>-0.98681470000000004</v>
      </c>
      <c r="P3900">
        <v>-4.1053810000000003E-2</v>
      </c>
      <c r="Q3900">
        <v>0.1688325</v>
      </c>
      <c r="R3900">
        <v>-0.98478960000000004</v>
      </c>
      <c r="S3900">
        <v>0.12557979999999999</v>
      </c>
      <c r="T3900">
        <v>-0.1244191</v>
      </c>
      <c r="U3900">
        <v>-3.073868</v>
      </c>
      <c r="V3900">
        <v>-0.12044530000000001</v>
      </c>
      <c r="W3900">
        <v>0.1815601</v>
      </c>
      <c r="X3900">
        <v>0.97597590000000001</v>
      </c>
      <c r="Y3900">
        <v>-0.2012786</v>
      </c>
      <c r="Z3900">
        <v>2.4686409999999999E-2</v>
      </c>
      <c r="AA3900">
        <v>0.97922290000000001</v>
      </c>
      <c r="AB3900">
        <v>23</v>
      </c>
      <c r="AC3900">
        <v>1.15300000000002</v>
      </c>
      <c r="AD3900">
        <v>-1.1155189765009901</v>
      </c>
      <c r="AE3900">
        <v>-27.356660000000002</v>
      </c>
      <c r="AF3900">
        <v>-5.5392022675103396</v>
      </c>
      <c r="AG3900">
        <v>-1.1155189765009901</v>
      </c>
      <c r="AH3900">
        <v>26.768468597086201</v>
      </c>
      <c r="AI3900">
        <v>92.336848039318099</v>
      </c>
      <c r="AJ3900">
        <v>101.691213222283</v>
      </c>
      <c r="AK3900">
        <v>27.358326984311599</v>
      </c>
      <c r="AL3900">
        <v>79.539356098976299</v>
      </c>
      <c r="AM3900">
        <v>97.035306721492503</v>
      </c>
      <c r="AN3900">
        <v>1.0000000487924501</v>
      </c>
    </row>
    <row r="3901" spans="1:40" x14ac:dyDescent="0.25">
      <c r="A3901" t="str">
        <f>"20190304155451295"</f>
        <v>20190304155451295</v>
      </c>
      <c r="B3901" t="str">
        <f>"1551686091291750"</f>
        <v>1551686091291750</v>
      </c>
      <c r="C3901" t="s">
        <v>40</v>
      </c>
      <c r="D3901">
        <v>4.5024150000000001</v>
      </c>
      <c r="E3901">
        <v>0.47147660000000002</v>
      </c>
      <c r="F3901" t="s">
        <v>46</v>
      </c>
      <c r="G3901">
        <v>-420.18099999999998</v>
      </c>
      <c r="H3901" s="1">
        <v>-1.9477899999999999E-6</v>
      </c>
      <c r="I3901">
        <v>94.017200000000003</v>
      </c>
      <c r="J3901">
        <v>-421.3802</v>
      </c>
      <c r="K3901">
        <v>1.1150679999999999</v>
      </c>
      <c r="L3901">
        <v>121.1074</v>
      </c>
      <c r="M3901">
        <v>-0.1501325</v>
      </c>
      <c r="N3901">
        <v>-1.4409720000000001E-2</v>
      </c>
      <c r="O3901">
        <v>-0.98856100000000002</v>
      </c>
      <c r="P3901">
        <v>-3.4795050000000001E-2</v>
      </c>
      <c r="Q3901">
        <v>0.16844879999999901</v>
      </c>
      <c r="R3901">
        <v>-0.98509639999999998</v>
      </c>
      <c r="S3901">
        <v>0.12997439999999999</v>
      </c>
      <c r="T3901">
        <v>-0.12502730000000001</v>
      </c>
      <c r="U3901">
        <v>-3.0731809999999999</v>
      </c>
      <c r="V3901">
        <v>-0.115505</v>
      </c>
      <c r="W3901">
        <v>0.18128430000000001</v>
      </c>
      <c r="X3901">
        <v>0.97662409999999999</v>
      </c>
      <c r="Y3901">
        <v>-0.19169929999999999</v>
      </c>
      <c r="Z3901">
        <v>2.511534E-2</v>
      </c>
      <c r="AA3901">
        <v>0.98113229999999996</v>
      </c>
      <c r="AB3901">
        <v>23</v>
      </c>
      <c r="AC3901">
        <v>1.19920000000001</v>
      </c>
      <c r="AD3901">
        <v>-1.1150699477899999</v>
      </c>
      <c r="AE3901">
        <v>-27.090199999999999</v>
      </c>
      <c r="AF3901">
        <v>-5.2442787447734904</v>
      </c>
      <c r="AG3901">
        <v>-1.1150699477899999</v>
      </c>
      <c r="AH3901">
        <v>26.558126598610102</v>
      </c>
      <c r="AI3901">
        <v>92.358716504881002</v>
      </c>
      <c r="AJ3901">
        <v>101.17016106379199</v>
      </c>
      <c r="AK3901">
        <v>27.093909444174901</v>
      </c>
      <c r="AL3901">
        <v>79.555424601972106</v>
      </c>
      <c r="AM3901">
        <v>96.745019670966698</v>
      </c>
      <c r="AN3901">
        <v>1.0000000175761401</v>
      </c>
    </row>
    <row r="3902" spans="1:40" x14ac:dyDescent="0.25">
      <c r="A3902" t="str">
        <f>"20190304155451318"</f>
        <v>20190304155451318</v>
      </c>
      <c r="B3902" t="str">
        <f>"1551686091311269"</f>
        <v>1551686091311269</v>
      </c>
      <c r="C3902" t="s">
        <v>40</v>
      </c>
      <c r="D3902">
        <v>4.5135940000000003</v>
      </c>
      <c r="E3902">
        <v>0.47242430000000002</v>
      </c>
      <c r="F3902" t="s">
        <v>46</v>
      </c>
      <c r="G3902">
        <v>-420.5324</v>
      </c>
      <c r="H3902" s="1">
        <v>-3.5308869999999998E-6</v>
      </c>
      <c r="I3902">
        <v>97.48948</v>
      </c>
      <c r="J3902">
        <v>-421.40589999999997</v>
      </c>
      <c r="K3902">
        <v>1.1148070000000001</v>
      </c>
      <c r="L3902">
        <v>120.8817</v>
      </c>
      <c r="M3902">
        <v>-0.14298129999999901</v>
      </c>
      <c r="N3902">
        <v>-1.4356499999999999E-2</v>
      </c>
      <c r="O3902">
        <v>-0.98962150000000004</v>
      </c>
      <c r="P3902">
        <v>-2.9826700000000001E-2</v>
      </c>
      <c r="Q3902">
        <v>0.1683124</v>
      </c>
      <c r="R3902">
        <v>-0.98528249999999995</v>
      </c>
      <c r="S3902">
        <v>0.11035159999999999</v>
      </c>
      <c r="T3902">
        <v>-0.145137299999999</v>
      </c>
      <c r="U3902">
        <v>-3.0740970000000001</v>
      </c>
      <c r="V3902">
        <v>-0.1132513</v>
      </c>
      <c r="W3902">
        <v>0.18119479999999999</v>
      </c>
      <c r="X3902">
        <v>0.97690460000000001</v>
      </c>
      <c r="Y3902">
        <v>-0.17831089999999999</v>
      </c>
      <c r="Z3902">
        <v>3.165809E-2</v>
      </c>
      <c r="AA3902">
        <v>0.98346480000000003</v>
      </c>
      <c r="AB3902">
        <v>23</v>
      </c>
      <c r="AC3902">
        <v>0.87349999999997796</v>
      </c>
      <c r="AD3902">
        <v>-1.11481053088699</v>
      </c>
      <c r="AE3902">
        <v>-23.392219999999899</v>
      </c>
      <c r="AF3902">
        <v>-4.19999141641064</v>
      </c>
      <c r="AG3902">
        <v>-1.11481053088699</v>
      </c>
      <c r="AH3902">
        <v>22.974809174055402</v>
      </c>
      <c r="AI3902">
        <v>92.732776206993407</v>
      </c>
      <c r="AJ3902">
        <v>100.35976466469501</v>
      </c>
      <c r="AK3902">
        <v>23.382142481003701</v>
      </c>
      <c r="AL3902">
        <v>79.560638795961907</v>
      </c>
      <c r="AM3902">
        <v>96.612708056358699</v>
      </c>
      <c r="AN3902">
        <v>1.00000000499994</v>
      </c>
    </row>
    <row r="3903" spans="1:40" x14ac:dyDescent="0.25">
      <c r="A3903" t="str">
        <f>"20190304155451340"</f>
        <v>20190304155451340</v>
      </c>
      <c r="B3903" t="str">
        <f>"1551686091330789"</f>
        <v>1551686091330789</v>
      </c>
      <c r="C3903" t="s">
        <v>40</v>
      </c>
      <c r="D3903">
        <v>4.4958200000000001</v>
      </c>
      <c r="E3903">
        <v>0.47359050000000003</v>
      </c>
      <c r="F3903" t="s">
        <v>46</v>
      </c>
      <c r="G3903">
        <v>-420.49579999999997</v>
      </c>
      <c r="H3903" s="1">
        <v>-3.2950689999999998E-6</v>
      </c>
      <c r="I3903">
        <v>96.962469999999996</v>
      </c>
      <c r="J3903">
        <v>-421.4298</v>
      </c>
      <c r="K3903">
        <v>1.1145579999999999</v>
      </c>
      <c r="L3903">
        <v>120.6604</v>
      </c>
      <c r="M3903">
        <v>-0.136374</v>
      </c>
      <c r="N3903">
        <v>-1.4306259999999999E-2</v>
      </c>
      <c r="O3903">
        <v>-0.9905543</v>
      </c>
      <c r="P3903">
        <v>-2.5718399999999999E-2</v>
      </c>
      <c r="Q3903">
        <v>0.1674892</v>
      </c>
      <c r="R3903">
        <v>-0.98553849999999998</v>
      </c>
      <c r="S3903">
        <v>0.1169128</v>
      </c>
      <c r="T3903">
        <v>-0.14321610000000001</v>
      </c>
      <c r="U3903">
        <v>-3.0728300000000002</v>
      </c>
      <c r="V3903">
        <v>-0.1107012</v>
      </c>
      <c r="W3903">
        <v>0.18041960000000001</v>
      </c>
      <c r="X3903">
        <v>0.97734030000000005</v>
      </c>
      <c r="Y3903">
        <v>-0.17385809999999999</v>
      </c>
      <c r="Z3903">
        <v>3.120011E-2</v>
      </c>
      <c r="AA3903">
        <v>0.98427640000000005</v>
      </c>
      <c r="AB3903">
        <v>23</v>
      </c>
      <c r="AC3903">
        <v>0.93400000000002603</v>
      </c>
      <c r="AD3903">
        <v>-1.114561295069</v>
      </c>
      <c r="AE3903">
        <v>-23.697929999999999</v>
      </c>
      <c r="AF3903">
        <v>-4.1482222652796503</v>
      </c>
      <c r="AG3903">
        <v>-1.114561295069</v>
      </c>
      <c r="AH3903">
        <v>23.297643812045099</v>
      </c>
      <c r="AI3903">
        <v>92.696599295737201</v>
      </c>
      <c r="AJ3903">
        <v>100.09589964985599</v>
      </c>
      <c r="AK3903">
        <v>23.690297635014101</v>
      </c>
      <c r="AL3903">
        <v>79.605798995872902</v>
      </c>
      <c r="AM3903">
        <v>96.4622257364652</v>
      </c>
      <c r="AN3903">
        <v>1.00000002487484</v>
      </c>
    </row>
    <row r="3904" spans="1:40" x14ac:dyDescent="0.25">
      <c r="A3904" t="str">
        <f>"20190304155451362"</f>
        <v>20190304155451362</v>
      </c>
      <c r="B3904" t="str">
        <f>"1551686091351286"</f>
        <v>1551686091351286</v>
      </c>
      <c r="C3904" t="s">
        <v>40</v>
      </c>
      <c r="D3904">
        <v>4.5656600000000003</v>
      </c>
      <c r="E3904">
        <v>0.47418840000000001</v>
      </c>
      <c r="F3904" t="s">
        <v>46</v>
      </c>
      <c r="G3904">
        <v>-420.51549999999997</v>
      </c>
      <c r="H3904" s="1">
        <v>-3.3943529999999998E-6</v>
      </c>
      <c r="I3904">
        <v>97.181690000000003</v>
      </c>
      <c r="J3904">
        <v>-421.45310000000001</v>
      </c>
      <c r="K3904">
        <v>1.1142970000000001</v>
      </c>
      <c r="L3904">
        <v>120.4365</v>
      </c>
      <c r="M3904">
        <v>-0.13014609999999999</v>
      </c>
      <c r="N3904">
        <v>-1.425449E-2</v>
      </c>
      <c r="O3904">
        <v>-0.99139239999999995</v>
      </c>
      <c r="P3904">
        <v>-2.1897630000000001E-2</v>
      </c>
      <c r="Q3904">
        <v>0.16799029999999901</v>
      </c>
      <c r="R3904">
        <v>-0.98554540000000002</v>
      </c>
      <c r="S3904">
        <v>0.1196289</v>
      </c>
      <c r="T3904">
        <v>-0.1458285</v>
      </c>
      <c r="U3904">
        <v>-3.0719449999999999</v>
      </c>
      <c r="V3904">
        <v>-0.1082193</v>
      </c>
      <c r="W3904">
        <v>0.18096499999999999</v>
      </c>
      <c r="X3904">
        <v>0.97751739999999998</v>
      </c>
      <c r="Y3904">
        <v>-0.1685469</v>
      </c>
      <c r="Z3904">
        <v>3.2176049999999998E-2</v>
      </c>
      <c r="AA3904">
        <v>0.9851683</v>
      </c>
      <c r="AB3904">
        <v>23</v>
      </c>
      <c r="AC3904">
        <v>0.93760000000003096</v>
      </c>
      <c r="AD3904">
        <v>-1.1143003943530001</v>
      </c>
      <c r="AE3904">
        <v>-23.2548099999999</v>
      </c>
      <c r="AF3904">
        <v>-3.9474054624339399</v>
      </c>
      <c r="AG3904">
        <v>-1.1143003943530001</v>
      </c>
      <c r="AH3904">
        <v>22.882492305253301</v>
      </c>
      <c r="AI3904">
        <v>92.747392942437898</v>
      </c>
      <c r="AJ3904">
        <v>99.787630499491996</v>
      </c>
      <c r="AK3904">
        <v>23.247196161122002</v>
      </c>
      <c r="AL3904">
        <v>79.574026718095794</v>
      </c>
      <c r="AM3904">
        <v>96.317393422036403</v>
      </c>
      <c r="AN3904">
        <v>1.0000000077101201</v>
      </c>
    </row>
    <row r="3905" spans="1:40" x14ac:dyDescent="0.25">
      <c r="A3905" t="str">
        <f>"20190304155451384"</f>
        <v>20190304155451384</v>
      </c>
      <c r="B3905" t="str">
        <f>"1551686091381542"</f>
        <v>1551686091381542</v>
      </c>
      <c r="C3905" t="s">
        <v>40</v>
      </c>
      <c r="D3905">
        <v>4.5303769999999997</v>
      </c>
      <c r="E3905">
        <v>0.47528989999999999</v>
      </c>
      <c r="F3905" t="s">
        <v>46</v>
      </c>
      <c r="G3905">
        <v>-420.47370000000001</v>
      </c>
      <c r="H3905" s="1">
        <v>-3.233132E-6</v>
      </c>
      <c r="I3905">
        <v>96.831829999999997</v>
      </c>
      <c r="J3905">
        <v>-421.47489999999999</v>
      </c>
      <c r="K3905">
        <v>1.1140190000000001</v>
      </c>
      <c r="L3905">
        <v>120.21639999999999</v>
      </c>
      <c r="M3905">
        <v>-0.1244609</v>
      </c>
      <c r="N3905">
        <v>-1.4202680000000001E-2</v>
      </c>
      <c r="O3905">
        <v>-0.99212279999999997</v>
      </c>
      <c r="P3905">
        <v>-1.7634190000000001E-2</v>
      </c>
      <c r="Q3905">
        <v>0.17010939999999999</v>
      </c>
      <c r="R3905">
        <v>-0.98526780000000003</v>
      </c>
      <c r="S3905">
        <v>0.12744140000000001</v>
      </c>
      <c r="T3905">
        <v>-0.14499699999999999</v>
      </c>
      <c r="U3905">
        <v>-3.0715330000000001</v>
      </c>
      <c r="V3905">
        <v>-0.1066877</v>
      </c>
      <c r="W3905">
        <v>0.18311620000000001</v>
      </c>
      <c r="X3905">
        <v>0.97728510000000002</v>
      </c>
      <c r="Y3905">
        <v>-0.16540489999999999</v>
      </c>
      <c r="Z3905">
        <v>3.2030830000000003E-2</v>
      </c>
      <c r="AA3905">
        <v>0.98570539999999995</v>
      </c>
      <c r="AB3905">
        <v>23</v>
      </c>
      <c r="AC3905">
        <v>1.0011999999999801</v>
      </c>
      <c r="AD3905">
        <v>-1.114022233132</v>
      </c>
      <c r="AE3905">
        <v>-23.384569999999901</v>
      </c>
      <c r="AF3905">
        <v>-3.8953477025216601</v>
      </c>
      <c r="AG3905">
        <v>-1.114022233132</v>
      </c>
      <c r="AH3905">
        <v>23.025922337663999</v>
      </c>
      <c r="AI3905">
        <v>92.731134099982697</v>
      </c>
      <c r="AJ3905">
        <v>99.601946050529904</v>
      </c>
      <c r="AK3905">
        <v>23.3796466773898</v>
      </c>
      <c r="AL3905">
        <v>79.448677336556898</v>
      </c>
      <c r="AM3905">
        <v>96.230161631368702</v>
      </c>
      <c r="AN3905">
        <v>0.99999998735786999</v>
      </c>
    </row>
    <row r="3906" spans="1:40" x14ac:dyDescent="0.25">
      <c r="A3906" t="str">
        <f>"20190304155451407"</f>
        <v>20190304155451407</v>
      </c>
      <c r="B3906" t="str">
        <f>"1551686091401061"</f>
        <v>1551686091401061</v>
      </c>
      <c r="C3906" t="s">
        <v>40</v>
      </c>
      <c r="D3906">
        <v>4.5302179999999996</v>
      </c>
      <c r="E3906">
        <v>0.47564070000000003</v>
      </c>
      <c r="F3906" t="s">
        <v>46</v>
      </c>
      <c r="G3906">
        <v>-420.42660000000001</v>
      </c>
      <c r="H3906" s="1">
        <v>-2.719302E-6</v>
      </c>
      <c r="I3906">
        <v>95.663290000000003</v>
      </c>
      <c r="J3906">
        <v>-421.49680000000001</v>
      </c>
      <c r="K3906">
        <v>1.1137539999999999</v>
      </c>
      <c r="L3906">
        <v>119.986</v>
      </c>
      <c r="M3906">
        <v>-0.11886339999999999</v>
      </c>
      <c r="N3906">
        <v>-1.415221E-2</v>
      </c>
      <c r="O3906">
        <v>-0.99280999999999997</v>
      </c>
      <c r="P3906">
        <v>-1.278584E-2</v>
      </c>
      <c r="Q3906">
        <v>0.1716164</v>
      </c>
      <c r="R3906">
        <v>-0.98508130000000005</v>
      </c>
      <c r="S3906">
        <v>0.131134</v>
      </c>
      <c r="T3906">
        <v>-0.13934969999999999</v>
      </c>
      <c r="U3906">
        <v>-3.0712739999999998</v>
      </c>
      <c r="V3906">
        <v>-0.1058403</v>
      </c>
      <c r="W3906">
        <v>0.1846489</v>
      </c>
      <c r="X3906">
        <v>0.97708890000000004</v>
      </c>
      <c r="Y3906">
        <v>-0.16103419999999999</v>
      </c>
      <c r="Z3906">
        <v>3.0348770000000001E-2</v>
      </c>
      <c r="AA3906">
        <v>0.98648210000000003</v>
      </c>
      <c r="AB3906">
        <v>23</v>
      </c>
      <c r="AC3906">
        <v>1.07019999999999</v>
      </c>
      <c r="AD3906">
        <v>-1.1137567193019999</v>
      </c>
      <c r="AE3906">
        <v>-24.322710000000001</v>
      </c>
      <c r="AF3906">
        <v>-3.9457228838531</v>
      </c>
      <c r="AG3906">
        <v>-1.1137567193019999</v>
      </c>
      <c r="AH3906">
        <v>23.9728529558834</v>
      </c>
      <c r="AI3906">
        <v>92.624732124088396</v>
      </c>
      <c r="AJ3906">
        <v>99.346587095017796</v>
      </c>
      <c r="AK3906">
        <v>24.320914085419499</v>
      </c>
      <c r="AL3906">
        <v>79.359337362285501</v>
      </c>
      <c r="AM3906">
        <v>96.182292760464307</v>
      </c>
      <c r="AN3906">
        <v>1.00000005193925</v>
      </c>
    </row>
    <row r="3907" spans="1:40" x14ac:dyDescent="0.25">
      <c r="A3907" t="str">
        <f>"20190304155451431"</f>
        <v>20190304155451431</v>
      </c>
      <c r="B3907" t="str">
        <f>"1551686091421557"</f>
        <v>1551686091421557</v>
      </c>
      <c r="C3907" t="s">
        <v>40</v>
      </c>
      <c r="D3907">
        <v>4.5019390000000001</v>
      </c>
      <c r="E3907">
        <v>0.4820603</v>
      </c>
      <c r="F3907" t="s">
        <v>46</v>
      </c>
      <c r="G3907">
        <v>-420.35359999999997</v>
      </c>
      <c r="H3907" s="1">
        <v>-2.4898100000000001E-6</v>
      </c>
      <c r="I3907">
        <v>95.173609999999996</v>
      </c>
      <c r="J3907">
        <v>-421.51850000000002</v>
      </c>
      <c r="K3907">
        <v>1.113502</v>
      </c>
      <c r="L3907">
        <v>119.75109999999999</v>
      </c>
      <c r="M3907">
        <v>-0.113525399999999</v>
      </c>
      <c r="N3907">
        <v>-1.410601E-2</v>
      </c>
      <c r="O3907">
        <v>-0.99343499999999996</v>
      </c>
      <c r="P3907">
        <v>-8.8574769999999903E-3</v>
      </c>
      <c r="Q3907">
        <v>0.170590299999999</v>
      </c>
      <c r="R3907">
        <v>-0.98530220000000002</v>
      </c>
      <c r="S3907">
        <v>0.14151</v>
      </c>
      <c r="T3907">
        <v>-0.13786129999999999</v>
      </c>
      <c r="U3907">
        <v>-3.0712890000000002</v>
      </c>
      <c r="V3907">
        <v>-0.10437929999999999</v>
      </c>
      <c r="W3907">
        <v>0.18365709999999999</v>
      </c>
      <c r="X3907">
        <v>0.97743290000000005</v>
      </c>
      <c r="Y3907">
        <v>-0.15905729999999901</v>
      </c>
      <c r="Z3907">
        <v>2.996474E-2</v>
      </c>
      <c r="AA3907">
        <v>0.98681450000000004</v>
      </c>
      <c r="AB3907">
        <v>23</v>
      </c>
      <c r="AC3907">
        <v>1.16490000000004</v>
      </c>
      <c r="AD3907">
        <v>-1.1135044898099999</v>
      </c>
      <c r="AE3907">
        <v>-24.577490000000001</v>
      </c>
      <c r="AF3907">
        <v>-3.93974573251618</v>
      </c>
      <c r="AG3907">
        <v>-1.1135044898099999</v>
      </c>
      <c r="AH3907">
        <v>24.2366710379426</v>
      </c>
      <c r="AI3907">
        <v>92.596455656319193</v>
      </c>
      <c r="AJ3907">
        <v>99.232849711873499</v>
      </c>
      <c r="AK3907">
        <v>24.580026681986102</v>
      </c>
      <c r="AL3907">
        <v>79.417151759425593</v>
      </c>
      <c r="AM3907">
        <v>96.095471033868293</v>
      </c>
      <c r="AN3907">
        <v>1.0000000213256499</v>
      </c>
    </row>
    <row r="3908" spans="1:40" x14ac:dyDescent="0.25">
      <c r="A3908" t="str">
        <f>"20190304155451453"</f>
        <v>20190304155451453</v>
      </c>
      <c r="B3908" t="str">
        <f>"1551686091441077"</f>
        <v>1551686091441077</v>
      </c>
      <c r="C3908" t="s">
        <v>40</v>
      </c>
      <c r="D3908">
        <v>4.4759520000000004</v>
      </c>
      <c r="E3908">
        <v>0.4824097</v>
      </c>
      <c r="F3908" t="s">
        <v>46</v>
      </c>
      <c r="G3908">
        <v>-420.69189999999998</v>
      </c>
      <c r="H3908" s="1">
        <v>-2.3843830000000002E-6</v>
      </c>
      <c r="I3908">
        <v>94.718050000000005</v>
      </c>
      <c r="J3908">
        <v>-421.53789999999998</v>
      </c>
      <c r="K3908">
        <v>1.1132799999999901</v>
      </c>
      <c r="L3908">
        <v>119.5311</v>
      </c>
      <c r="M3908">
        <v>-0.10890180000000001</v>
      </c>
      <c r="N3908">
        <v>-1.4065370000000001E-2</v>
      </c>
      <c r="O3908">
        <v>-0.99395310000000003</v>
      </c>
      <c r="P3908">
        <v>-6.5605269999999896E-3</v>
      </c>
      <c r="Q3908">
        <v>0.1694042</v>
      </c>
      <c r="R3908">
        <v>-0.98552490000000004</v>
      </c>
      <c r="S3908">
        <v>0.10134890000000001</v>
      </c>
      <c r="T3908">
        <v>-0.1365267</v>
      </c>
      <c r="U3908">
        <v>-3.0693049999999999</v>
      </c>
      <c r="V3908">
        <v>-0.1020176</v>
      </c>
      <c r="W3908">
        <v>0.18250959999999999</v>
      </c>
      <c r="X3908">
        <v>0.97789700000000002</v>
      </c>
      <c r="Y3908">
        <v>-0.1415855</v>
      </c>
      <c r="Z3908">
        <v>2.9723800000000002E-2</v>
      </c>
      <c r="AA3908">
        <v>0.98947969999999996</v>
      </c>
      <c r="AB3908">
        <v>23</v>
      </c>
      <c r="AC3908">
        <v>0.84600000000000297</v>
      </c>
      <c r="AD3908">
        <v>-1.11328238438299</v>
      </c>
      <c r="AE3908">
        <v>-24.813049999999901</v>
      </c>
      <c r="AF3908">
        <v>-3.5363098624429101</v>
      </c>
      <c r="AG3908">
        <v>-1.11328238438299</v>
      </c>
      <c r="AH3908">
        <v>24.523995181806399</v>
      </c>
      <c r="AI3908">
        <v>92.572621538975795</v>
      </c>
      <c r="AJ3908">
        <v>98.205374391838802</v>
      </c>
      <c r="AK3908">
        <v>24.802645519941098</v>
      </c>
      <c r="AL3908">
        <v>79.484028244343904</v>
      </c>
      <c r="AM3908">
        <v>95.955750157915304</v>
      </c>
      <c r="AN3908">
        <v>0.99999994370545797</v>
      </c>
    </row>
    <row r="3909" spans="1:40" x14ac:dyDescent="0.25">
      <c r="A3909" t="str">
        <f>"20190304155451475"</f>
        <v>20190304155451475</v>
      </c>
      <c r="B3909" t="str">
        <f>"1551686091471333"</f>
        <v>1551686091471333</v>
      </c>
      <c r="C3909" t="s">
        <v>40</v>
      </c>
      <c r="D3909">
        <v>4.4286029999999998</v>
      </c>
      <c r="E3909">
        <v>0.48672300000000002</v>
      </c>
      <c r="F3909" t="s">
        <v>46</v>
      </c>
      <c r="G3909">
        <v>-420.70229999999998</v>
      </c>
      <c r="H3909" s="1">
        <v>-2.553354E-6</v>
      </c>
      <c r="I3909">
        <v>95.105440000000002</v>
      </c>
      <c r="J3909">
        <v>-421.55619999999999</v>
      </c>
      <c r="K3909">
        <v>1.1130599999999999</v>
      </c>
      <c r="L3909">
        <v>119.31780000000001</v>
      </c>
      <c r="M3909">
        <v>-0.10478990000000001</v>
      </c>
      <c r="N3909">
        <v>-1.402657E-2</v>
      </c>
      <c r="O3909">
        <v>-0.99439569999999999</v>
      </c>
      <c r="P3909">
        <v>-4.5170119999999999E-3</v>
      </c>
      <c r="Q3909">
        <v>0.17040520000000001</v>
      </c>
      <c r="R3909">
        <v>-0.98536409999999997</v>
      </c>
      <c r="S3909">
        <v>0.1049805</v>
      </c>
      <c r="T3909">
        <v>-0.13987089999999999</v>
      </c>
      <c r="U3909">
        <v>-3.0688019999999998</v>
      </c>
      <c r="V3909">
        <v>-9.9885109999999999E-2</v>
      </c>
      <c r="W3909">
        <v>0.18354000000000001</v>
      </c>
      <c r="X3909">
        <v>0.97792429999999997</v>
      </c>
      <c r="Y3909">
        <v>-0.1386646</v>
      </c>
      <c r="Z3909">
        <v>3.088018E-2</v>
      </c>
      <c r="AA3909">
        <v>0.98985789999999996</v>
      </c>
      <c r="AB3909">
        <v>23</v>
      </c>
      <c r="AC3909">
        <v>0.85390000000000998</v>
      </c>
      <c r="AD3909">
        <v>-1.113062553354</v>
      </c>
      <c r="AE3909">
        <v>-24.21236</v>
      </c>
      <c r="AF3909">
        <v>-3.3795244963711499</v>
      </c>
      <c r="AG3909">
        <v>-1.113062553354</v>
      </c>
      <c r="AH3909">
        <v>23.939012981078601</v>
      </c>
      <c r="AI3909">
        <v>92.635993294304697</v>
      </c>
      <c r="AJ3909">
        <v>98.035474015422494</v>
      </c>
      <c r="AK3909">
        <v>24.201992409252199</v>
      </c>
      <c r="AL3909">
        <v>79.423976371999899</v>
      </c>
      <c r="AM3909">
        <v>95.831961694723205</v>
      </c>
      <c r="AN3909">
        <v>0.99999995166509903</v>
      </c>
    </row>
    <row r="3910" spans="1:40" x14ac:dyDescent="0.25">
      <c r="A3910" t="str">
        <f>"20190304155451496"</f>
        <v>20190304155451496</v>
      </c>
      <c r="B3910" t="str">
        <f>"1551686091490853"</f>
        <v>1551686091490853</v>
      </c>
      <c r="C3910" t="s">
        <v>40</v>
      </c>
      <c r="D3910">
        <v>4.4544389999999998</v>
      </c>
      <c r="E3910">
        <v>0.49579010000000001</v>
      </c>
      <c r="F3910" t="s">
        <v>46</v>
      </c>
      <c r="G3910">
        <v>-420.86090000000002</v>
      </c>
      <c r="H3910" s="1">
        <v>-1.2604850000000001E-6</v>
      </c>
      <c r="I3910">
        <v>91.993380000000002</v>
      </c>
      <c r="J3910">
        <v>-421.57420000000002</v>
      </c>
      <c r="K3910">
        <v>1.112827</v>
      </c>
      <c r="L3910">
        <v>119.1019</v>
      </c>
      <c r="M3910">
        <v>-0.1009898</v>
      </c>
      <c r="N3910">
        <v>-1.39883E-2</v>
      </c>
      <c r="O3910">
        <v>-0.99478920000000004</v>
      </c>
      <c r="P3910">
        <v>-3.011882E-3</v>
      </c>
      <c r="Q3910">
        <v>0.1709232</v>
      </c>
      <c r="R3910">
        <v>-0.98527980000000004</v>
      </c>
      <c r="S3910">
        <v>7.8033450000000004E-2</v>
      </c>
      <c r="T3910">
        <v>-0.1249149</v>
      </c>
      <c r="U3910">
        <v>-3.0665279999999999</v>
      </c>
      <c r="V3910">
        <v>-9.7523899999999997E-2</v>
      </c>
      <c r="W3910">
        <v>0.1840926</v>
      </c>
      <c r="X3910">
        <v>0.97805880000000001</v>
      </c>
      <c r="Y3910">
        <v>-0.126218</v>
      </c>
      <c r="Z3910">
        <v>2.6221029999999999E-2</v>
      </c>
      <c r="AA3910">
        <v>0.99165590000000003</v>
      </c>
      <c r="AB3910">
        <v>23</v>
      </c>
      <c r="AC3910">
        <v>0.71330000000000304</v>
      </c>
      <c r="AD3910">
        <v>-1.1128282604849999</v>
      </c>
      <c r="AE3910">
        <v>-27.108519999999999</v>
      </c>
      <c r="AF3910">
        <v>-3.4418081511035599</v>
      </c>
      <c r="AG3910">
        <v>-1.1128282604849999</v>
      </c>
      <c r="AH3910">
        <v>26.852636350966399</v>
      </c>
      <c r="AI3910">
        <v>92.353861961028997</v>
      </c>
      <c r="AJ3910">
        <v>97.304001366582796</v>
      </c>
      <c r="AK3910">
        <v>27.095175014817201</v>
      </c>
      <c r="AL3910">
        <v>79.391766461942296</v>
      </c>
      <c r="AM3910">
        <v>95.694237518498895</v>
      </c>
      <c r="AN3910">
        <v>1.0000000063517001</v>
      </c>
    </row>
    <row r="3911" spans="1:40" x14ac:dyDescent="0.25">
      <c r="A3911" t="str">
        <f>"20190304155451519"</f>
        <v>20190304155451519</v>
      </c>
      <c r="B3911" t="str">
        <f>"1551686091511349"</f>
        <v>1551686091511349</v>
      </c>
      <c r="C3911" t="s">
        <v>40</v>
      </c>
      <c r="D3911">
        <v>4.4677610000000003</v>
      </c>
      <c r="E3911">
        <v>0.49634020000000001</v>
      </c>
      <c r="F3911" t="s">
        <v>46</v>
      </c>
      <c r="G3911">
        <v>-421.46030000000002</v>
      </c>
      <c r="H3911" s="1">
        <v>-2.5639889999999998E-6</v>
      </c>
      <c r="I3911">
        <v>84.660129999999995</v>
      </c>
      <c r="J3911">
        <v>-421.59280000000001</v>
      </c>
      <c r="K3911">
        <v>1.1125640000000001</v>
      </c>
      <c r="L3911">
        <v>118.8742</v>
      </c>
      <c r="M3911">
        <v>-9.7358130000000001E-2</v>
      </c>
      <c r="N3911">
        <v>-1.395064E-2</v>
      </c>
      <c r="O3911">
        <v>-0.99515180000000003</v>
      </c>
      <c r="P3911">
        <v>-8.2955769999999999E-4</v>
      </c>
      <c r="Q3911">
        <v>0.1705816</v>
      </c>
      <c r="R3911">
        <v>-0.98534339999999998</v>
      </c>
      <c r="S3911">
        <v>1.013184E-2</v>
      </c>
      <c r="T3911">
        <v>-9.8935129999999996E-2</v>
      </c>
      <c r="U3911">
        <v>-3.0620120000000002</v>
      </c>
      <c r="V3911">
        <v>-9.6004329999999999E-2</v>
      </c>
      <c r="W3911">
        <v>0.18378549999999999</v>
      </c>
      <c r="X3911">
        <v>0.97826679999999999</v>
      </c>
      <c r="Y3911">
        <v>-0.10062699999999999</v>
      </c>
      <c r="Z3911">
        <v>1.803273E-2</v>
      </c>
      <c r="AA3911">
        <v>0.9947608</v>
      </c>
      <c r="AB3911">
        <v>23</v>
      </c>
      <c r="AC3911">
        <v>0.13249999999999301</v>
      </c>
      <c r="AD3911">
        <v>-1.1125665639889999</v>
      </c>
      <c r="AE3911">
        <v>-34.2140699999999</v>
      </c>
      <c r="AF3911">
        <v>-3.45955383304974</v>
      </c>
      <c r="AG3911">
        <v>-1.1125665639889999</v>
      </c>
      <c r="AH3911">
        <v>34.002646099637801</v>
      </c>
      <c r="AI3911">
        <v>91.864430892453498</v>
      </c>
      <c r="AJ3911">
        <v>95.809491454550297</v>
      </c>
      <c r="AK3911">
        <v>34.1962901329996</v>
      </c>
      <c r="AL3911">
        <v>79.409666682023399</v>
      </c>
      <c r="AM3911">
        <v>95.604897916656498</v>
      </c>
      <c r="AN3911">
        <v>0.99999993668561704</v>
      </c>
    </row>
    <row r="3912" spans="1:40" x14ac:dyDescent="0.25">
      <c r="A3912" t="str">
        <f>"20190304155451542"</f>
        <v>20190304155451542</v>
      </c>
      <c r="B3912" t="str">
        <f>"1551686091530871"</f>
        <v>1551686091530871</v>
      </c>
      <c r="C3912" t="s">
        <v>40</v>
      </c>
      <c r="D3912">
        <v>4.4000260000000004</v>
      </c>
      <c r="E3912">
        <v>0.50069169999999996</v>
      </c>
      <c r="F3912" t="s">
        <v>46</v>
      </c>
      <c r="G3912">
        <v>-421.47800000000001</v>
      </c>
      <c r="H3912" s="1">
        <v>-3.6349510000000001E-6</v>
      </c>
      <c r="I3912">
        <v>87.14555</v>
      </c>
      <c r="J3912">
        <v>-421.61079999999998</v>
      </c>
      <c r="K3912">
        <v>1.112317</v>
      </c>
      <c r="L3912">
        <v>118.64919999999999</v>
      </c>
      <c r="M3912">
        <v>-9.4146999999999995E-2</v>
      </c>
      <c r="N3912">
        <v>-1.39168E-2</v>
      </c>
      <c r="O3912">
        <v>-0.99546109999999999</v>
      </c>
      <c r="P3912">
        <v>5.6480899999999999E-4</v>
      </c>
      <c r="Q3912">
        <v>0.17053219999999999</v>
      </c>
      <c r="R3912">
        <v>-0.98535189999999995</v>
      </c>
      <c r="S3912">
        <v>1.107788E-2</v>
      </c>
      <c r="T3912">
        <v>-0.1074126</v>
      </c>
      <c r="U3912">
        <v>-3.0632320000000002</v>
      </c>
      <c r="V3912">
        <v>-9.4112840000000003E-2</v>
      </c>
      <c r="W3912">
        <v>0.18377289999999999</v>
      </c>
      <c r="X3912">
        <v>0.97845300000000002</v>
      </c>
      <c r="Y3912">
        <v>-9.7721539999999996E-2</v>
      </c>
      <c r="Z3912">
        <v>2.0812110000000002E-2</v>
      </c>
      <c r="AA3912">
        <v>0.99499610000000005</v>
      </c>
      <c r="AB3912">
        <v>23</v>
      </c>
      <c r="AC3912">
        <v>0.13279999999997399</v>
      </c>
      <c r="AD3912">
        <v>-1.112320634951</v>
      </c>
      <c r="AE3912">
        <v>-31.50365</v>
      </c>
      <c r="AF3912">
        <v>-3.0946134500711202</v>
      </c>
      <c r="AG3912">
        <v>-1.112320634951</v>
      </c>
      <c r="AH3912">
        <v>31.312155336529401</v>
      </c>
      <c r="AI3912">
        <v>92.024641502033901</v>
      </c>
      <c r="AJ3912">
        <v>95.644273189498406</v>
      </c>
      <c r="AK3912">
        <v>31.4843605845703</v>
      </c>
      <c r="AL3912">
        <v>79.410401681930097</v>
      </c>
      <c r="AM3912">
        <v>95.494112806103701</v>
      </c>
      <c r="AN3912">
        <v>0.99999998931813705</v>
      </c>
    </row>
    <row r="3913" spans="1:40" x14ac:dyDescent="0.25">
      <c r="A3913" t="str">
        <f>"20190304155451574"</f>
        <v>20190304155451574</v>
      </c>
      <c r="B3913" t="str">
        <f>"1551686091570887"</f>
        <v>1551686091570887</v>
      </c>
      <c r="C3913" t="s">
        <v>40</v>
      </c>
      <c r="D3913">
        <v>4.3639330000000003</v>
      </c>
      <c r="E3913">
        <v>0.50797300000000001</v>
      </c>
      <c r="F3913" t="s">
        <v>46</v>
      </c>
      <c r="G3913">
        <v>-421.85230000000001</v>
      </c>
      <c r="H3913" s="1">
        <v>-6.2800359999999999E-7</v>
      </c>
      <c r="I3913">
        <v>79.904129999999995</v>
      </c>
      <c r="J3913">
        <v>-421.63650000000001</v>
      </c>
      <c r="K3913">
        <v>1.112004</v>
      </c>
      <c r="L3913">
        <v>118.3215</v>
      </c>
      <c r="M3913">
        <v>-9.0151850000000006E-2</v>
      </c>
      <c r="N3913">
        <v>-1.387302E-2</v>
      </c>
      <c r="O3913">
        <v>-0.99583149999999998</v>
      </c>
      <c r="P3913">
        <v>1.989312E-3</v>
      </c>
      <c r="Q3913">
        <v>0.17294509999999999</v>
      </c>
      <c r="R3913">
        <v>-0.98492959999999996</v>
      </c>
      <c r="S3913">
        <v>-1.9073489999999999E-2</v>
      </c>
      <c r="T3913">
        <v>-8.7843180000000007E-2</v>
      </c>
      <c r="U3913">
        <v>-3.0598139999999998</v>
      </c>
      <c r="V3913">
        <v>-9.1418550000000001E-2</v>
      </c>
      <c r="W3913">
        <v>0.18622369999999999</v>
      </c>
      <c r="X3913">
        <v>0.97824509999999998</v>
      </c>
      <c r="Y3913">
        <v>-8.3926520000000004E-2</v>
      </c>
      <c r="Z3913">
        <v>1.4604519999999999E-2</v>
      </c>
      <c r="AA3913">
        <v>0.9963649</v>
      </c>
      <c r="AB3913">
        <v>22</v>
      </c>
      <c r="AC3913">
        <v>-0.21580000000000099</v>
      </c>
      <c r="AD3913">
        <v>-1.1120046280036</v>
      </c>
      <c r="AE3913">
        <v>-38.417369999999899</v>
      </c>
      <c r="AF3913">
        <v>-3.2460892773812602</v>
      </c>
      <c r="AG3913">
        <v>-1.1120046280036</v>
      </c>
      <c r="AH3913">
        <v>38.248317449134802</v>
      </c>
      <c r="AI3913">
        <v>91.659346194815697</v>
      </c>
      <c r="AJ3913">
        <v>94.8510002565571</v>
      </c>
      <c r="AK3913">
        <v>38.401919712160499</v>
      </c>
      <c r="AL3913">
        <v>79.2675153727414</v>
      </c>
      <c r="AM3913">
        <v>95.338875321771397</v>
      </c>
      <c r="AN3913">
        <v>1.0000000466998999</v>
      </c>
    </row>
    <row r="3914" spans="1:40" x14ac:dyDescent="0.25">
      <c r="A3914" t="str">
        <f>"20190304155451599"</f>
        <v>20190304155451599</v>
      </c>
      <c r="B3914" t="str">
        <f>"1551686091591383"</f>
        <v>1551686091591383</v>
      </c>
      <c r="C3914" t="s">
        <v>40</v>
      </c>
      <c r="D3914">
        <v>4.392328</v>
      </c>
      <c r="E3914">
        <v>0.51064589999999999</v>
      </c>
      <c r="F3914" t="s">
        <v>46</v>
      </c>
      <c r="G3914">
        <v>-423.01650000000001</v>
      </c>
      <c r="H3914" s="1">
        <v>-4.5655639999999998E-6</v>
      </c>
      <c r="I3914">
        <v>58.830539999999999</v>
      </c>
      <c r="J3914">
        <v>-421.65469999999999</v>
      </c>
      <c r="K3914">
        <v>1.111842</v>
      </c>
      <c r="L3914">
        <v>118.08629999999999</v>
      </c>
      <c r="M3914">
        <v>-8.7636729999999996E-2</v>
      </c>
      <c r="N3914">
        <v>-1.384498E-2</v>
      </c>
      <c r="O3914">
        <v>-0.99605659999999896</v>
      </c>
      <c r="P3914">
        <v>2.9121960000000001E-3</v>
      </c>
      <c r="Q3914">
        <v>0.17313029999999999</v>
      </c>
      <c r="R3914">
        <v>-0.98489499999999996</v>
      </c>
      <c r="S3914">
        <v>-7.0892330000000003E-2</v>
      </c>
      <c r="T3914">
        <v>-5.7124380000000002E-2</v>
      </c>
      <c r="U3914">
        <v>-3.056076</v>
      </c>
      <c r="V3914">
        <v>-8.9778559999999993E-2</v>
      </c>
      <c r="W3914">
        <v>0.18642649999999999</v>
      </c>
      <c r="X3914">
        <v>0.97835830000000001</v>
      </c>
      <c r="Y3914">
        <v>-6.4505549999999995E-2</v>
      </c>
      <c r="Z3914">
        <v>4.7287609999999997E-3</v>
      </c>
      <c r="AA3914">
        <v>0.99790610000000002</v>
      </c>
      <c r="AB3914">
        <v>22</v>
      </c>
      <c r="AC3914">
        <v>-1.3618000000000099</v>
      </c>
      <c r="AD3914">
        <v>-1.111846565564</v>
      </c>
      <c r="AE3914">
        <v>-59.255760000000002</v>
      </c>
      <c r="AF3914">
        <v>-3.8355680331015898</v>
      </c>
      <c r="AG3914">
        <v>-1.111846565564</v>
      </c>
      <c r="AH3914">
        <v>59.126279344277002</v>
      </c>
      <c r="AI3914">
        <v>91.075038669551503</v>
      </c>
      <c r="AJ3914">
        <v>93.711621467651199</v>
      </c>
      <c r="AK3914">
        <v>59.260987960203501</v>
      </c>
      <c r="AL3914">
        <v>79.255688135684807</v>
      </c>
      <c r="AM3914">
        <v>95.2430347329</v>
      </c>
      <c r="AN3914">
        <v>0.99999999645840598</v>
      </c>
    </row>
    <row r="3915" spans="1:40" x14ac:dyDescent="0.25">
      <c r="A3915" t="str">
        <f>"20190304155451620"</f>
        <v>20190304155451620</v>
      </c>
      <c r="B3915" t="str">
        <f>"1551686091610901"</f>
        <v>1551686091610901</v>
      </c>
      <c r="C3915" t="s">
        <v>40</v>
      </c>
      <c r="D3915">
        <v>4.4929550000000003</v>
      </c>
      <c r="E3915">
        <v>0.51168159999999996</v>
      </c>
      <c r="F3915" t="s">
        <v>46</v>
      </c>
      <c r="G3915">
        <v>-423.72289999999998</v>
      </c>
      <c r="H3915" s="1">
        <v>-3.9076819999999998E-6</v>
      </c>
      <c r="I3915">
        <v>46.529139999999998</v>
      </c>
      <c r="J3915">
        <v>-421.67110000000002</v>
      </c>
      <c r="K3915">
        <v>1.111712</v>
      </c>
      <c r="L3915">
        <v>117.8706</v>
      </c>
      <c r="M3915">
        <v>-8.5618130000000001E-2</v>
      </c>
      <c r="N3915">
        <v>-1.382151E-2</v>
      </c>
      <c r="O3915">
        <v>-0.99623220000000001</v>
      </c>
      <c r="P3915">
        <v>2.8800840000000002E-3</v>
      </c>
      <c r="Q3915">
        <v>0.17286879999999999</v>
      </c>
      <c r="R3915">
        <v>-0.98494060000000005</v>
      </c>
      <c r="S3915">
        <v>-8.8287350000000001E-2</v>
      </c>
      <c r="T3915">
        <v>-4.7462339999999999E-2</v>
      </c>
      <c r="U3915">
        <v>-3.0546259999999998</v>
      </c>
      <c r="V3915">
        <v>-8.7698100000000001E-2</v>
      </c>
      <c r="W3915">
        <v>0.1861815</v>
      </c>
      <c r="X3915">
        <v>0.97859359999999995</v>
      </c>
      <c r="Y3915">
        <v>-5.6794400000000002E-2</v>
      </c>
      <c r="Z3915">
        <v>1.6304689999999901E-3</v>
      </c>
      <c r="AA3915">
        <v>0.99838450000000001</v>
      </c>
      <c r="AB3915">
        <v>22</v>
      </c>
      <c r="AC3915">
        <v>-2.0517999999999499</v>
      </c>
      <c r="AD3915">
        <v>-1.111715907682</v>
      </c>
      <c r="AE3915">
        <v>-71.341459999999898</v>
      </c>
      <c r="AF3915">
        <v>-4.0634553020846296</v>
      </c>
      <c r="AG3915">
        <v>-1.111715907682</v>
      </c>
      <c r="AH3915">
        <v>71.237849518203205</v>
      </c>
      <c r="AI3915">
        <v>90.892616976209595</v>
      </c>
      <c r="AJ3915">
        <v>93.264652563057496</v>
      </c>
      <c r="AK3915">
        <v>71.362306473583104</v>
      </c>
      <c r="AL3915">
        <v>79.269975468828207</v>
      </c>
      <c r="AM3915">
        <v>95.120965494582194</v>
      </c>
      <c r="AN3915">
        <v>0.99999997082340897</v>
      </c>
    </row>
    <row r="3916" spans="1:40" x14ac:dyDescent="0.25">
      <c r="A3916" t="str">
        <f>"20190304155451645"</f>
        <v>20190304155451645</v>
      </c>
      <c r="B3916" t="str">
        <f>"1551686091641157"</f>
        <v>1551686091641157</v>
      </c>
      <c r="C3916" t="s">
        <v>40</v>
      </c>
      <c r="D3916">
        <v>4.4656379999999896</v>
      </c>
      <c r="E3916">
        <v>0.51115859999999902</v>
      </c>
      <c r="F3916" t="s">
        <v>46</v>
      </c>
      <c r="G3916">
        <v>-424.06259999999997</v>
      </c>
      <c r="H3916" s="1">
        <v>-2.2743789999999998E-6</v>
      </c>
      <c r="I3916">
        <v>42.371000000000002</v>
      </c>
      <c r="J3916">
        <v>-421.68869999999998</v>
      </c>
      <c r="K3916">
        <v>1.111559</v>
      </c>
      <c r="L3916">
        <v>117.6367</v>
      </c>
      <c r="M3916">
        <v>-8.3754209999999996E-2</v>
      </c>
      <c r="N3916">
        <v>-1.3798299999999999E-2</v>
      </c>
      <c r="O3916">
        <v>-0.99639120000000003</v>
      </c>
      <c r="P3916">
        <v>2.4897610000000001E-3</v>
      </c>
      <c r="Q3916">
        <v>0.17372670000000001</v>
      </c>
      <c r="R3916">
        <v>-0.98479119999999998</v>
      </c>
      <c r="S3916">
        <v>-9.6740720000000002E-2</v>
      </c>
      <c r="T3916">
        <v>-4.4969919999999997E-2</v>
      </c>
      <c r="U3916">
        <v>-3.0540310000000002</v>
      </c>
      <c r="V3916">
        <v>-8.5389930000000003E-2</v>
      </c>
      <c r="W3916">
        <v>0.18705620000000001</v>
      </c>
      <c r="X3916">
        <v>0.97863100000000003</v>
      </c>
      <c r="Y3916">
        <v>-5.2160640000000001E-2</v>
      </c>
      <c r="Z3916">
        <v>8.5203500000000001E-4</v>
      </c>
      <c r="AA3916">
        <v>0.99863829999999998</v>
      </c>
      <c r="AB3916">
        <v>22</v>
      </c>
      <c r="AC3916">
        <v>-2.3738999999999901</v>
      </c>
      <c r="AD3916">
        <v>-1.111561274379</v>
      </c>
      <c r="AE3916">
        <v>-75.265699999999995</v>
      </c>
      <c r="AF3916">
        <v>-3.9380019487989499</v>
      </c>
      <c r="AG3916">
        <v>-1.111561274379</v>
      </c>
      <c r="AH3916">
        <v>75.183660517720199</v>
      </c>
      <c r="AI3916">
        <v>90.845874810566301</v>
      </c>
      <c r="AJ3916">
        <v>92.998322898755404</v>
      </c>
      <c r="AK3916">
        <v>75.294928359480195</v>
      </c>
      <c r="AL3916">
        <v>79.218963517811005</v>
      </c>
      <c r="AM3916">
        <v>94.986683400615107</v>
      </c>
      <c r="AN3916">
        <v>1.00000004813242</v>
      </c>
    </row>
    <row r="3917" spans="1:40" x14ac:dyDescent="0.25">
      <c r="A3917" t="str">
        <f>"20190304155451667"</f>
        <v>20190304155451667</v>
      </c>
      <c r="B3917" t="str">
        <f>"1551686091661654"</f>
        <v>1551686091661654</v>
      </c>
      <c r="C3917" t="s">
        <v>40</v>
      </c>
      <c r="D3917">
        <v>4.3296320000000001</v>
      </c>
      <c r="E3917">
        <v>0.51210489999999997</v>
      </c>
      <c r="F3917" t="s">
        <v>46</v>
      </c>
      <c r="G3917">
        <v>-423.92110000000002</v>
      </c>
      <c r="H3917" s="1">
        <v>-3.4304120000000001E-6</v>
      </c>
      <c r="I3917">
        <v>45.153530000000003</v>
      </c>
      <c r="J3917">
        <v>-421.70569999999998</v>
      </c>
      <c r="K3917">
        <v>1.1113930000000001</v>
      </c>
      <c r="L3917">
        <v>117.4092</v>
      </c>
      <c r="M3917">
        <v>-8.2210270000000002E-2</v>
      </c>
      <c r="N3917">
        <v>-1.377805E-2</v>
      </c>
      <c r="O3917">
        <v>-0.99651999999999996</v>
      </c>
      <c r="P3917">
        <v>2.1897190000000001E-3</v>
      </c>
      <c r="Q3917">
        <v>0.17478840000000001</v>
      </c>
      <c r="R3917">
        <v>-0.98460389999999998</v>
      </c>
      <c r="S3917">
        <v>-9.408569E-2</v>
      </c>
      <c r="T3917">
        <v>-4.6847109999999997E-2</v>
      </c>
      <c r="U3917">
        <v>-3.0548250000000001</v>
      </c>
      <c r="V3917">
        <v>-8.3481860000000005E-2</v>
      </c>
      <c r="W3917">
        <v>0.18813569999999999</v>
      </c>
      <c r="X3917">
        <v>0.97858860000000003</v>
      </c>
      <c r="Y3917">
        <v>-5.1488539999999999E-2</v>
      </c>
      <c r="Z3917">
        <v>1.481603E-3</v>
      </c>
      <c r="AA3917">
        <v>0.99867249999999996</v>
      </c>
      <c r="AB3917">
        <v>22</v>
      </c>
      <c r="AC3917">
        <v>-2.2154000000000398</v>
      </c>
      <c r="AD3917">
        <v>-1.1113964304119901</v>
      </c>
      <c r="AE3917">
        <v>-72.255669999999995</v>
      </c>
      <c r="AF3917">
        <v>-3.7319390683974398</v>
      </c>
      <c r="AG3917">
        <v>-1.1113964304119901</v>
      </c>
      <c r="AH3917">
        <v>72.176124491780897</v>
      </c>
      <c r="AI3917">
        <v>90.881016556673202</v>
      </c>
      <c r="AJ3917">
        <v>92.959899976442003</v>
      </c>
      <c r="AK3917">
        <v>72.281086861562997</v>
      </c>
      <c r="AL3917">
        <v>79.155993775740598</v>
      </c>
      <c r="AM3917">
        <v>94.876007606279302</v>
      </c>
      <c r="AN3917">
        <v>0.99999995530675301</v>
      </c>
    </row>
    <row r="3918" spans="1:40" x14ac:dyDescent="0.25">
      <c r="A3918" t="str">
        <f>"20190304155451687"</f>
        <v>20190304155451687</v>
      </c>
      <c r="B3918" t="str">
        <f>"1551686091681173"</f>
        <v>1551686091681173</v>
      </c>
      <c r="C3918" t="s">
        <v>40</v>
      </c>
      <c r="D3918">
        <v>4.4524839999999903</v>
      </c>
      <c r="E3918">
        <v>0.51249809999999996</v>
      </c>
      <c r="F3918" t="s">
        <v>74</v>
      </c>
      <c r="G3918">
        <v>-424.45139999999998</v>
      </c>
      <c r="H3918" s="1">
        <v>-3.0723510000000001E-6</v>
      </c>
      <c r="I3918">
        <v>35.764629999999997</v>
      </c>
      <c r="J3918">
        <v>-421.72039999999998</v>
      </c>
      <c r="K3918">
        <v>1.1112550000000001</v>
      </c>
      <c r="L3918">
        <v>117.2119</v>
      </c>
      <c r="M3918">
        <v>-8.1021789999999996E-2</v>
      </c>
      <c r="N3918">
        <v>-1.3762460000000001E-2</v>
      </c>
      <c r="O3918">
        <v>-0.99661730000000004</v>
      </c>
      <c r="P3918">
        <v>1.3057979999999999E-3</v>
      </c>
      <c r="Q3918">
        <v>0.1756915</v>
      </c>
      <c r="R3918">
        <v>-0.98444469999999995</v>
      </c>
      <c r="S3918">
        <v>-0.1027222</v>
      </c>
      <c r="T3918">
        <v>-4.1580199999999998E-2</v>
      </c>
      <c r="U3918">
        <v>-3.054535</v>
      </c>
      <c r="V3918">
        <v>-8.1359319999999999E-2</v>
      </c>
      <c r="W3918">
        <v>0.1890531</v>
      </c>
      <c r="X3918">
        <v>0.97859059999999998</v>
      </c>
      <c r="Y3918">
        <v>-4.7474849999999999E-2</v>
      </c>
      <c r="Z3918">
        <v>-2.109615E-4</v>
      </c>
      <c r="AA3918">
        <v>0.99887239999999999</v>
      </c>
      <c r="AB3918">
        <v>22</v>
      </c>
      <c r="AC3918">
        <v>-2.7309999999999901</v>
      </c>
      <c r="AD3918">
        <v>-1.1112580723509999</v>
      </c>
      <c r="AE3918">
        <v>-81.447269999999904</v>
      </c>
      <c r="AF3918">
        <v>-3.8768881437448699</v>
      </c>
      <c r="AG3918">
        <v>-1.1112580723509999</v>
      </c>
      <c r="AH3918">
        <v>81.385605542199301</v>
      </c>
      <c r="AI3918">
        <v>90.781395390473193</v>
      </c>
      <c r="AJ3918">
        <v>92.727282510477195</v>
      </c>
      <c r="AK3918">
        <v>81.485470764136394</v>
      </c>
      <c r="AL3918">
        <v>79.102470505544105</v>
      </c>
      <c r="AM3918">
        <v>94.752599877590498</v>
      </c>
      <c r="AN3918">
        <v>0.99999998798941603</v>
      </c>
    </row>
    <row r="3919" spans="1:40" x14ac:dyDescent="0.25">
      <c r="A3919" t="str">
        <f>"20190304155451709"</f>
        <v>20190304155451709</v>
      </c>
      <c r="B3919" t="str">
        <f>"1551686091701669"</f>
        <v>1551686091701669</v>
      </c>
      <c r="C3919" t="s">
        <v>40</v>
      </c>
      <c r="D3919">
        <v>4.4362349999999999</v>
      </c>
      <c r="E3919">
        <v>0.51290690000000005</v>
      </c>
      <c r="F3919" t="s">
        <v>74</v>
      </c>
      <c r="G3919">
        <v>-424.85199999999998</v>
      </c>
      <c r="H3919" s="1">
        <v>-6.1705219999999998E-6</v>
      </c>
      <c r="I3919">
        <v>29.218039999999998</v>
      </c>
      <c r="J3919">
        <v>-421.73680000000002</v>
      </c>
      <c r="K3919">
        <v>1.111137</v>
      </c>
      <c r="L3919">
        <v>116.99299999999999</v>
      </c>
      <c r="M3919">
        <v>-7.9874219999999996E-2</v>
      </c>
      <c r="N3919">
        <v>-1.374709E-2</v>
      </c>
      <c r="O3919">
        <v>-0.99671030000000005</v>
      </c>
      <c r="P3919">
        <v>5.7406679999999998E-4</v>
      </c>
      <c r="Q3919">
        <v>0.1754097</v>
      </c>
      <c r="R3919">
        <v>-0.98449580000000003</v>
      </c>
      <c r="S3919">
        <v>-0.1087036</v>
      </c>
      <c r="T3919">
        <v>-3.85741E-2</v>
      </c>
      <c r="U3919">
        <v>-3.054443</v>
      </c>
      <c r="V3919">
        <v>-7.9447340000000005E-2</v>
      </c>
      <c r="W3919">
        <v>0.1887857</v>
      </c>
      <c r="X3919">
        <v>0.97879930000000004</v>
      </c>
      <c r="Y3919">
        <v>-4.4370689999999997E-2</v>
      </c>
      <c r="Z3919">
        <v>-1.1704829999999999E-3</v>
      </c>
      <c r="AA3919">
        <v>0.99901439999999997</v>
      </c>
      <c r="AB3919">
        <v>22</v>
      </c>
      <c r="AC3919">
        <v>-3.11519999999995</v>
      </c>
      <c r="AD3919">
        <v>-1.1111431705220001</v>
      </c>
      <c r="AE3919">
        <v>-87.774959999999993</v>
      </c>
      <c r="AF3919">
        <v>-3.9057479872075902</v>
      </c>
      <c r="AG3919">
        <v>-1.1111431705220001</v>
      </c>
      <c r="AH3919">
        <v>87.729268326435999</v>
      </c>
      <c r="AI3919">
        <v>90.724928202289703</v>
      </c>
      <c r="AJ3919">
        <v>92.549151544315706</v>
      </c>
      <c r="AK3919">
        <v>87.823197548123801</v>
      </c>
      <c r="AL3919">
        <v>79.118072423286407</v>
      </c>
      <c r="AM3919">
        <v>94.640420166060295</v>
      </c>
      <c r="AN3919">
        <v>0.99999999501902703</v>
      </c>
    </row>
    <row r="3920" spans="1:40" x14ac:dyDescent="0.25">
      <c r="A3920" t="str">
        <f>"20190304155451731"</f>
        <v>20190304155451731</v>
      </c>
      <c r="B3920" t="str">
        <f>"1551686091721190"</f>
        <v>1551686091721190</v>
      </c>
      <c r="C3920" t="s">
        <v>40</v>
      </c>
      <c r="D3920">
        <v>4.4531080000000003</v>
      </c>
      <c r="E3920">
        <v>0.51318940000000002</v>
      </c>
      <c r="F3920" t="s">
        <v>74</v>
      </c>
      <c r="G3920">
        <v>-425.00799999999998</v>
      </c>
      <c r="H3920" s="1">
        <v>-5.75649E-6</v>
      </c>
      <c r="I3920">
        <v>30.12829</v>
      </c>
      <c r="J3920">
        <v>-421.7534</v>
      </c>
      <c r="K3920">
        <v>1.111029</v>
      </c>
      <c r="L3920">
        <v>116.7693</v>
      </c>
      <c r="M3920">
        <v>-7.8900960000000006E-2</v>
      </c>
      <c r="N3920">
        <v>-1.3732909999999999E-2</v>
      </c>
      <c r="O3920">
        <v>-0.9967878</v>
      </c>
      <c r="P3920">
        <v>1.8019250000000001E-4</v>
      </c>
      <c r="Q3920">
        <v>0.17427879999999901</v>
      </c>
      <c r="R3920">
        <v>-0.98469629999999997</v>
      </c>
      <c r="S3920">
        <v>-0.11502080000000001</v>
      </c>
      <c r="T3920">
        <v>-3.9069060000000003E-2</v>
      </c>
      <c r="U3920">
        <v>-3.0542600000000002</v>
      </c>
      <c r="V3920">
        <v>-7.806225E-2</v>
      </c>
      <c r="W3920">
        <v>0.18766740000000001</v>
      </c>
      <c r="X3920">
        <v>0.97912569999999999</v>
      </c>
      <c r="Y3920">
        <v>-4.1329890000000001E-2</v>
      </c>
      <c r="Z3920">
        <v>-9.9173410000000001E-4</v>
      </c>
      <c r="AA3920">
        <v>0.99914510000000001</v>
      </c>
      <c r="AB3920">
        <v>22</v>
      </c>
      <c r="AC3920">
        <v>-3.2546000000000301</v>
      </c>
      <c r="AD3920">
        <v>-1.1110347564899901</v>
      </c>
      <c r="AE3920">
        <v>-86.641009999999994</v>
      </c>
      <c r="AF3920">
        <v>-3.5916624900568199</v>
      </c>
      <c r="AG3920">
        <v>-1.1110347564899901</v>
      </c>
      <c r="AH3920">
        <v>86.613444724480502</v>
      </c>
      <c r="AI3920">
        <v>90.734290836970104</v>
      </c>
      <c r="AJ3920">
        <v>92.374565162027906</v>
      </c>
      <c r="AK3920">
        <v>86.695001267162198</v>
      </c>
      <c r="AL3920">
        <v>79.183311951826894</v>
      </c>
      <c r="AM3920">
        <v>94.558349299559495</v>
      </c>
      <c r="AN3920">
        <v>0.99999995214915505</v>
      </c>
    </row>
    <row r="3921" spans="1:40" x14ac:dyDescent="0.25">
      <c r="A3921" t="str">
        <f>"20190304155451754"</f>
        <v>20190304155451754</v>
      </c>
      <c r="B3921" t="str">
        <f>"1551686091741686"</f>
        <v>1551686091741686</v>
      </c>
      <c r="C3921" t="s">
        <v>40</v>
      </c>
      <c r="D3921">
        <v>4.4353879999999997</v>
      </c>
      <c r="E3921">
        <v>0.51344179999999995</v>
      </c>
      <c r="F3921" t="s">
        <v>74</v>
      </c>
      <c r="G3921">
        <v>-424.83150000000001</v>
      </c>
      <c r="H3921" s="1">
        <v>-2.0434289999999999E-6</v>
      </c>
      <c r="I3921">
        <v>37.657359999999997</v>
      </c>
      <c r="J3921">
        <v>-421.7697</v>
      </c>
      <c r="K3921">
        <v>1.1109329999999999</v>
      </c>
      <c r="L3921">
        <v>116.5506</v>
      </c>
      <c r="M3921">
        <v>-7.8139920000000002E-2</v>
      </c>
      <c r="N3921">
        <v>-1.372044E-2</v>
      </c>
      <c r="O3921">
        <v>-0.99684819999999996</v>
      </c>
      <c r="P3921">
        <v>-6.9622740000000003E-4</v>
      </c>
      <c r="Q3921">
        <v>0.17292070000000001</v>
      </c>
      <c r="R3921">
        <v>-0.98493629999999999</v>
      </c>
      <c r="S3921">
        <v>-0.11883539999999999</v>
      </c>
      <c r="T3921">
        <v>-4.2892930000000003E-2</v>
      </c>
      <c r="U3921">
        <v>-3.05423</v>
      </c>
      <c r="V3921">
        <v>-7.6414830000000003E-2</v>
      </c>
      <c r="W3921">
        <v>0.18632070000000001</v>
      </c>
      <c r="X3921">
        <v>0.97951279999999996</v>
      </c>
      <c r="Y3921">
        <v>-3.9320510000000003E-2</v>
      </c>
      <c r="Z3921">
        <v>2.6776669999999998E-4</v>
      </c>
      <c r="AA3921">
        <v>0.99922659999999996</v>
      </c>
      <c r="AB3921">
        <v>22</v>
      </c>
      <c r="AC3921">
        <v>-3.0617999999999999</v>
      </c>
      <c r="AD3921">
        <v>-1.110935043429</v>
      </c>
      <c r="AE3921">
        <v>-78.893240000000006</v>
      </c>
      <c r="AF3921">
        <v>-3.1122377905759002</v>
      </c>
      <c r="AG3921">
        <v>-1.110935043429</v>
      </c>
      <c r="AH3921">
        <v>78.875625464416899</v>
      </c>
      <c r="AI3921">
        <v>90.806309912232706</v>
      </c>
      <c r="AJ3921">
        <v>92.259578096133794</v>
      </c>
      <c r="AK3921">
        <v>78.944819292584199</v>
      </c>
      <c r="AL3921">
        <v>79.261857927274903</v>
      </c>
      <c r="AM3921">
        <v>94.460786501959902</v>
      </c>
      <c r="AN3921">
        <v>0.99999997742812896</v>
      </c>
    </row>
    <row r="3922" spans="1:40" x14ac:dyDescent="0.25">
      <c r="A3922" t="str">
        <f>"20190304155451776"</f>
        <v>20190304155451776</v>
      </c>
      <c r="B3922" t="str">
        <f>"1551686091770966"</f>
        <v>1551686091770966</v>
      </c>
      <c r="C3922" t="s">
        <v>40</v>
      </c>
      <c r="D3922">
        <v>4.4059929999999996</v>
      </c>
      <c r="E3922">
        <v>0.51381309999999902</v>
      </c>
      <c r="F3922" t="s">
        <v>46</v>
      </c>
      <c r="G3922">
        <v>-424.64449999999999</v>
      </c>
      <c r="H3922" s="1">
        <v>-3.7243929999999999E-6</v>
      </c>
      <c r="I3922">
        <v>45.510120000000001</v>
      </c>
      <c r="J3922">
        <v>-421.78609999999998</v>
      </c>
      <c r="K3922">
        <v>1.110838</v>
      </c>
      <c r="L3922">
        <v>116.3306</v>
      </c>
      <c r="M3922">
        <v>-7.7545409999999995E-2</v>
      </c>
      <c r="N3922">
        <v>-1.3709249999999999E-2</v>
      </c>
      <c r="O3922">
        <v>-0.99689470000000002</v>
      </c>
      <c r="P3922">
        <v>-5.1464890000000002E-4</v>
      </c>
      <c r="Q3922">
        <v>0.1722224</v>
      </c>
      <c r="R3922">
        <v>-0.98505830000000005</v>
      </c>
      <c r="S3922">
        <v>-0.1235962</v>
      </c>
      <c r="T3922">
        <v>-4.7761560000000002E-2</v>
      </c>
      <c r="U3922">
        <v>-3.0541839999999998</v>
      </c>
      <c r="V3922">
        <v>-7.5977950000000002E-2</v>
      </c>
      <c r="W3922">
        <v>0.18563060000000001</v>
      </c>
      <c r="X3922">
        <v>0.97967789999999999</v>
      </c>
      <c r="Y3922">
        <v>-3.7168909999999999E-2</v>
      </c>
      <c r="Z3922">
        <v>1.8662780000000001E-3</v>
      </c>
      <c r="AA3922">
        <v>0.99930730000000001</v>
      </c>
      <c r="AB3922">
        <v>22</v>
      </c>
      <c r="AC3922">
        <v>-2.8584000000000098</v>
      </c>
      <c r="AD3922">
        <v>-1.110841724393</v>
      </c>
      <c r="AE3922">
        <v>-70.820480000000003</v>
      </c>
      <c r="AF3922">
        <v>-2.6418783939886801</v>
      </c>
      <c r="AG3922">
        <v>-1.110841724393</v>
      </c>
      <c r="AH3922">
        <v>70.811470023343801</v>
      </c>
      <c r="AI3922">
        <v>90.898118390957094</v>
      </c>
      <c r="AJ3922">
        <v>92.136635617061998</v>
      </c>
      <c r="AK3922">
        <v>70.869441776073003</v>
      </c>
      <c r="AL3922">
        <v>79.302100882047398</v>
      </c>
      <c r="AM3922">
        <v>94.434640793194305</v>
      </c>
      <c r="AN3922">
        <v>1.0000000781454801</v>
      </c>
    </row>
    <row r="3923" spans="1:40" x14ac:dyDescent="0.25">
      <c r="A3923" t="str">
        <f>"20190304155451798"</f>
        <v>20190304155451798</v>
      </c>
      <c r="B3923" t="str">
        <f>"1551686091791461"</f>
        <v>1551686091791461</v>
      </c>
      <c r="C3923" t="s">
        <v>40</v>
      </c>
      <c r="D3923">
        <v>4.4081539999999997</v>
      </c>
      <c r="E3923">
        <v>0.51403949999999998</v>
      </c>
      <c r="F3923" t="s">
        <v>46</v>
      </c>
      <c r="G3923">
        <v>-424.57339999999999</v>
      </c>
      <c r="H3923" s="1">
        <v>-4.8487660000000004E-6</v>
      </c>
      <c r="I3923">
        <v>48.851230000000001</v>
      </c>
      <c r="J3923">
        <v>-421.80239999999998</v>
      </c>
      <c r="K3923">
        <v>1.110741</v>
      </c>
      <c r="L3923">
        <v>116.11190000000001</v>
      </c>
      <c r="M3923">
        <v>-7.7105569999999998E-2</v>
      </c>
      <c r="N3923">
        <v>-1.3699370000000001E-2</v>
      </c>
      <c r="O3923">
        <v>-0.99692899999999995</v>
      </c>
      <c r="P3923">
        <v>3.3914029999999998E-4</v>
      </c>
      <c r="Q3923">
        <v>0.17146649999999999</v>
      </c>
      <c r="R3923">
        <v>-0.98519020000000002</v>
      </c>
      <c r="S3923">
        <v>-0.12615970000000001</v>
      </c>
      <c r="T3923">
        <v>-5.0278660000000003E-2</v>
      </c>
      <c r="U3923">
        <v>-3.05423</v>
      </c>
      <c r="V3923">
        <v>-7.6364470000000004E-2</v>
      </c>
      <c r="W3923">
        <v>0.1848832</v>
      </c>
      <c r="X3923">
        <v>0.97978909999999997</v>
      </c>
      <c r="Y3923">
        <v>-3.5891369999999999E-2</v>
      </c>
      <c r="Z3923">
        <v>2.6967620000000001E-3</v>
      </c>
      <c r="AA3923">
        <v>0.99935200000000002</v>
      </c>
      <c r="AB3923">
        <v>22</v>
      </c>
      <c r="AC3923">
        <v>-2.7710000000000101</v>
      </c>
      <c r="AD3923">
        <v>-1.110745848766</v>
      </c>
      <c r="AE3923">
        <v>-67.260669999999905</v>
      </c>
      <c r="AF3923">
        <v>-2.4232493160472099</v>
      </c>
      <c r="AG3923">
        <v>-1.110745848766</v>
      </c>
      <c r="AH3923">
        <v>67.255762037397304</v>
      </c>
      <c r="AI3923">
        <v>90.945554768768801</v>
      </c>
      <c r="AJ3923">
        <v>92.063494935352693</v>
      </c>
      <c r="AK3923">
        <v>67.308568702798098</v>
      </c>
      <c r="AL3923">
        <v>79.345677274596298</v>
      </c>
      <c r="AM3923">
        <v>94.456606495260701</v>
      </c>
      <c r="AN3923">
        <v>1.00000000519971</v>
      </c>
    </row>
    <row r="3924" spans="1:40" x14ac:dyDescent="0.25">
      <c r="A3924" t="str">
        <f>"20190304155451822"</f>
        <v>20190304155451822</v>
      </c>
      <c r="B3924" t="str">
        <f>"1551686091810982"</f>
        <v>1551686091810982</v>
      </c>
      <c r="C3924" t="s">
        <v>40</v>
      </c>
      <c r="D3924">
        <v>4.3810019999999996</v>
      </c>
      <c r="E3924">
        <v>0.51422489999999998</v>
      </c>
      <c r="F3924" t="s">
        <v>46</v>
      </c>
      <c r="G3924">
        <v>-424.46370000000002</v>
      </c>
      <c r="H3924" s="1">
        <v>-1.9653460000000001E-6</v>
      </c>
      <c r="I3924">
        <v>51.401870000000002</v>
      </c>
      <c r="J3924">
        <v>-421.81959999999998</v>
      </c>
      <c r="K3924">
        <v>1.110641</v>
      </c>
      <c r="L3924">
        <v>115.8835</v>
      </c>
      <c r="M3924">
        <v>-7.6792570000000004E-2</v>
      </c>
      <c r="N3924">
        <v>-1.3690290000000001E-2</v>
      </c>
      <c r="O3924">
        <v>-0.99695319999999998</v>
      </c>
      <c r="P3924">
        <v>6.563761E-4</v>
      </c>
      <c r="Q3924">
        <v>0.17039119999999999</v>
      </c>
      <c r="R3924">
        <v>-0.98537649999999999</v>
      </c>
      <c r="S3924">
        <v>-0.12561040000000001</v>
      </c>
      <c r="T3924">
        <v>-5.2426460000000001E-2</v>
      </c>
      <c r="U3924">
        <v>-3.0542760000000002</v>
      </c>
      <c r="V3924">
        <v>-7.6344480000000006E-2</v>
      </c>
      <c r="W3924">
        <v>0.1838188</v>
      </c>
      <c r="X3924">
        <v>0.9799909</v>
      </c>
      <c r="Y3924">
        <v>-3.5757599999999903E-2</v>
      </c>
      <c r="Z3924">
        <v>3.4054609999999998E-3</v>
      </c>
      <c r="AA3924">
        <v>0.99935469999999904</v>
      </c>
      <c r="AB3924">
        <v>22</v>
      </c>
      <c r="AC3924">
        <v>-2.6441000000000301</v>
      </c>
      <c r="AD3924">
        <v>-1.1106429653459999</v>
      </c>
      <c r="AE3924">
        <v>-64.481629999999996</v>
      </c>
      <c r="AF3924">
        <v>-2.31519722543799</v>
      </c>
      <c r="AG3924">
        <v>-1.1106429653459999</v>
      </c>
      <c r="AH3924">
        <v>64.475156254685601</v>
      </c>
      <c r="AI3924">
        <v>90.986238590935599</v>
      </c>
      <c r="AJ3924">
        <v>92.056513976147599</v>
      </c>
      <c r="AK3924">
        <v>64.526269379650898</v>
      </c>
      <c r="AL3924">
        <v>79.407726315113095</v>
      </c>
      <c r="AM3924">
        <v>94.454530809609693</v>
      </c>
      <c r="AN3924">
        <v>0.99999999747136004</v>
      </c>
    </row>
    <row r="3925" spans="1:40" x14ac:dyDescent="0.25">
      <c r="A3925" t="str">
        <f>"20190304155451845"</f>
        <v>20190304155451845</v>
      </c>
      <c r="B3925" t="str">
        <f>"1551686091841238"</f>
        <v>1551686091841238</v>
      </c>
      <c r="C3925" t="s">
        <v>40</v>
      </c>
      <c r="D3925">
        <v>4.3535149999999998</v>
      </c>
      <c r="E3925">
        <v>0.51424320000000001</v>
      </c>
      <c r="F3925" t="s">
        <v>46</v>
      </c>
      <c r="G3925">
        <v>-424.3329</v>
      </c>
      <c r="H3925" s="1">
        <v>-3.4837659999999999E-6</v>
      </c>
      <c r="I3925">
        <v>55.022469999999998</v>
      </c>
      <c r="J3925">
        <v>-421.83690000000001</v>
      </c>
      <c r="K3925">
        <v>1.110552</v>
      </c>
      <c r="L3925">
        <v>115.6551</v>
      </c>
      <c r="M3925">
        <v>-7.6638150000000002E-2</v>
      </c>
      <c r="N3925">
        <v>-1.3673569999999999E-2</v>
      </c>
      <c r="O3925">
        <v>-0.9969652</v>
      </c>
      <c r="P3925">
        <v>1.3670360000000001E-3</v>
      </c>
      <c r="Q3925">
        <v>0.16907539999999999</v>
      </c>
      <c r="R3925">
        <v>-0.98560230000000004</v>
      </c>
      <c r="S3925">
        <v>-0.1261292</v>
      </c>
      <c r="T3925">
        <v>-5.573678E-2</v>
      </c>
      <c r="U3925">
        <v>-3.0542600000000002</v>
      </c>
      <c r="V3925">
        <v>-7.6880889999999993E-2</v>
      </c>
      <c r="W3925">
        <v>0.18250540000000001</v>
      </c>
      <c r="X3925">
        <v>0.98019440000000002</v>
      </c>
      <c r="Y3925">
        <v>-3.543313E-2</v>
      </c>
      <c r="Z3925">
        <v>4.5005540000000004E-3</v>
      </c>
      <c r="AA3925">
        <v>0.99936190000000003</v>
      </c>
      <c r="AB3925">
        <v>22</v>
      </c>
      <c r="AC3925">
        <v>-2.49599999999998</v>
      </c>
      <c r="AD3925">
        <v>-1.1105554837660001</v>
      </c>
      <c r="AE3925">
        <v>-60.632629999999999</v>
      </c>
      <c r="AF3925">
        <v>-2.1578265853410401</v>
      </c>
      <c r="AG3925">
        <v>-1.1105554837660001</v>
      </c>
      <c r="AH3925">
        <v>60.625276847248998</v>
      </c>
      <c r="AI3925">
        <v>91.048783220073602</v>
      </c>
      <c r="AJ3925">
        <v>92.0384597573604</v>
      </c>
      <c r="AK3925">
        <v>60.673830782805403</v>
      </c>
      <c r="AL3925">
        <v>79.484273351852494</v>
      </c>
      <c r="AM3925">
        <v>94.484774362915999</v>
      </c>
      <c r="AN3925">
        <v>0.99999997703385501</v>
      </c>
    </row>
    <row r="3926" spans="1:40" x14ac:dyDescent="0.25">
      <c r="A3926" t="str">
        <f>"20190304155451954"</f>
        <v>20190304155451954</v>
      </c>
      <c r="B3926" t="str">
        <f>"1551686091951526"</f>
        <v>1551686091951526</v>
      </c>
      <c r="C3926" t="s">
        <v>40</v>
      </c>
      <c r="D3926">
        <v>4.1018470000000002</v>
      </c>
      <c r="E3926">
        <v>0.5133067</v>
      </c>
      <c r="F3926" t="s">
        <v>46</v>
      </c>
      <c r="G3926">
        <v>-424.09179999999998</v>
      </c>
      <c r="H3926" s="1">
        <v>-1.3979889999999999E-6</v>
      </c>
      <c r="I3926">
        <v>60.310009999999998</v>
      </c>
      <c r="J3926">
        <v>-421.91919999999999</v>
      </c>
      <c r="K3926">
        <v>1.110409</v>
      </c>
      <c r="L3926">
        <v>114.5849</v>
      </c>
      <c r="M3926">
        <v>-7.6867379999999999E-2</v>
      </c>
      <c r="N3926">
        <v>-1.351869E-2</v>
      </c>
      <c r="O3926">
        <v>-0.99694989999999994</v>
      </c>
      <c r="P3926">
        <v>6.0898219999999999E-3</v>
      </c>
      <c r="Q3926">
        <v>0.16104009999999999</v>
      </c>
      <c r="R3926">
        <v>-0.98692939999999996</v>
      </c>
      <c r="S3926">
        <v>-0.1244507</v>
      </c>
      <c r="T3926">
        <v>-6.1291579999999998E-2</v>
      </c>
      <c r="U3926">
        <v>-3.0545040000000001</v>
      </c>
      <c r="V3926">
        <v>-8.1881540000000003E-2</v>
      </c>
      <c r="W3926">
        <v>0.17434949999999999</v>
      </c>
      <c r="X3926">
        <v>0.98127350000000002</v>
      </c>
      <c r="Y3926">
        <v>-3.6214200000000002E-2</v>
      </c>
      <c r="Z3926">
        <v>6.4614490000000002E-3</v>
      </c>
      <c r="AA3926">
        <v>0.99932319999999997</v>
      </c>
      <c r="AB3926">
        <v>22</v>
      </c>
      <c r="AC3926">
        <v>-2.1725999999999801</v>
      </c>
      <c r="AD3926">
        <v>-1.1104103979890001</v>
      </c>
      <c r="AE3926">
        <v>-54.274889999999999</v>
      </c>
      <c r="AF3926">
        <v>-2.0053400812428399</v>
      </c>
      <c r="AG3926">
        <v>-1.1104103979890001</v>
      </c>
      <c r="AH3926">
        <v>54.258621516742501</v>
      </c>
      <c r="AI3926">
        <v>91.171602923972401</v>
      </c>
      <c r="AJ3926">
        <v>92.116626769319794</v>
      </c>
      <c r="AK3926">
        <v>54.307019886848103</v>
      </c>
      <c r="AL3926">
        <v>79.959194823987602</v>
      </c>
      <c r="AM3926">
        <v>94.769947570357004</v>
      </c>
      <c r="AN3926">
        <v>1.0000000082726299</v>
      </c>
    </row>
    <row r="3927" spans="1:40" x14ac:dyDescent="0.25">
      <c r="A3927" t="str">
        <f>"20190304155451976"</f>
        <v>20190304155451976</v>
      </c>
      <c r="B3927" t="str">
        <f>"1551686091971049"</f>
        <v>1551686091971049</v>
      </c>
      <c r="C3927" t="s">
        <v>40</v>
      </c>
      <c r="D3927">
        <v>4.1879689999999998</v>
      </c>
      <c r="E3927">
        <v>0.50713450000000004</v>
      </c>
      <c r="F3927" t="s">
        <v>48</v>
      </c>
      <c r="G3927">
        <v>-421.94880000000001</v>
      </c>
      <c r="H3927">
        <v>1.015107</v>
      </c>
      <c r="I3927">
        <v>113.7954</v>
      </c>
      <c r="J3927">
        <v>-421.93650000000002</v>
      </c>
      <c r="K3927">
        <v>1.110414</v>
      </c>
      <c r="L3927">
        <v>114.3617</v>
      </c>
      <c r="M3927">
        <v>-7.6927410000000002E-2</v>
      </c>
      <c r="N3927">
        <v>-1.344853E-2</v>
      </c>
      <c r="O3927">
        <v>-0.99694609999999995</v>
      </c>
      <c r="P3927">
        <v>7.8139769999999997E-3</v>
      </c>
      <c r="Q3927">
        <v>0.16002269999999999</v>
      </c>
      <c r="R3927">
        <v>-0.98708249999999997</v>
      </c>
      <c r="S3927">
        <v>-0.1152039</v>
      </c>
      <c r="T3927">
        <v>-0.37441219999999997</v>
      </c>
      <c r="U3927">
        <v>-3.1015470000000001</v>
      </c>
      <c r="V3927">
        <v>-8.3681420000000006E-2</v>
      </c>
      <c r="W3927">
        <v>0.1732601</v>
      </c>
      <c r="X3927">
        <v>0.98131460000000004</v>
      </c>
      <c r="Y3927">
        <v>-4.0046169999999999E-2</v>
      </c>
      <c r="Z3927">
        <v>0.10588500000000001</v>
      </c>
      <c r="AA3927">
        <v>0.99357169999999895</v>
      </c>
      <c r="AB3927">
        <v>22</v>
      </c>
      <c r="AC3927">
        <v>-1.22999999999819E-2</v>
      </c>
      <c r="AD3927">
        <v>-9.5307000000000003E-2</v>
      </c>
      <c r="AE3927">
        <v>-0.56629999999999803</v>
      </c>
      <c r="AF3927">
        <v>-3.0442531476345999E-2</v>
      </c>
      <c r="AG3927">
        <v>-9.5307000000000003E-2</v>
      </c>
      <c r="AH3927">
        <v>0.54999703194182703</v>
      </c>
      <c r="AI3927">
        <v>99.816220385419001</v>
      </c>
      <c r="AJ3927">
        <v>93.168109089709304</v>
      </c>
      <c r="AK3927">
        <v>0.55902317225362697</v>
      </c>
      <c r="AL3927">
        <v>80.022577374509098</v>
      </c>
      <c r="AM3927">
        <v>94.874095292492399</v>
      </c>
      <c r="AN3927">
        <v>0.99999999323919297</v>
      </c>
    </row>
    <row r="3928" spans="1:40" x14ac:dyDescent="0.25">
      <c r="A3928" t="str">
        <f>"20190304155452000"</f>
        <v>20190304155452000</v>
      </c>
      <c r="B3928" t="str">
        <f>"1551686091991559"</f>
        <v>1551686091991559</v>
      </c>
      <c r="C3928" t="s">
        <v>40</v>
      </c>
      <c r="D3928">
        <v>4.1895759999999997</v>
      </c>
      <c r="E3928">
        <v>0.49633529999999998</v>
      </c>
      <c r="F3928" t="s">
        <v>84</v>
      </c>
      <c r="G3928">
        <v>-423.54349999999999</v>
      </c>
      <c r="H3928">
        <v>8.1696119999999901</v>
      </c>
      <c r="I3928">
        <v>1.7384010000000001</v>
      </c>
      <c r="J3928">
        <v>-421.95330000000001</v>
      </c>
      <c r="K3928">
        <v>1.1104240000000001</v>
      </c>
      <c r="L3928">
        <v>114.1444</v>
      </c>
      <c r="M3928">
        <v>-7.6956700000000003E-2</v>
      </c>
      <c r="N3928">
        <v>-1.337352E-2</v>
      </c>
      <c r="O3928">
        <v>-0.99694470000000002</v>
      </c>
      <c r="P3928">
        <v>1.012509E-2</v>
      </c>
      <c r="Q3928">
        <v>0.15908120000000001</v>
      </c>
      <c r="R3928">
        <v>-0.98721340000000002</v>
      </c>
      <c r="S3928">
        <v>-4.2938230000000001E-2</v>
      </c>
      <c r="T3928">
        <v>0.18860460000000001</v>
      </c>
      <c r="U3928">
        <v>-3.0090330000000001</v>
      </c>
      <c r="V3928">
        <v>-8.6034100000000002E-2</v>
      </c>
      <c r="W3928">
        <v>0.1722399</v>
      </c>
      <c r="X3928">
        <v>0.98129080000000002</v>
      </c>
      <c r="Y3928">
        <v>-6.2791180000000002E-2</v>
      </c>
      <c r="Z3928">
        <v>-7.5548210000000005E-2</v>
      </c>
      <c r="AA3928">
        <v>0.99516309999999997</v>
      </c>
      <c r="AB3928">
        <v>22</v>
      </c>
      <c r="AC3928">
        <v>-1.5901999999999801</v>
      </c>
      <c r="AD3928">
        <v>7.05918799999999</v>
      </c>
      <c r="AE3928">
        <v>-112.40599899999999</v>
      </c>
      <c r="AF3928">
        <v>-7.0379337978815899</v>
      </c>
      <c r="AG3928">
        <v>7.05918799999999</v>
      </c>
      <c r="AH3928">
        <v>111.754315208726</v>
      </c>
      <c r="AI3928">
        <v>86.392725378923402</v>
      </c>
      <c r="AJ3928">
        <v>93.603548264136705</v>
      </c>
      <c r="AK3928">
        <v>112.19800183218101</v>
      </c>
      <c r="AL3928">
        <v>80.081923234854003</v>
      </c>
      <c r="AM3928">
        <v>95.010561944605001</v>
      </c>
      <c r="AN3928">
        <v>1.0000000418397199</v>
      </c>
    </row>
    <row r="3929" spans="1:40" x14ac:dyDescent="0.25">
      <c r="A3929" t="str">
        <f>"20190304155452023"</f>
        <v>20190304155452023</v>
      </c>
      <c r="B3929" t="str">
        <f>"1551686092011062"</f>
        <v>1551686092011062</v>
      </c>
      <c r="C3929" t="s">
        <v>40</v>
      </c>
      <c r="D3929">
        <v>4.1607000000000003</v>
      </c>
      <c r="E3929">
        <v>0.49585509999999999</v>
      </c>
      <c r="F3929" t="s">
        <v>84</v>
      </c>
      <c r="G3929">
        <v>-420.12020000000001</v>
      </c>
      <c r="H3929">
        <v>6.2479570000000004</v>
      </c>
      <c r="I3929">
        <v>0.47618680000000002</v>
      </c>
      <c r="J3929">
        <v>-421.971</v>
      </c>
      <c r="K3929">
        <v>1.1104309999999999</v>
      </c>
      <c r="L3929">
        <v>113.9162</v>
      </c>
      <c r="M3929">
        <v>-7.6964749999999998E-2</v>
      </c>
      <c r="N3929">
        <v>-1.3289550000000001E-2</v>
      </c>
      <c r="O3929">
        <v>-0.99694539999999998</v>
      </c>
      <c r="P3929">
        <v>1.1658389999999999E-2</v>
      </c>
      <c r="Q3929">
        <v>0.15791540000000001</v>
      </c>
      <c r="R3929">
        <v>-0.98738400000000004</v>
      </c>
      <c r="S3929">
        <v>4.8645019999999997E-2</v>
      </c>
      <c r="T3929">
        <v>0.13633329999999999</v>
      </c>
      <c r="U3929">
        <v>-3.0164029999999999</v>
      </c>
      <c r="V3929">
        <v>-8.7594699999999998E-2</v>
      </c>
      <c r="W3929">
        <v>0.17098759999999999</v>
      </c>
      <c r="X3929">
        <v>0.98137169999999896</v>
      </c>
      <c r="Y3929">
        <v>-9.3030669999999996E-2</v>
      </c>
      <c r="Z3929">
        <v>-5.8129769999999997E-2</v>
      </c>
      <c r="AA3929">
        <v>0.99396490000000004</v>
      </c>
      <c r="AB3929">
        <v>22</v>
      </c>
      <c r="AC3929">
        <v>1.85079999999999</v>
      </c>
      <c r="AD3929">
        <v>5.1375259999999896</v>
      </c>
      <c r="AE3929">
        <v>-113.4400132</v>
      </c>
      <c r="AF3929">
        <v>-10.5553174980436</v>
      </c>
      <c r="AG3929">
        <v>5.1375259999999896</v>
      </c>
      <c r="AH3929">
        <v>112.72985807771801</v>
      </c>
      <c r="AI3929">
        <v>87.401968461711803</v>
      </c>
      <c r="AJ3929">
        <v>95.349221435402995</v>
      </c>
      <c r="AK3929">
        <v>113.339445044996</v>
      </c>
      <c r="AL3929">
        <v>80.154754860636103</v>
      </c>
      <c r="AM3929">
        <v>95.100556578908098</v>
      </c>
      <c r="AN3929">
        <v>1.00000000219136</v>
      </c>
    </row>
    <row r="3930" spans="1:40" x14ac:dyDescent="0.25">
      <c r="A3930" t="str">
        <f>"20190304155452045"</f>
        <v>20190304155452045</v>
      </c>
      <c r="B3930" t="str">
        <f>"1551686092041318"</f>
        <v>1551686092041318</v>
      </c>
      <c r="C3930" t="s">
        <v>40</v>
      </c>
      <c r="D3930">
        <v>3.8744499999999999</v>
      </c>
      <c r="E3930">
        <v>0.50690599999999997</v>
      </c>
      <c r="F3930" t="s">
        <v>84</v>
      </c>
      <c r="G3930">
        <v>-419.85050000000001</v>
      </c>
      <c r="H3930">
        <v>5.1794449999999896</v>
      </c>
      <c r="I3930">
        <v>0.47892570000000001</v>
      </c>
      <c r="J3930">
        <v>-421.98759999999999</v>
      </c>
      <c r="K3930">
        <v>1.1104240000000001</v>
      </c>
      <c r="L3930">
        <v>113.7013</v>
      </c>
      <c r="M3930">
        <v>-7.6959330000000006E-2</v>
      </c>
      <c r="N3930">
        <v>-1.320405E-2</v>
      </c>
      <c r="O3930">
        <v>-0.99694689999999997</v>
      </c>
      <c r="P3930">
        <v>1.24341E-2</v>
      </c>
      <c r="Q3930">
        <v>0.15582170000000001</v>
      </c>
      <c r="R3930">
        <v>-0.98770709999999995</v>
      </c>
      <c r="S3930">
        <v>5.6457519999999997E-2</v>
      </c>
      <c r="T3930">
        <v>0.1083394</v>
      </c>
      <c r="U3930">
        <v>-3.02034</v>
      </c>
      <c r="V3930">
        <v>-8.8397229999999993E-2</v>
      </c>
      <c r="W3930">
        <v>0.1688086</v>
      </c>
      <c r="X3930">
        <v>0.98167689999999996</v>
      </c>
      <c r="Y3930">
        <v>-9.5578220000000005E-2</v>
      </c>
      <c r="Z3930">
        <v>-4.8804180000000003E-2</v>
      </c>
      <c r="AA3930">
        <v>0.99422480000000002</v>
      </c>
      <c r="AB3930">
        <v>22</v>
      </c>
      <c r="AC3930">
        <v>2.13709999999997</v>
      </c>
      <c r="AD3930">
        <v>4.0690209999999896</v>
      </c>
      <c r="AE3930">
        <v>-113.2223743</v>
      </c>
      <c r="AF3930">
        <v>-10.8310536082985</v>
      </c>
      <c r="AG3930">
        <v>4.0690209999999896</v>
      </c>
      <c r="AH3930">
        <v>112.576692402707</v>
      </c>
      <c r="AI3930">
        <v>87.939483824248597</v>
      </c>
      <c r="AJ3930">
        <v>95.495537674795401</v>
      </c>
      <c r="AK3930">
        <v>113.16969703281001</v>
      </c>
      <c r="AL3930">
        <v>80.281443979770103</v>
      </c>
      <c r="AM3930">
        <v>95.145445664100393</v>
      </c>
      <c r="AN3930">
        <v>0.999999974849621</v>
      </c>
    </row>
    <row r="3931" spans="1:40" x14ac:dyDescent="0.25">
      <c r="A3931" t="str">
        <f>"20190304155452078"</f>
        <v>20190304155452078</v>
      </c>
      <c r="B3931" t="str">
        <f>"1551686092071574"</f>
        <v>1551686092071574</v>
      </c>
      <c r="C3931" t="s">
        <v>40</v>
      </c>
      <c r="D3931">
        <v>4.2725249999999999</v>
      </c>
      <c r="E3931">
        <v>0.50839789999999996</v>
      </c>
      <c r="F3931" t="s">
        <v>84</v>
      </c>
      <c r="G3931">
        <v>-423.06400000000002</v>
      </c>
      <c r="H3931">
        <v>5.7241669999999996</v>
      </c>
      <c r="I3931">
        <v>0.44624330000000001</v>
      </c>
      <c r="J3931">
        <v>-422.0129</v>
      </c>
      <c r="K3931">
        <v>1.110419</v>
      </c>
      <c r="L3931">
        <v>113.37439999999999</v>
      </c>
      <c r="M3931">
        <v>-7.6938220000000002E-2</v>
      </c>
      <c r="N3931">
        <v>-1.307673E-2</v>
      </c>
      <c r="O3931">
        <v>-0.99695029999999996</v>
      </c>
      <c r="P3931">
        <v>1.221904E-2</v>
      </c>
      <c r="Q3931">
        <v>0.14976500000000001</v>
      </c>
      <c r="R3931">
        <v>-0.98864609999999997</v>
      </c>
      <c r="S3931">
        <v>-2.868652E-2</v>
      </c>
      <c r="T3931">
        <v>0.1229581</v>
      </c>
      <c r="U3931">
        <v>-3.0183110000000002</v>
      </c>
      <c r="V3931">
        <v>-8.8246130000000006E-2</v>
      </c>
      <c r="W3931">
        <v>0.16263429999999901</v>
      </c>
      <c r="X3931">
        <v>0.98273219999999994</v>
      </c>
      <c r="Y3931">
        <v>-6.7491570000000001E-2</v>
      </c>
      <c r="Z3931">
        <v>-5.3533020000000001E-2</v>
      </c>
      <c r="AA3931">
        <v>0.99628260000000002</v>
      </c>
      <c r="AB3931">
        <v>22</v>
      </c>
      <c r="AC3931">
        <v>-1.0511000000000099</v>
      </c>
      <c r="AD3931">
        <v>4.6137479999999904</v>
      </c>
      <c r="AE3931">
        <v>-112.9281567</v>
      </c>
      <c r="AF3931">
        <v>-7.6285165004351798</v>
      </c>
      <c r="AG3931">
        <v>4.6137479999999904</v>
      </c>
      <c r="AH3931">
        <v>112.486497543493</v>
      </c>
      <c r="AI3931">
        <v>87.656648423271804</v>
      </c>
      <c r="AJ3931">
        <v>93.879697393955198</v>
      </c>
      <c r="AK3931">
        <v>112.839235482199</v>
      </c>
      <c r="AL3931">
        <v>80.640165773885499</v>
      </c>
      <c r="AM3931">
        <v>95.131210949872695</v>
      </c>
      <c r="AN3931">
        <v>0.99999993595665104</v>
      </c>
    </row>
    <row r="3932" spans="1:40" x14ac:dyDescent="0.25">
      <c r="A3932" t="str">
        <f>"20190304155452100"</f>
        <v>20190304155452100</v>
      </c>
      <c r="B3932" t="str">
        <f>"1551686092091094"</f>
        <v>1551686092091094</v>
      </c>
      <c r="C3932" t="s">
        <v>40</v>
      </c>
      <c r="D3932">
        <v>4.2645419999999996</v>
      </c>
      <c r="E3932">
        <v>0.50685389999999997</v>
      </c>
      <c r="F3932" t="s">
        <v>84</v>
      </c>
      <c r="G3932">
        <v>-423.5548</v>
      </c>
      <c r="H3932">
        <v>4.879556</v>
      </c>
      <c r="I3932">
        <v>0.44124980000000003</v>
      </c>
      <c r="J3932">
        <v>-422.02910000000003</v>
      </c>
      <c r="K3932">
        <v>1.110419</v>
      </c>
      <c r="L3932">
        <v>113.163</v>
      </c>
      <c r="M3932">
        <v>-7.6898599999999998E-2</v>
      </c>
      <c r="N3932">
        <v>-1.299896E-2</v>
      </c>
      <c r="O3932">
        <v>-0.99695429999999996</v>
      </c>
      <c r="P3932">
        <v>1.189818E-2</v>
      </c>
      <c r="Q3932">
        <v>0.1469087</v>
      </c>
      <c r="R3932">
        <v>-0.98907869999999998</v>
      </c>
      <c r="S3932">
        <v>-4.1229250000000002E-2</v>
      </c>
      <c r="T3932">
        <v>0.1007817</v>
      </c>
      <c r="U3932">
        <v>-3.0196990000000001</v>
      </c>
      <c r="V3932">
        <v>-8.7928409999999999E-2</v>
      </c>
      <c r="W3932">
        <v>0.1597034</v>
      </c>
      <c r="X3932">
        <v>0.98324129999999998</v>
      </c>
      <c r="Y3932">
        <v>-6.3309130000000005E-2</v>
      </c>
      <c r="Z3932">
        <v>-4.6155139999999997E-2</v>
      </c>
      <c r="AA3932">
        <v>0.99692610000000004</v>
      </c>
      <c r="AB3932">
        <v>22</v>
      </c>
      <c r="AC3932">
        <v>-1.5256999999999701</v>
      </c>
      <c r="AD3932">
        <v>3.7691370000000002</v>
      </c>
      <c r="AE3932">
        <v>-112.7217502</v>
      </c>
      <c r="AF3932">
        <v>-7.1397134153495196</v>
      </c>
      <c r="AG3932">
        <v>3.7691370000000002</v>
      </c>
      <c r="AH3932">
        <v>112.379624510236</v>
      </c>
      <c r="AI3932">
        <v>88.082920358465998</v>
      </c>
      <c r="AJ3932">
        <v>93.635235381915507</v>
      </c>
      <c r="AK3932">
        <v>112.669258923806</v>
      </c>
      <c r="AL3932">
        <v>80.810319241280595</v>
      </c>
      <c r="AM3932">
        <v>95.110201422093198</v>
      </c>
      <c r="AN3932">
        <v>1.0000000176411801</v>
      </c>
    </row>
    <row r="3933" spans="1:40" x14ac:dyDescent="0.25">
      <c r="A3933" t="str">
        <f>"20190304155452122"</f>
        <v>20190304155452122</v>
      </c>
      <c r="B3933" t="str">
        <f>"1551686092111590"</f>
        <v>1551686092111590</v>
      </c>
      <c r="C3933" t="s">
        <v>40</v>
      </c>
      <c r="D3933">
        <v>4.1772559999999999</v>
      </c>
      <c r="E3933">
        <v>0.50617900000000005</v>
      </c>
      <c r="F3933" t="s">
        <v>84</v>
      </c>
      <c r="G3933">
        <v>-423.15210000000002</v>
      </c>
      <c r="H3933">
        <v>4.4463540000000004</v>
      </c>
      <c r="I3933">
        <v>0.44534679999999999</v>
      </c>
      <c r="J3933">
        <v>-422.04539999999997</v>
      </c>
      <c r="K3933">
        <v>1.1104459999999901</v>
      </c>
      <c r="L3933">
        <v>112.95099999999999</v>
      </c>
      <c r="M3933">
        <v>-7.6805579999999998E-2</v>
      </c>
      <c r="N3933">
        <v>-1.2917700000000001E-2</v>
      </c>
      <c r="O3933">
        <v>-0.99696249999999997</v>
      </c>
      <c r="P3933">
        <v>1.168808E-2</v>
      </c>
      <c r="Q3933">
        <v>0.14561270000000001</v>
      </c>
      <c r="R3933">
        <v>-0.9892727</v>
      </c>
      <c r="S3933">
        <v>-3.0090329999999998E-2</v>
      </c>
      <c r="T3933">
        <v>8.9383480000000001E-2</v>
      </c>
      <c r="U3933">
        <v>-3.020203</v>
      </c>
      <c r="V3933">
        <v>-8.7655109999999994E-2</v>
      </c>
      <c r="W3933">
        <v>0.15832270000000001</v>
      </c>
      <c r="X3933">
        <v>0.98348899999999995</v>
      </c>
      <c r="Y3933">
        <v>-6.6891229999999996E-2</v>
      </c>
      <c r="Z3933">
        <v>-4.232197E-2</v>
      </c>
      <c r="AA3933">
        <v>0.99686229999999998</v>
      </c>
      <c r="AB3933">
        <v>22</v>
      </c>
      <c r="AC3933">
        <v>-1.10670000000004</v>
      </c>
      <c r="AD3933">
        <v>3.3359079999999999</v>
      </c>
      <c r="AE3933">
        <v>-112.5056532</v>
      </c>
      <c r="AF3933">
        <v>-7.5317306764076601</v>
      </c>
      <c r="AG3933">
        <v>3.3359079999999999</v>
      </c>
      <c r="AH3933">
        <v>112.159674436472</v>
      </c>
      <c r="AI3933">
        <v>88.300209009638394</v>
      </c>
      <c r="AJ3933">
        <v>93.841750424200498</v>
      </c>
      <c r="AK3933">
        <v>112.46176158526799</v>
      </c>
      <c r="AL3933">
        <v>80.890447374651401</v>
      </c>
      <c r="AM3933">
        <v>95.093125232922702</v>
      </c>
      <c r="AN3933">
        <v>1.0000000543826899</v>
      </c>
    </row>
    <row r="3934" spans="1:40" x14ac:dyDescent="0.25">
      <c r="A3934" t="str">
        <f>"20190304155452143"</f>
        <v>20190304155452143</v>
      </c>
      <c r="B3934" t="str">
        <f>"1551686092141846"</f>
        <v>1551686092141846</v>
      </c>
      <c r="C3934" t="s">
        <v>40</v>
      </c>
      <c r="D3934">
        <v>4.2045500000000002</v>
      </c>
      <c r="E3934">
        <v>0.50603599999999904</v>
      </c>
      <c r="F3934" t="s">
        <v>84</v>
      </c>
      <c r="G3934">
        <v>-422.97879999999998</v>
      </c>
      <c r="H3934">
        <v>3.957551</v>
      </c>
      <c r="I3934">
        <v>1.7441329999999999</v>
      </c>
      <c r="J3934">
        <v>-422.06209999999999</v>
      </c>
      <c r="K3934">
        <v>1.110495</v>
      </c>
      <c r="L3934">
        <v>112.7328</v>
      </c>
      <c r="M3934">
        <v>-7.6639810000000003E-2</v>
      </c>
      <c r="N3934">
        <v>-1.283426E-2</v>
      </c>
      <c r="O3934">
        <v>-0.99697639999999998</v>
      </c>
      <c r="P3934">
        <v>1.155339E-2</v>
      </c>
      <c r="Q3934">
        <v>0.14677479999999901</v>
      </c>
      <c r="R3934">
        <v>-0.98910260000000005</v>
      </c>
      <c r="S3934">
        <v>-2.5360110000000002E-2</v>
      </c>
      <c r="T3934">
        <v>7.7353839999999993E-2</v>
      </c>
      <c r="U3934">
        <v>-3.021439</v>
      </c>
      <c r="V3934">
        <v>-8.7364620000000004E-2</v>
      </c>
      <c r="W3934">
        <v>0.1593899</v>
      </c>
      <c r="X3934">
        <v>0.98334239999999995</v>
      </c>
      <c r="Y3934">
        <v>-6.8286749999999993E-2</v>
      </c>
      <c r="Z3934">
        <v>-3.8273870000000002E-2</v>
      </c>
      <c r="AA3934">
        <v>0.99693129999999996</v>
      </c>
      <c r="AB3934">
        <v>22</v>
      </c>
      <c r="AC3934">
        <v>-0.91669999999999097</v>
      </c>
      <c r="AD3934">
        <v>2.8470559999999998</v>
      </c>
      <c r="AE3934">
        <v>-110.98866700000001</v>
      </c>
      <c r="AF3934">
        <v>-7.5878536638416803</v>
      </c>
      <c r="AG3934">
        <v>2.8470559999999998</v>
      </c>
      <c r="AH3934">
        <v>110.65962926146599</v>
      </c>
      <c r="AI3934">
        <v>88.529667682514997</v>
      </c>
      <c r="AJ3934">
        <v>93.922591681989601</v>
      </c>
      <c r="AK3934">
        <v>110.956003890624</v>
      </c>
      <c r="AL3934">
        <v>80.828514345610202</v>
      </c>
      <c r="AM3934">
        <v>95.077087737434198</v>
      </c>
      <c r="AN3934">
        <v>0.99999999634375702</v>
      </c>
    </row>
    <row r="3935" spans="1:40" x14ac:dyDescent="0.25">
      <c r="A3935" t="str">
        <f>"20190304155452166"</f>
        <v>20190304155452166</v>
      </c>
      <c r="B3935" t="str">
        <f>"1551686092161366"</f>
        <v>1551686092161366</v>
      </c>
      <c r="C3935" t="s">
        <v>40</v>
      </c>
      <c r="D3935">
        <v>4.1609559999999997</v>
      </c>
      <c r="E3935">
        <v>0.50540669999999999</v>
      </c>
      <c r="F3935" t="s">
        <v>84</v>
      </c>
      <c r="G3935">
        <v>-422.95319999999998</v>
      </c>
      <c r="H3935">
        <v>4.0712580000000003</v>
      </c>
      <c r="I3935">
        <v>1.74439199999999</v>
      </c>
      <c r="J3935">
        <v>-422.07839999999999</v>
      </c>
      <c r="K3935">
        <v>1.110544</v>
      </c>
      <c r="L3935">
        <v>112.5166</v>
      </c>
      <c r="M3935">
        <v>-7.6408340000000005E-2</v>
      </c>
      <c r="N3935">
        <v>-1.275921E-2</v>
      </c>
      <c r="O3935">
        <v>-0.99699519999999997</v>
      </c>
      <c r="P3935">
        <v>1.1070999999999999E-2</v>
      </c>
      <c r="Q3935">
        <v>0.1476227</v>
      </c>
      <c r="R3935">
        <v>-0.98898209999999998</v>
      </c>
      <c r="S3935">
        <v>-2.426147E-2</v>
      </c>
      <c r="T3935">
        <v>8.0598950000000003E-2</v>
      </c>
      <c r="U3935">
        <v>-3.0213930000000002</v>
      </c>
      <c r="V3935">
        <v>-8.6666869999999993E-2</v>
      </c>
      <c r="W3935">
        <v>0.16015160000000001</v>
      </c>
      <c r="X3935">
        <v>0.98328040000000005</v>
      </c>
      <c r="Y3935">
        <v>-6.8418199999999998E-2</v>
      </c>
      <c r="Z3935">
        <v>-3.926661E-2</v>
      </c>
      <c r="AA3935">
        <v>0.99688370000000004</v>
      </c>
      <c r="AB3935">
        <v>22</v>
      </c>
      <c r="AC3935">
        <v>-0.87479999999999303</v>
      </c>
      <c r="AD3935">
        <v>2.9607139999999998</v>
      </c>
      <c r="AE3935">
        <v>-110.77220800000001</v>
      </c>
      <c r="AF3935">
        <v>-7.5869457661554103</v>
      </c>
      <c r="AG3935">
        <v>2.9607139999999998</v>
      </c>
      <c r="AH3935">
        <v>110.436283470747</v>
      </c>
      <c r="AI3935">
        <v>88.467920397595407</v>
      </c>
      <c r="AJ3935">
        <v>93.930031055617405</v>
      </c>
      <c r="AK3935">
        <v>110.736174217279</v>
      </c>
      <c r="AL3935">
        <v>80.784304388872201</v>
      </c>
      <c r="AM3935">
        <v>95.037064218710597</v>
      </c>
      <c r="AN3935">
        <v>1.0000000131811499</v>
      </c>
    </row>
    <row r="3936" spans="1:40" x14ac:dyDescent="0.25">
      <c r="A3936" t="str">
        <f>"20190304155452189"</f>
        <v>20190304155452189</v>
      </c>
      <c r="B3936" t="str">
        <f>"1551686092180886"</f>
        <v>1551686092180886</v>
      </c>
      <c r="C3936" t="s">
        <v>40</v>
      </c>
      <c r="D3936">
        <v>4.1929949999999998</v>
      </c>
      <c r="E3936">
        <v>0.50498909999999997</v>
      </c>
      <c r="F3936" t="s">
        <v>84</v>
      </c>
      <c r="G3936">
        <v>-422.84679999999997</v>
      </c>
      <c r="H3936">
        <v>3.8354889999999999</v>
      </c>
      <c r="I3936">
        <v>1.745474</v>
      </c>
      <c r="J3936">
        <v>-422.09530000000001</v>
      </c>
      <c r="K3936">
        <v>1.110598</v>
      </c>
      <c r="L3936">
        <v>112.2924</v>
      </c>
      <c r="M3936">
        <v>-7.6085330000000007E-2</v>
      </c>
      <c r="N3936">
        <v>-1.268907E-2</v>
      </c>
      <c r="O3936">
        <v>-0.99702060000000003</v>
      </c>
      <c r="P3936">
        <v>1.0627650000000001E-2</v>
      </c>
      <c r="Q3936">
        <v>0.1489019</v>
      </c>
      <c r="R3936">
        <v>-0.98879519999999999</v>
      </c>
      <c r="S3936">
        <v>-2.0965580000000001E-2</v>
      </c>
      <c r="T3936">
        <v>7.4352979999999999E-2</v>
      </c>
      <c r="U3936">
        <v>-3.0225369999999998</v>
      </c>
      <c r="V3936">
        <v>-8.5912790000000003E-2</v>
      </c>
      <c r="W3936">
        <v>0.1613493</v>
      </c>
      <c r="X3936">
        <v>0.98315070000000004</v>
      </c>
      <c r="Y3936">
        <v>-6.9183510000000004E-2</v>
      </c>
      <c r="Z3936">
        <v>-3.7135330000000001E-2</v>
      </c>
      <c r="AA3936">
        <v>0.99691249999999998</v>
      </c>
      <c r="AB3936">
        <v>22</v>
      </c>
      <c r="AC3936">
        <v>-0.75149999999996397</v>
      </c>
      <c r="AD3936">
        <v>2.724891</v>
      </c>
      <c r="AE3936">
        <v>-110.546926</v>
      </c>
      <c r="AF3936">
        <v>-7.6577025332611202</v>
      </c>
      <c r="AG3936">
        <v>2.724891</v>
      </c>
      <c r="AH3936">
        <v>110.21665324556901</v>
      </c>
      <c r="AI3936">
        <v>88.587167090187194</v>
      </c>
      <c r="AJ3936">
        <v>93.974445463011094</v>
      </c>
      <c r="AK3936">
        <v>110.515954014359</v>
      </c>
      <c r="AL3936">
        <v>80.7147764548385</v>
      </c>
      <c r="AM3936">
        <v>94.994115186929903</v>
      </c>
      <c r="AN3936">
        <v>0.99999995150328003</v>
      </c>
    </row>
    <row r="3937" spans="1:40" x14ac:dyDescent="0.25">
      <c r="A3937" t="str">
        <f>"20190304155452212"</f>
        <v>20190304155452212</v>
      </c>
      <c r="B3937" t="str">
        <f>"1551686092201382"</f>
        <v>1551686092201382</v>
      </c>
      <c r="C3937" t="s">
        <v>40</v>
      </c>
      <c r="D3937">
        <v>4.2178339999999999</v>
      </c>
      <c r="E3937">
        <v>0.50462659999999904</v>
      </c>
      <c r="F3937" t="s">
        <v>84</v>
      </c>
      <c r="G3937">
        <v>-422.79160000000002</v>
      </c>
      <c r="H3937">
        <v>3.7350599999999998</v>
      </c>
      <c r="I3937">
        <v>1.74603499999999</v>
      </c>
      <c r="J3937">
        <v>-422.11130000000003</v>
      </c>
      <c r="K3937">
        <v>1.110643</v>
      </c>
      <c r="L3937">
        <v>112.0775</v>
      </c>
      <c r="M3937">
        <v>-7.5686920000000005E-2</v>
      </c>
      <c r="N3937">
        <v>-1.262312E-2</v>
      </c>
      <c r="O3937">
        <v>-0.99705200000000005</v>
      </c>
      <c r="P3937">
        <v>1.0237039999999999E-2</v>
      </c>
      <c r="Q3937">
        <v>0.15004509999999999</v>
      </c>
      <c r="R3937">
        <v>-0.98862649999999996</v>
      </c>
      <c r="S3937">
        <v>-1.9042969999999999E-2</v>
      </c>
      <c r="T3937">
        <v>7.1777110000000005E-2</v>
      </c>
      <c r="U3937">
        <v>-3.0233919999999999</v>
      </c>
      <c r="V3937">
        <v>-8.5137740000000003E-2</v>
      </c>
      <c r="W3937">
        <v>0.16241559999999999</v>
      </c>
      <c r="X3937">
        <v>0.98304259999999999</v>
      </c>
      <c r="Y3937">
        <v>-6.9420079999999995E-2</v>
      </c>
      <c r="Z3937">
        <v>-3.6217600000000003E-2</v>
      </c>
      <c r="AA3937">
        <v>0.99692990000000004</v>
      </c>
      <c r="AB3937">
        <v>22</v>
      </c>
      <c r="AC3937">
        <v>-0.68029999999998803</v>
      </c>
      <c r="AD3937">
        <v>2.6244170000000002</v>
      </c>
      <c r="AE3937">
        <v>-110.33146499999999</v>
      </c>
      <c r="AF3937">
        <v>-7.66862476205681</v>
      </c>
      <c r="AG3937">
        <v>2.6244170000000002</v>
      </c>
      <c r="AH3937">
        <v>110.0041986654</v>
      </c>
      <c r="AI3937">
        <v>88.636637000849106</v>
      </c>
      <c r="AJ3937">
        <v>93.987758142283099</v>
      </c>
      <c r="AK3937">
        <v>110.302398407051</v>
      </c>
      <c r="AL3937">
        <v>80.652865884061697</v>
      </c>
      <c r="AM3937">
        <v>94.949827826529202</v>
      </c>
      <c r="AN3937">
        <v>1.00000000765521</v>
      </c>
    </row>
    <row r="3938" spans="1:40" x14ac:dyDescent="0.25">
      <c r="A3938" t="str">
        <f>"20190304155452235"</f>
        <v>20190304155452235</v>
      </c>
      <c r="B3938" t="str">
        <f>"1551686092231639"</f>
        <v>1551686092231639</v>
      </c>
      <c r="C3938" t="s">
        <v>40</v>
      </c>
      <c r="D3938">
        <v>4.1870629999999904</v>
      </c>
      <c r="E3938">
        <v>0.50418999999999903</v>
      </c>
      <c r="F3938" t="s">
        <v>84</v>
      </c>
      <c r="G3938">
        <v>-422.73360000000002</v>
      </c>
      <c r="H3938">
        <v>3.5876540000000001</v>
      </c>
      <c r="I3938">
        <v>1.7466219999999999</v>
      </c>
      <c r="J3938">
        <v>-422.12799999999999</v>
      </c>
      <c r="K3938">
        <v>1.110697</v>
      </c>
      <c r="L3938">
        <v>111.85</v>
      </c>
      <c r="M3938">
        <v>-7.5174050000000006E-2</v>
      </c>
      <c r="N3938">
        <v>-1.2552829999999999E-2</v>
      </c>
      <c r="O3938">
        <v>-0.99709170000000003</v>
      </c>
      <c r="P3938">
        <v>1.000582E-2</v>
      </c>
      <c r="Q3938">
        <v>0.1501575</v>
      </c>
      <c r="R3938">
        <v>-0.98861180000000004</v>
      </c>
      <c r="S3938">
        <v>-1.7059330000000001E-2</v>
      </c>
      <c r="T3938">
        <v>6.7898990000000006E-2</v>
      </c>
      <c r="U3938">
        <v>-3.024384</v>
      </c>
      <c r="V3938">
        <v>-8.4422430000000007E-2</v>
      </c>
      <c r="W3938">
        <v>0.1624476</v>
      </c>
      <c r="X3938">
        <v>0.98309899999999995</v>
      </c>
      <c r="Y3938">
        <v>-6.9561970000000001E-2</v>
      </c>
      <c r="Z3938">
        <v>-3.4867479999999999E-2</v>
      </c>
      <c r="AA3938">
        <v>0.99696810000000002</v>
      </c>
      <c r="AB3938">
        <v>22</v>
      </c>
      <c r="AC3938">
        <v>-0.60559999999998104</v>
      </c>
      <c r="AD3938">
        <v>2.4769570000000001</v>
      </c>
      <c r="AE3938">
        <v>-110.10337800000001</v>
      </c>
      <c r="AF3938">
        <v>-7.6697989706619003</v>
      </c>
      <c r="AG3938">
        <v>2.4769570000000001</v>
      </c>
      <c r="AH3938">
        <v>109.781753760963</v>
      </c>
      <c r="AI3938">
        <v>88.710621869967298</v>
      </c>
      <c r="AJ3938">
        <v>93.996422026377701</v>
      </c>
      <c r="AK3938">
        <v>110.07722103624801</v>
      </c>
      <c r="AL3938">
        <v>80.6510077328591</v>
      </c>
      <c r="AM3938">
        <v>94.9081641902347</v>
      </c>
      <c r="AN3938">
        <v>1.0000000066169299</v>
      </c>
    </row>
    <row r="3939" spans="1:40" x14ac:dyDescent="0.25">
      <c r="A3939" t="str">
        <f>"20190304155452257"</f>
        <v>20190304155452257</v>
      </c>
      <c r="B3939" t="str">
        <f>"1551686092251158"</f>
        <v>1551686092251158</v>
      </c>
      <c r="C3939" t="s">
        <v>40</v>
      </c>
      <c r="D3939">
        <v>4.2069700000000001</v>
      </c>
      <c r="E3939">
        <v>0.5039093</v>
      </c>
      <c r="F3939" t="s">
        <v>84</v>
      </c>
      <c r="G3939">
        <v>-422.68770000000001</v>
      </c>
      <c r="H3939">
        <v>3.2768609999999998</v>
      </c>
      <c r="I3939">
        <v>1.747093</v>
      </c>
      <c r="J3939">
        <v>-422.14319999999998</v>
      </c>
      <c r="K3939">
        <v>1.1107419999999999</v>
      </c>
      <c r="L3939">
        <v>111.6407</v>
      </c>
      <c r="M3939">
        <v>-7.462771E-2</v>
      </c>
      <c r="N3939">
        <v>-1.2489159999999999E-2</v>
      </c>
      <c r="O3939">
        <v>-0.9971333</v>
      </c>
      <c r="P3939">
        <v>1.014265E-2</v>
      </c>
      <c r="Q3939">
        <v>0.150254</v>
      </c>
      <c r="R3939">
        <v>-0.98859549999999996</v>
      </c>
      <c r="S3939">
        <v>-1.538086E-2</v>
      </c>
      <c r="T3939">
        <v>5.9526210000000003E-2</v>
      </c>
      <c r="U3939">
        <v>-3.025665</v>
      </c>
      <c r="V3939">
        <v>-8.4039080000000002E-2</v>
      </c>
      <c r="W3939">
        <v>0.16247200000000001</v>
      </c>
      <c r="X3939">
        <v>0.9831278</v>
      </c>
      <c r="Y3939">
        <v>-6.9569080000000005E-2</v>
      </c>
      <c r="Z3939">
        <v>-3.2046570000000003E-2</v>
      </c>
      <c r="AA3939">
        <v>0.99706229999999996</v>
      </c>
      <c r="AB3939">
        <v>22</v>
      </c>
      <c r="AC3939">
        <v>-0.54450000000002696</v>
      </c>
      <c r="AD3939">
        <v>2.1661189999999899</v>
      </c>
      <c r="AE3939">
        <v>-109.893607</v>
      </c>
      <c r="AF3939">
        <v>-7.6557917273168696</v>
      </c>
      <c r="AG3939">
        <v>2.1661189999999899</v>
      </c>
      <c r="AH3939">
        <v>109.58517927032599</v>
      </c>
      <c r="AI3939">
        <v>88.8703611892563</v>
      </c>
      <c r="AJ3939">
        <v>93.996279592703303</v>
      </c>
      <c r="AK3939">
        <v>109.873630750074</v>
      </c>
      <c r="AL3939">
        <v>80.649590778505299</v>
      </c>
      <c r="AM3939">
        <v>94.885842627715206</v>
      </c>
      <c r="AN3939">
        <v>0.99999999444204302</v>
      </c>
    </row>
    <row r="3940" spans="1:40" x14ac:dyDescent="0.25">
      <c r="A3940" t="str">
        <f>"20190304155452279"</f>
        <v>20190304155452279</v>
      </c>
      <c r="B3940" t="str">
        <f>"1551686092271653"</f>
        <v>1551686092271653</v>
      </c>
      <c r="C3940" t="s">
        <v>40</v>
      </c>
      <c r="D3940">
        <v>4.2287999999999997</v>
      </c>
      <c r="E3940">
        <v>0.50365769999999999</v>
      </c>
      <c r="F3940" t="s">
        <v>84</v>
      </c>
      <c r="G3940">
        <v>-422.60520000000002</v>
      </c>
      <c r="H3940">
        <v>3.1241460000000001</v>
      </c>
      <c r="I3940">
        <v>0.68797869999999905</v>
      </c>
      <c r="J3940">
        <v>-422.15839999999997</v>
      </c>
      <c r="K3940">
        <v>1.1107800000000001</v>
      </c>
      <c r="L3940">
        <v>111.42659999999999</v>
      </c>
      <c r="M3940">
        <v>-7.4004559999999997E-2</v>
      </c>
      <c r="N3940">
        <v>-1.2425139999999999E-2</v>
      </c>
      <c r="O3940">
        <v>-0.99718059999999997</v>
      </c>
      <c r="P3940">
        <v>1.0596919999999999E-2</v>
      </c>
      <c r="Q3940">
        <v>0.14995520000000001</v>
      </c>
      <c r="R3940">
        <v>-0.98863630000000002</v>
      </c>
      <c r="S3940">
        <v>-1.260376E-2</v>
      </c>
      <c r="T3940">
        <v>5.4917569999999999E-2</v>
      </c>
      <c r="U3940">
        <v>-3.0263819999999999</v>
      </c>
      <c r="V3940">
        <v>-8.3897079999999999E-2</v>
      </c>
      <c r="W3940">
        <v>0.1621013</v>
      </c>
      <c r="X3940">
        <v>0.98320110000000005</v>
      </c>
      <c r="Y3940">
        <v>-6.9860870000000005E-2</v>
      </c>
      <c r="Z3940">
        <v>-3.0466199999999999E-2</v>
      </c>
      <c r="AA3940">
        <v>0.99709139999999996</v>
      </c>
      <c r="AB3940">
        <v>22</v>
      </c>
      <c r="AC3940">
        <v>-0.44680000000005199</v>
      </c>
      <c r="AD3940">
        <v>2.013366</v>
      </c>
      <c r="AE3940">
        <v>-110.73862130000001</v>
      </c>
      <c r="AF3940">
        <v>-7.74765911811176</v>
      </c>
      <c r="AG3940">
        <v>2.013366</v>
      </c>
      <c r="AH3940">
        <v>110.431482778264</v>
      </c>
      <c r="AI3940">
        <v>88.958070410080396</v>
      </c>
      <c r="AJ3940">
        <v>94.013185123724597</v>
      </c>
      <c r="AK3940">
        <v>110.721236685048</v>
      </c>
      <c r="AL3940">
        <v>80.671115503879506</v>
      </c>
      <c r="AM3940">
        <v>94.877265045559199</v>
      </c>
      <c r="AN3940">
        <v>0.99999997726771295</v>
      </c>
    </row>
    <row r="3941" spans="1:40" x14ac:dyDescent="0.25">
      <c r="A3941" t="str">
        <f>"20190304155452300"</f>
        <v>20190304155452300</v>
      </c>
      <c r="B3941" t="str">
        <f>"1551686092291570"</f>
        <v>1551686092291570</v>
      </c>
      <c r="C3941" t="s">
        <v>40</v>
      </c>
      <c r="D3941">
        <v>4.1926800000000002</v>
      </c>
      <c r="E3941">
        <v>0.50346800000000003</v>
      </c>
      <c r="F3941" t="s">
        <v>84</v>
      </c>
      <c r="G3941">
        <v>-422.50749999999999</v>
      </c>
      <c r="H3941">
        <v>2.9220489999999999</v>
      </c>
      <c r="I3941">
        <v>0.45189669999999998</v>
      </c>
      <c r="J3941">
        <v>-422.17340000000002</v>
      </c>
      <c r="K3941">
        <v>1.1107990000000001</v>
      </c>
      <c r="L3941">
        <v>111.2146</v>
      </c>
      <c r="M3941">
        <v>-7.3333159999999994E-2</v>
      </c>
      <c r="N3941">
        <v>-1.236305E-2</v>
      </c>
      <c r="O3941">
        <v>-0.99723090000000003</v>
      </c>
      <c r="P3941">
        <v>1.1542190000000001E-2</v>
      </c>
      <c r="Q3941">
        <v>0.14960619999999999</v>
      </c>
      <c r="R3941">
        <v>-0.98867850000000002</v>
      </c>
      <c r="S3941">
        <v>-9.5214840000000002E-3</v>
      </c>
      <c r="T3941">
        <v>4.9405690000000002E-2</v>
      </c>
      <c r="U3941">
        <v>-3.0270839999999999</v>
      </c>
      <c r="V3941">
        <v>-8.4191699999999994E-2</v>
      </c>
      <c r="W3941">
        <v>0.16168479999999999</v>
      </c>
      <c r="X3941">
        <v>0.98324449999999997</v>
      </c>
      <c r="Y3941">
        <v>-7.0204459999999996E-2</v>
      </c>
      <c r="Z3941">
        <v>-2.8591680000000001E-2</v>
      </c>
      <c r="AA3941">
        <v>0.99712279999999998</v>
      </c>
      <c r="AB3941">
        <v>22</v>
      </c>
      <c r="AC3941">
        <v>-0.33409999999997803</v>
      </c>
      <c r="AD3941">
        <v>1.81125</v>
      </c>
      <c r="AE3941">
        <v>-110.7627033</v>
      </c>
      <c r="AF3941">
        <v>-7.7879167893605796</v>
      </c>
      <c r="AG3941">
        <v>1.81125</v>
      </c>
      <c r="AH3941">
        <v>110.45939432614</v>
      </c>
      <c r="AI3941">
        <v>89.062906559774902</v>
      </c>
      <c r="AJ3941">
        <v>94.032953435127993</v>
      </c>
      <c r="AK3941">
        <v>110.74840887966801</v>
      </c>
      <c r="AL3941">
        <v>80.6952982504516</v>
      </c>
      <c r="AM3941">
        <v>94.894094421881306</v>
      </c>
      <c r="AN3941">
        <v>0.99999998184008898</v>
      </c>
    </row>
    <row r="3942" spans="1:40" x14ac:dyDescent="0.25">
      <c r="A3942" t="str">
        <f>"20190304155452323"</f>
        <v>20190304155452323</v>
      </c>
      <c r="B3942" t="str">
        <f>"1551686092311090"</f>
        <v>1551686092311090</v>
      </c>
      <c r="C3942" t="s">
        <v>40</v>
      </c>
      <c r="D3942">
        <v>4.1694360000000001</v>
      </c>
      <c r="E3942">
        <v>0.50335010000000002</v>
      </c>
      <c r="F3942" t="s">
        <v>84</v>
      </c>
      <c r="G3942">
        <v>-422.34750000000003</v>
      </c>
      <c r="H3942">
        <v>2.7366239999999999</v>
      </c>
      <c r="I3942">
        <v>0.45351979999999997</v>
      </c>
      <c r="J3942">
        <v>-422.18869999999998</v>
      </c>
      <c r="K3942">
        <v>1.1108100000000001</v>
      </c>
      <c r="L3942">
        <v>110.99550000000001</v>
      </c>
      <c r="M3942">
        <v>-7.2597999999999996E-2</v>
      </c>
      <c r="N3942">
        <v>-1.230377E-2</v>
      </c>
      <c r="O3942">
        <v>-0.99728539999999999</v>
      </c>
      <c r="P3942">
        <v>1.321397E-2</v>
      </c>
      <c r="Q3942">
        <v>0.148927</v>
      </c>
      <c r="R3942">
        <v>-0.98875999999999997</v>
      </c>
      <c r="S3942">
        <v>-4.7607420000000001E-3</v>
      </c>
      <c r="T3942">
        <v>4.4441580000000001E-2</v>
      </c>
      <c r="U3942">
        <v>-3.027679</v>
      </c>
      <c r="V3942">
        <v>-8.5145440000000003E-2</v>
      </c>
      <c r="W3942">
        <v>0.16094269999999999</v>
      </c>
      <c r="X3942">
        <v>0.98328409999999999</v>
      </c>
      <c r="Y3942">
        <v>-7.1036760000000004E-2</v>
      </c>
      <c r="Z3942">
        <v>-2.6900839999999999E-2</v>
      </c>
      <c r="AA3942">
        <v>0.99711090000000002</v>
      </c>
      <c r="AB3942">
        <v>22</v>
      </c>
      <c r="AC3942">
        <v>-0.15880000000004199</v>
      </c>
      <c r="AD3942">
        <v>1.6258140000000001</v>
      </c>
      <c r="AE3942">
        <v>-110.5419802</v>
      </c>
      <c r="AF3942">
        <v>-7.8656517288425603</v>
      </c>
      <c r="AG3942">
        <v>1.6258140000000001</v>
      </c>
      <c r="AH3942">
        <v>110.237930402263</v>
      </c>
      <c r="AI3942">
        <v>89.157192460584298</v>
      </c>
      <c r="AJ3942">
        <v>94.081228494570297</v>
      </c>
      <c r="AK3942">
        <v>110.53014542493101</v>
      </c>
      <c r="AL3942">
        <v>80.738381502558596</v>
      </c>
      <c r="AM3942">
        <v>94.949063497664497</v>
      </c>
      <c r="AN3942">
        <v>0.99999995997444602</v>
      </c>
    </row>
    <row r="3943" spans="1:40" x14ac:dyDescent="0.25">
      <c r="A3943" t="str">
        <f>"20190304155452345"</f>
        <v>20190304155452345</v>
      </c>
      <c r="B3943" t="str">
        <f>"1551686092341347"</f>
        <v>1551686092341347</v>
      </c>
      <c r="C3943" t="s">
        <v>40</v>
      </c>
      <c r="D3943">
        <v>4.1778040000000001</v>
      </c>
      <c r="E3943">
        <v>0.50312570000000001</v>
      </c>
      <c r="F3943" t="s">
        <v>84</v>
      </c>
      <c r="G3943">
        <v>-422.16309999999999</v>
      </c>
      <c r="H3943">
        <v>2.647167</v>
      </c>
      <c r="I3943">
        <v>0.45539669999999999</v>
      </c>
      <c r="J3943">
        <v>-422.20359999999999</v>
      </c>
      <c r="K3943">
        <v>1.1108150000000001</v>
      </c>
      <c r="L3943">
        <v>110.7791</v>
      </c>
      <c r="M3943">
        <v>-7.1852449999999998E-2</v>
      </c>
      <c r="N3943">
        <v>-1.2251720000000001E-2</v>
      </c>
      <c r="O3943">
        <v>-0.99733989999999995</v>
      </c>
      <c r="P3943">
        <v>1.535011E-2</v>
      </c>
      <c r="Q3943">
        <v>0.1484308</v>
      </c>
      <c r="R3943">
        <v>-0.98880400000000002</v>
      </c>
      <c r="S3943">
        <v>7.0190429999999896E-4</v>
      </c>
      <c r="T3943">
        <v>4.2080880000000001E-2</v>
      </c>
      <c r="U3943">
        <v>-3.0277560000000001</v>
      </c>
      <c r="V3943">
        <v>-8.6544339999999997E-2</v>
      </c>
      <c r="W3943">
        <v>0.16039200000000001</v>
      </c>
      <c r="X3943">
        <v>0.98325200000000001</v>
      </c>
      <c r="Y3943">
        <v>-7.2089730000000005E-2</v>
      </c>
      <c r="Z3943">
        <v>-2.6074670000000001E-2</v>
      </c>
      <c r="AA3943">
        <v>0.99705730000000004</v>
      </c>
      <c r="AB3943">
        <v>22</v>
      </c>
      <c r="AC3943">
        <v>4.0500000000008599E-2</v>
      </c>
      <c r="AD3943">
        <v>1.5363519999999899</v>
      </c>
      <c r="AE3943">
        <v>-110.32370330000001</v>
      </c>
      <c r="AF3943">
        <v>-7.9664747227569901</v>
      </c>
      <c r="AG3943">
        <v>1.5363519999999899</v>
      </c>
      <c r="AH3943">
        <v>110.014258387344</v>
      </c>
      <c r="AI3943">
        <v>89.202004149150994</v>
      </c>
      <c r="AJ3943">
        <v>94.141736462328595</v>
      </c>
      <c r="AK3943">
        <v>110.313018930195</v>
      </c>
      <c r="AL3943">
        <v>80.770350028290594</v>
      </c>
      <c r="AM3943">
        <v>95.030123893877402</v>
      </c>
      <c r="AN3943">
        <v>1.00000000597701</v>
      </c>
    </row>
    <row r="3944" spans="1:40" x14ac:dyDescent="0.25">
      <c r="A3944" t="str">
        <f>"20190304155452368"</f>
        <v>20190304155452368</v>
      </c>
      <c r="B3944" t="str">
        <f>"1551686092361841"</f>
        <v>1551686092361841</v>
      </c>
      <c r="C3944" t="s">
        <v>40</v>
      </c>
      <c r="D3944">
        <v>4.0254009999999996</v>
      </c>
      <c r="E3944">
        <v>0.50319879999999995</v>
      </c>
      <c r="F3944" t="s">
        <v>84</v>
      </c>
      <c r="G3944">
        <v>-421.89330000000001</v>
      </c>
      <c r="H3944">
        <v>2.5828139999999999</v>
      </c>
      <c r="I3944">
        <v>0.45814129999999997</v>
      </c>
      <c r="J3944">
        <v>-422.21879999999999</v>
      </c>
      <c r="K3944">
        <v>1.1108070000000001</v>
      </c>
      <c r="L3944">
        <v>110.5558</v>
      </c>
      <c r="M3944">
        <v>-7.1080519999999994E-2</v>
      </c>
      <c r="N3944">
        <v>-1.2202319999999999E-2</v>
      </c>
      <c r="O3944">
        <v>-0.99739610000000001</v>
      </c>
      <c r="P3944">
        <v>1.702886E-2</v>
      </c>
      <c r="Q3944">
        <v>0.14808859999999999</v>
      </c>
      <c r="R3944">
        <v>-0.98882760000000003</v>
      </c>
      <c r="S3944">
        <v>8.5144039999999997E-3</v>
      </c>
      <c r="T3944">
        <v>4.0398480000000001E-2</v>
      </c>
      <c r="U3944">
        <v>-3.027771</v>
      </c>
      <c r="V3944">
        <v>-8.7455740000000004E-2</v>
      </c>
      <c r="W3944">
        <v>0.1600009</v>
      </c>
      <c r="X3944">
        <v>0.98323510000000003</v>
      </c>
      <c r="Y3944">
        <v>-7.3890090000000005E-2</v>
      </c>
      <c r="Z3944">
        <v>-2.5474030000000002E-2</v>
      </c>
      <c r="AA3944">
        <v>0.99694099999999997</v>
      </c>
      <c r="AB3944">
        <v>22</v>
      </c>
      <c r="AC3944">
        <v>0.32549999999997598</v>
      </c>
      <c r="AD3944">
        <v>1.4720070000000001</v>
      </c>
      <c r="AE3944">
        <v>-110.0976587</v>
      </c>
      <c r="AF3944">
        <v>-8.1496000366279304</v>
      </c>
      <c r="AG3944">
        <v>1.4720070000000001</v>
      </c>
      <c r="AH3944">
        <v>109.77637256353199</v>
      </c>
      <c r="AI3944">
        <v>89.233866827619494</v>
      </c>
      <c r="AJ3944">
        <v>94.2457469548375</v>
      </c>
      <c r="AK3944">
        <v>110.088304367777</v>
      </c>
      <c r="AL3944">
        <v>80.793051801028994</v>
      </c>
      <c r="AM3944">
        <v>95.082907075268395</v>
      </c>
      <c r="AN3944">
        <v>1.0000000281658801</v>
      </c>
    </row>
    <row r="3945" spans="1:40" x14ac:dyDescent="0.25">
      <c r="A3945" t="str">
        <f>"20190304155452391"</f>
        <v>20190304155452391</v>
      </c>
      <c r="B3945" t="str">
        <f>"1551686092381362"</f>
        <v>1551686092381362</v>
      </c>
      <c r="C3945" t="s">
        <v>40</v>
      </c>
      <c r="D3945">
        <v>4.1442069999999998</v>
      </c>
      <c r="E3945">
        <v>0.50327699999999997</v>
      </c>
      <c r="F3945" t="s">
        <v>84</v>
      </c>
      <c r="G3945">
        <v>-421.75279999999998</v>
      </c>
      <c r="H3945">
        <v>2.3792779999999998</v>
      </c>
      <c r="I3945">
        <v>0.45956609999999998</v>
      </c>
      <c r="J3945">
        <v>-422.23329999999999</v>
      </c>
      <c r="K3945">
        <v>1.1107929999999999</v>
      </c>
      <c r="L3945">
        <v>110.33969999999999</v>
      </c>
      <c r="M3945">
        <v>-7.0343139999999998E-2</v>
      </c>
      <c r="N3945">
        <v>-1.215366E-2</v>
      </c>
      <c r="O3945">
        <v>-0.99744900000000003</v>
      </c>
      <c r="P3945">
        <v>1.8386380000000001E-2</v>
      </c>
      <c r="Q3945">
        <v>0.1474617</v>
      </c>
      <c r="R3945">
        <v>-0.98889700000000003</v>
      </c>
      <c r="S3945">
        <v>1.281738E-2</v>
      </c>
      <c r="T3945">
        <v>3.4891489999999997E-2</v>
      </c>
      <c r="U3945">
        <v>-3.0284580000000001</v>
      </c>
      <c r="V3945">
        <v>-8.8082439999999998E-2</v>
      </c>
      <c r="W3945">
        <v>0.15932779999999999</v>
      </c>
      <c r="X3945">
        <v>0.98328839999999995</v>
      </c>
      <c r="Y3945">
        <v>-7.4568029999999993E-2</v>
      </c>
      <c r="Z3945">
        <v>-2.3615359999999998E-2</v>
      </c>
      <c r="AA3945">
        <v>0.9969363</v>
      </c>
      <c r="AB3945">
        <v>22</v>
      </c>
      <c r="AC3945">
        <v>0.48050000000000598</v>
      </c>
      <c r="AD3945">
        <v>1.2684850000000001</v>
      </c>
      <c r="AE3945">
        <v>-109.8801339</v>
      </c>
      <c r="AF3945">
        <v>-8.2080987876531495</v>
      </c>
      <c r="AG3945">
        <v>1.2684850000000001</v>
      </c>
      <c r="AH3945">
        <v>109.559501437451</v>
      </c>
      <c r="AI3945">
        <v>89.338510106854301</v>
      </c>
      <c r="AJ3945">
        <v>94.284543762379698</v>
      </c>
      <c r="AK3945">
        <v>109.873865387206</v>
      </c>
      <c r="AL3945">
        <v>80.832118235748496</v>
      </c>
      <c r="AM3945">
        <v>95.118861872194401</v>
      </c>
      <c r="AN3945">
        <v>0.99999997083187597</v>
      </c>
    </row>
    <row r="3946" spans="1:40" x14ac:dyDescent="0.25">
      <c r="A3946" t="str">
        <f>"20190304155452412"</f>
        <v>20190304155452412</v>
      </c>
      <c r="B3946" t="str">
        <f>"1551686092400882"</f>
        <v>1551686092400882</v>
      </c>
      <c r="C3946" t="s">
        <v>40</v>
      </c>
      <c r="D3946">
        <v>4.1103430000000003</v>
      </c>
      <c r="E3946">
        <v>0.50318309999999999</v>
      </c>
      <c r="F3946" t="s">
        <v>84</v>
      </c>
      <c r="G3946">
        <v>-421.65100000000001</v>
      </c>
      <c r="H3946">
        <v>2.1416930000000001</v>
      </c>
      <c r="I3946">
        <v>0.46060180000000001</v>
      </c>
      <c r="J3946">
        <v>-422.24759999999998</v>
      </c>
      <c r="K3946">
        <v>1.1107720000000001</v>
      </c>
      <c r="L3946">
        <v>110.1246</v>
      </c>
      <c r="M3946">
        <v>-6.962256E-2</v>
      </c>
      <c r="N3946">
        <v>-1.21064E-2</v>
      </c>
      <c r="O3946">
        <v>-0.99750000000000005</v>
      </c>
      <c r="P3946">
        <v>1.9802899999999998E-2</v>
      </c>
      <c r="Q3946">
        <v>0.14776900000000001</v>
      </c>
      <c r="R3946">
        <v>-0.98882369999999997</v>
      </c>
      <c r="S3946">
        <v>1.6052250000000001E-2</v>
      </c>
      <c r="T3946">
        <v>2.8419259999999998E-2</v>
      </c>
      <c r="U3946">
        <v>-3.0291440000000001</v>
      </c>
      <c r="V3946">
        <v>-8.8774899999999907E-2</v>
      </c>
      <c r="W3946">
        <v>0.15958910000000001</v>
      </c>
      <c r="X3946">
        <v>0.98318380000000005</v>
      </c>
      <c r="Y3946">
        <v>-7.4910569999999996E-2</v>
      </c>
      <c r="Z3946">
        <v>-2.1441539999999999E-2</v>
      </c>
      <c r="AA3946">
        <v>0.9969597</v>
      </c>
      <c r="AB3946">
        <v>22</v>
      </c>
      <c r="AC3946">
        <v>0.59659999999996605</v>
      </c>
      <c r="AD3946">
        <v>1.030921</v>
      </c>
      <c r="AE3946">
        <v>-109.66399819999999</v>
      </c>
      <c r="AF3946">
        <v>-8.2300722136289508</v>
      </c>
      <c r="AG3946">
        <v>1.030921</v>
      </c>
      <c r="AH3946">
        <v>109.346646174631</v>
      </c>
      <c r="AI3946">
        <v>89.4613544218019</v>
      </c>
      <c r="AJ3946">
        <v>94.304301965209405</v>
      </c>
      <c r="AK3946">
        <v>109.66077656295199</v>
      </c>
      <c r="AL3946">
        <v>80.816953294697598</v>
      </c>
      <c r="AM3946">
        <v>95.159433380486206</v>
      </c>
      <c r="AN3946">
        <v>1.0000000241456199</v>
      </c>
    </row>
    <row r="3947" spans="1:40" x14ac:dyDescent="0.25">
      <c r="A3947" t="str">
        <f>"20190304155452436"</f>
        <v>20190304155452436</v>
      </c>
      <c r="B3947" t="str">
        <f>"1551686092421378"</f>
        <v>1551686092421378</v>
      </c>
      <c r="C3947" t="s">
        <v>40</v>
      </c>
      <c r="D3947">
        <v>4.0968179999999998</v>
      </c>
      <c r="E3947">
        <v>0.50324150000000001</v>
      </c>
      <c r="F3947" t="s">
        <v>84</v>
      </c>
      <c r="G3947">
        <v>-421.47890000000001</v>
      </c>
      <c r="H3947">
        <v>1.9867319999999999</v>
      </c>
      <c r="I3947">
        <v>0.46235280000000001</v>
      </c>
      <c r="J3947">
        <v>-422.26220000000001</v>
      </c>
      <c r="K3947">
        <v>1.110754</v>
      </c>
      <c r="L3947">
        <v>109.9038</v>
      </c>
      <c r="M3947">
        <v>-6.8896230000000003E-2</v>
      </c>
      <c r="N3947">
        <v>-1.206315E-2</v>
      </c>
      <c r="O3947">
        <v>-0.99755110000000002</v>
      </c>
      <c r="P3947">
        <v>2.089475E-2</v>
      </c>
      <c r="Q3947">
        <v>0.14769860000000001</v>
      </c>
      <c r="R3947">
        <v>-0.98881200000000002</v>
      </c>
      <c r="S3947">
        <v>2.1240229999999999E-2</v>
      </c>
      <c r="T3947">
        <v>2.420139E-2</v>
      </c>
      <c r="U3947">
        <v>-3.0298769999999999</v>
      </c>
      <c r="V3947">
        <v>-8.9140800000000006E-2</v>
      </c>
      <c r="W3947">
        <v>0.15947790000000001</v>
      </c>
      <c r="X3947">
        <v>0.98316870000000001</v>
      </c>
      <c r="Y3947">
        <v>-7.5889680000000001E-2</v>
      </c>
      <c r="Z3947">
        <v>-2.001234E-2</v>
      </c>
      <c r="AA3947">
        <v>0.99691540000000001</v>
      </c>
      <c r="AB3947">
        <v>22</v>
      </c>
      <c r="AC3947">
        <v>0.783299999999997</v>
      </c>
      <c r="AD3947">
        <v>0.87597799999999904</v>
      </c>
      <c r="AE3947">
        <v>-109.4414472</v>
      </c>
      <c r="AF3947">
        <v>-8.3215556399129298</v>
      </c>
      <c r="AG3947">
        <v>0.87597799999999904</v>
      </c>
      <c r="AH3947">
        <v>109.120397306819</v>
      </c>
      <c r="AI3947">
        <v>89.541392210637497</v>
      </c>
      <c r="AJ3947">
        <v>94.360953238486701</v>
      </c>
      <c r="AK3947">
        <v>109.440745310523</v>
      </c>
      <c r="AL3947">
        <v>80.823406907083395</v>
      </c>
      <c r="AM3947">
        <v>95.180662468075894</v>
      </c>
      <c r="AN3947">
        <v>0.999999987736369</v>
      </c>
    </row>
    <row r="3948" spans="1:40" x14ac:dyDescent="0.25">
      <c r="A3948" t="str">
        <f>"20190304155452458"</f>
        <v>20190304155452458</v>
      </c>
      <c r="B3948" t="str">
        <f>"1551686092451633"</f>
        <v>1551686092451633</v>
      </c>
      <c r="C3948" t="s">
        <v>40</v>
      </c>
      <c r="D3948">
        <v>4.0801049999999996</v>
      </c>
      <c r="E3948">
        <v>0.50323759999999995</v>
      </c>
      <c r="F3948" t="s">
        <v>84</v>
      </c>
      <c r="G3948">
        <v>-421.40699999999998</v>
      </c>
      <c r="H3948">
        <v>1.842551</v>
      </c>
      <c r="I3948">
        <v>0.46308329999999998</v>
      </c>
      <c r="J3948">
        <v>-422.2765</v>
      </c>
      <c r="K3948">
        <v>1.1107389999999999</v>
      </c>
      <c r="L3948">
        <v>109.6841</v>
      </c>
      <c r="M3948">
        <v>-6.818515E-2</v>
      </c>
      <c r="N3948">
        <v>-1.202596E-2</v>
      </c>
      <c r="O3948">
        <v>-0.99760040000000005</v>
      </c>
      <c r="P3948">
        <v>2.2579439999999999E-2</v>
      </c>
      <c r="Q3948">
        <v>0.1483227</v>
      </c>
      <c r="R3948">
        <v>-0.98868140000000004</v>
      </c>
      <c r="S3948">
        <v>2.368164E-2</v>
      </c>
      <c r="T3948">
        <v>2.0262720000000001E-2</v>
      </c>
      <c r="U3948">
        <v>-3.030411</v>
      </c>
      <c r="V3948">
        <v>-9.0107190000000004E-2</v>
      </c>
      <c r="W3948">
        <v>0.1600644</v>
      </c>
      <c r="X3948">
        <v>0.98298529999999995</v>
      </c>
      <c r="Y3948">
        <v>-7.5980439999999996E-2</v>
      </c>
      <c r="Z3948">
        <v>-1.8681610000000001E-2</v>
      </c>
      <c r="AA3948">
        <v>0.99693430000000005</v>
      </c>
      <c r="AB3948">
        <v>22</v>
      </c>
      <c r="AC3948">
        <v>0.86950000000001604</v>
      </c>
      <c r="AD3948">
        <v>0.73181199999999902</v>
      </c>
      <c r="AE3948">
        <v>-109.22101670000001</v>
      </c>
      <c r="AF3948">
        <v>-8.3148913564614801</v>
      </c>
      <c r="AG3948">
        <v>0.73181199999999902</v>
      </c>
      <c r="AH3948">
        <v>108.90260821245199</v>
      </c>
      <c r="AI3948">
        <v>89.616102592806698</v>
      </c>
      <c r="AJ3948">
        <v>94.366154883579796</v>
      </c>
      <c r="AK3948">
        <v>109.222026361663</v>
      </c>
      <c r="AL3948">
        <v>80.789365836958396</v>
      </c>
      <c r="AM3948">
        <v>95.237487868018903</v>
      </c>
      <c r="AN3948">
        <v>1.0000000089265699</v>
      </c>
    </row>
    <row r="3949" spans="1:40" x14ac:dyDescent="0.25">
      <c r="A3949" t="str">
        <f>"20190304155452503"</f>
        <v>20190304155452503</v>
      </c>
      <c r="B3949" t="str">
        <f>"1551686092491653"</f>
        <v>1551686092491653</v>
      </c>
      <c r="C3949" t="s">
        <v>40</v>
      </c>
      <c r="D3949">
        <v>4.0614189999999999</v>
      </c>
      <c r="E3949">
        <v>0.50347829999999905</v>
      </c>
      <c r="F3949" t="s">
        <v>84</v>
      </c>
      <c r="G3949">
        <v>-421.23520000000002</v>
      </c>
      <c r="H3949">
        <v>1.6910320000000001</v>
      </c>
      <c r="I3949">
        <v>0.46482849999999998</v>
      </c>
      <c r="J3949">
        <v>-422.30410000000001</v>
      </c>
      <c r="K3949">
        <v>1.1107180000000001</v>
      </c>
      <c r="L3949">
        <v>109.2534</v>
      </c>
      <c r="M3949">
        <v>-6.681579E-2</v>
      </c>
      <c r="N3949">
        <v>-1.1959239999999999E-2</v>
      </c>
      <c r="O3949">
        <v>-0.99769379999999996</v>
      </c>
      <c r="P3949">
        <v>2.500314E-2</v>
      </c>
      <c r="Q3949">
        <v>0.14912819999999999</v>
      </c>
      <c r="R3949">
        <v>-0.98850210000000005</v>
      </c>
      <c r="S3949">
        <v>2.8900149999999999E-2</v>
      </c>
      <c r="T3949">
        <v>1.6104940000000002E-2</v>
      </c>
      <c r="U3949">
        <v>-3.0312809999999999</v>
      </c>
      <c r="V3949">
        <v>-9.1157719999999998E-2</v>
      </c>
      <c r="W3949">
        <v>0.1608029</v>
      </c>
      <c r="X3949">
        <v>0.98276790000000003</v>
      </c>
      <c r="Y3949">
        <v>-7.6325299999999999E-2</v>
      </c>
      <c r="Z3949">
        <v>-1.7249670000000002E-2</v>
      </c>
      <c r="AA3949">
        <v>0.99693379999999998</v>
      </c>
      <c r="AB3949">
        <v>22</v>
      </c>
      <c r="AC3949">
        <v>1.06889999999998</v>
      </c>
      <c r="AD3949">
        <v>0.580313999999999</v>
      </c>
      <c r="AE3949">
        <v>-108.7885715</v>
      </c>
      <c r="AF3949">
        <v>-8.3355869979991493</v>
      </c>
      <c r="AG3949">
        <v>0.580313999999999</v>
      </c>
      <c r="AH3949">
        <v>108.470919262659</v>
      </c>
      <c r="AI3949">
        <v>89.694374433583505</v>
      </c>
      <c r="AJ3949">
        <v>94.394331264311901</v>
      </c>
      <c r="AK3949">
        <v>108.79227500436799</v>
      </c>
      <c r="AL3949">
        <v>80.746497754978506</v>
      </c>
      <c r="AM3949">
        <v>95.299369853225798</v>
      </c>
      <c r="AN3949">
        <v>1.0000000239172</v>
      </c>
    </row>
    <row r="3950" spans="1:40" x14ac:dyDescent="0.25">
      <c r="A3950" t="str">
        <f>"20190304155452523"</f>
        <v>20190304155452523</v>
      </c>
      <c r="B3950" t="str">
        <f>"1551686092511170"</f>
        <v>1551686092511170</v>
      </c>
      <c r="C3950" t="s">
        <v>40</v>
      </c>
      <c r="D3950">
        <v>4.0328609999999996</v>
      </c>
      <c r="E3950">
        <v>0.50354529999999997</v>
      </c>
      <c r="F3950" t="s">
        <v>84</v>
      </c>
      <c r="G3950">
        <v>-421.0822</v>
      </c>
      <c r="H3950">
        <v>1.5250870000000001</v>
      </c>
      <c r="I3950">
        <v>0.46638299999999999</v>
      </c>
      <c r="J3950">
        <v>-422.31720000000001</v>
      </c>
      <c r="K3950">
        <v>1.1107089999999999</v>
      </c>
      <c r="L3950">
        <v>109.0461</v>
      </c>
      <c r="M3950">
        <v>-6.6160650000000001E-2</v>
      </c>
      <c r="N3950">
        <v>-1.1924499999999999E-2</v>
      </c>
      <c r="O3950">
        <v>-0.99773800000000001</v>
      </c>
      <c r="P3950">
        <v>2.573568E-2</v>
      </c>
      <c r="Q3950">
        <v>0.15012529999999999</v>
      </c>
      <c r="R3950">
        <v>-0.98833219999999999</v>
      </c>
      <c r="S3950">
        <v>3.4057619999999997E-2</v>
      </c>
      <c r="T3950">
        <v>1.1549230000000001E-2</v>
      </c>
      <c r="U3950">
        <v>-3.0323030000000002</v>
      </c>
      <c r="V3950">
        <v>-9.1230359999999996E-2</v>
      </c>
      <c r="W3950">
        <v>0.16176479999999999</v>
      </c>
      <c r="X3950">
        <v>0.98260329999999996</v>
      </c>
      <c r="Y3950">
        <v>-7.7362319999999998E-2</v>
      </c>
      <c r="Z3950">
        <v>-1.5718940000000001E-2</v>
      </c>
      <c r="AA3950">
        <v>0.99687910000000002</v>
      </c>
      <c r="AB3950">
        <v>22</v>
      </c>
      <c r="AC3950">
        <v>1.2350000000000101</v>
      </c>
      <c r="AD3950">
        <v>0.41437800000000002</v>
      </c>
      <c r="AE3950">
        <v>-108.57971699999899</v>
      </c>
      <c r="AF3950">
        <v>-8.4163846464371606</v>
      </c>
      <c r="AG3950">
        <v>0.41437800000000002</v>
      </c>
      <c r="AH3950">
        <v>108.25849263467001</v>
      </c>
      <c r="AI3950">
        <v>89.781351379072603</v>
      </c>
      <c r="AJ3950">
        <v>94.445427697412697</v>
      </c>
      <c r="AK3950">
        <v>108.58594967662501</v>
      </c>
      <c r="AL3950">
        <v>80.690653962651396</v>
      </c>
      <c r="AM3950">
        <v>95.304451997355898</v>
      </c>
      <c r="AN3950">
        <v>1.0000000371378199</v>
      </c>
    </row>
    <row r="3951" spans="1:40" x14ac:dyDescent="0.25">
      <c r="A3951" t="str">
        <f>"20190304155452547"</f>
        <v>20190304155452547</v>
      </c>
      <c r="B3951" t="str">
        <f>"1551686092541426"</f>
        <v>1551686092541426</v>
      </c>
      <c r="C3951" t="s">
        <v>40</v>
      </c>
      <c r="D3951">
        <v>4.056978</v>
      </c>
      <c r="E3951">
        <v>0.50360300000000002</v>
      </c>
      <c r="F3951" t="s">
        <v>84</v>
      </c>
      <c r="G3951">
        <v>-421.04860000000002</v>
      </c>
      <c r="H3951">
        <v>1.52983799999999</v>
      </c>
      <c r="I3951">
        <v>0.46672629999999998</v>
      </c>
      <c r="J3951">
        <v>-422.33170000000001</v>
      </c>
      <c r="K3951">
        <v>1.1107020000000001</v>
      </c>
      <c r="L3951">
        <v>108.81359999999999</v>
      </c>
      <c r="M3951">
        <v>-6.5422720000000004E-2</v>
      </c>
      <c r="N3951">
        <v>-1.188905E-2</v>
      </c>
      <c r="O3951">
        <v>-0.99778679999999997</v>
      </c>
      <c r="P3951">
        <v>2.5990679999999999E-2</v>
      </c>
      <c r="Q3951">
        <v>0.1510165</v>
      </c>
      <c r="R3951">
        <v>-0.9881896</v>
      </c>
      <c r="S3951">
        <v>3.5430910000000003E-2</v>
      </c>
      <c r="T3951">
        <v>1.1705760000000001E-2</v>
      </c>
      <c r="U3951">
        <v>-3.032715</v>
      </c>
      <c r="V3951">
        <v>-9.0746019999999997E-2</v>
      </c>
      <c r="W3951">
        <v>0.16262160000000001</v>
      </c>
      <c r="X3951">
        <v>0.98250669999999996</v>
      </c>
      <c r="Y3951">
        <v>-7.7074840000000006E-2</v>
      </c>
      <c r="Z3951">
        <v>-1.573476E-2</v>
      </c>
      <c r="AA3951">
        <v>0.99690120000000004</v>
      </c>
      <c r="AB3951">
        <v>22</v>
      </c>
      <c r="AC3951">
        <v>1.2830999999999899</v>
      </c>
      <c r="AD3951">
        <v>0.41913599999999901</v>
      </c>
      <c r="AE3951">
        <v>-108.3468737</v>
      </c>
      <c r="AF3951">
        <v>-8.3690737937321202</v>
      </c>
      <c r="AG3951">
        <v>0.41913599999999901</v>
      </c>
      <c r="AH3951">
        <v>108.02915647139601</v>
      </c>
      <c r="AI3951">
        <v>89.778366659270205</v>
      </c>
      <c r="AJ3951">
        <v>94.429885120038094</v>
      </c>
      <c r="AK3951">
        <v>108.35366038613</v>
      </c>
      <c r="AL3951">
        <v>80.640904043879004</v>
      </c>
      <c r="AM3951">
        <v>95.276965999440307</v>
      </c>
      <c r="AN3951">
        <v>1.0000000202386401</v>
      </c>
    </row>
    <row r="3952" spans="1:40" x14ac:dyDescent="0.25">
      <c r="A3952" t="str">
        <f>"20190304155452570"</f>
        <v>20190304155452570</v>
      </c>
      <c r="B3952" t="str">
        <f>"1551686092560947"</f>
        <v>1551686092560947</v>
      </c>
      <c r="C3952" t="s">
        <v>40</v>
      </c>
      <c r="D3952">
        <v>4.0680389999999997</v>
      </c>
      <c r="E3952">
        <v>0.50370470000000001</v>
      </c>
      <c r="F3952" t="s">
        <v>84</v>
      </c>
      <c r="G3952">
        <v>-421.09449999999998</v>
      </c>
      <c r="H3952">
        <v>1.4802150000000001</v>
      </c>
      <c r="I3952">
        <v>0.46626089999999998</v>
      </c>
      <c r="J3952">
        <v>-422.34539999999998</v>
      </c>
      <c r="K3952">
        <v>1.1106990000000001</v>
      </c>
      <c r="L3952">
        <v>108.5924</v>
      </c>
      <c r="M3952">
        <v>-6.471789E-2</v>
      </c>
      <c r="N3952">
        <v>-1.186021E-2</v>
      </c>
      <c r="O3952">
        <v>-0.99783330000000003</v>
      </c>
      <c r="P3952">
        <v>2.5927080000000002E-2</v>
      </c>
      <c r="Q3952">
        <v>0.151173</v>
      </c>
      <c r="R3952">
        <v>-0.98816760000000003</v>
      </c>
      <c r="S3952">
        <v>3.463745E-2</v>
      </c>
      <c r="T3952">
        <v>1.0344269999999999E-2</v>
      </c>
      <c r="U3952">
        <v>-3.0333399999999999</v>
      </c>
      <c r="V3952">
        <v>-8.9985560000000006E-2</v>
      </c>
      <c r="W3952">
        <v>0.16275149999999999</v>
      </c>
      <c r="X3952">
        <v>0.98255510000000001</v>
      </c>
      <c r="Y3952">
        <v>-7.6107289999999994E-2</v>
      </c>
      <c r="Z3952">
        <v>-1.525868E-2</v>
      </c>
      <c r="AA3952">
        <v>0.99698290000000001</v>
      </c>
      <c r="AB3952">
        <v>22</v>
      </c>
      <c r="AC3952">
        <v>1.2508999999999999</v>
      </c>
      <c r="AD3952">
        <v>0.36951600000000001</v>
      </c>
      <c r="AE3952">
        <v>-108.12613909999899</v>
      </c>
      <c r="AF3952">
        <v>-8.2463674652944299</v>
      </c>
      <c r="AG3952">
        <v>0.36951600000000001</v>
      </c>
      <c r="AH3952">
        <v>107.81721129645599</v>
      </c>
      <c r="AI3952">
        <v>89.804205943312198</v>
      </c>
      <c r="AJ3952">
        <v>94.373735333579305</v>
      </c>
      <c r="AK3952">
        <v>108.132743284315</v>
      </c>
      <c r="AL3952">
        <v>80.633360526802704</v>
      </c>
      <c r="AM3952">
        <v>95.232734735773704</v>
      </c>
      <c r="AN3952">
        <v>0.99999998814838598</v>
      </c>
    </row>
    <row r="3953" spans="1:40" x14ac:dyDescent="0.25">
      <c r="A3953" t="str">
        <f>"20190304155452592"</f>
        <v>20190304155452592</v>
      </c>
      <c r="B3953" t="str">
        <f>"1551686092581442"</f>
        <v>1551686092581442</v>
      </c>
      <c r="C3953" t="s">
        <v>40</v>
      </c>
      <c r="D3953">
        <v>4.3338640000000002</v>
      </c>
      <c r="E3953">
        <v>0.50397340000000002</v>
      </c>
      <c r="F3953" t="s">
        <v>84</v>
      </c>
      <c r="G3953">
        <v>-421.15649999999999</v>
      </c>
      <c r="H3953">
        <v>1.398733</v>
      </c>
      <c r="I3953">
        <v>0.46562769999999998</v>
      </c>
      <c r="J3953">
        <v>-422.35840000000002</v>
      </c>
      <c r="K3953">
        <v>1.1106940000000001</v>
      </c>
      <c r="L3953">
        <v>108.3792</v>
      </c>
      <c r="M3953">
        <v>-6.403673E-2</v>
      </c>
      <c r="N3953">
        <v>-1.183567E-2</v>
      </c>
      <c r="O3953">
        <v>-0.99787769999999998</v>
      </c>
      <c r="P3953">
        <v>2.575562E-2</v>
      </c>
      <c r="Q3953">
        <v>0.15076970000000001</v>
      </c>
      <c r="R3953">
        <v>-0.98823360000000005</v>
      </c>
      <c r="S3953">
        <v>3.3355709999999997E-2</v>
      </c>
      <c r="T3953">
        <v>8.0809590000000004E-3</v>
      </c>
      <c r="U3953">
        <v>-3.0338129999999999</v>
      </c>
      <c r="V3953">
        <v>-8.9146160000000002E-2</v>
      </c>
      <c r="W3953">
        <v>0.1623271</v>
      </c>
      <c r="X3953">
        <v>0.98270179999999996</v>
      </c>
      <c r="Y3953">
        <v>-7.5003509999999995E-2</v>
      </c>
      <c r="Z3953">
        <v>-1.4491199999999999E-2</v>
      </c>
      <c r="AA3953">
        <v>0.99707789999999996</v>
      </c>
      <c r="AB3953">
        <v>22</v>
      </c>
      <c r="AC3953">
        <v>1.20190000000002</v>
      </c>
      <c r="AD3953">
        <v>0.28803899999999899</v>
      </c>
      <c r="AE3953">
        <v>-107.9135723</v>
      </c>
      <c r="AF3953">
        <v>-8.1102890089793007</v>
      </c>
      <c r="AG3953">
        <v>0.28803899999999899</v>
      </c>
      <c r="AH3953">
        <v>107.61431564243701</v>
      </c>
      <c r="AI3953">
        <v>89.847076938028096</v>
      </c>
      <c r="AJ3953">
        <v>94.309914920189797</v>
      </c>
      <c r="AK3953">
        <v>107.91988086291001</v>
      </c>
      <c r="AL3953">
        <v>80.658004460906696</v>
      </c>
      <c r="AM3953">
        <v>95.183420454828195</v>
      </c>
      <c r="AN3953">
        <v>0.99999997648019701</v>
      </c>
    </row>
    <row r="3954" spans="1:40" x14ac:dyDescent="0.25">
      <c r="A3954" t="str">
        <f>"20190304155452614"</f>
        <v>20190304155452614</v>
      </c>
      <c r="B3954" t="str">
        <f>"1551686092601938"</f>
        <v>1551686092601938</v>
      </c>
      <c r="C3954" t="s">
        <v>40</v>
      </c>
      <c r="D3954">
        <v>4.079834</v>
      </c>
      <c r="E3954">
        <v>0.50433859999999997</v>
      </c>
      <c r="F3954" t="s">
        <v>84</v>
      </c>
      <c r="G3954">
        <v>-421.26319999999998</v>
      </c>
      <c r="H3954">
        <v>1.3060689999999999</v>
      </c>
      <c r="I3954">
        <v>0.46454620000000002</v>
      </c>
      <c r="J3954">
        <v>-422.37150000000003</v>
      </c>
      <c r="K3954">
        <v>1.110697</v>
      </c>
      <c r="L3954">
        <v>108.1623</v>
      </c>
      <c r="M3954">
        <v>-6.3342490000000001E-2</v>
      </c>
      <c r="N3954">
        <v>-1.181279E-2</v>
      </c>
      <c r="O3954">
        <v>-0.99792199999999998</v>
      </c>
      <c r="P3954">
        <v>2.6115900000000001E-2</v>
      </c>
      <c r="Q3954">
        <v>0.150915299999999</v>
      </c>
      <c r="R3954">
        <v>-0.98820180000000002</v>
      </c>
      <c r="S3954">
        <v>3.0792239999999999E-2</v>
      </c>
      <c r="T3954">
        <v>5.49221E-3</v>
      </c>
      <c r="U3954">
        <v>-3.0340729999999998</v>
      </c>
      <c r="V3954">
        <v>-8.8819140000000005E-2</v>
      </c>
      <c r="W3954">
        <v>0.16244990000000001</v>
      </c>
      <c r="X3954">
        <v>0.98271109999999995</v>
      </c>
      <c r="Y3954">
        <v>-7.346627E-2</v>
      </c>
      <c r="Z3954">
        <v>-1.3618669999999999E-2</v>
      </c>
      <c r="AA3954">
        <v>0.99720469999999894</v>
      </c>
      <c r="AB3954">
        <v>22</v>
      </c>
      <c r="AC3954">
        <v>1.10830000000004</v>
      </c>
      <c r="AD3954">
        <v>0.19537199999999999</v>
      </c>
      <c r="AE3954">
        <v>-107.6977538</v>
      </c>
      <c r="AF3954">
        <v>-7.9283674286055099</v>
      </c>
      <c r="AG3954">
        <v>0.19537199999999999</v>
      </c>
      <c r="AH3954">
        <v>107.41088935630501</v>
      </c>
      <c r="AI3954">
        <v>89.896066329030802</v>
      </c>
      <c r="AJ3954">
        <v>94.221542874548405</v>
      </c>
      <c r="AK3954">
        <v>107.703279117275</v>
      </c>
      <c r="AL3954">
        <v>80.650873718561598</v>
      </c>
      <c r="AM3954">
        <v>95.164460217887793</v>
      </c>
      <c r="AN3954">
        <v>0.99999995785177798</v>
      </c>
    </row>
    <row r="3955" spans="1:40" x14ac:dyDescent="0.25">
      <c r="A3955" t="str">
        <f>"20190304155452637"</f>
        <v>20190304155452637</v>
      </c>
      <c r="B3955" t="str">
        <f>"1551686092631218"</f>
        <v>1551686092631218</v>
      </c>
      <c r="C3955" t="s">
        <v>40</v>
      </c>
      <c r="D3955">
        <v>4.0874389999999998</v>
      </c>
      <c r="E3955">
        <v>0.50466679999999997</v>
      </c>
      <c r="F3955" t="s">
        <v>84</v>
      </c>
      <c r="G3955">
        <v>-421.35649999999998</v>
      </c>
      <c r="H3955">
        <v>1.3221689999999999</v>
      </c>
      <c r="I3955">
        <v>0.46359440000000002</v>
      </c>
      <c r="J3955">
        <v>-422.38459999999998</v>
      </c>
      <c r="K3955">
        <v>1.1106940000000001</v>
      </c>
      <c r="L3955">
        <v>107.9413</v>
      </c>
      <c r="M3955">
        <v>-6.2634620000000002E-2</v>
      </c>
      <c r="N3955">
        <v>-1.179181E-2</v>
      </c>
      <c r="O3955">
        <v>-0.99796719999999906</v>
      </c>
      <c r="P3955">
        <v>2.67592E-2</v>
      </c>
      <c r="Q3955">
        <v>0.15102560000000001</v>
      </c>
      <c r="R3955">
        <v>-0.98816800000000005</v>
      </c>
      <c r="S3955">
        <v>2.8594970000000001E-2</v>
      </c>
      <c r="T3955">
        <v>5.9570069999999899E-3</v>
      </c>
      <c r="U3955">
        <v>-3.0341490000000002</v>
      </c>
      <c r="V3955">
        <v>-8.8760649999999996E-2</v>
      </c>
      <c r="W3955">
        <v>0.162539299999999</v>
      </c>
      <c r="X3955">
        <v>0.98270170000000001</v>
      </c>
      <c r="Y3955">
        <v>-7.2036559999999999E-2</v>
      </c>
      <c r="Z3955">
        <v>-1.375008E-2</v>
      </c>
      <c r="AA3955">
        <v>0.99730719999999995</v>
      </c>
      <c r="AB3955">
        <v>22</v>
      </c>
      <c r="AC3955">
        <v>1.02809999999999</v>
      </c>
      <c r="AD3955">
        <v>0.211475</v>
      </c>
      <c r="AE3955">
        <v>-107.47770559999999</v>
      </c>
      <c r="AF3955">
        <v>-7.7583420829315202</v>
      </c>
      <c r="AG3955">
        <v>0.211475</v>
      </c>
      <c r="AH3955">
        <v>107.2018324281</v>
      </c>
      <c r="AI3955">
        <v>89.887268695775902</v>
      </c>
      <c r="AJ3955">
        <v>94.139356595211197</v>
      </c>
      <c r="AK3955">
        <v>107.48241469884201</v>
      </c>
      <c r="AL3955">
        <v>80.645683389657094</v>
      </c>
      <c r="AM3955">
        <v>95.161126744415697</v>
      </c>
      <c r="AN3955">
        <v>1.0000000541078899</v>
      </c>
    </row>
    <row r="3956" spans="1:40" x14ac:dyDescent="0.25">
      <c r="A3956" t="str">
        <f>"20190304155452660"</f>
        <v>20190304155452660</v>
      </c>
      <c r="B3956" t="str">
        <f>"1551686092651714"</f>
        <v>1551686092651714</v>
      </c>
      <c r="C3956" t="s">
        <v>40</v>
      </c>
      <c r="D3956">
        <v>4.0991049999999998</v>
      </c>
      <c r="E3956">
        <v>0.50477680000000003</v>
      </c>
      <c r="F3956" t="s">
        <v>84</v>
      </c>
      <c r="G3956">
        <v>-421.39120000000003</v>
      </c>
      <c r="H3956">
        <v>1.2604919999999999</v>
      </c>
      <c r="I3956">
        <v>0.46324159999999998</v>
      </c>
      <c r="J3956">
        <v>-422.39789999999999</v>
      </c>
      <c r="K3956">
        <v>1.110692</v>
      </c>
      <c r="L3956">
        <v>107.7163</v>
      </c>
      <c r="M3956">
        <v>-6.1912269999999998E-2</v>
      </c>
      <c r="N3956">
        <v>-1.1773280000000001E-2</v>
      </c>
      <c r="O3956">
        <v>-0.99801220000000002</v>
      </c>
      <c r="P3956">
        <v>2.8589670000000001E-2</v>
      </c>
      <c r="Q3956">
        <v>0.151316899999999</v>
      </c>
      <c r="R3956">
        <v>-0.98807210000000001</v>
      </c>
      <c r="S3956">
        <v>2.8045649999999998E-2</v>
      </c>
      <c r="T3956">
        <v>4.2287109999999996E-3</v>
      </c>
      <c r="U3956">
        <v>-3.0345149999999999</v>
      </c>
      <c r="V3956">
        <v>-8.9869909999999997E-2</v>
      </c>
      <c r="W3956">
        <v>0.16280939999999999</v>
      </c>
      <c r="X3956">
        <v>0.98255610000000004</v>
      </c>
      <c r="Y3956">
        <v>-7.1132879999999996E-2</v>
      </c>
      <c r="Z3956">
        <v>-1.316428E-2</v>
      </c>
      <c r="AA3956">
        <v>0.99738000000000004</v>
      </c>
      <c r="AB3956">
        <v>22</v>
      </c>
      <c r="AC3956">
        <v>1.00669999999996</v>
      </c>
      <c r="AD3956">
        <v>0.14979999999999899</v>
      </c>
      <c r="AE3956">
        <v>-107.2530584</v>
      </c>
      <c r="AF3956">
        <v>-7.6454938227679303</v>
      </c>
      <c r="AG3956">
        <v>0.14979999999999899</v>
      </c>
      <c r="AH3956">
        <v>106.98473501066</v>
      </c>
      <c r="AI3956">
        <v>89.919978590788901</v>
      </c>
      <c r="AJ3956">
        <v>94.087602660919799</v>
      </c>
      <c r="AK3956">
        <v>107.25767823859999</v>
      </c>
      <c r="AL3956">
        <v>80.629998326197494</v>
      </c>
      <c r="AM3956">
        <v>95.226041565220598</v>
      </c>
      <c r="AN3956">
        <v>0.99999999554948904</v>
      </c>
    </row>
    <row r="3957" spans="1:40" x14ac:dyDescent="0.25">
      <c r="A3957" t="str">
        <f>"20190304155452681"</f>
        <v>20190304155452681</v>
      </c>
      <c r="B3957" t="str">
        <f>"1551686092671234"</f>
        <v>1551686092671234</v>
      </c>
      <c r="C3957" t="s">
        <v>40</v>
      </c>
      <c r="D3957">
        <v>4.1727069999999999</v>
      </c>
      <c r="E3957">
        <v>0.50501839999999998</v>
      </c>
      <c r="F3957" t="s">
        <v>84</v>
      </c>
      <c r="G3957">
        <v>-421.25040000000001</v>
      </c>
      <c r="H3957">
        <v>1.2312689999999999</v>
      </c>
      <c r="I3957">
        <v>0.46467209999999998</v>
      </c>
      <c r="J3957">
        <v>-422.41019999999997</v>
      </c>
      <c r="K3957">
        <v>1.110692</v>
      </c>
      <c r="L3957">
        <v>107.5064</v>
      </c>
      <c r="M3957">
        <v>-6.1237569999999998E-2</v>
      </c>
      <c r="N3957">
        <v>-1.1758319999999999E-2</v>
      </c>
      <c r="O3957">
        <v>-0.998054</v>
      </c>
      <c r="P3957">
        <v>3.005913E-2</v>
      </c>
      <c r="Q3957">
        <v>0.15197369999999999</v>
      </c>
      <c r="R3957">
        <v>-0.98792740000000001</v>
      </c>
      <c r="S3957">
        <v>3.2470699999999998E-2</v>
      </c>
      <c r="T3957">
        <v>3.4110550000000001E-3</v>
      </c>
      <c r="U3957">
        <v>-3.0347599999999999</v>
      </c>
      <c r="V3957">
        <v>-9.0663220000000003E-2</v>
      </c>
      <c r="W3957">
        <v>0.16344819999999999</v>
      </c>
      <c r="X3957">
        <v>0.98237719999999995</v>
      </c>
      <c r="Y3957">
        <v>-7.1911829999999996E-2</v>
      </c>
      <c r="Z3957">
        <v>-1.2881429999999999E-2</v>
      </c>
      <c r="AA3957">
        <v>0.99732779999999999</v>
      </c>
      <c r="AB3957">
        <v>22</v>
      </c>
      <c r="AC3957">
        <v>1.15979999999996</v>
      </c>
      <c r="AD3957">
        <v>0.120576999999999</v>
      </c>
      <c r="AE3957">
        <v>-107.0417279</v>
      </c>
      <c r="AF3957">
        <v>-7.7130414350974199</v>
      </c>
      <c r="AG3957">
        <v>0.120576999999999</v>
      </c>
      <c r="AH3957">
        <v>106.769642511846</v>
      </c>
      <c r="AI3957">
        <v>89.935462985359493</v>
      </c>
      <c r="AJ3957">
        <v>94.131870851440993</v>
      </c>
      <c r="AK3957">
        <v>107.047943040023</v>
      </c>
      <c r="AL3957">
        <v>80.592901353465905</v>
      </c>
      <c r="AM3957">
        <v>95.272869324701503</v>
      </c>
      <c r="AN3957">
        <v>1.00000004831192</v>
      </c>
    </row>
    <row r="3958" spans="1:40" x14ac:dyDescent="0.25">
      <c r="A3958" t="str">
        <f>"20190304155452703"</f>
        <v>20190304155452703</v>
      </c>
      <c r="B3958" t="str">
        <f>"1551686092691730"</f>
        <v>1551686092691730</v>
      </c>
      <c r="C3958" t="s">
        <v>40</v>
      </c>
      <c r="D3958">
        <v>4.338463</v>
      </c>
      <c r="E3958">
        <v>0.50530839999999999</v>
      </c>
      <c r="F3958" t="s">
        <v>84</v>
      </c>
      <c r="G3958">
        <v>-421.1755</v>
      </c>
      <c r="H3958">
        <v>1.2765230000000001</v>
      </c>
      <c r="I3958">
        <v>0.46543309999999999</v>
      </c>
      <c r="J3958">
        <v>-422.42219999999998</v>
      </c>
      <c r="K3958">
        <v>1.1106910000000001</v>
      </c>
      <c r="L3958">
        <v>107.2963</v>
      </c>
      <c r="M3958">
        <v>-6.0562190000000002E-2</v>
      </c>
      <c r="N3958">
        <v>-1.174533E-2</v>
      </c>
      <c r="O3958">
        <v>-0.99809570000000003</v>
      </c>
      <c r="P3958">
        <v>3.1457850000000002E-2</v>
      </c>
      <c r="Q3958">
        <v>0.15280839999999901</v>
      </c>
      <c r="R3958">
        <v>-0.98775559999999996</v>
      </c>
      <c r="S3958">
        <v>3.5003659999999999E-2</v>
      </c>
      <c r="T3958">
        <v>4.7008989999999997E-3</v>
      </c>
      <c r="U3958">
        <v>-3.0348660000000001</v>
      </c>
      <c r="V3958">
        <v>-9.1384140000000003E-2</v>
      </c>
      <c r="W3958">
        <v>0.16426760000000001</v>
      </c>
      <c r="X3958">
        <v>0.98217359999999998</v>
      </c>
      <c r="Y3958">
        <v>-7.2068880000000002E-2</v>
      </c>
      <c r="Z3958">
        <v>-1.329194E-2</v>
      </c>
      <c r="AA3958">
        <v>0.99731110000000001</v>
      </c>
      <c r="AB3958">
        <v>22</v>
      </c>
      <c r="AC3958">
        <v>1.2466999999999699</v>
      </c>
      <c r="AD3958">
        <v>0.16583199999999901</v>
      </c>
      <c r="AE3958">
        <v>-106.8308669</v>
      </c>
      <c r="AF3958">
        <v>-7.7147478124108098</v>
      </c>
      <c r="AG3958">
        <v>0.16583199999999901</v>
      </c>
      <c r="AH3958">
        <v>106.55897920579299</v>
      </c>
      <c r="AI3958">
        <v>89.911066507937903</v>
      </c>
      <c r="AJ3958">
        <v>94.140923758443705</v>
      </c>
      <c r="AK3958">
        <v>106.83801235254199</v>
      </c>
      <c r="AL3958">
        <v>80.545308939989397</v>
      </c>
      <c r="AM3958">
        <v>95.315653441216597</v>
      </c>
      <c r="AN3958">
        <v>0.99999994299512796</v>
      </c>
    </row>
    <row r="3959" spans="1:40" x14ac:dyDescent="0.25">
      <c r="A3959" t="str">
        <f>"20190304155452724"</f>
        <v>20190304155452724</v>
      </c>
      <c r="B3959" t="str">
        <f>"1551686092721010"</f>
        <v>1551686092721010</v>
      </c>
      <c r="C3959" t="s">
        <v>40</v>
      </c>
      <c r="D3959">
        <v>4.2301270000000004</v>
      </c>
      <c r="E3959">
        <v>0.50543389999999999</v>
      </c>
      <c r="F3959" t="s">
        <v>84</v>
      </c>
      <c r="G3959">
        <v>-421.0976</v>
      </c>
      <c r="H3959">
        <v>1.3842000000000001</v>
      </c>
      <c r="I3959">
        <v>0.46622659999999999</v>
      </c>
      <c r="J3959">
        <v>-422.43430000000001</v>
      </c>
      <c r="K3959">
        <v>1.1106929999999999</v>
      </c>
      <c r="L3959">
        <v>107.0843</v>
      </c>
      <c r="M3959">
        <v>-5.9881770000000001E-2</v>
      </c>
      <c r="N3959">
        <v>-1.1733830000000001E-2</v>
      </c>
      <c r="O3959">
        <v>-0.99813669999999999</v>
      </c>
      <c r="P3959">
        <v>3.2876660000000002E-2</v>
      </c>
      <c r="Q3959">
        <v>0.15201049999999999</v>
      </c>
      <c r="R3959">
        <v>-0.98783200000000004</v>
      </c>
      <c r="S3959">
        <v>3.7628170000000002E-2</v>
      </c>
      <c r="T3959">
        <v>7.7688690000000003E-3</v>
      </c>
      <c r="U3959">
        <v>-3.0347900000000001</v>
      </c>
      <c r="V3959">
        <v>-9.2133839999999995E-2</v>
      </c>
      <c r="W3959">
        <v>0.16345760000000001</v>
      </c>
      <c r="X3959">
        <v>0.98223879999999997</v>
      </c>
      <c r="Y3959">
        <v>-7.2251860000000001E-2</v>
      </c>
      <c r="Z3959">
        <v>-1.4287559999999999E-2</v>
      </c>
      <c r="AA3959">
        <v>0.99728410000000001</v>
      </c>
      <c r="AB3959">
        <v>22</v>
      </c>
      <c r="AC3959">
        <v>1.3367</v>
      </c>
      <c r="AD3959">
        <v>0.273507</v>
      </c>
      <c r="AE3959">
        <v>-106.6180734</v>
      </c>
      <c r="AF3959">
        <v>-7.7191674353811397</v>
      </c>
      <c r="AG3959">
        <v>0.273507</v>
      </c>
      <c r="AH3959">
        <v>106.345969297575</v>
      </c>
      <c r="AI3959">
        <v>89.853030226929803</v>
      </c>
      <c r="AJ3959">
        <v>94.151557726252094</v>
      </c>
      <c r="AK3959">
        <v>106.626101578437</v>
      </c>
      <c r="AL3959">
        <v>80.5923554077429</v>
      </c>
      <c r="AM3959">
        <v>95.358655639883096</v>
      </c>
      <c r="AN3959">
        <v>1.0000000458481699</v>
      </c>
    </row>
    <row r="3960" spans="1:40" x14ac:dyDescent="0.25">
      <c r="A3960" t="str">
        <f>"20190304155452748"</f>
        <v>20190304155452748</v>
      </c>
      <c r="B3960" t="str">
        <f>"1551686092741507"</f>
        <v>1551686092741507</v>
      </c>
      <c r="C3960" t="s">
        <v>40</v>
      </c>
      <c r="D3960">
        <v>4.1626479999999999</v>
      </c>
      <c r="E3960">
        <v>0.52670090000000003</v>
      </c>
      <c r="F3960" t="s">
        <v>84</v>
      </c>
      <c r="G3960">
        <v>-421.02339999999998</v>
      </c>
      <c r="H3960">
        <v>1.246103</v>
      </c>
      <c r="I3960">
        <v>0.46698000000000001</v>
      </c>
      <c r="J3960">
        <v>-422.44720000000001</v>
      </c>
      <c r="K3960">
        <v>1.1106819999999999</v>
      </c>
      <c r="L3960">
        <v>106.8548</v>
      </c>
      <c r="M3960">
        <v>-5.9145120000000002E-2</v>
      </c>
      <c r="N3960">
        <v>-1.1722990000000001E-2</v>
      </c>
      <c r="O3960">
        <v>-0.99818070000000003</v>
      </c>
      <c r="P3960">
        <v>3.3299679999999998E-2</v>
      </c>
      <c r="Q3960">
        <v>0.15145429999999999</v>
      </c>
      <c r="R3960">
        <v>-0.98790339999999999</v>
      </c>
      <c r="S3960">
        <v>4.0161130000000003E-2</v>
      </c>
      <c r="T3960">
        <v>3.8539170000000001E-3</v>
      </c>
      <c r="U3960">
        <v>-3.0350489999999999</v>
      </c>
      <c r="V3960">
        <v>-9.1832940000000002E-2</v>
      </c>
      <c r="W3960">
        <v>0.16289310000000001</v>
      </c>
      <c r="X3960">
        <v>0.98236069999999998</v>
      </c>
      <c r="Y3960">
        <v>-7.2346569999999999E-2</v>
      </c>
      <c r="Z3960">
        <v>-1.299223E-2</v>
      </c>
      <c r="AA3960">
        <v>0.99729489999999998</v>
      </c>
      <c r="AB3960">
        <v>22</v>
      </c>
      <c r="AC3960">
        <v>1.4238000000000199</v>
      </c>
      <c r="AD3960">
        <v>0.13542100000000001</v>
      </c>
      <c r="AE3960">
        <v>-106.38782</v>
      </c>
      <c r="AF3960">
        <v>-7.7140465546478998</v>
      </c>
      <c r="AG3960">
        <v>0.13542100000000001</v>
      </c>
      <c r="AH3960">
        <v>106.11716288583899</v>
      </c>
      <c r="AI3960">
        <v>89.927074684142497</v>
      </c>
      <c r="AJ3960">
        <v>94.157727411470304</v>
      </c>
      <c r="AK3960">
        <v>106.397260829564</v>
      </c>
      <c r="AL3960">
        <v>80.625137806507595</v>
      </c>
      <c r="AM3960">
        <v>95.340597224855401</v>
      </c>
      <c r="AN3960">
        <v>0.99999999790057104</v>
      </c>
    </row>
    <row r="3961" spans="1:40" x14ac:dyDescent="0.25">
      <c r="A3961" t="str">
        <f>"20190304155452770"</f>
        <v>20190304155452770</v>
      </c>
      <c r="B3961" t="str">
        <f>"1551686092761026"</f>
        <v>1551686092761026</v>
      </c>
      <c r="C3961" t="s">
        <v>40</v>
      </c>
      <c r="D3961">
        <v>4.221673</v>
      </c>
      <c r="E3961">
        <v>0.52821030000000002</v>
      </c>
      <c r="F3961" t="s">
        <v>46</v>
      </c>
      <c r="G3961">
        <v>-424.57260000000002</v>
      </c>
      <c r="H3961" s="1">
        <v>-4.3640820000000002E-6</v>
      </c>
      <c r="I3961">
        <v>57.42736</v>
      </c>
      <c r="J3961">
        <v>-422.459</v>
      </c>
      <c r="K3961">
        <v>1.110681</v>
      </c>
      <c r="L3961">
        <v>106.642</v>
      </c>
      <c r="M3961">
        <v>-5.8463069999999999E-2</v>
      </c>
      <c r="N3961">
        <v>-1.171433E-2</v>
      </c>
      <c r="O3961">
        <v>-0.99822089999999997</v>
      </c>
      <c r="P3961">
        <v>3.3558270000000001E-2</v>
      </c>
      <c r="Q3961">
        <v>0.15109330000000001</v>
      </c>
      <c r="R3961">
        <v>-0.98794979999999999</v>
      </c>
      <c r="S3961">
        <v>-0.1312256</v>
      </c>
      <c r="T3961">
        <v>-6.8574549999999998E-2</v>
      </c>
      <c r="U3961">
        <v>-3.051682</v>
      </c>
      <c r="V3961">
        <v>-9.1421660000000002E-2</v>
      </c>
      <c r="W3961">
        <v>0.16252469999999999</v>
      </c>
      <c r="X3961">
        <v>0.98246009999999995</v>
      </c>
      <c r="Y3961">
        <v>-1.552457E-2</v>
      </c>
      <c r="Z3961">
        <v>1.069789E-2</v>
      </c>
      <c r="AA3961">
        <v>0.99982230000000005</v>
      </c>
      <c r="AB3961">
        <v>22</v>
      </c>
      <c r="AC3961">
        <v>-2.1136000000000101</v>
      </c>
      <c r="AD3961">
        <v>-1.110685364082</v>
      </c>
      <c r="AE3961">
        <v>-49.214640000000003</v>
      </c>
      <c r="AF3961">
        <v>-0.76706189818205495</v>
      </c>
      <c r="AG3961">
        <v>-1.110685364082</v>
      </c>
      <c r="AH3961">
        <v>49.228999051069401</v>
      </c>
      <c r="AI3961">
        <v>91.292308817661194</v>
      </c>
      <c r="AJ3961">
        <v>90.892682240725705</v>
      </c>
      <c r="AK3961">
        <v>49.247500987398602</v>
      </c>
      <c r="AL3961">
        <v>80.646530887822806</v>
      </c>
      <c r="AM3961">
        <v>95.316281533640094</v>
      </c>
      <c r="AN3961">
        <v>1.00000002305962</v>
      </c>
    </row>
    <row r="3962" spans="1:40" x14ac:dyDescent="0.25">
      <c r="A3962" t="str">
        <f>"20190304155452792"</f>
        <v>20190304155452792</v>
      </c>
      <c r="B3962" t="str">
        <f>"1551686092781522"</f>
        <v>1551686092781522</v>
      </c>
      <c r="C3962" t="s">
        <v>40</v>
      </c>
      <c r="D3962">
        <v>4.2315529999999999</v>
      </c>
      <c r="E3962">
        <v>0.52838269999999998</v>
      </c>
      <c r="F3962" t="s">
        <v>46</v>
      </c>
      <c r="G3962">
        <v>-424.51479999999998</v>
      </c>
      <c r="H3962" s="1">
        <v>-2.5770200000000002E-6</v>
      </c>
      <c r="I3962">
        <v>62.795990000000003</v>
      </c>
      <c r="J3962">
        <v>-422.47089999999997</v>
      </c>
      <c r="K3962">
        <v>1.1106769999999999</v>
      </c>
      <c r="L3962">
        <v>106.4241</v>
      </c>
      <c r="M3962">
        <v>-5.7764049999999997E-2</v>
      </c>
      <c r="N3962">
        <v>-1.1706650000000001E-2</v>
      </c>
      <c r="O3962">
        <v>-0.99826150000000002</v>
      </c>
      <c r="P3962">
        <v>3.3560520000000003E-2</v>
      </c>
      <c r="Q3962">
        <v>0.15074270000000001</v>
      </c>
      <c r="R3962">
        <v>-0.98800299999999996</v>
      </c>
      <c r="S3962">
        <v>-0.14315799999999901</v>
      </c>
      <c r="T3962">
        <v>-7.7343700000000001E-2</v>
      </c>
      <c r="U3962">
        <v>-3.0532680000000001</v>
      </c>
      <c r="V3962">
        <v>-9.0737429999999994E-2</v>
      </c>
      <c r="W3962">
        <v>0.16216810000000001</v>
      </c>
      <c r="X3962">
        <v>0.98258239999999997</v>
      </c>
      <c r="Y3962">
        <v>-1.094944E-2</v>
      </c>
      <c r="Z3962">
        <v>1.3556520000000001E-2</v>
      </c>
      <c r="AA3962">
        <v>0.99984810000000002</v>
      </c>
      <c r="AB3962">
        <v>22</v>
      </c>
      <c r="AC3962">
        <v>-2.0438999999999998</v>
      </c>
      <c r="AD3962">
        <v>-1.11067957702</v>
      </c>
      <c r="AE3962">
        <v>-43.6281099999999</v>
      </c>
      <c r="AF3962">
        <v>-0.47951249322588402</v>
      </c>
      <c r="AG3962">
        <v>-1.11067957702</v>
      </c>
      <c r="AH3962">
        <v>43.645099955346303</v>
      </c>
      <c r="AI3962">
        <v>91.457659222574307</v>
      </c>
      <c r="AJ3962">
        <v>90.629462110672904</v>
      </c>
      <c r="AK3962">
        <v>43.6618631240827</v>
      </c>
      <c r="AL3962">
        <v>80.667236788385097</v>
      </c>
      <c r="AM3962">
        <v>95.2760650875518</v>
      </c>
      <c r="AN3962">
        <v>0.99999997332518697</v>
      </c>
    </row>
    <row r="3963" spans="1:40" x14ac:dyDescent="0.25">
      <c r="A3963" t="str">
        <f>"20190304155452814"</f>
        <v>20190304155452814</v>
      </c>
      <c r="B3963" t="str">
        <f>"1551686092811638"</f>
        <v>1551686092811638</v>
      </c>
      <c r="C3963" t="s">
        <v>40</v>
      </c>
      <c r="D3963">
        <v>4.2659760000000002</v>
      </c>
      <c r="E3963">
        <v>0.52802320000000003</v>
      </c>
      <c r="F3963" t="s">
        <v>46</v>
      </c>
      <c r="G3963">
        <v>-424.31110000000001</v>
      </c>
      <c r="H3963" s="1">
        <v>-4.3783330000000004E-6</v>
      </c>
      <c r="I3963">
        <v>67.605549999999994</v>
      </c>
      <c r="J3963">
        <v>-422.48250000000002</v>
      </c>
      <c r="K3963">
        <v>1.1106780000000001</v>
      </c>
      <c r="L3963">
        <v>106.2102</v>
      </c>
      <c r="M3963">
        <v>-5.7074079999999999E-2</v>
      </c>
      <c r="N3963">
        <v>-1.1700159999999999E-2</v>
      </c>
      <c r="O3963">
        <v>-0.99830149999999995</v>
      </c>
      <c r="P3963">
        <v>3.3240230000000003E-2</v>
      </c>
      <c r="Q3963">
        <v>0.15018119999999999</v>
      </c>
      <c r="R3963">
        <v>-0.98809979999999997</v>
      </c>
      <c r="S3963">
        <v>-0.14480589999999999</v>
      </c>
      <c r="T3963">
        <v>-8.7401030000000005E-2</v>
      </c>
      <c r="U3963">
        <v>-3.0546880000000001</v>
      </c>
      <c r="V3963">
        <v>-8.9743169999999997E-2</v>
      </c>
      <c r="W3963">
        <v>0.16160289999999999</v>
      </c>
      <c r="X3963">
        <v>0.9827669</v>
      </c>
      <c r="Y3963">
        <v>-9.7442640000000007E-3</v>
      </c>
      <c r="Z3963">
        <v>1.683231E-2</v>
      </c>
      <c r="AA3963">
        <v>0.9998108</v>
      </c>
      <c r="AB3963">
        <v>22</v>
      </c>
      <c r="AC3963">
        <v>-1.82859999999999</v>
      </c>
      <c r="AD3963">
        <v>-1.110682378333</v>
      </c>
      <c r="AE3963">
        <v>-38.604649999999999</v>
      </c>
      <c r="AF3963">
        <v>-0.37754476620830002</v>
      </c>
      <c r="AG3963">
        <v>-1.110682378333</v>
      </c>
      <c r="AH3963">
        <v>38.6141950842621</v>
      </c>
      <c r="AI3963">
        <v>91.647498599868996</v>
      </c>
      <c r="AJ3963">
        <v>90.560183434257695</v>
      </c>
      <c r="AK3963">
        <v>38.632010268706999</v>
      </c>
      <c r="AL3963">
        <v>80.700054011122603</v>
      </c>
      <c r="AM3963">
        <v>95.217598991623404</v>
      </c>
      <c r="AN3963">
        <v>1.00000005679283</v>
      </c>
    </row>
    <row r="3964" spans="1:40" x14ac:dyDescent="0.25">
      <c r="A3964" t="str">
        <f>"20190304155452837"</f>
        <v>20190304155452837</v>
      </c>
      <c r="B3964" t="str">
        <f>"1551686092831247"</f>
        <v>1551686092831247</v>
      </c>
      <c r="C3964" t="s">
        <v>40</v>
      </c>
      <c r="D3964">
        <v>4.2823419999999999</v>
      </c>
      <c r="E3964">
        <v>0.52791779999999999</v>
      </c>
      <c r="F3964" t="s">
        <v>46</v>
      </c>
      <c r="G3964">
        <v>-424.10449999999997</v>
      </c>
      <c r="H3964" s="1">
        <v>-1.9587809999999999E-6</v>
      </c>
      <c r="I3964">
        <v>71.609340000000003</v>
      </c>
      <c r="J3964">
        <v>-422.49470000000002</v>
      </c>
      <c r="K3964">
        <v>1.1106780000000001</v>
      </c>
      <c r="L3964">
        <v>105.98350000000001</v>
      </c>
      <c r="M3964">
        <v>-5.6331039999999999E-2</v>
      </c>
      <c r="N3964">
        <v>-1.1694309999999999E-2</v>
      </c>
      <c r="O3964">
        <v>-0.9983438</v>
      </c>
      <c r="P3964">
        <v>3.2996539999999998E-2</v>
      </c>
      <c r="Q3964">
        <v>0.14875429999999901</v>
      </c>
      <c r="R3964">
        <v>-0.98832350000000002</v>
      </c>
      <c r="S3964">
        <v>-0.1432495</v>
      </c>
      <c r="T3964">
        <v>-9.8092079999999998E-2</v>
      </c>
      <c r="U3964">
        <v>-3.055847</v>
      </c>
      <c r="V3964">
        <v>-8.8780429999999994E-2</v>
      </c>
      <c r="W3964">
        <v>0.1601736</v>
      </c>
      <c r="X3964">
        <v>0.98308819999999997</v>
      </c>
      <c r="Y3964">
        <v>-9.5289329999999998E-3</v>
      </c>
      <c r="Z3964">
        <v>2.031357E-2</v>
      </c>
      <c r="AA3964">
        <v>0.99974819999999998</v>
      </c>
      <c r="AB3964">
        <v>22</v>
      </c>
      <c r="AC3964">
        <v>-1.6097999999999499</v>
      </c>
      <c r="AD3964">
        <v>-1.1106799587809999</v>
      </c>
      <c r="AE3964">
        <v>-34.374159999999897</v>
      </c>
      <c r="AF3964">
        <v>-0.328878190143991</v>
      </c>
      <c r="AG3964">
        <v>-1.1106799587809999</v>
      </c>
      <c r="AH3964">
        <v>34.374449827162103</v>
      </c>
      <c r="AI3964">
        <v>91.850567289984099</v>
      </c>
      <c r="AJ3964">
        <v>90.548161714262704</v>
      </c>
      <c r="AK3964">
        <v>34.393961268729598</v>
      </c>
      <c r="AL3964">
        <v>80.783027068885801</v>
      </c>
      <c r="AM3964">
        <v>95.160252088357595</v>
      </c>
      <c r="AN3964">
        <v>0.99999997793359197</v>
      </c>
    </row>
    <row r="3965" spans="1:40" x14ac:dyDescent="0.25">
      <c r="A3965" t="str">
        <f>"20190304155452860"</f>
        <v>20190304155452860</v>
      </c>
      <c r="B3965" t="str">
        <f>"1551686092851654"</f>
        <v>1551686092851654</v>
      </c>
      <c r="C3965" t="s">
        <v>40</v>
      </c>
      <c r="D3965">
        <v>4.2055110000000004</v>
      </c>
      <c r="E3965">
        <v>0.52793659999999998</v>
      </c>
      <c r="F3965" t="s">
        <v>46</v>
      </c>
      <c r="G3965">
        <v>-423.99770000000001</v>
      </c>
      <c r="H3965" s="1">
        <v>-2.8679469999999999E-6</v>
      </c>
      <c r="I3965">
        <v>73.794899999999998</v>
      </c>
      <c r="J3965">
        <v>-422.50650000000002</v>
      </c>
      <c r="K3965">
        <v>1.110689</v>
      </c>
      <c r="L3965">
        <v>105.75960000000001</v>
      </c>
      <c r="M3965">
        <v>-5.5570590000000003E-2</v>
      </c>
      <c r="N3965">
        <v>-1.1689420000000001E-2</v>
      </c>
      <c r="O3965">
        <v>-0.99838640000000001</v>
      </c>
      <c r="P3965">
        <v>3.2772820000000001E-2</v>
      </c>
      <c r="Q3965">
        <v>0.14783379999999999</v>
      </c>
      <c r="R3965">
        <v>-0.98846909999999999</v>
      </c>
      <c r="S3965">
        <v>-0.1427002</v>
      </c>
      <c r="T3965">
        <v>-0.10545110000000001</v>
      </c>
      <c r="U3965">
        <v>-3.056076</v>
      </c>
      <c r="V3965">
        <v>-8.7820079999999995E-2</v>
      </c>
      <c r="W3965">
        <v>0.15924869999999999</v>
      </c>
      <c r="X3965">
        <v>0.98332470000000005</v>
      </c>
      <c r="Y3965">
        <v>-8.9525119999999993E-3</v>
      </c>
      <c r="Z3965">
        <v>2.2715909999999999E-2</v>
      </c>
      <c r="AA3965">
        <v>0.99970190000000003</v>
      </c>
      <c r="AB3965">
        <v>22</v>
      </c>
      <c r="AC3965">
        <v>-1.4911999999999901</v>
      </c>
      <c r="AD3965">
        <v>-1.1106918679469999</v>
      </c>
      <c r="AE3965">
        <v>-31.964700000000001</v>
      </c>
      <c r="AF3965">
        <v>-0.28717708301019701</v>
      </c>
      <c r="AG3965">
        <v>-1.1106918679469999</v>
      </c>
      <c r="AH3965">
        <v>31.959668827609601</v>
      </c>
      <c r="AI3965">
        <v>91.990314402438003</v>
      </c>
      <c r="AJ3965">
        <v>90.514823607849095</v>
      </c>
      <c r="AK3965">
        <v>31.980252323473199</v>
      </c>
      <c r="AL3965">
        <v>80.836709125310094</v>
      </c>
      <c r="AM3965">
        <v>95.103508199522494</v>
      </c>
      <c r="AN3965">
        <v>0.999999990266493</v>
      </c>
    </row>
    <row r="3966" spans="1:40" x14ac:dyDescent="0.25">
      <c r="A3966" t="str">
        <f>"20190304155452882"</f>
        <v>20190304155452882</v>
      </c>
      <c r="B3966" t="str">
        <f>"1551686092871174"</f>
        <v>1551686092871174</v>
      </c>
      <c r="C3966" t="s">
        <v>40</v>
      </c>
      <c r="D3966">
        <v>4.189775</v>
      </c>
      <c r="E3966">
        <v>0.52807740000000003</v>
      </c>
      <c r="F3966" t="s">
        <v>46</v>
      </c>
      <c r="G3966">
        <v>-423.94290000000001</v>
      </c>
      <c r="H3966" s="1">
        <v>-3.3765260000000001E-6</v>
      </c>
      <c r="I3966">
        <v>75.014359999999996</v>
      </c>
      <c r="J3966">
        <v>-422.51749999999998</v>
      </c>
      <c r="K3966">
        <v>1.110717</v>
      </c>
      <c r="L3966">
        <v>105.5442</v>
      </c>
      <c r="M3966">
        <v>-5.4797470000000001E-2</v>
      </c>
      <c r="N3966">
        <v>-1.1685630000000001E-2</v>
      </c>
      <c r="O3966">
        <v>-0.99842949999999997</v>
      </c>
      <c r="P3966">
        <v>3.260503E-2</v>
      </c>
      <c r="Q3966">
        <v>0.14704700000000001</v>
      </c>
      <c r="R3966">
        <v>-0.98859220000000003</v>
      </c>
      <c r="S3966">
        <v>-0.14279169999999999</v>
      </c>
      <c r="T3966">
        <v>-0.1104088</v>
      </c>
      <c r="U3966">
        <v>-3.056244</v>
      </c>
      <c r="V3966">
        <v>-8.6906140000000007E-2</v>
      </c>
      <c r="W3966">
        <v>0.15845590000000001</v>
      </c>
      <c r="X3966">
        <v>0.98353400000000002</v>
      </c>
      <c r="Y3966">
        <v>-8.1527709999999996E-3</v>
      </c>
      <c r="Z3966">
        <v>2.4335030000000001E-2</v>
      </c>
      <c r="AA3966">
        <v>0.99967059999999996</v>
      </c>
      <c r="AB3966">
        <v>22</v>
      </c>
      <c r="AC3966">
        <v>-1.42540000000002</v>
      </c>
      <c r="AD3966">
        <v>-1.1107203765260001</v>
      </c>
      <c r="AE3966">
        <v>-30.52984</v>
      </c>
      <c r="AF3966">
        <v>-0.249484039873866</v>
      </c>
      <c r="AG3966">
        <v>-1.1107203765260001</v>
      </c>
      <c r="AH3966">
        <v>30.521764912222</v>
      </c>
      <c r="AI3966">
        <v>92.084066773711797</v>
      </c>
      <c r="AJ3966">
        <v>90.468323645125196</v>
      </c>
      <c r="AK3966">
        <v>30.542987335850501</v>
      </c>
      <c r="AL3966">
        <v>80.882717868618002</v>
      </c>
      <c r="AM3966">
        <v>95.049603097013502</v>
      </c>
      <c r="AN3966">
        <v>1.0000000392852499</v>
      </c>
    </row>
    <row r="3967" spans="1:40" x14ac:dyDescent="0.25">
      <c r="A3967" t="str">
        <f>"20190304155452905"</f>
        <v>20190304155452905</v>
      </c>
      <c r="B3967" t="str">
        <f>"1551686092901430"</f>
        <v>1551686092901430</v>
      </c>
      <c r="C3967" t="s">
        <v>40</v>
      </c>
      <c r="D3967">
        <v>4.2028429999999997</v>
      </c>
      <c r="E3967">
        <v>0.52777890000000005</v>
      </c>
      <c r="F3967" t="s">
        <v>46</v>
      </c>
      <c r="G3967">
        <v>-423.90820000000002</v>
      </c>
      <c r="H3967" s="1">
        <v>-3.761835E-6</v>
      </c>
      <c r="I3967">
        <v>76.00394</v>
      </c>
      <c r="J3967">
        <v>-422.52850000000001</v>
      </c>
      <c r="K3967">
        <v>1.110751</v>
      </c>
      <c r="L3967">
        <v>105.32689999999999</v>
      </c>
      <c r="M3967">
        <v>-5.395875E-2</v>
      </c>
      <c r="N3967">
        <v>-1.1682710000000001E-2</v>
      </c>
      <c r="O3967">
        <v>-0.998475</v>
      </c>
      <c r="P3967">
        <v>3.2166239999999999E-2</v>
      </c>
      <c r="Q3967">
        <v>0.1470177</v>
      </c>
      <c r="R3967">
        <v>-0.98861109999999996</v>
      </c>
      <c r="S3967">
        <v>-0.1438904</v>
      </c>
      <c r="T3967">
        <v>-0.114923499999999</v>
      </c>
      <c r="U3967">
        <v>-3.0564580000000001</v>
      </c>
      <c r="V3967">
        <v>-8.5656280000000001E-2</v>
      </c>
      <c r="W3967">
        <v>0.15841820000000001</v>
      </c>
      <c r="X3967">
        <v>0.98364969999999996</v>
      </c>
      <c r="Y3967">
        <v>-6.9595109999999998E-3</v>
      </c>
      <c r="Z3967">
        <v>2.580824E-2</v>
      </c>
      <c r="AA3967">
        <v>0.9996427</v>
      </c>
      <c r="AB3967">
        <v>22</v>
      </c>
      <c r="AC3967">
        <v>-1.3797000000000099</v>
      </c>
      <c r="AD3967">
        <v>-1.110754761835</v>
      </c>
      <c r="AE3967">
        <v>-29.322959999999899</v>
      </c>
      <c r="AF3967">
        <v>-0.20435565842103701</v>
      </c>
      <c r="AG3967">
        <v>-1.110754761835</v>
      </c>
      <c r="AH3967">
        <v>29.312719609920599</v>
      </c>
      <c r="AI3967">
        <v>92.170033409301695</v>
      </c>
      <c r="AJ3967">
        <v>90.399435030813393</v>
      </c>
      <c r="AK3967">
        <v>29.334468945353201</v>
      </c>
      <c r="AL3967">
        <v>80.884905451366294</v>
      </c>
      <c r="AM3967">
        <v>94.976766049394499</v>
      </c>
      <c r="AN3967">
        <v>1.00000002835238</v>
      </c>
    </row>
    <row r="3968" spans="1:40" x14ac:dyDescent="0.25">
      <c r="A3968" t="str">
        <f>"20190304155452926"</f>
        <v>20190304155452926</v>
      </c>
      <c r="B3968" t="str">
        <f>"1551686092920950"</f>
        <v>1551686092920950</v>
      </c>
      <c r="C3968" t="s">
        <v>40</v>
      </c>
      <c r="D3968">
        <v>4.1372109999999997</v>
      </c>
      <c r="E3968">
        <v>0.52756139999999996</v>
      </c>
      <c r="F3968" t="s">
        <v>46</v>
      </c>
      <c r="G3968">
        <v>-423.83249999999998</v>
      </c>
      <c r="H3968" s="1">
        <v>-4.1857919999999996E-6</v>
      </c>
      <c r="I3968">
        <v>77.289249999999996</v>
      </c>
      <c r="J3968">
        <v>-422.53899999999999</v>
      </c>
      <c r="K3968">
        <v>1.1107940000000001</v>
      </c>
      <c r="L3968">
        <v>105.1135</v>
      </c>
      <c r="M3968">
        <v>-5.308094E-2</v>
      </c>
      <c r="N3968">
        <v>-1.168041E-2</v>
      </c>
      <c r="O3968">
        <v>-0.99852220000000003</v>
      </c>
      <c r="P3968">
        <v>3.1774089999999998E-2</v>
      </c>
      <c r="Q3968">
        <v>0.14698369999999999</v>
      </c>
      <c r="R3968">
        <v>-0.98862859999999997</v>
      </c>
      <c r="S3968">
        <v>-0.14218140000000001</v>
      </c>
      <c r="T3968">
        <v>-0.12111520000000001</v>
      </c>
      <c r="U3968">
        <v>-3.0571899999999999</v>
      </c>
      <c r="V3968">
        <v>-8.4416169999999999E-2</v>
      </c>
      <c r="W3968">
        <v>0.15837579999999901</v>
      </c>
      <c r="X3968">
        <v>0.98376370000000002</v>
      </c>
      <c r="Y3968">
        <v>-6.6517490000000002E-3</v>
      </c>
      <c r="Z3968">
        <v>2.782051E-2</v>
      </c>
      <c r="AA3968">
        <v>0.9995908</v>
      </c>
      <c r="AB3968">
        <v>22</v>
      </c>
      <c r="AC3968">
        <v>-1.2934999999999901</v>
      </c>
      <c r="AD3968">
        <v>-1.110798185792</v>
      </c>
      <c r="AE3968">
        <v>-27.824249999999999</v>
      </c>
      <c r="AF3968">
        <v>-0.18506715146265099</v>
      </c>
      <c r="AG3968">
        <v>-1.110798185792</v>
      </c>
      <c r="AH3968">
        <v>27.809457196421999</v>
      </c>
      <c r="AI3968">
        <v>92.287309159628293</v>
      </c>
      <c r="AJ3968">
        <v>90.381287923102406</v>
      </c>
      <c r="AK3968">
        <v>27.832248059036498</v>
      </c>
      <c r="AL3968">
        <v>80.887365598724799</v>
      </c>
      <c r="AM3968">
        <v>94.904502146794499</v>
      </c>
      <c r="AN3968">
        <v>1.00000000061039</v>
      </c>
    </row>
    <row r="3969" spans="1:40" x14ac:dyDescent="0.25">
      <c r="A3969" t="str">
        <f>"20190304155452948"</f>
        <v>20190304155452948</v>
      </c>
      <c r="B3969" t="str">
        <f>"1551686092941446"</f>
        <v>1551686092941446</v>
      </c>
      <c r="C3969" t="s">
        <v>40</v>
      </c>
      <c r="D3969">
        <v>4.1090400000000002</v>
      </c>
      <c r="E3969">
        <v>0.52747949999999999</v>
      </c>
      <c r="F3969" t="s">
        <v>46</v>
      </c>
      <c r="G3969">
        <v>-423.81150000000002</v>
      </c>
      <c r="H3969" s="1">
        <v>-4.2852239999999999E-6</v>
      </c>
      <c r="I3969">
        <v>77.592380000000006</v>
      </c>
      <c r="J3969">
        <v>-422.54950000000002</v>
      </c>
      <c r="K3969">
        <v>1.1108420000000001</v>
      </c>
      <c r="L3969">
        <v>104.89700000000001</v>
      </c>
      <c r="M3969">
        <v>-5.2124919999999998E-2</v>
      </c>
      <c r="N3969">
        <v>-1.167851E-2</v>
      </c>
      <c r="O3969">
        <v>-0.99857240000000003</v>
      </c>
      <c r="P3969">
        <v>3.2202790000000002E-2</v>
      </c>
      <c r="Q3969">
        <v>0.14741940000000001</v>
      </c>
      <c r="R3969">
        <v>-0.98854980000000003</v>
      </c>
      <c r="S3969">
        <v>-0.14135739999999999</v>
      </c>
      <c r="T3969">
        <v>-0.1234006</v>
      </c>
      <c r="U3969">
        <v>-3.0573730000000001</v>
      </c>
      <c r="V3969">
        <v>-8.3915009999999998E-2</v>
      </c>
      <c r="W3969">
        <v>0.158801</v>
      </c>
      <c r="X3969">
        <v>0.983738</v>
      </c>
      <c r="Y3969">
        <v>-5.9671159999999997E-3</v>
      </c>
      <c r="Z3969">
        <v>2.8567100000000002E-2</v>
      </c>
      <c r="AA3969">
        <v>0.99957410000000002</v>
      </c>
      <c r="AB3969">
        <v>22</v>
      </c>
      <c r="AC3969">
        <v>-1.262</v>
      </c>
      <c r="AD3969">
        <v>-1.110846285224</v>
      </c>
      <c r="AE3969">
        <v>-27.30462</v>
      </c>
      <c r="AF3969">
        <v>-0.162794990962217</v>
      </c>
      <c r="AG3969">
        <v>-1.110846285224</v>
      </c>
      <c r="AH3969">
        <v>27.288212783875402</v>
      </c>
      <c r="AI3969">
        <v>92.331063285256107</v>
      </c>
      <c r="AJ3969">
        <v>90.341808946170602</v>
      </c>
      <c r="AK3969">
        <v>27.311298735441699</v>
      </c>
      <c r="AL3969">
        <v>80.862690886843893</v>
      </c>
      <c r="AM3969">
        <v>94.8756527375633</v>
      </c>
      <c r="AN3969">
        <v>0.99999996957414905</v>
      </c>
    </row>
    <row r="3970" spans="1:40" x14ac:dyDescent="0.25">
      <c r="A3970" t="str">
        <f>"20190304155452970"</f>
        <v>20190304155452970</v>
      </c>
      <c r="B3970" t="str">
        <f>"1551686092960967"</f>
        <v>1551686092960967</v>
      </c>
      <c r="C3970" t="s">
        <v>40</v>
      </c>
      <c r="D3970">
        <v>4.1121460000000001</v>
      </c>
      <c r="E3970">
        <v>0.52744380000000002</v>
      </c>
      <c r="F3970" t="s">
        <v>46</v>
      </c>
      <c r="G3970">
        <v>-423.79860000000002</v>
      </c>
      <c r="H3970" s="1">
        <v>-4.207946E-6</v>
      </c>
      <c r="I3970">
        <v>77.371989999999997</v>
      </c>
      <c r="J3970">
        <v>-422.55959999999999</v>
      </c>
      <c r="K3970">
        <v>1.1108910000000001</v>
      </c>
      <c r="L3970">
        <v>104.6802</v>
      </c>
      <c r="M3970">
        <v>-5.1088809999999998E-2</v>
      </c>
      <c r="N3970">
        <v>-1.167705E-2</v>
      </c>
      <c r="O3970">
        <v>-0.99862600000000001</v>
      </c>
      <c r="P3970">
        <v>3.2548319999999999E-2</v>
      </c>
      <c r="Q3970">
        <v>0.14775720000000001</v>
      </c>
      <c r="R3970">
        <v>-0.98848809999999998</v>
      </c>
      <c r="S3970">
        <v>-0.13876340000000001</v>
      </c>
      <c r="T3970">
        <v>-0.1234007</v>
      </c>
      <c r="U3970">
        <v>-3.0576780000000001</v>
      </c>
      <c r="V3970">
        <v>-8.3252880000000001E-2</v>
      </c>
      <c r="W3970">
        <v>0.15912870000000001</v>
      </c>
      <c r="X3970">
        <v>0.98374130000000004</v>
      </c>
      <c r="Y3970">
        <v>-5.780444E-3</v>
      </c>
      <c r="Z3970">
        <v>2.8568090000000001E-2</v>
      </c>
      <c r="AA3970">
        <v>0.99957510000000005</v>
      </c>
      <c r="AB3970">
        <v>22</v>
      </c>
      <c r="AC3970">
        <v>-1.2390000000000301</v>
      </c>
      <c r="AD3970">
        <v>-1.1108952079459999</v>
      </c>
      <c r="AE3970">
        <v>-27.308209999999999</v>
      </c>
      <c r="AF3970">
        <v>-0.15759681240054299</v>
      </c>
      <c r="AG3970">
        <v>-1.1108952079459999</v>
      </c>
      <c r="AH3970">
        <v>27.290777599936099</v>
      </c>
      <c r="AI3970">
        <v>92.330949601473307</v>
      </c>
      <c r="AJ3970">
        <v>90.330863853636203</v>
      </c>
      <c r="AK3970">
        <v>27.313832886057799</v>
      </c>
      <c r="AL3970">
        <v>80.843673195531395</v>
      </c>
      <c r="AM3970">
        <v>94.837348607417894</v>
      </c>
      <c r="AN3970">
        <v>0.99999996525883605</v>
      </c>
    </row>
    <row r="3971" spans="1:40" x14ac:dyDescent="0.25">
      <c r="A3971" t="str">
        <f>"20190304155452993"</f>
        <v>20190304155452993</v>
      </c>
      <c r="B3971" t="str">
        <f>"1551686092981463"</f>
        <v>1551686092981463</v>
      </c>
      <c r="C3971" t="s">
        <v>40</v>
      </c>
      <c r="D3971">
        <v>4.1022189999999998</v>
      </c>
      <c r="E3971">
        <v>0.52739209999999903</v>
      </c>
      <c r="F3971" t="s">
        <v>46</v>
      </c>
      <c r="G3971">
        <v>-423.7912</v>
      </c>
      <c r="H3971" s="1">
        <v>-4.1420859999999997E-6</v>
      </c>
      <c r="I3971">
        <v>77.182339999999996</v>
      </c>
      <c r="J3971">
        <v>-422.56959999999998</v>
      </c>
      <c r="K3971">
        <v>1.110938</v>
      </c>
      <c r="L3971">
        <v>104.45950000000001</v>
      </c>
      <c r="M3971">
        <v>-4.9950509999999997E-2</v>
      </c>
      <c r="N3971">
        <v>-1.1673370000000001E-2</v>
      </c>
      <c r="O3971">
        <v>-0.99868369999999995</v>
      </c>
      <c r="P3971">
        <v>3.3329020000000001E-2</v>
      </c>
      <c r="Q3971">
        <v>0.14748439999999999</v>
      </c>
      <c r="R3971">
        <v>-0.98850300000000002</v>
      </c>
      <c r="S3971">
        <v>-0.1369629</v>
      </c>
      <c r="T3971">
        <v>-0.1235381</v>
      </c>
      <c r="U3971">
        <v>-3.057922</v>
      </c>
      <c r="V3971">
        <v>-8.2928859999999993E-2</v>
      </c>
      <c r="W3971">
        <v>0.1588434</v>
      </c>
      <c r="X3971">
        <v>0.98381479999999999</v>
      </c>
      <c r="Y3971">
        <v>-5.2318290000000003E-3</v>
      </c>
      <c r="Z3971">
        <v>2.8616909999999999E-2</v>
      </c>
      <c r="AA3971">
        <v>0.99957669999999998</v>
      </c>
      <c r="AB3971">
        <v>22</v>
      </c>
      <c r="AC3971">
        <v>-1.22160000000002</v>
      </c>
      <c r="AD3971">
        <v>-1.110942142086</v>
      </c>
      <c r="AE3971">
        <v>-27.277159999999999</v>
      </c>
      <c r="AF3971">
        <v>-0.14229017088865301</v>
      </c>
      <c r="AG3971">
        <v>-1.110942142086</v>
      </c>
      <c r="AH3971">
        <v>27.259003077031402</v>
      </c>
      <c r="AI3971">
        <v>92.333769271714303</v>
      </c>
      <c r="AJ3971">
        <v>90.299077416349803</v>
      </c>
      <c r="AK3971">
        <v>27.282002999952201</v>
      </c>
      <c r="AL3971">
        <v>80.8602305127893</v>
      </c>
      <c r="AM3971">
        <v>94.818252179852607</v>
      </c>
      <c r="AN3971">
        <v>0.99999999112174898</v>
      </c>
    </row>
    <row r="3972" spans="1:40" x14ac:dyDescent="0.25">
      <c r="A3972" t="str">
        <f>"20190304155453016"</f>
        <v>20190304155453016</v>
      </c>
      <c r="B3972" t="str">
        <f>"1551686093011719"</f>
        <v>1551686093011719</v>
      </c>
      <c r="C3972" t="s">
        <v>40</v>
      </c>
      <c r="D3972">
        <v>4.0970899999999997</v>
      </c>
      <c r="E3972">
        <v>0.52736289999999997</v>
      </c>
      <c r="F3972" t="s">
        <v>46</v>
      </c>
      <c r="G3972">
        <v>-423.76170000000002</v>
      </c>
      <c r="H3972" s="1">
        <v>-4.1698939999999999E-6</v>
      </c>
      <c r="I3972">
        <v>77.279430000000005</v>
      </c>
      <c r="J3972">
        <v>-422.57929999999999</v>
      </c>
      <c r="K3972">
        <v>1.1109849999999999</v>
      </c>
      <c r="L3972">
        <v>104.2389</v>
      </c>
      <c r="M3972">
        <v>-4.8731549999999998E-2</v>
      </c>
      <c r="N3972">
        <v>-1.166441E-2</v>
      </c>
      <c r="O3972">
        <v>-0.99874399999999997</v>
      </c>
      <c r="P3972">
        <v>3.4285240000000002E-2</v>
      </c>
      <c r="Q3972">
        <v>0.14751929999999999</v>
      </c>
      <c r="R3972">
        <v>-0.98846500000000004</v>
      </c>
      <c r="S3972">
        <v>-0.13412479999999999</v>
      </c>
      <c r="T3972">
        <v>-0.12499390000000001</v>
      </c>
      <c r="U3972">
        <v>-3.0580750000000001</v>
      </c>
      <c r="V3972">
        <v>-8.2698750000000001E-2</v>
      </c>
      <c r="W3972">
        <v>0.1588598</v>
      </c>
      <c r="X3972">
        <v>0.98383149999999997</v>
      </c>
      <c r="Y3972">
        <v>-4.9401059999999997E-3</v>
      </c>
      <c r="Z3972">
        <v>2.9101760000000001E-2</v>
      </c>
      <c r="AA3972">
        <v>0.99956420000000001</v>
      </c>
      <c r="AB3972">
        <v>22</v>
      </c>
      <c r="AC3972">
        <v>-1.1824000000000201</v>
      </c>
      <c r="AD3972">
        <v>-1.110989169894</v>
      </c>
      <c r="AE3972">
        <v>-26.95947</v>
      </c>
      <c r="AF3972">
        <v>-0.13264603628466401</v>
      </c>
      <c r="AG3972">
        <v>-1.110989169894</v>
      </c>
      <c r="AH3972">
        <v>26.9393980210831</v>
      </c>
      <c r="AI3972">
        <v>92.361528998410705</v>
      </c>
      <c r="AJ3972">
        <v>90.282114567793599</v>
      </c>
      <c r="AK3972">
        <v>26.9626233450104</v>
      </c>
      <c r="AL3972">
        <v>80.859278581201394</v>
      </c>
      <c r="AM3972">
        <v>94.804864055149906</v>
      </c>
      <c r="AN3972">
        <v>0.99999996984992501</v>
      </c>
    </row>
    <row r="3973" spans="1:40" x14ac:dyDescent="0.25">
      <c r="A3973" t="str">
        <f>"20190304155453038"</f>
        <v>20190304155453038</v>
      </c>
      <c r="B3973" t="str">
        <f>"1551686093031239"</f>
        <v>1551686093031239</v>
      </c>
      <c r="C3973" t="s">
        <v>40</v>
      </c>
      <c r="D3973">
        <v>4.0963919999999998</v>
      </c>
      <c r="E3973">
        <v>0.52730359999999998</v>
      </c>
      <c r="F3973" t="s">
        <v>46</v>
      </c>
      <c r="G3973">
        <v>-423.73930000000001</v>
      </c>
      <c r="H3973" s="1">
        <v>-4.1336599999999997E-6</v>
      </c>
      <c r="I3973">
        <v>77.184609999999907</v>
      </c>
      <c r="J3973">
        <v>-422.58850000000001</v>
      </c>
      <c r="K3973">
        <v>1.111016</v>
      </c>
      <c r="L3973">
        <v>104.0206</v>
      </c>
      <c r="M3973">
        <v>-4.7452479999999998E-2</v>
      </c>
      <c r="N3973">
        <v>-1.164957E-2</v>
      </c>
      <c r="O3973">
        <v>-0.99880570000000002</v>
      </c>
      <c r="P3973">
        <v>3.5379359999999999E-2</v>
      </c>
      <c r="Q3973">
        <v>0.146794799999999</v>
      </c>
      <c r="R3973">
        <v>-0.98853440000000004</v>
      </c>
      <c r="S3973">
        <v>-0.131134</v>
      </c>
      <c r="T3973">
        <v>-0.12558939999999999</v>
      </c>
      <c r="U3973">
        <v>-3.0582889999999998</v>
      </c>
      <c r="V3973">
        <v>-8.2550209999999999E-2</v>
      </c>
      <c r="W3973">
        <v>0.15811269999999999</v>
      </c>
      <c r="X3973">
        <v>0.98396430000000001</v>
      </c>
      <c r="Y3973">
        <v>-4.6385280000000003E-3</v>
      </c>
      <c r="Z3973">
        <v>2.9311670000000001E-2</v>
      </c>
      <c r="AA3973">
        <v>0.99955959999999999</v>
      </c>
      <c r="AB3973">
        <v>22</v>
      </c>
      <c r="AC3973">
        <v>-1.1508</v>
      </c>
      <c r="AD3973">
        <v>-1.1110201336600001</v>
      </c>
      <c r="AE3973">
        <v>-26.835989999999999</v>
      </c>
      <c r="AF3973">
        <v>-0.12380526601104699</v>
      </c>
      <c r="AG3973">
        <v>-1.1110201336600001</v>
      </c>
      <c r="AH3973">
        <v>26.814491636173098</v>
      </c>
      <c r="AI3973">
        <v>92.372586369777395</v>
      </c>
      <c r="AJ3973">
        <v>90.264538627661594</v>
      </c>
      <c r="AK3973">
        <v>26.837784096077801</v>
      </c>
      <c r="AL3973">
        <v>80.902632047711293</v>
      </c>
      <c r="AM3973">
        <v>94.795629752416303</v>
      </c>
      <c r="AN3973">
        <v>0.99999995337341097</v>
      </c>
    </row>
    <row r="3974" spans="1:40" x14ac:dyDescent="0.25">
      <c r="A3974" t="str">
        <f>"20190304155453062"</f>
        <v>20190304155453062</v>
      </c>
      <c r="B3974" t="str">
        <f>"1551686093051735"</f>
        <v>1551686093051735</v>
      </c>
      <c r="C3974" t="s">
        <v>40</v>
      </c>
      <c r="D3974">
        <v>4.0885569999999998</v>
      </c>
      <c r="E3974">
        <v>0.52734890000000001</v>
      </c>
      <c r="F3974" t="s">
        <v>46</v>
      </c>
      <c r="G3974">
        <v>-423.69299999999998</v>
      </c>
      <c r="H3974" s="1">
        <v>-4.2272699999999998E-6</v>
      </c>
      <c r="I3974">
        <v>77.483859999999893</v>
      </c>
      <c r="J3974">
        <v>-422.59780000000001</v>
      </c>
      <c r="K3974">
        <v>1.111051</v>
      </c>
      <c r="L3974">
        <v>103.7908</v>
      </c>
      <c r="M3974">
        <v>-4.6033589999999999E-2</v>
      </c>
      <c r="N3974">
        <v>-1.162476E-2</v>
      </c>
      <c r="O3974">
        <v>-0.99887230000000005</v>
      </c>
      <c r="P3974">
        <v>3.6712429999999997E-2</v>
      </c>
      <c r="Q3974">
        <v>0.14614170000000001</v>
      </c>
      <c r="R3974">
        <v>-0.98858239999999997</v>
      </c>
      <c r="S3974">
        <v>-0.12728879999999901</v>
      </c>
      <c r="T3974">
        <v>-0.12804450000000001</v>
      </c>
      <c r="U3974">
        <v>-3.0583499999999999</v>
      </c>
      <c r="V3974">
        <v>-8.2500260000000006E-2</v>
      </c>
      <c r="W3974">
        <v>0.15742709999999999</v>
      </c>
      <c r="X3974">
        <v>0.98407849999999997</v>
      </c>
      <c r="Y3974">
        <v>-4.4743980000000001E-3</v>
      </c>
      <c r="Z3974">
        <v>3.0139530000000001E-2</v>
      </c>
      <c r="AA3974">
        <v>0.99953570000000003</v>
      </c>
      <c r="AB3974">
        <v>22</v>
      </c>
      <c r="AC3974">
        <v>-1.0952000000000299</v>
      </c>
      <c r="AD3974">
        <v>-1.1110552272700001</v>
      </c>
      <c r="AE3974">
        <v>-26.306940000000001</v>
      </c>
      <c r="AF3974">
        <v>-0.116837802941994</v>
      </c>
      <c r="AG3974">
        <v>-1.1110552272700001</v>
      </c>
      <c r="AH3974">
        <v>26.282667205030801</v>
      </c>
      <c r="AI3974">
        <v>92.420616882783605</v>
      </c>
      <c r="AJ3974">
        <v>90.2547027988861</v>
      </c>
      <c r="AK3974">
        <v>26.306400175634899</v>
      </c>
      <c r="AL3974">
        <v>80.942413034067201</v>
      </c>
      <c r="AM3974">
        <v>94.792187907888803</v>
      </c>
      <c r="AN3974">
        <v>1.0000000394383599</v>
      </c>
    </row>
    <row r="3975" spans="1:40" x14ac:dyDescent="0.25">
      <c r="A3975" t="str">
        <f>"20190304155453083"</f>
        <v>20190304155453083</v>
      </c>
      <c r="B3975" t="str">
        <f>"1551686093071254"</f>
        <v>1551686093071254</v>
      </c>
      <c r="C3975" t="s">
        <v>40</v>
      </c>
      <c r="D3975">
        <v>4.1127539999999998</v>
      </c>
      <c r="E3975">
        <v>0.52746930000000003</v>
      </c>
      <c r="F3975" t="s">
        <v>46</v>
      </c>
      <c r="G3975">
        <v>-423.6454</v>
      </c>
      <c r="H3975" s="1">
        <v>-4.3118900000000003E-6</v>
      </c>
      <c r="I3975">
        <v>77.757319999999893</v>
      </c>
      <c r="J3975">
        <v>-422.60610000000003</v>
      </c>
      <c r="K3975">
        <v>1.111076</v>
      </c>
      <c r="L3975">
        <v>103.57769999999999</v>
      </c>
      <c r="M3975">
        <v>-4.4650960000000003E-2</v>
      </c>
      <c r="N3975">
        <v>-1.158533E-2</v>
      </c>
      <c r="O3975">
        <v>-0.99893569999999998</v>
      </c>
      <c r="P3975">
        <v>3.8196910000000001E-2</v>
      </c>
      <c r="Q3975">
        <v>0.14560209999999901</v>
      </c>
      <c r="R3975">
        <v>-0.98860570000000003</v>
      </c>
      <c r="S3975">
        <v>-0.1230774</v>
      </c>
      <c r="T3975">
        <v>-0.1305317</v>
      </c>
      <c r="U3975">
        <v>-3.0585330000000002</v>
      </c>
      <c r="V3975">
        <v>-8.2632869999999997E-2</v>
      </c>
      <c r="W3975">
        <v>0.1568417</v>
      </c>
      <c r="X3975">
        <v>0.98416079999999995</v>
      </c>
      <c r="Y3975">
        <v>-4.4677479999999997E-3</v>
      </c>
      <c r="Z3975">
        <v>3.0990650000000002E-2</v>
      </c>
      <c r="AA3975">
        <v>0.99950969999999995</v>
      </c>
      <c r="AB3975">
        <v>22</v>
      </c>
      <c r="AC3975">
        <v>-1.0392999999999599</v>
      </c>
      <c r="AD3975">
        <v>-1.1110803118899999</v>
      </c>
      <c r="AE3975">
        <v>-25.82038</v>
      </c>
      <c r="AF3975">
        <v>-0.11450686716490301</v>
      </c>
      <c r="AG3975">
        <v>-1.1110803118899999</v>
      </c>
      <c r="AH3975">
        <v>25.793349663280001</v>
      </c>
      <c r="AI3975">
        <v>92.466537145655394</v>
      </c>
      <c r="AJ3975">
        <v>90.254356925318007</v>
      </c>
      <c r="AK3975">
        <v>25.817523082866099</v>
      </c>
      <c r="AL3975">
        <v>80.976375492577802</v>
      </c>
      <c r="AM3975">
        <v>94.799455346868299</v>
      </c>
      <c r="AN3975">
        <v>0.99999999515998295</v>
      </c>
    </row>
    <row r="3976" spans="1:40" x14ac:dyDescent="0.25">
      <c r="A3976" t="str">
        <f>"20190304155453105"</f>
        <v>20190304155453105</v>
      </c>
      <c r="B3976" t="str">
        <f>"1551686093101511"</f>
        <v>1551686093101511</v>
      </c>
      <c r="C3976" t="s">
        <v>40</v>
      </c>
      <c r="D3976">
        <v>4.0876039999999998</v>
      </c>
      <c r="E3976">
        <v>0.54259930000000001</v>
      </c>
      <c r="F3976" t="s">
        <v>46</v>
      </c>
      <c r="G3976">
        <v>-423.6037</v>
      </c>
      <c r="H3976" s="1">
        <v>-4.3666959999999999E-6</v>
      </c>
      <c r="I3976">
        <v>77.940100000000001</v>
      </c>
      <c r="J3976">
        <v>-422.61399999999998</v>
      </c>
      <c r="K3976">
        <v>1.1111040000000001</v>
      </c>
      <c r="L3976">
        <v>103.36539999999999</v>
      </c>
      <c r="M3976">
        <v>-4.3229940000000001E-2</v>
      </c>
      <c r="N3976">
        <v>-1.153769E-2</v>
      </c>
      <c r="O3976">
        <v>-0.99899859999999896</v>
      </c>
      <c r="P3976">
        <v>4.0261449999999997E-2</v>
      </c>
      <c r="Q3976">
        <v>0.1458681</v>
      </c>
      <c r="R3976">
        <v>-0.98848429999999998</v>
      </c>
      <c r="S3976">
        <v>-0.1190186</v>
      </c>
      <c r="T3976">
        <v>-0.13255690000000001</v>
      </c>
      <c r="U3976">
        <v>-3.0586850000000001</v>
      </c>
      <c r="V3976">
        <v>-8.3298269999999994E-2</v>
      </c>
      <c r="W3976">
        <v>0.1570532</v>
      </c>
      <c r="X3976">
        <v>0.98407100000000003</v>
      </c>
      <c r="Y3976">
        <v>-4.3724059999999997E-3</v>
      </c>
      <c r="Z3976">
        <v>3.1699959999999999E-2</v>
      </c>
      <c r="AA3976">
        <v>0.99948789999999998</v>
      </c>
      <c r="AB3976">
        <v>22</v>
      </c>
      <c r="AC3976">
        <v>-0.98969999999997005</v>
      </c>
      <c r="AD3976">
        <v>-1.111108366696</v>
      </c>
      <c r="AE3976">
        <v>-25.4253</v>
      </c>
      <c r="AF3976">
        <v>-0.11022244054533099</v>
      </c>
      <c r="AG3976">
        <v>-1.111108366696</v>
      </c>
      <c r="AH3976">
        <v>25.395888607299199</v>
      </c>
      <c r="AI3976">
        <v>92.505155411425505</v>
      </c>
      <c r="AJ3976">
        <v>90.248671786807606</v>
      </c>
      <c r="AK3976">
        <v>25.420422280979</v>
      </c>
      <c r="AL3976">
        <v>80.964105608479997</v>
      </c>
      <c r="AM3976">
        <v>94.838359565610602</v>
      </c>
      <c r="AN3976">
        <v>1.0000000212281099</v>
      </c>
    </row>
    <row r="3977" spans="1:40" x14ac:dyDescent="0.25">
      <c r="A3977" t="str">
        <f>"20190304155453127"</f>
        <v>20190304155453127</v>
      </c>
      <c r="B3977" t="str">
        <f>"1551686093121034"</f>
        <v>1551686093121034</v>
      </c>
      <c r="C3977" t="s">
        <v>40</v>
      </c>
      <c r="D3977">
        <v>4.3522239999999996</v>
      </c>
      <c r="E3977">
        <v>0.54000539999999997</v>
      </c>
      <c r="F3977" t="s">
        <v>74</v>
      </c>
      <c r="G3977">
        <v>-428.76100000000002</v>
      </c>
      <c r="H3977" s="1">
        <v>-9.4521310000000003E-6</v>
      </c>
      <c r="I3977">
        <v>22.17503</v>
      </c>
      <c r="J3977">
        <v>-422.62180000000001</v>
      </c>
      <c r="K3977">
        <v>1.1111150000000001</v>
      </c>
      <c r="L3977">
        <v>103.14279999999999</v>
      </c>
      <c r="M3977">
        <v>-4.1702709999999997E-2</v>
      </c>
      <c r="N3977">
        <v>-1.148158E-2</v>
      </c>
      <c r="O3977">
        <v>-0.99906419999999996</v>
      </c>
      <c r="P3977">
        <v>4.2210049999999999E-2</v>
      </c>
      <c r="Q3977">
        <v>0.1462494</v>
      </c>
      <c r="R3977">
        <v>-0.98834679999999997</v>
      </c>
      <c r="S3977">
        <v>-0.230957</v>
      </c>
      <c r="T3977">
        <v>-4.1747090000000001E-2</v>
      </c>
      <c r="U3977">
        <v>-3.0505070000000001</v>
      </c>
      <c r="V3977">
        <v>-8.3741129999999997E-2</v>
      </c>
      <c r="W3977">
        <v>0.15737290000000001</v>
      </c>
      <c r="X3977">
        <v>0.98398229999999998</v>
      </c>
      <c r="Y3977">
        <v>3.3837800000000001E-2</v>
      </c>
      <c r="Z3977">
        <v>2.1794140000000002E-3</v>
      </c>
      <c r="AA3977">
        <v>0.99942489999999995</v>
      </c>
      <c r="AB3977">
        <v>22</v>
      </c>
      <c r="AC3977">
        <v>-6.1391999999999598</v>
      </c>
      <c r="AD3977">
        <v>-1.11112445213099</v>
      </c>
      <c r="AE3977">
        <v>-80.967770000000002</v>
      </c>
      <c r="AF3977">
        <v>2.7565447863197501</v>
      </c>
      <c r="AG3977">
        <v>-1.11112445213099</v>
      </c>
      <c r="AH3977">
        <v>81.138169282422695</v>
      </c>
      <c r="AI3977">
        <v>90.784120002139503</v>
      </c>
      <c r="AJ3977">
        <v>88.054212194230303</v>
      </c>
      <c r="AK3977">
        <v>81.192583720498703</v>
      </c>
      <c r="AL3977">
        <v>80.945557180863702</v>
      </c>
      <c r="AM3977">
        <v>94.864396247562993</v>
      </c>
      <c r="AN3977">
        <v>0.99999998661068801</v>
      </c>
    </row>
    <row r="3978" spans="1:40" x14ac:dyDescent="0.25">
      <c r="A3978" t="str">
        <f>"20190304155453149"</f>
        <v>20190304155453149</v>
      </c>
      <c r="B3978" t="str">
        <f>"1551686093141527"</f>
        <v>1551686093141527</v>
      </c>
      <c r="C3978" t="s">
        <v>40</v>
      </c>
      <c r="D3978">
        <v>4.1233810000000002</v>
      </c>
      <c r="E3978">
        <v>0.53879370000000004</v>
      </c>
      <c r="F3978" t="s">
        <v>74</v>
      </c>
      <c r="G3978">
        <v>-426.97609999999997</v>
      </c>
      <c r="H3978" s="1">
        <v>-2.4515019999999998E-6</v>
      </c>
      <c r="I3978">
        <v>38.082979999999999</v>
      </c>
      <c r="J3978">
        <v>-422.62889999999999</v>
      </c>
      <c r="K3978">
        <v>1.1111249999999999</v>
      </c>
      <c r="L3978">
        <v>102.93129999999999</v>
      </c>
      <c r="M3978">
        <v>-4.0223479999999999E-2</v>
      </c>
      <c r="N3978">
        <v>-1.141677E-2</v>
      </c>
      <c r="O3978">
        <v>-0.99912579999999995</v>
      </c>
      <c r="P3978">
        <v>4.4179639999999999E-2</v>
      </c>
      <c r="Q3978">
        <v>0.1463071</v>
      </c>
      <c r="R3978">
        <v>-0.98825249999999998</v>
      </c>
      <c r="S3978">
        <v>-0.2042542</v>
      </c>
      <c r="T3978">
        <v>-5.212021E-2</v>
      </c>
      <c r="U3978">
        <v>-3.0518190000000001</v>
      </c>
      <c r="V3978">
        <v>-8.4251279999999998E-2</v>
      </c>
      <c r="W3978">
        <v>0.1573621</v>
      </c>
      <c r="X3978">
        <v>0.9839405</v>
      </c>
      <c r="Y3978">
        <v>2.6583539999999999E-2</v>
      </c>
      <c r="Z3978">
        <v>5.6322619999999999E-3</v>
      </c>
      <c r="AA3978">
        <v>0.99963069999999998</v>
      </c>
      <c r="AB3978">
        <v>22</v>
      </c>
      <c r="AC3978">
        <v>-4.3471999999999804</v>
      </c>
      <c r="AD3978">
        <v>-1.111127451502</v>
      </c>
      <c r="AE3978">
        <v>-64.848320000000001</v>
      </c>
      <c r="AF3978">
        <v>1.7345801414108699</v>
      </c>
      <c r="AG3978">
        <v>-1.111127451502</v>
      </c>
      <c r="AH3978">
        <v>64.951719454199093</v>
      </c>
      <c r="AI3978">
        <v>90.979712647954301</v>
      </c>
      <c r="AJ3978">
        <v>88.470240579251794</v>
      </c>
      <c r="AK3978">
        <v>64.984376834262605</v>
      </c>
      <c r="AL3978">
        <v>80.946183979051099</v>
      </c>
      <c r="AM3978">
        <v>94.894093497909594</v>
      </c>
      <c r="AN3978">
        <v>1.00000000811914</v>
      </c>
    </row>
    <row r="3979" spans="1:40" x14ac:dyDescent="0.25">
      <c r="A3979" t="str">
        <f>"20190304155453172"</f>
        <v>20190304155453172</v>
      </c>
      <c r="B3979" t="str">
        <f>"1551686093161047"</f>
        <v>1551686093161047</v>
      </c>
      <c r="C3979" t="s">
        <v>40</v>
      </c>
      <c r="D3979">
        <v>4.2016359999999997</v>
      </c>
      <c r="E3979">
        <v>0.53745989999999999</v>
      </c>
      <c r="F3979" t="s">
        <v>46</v>
      </c>
      <c r="G3979">
        <v>-426.45710000000003</v>
      </c>
      <c r="H3979" s="1">
        <v>-2.2664520000000002E-6</v>
      </c>
      <c r="I3979">
        <v>40.867379999999997</v>
      </c>
      <c r="J3979">
        <v>-422.63630000000001</v>
      </c>
      <c r="K3979">
        <v>1.1111249999999999</v>
      </c>
      <c r="L3979">
        <v>102.7028</v>
      </c>
      <c r="M3979">
        <v>-3.8602299999999999E-2</v>
      </c>
      <c r="N3979">
        <v>-1.133693E-2</v>
      </c>
      <c r="O3979">
        <v>-0.99919040000000003</v>
      </c>
      <c r="P3979">
        <v>4.6098340000000002E-2</v>
      </c>
      <c r="Q3979">
        <v>0.1462502</v>
      </c>
      <c r="R3979">
        <v>-0.98817310000000003</v>
      </c>
      <c r="S3979">
        <v>-0.18826290000000001</v>
      </c>
      <c r="T3979">
        <v>-5.4643150000000001E-2</v>
      </c>
      <c r="U3979">
        <v>-3.0521850000000001</v>
      </c>
      <c r="V3979">
        <v>-8.4570820000000005E-2</v>
      </c>
      <c r="W3979">
        <v>0.15722269999999999</v>
      </c>
      <c r="X3979">
        <v>0.98393540000000002</v>
      </c>
      <c r="Y3979">
        <v>2.29818E-2</v>
      </c>
      <c r="Z3979">
        <v>6.5379679999999999E-3</v>
      </c>
      <c r="AA3979">
        <v>0.99971449999999995</v>
      </c>
      <c r="AB3979">
        <v>22</v>
      </c>
      <c r="AC3979">
        <v>-3.8208000000000202</v>
      </c>
      <c r="AD3979">
        <v>-1.111127266452</v>
      </c>
      <c r="AE3979">
        <v>-61.8354199999999</v>
      </c>
      <c r="AF3979">
        <v>1.4303490256684499</v>
      </c>
      <c r="AG3979">
        <v>-1.111127266452</v>
      </c>
      <c r="AH3979">
        <v>61.916910163028099</v>
      </c>
      <c r="AI3979">
        <v>91.027814454718097</v>
      </c>
      <c r="AJ3979">
        <v>88.676639572546904</v>
      </c>
      <c r="AK3979">
        <v>61.943395663088801</v>
      </c>
      <c r="AL3979">
        <v>80.954271941801807</v>
      </c>
      <c r="AM3979">
        <v>94.912590008075696</v>
      </c>
      <c r="AN3979">
        <v>1.0000000361819601</v>
      </c>
    </row>
    <row r="3980" spans="1:40" x14ac:dyDescent="0.25">
      <c r="A3980" t="str">
        <f>"20190304155453194"</f>
        <v>20190304155453194</v>
      </c>
      <c r="B3980" t="str">
        <f>"1551686093191303"</f>
        <v>1551686093191303</v>
      </c>
      <c r="C3980" t="s">
        <v>40</v>
      </c>
      <c r="D3980">
        <v>4.1347440000000004</v>
      </c>
      <c r="E3980">
        <v>0.50506660000000003</v>
      </c>
      <c r="F3980" t="s">
        <v>46</v>
      </c>
      <c r="G3980">
        <v>-425.90309999999999</v>
      </c>
      <c r="H3980" s="1">
        <v>-3.680218E-6</v>
      </c>
      <c r="I3980">
        <v>44.724299999999999</v>
      </c>
      <c r="J3980">
        <v>-422.64269999999999</v>
      </c>
      <c r="K3980">
        <v>1.1111230000000001</v>
      </c>
      <c r="L3980">
        <v>102.4927</v>
      </c>
      <c r="M3980">
        <v>-3.7098810000000003E-2</v>
      </c>
      <c r="N3980">
        <v>-1.1262309999999999E-2</v>
      </c>
      <c r="O3980">
        <v>-0.99924840000000004</v>
      </c>
      <c r="P3980">
        <v>4.7730040000000001E-2</v>
      </c>
      <c r="Q3980">
        <v>0.14662020000000001</v>
      </c>
      <c r="R3980">
        <v>-0.98804099999999995</v>
      </c>
      <c r="S3980">
        <v>-0.17199710000000001</v>
      </c>
      <c r="T3980">
        <v>-5.8501240000000003E-2</v>
      </c>
      <c r="U3980">
        <v>-3.0525820000000001</v>
      </c>
      <c r="V3980">
        <v>-8.4717420000000002E-2</v>
      </c>
      <c r="W3980">
        <v>0.15751609999999999</v>
      </c>
      <c r="X3980">
        <v>0.98387579999999997</v>
      </c>
      <c r="Y3980">
        <v>1.91694E-2</v>
      </c>
      <c r="Z3980">
        <v>7.8745940000000004E-3</v>
      </c>
      <c r="AA3980">
        <v>0.99978520000000004</v>
      </c>
      <c r="AB3980">
        <v>22</v>
      </c>
      <c r="AC3980">
        <v>-3.2604000000000002</v>
      </c>
      <c r="AD3980">
        <v>-1.11112668021799</v>
      </c>
      <c r="AE3980">
        <v>-57.7684</v>
      </c>
      <c r="AF3980">
        <v>1.1144700098996301</v>
      </c>
      <c r="AG3980">
        <v>-1.11112668021799</v>
      </c>
      <c r="AH3980">
        <v>57.828266129379401</v>
      </c>
      <c r="AI3980">
        <v>91.100555590372196</v>
      </c>
      <c r="AJ3980">
        <v>88.895928780972497</v>
      </c>
      <c r="AK3980">
        <v>57.849675966532303</v>
      </c>
      <c r="AL3980">
        <v>80.937248708509202</v>
      </c>
      <c r="AM3980">
        <v>94.9213606344087</v>
      </c>
      <c r="AN3980">
        <v>0.99999997641815197</v>
      </c>
    </row>
    <row r="3981" spans="1:40" x14ac:dyDescent="0.25">
      <c r="A3981" t="str">
        <f>"20190304155453216"</f>
        <v>20190304155453216</v>
      </c>
      <c r="B3981" t="str">
        <f>"1551686093211799"</f>
        <v>1551686093211799</v>
      </c>
      <c r="C3981" t="s">
        <v>40</v>
      </c>
      <c r="D3981">
        <v>4.1457649999999999</v>
      </c>
      <c r="E3981">
        <v>0.50595909999999999</v>
      </c>
      <c r="F3981" t="s">
        <v>46</v>
      </c>
      <c r="G3981">
        <v>-421.52890000000002</v>
      </c>
      <c r="H3981" s="1">
        <v>-2.6434739999999999E-6</v>
      </c>
      <c r="I3981">
        <v>64.802859999999995</v>
      </c>
      <c r="J3981">
        <v>-422.64920000000001</v>
      </c>
      <c r="K3981">
        <v>1.111116</v>
      </c>
      <c r="L3981">
        <v>102.2663</v>
      </c>
      <c r="M3981">
        <v>-3.5470269999999998E-2</v>
      </c>
      <c r="N3981">
        <v>-1.118014E-2</v>
      </c>
      <c r="O3981">
        <v>-0.99930830000000004</v>
      </c>
      <c r="P3981">
        <v>4.9233890000000002E-2</v>
      </c>
      <c r="Q3981">
        <v>0.14638380000000001</v>
      </c>
      <c r="R3981">
        <v>-0.98800189999999999</v>
      </c>
      <c r="S3981">
        <v>8.9996339999999994E-2</v>
      </c>
      <c r="T3981">
        <v>-8.9777469999999998E-2</v>
      </c>
      <c r="U3981">
        <v>-3.0452880000000002</v>
      </c>
      <c r="V3981">
        <v>-8.4614309999999998E-2</v>
      </c>
      <c r="W3981">
        <v>0.15719820000000001</v>
      </c>
      <c r="X3981">
        <v>0.98393549999999996</v>
      </c>
      <c r="Y3981">
        <v>-6.4958489999999994E-2</v>
      </c>
      <c r="Z3981">
        <v>1.8219639999999999E-2</v>
      </c>
      <c r="AA3981">
        <v>0.99772159999999999</v>
      </c>
      <c r="AB3981">
        <v>22</v>
      </c>
      <c r="AC3981">
        <v>1.1202999999999801</v>
      </c>
      <c r="AD3981">
        <v>-1.1111186434739999</v>
      </c>
      <c r="AE3981">
        <v>-37.463439999999999</v>
      </c>
      <c r="AF3981">
        <v>-2.4463661880630299</v>
      </c>
      <c r="AG3981">
        <v>-1.1111186434739999</v>
      </c>
      <c r="AH3981">
        <v>37.367282255622698</v>
      </c>
      <c r="AI3981">
        <v>91.699555813206999</v>
      </c>
      <c r="AJ3981">
        <v>93.745702335541907</v>
      </c>
      <c r="AK3981">
        <v>37.463756823593499</v>
      </c>
      <c r="AL3981">
        <v>80.955692685630893</v>
      </c>
      <c r="AM3981">
        <v>94.915103406264507</v>
      </c>
      <c r="AN3981">
        <v>0.99999996185013196</v>
      </c>
    </row>
    <row r="3982" spans="1:40" x14ac:dyDescent="0.25">
      <c r="A3982" t="str">
        <f>"20190304155453250"</f>
        <v>20190304155453250</v>
      </c>
      <c r="B3982" t="str">
        <f>"1551686093241082"</f>
        <v>1551686093241082</v>
      </c>
      <c r="C3982" t="s">
        <v>40</v>
      </c>
      <c r="D3982">
        <v>4.1364999999999998</v>
      </c>
      <c r="E3982">
        <v>0.50715290000000002</v>
      </c>
      <c r="F3982" t="s">
        <v>46</v>
      </c>
      <c r="G3982">
        <v>-421.49930000000001</v>
      </c>
      <c r="H3982" s="1">
        <v>-1.589085E-6</v>
      </c>
      <c r="I3982">
        <v>62.363379999999999</v>
      </c>
      <c r="J3982">
        <v>-422.65800000000002</v>
      </c>
      <c r="K3982">
        <v>1.1110949999999999</v>
      </c>
      <c r="L3982">
        <v>101.938</v>
      </c>
      <c r="M3982">
        <v>-3.3104080000000001E-2</v>
      </c>
      <c r="N3982">
        <v>-1.104368E-2</v>
      </c>
      <c r="O3982">
        <v>-0.99939089999999997</v>
      </c>
      <c r="P3982">
        <v>5.0797700000000001E-2</v>
      </c>
      <c r="Q3982">
        <v>0.1457878</v>
      </c>
      <c r="R3982">
        <v>-0.98801090000000003</v>
      </c>
      <c r="S3982">
        <v>8.7738040000000003E-2</v>
      </c>
      <c r="T3982">
        <v>-8.4779019999999997E-2</v>
      </c>
      <c r="U3982">
        <v>-3.0446170000000001</v>
      </c>
      <c r="V3982">
        <v>-8.3842910000000007E-2</v>
      </c>
      <c r="W3982">
        <v>0.15647159999999999</v>
      </c>
      <c r="X3982">
        <v>0.98411740000000003</v>
      </c>
      <c r="Y3982">
        <v>-6.186473E-2</v>
      </c>
      <c r="Z3982">
        <v>1.67330999999999E-2</v>
      </c>
      <c r="AA3982">
        <v>0.99794430000000001</v>
      </c>
      <c r="AB3982">
        <v>22</v>
      </c>
      <c r="AC3982">
        <v>1.1587000000000101</v>
      </c>
      <c r="AD3982">
        <v>-1.111096589085</v>
      </c>
      <c r="AE3982">
        <v>-39.574619999999904</v>
      </c>
      <c r="AF3982">
        <v>-2.4662837150803498</v>
      </c>
      <c r="AG3982">
        <v>-1.111096589085</v>
      </c>
      <c r="AH3982">
        <v>39.483470225644901</v>
      </c>
      <c r="AI3982">
        <v>91.608790071672701</v>
      </c>
      <c r="AJ3982">
        <v>93.5742627360505</v>
      </c>
      <c r="AK3982">
        <v>39.576021933147103</v>
      </c>
      <c r="AL3982">
        <v>80.997846032029898</v>
      </c>
      <c r="AM3982">
        <v>94.869614695357399</v>
      </c>
      <c r="AN3982">
        <v>1.00000002607329</v>
      </c>
    </row>
    <row r="3983" spans="1:40" x14ac:dyDescent="0.25">
      <c r="A3983" t="str">
        <f>"20190304155453273"</f>
        <v>20190304155453273</v>
      </c>
      <c r="B3983" t="str">
        <f>"1551686093261574"</f>
        <v>1551686093261574</v>
      </c>
      <c r="C3983" t="s">
        <v>40</v>
      </c>
      <c r="D3983">
        <v>4.179462</v>
      </c>
      <c r="E3983">
        <v>0.50819570000000003</v>
      </c>
      <c r="F3983" t="s">
        <v>46</v>
      </c>
      <c r="G3983">
        <v>-421.53339999999997</v>
      </c>
      <c r="H3983" s="1">
        <v>-7.6334949999999995E-7</v>
      </c>
      <c r="I3983">
        <v>60.417470000000002</v>
      </c>
      <c r="J3983">
        <v>-422.66359999999997</v>
      </c>
      <c r="K3983">
        <v>1.1110799999999901</v>
      </c>
      <c r="L3983">
        <v>101.7111</v>
      </c>
      <c r="M3983">
        <v>-3.1469289999999997E-2</v>
      </c>
      <c r="N3983">
        <v>-1.094706E-2</v>
      </c>
      <c r="O3983">
        <v>-0.99944500000000003</v>
      </c>
      <c r="P3983">
        <v>5.134851E-2</v>
      </c>
      <c r="Q3983">
        <v>0.14533960000000001</v>
      </c>
      <c r="R3983">
        <v>-0.98804879999999995</v>
      </c>
      <c r="S3983">
        <v>8.2458500000000004E-2</v>
      </c>
      <c r="T3983">
        <v>-8.1462980000000004E-2</v>
      </c>
      <c r="U3983">
        <v>-3.0441889999999998</v>
      </c>
      <c r="V3983">
        <v>-8.277959E-2</v>
      </c>
      <c r="W3983">
        <v>0.15593319999999999</v>
      </c>
      <c r="X3983">
        <v>0.98429279999999997</v>
      </c>
      <c r="Y3983">
        <v>-5.8508020000000001E-2</v>
      </c>
      <c r="Z3983">
        <v>1.5753489999999998E-2</v>
      </c>
      <c r="AA3983">
        <v>0.99816260000000001</v>
      </c>
      <c r="AB3983">
        <v>22</v>
      </c>
      <c r="AC3983">
        <v>1.1302000000000001</v>
      </c>
      <c r="AD3983">
        <v>-1.1110807633494999</v>
      </c>
      <c r="AE3983">
        <v>-41.29363</v>
      </c>
      <c r="AF3983">
        <v>-2.4274428559283301</v>
      </c>
      <c r="AG3983">
        <v>-1.1110807633494999</v>
      </c>
      <c r="AH3983">
        <v>41.207795713138303</v>
      </c>
      <c r="AI3983">
        <v>91.541813403450007</v>
      </c>
      <c r="AJ3983">
        <v>93.371247769170694</v>
      </c>
      <c r="AK3983">
        <v>41.2941812706975</v>
      </c>
      <c r="AL3983">
        <v>81.029076933368799</v>
      </c>
      <c r="AM3983">
        <v>94.807295423487005</v>
      </c>
      <c r="AN3983">
        <v>0.99999996975732297</v>
      </c>
    </row>
    <row r="3984" spans="1:40" x14ac:dyDescent="0.25">
      <c r="A3984" t="str">
        <f>"20190304155453295"</f>
        <v>20190304155453295</v>
      </c>
      <c r="B3984" t="str">
        <f>"1551686093291831"</f>
        <v>1551686093291831</v>
      </c>
      <c r="C3984" t="s">
        <v>40</v>
      </c>
      <c r="D3984">
        <v>4.2737119999999997</v>
      </c>
      <c r="E3984">
        <v>0.50832429999999995</v>
      </c>
      <c r="F3984" t="s">
        <v>46</v>
      </c>
      <c r="G3984">
        <v>-421.5967</v>
      </c>
      <c r="H3984" s="1">
        <v>-4.5117390000000004E-6</v>
      </c>
      <c r="I3984">
        <v>59.4124699999999</v>
      </c>
      <c r="J3984">
        <v>-422.66879999999998</v>
      </c>
      <c r="K3984">
        <v>1.1110640000000001</v>
      </c>
      <c r="L3984">
        <v>101.49039999999999</v>
      </c>
      <c r="M3984">
        <v>-2.9881620000000001E-2</v>
      </c>
      <c r="N3984">
        <v>-1.0855699999999999E-2</v>
      </c>
      <c r="O3984">
        <v>-0.99949449999999995</v>
      </c>
      <c r="P3984">
        <v>5.2125690000000002E-2</v>
      </c>
      <c r="Q3984">
        <v>0.14556150000000001</v>
      </c>
      <c r="R3984">
        <v>-0.98797520000000005</v>
      </c>
      <c r="S3984">
        <v>7.6782230000000007E-2</v>
      </c>
      <c r="T3984">
        <v>-7.9960349999999999E-2</v>
      </c>
      <c r="U3984">
        <v>-3.0440670000000001</v>
      </c>
      <c r="V3984">
        <v>-8.1986489999999995E-2</v>
      </c>
      <c r="W3984">
        <v>0.15606800000000001</v>
      </c>
      <c r="X3984">
        <v>0.98433789999999999</v>
      </c>
      <c r="Y3984">
        <v>-5.5064080000000001E-2</v>
      </c>
      <c r="Z3984">
        <v>1.535927E-2</v>
      </c>
      <c r="AA3984">
        <v>0.99836469999999999</v>
      </c>
      <c r="AB3984">
        <v>22</v>
      </c>
      <c r="AC3984">
        <v>1.0720999999999701</v>
      </c>
      <c r="AD3984">
        <v>-1.111068511739</v>
      </c>
      <c r="AE3984">
        <v>-42.077930000000002</v>
      </c>
      <c r="AF3984">
        <v>-2.3274303022167699</v>
      </c>
      <c r="AG3984">
        <v>-1.111068511739</v>
      </c>
      <c r="AH3984">
        <v>41.997836744933203</v>
      </c>
      <c r="AI3984">
        <v>91.513107225978999</v>
      </c>
      <c r="AJ3984">
        <v>93.171965049392995</v>
      </c>
      <c r="AK3984">
        <v>42.076949702937299</v>
      </c>
      <c r="AL3984">
        <v>81.021258487294205</v>
      </c>
      <c r="AM3984">
        <v>94.761233002631201</v>
      </c>
      <c r="AN3984">
        <v>1.0000000532714599</v>
      </c>
    </row>
    <row r="3985" spans="1:40" x14ac:dyDescent="0.25">
      <c r="A3985" t="str">
        <f>"20190304155453318"</f>
        <v>20190304155453318</v>
      </c>
      <c r="B3985" t="str">
        <f>"1551686093311351"</f>
        <v>1551686093311351</v>
      </c>
      <c r="C3985" t="s">
        <v>40</v>
      </c>
      <c r="D3985">
        <v>4.219392</v>
      </c>
      <c r="E3985">
        <v>0.50880859999999895</v>
      </c>
      <c r="F3985" t="s">
        <v>46</v>
      </c>
      <c r="G3985">
        <v>-421.56180000000001</v>
      </c>
      <c r="H3985" s="1">
        <v>-4.2052820000000001E-6</v>
      </c>
      <c r="I3985">
        <v>58.530090000000001</v>
      </c>
      <c r="J3985">
        <v>-422.67349999999999</v>
      </c>
      <c r="K3985">
        <v>1.1110450000000001</v>
      </c>
      <c r="L3985">
        <v>101.2705</v>
      </c>
      <c r="M3985">
        <v>-2.8303169999999999E-2</v>
      </c>
      <c r="N3985">
        <v>-1.0763190000000001E-2</v>
      </c>
      <c r="O3985">
        <v>-0.99954140000000002</v>
      </c>
      <c r="P3985">
        <v>5.166718E-2</v>
      </c>
      <c r="Q3985">
        <v>0.14579779999999901</v>
      </c>
      <c r="R3985">
        <v>-0.98796450000000002</v>
      </c>
      <c r="S3985">
        <v>7.8430180000000002E-2</v>
      </c>
      <c r="T3985">
        <v>-7.8724500000000003E-2</v>
      </c>
      <c r="U3985">
        <v>-3.0439449999999999</v>
      </c>
      <c r="V3985">
        <v>-7.9969830000000006E-2</v>
      </c>
      <c r="W3985">
        <v>0.1562201</v>
      </c>
      <c r="X3985">
        <v>0.98447960000000001</v>
      </c>
      <c r="Y3985">
        <v>-5.4028939999999998E-2</v>
      </c>
      <c r="Z3985">
        <v>1.5050300000000001E-2</v>
      </c>
      <c r="AA3985">
        <v>0.99842600000000004</v>
      </c>
      <c r="AB3985">
        <v>22</v>
      </c>
      <c r="AC3985">
        <v>1.1116999999999799</v>
      </c>
      <c r="AD3985">
        <v>-1.111049205282</v>
      </c>
      <c r="AE3985">
        <v>-42.740409999999997</v>
      </c>
      <c r="AF3985">
        <v>-2.3194474762699602</v>
      </c>
      <c r="AG3985">
        <v>-1.111049205282</v>
      </c>
      <c r="AH3985">
        <v>42.663008862071301</v>
      </c>
      <c r="AI3985">
        <v>91.489586395986294</v>
      </c>
      <c r="AJ3985">
        <v>93.111919495765704</v>
      </c>
      <c r="AK3985">
        <v>42.7404561521857</v>
      </c>
      <c r="AL3985">
        <v>81.012434989797995</v>
      </c>
      <c r="AM3985">
        <v>94.643971944292304</v>
      </c>
      <c r="AN3985">
        <v>0.99999998808519897</v>
      </c>
    </row>
    <row r="3986" spans="1:40" x14ac:dyDescent="0.25">
      <c r="A3986" t="str">
        <f>"20190304155453340"</f>
        <v>20190304155453340</v>
      </c>
      <c r="B3986" t="str">
        <f>"1551686093331847"</f>
        <v>1551686093331847</v>
      </c>
      <c r="C3986" t="s">
        <v>40</v>
      </c>
      <c r="D3986">
        <v>4.3390519999999997</v>
      </c>
      <c r="E3986">
        <v>0.50854739999999998</v>
      </c>
      <c r="F3986" t="s">
        <v>46</v>
      </c>
      <c r="G3986">
        <v>-421.61750000000001</v>
      </c>
      <c r="H3986" s="1">
        <v>-3.8504379999999901E-6</v>
      </c>
      <c r="I3986">
        <v>57.561360000000001</v>
      </c>
      <c r="J3986">
        <v>-422.678</v>
      </c>
      <c r="K3986">
        <v>1.11103</v>
      </c>
      <c r="L3986">
        <v>101.04600000000001</v>
      </c>
      <c r="M3986">
        <v>-2.6695940000000001E-2</v>
      </c>
      <c r="N3986">
        <v>-1.0667319999999999E-2</v>
      </c>
      <c r="O3986">
        <v>-0.99958670000000005</v>
      </c>
      <c r="P3986">
        <v>5.2134229999999997E-2</v>
      </c>
      <c r="Q3986">
        <v>0.145665299999999</v>
      </c>
      <c r="R3986">
        <v>-0.98795940000000004</v>
      </c>
      <c r="S3986">
        <v>7.3547360000000006E-2</v>
      </c>
      <c r="T3986">
        <v>-7.7379110000000001E-2</v>
      </c>
      <c r="U3986">
        <v>-3.0441280000000002</v>
      </c>
      <c r="V3986">
        <v>-7.8849719999999998E-2</v>
      </c>
      <c r="W3986">
        <v>0.15599679999999999</v>
      </c>
      <c r="X3986">
        <v>0.98460539999999996</v>
      </c>
      <c r="Y3986">
        <v>-5.0822020000000002E-2</v>
      </c>
      <c r="Z3986">
        <v>1.470846E-2</v>
      </c>
      <c r="AA3986">
        <v>0.99859940000000003</v>
      </c>
      <c r="AB3986">
        <v>22</v>
      </c>
      <c r="AC3986">
        <v>1.06050000000004</v>
      </c>
      <c r="AD3986">
        <v>-1.111033850438</v>
      </c>
      <c r="AE3986">
        <v>-43.484639999999999</v>
      </c>
      <c r="AF3986">
        <v>-2.2196032635756699</v>
      </c>
      <c r="AG3986">
        <v>-1.111033850438</v>
      </c>
      <c r="AH3986">
        <v>43.412504638845803</v>
      </c>
      <c r="AI3986">
        <v>91.464109757128199</v>
      </c>
      <c r="AJ3986">
        <v>92.926881527346694</v>
      </c>
      <c r="AK3986">
        <v>43.483405960001598</v>
      </c>
      <c r="AL3986">
        <v>81.025388382855695</v>
      </c>
      <c r="AM3986">
        <v>94.578621427867006</v>
      </c>
      <c r="AN3986">
        <v>1.0000000368317301</v>
      </c>
    </row>
    <row r="3987" spans="1:40" x14ac:dyDescent="0.25">
      <c r="A3987" t="str">
        <f>"20190304155453362"</f>
        <v>20190304155453362</v>
      </c>
      <c r="B3987" t="str">
        <f>"1551686093351367"</f>
        <v>1551686093351367</v>
      </c>
      <c r="C3987" t="s">
        <v>40</v>
      </c>
      <c r="D3987">
        <v>4.460331</v>
      </c>
      <c r="E3987">
        <v>0.53616229999999998</v>
      </c>
      <c r="F3987" t="s">
        <v>46</v>
      </c>
      <c r="G3987">
        <v>-421.58800000000002</v>
      </c>
      <c r="H3987" s="1">
        <v>-3.9147010000000002E-6</v>
      </c>
      <c r="I3987">
        <v>57.729460000000003</v>
      </c>
      <c r="J3987">
        <v>-422.68200000000002</v>
      </c>
      <c r="K3987">
        <v>1.1110180000000001</v>
      </c>
      <c r="L3987">
        <v>100.8271</v>
      </c>
      <c r="M3987">
        <v>-2.513344E-2</v>
      </c>
      <c r="N3987">
        <v>-1.057247E-2</v>
      </c>
      <c r="O3987">
        <v>-0.99962839999999997</v>
      </c>
      <c r="P3987">
        <v>5.2335819999999998E-2</v>
      </c>
      <c r="Q3987">
        <v>0.14452039999999999</v>
      </c>
      <c r="R3987">
        <v>-0.98811689999999996</v>
      </c>
      <c r="S3987">
        <v>7.6599120000000007E-2</v>
      </c>
      <c r="T3987">
        <v>-7.8077079999999993E-2</v>
      </c>
      <c r="U3987">
        <v>-3.0440369999999999</v>
      </c>
      <c r="V3987">
        <v>-7.7510809999999999E-2</v>
      </c>
      <c r="W3987">
        <v>0.1547646</v>
      </c>
      <c r="X3987">
        <v>0.98490610000000001</v>
      </c>
      <c r="Y3987">
        <v>-5.0262179999999997E-2</v>
      </c>
      <c r="Z3987">
        <v>1.5034580000000001E-2</v>
      </c>
      <c r="AA3987">
        <v>0.99862289999999998</v>
      </c>
      <c r="AB3987">
        <v>22</v>
      </c>
      <c r="AC3987">
        <v>1.0939999999999299</v>
      </c>
      <c r="AD3987">
        <v>-1.1110219147010001</v>
      </c>
      <c r="AE3987">
        <v>-43.097639999999998</v>
      </c>
      <c r="AF3987">
        <v>-2.17546183788658</v>
      </c>
      <c r="AG3987">
        <v>-1.1110219147010001</v>
      </c>
      <c r="AH3987">
        <v>43.027950139091402</v>
      </c>
      <c r="AI3987">
        <v>91.477215939121805</v>
      </c>
      <c r="AJ3987">
        <v>92.894368350635503</v>
      </c>
      <c r="AK3987">
        <v>43.097233055907203</v>
      </c>
      <c r="AL3987">
        <v>81.0968560628517</v>
      </c>
      <c r="AM3987">
        <v>94.499827643603396</v>
      </c>
      <c r="AN3987">
        <v>1.00000001644861</v>
      </c>
    </row>
    <row r="3988" spans="1:40" x14ac:dyDescent="0.25">
      <c r="A3988" t="str">
        <f>"20190304155453383"</f>
        <v>20190304155453383</v>
      </c>
      <c r="B3988" t="str">
        <f>"1551686093371863"</f>
        <v>1551686093371863</v>
      </c>
      <c r="C3988" t="s">
        <v>40</v>
      </c>
      <c r="D3988">
        <v>4.4495399999999998</v>
      </c>
      <c r="E3988">
        <v>0.54415210000000003</v>
      </c>
      <c r="F3988" t="s">
        <v>46</v>
      </c>
      <c r="G3988">
        <v>-424.47280000000001</v>
      </c>
      <c r="H3988" s="1">
        <v>-2.4677269999999998E-6</v>
      </c>
      <c r="I3988">
        <v>62.56729</v>
      </c>
      <c r="J3988">
        <v>-422.6857</v>
      </c>
      <c r="K3988">
        <v>1.111</v>
      </c>
      <c r="L3988">
        <v>100.61020000000001</v>
      </c>
      <c r="M3988">
        <v>-2.358621E-2</v>
      </c>
      <c r="N3988">
        <v>-1.047673E-2</v>
      </c>
      <c r="O3988">
        <v>-0.99966699999999997</v>
      </c>
      <c r="P3988">
        <v>5.3329389999999997E-2</v>
      </c>
      <c r="Q3988">
        <v>0.1434337</v>
      </c>
      <c r="R3988">
        <v>-0.98822209999999999</v>
      </c>
      <c r="S3988">
        <v>-0.14306640000000001</v>
      </c>
      <c r="T3988">
        <v>-8.8761209999999993E-2</v>
      </c>
      <c r="U3988">
        <v>-3.0566409999999999</v>
      </c>
      <c r="V3988">
        <v>-7.6976569999999994E-2</v>
      </c>
      <c r="W3988">
        <v>0.15358669999999999</v>
      </c>
      <c r="X3988">
        <v>0.98513229999999996</v>
      </c>
      <c r="Y3988">
        <v>2.31664E-2</v>
      </c>
      <c r="Z3988">
        <v>1.8526589999999999E-2</v>
      </c>
      <c r="AA3988">
        <v>0.99955989999999995</v>
      </c>
      <c r="AB3988">
        <v>22</v>
      </c>
      <c r="AC3988">
        <v>-1.7870999999999999</v>
      </c>
      <c r="AD3988">
        <v>-1.1110024677270001</v>
      </c>
      <c r="AE3988">
        <v>-38.042909999999999</v>
      </c>
      <c r="AF3988">
        <v>0.88850944147229205</v>
      </c>
      <c r="AG3988">
        <v>-1.1110024677270001</v>
      </c>
      <c r="AH3988">
        <v>38.042105269248403</v>
      </c>
      <c r="AI3988">
        <v>91.672366015357596</v>
      </c>
      <c r="AJ3988">
        <v>88.662045988928</v>
      </c>
      <c r="AK3988">
        <v>38.068695129035603</v>
      </c>
      <c r="AL3988">
        <v>81.165160937402703</v>
      </c>
      <c r="AM3988">
        <v>94.467916864864094</v>
      </c>
      <c r="AN3988">
        <v>0.99999995762457095</v>
      </c>
    </row>
    <row r="3989" spans="1:40" x14ac:dyDescent="0.25">
      <c r="A3989" t="str">
        <f>"20190304155453407"</f>
        <v>20190304155453407</v>
      </c>
      <c r="B3989" t="str">
        <f>"1551686093401143"</f>
        <v>1551686093401143</v>
      </c>
      <c r="C3989" t="s">
        <v>40</v>
      </c>
      <c r="D3989">
        <v>4.186642</v>
      </c>
      <c r="E3989">
        <v>0.64338669999999998</v>
      </c>
      <c r="F3989" t="s">
        <v>46</v>
      </c>
      <c r="G3989">
        <v>-424.2629</v>
      </c>
      <c r="H3989" s="1">
        <v>-4.1655589999999999E-6</v>
      </c>
      <c r="I3989">
        <v>77.005409999999998</v>
      </c>
      <c r="J3989">
        <v>-422.68920000000003</v>
      </c>
      <c r="K3989">
        <v>1.110986</v>
      </c>
      <c r="L3989">
        <v>100.3789</v>
      </c>
      <c r="M3989">
        <v>-2.1937410000000001E-2</v>
      </c>
      <c r="N3989">
        <v>-1.0379380000000001E-2</v>
      </c>
      <c r="O3989">
        <v>-0.99970539999999997</v>
      </c>
      <c r="P3989">
        <v>5.4496509999999998E-2</v>
      </c>
      <c r="Q3989">
        <v>0.14334959999999999</v>
      </c>
      <c r="R3989">
        <v>-0.9881704</v>
      </c>
      <c r="S3989">
        <v>-0.20498659999999999</v>
      </c>
      <c r="T3989">
        <v>-0.14439070000000001</v>
      </c>
      <c r="U3989">
        <v>-3.06778</v>
      </c>
      <c r="V3989">
        <v>-7.6515079999999999E-2</v>
      </c>
      <c r="W3989">
        <v>0.15340819999999999</v>
      </c>
      <c r="X3989">
        <v>0.98519610000000002</v>
      </c>
      <c r="Y3989">
        <v>4.4706839999999998E-2</v>
      </c>
      <c r="Z3989">
        <v>3.655928E-2</v>
      </c>
      <c r="AA3989">
        <v>0.99833099999999997</v>
      </c>
      <c r="AB3989">
        <v>22</v>
      </c>
      <c r="AC3989">
        <v>-1.5736999999999699</v>
      </c>
      <c r="AD3989">
        <v>-1.110990165559</v>
      </c>
      <c r="AE3989">
        <v>-23.37349</v>
      </c>
      <c r="AF3989">
        <v>1.05815984406638</v>
      </c>
      <c r="AG3989">
        <v>-1.110990165559</v>
      </c>
      <c r="AH3989">
        <v>23.349873001923701</v>
      </c>
      <c r="AI3989">
        <v>92.721297937670698</v>
      </c>
      <c r="AJ3989">
        <v>87.405268947758699</v>
      </c>
      <c r="AK3989">
        <v>23.400225866634901</v>
      </c>
      <c r="AL3989">
        <v>81.175511218246996</v>
      </c>
      <c r="AM3989">
        <v>94.440951835060503</v>
      </c>
      <c r="AN3989">
        <v>0.99999999437492804</v>
      </c>
    </row>
    <row r="3990" spans="1:40" x14ac:dyDescent="0.25">
      <c r="A3990" t="str">
        <f>"20190304155453430"</f>
        <v>20190304155453430</v>
      </c>
      <c r="B3990" t="str">
        <f>"1551686093421639"</f>
        <v>1551686093421639</v>
      </c>
      <c r="C3990" t="s">
        <v>40</v>
      </c>
      <c r="D3990">
        <v>4.1132390000000001</v>
      </c>
      <c r="E3990">
        <v>0.65969500000000003</v>
      </c>
      <c r="F3990" t="s">
        <v>46</v>
      </c>
      <c r="G3990">
        <v>-426.0883</v>
      </c>
      <c r="H3990" s="1">
        <v>-1.6535140000000001E-6</v>
      </c>
      <c r="I3990">
        <v>89.667369999999906</v>
      </c>
      <c r="J3990">
        <v>-422.69240000000002</v>
      </c>
      <c r="K3990">
        <v>1.110976</v>
      </c>
      <c r="L3990">
        <v>100.1463</v>
      </c>
      <c r="M3990">
        <v>-2.0282519999999998E-2</v>
      </c>
      <c r="N3990">
        <v>-1.028944E-2</v>
      </c>
      <c r="O3990">
        <v>-0.9997414</v>
      </c>
      <c r="P3990">
        <v>5.6057929999999999E-2</v>
      </c>
      <c r="Q3990">
        <v>0.14434240000000001</v>
      </c>
      <c r="R3990">
        <v>-0.9879386</v>
      </c>
      <c r="S3990">
        <v>-0.99578860000000002</v>
      </c>
      <c r="T3990">
        <v>-0.32547369999999998</v>
      </c>
      <c r="U3990">
        <v>-3.1380309999999998</v>
      </c>
      <c r="V3990">
        <v>-7.644078E-2</v>
      </c>
      <c r="W3990">
        <v>0.1543109</v>
      </c>
      <c r="X3990">
        <v>0.98506090000000002</v>
      </c>
      <c r="Y3990">
        <v>0.28173160000000003</v>
      </c>
      <c r="Z3990">
        <v>8.8437269999999998E-2</v>
      </c>
      <c r="AA3990">
        <v>0.95540890000000001</v>
      </c>
      <c r="AB3990">
        <v>22</v>
      </c>
      <c r="AC3990">
        <v>-3.3958999999999802</v>
      </c>
      <c r="AD3990">
        <v>-1.1109776535139999</v>
      </c>
      <c r="AE3990">
        <v>-10.47893</v>
      </c>
      <c r="AF3990">
        <v>3.1506030763277502</v>
      </c>
      <c r="AG3990">
        <v>-1.1109776535139999</v>
      </c>
      <c r="AH3990">
        <v>10.4394649725257</v>
      </c>
      <c r="AI3990">
        <v>95.817349371470399</v>
      </c>
      <c r="AJ3990">
        <v>73.206323910959199</v>
      </c>
      <c r="AK3990">
        <v>10.9609762340662</v>
      </c>
      <c r="AL3990">
        <v>81.123167194571806</v>
      </c>
      <c r="AM3990">
        <v>94.4372631740206</v>
      </c>
      <c r="AN3990">
        <v>1.00000001170731</v>
      </c>
    </row>
    <row r="3991" spans="1:40" x14ac:dyDescent="0.25">
      <c r="A3991" t="str">
        <f>"20190304155453450"</f>
        <v>20190304155453450</v>
      </c>
      <c r="B3991" t="str">
        <f>"1551686093441160"</f>
        <v>1551686093441160</v>
      </c>
      <c r="C3991" t="s">
        <v>40</v>
      </c>
      <c r="D3991">
        <v>4.1143150000000004</v>
      </c>
      <c r="E3991">
        <v>0.66407249999999995</v>
      </c>
      <c r="F3991" t="s">
        <v>46</v>
      </c>
      <c r="G3991">
        <v>-426.55099999999999</v>
      </c>
      <c r="H3991" s="1">
        <v>-5.357026E-6</v>
      </c>
      <c r="I3991">
        <v>89.313959999999994</v>
      </c>
      <c r="J3991">
        <v>-422.69499999999999</v>
      </c>
      <c r="K3991">
        <v>1.1109690000000001</v>
      </c>
      <c r="L3991">
        <v>99.934880000000007</v>
      </c>
      <c r="M3991">
        <v>-1.87867E-2</v>
      </c>
      <c r="N3991">
        <v>-1.0211130000000001E-2</v>
      </c>
      <c r="O3991">
        <v>-0.99977159999999998</v>
      </c>
      <c r="P3991">
        <v>5.7683039999999998E-2</v>
      </c>
      <c r="Q3991">
        <v>0.1444771</v>
      </c>
      <c r="R3991">
        <v>-0.98782579999999998</v>
      </c>
      <c r="S3991">
        <v>-1.121124</v>
      </c>
      <c r="T3991">
        <v>-0.32280449999999999</v>
      </c>
      <c r="U3991">
        <v>-3.1474299999999999</v>
      </c>
      <c r="V3991">
        <v>-7.6586169999999995E-2</v>
      </c>
      <c r="W3991">
        <v>0.15436839999999999</v>
      </c>
      <c r="X3991">
        <v>0.98504060000000004</v>
      </c>
      <c r="Y3991">
        <v>0.31637549999999998</v>
      </c>
      <c r="Z3991">
        <v>8.6309810000000001E-2</v>
      </c>
      <c r="AA3991">
        <v>0.94469950000000003</v>
      </c>
      <c r="AB3991">
        <v>22</v>
      </c>
      <c r="AC3991">
        <v>-3.8559999999999901</v>
      </c>
      <c r="AD3991">
        <v>-1.110974357026</v>
      </c>
      <c r="AE3991">
        <v>-10.62092</v>
      </c>
      <c r="AF3991">
        <v>3.62077350652137</v>
      </c>
      <c r="AG3991">
        <v>-1.110974357026</v>
      </c>
      <c r="AH3991">
        <v>10.589121272496</v>
      </c>
      <c r="AI3991">
        <v>95.669377652136106</v>
      </c>
      <c r="AJ3991">
        <v>71.122731969466599</v>
      </c>
      <c r="AK3991">
        <v>11.246055047487699</v>
      </c>
      <c r="AL3991">
        <v>81.119832753808097</v>
      </c>
      <c r="AM3991">
        <v>94.445760276806098</v>
      </c>
      <c r="AN3991">
        <v>1.0000000140010901</v>
      </c>
    </row>
    <row r="3992" spans="1:40" x14ac:dyDescent="0.25">
      <c r="A3992" t="str">
        <f>"20190304155453475"</f>
        <v>20190304155453475</v>
      </c>
      <c r="B3992" t="str">
        <f>"1551686093471415"</f>
        <v>1551686093471415</v>
      </c>
      <c r="C3992" t="s">
        <v>40</v>
      </c>
      <c r="D3992">
        <v>4.2312510000000003</v>
      </c>
      <c r="E3992">
        <v>0.6669948</v>
      </c>
      <c r="F3992" t="s">
        <v>46</v>
      </c>
      <c r="G3992">
        <v>-426.7921</v>
      </c>
      <c r="H3992" s="1">
        <v>-5.2003610000000002E-6</v>
      </c>
      <c r="I3992">
        <v>88.727909999999994</v>
      </c>
      <c r="J3992">
        <v>-422.69760000000002</v>
      </c>
      <c r="K3992">
        <v>1.1109439999999999</v>
      </c>
      <c r="L3992">
        <v>99.694239999999994</v>
      </c>
      <c r="M3992">
        <v>-1.7103730000000001E-2</v>
      </c>
      <c r="N3992">
        <v>-1.0126929999999999E-2</v>
      </c>
      <c r="O3992">
        <v>-0.99980279999999999</v>
      </c>
      <c r="P3992">
        <v>5.9559420000000002E-2</v>
      </c>
      <c r="Q3992">
        <v>0.14428170000000001</v>
      </c>
      <c r="R3992">
        <v>-0.98774320000000004</v>
      </c>
      <c r="S3992">
        <v>-1.1515500000000001</v>
      </c>
      <c r="T3992">
        <v>-0.31225760000000002</v>
      </c>
      <c r="U3992">
        <v>-3.149902</v>
      </c>
      <c r="V3992">
        <v>-7.6797149999999995E-2</v>
      </c>
      <c r="W3992">
        <v>0.154090899999999</v>
      </c>
      <c r="X3992">
        <v>0.98506760000000004</v>
      </c>
      <c r="Y3992">
        <v>0.32589669999999998</v>
      </c>
      <c r="Z3992">
        <v>8.2901279999999994E-2</v>
      </c>
      <c r="AA3992">
        <v>0.94176360000000003</v>
      </c>
      <c r="AB3992">
        <v>23</v>
      </c>
      <c r="AC3992">
        <v>-4.0944999999999796</v>
      </c>
      <c r="AD3992">
        <v>-1.110949200361</v>
      </c>
      <c r="AE3992">
        <v>-10.966329999999999</v>
      </c>
      <c r="AF3992">
        <v>3.8714555062140699</v>
      </c>
      <c r="AG3992">
        <v>-1.110949200361</v>
      </c>
      <c r="AH3992">
        <v>10.9362559397025</v>
      </c>
      <c r="AI3992">
        <v>95.470013414295593</v>
      </c>
      <c r="AJ3992">
        <v>70.505939609021794</v>
      </c>
      <c r="AK3992">
        <v>11.654358405380201</v>
      </c>
      <c r="AL3992">
        <v>81.135924678897197</v>
      </c>
      <c r="AM3992">
        <v>94.457836483858401</v>
      </c>
      <c r="AN3992">
        <v>0.99999999214034596</v>
      </c>
    </row>
    <row r="3993" spans="1:40" x14ac:dyDescent="0.25">
      <c r="A3993" t="str">
        <f>"20190304155453497"</f>
        <v>20190304155453497</v>
      </c>
      <c r="B3993" t="str">
        <f>"1551686093491911"</f>
        <v>1551686093491911</v>
      </c>
      <c r="C3993" t="s">
        <v>40</v>
      </c>
      <c r="D3993">
        <v>4.207821</v>
      </c>
      <c r="E3993">
        <v>0.66824249999999996</v>
      </c>
      <c r="F3993" t="s">
        <v>46</v>
      </c>
      <c r="G3993">
        <v>-426.77539999999999</v>
      </c>
      <c r="H3993" s="1">
        <v>-5.1838559999999899E-6</v>
      </c>
      <c r="I3993">
        <v>88.688130000000001</v>
      </c>
      <c r="J3993">
        <v>-422.69959999999998</v>
      </c>
      <c r="K3993">
        <v>1.1109209999999901</v>
      </c>
      <c r="L3993">
        <v>99.46951</v>
      </c>
      <c r="M3993">
        <v>-1.5559419999999999E-2</v>
      </c>
      <c r="N3993">
        <v>-1.005266E-2</v>
      </c>
      <c r="O3993">
        <v>-0.99982859999999996</v>
      </c>
      <c r="P3993">
        <v>6.1674739999999999E-2</v>
      </c>
      <c r="Q3993">
        <v>0.14447960000000001</v>
      </c>
      <c r="R3993">
        <v>-0.98758440000000003</v>
      </c>
      <c r="S3993">
        <v>-1.1686399999999999</v>
      </c>
      <c r="T3993">
        <v>-0.31838329999999998</v>
      </c>
      <c r="U3993">
        <v>-3.1542050000000001</v>
      </c>
      <c r="V3993">
        <v>-7.737993E-2</v>
      </c>
      <c r="W3993">
        <v>0.1542162</v>
      </c>
      <c r="X3993">
        <v>0.98500239999999994</v>
      </c>
      <c r="Y3993">
        <v>0.33138050000000002</v>
      </c>
      <c r="Z3993">
        <v>8.4486389999999995E-2</v>
      </c>
      <c r="AA3993">
        <v>0.93970690000000001</v>
      </c>
      <c r="AB3993">
        <v>23</v>
      </c>
      <c r="AC3993">
        <v>-4.0758000000000099</v>
      </c>
      <c r="AD3993">
        <v>-1.1109261838559901</v>
      </c>
      <c r="AE3993">
        <v>-10.78138</v>
      </c>
      <c r="AF3993">
        <v>3.8715797634683402</v>
      </c>
      <c r="AG3993">
        <v>-1.1109261838559901</v>
      </c>
      <c r="AH3993">
        <v>10.743687946789899</v>
      </c>
      <c r="AI3993">
        <v>95.556203002682295</v>
      </c>
      <c r="AJ3993">
        <v>70.182939505144304</v>
      </c>
      <c r="AK3993">
        <v>11.4738885103906</v>
      </c>
      <c r="AL3993">
        <v>81.128658816704302</v>
      </c>
      <c r="AM3993">
        <v>94.491823243076098</v>
      </c>
      <c r="AN3993">
        <v>1.0000000089575001</v>
      </c>
    </row>
    <row r="3994" spans="1:40" x14ac:dyDescent="0.25">
      <c r="A3994" t="str">
        <f>"20190304155453519"</f>
        <v>20190304155453519</v>
      </c>
      <c r="B3994" t="str">
        <f>"1551686093511430"</f>
        <v>1551686093511430</v>
      </c>
      <c r="C3994" t="s">
        <v>40</v>
      </c>
      <c r="D3994">
        <v>4.2393939999999999</v>
      </c>
      <c r="E3994">
        <v>0.66990740000000004</v>
      </c>
      <c r="F3994" t="s">
        <v>46</v>
      </c>
      <c r="G3994">
        <v>-426.73349999999999</v>
      </c>
      <c r="H3994" s="1">
        <v>-5.1453739999999996E-6</v>
      </c>
      <c r="I3994">
        <v>88.596859999999893</v>
      </c>
      <c r="J3994">
        <v>-422.70139999999998</v>
      </c>
      <c r="K3994">
        <v>1.1109</v>
      </c>
      <c r="L3994">
        <v>99.247410000000002</v>
      </c>
      <c r="M3994">
        <v>-1.406899E-2</v>
      </c>
      <c r="N3994">
        <v>-9.9823340000000007E-3</v>
      </c>
      <c r="O3994">
        <v>-0.99985139999999995</v>
      </c>
      <c r="P3994">
        <v>6.337052E-2</v>
      </c>
      <c r="Q3994">
        <v>0.14361289999999999</v>
      </c>
      <c r="R3994">
        <v>-0.98760309999999996</v>
      </c>
      <c r="S3994">
        <v>-1.171692</v>
      </c>
      <c r="T3994">
        <v>-0.32268390000000002</v>
      </c>
      <c r="U3994">
        <v>-3.158112</v>
      </c>
      <c r="V3994">
        <v>-7.7595629999999999E-2</v>
      </c>
      <c r="W3994">
        <v>0.15328520000000001</v>
      </c>
      <c r="X3994">
        <v>0.98513070000000003</v>
      </c>
      <c r="Y3994">
        <v>0.33316869999999998</v>
      </c>
      <c r="Z3994">
        <v>8.5665320000000003E-2</v>
      </c>
      <c r="AA3994">
        <v>0.93896749999999995</v>
      </c>
      <c r="AB3994">
        <v>23</v>
      </c>
      <c r="AC3994">
        <v>-4.0321000000000096</v>
      </c>
      <c r="AD3994">
        <v>-1.110905145374</v>
      </c>
      <c r="AE3994">
        <v>-10.650550000000001</v>
      </c>
      <c r="AF3994">
        <v>3.8452606374596798</v>
      </c>
      <c r="AG3994">
        <v>-1.110905145374</v>
      </c>
      <c r="AH3994">
        <v>10.6053092546214</v>
      </c>
      <c r="AI3994">
        <v>95.624164333051993</v>
      </c>
      <c r="AJ3994">
        <v>70.070427319178407</v>
      </c>
      <c r="AK3994">
        <v>11.335463113528901</v>
      </c>
      <c r="AL3994">
        <v>81.182642690870395</v>
      </c>
      <c r="AM3994">
        <v>94.503708735818606</v>
      </c>
      <c r="AN3994">
        <v>0.99999996520831202</v>
      </c>
    </row>
    <row r="3995" spans="1:40" x14ac:dyDescent="0.25">
      <c r="A3995" t="str">
        <f>"20190304155453540"</f>
        <v>20190304155453540</v>
      </c>
      <c r="B3995" t="str">
        <f>"1551686093530952"</f>
        <v>1551686093530952</v>
      </c>
      <c r="C3995" t="s">
        <v>40</v>
      </c>
      <c r="D3995">
        <v>4.2348359999999996</v>
      </c>
      <c r="E3995">
        <v>0.6711473</v>
      </c>
      <c r="F3995" t="s">
        <v>46</v>
      </c>
      <c r="G3995">
        <v>-426.66480000000001</v>
      </c>
      <c r="H3995" s="1">
        <v>-5.1427129999999996E-6</v>
      </c>
      <c r="I3995">
        <v>88.624889999999994</v>
      </c>
      <c r="J3995">
        <v>-422.7029</v>
      </c>
      <c r="K3995">
        <v>1.11086</v>
      </c>
      <c r="L3995">
        <v>99.029390000000006</v>
      </c>
      <c r="M3995">
        <v>-1.2649509999999999E-2</v>
      </c>
      <c r="N3995">
        <v>-9.9142280000000006E-3</v>
      </c>
      <c r="O3995">
        <v>-0.99987099999999995</v>
      </c>
      <c r="P3995">
        <v>6.5077990000000002E-2</v>
      </c>
      <c r="Q3995">
        <v>0.14312169999999999</v>
      </c>
      <c r="R3995">
        <v>-0.98756339999999998</v>
      </c>
      <c r="S3995">
        <v>-1.179535</v>
      </c>
      <c r="T3995">
        <v>-0.33062049999999998</v>
      </c>
      <c r="U3995">
        <v>-3.1614070000000001</v>
      </c>
      <c r="V3995">
        <v>-7.7890310000000004E-2</v>
      </c>
      <c r="W3995">
        <v>0.1527319</v>
      </c>
      <c r="X3995">
        <v>0.9851934</v>
      </c>
      <c r="Y3995">
        <v>0.33616089999999998</v>
      </c>
      <c r="Z3995">
        <v>8.7874079999999993E-2</v>
      </c>
      <c r="AA3995">
        <v>0.93769610000000003</v>
      </c>
      <c r="AB3995">
        <v>23</v>
      </c>
      <c r="AC3995">
        <v>-3.9619000000000102</v>
      </c>
      <c r="AD3995">
        <v>-1.1108651427130001</v>
      </c>
      <c r="AE3995">
        <v>-10.404500000000001</v>
      </c>
      <c r="AF3995">
        <v>3.7922103065611799</v>
      </c>
      <c r="AG3995">
        <v>-1.1108651427130001</v>
      </c>
      <c r="AH3995">
        <v>10.3507363898406</v>
      </c>
      <c r="AI3995">
        <v>95.754385202437703</v>
      </c>
      <c r="AJ3995">
        <v>69.878627572466399</v>
      </c>
      <c r="AK3995">
        <v>11.079378330324101</v>
      </c>
      <c r="AL3995">
        <v>81.214722358803598</v>
      </c>
      <c r="AM3995">
        <v>94.5204549032524</v>
      </c>
      <c r="AN3995">
        <v>0.99999998453653205</v>
      </c>
    </row>
    <row r="3996" spans="1:40" x14ac:dyDescent="0.25">
      <c r="A3996" t="str">
        <f>"20190304155453565"</f>
        <v>20190304155453565</v>
      </c>
      <c r="B3996" t="str">
        <f>"1551686093561207"</f>
        <v>1551686093561207</v>
      </c>
      <c r="C3996" t="s">
        <v>40</v>
      </c>
      <c r="D3996">
        <v>4.2646420000000003</v>
      </c>
      <c r="E3996">
        <v>0.67256719999999903</v>
      </c>
      <c r="F3996" t="s">
        <v>46</v>
      </c>
      <c r="G3996">
        <v>-426.62869999999998</v>
      </c>
      <c r="H3996" s="1">
        <v>-5.1070439999999999E-6</v>
      </c>
      <c r="I3996">
        <v>88.538889999999995</v>
      </c>
      <c r="J3996">
        <v>-422.70420000000001</v>
      </c>
      <c r="K3996">
        <v>1.1108129999999901</v>
      </c>
      <c r="L3996">
        <v>98.785129999999995</v>
      </c>
      <c r="M3996">
        <v>-1.111958E-2</v>
      </c>
      <c r="N3996">
        <v>-9.8405039999999999E-3</v>
      </c>
      <c r="O3996">
        <v>-0.9998899</v>
      </c>
      <c r="P3996">
        <v>6.666772E-2</v>
      </c>
      <c r="Q3996">
        <v>0.1429607</v>
      </c>
      <c r="R3996">
        <v>-0.98748089999999999</v>
      </c>
      <c r="S3996">
        <v>-1.1841740000000001</v>
      </c>
      <c r="T3996">
        <v>-0.33508280000000001</v>
      </c>
      <c r="U3996">
        <v>-3.1643680000000001</v>
      </c>
      <c r="V3996">
        <v>-7.7956040000000004E-2</v>
      </c>
      <c r="W3996">
        <v>0.15250429999999901</v>
      </c>
      <c r="X3996">
        <v>0.98522350000000003</v>
      </c>
      <c r="Y3996">
        <v>0.33847890000000003</v>
      </c>
      <c r="Z3996">
        <v>8.9101340000000001E-2</v>
      </c>
      <c r="AA3996">
        <v>0.93674590000000002</v>
      </c>
      <c r="AB3996">
        <v>23</v>
      </c>
      <c r="AC3996">
        <v>-3.9244999999999601</v>
      </c>
      <c r="AD3996">
        <v>-1.11081810704399</v>
      </c>
      <c r="AE3996">
        <v>-10.24624</v>
      </c>
      <c r="AF3996">
        <v>3.7716600514638898</v>
      </c>
      <c r="AG3996">
        <v>-1.11081810704399</v>
      </c>
      <c r="AH3996">
        <v>10.1848569223772</v>
      </c>
      <c r="AI3996">
        <v>95.839782756321497</v>
      </c>
      <c r="AJ3996">
        <v>69.679382113059106</v>
      </c>
      <c r="AK3996">
        <v>10.917446905757799</v>
      </c>
      <c r="AL3996">
        <v>81.227917816445498</v>
      </c>
      <c r="AM3996">
        <v>94.524116141172001</v>
      </c>
      <c r="AN3996">
        <v>1.0000000253216099</v>
      </c>
    </row>
    <row r="3997" spans="1:40" x14ac:dyDescent="0.25">
      <c r="A3997" t="str">
        <f>"20190304155453587"</f>
        <v>20190304155453587</v>
      </c>
      <c r="B3997" t="str">
        <f>"1551686093581703"</f>
        <v>1551686093581703</v>
      </c>
      <c r="C3997" t="s">
        <v>40</v>
      </c>
      <c r="D3997">
        <v>4.2603589999999896</v>
      </c>
      <c r="E3997">
        <v>0.67328619999999995</v>
      </c>
      <c r="F3997" t="s">
        <v>46</v>
      </c>
      <c r="G3997">
        <v>-426.59660000000002</v>
      </c>
      <c r="H3997" s="1">
        <v>-5.0665310000000003E-6</v>
      </c>
      <c r="I3997">
        <v>88.436539999999994</v>
      </c>
      <c r="J3997">
        <v>-422.70510000000002</v>
      </c>
      <c r="K3997">
        <v>1.1107670000000001</v>
      </c>
      <c r="L3997">
        <v>98.557950000000005</v>
      </c>
      <c r="M3997">
        <v>-9.7504380000000002E-3</v>
      </c>
      <c r="N3997">
        <v>-9.7730660000000004E-3</v>
      </c>
      <c r="O3997">
        <v>-0.99990500000000004</v>
      </c>
      <c r="P3997">
        <v>6.846613E-2</v>
      </c>
      <c r="Q3997">
        <v>0.14240459999999999</v>
      </c>
      <c r="R3997">
        <v>-0.98743829999999999</v>
      </c>
      <c r="S3997">
        <v>-1.1914670000000001</v>
      </c>
      <c r="T3997">
        <v>-0.3400205</v>
      </c>
      <c r="U3997">
        <v>-3.167694</v>
      </c>
      <c r="V3997">
        <v>-7.8390139999999997E-2</v>
      </c>
      <c r="W3997">
        <v>0.15188740000000001</v>
      </c>
      <c r="X3997">
        <v>0.9852843</v>
      </c>
      <c r="Y3997">
        <v>0.3412888</v>
      </c>
      <c r="Z3997">
        <v>9.0422290000000002E-2</v>
      </c>
      <c r="AA3997">
        <v>0.93559910000000002</v>
      </c>
      <c r="AB3997">
        <v>23</v>
      </c>
      <c r="AC3997">
        <v>-3.8915000000000002</v>
      </c>
      <c r="AD3997">
        <v>-1.1107720665309999</v>
      </c>
      <c r="AE3997">
        <v>-10.1214099999999</v>
      </c>
      <c r="AF3997">
        <v>3.7532401078564601</v>
      </c>
      <c r="AG3997">
        <v>-1.1107720665309999</v>
      </c>
      <c r="AH3997">
        <v>10.0533862139268</v>
      </c>
      <c r="AI3997">
        <v>95.909596168152007</v>
      </c>
      <c r="AJ3997">
        <v>69.527840921567503</v>
      </c>
      <c r="AK3997">
        <v>10.788475344430299</v>
      </c>
      <c r="AL3997">
        <v>81.263679750445803</v>
      </c>
      <c r="AM3997">
        <v>94.548923787194695</v>
      </c>
      <c r="AN3997">
        <v>0.99999997407723396</v>
      </c>
    </row>
    <row r="3998" spans="1:40" x14ac:dyDescent="0.25">
      <c r="A3998" t="str">
        <f>"20190304155453630"</f>
        <v>20190304155453630</v>
      </c>
      <c r="B3998" t="str">
        <f>"1551686093621722"</f>
        <v>1551686093621722</v>
      </c>
      <c r="C3998" t="s">
        <v>40</v>
      </c>
      <c r="D3998">
        <v>4.1065480000000001</v>
      </c>
      <c r="E3998">
        <v>0.67332139999999996</v>
      </c>
      <c r="F3998" t="s">
        <v>46</v>
      </c>
      <c r="G3998">
        <v>-426.54140000000001</v>
      </c>
      <c r="H3998" s="1">
        <v>-5.0272099999999998E-6</v>
      </c>
      <c r="I3998">
        <v>88.349809999999906</v>
      </c>
      <c r="J3998">
        <v>-422.70620000000002</v>
      </c>
      <c r="K3998">
        <v>1.1107009999999999</v>
      </c>
      <c r="L3998">
        <v>98.117099999999994</v>
      </c>
      <c r="M3998">
        <v>-7.2184939999999998E-3</v>
      </c>
      <c r="N3998">
        <v>-9.654368E-3</v>
      </c>
      <c r="O3998">
        <v>-0.99992760000000003</v>
      </c>
      <c r="P3998">
        <v>7.0825990000000005E-2</v>
      </c>
      <c r="Q3998">
        <v>0.14214570000000001</v>
      </c>
      <c r="R3998">
        <v>-0.98730899999999999</v>
      </c>
      <c r="S3998">
        <v>-1.1914979999999999</v>
      </c>
      <c r="T3998">
        <v>-0.34499279999999999</v>
      </c>
      <c r="U3998">
        <v>-3.1705320000000001</v>
      </c>
      <c r="V3998">
        <v>-7.8232499999999996E-2</v>
      </c>
      <c r="W3998">
        <v>0.15152119999999999</v>
      </c>
      <c r="X3998">
        <v>0.98535320000000004</v>
      </c>
      <c r="Y3998">
        <v>0.34335080000000001</v>
      </c>
      <c r="Z3998">
        <v>9.1865100000000005E-2</v>
      </c>
      <c r="AA3998">
        <v>0.93470370000000003</v>
      </c>
      <c r="AB3998">
        <v>23</v>
      </c>
      <c r="AC3998">
        <v>-3.83519999999998</v>
      </c>
      <c r="AD3998">
        <v>-1.11070602721</v>
      </c>
      <c r="AE3998">
        <v>-9.7672899999999991</v>
      </c>
      <c r="AF3998">
        <v>3.7228801947012098</v>
      </c>
      <c r="AG3998">
        <v>-1.11070602721</v>
      </c>
      <c r="AH3998">
        <v>9.6861961451060097</v>
      </c>
      <c r="AI3998">
        <v>96.109411873335304</v>
      </c>
      <c r="AJ3998">
        <v>68.975784007692994</v>
      </c>
      <c r="AK3998">
        <v>10.436278100187099</v>
      </c>
      <c r="AL3998">
        <v>81.284907059649498</v>
      </c>
      <c r="AM3998">
        <v>94.539498212179296</v>
      </c>
      <c r="AN3998">
        <v>0.99999996342796404</v>
      </c>
    </row>
    <row r="3999" spans="1:40" x14ac:dyDescent="0.25">
      <c r="A3999" t="str">
        <f>"20190304155453663"</f>
        <v>20190304155453663</v>
      </c>
      <c r="B3999" t="str">
        <f>"1551686093650999"</f>
        <v>1551686093650999</v>
      </c>
      <c r="C3999" t="s">
        <v>40</v>
      </c>
      <c r="D3999">
        <v>4.1795</v>
      </c>
      <c r="E3999">
        <v>0.67470160000000001</v>
      </c>
      <c r="F3999" t="s">
        <v>46</v>
      </c>
      <c r="G3999">
        <v>-426.47410000000002</v>
      </c>
      <c r="H3999" s="1">
        <v>-4.900366E-6</v>
      </c>
      <c r="I3999">
        <v>88.012119999999996</v>
      </c>
      <c r="J3999">
        <v>-422.70639999999997</v>
      </c>
      <c r="K3999">
        <v>1.1106640000000001</v>
      </c>
      <c r="L3999">
        <v>97.776430000000005</v>
      </c>
      <c r="M3999">
        <v>-5.3581519999999997E-3</v>
      </c>
      <c r="N3999">
        <v>-9.5786489999999998E-3</v>
      </c>
      <c r="O3999">
        <v>-0.99993989999999999</v>
      </c>
      <c r="P3999">
        <v>7.1867420000000001E-2</v>
      </c>
      <c r="Q3999">
        <v>0.142175</v>
      </c>
      <c r="R3999">
        <v>-0.98722929999999998</v>
      </c>
      <c r="S3999">
        <v>-1.1833800000000001</v>
      </c>
      <c r="T3999">
        <v>-0.34884009999999999</v>
      </c>
      <c r="U3999">
        <v>-3.1736759999999999</v>
      </c>
      <c r="V3999">
        <v>-7.7427609999999994E-2</v>
      </c>
      <c r="W3999">
        <v>0.1514826</v>
      </c>
      <c r="X3999">
        <v>0.98542269999999998</v>
      </c>
      <c r="Y3999">
        <v>0.3426572</v>
      </c>
      <c r="Z3999">
        <v>9.3022069999999998E-2</v>
      </c>
      <c r="AA3999">
        <v>0.9348438</v>
      </c>
      <c r="AB3999">
        <v>23</v>
      </c>
      <c r="AC3999">
        <v>-3.76770000000004</v>
      </c>
      <c r="AD3999">
        <v>-1.110668900366</v>
      </c>
      <c r="AE3999">
        <v>-9.76431</v>
      </c>
      <c r="AF3999">
        <v>3.6739496370799198</v>
      </c>
      <c r="AG3999">
        <v>-1.110668900366</v>
      </c>
      <c r="AH3999">
        <v>9.67539644203557</v>
      </c>
      <c r="AI3999">
        <v>96.125348770798098</v>
      </c>
      <c r="AJ3999">
        <v>69.207186908910401</v>
      </c>
      <c r="AK3999">
        <v>10.4088802304856</v>
      </c>
      <c r="AL3999">
        <v>81.287144432206205</v>
      </c>
      <c r="AM3999">
        <v>94.492670512558007</v>
      </c>
      <c r="AN3999">
        <v>0.99999995528417995</v>
      </c>
    </row>
    <row r="4000" spans="1:40" x14ac:dyDescent="0.25">
      <c r="A4000" t="str">
        <f>"20190304155453687"</f>
        <v>20190304155453687</v>
      </c>
      <c r="B4000" t="str">
        <f>"1551686093681256"</f>
        <v>1551686093681256</v>
      </c>
      <c r="C4000" t="s">
        <v>40</v>
      </c>
      <c r="D4000">
        <v>4.1064629999999998</v>
      </c>
      <c r="E4000">
        <v>0.67561519999999897</v>
      </c>
      <c r="F4000" t="s">
        <v>46</v>
      </c>
      <c r="G4000">
        <v>-426.53160000000003</v>
      </c>
      <c r="H4000" s="1">
        <v>-4.7625510000000001E-6</v>
      </c>
      <c r="I4000">
        <v>87.57714</v>
      </c>
      <c r="J4000">
        <v>-422.70620000000002</v>
      </c>
      <c r="K4000">
        <v>1.1106549999999999</v>
      </c>
      <c r="L4000">
        <v>97.543059999999997</v>
      </c>
      <c r="M4000">
        <v>-4.1274229999999999E-3</v>
      </c>
      <c r="N4000">
        <v>-9.5286339999999994E-3</v>
      </c>
      <c r="O4000">
        <v>-0.99994620000000001</v>
      </c>
      <c r="P4000">
        <v>7.2449449999999999E-2</v>
      </c>
      <c r="Q4000">
        <v>0.14306820000000001</v>
      </c>
      <c r="R4000">
        <v>-0.98705799999999999</v>
      </c>
      <c r="S4000">
        <v>-1.190887</v>
      </c>
      <c r="T4000">
        <v>-0.34577920000000001</v>
      </c>
      <c r="U4000">
        <v>-3.1752929999999999</v>
      </c>
      <c r="V4000">
        <v>-7.679018E-2</v>
      </c>
      <c r="W4000">
        <v>0.15232999999999999</v>
      </c>
      <c r="X4000">
        <v>0.98534200000000005</v>
      </c>
      <c r="Y4000">
        <v>0.34562739999999997</v>
      </c>
      <c r="Z4000">
        <v>9.2034539999999998E-2</v>
      </c>
      <c r="AA4000">
        <v>0.9338476</v>
      </c>
      <c r="AB4000">
        <v>23</v>
      </c>
      <c r="AC4000">
        <v>-3.8254000000000001</v>
      </c>
      <c r="AD4000">
        <v>-1.110659762551</v>
      </c>
      <c r="AE4000">
        <v>-9.9659199999999899</v>
      </c>
      <c r="AF4000">
        <v>3.74370567193911</v>
      </c>
      <c r="AG4000">
        <v>-1.110659762551</v>
      </c>
      <c r="AH4000">
        <v>9.8747290824606004</v>
      </c>
      <c r="AI4000">
        <v>96.0037524719625</v>
      </c>
      <c r="AJ4000">
        <v>69.237288335262903</v>
      </c>
      <c r="AK4000">
        <v>10.6188121613602</v>
      </c>
      <c r="AL4000">
        <v>81.238022385658397</v>
      </c>
      <c r="AM4000">
        <v>94.456197213027295</v>
      </c>
      <c r="AN4000">
        <v>1.00000000880421</v>
      </c>
    </row>
    <row r="4001" spans="1:40" x14ac:dyDescent="0.25">
      <c r="A4001" t="str">
        <f>"20190304155453709"</f>
        <v>20190304155453709</v>
      </c>
      <c r="B4001" t="str">
        <f>"1551686093701751"</f>
        <v>1551686093701751</v>
      </c>
      <c r="C4001" t="s">
        <v>40</v>
      </c>
      <c r="D4001">
        <v>4.0907799999999996</v>
      </c>
      <c r="E4001">
        <v>0.67623129999999998</v>
      </c>
      <c r="F4001" t="s">
        <v>46</v>
      </c>
      <c r="G4001">
        <v>-426.59690000000001</v>
      </c>
      <c r="H4001" s="1">
        <v>-4.6480649999999997E-6</v>
      </c>
      <c r="I4001">
        <v>87.206710000000001</v>
      </c>
      <c r="J4001">
        <v>-422.70580000000001</v>
      </c>
      <c r="K4001">
        <v>1.1106370000000001</v>
      </c>
      <c r="L4001">
        <v>97.305689999999998</v>
      </c>
      <c r="M4001">
        <v>-2.904181E-3</v>
      </c>
      <c r="N4001">
        <v>-9.4771119999999993E-3</v>
      </c>
      <c r="O4001">
        <v>-0.99995089999999998</v>
      </c>
      <c r="P4001">
        <v>7.3062180000000004E-2</v>
      </c>
      <c r="Q4001">
        <v>0.14366209999999999</v>
      </c>
      <c r="R4001">
        <v>-0.98692619999999998</v>
      </c>
      <c r="S4001">
        <v>-1.1956789999999999</v>
      </c>
      <c r="T4001">
        <v>-0.34132889999999999</v>
      </c>
      <c r="U4001">
        <v>-3.1765750000000001</v>
      </c>
      <c r="V4001">
        <v>-7.6190709999999995E-2</v>
      </c>
      <c r="W4001">
        <v>0.15287609999999999</v>
      </c>
      <c r="X4001">
        <v>0.98530390000000001</v>
      </c>
      <c r="Y4001">
        <v>0.34792960000000001</v>
      </c>
      <c r="Z4001">
        <v>9.0683769999999997E-2</v>
      </c>
      <c r="AA4001">
        <v>0.93312450000000002</v>
      </c>
      <c r="AB4001">
        <v>23</v>
      </c>
      <c r="AC4001">
        <v>-3.89109999999999</v>
      </c>
      <c r="AD4001">
        <v>-1.1106416480650001</v>
      </c>
      <c r="AE4001">
        <v>-10.0989799999999</v>
      </c>
      <c r="AF4001">
        <v>3.82150778680447</v>
      </c>
      <c r="AG4001">
        <v>-1.1106416480650001</v>
      </c>
      <c r="AH4001">
        <v>10.004874625704399</v>
      </c>
      <c r="AI4001">
        <v>95.9205565070815</v>
      </c>
      <c r="AJ4001">
        <v>69.094913853646901</v>
      </c>
      <c r="AK4001">
        <v>10.7673099198958</v>
      </c>
      <c r="AL4001">
        <v>81.206361829985298</v>
      </c>
      <c r="AM4001">
        <v>94.421718261195494</v>
      </c>
      <c r="AN4001">
        <v>0.99999995079836002</v>
      </c>
    </row>
    <row r="4002" spans="1:40" x14ac:dyDescent="0.25">
      <c r="A4002" t="str">
        <f>"20190304155453731"</f>
        <v>20190304155453731</v>
      </c>
      <c r="B4002" t="str">
        <f>"1551686093721272"</f>
        <v>1551686093721272</v>
      </c>
      <c r="C4002" t="s">
        <v>40</v>
      </c>
      <c r="D4002">
        <v>4.12751</v>
      </c>
      <c r="E4002">
        <v>0.67642419999999903</v>
      </c>
      <c r="F4002" t="s">
        <v>46</v>
      </c>
      <c r="G4002">
        <v>-426.64210000000003</v>
      </c>
      <c r="H4002" s="1">
        <v>-4.5405080000000002E-6</v>
      </c>
      <c r="I4002">
        <v>86.867099999999994</v>
      </c>
      <c r="J4002">
        <v>-422.70519999999999</v>
      </c>
      <c r="K4002">
        <v>1.110617</v>
      </c>
      <c r="L4002">
        <v>97.086240000000004</v>
      </c>
      <c r="M4002">
        <v>-1.7991389999999999E-3</v>
      </c>
      <c r="N4002">
        <v>-9.4290099999999998E-3</v>
      </c>
      <c r="O4002">
        <v>-0.99995420000000002</v>
      </c>
      <c r="P4002">
        <v>7.4053240000000006E-2</v>
      </c>
      <c r="Q4002">
        <v>0.14424529999999999</v>
      </c>
      <c r="R4002">
        <v>-0.98676739999999996</v>
      </c>
      <c r="S4002">
        <v>-1.1982729999999999</v>
      </c>
      <c r="T4002">
        <v>-0.33809660000000002</v>
      </c>
      <c r="U4002">
        <v>-3.177673</v>
      </c>
      <c r="V4002">
        <v>-7.6086100000000004E-2</v>
      </c>
      <c r="W4002">
        <v>0.153414299999999</v>
      </c>
      <c r="X4002">
        <v>0.9852284</v>
      </c>
      <c r="Y4002">
        <v>0.34955779999999997</v>
      </c>
      <c r="Z4002">
        <v>8.9714740000000001E-2</v>
      </c>
      <c r="AA4002">
        <v>0.93260960000000004</v>
      </c>
      <c r="AB4002">
        <v>23</v>
      </c>
      <c r="AC4002">
        <v>-3.9369000000000298</v>
      </c>
      <c r="AD4002">
        <v>-1.110621540508</v>
      </c>
      <c r="AE4002">
        <v>-10.219139999999999</v>
      </c>
      <c r="AF4002">
        <v>3.8786155969384102</v>
      </c>
      <c r="AG4002">
        <v>-1.110621540508</v>
      </c>
      <c r="AH4002">
        <v>10.1221009842525</v>
      </c>
      <c r="AI4002">
        <v>95.850000245794405</v>
      </c>
      <c r="AJ4002">
        <v>69.0340239109387</v>
      </c>
      <c r="AK4002">
        <v>10.8965163006559</v>
      </c>
      <c r="AL4002">
        <v>81.175157764982202</v>
      </c>
      <c r="AM4002">
        <v>94.416008303216302</v>
      </c>
      <c r="AN4002">
        <v>1.0000000211121201</v>
      </c>
    </row>
    <row r="4003" spans="1:40" x14ac:dyDescent="0.25">
      <c r="A4003" t="str">
        <f>"20190304155453753"</f>
        <v>20190304155453753</v>
      </c>
      <c r="B4003" t="str">
        <f>"1551686093741767"</f>
        <v>1551686093741767</v>
      </c>
      <c r="C4003" t="s">
        <v>40</v>
      </c>
      <c r="D4003">
        <v>4.2053909999999997</v>
      </c>
      <c r="E4003">
        <v>0.59065249999999903</v>
      </c>
      <c r="F4003" t="s">
        <v>46</v>
      </c>
      <c r="G4003">
        <v>-426.67410000000001</v>
      </c>
      <c r="H4003" s="1">
        <v>-4.436041E-6</v>
      </c>
      <c r="I4003">
        <v>86.543440000000004</v>
      </c>
      <c r="J4003">
        <v>-422.70429999999999</v>
      </c>
      <c r="K4003">
        <v>1.1105940000000001</v>
      </c>
      <c r="L4003">
        <v>96.850980000000007</v>
      </c>
      <c r="M4003">
        <v>-6.4624330000000001E-4</v>
      </c>
      <c r="N4003">
        <v>-9.3801530000000004E-3</v>
      </c>
      <c r="O4003">
        <v>-0.99995579999999995</v>
      </c>
      <c r="P4003">
        <v>7.5494099999999995E-2</v>
      </c>
      <c r="Q4003">
        <v>0.14475170000000001</v>
      </c>
      <c r="R4003">
        <v>-0.98658389999999996</v>
      </c>
      <c r="S4003">
        <v>-1.196747</v>
      </c>
      <c r="T4003">
        <v>-0.33489059999999998</v>
      </c>
      <c r="U4003">
        <v>-3.1790159999999998</v>
      </c>
      <c r="V4003">
        <v>-7.6383560000000003E-2</v>
      </c>
      <c r="W4003">
        <v>0.1538746</v>
      </c>
      <c r="X4003">
        <v>0.98513360000000005</v>
      </c>
      <c r="Y4003">
        <v>0.35014640000000002</v>
      </c>
      <c r="Z4003">
        <v>8.8789080000000006E-2</v>
      </c>
      <c r="AA4003">
        <v>0.93247740000000001</v>
      </c>
      <c r="AB4003">
        <v>23</v>
      </c>
      <c r="AC4003">
        <v>-3.9698000000000202</v>
      </c>
      <c r="AD4003">
        <v>-1.1105984360409999</v>
      </c>
      <c r="AE4003">
        <v>-10.307539999999999</v>
      </c>
      <c r="AF4003">
        <v>3.9234726309576602</v>
      </c>
      <c r="AG4003">
        <v>-1.1105984360409999</v>
      </c>
      <c r="AH4003">
        <v>10.206914734831299</v>
      </c>
      <c r="AI4003">
        <v>95.799269903396905</v>
      </c>
      <c r="AJ4003">
        <v>68.973559914727204</v>
      </c>
      <c r="AK4003">
        <v>10.9912772131417</v>
      </c>
      <c r="AL4003">
        <v>81.148467641723101</v>
      </c>
      <c r="AM4003">
        <v>94.433628987902296</v>
      </c>
      <c r="AN4003">
        <v>1.00000002530619</v>
      </c>
    </row>
    <row r="4004" spans="1:40" x14ac:dyDescent="0.25">
      <c r="A4004" t="str">
        <f>"20190304155453774"</f>
        <v>20190304155453774</v>
      </c>
      <c r="B4004" t="str">
        <f>"1551686093771048"</f>
        <v>1551686093771048</v>
      </c>
      <c r="C4004" t="s">
        <v>40</v>
      </c>
      <c r="D4004">
        <v>4.2763309999999999</v>
      </c>
      <c r="E4004">
        <v>0.55920080000000005</v>
      </c>
      <c r="F4004" t="s">
        <v>46</v>
      </c>
      <c r="G4004">
        <v>-426.10890000000001</v>
      </c>
      <c r="H4004" s="1">
        <v>-4.1466560000000001E-6</v>
      </c>
      <c r="I4004">
        <v>75.987659999999906</v>
      </c>
      <c r="J4004">
        <v>-422.70319999999998</v>
      </c>
      <c r="K4004">
        <v>1.1105689999999999</v>
      </c>
      <c r="L4004">
        <v>96.630250000000004</v>
      </c>
      <c r="M4004">
        <v>4.0189480000000003E-4</v>
      </c>
      <c r="N4004">
        <v>-9.3391120000000001E-3</v>
      </c>
      <c r="O4004">
        <v>-0.99995619999999996</v>
      </c>
      <c r="P4004">
        <v>7.7016799999999996E-2</v>
      </c>
      <c r="Q4004">
        <v>0.14524129999999999</v>
      </c>
      <c r="R4004">
        <v>-0.9863942</v>
      </c>
      <c r="S4004">
        <v>-0.50650019999999996</v>
      </c>
      <c r="T4004">
        <v>-0.16522129999999999</v>
      </c>
      <c r="U4004">
        <v>-3.10379</v>
      </c>
      <c r="V4004">
        <v>-7.686569E-2</v>
      </c>
      <c r="W4004">
        <v>0.1543255</v>
      </c>
      <c r="X4004">
        <v>0.9850255</v>
      </c>
      <c r="Y4004">
        <v>0.1612577</v>
      </c>
      <c r="Z4004">
        <v>4.313438E-2</v>
      </c>
      <c r="AA4004">
        <v>0.98596919999999999</v>
      </c>
      <c r="AB4004">
        <v>23</v>
      </c>
      <c r="AC4004">
        <v>-3.4057000000000199</v>
      </c>
      <c r="AD4004">
        <v>-1.110573146656</v>
      </c>
      <c r="AE4004">
        <v>-20.642589999999998</v>
      </c>
      <c r="AF4004">
        <v>3.4044034763245001</v>
      </c>
      <c r="AG4004">
        <v>-1.110573146656</v>
      </c>
      <c r="AH4004">
        <v>20.583221150210498</v>
      </c>
      <c r="AI4004">
        <v>93.047096667180995</v>
      </c>
      <c r="AJ4004">
        <v>80.608471537552404</v>
      </c>
      <c r="AK4004">
        <v>20.892398824983101</v>
      </c>
      <c r="AL4004">
        <v>81.122320115774599</v>
      </c>
      <c r="AM4004">
        <v>94.461988887796295</v>
      </c>
      <c r="AN4004">
        <v>0.99999996494983701</v>
      </c>
    </row>
    <row r="4005" spans="1:40" x14ac:dyDescent="0.25">
      <c r="A4005" t="str">
        <f>"20190304155453798"</f>
        <v>20190304155453798</v>
      </c>
      <c r="B4005" t="str">
        <f>"1551686093791555"</f>
        <v>1551686093791555</v>
      </c>
      <c r="C4005" t="s">
        <v>40</v>
      </c>
      <c r="D4005">
        <v>4.2871290000000002</v>
      </c>
      <c r="E4005">
        <v>0.53655980000000003</v>
      </c>
      <c r="F4005" t="s">
        <v>46</v>
      </c>
      <c r="G4005">
        <v>-424.85300000000001</v>
      </c>
      <c r="H4005" s="1">
        <v>-1.544936E-6</v>
      </c>
      <c r="I4005">
        <v>70.180430000000001</v>
      </c>
      <c r="J4005">
        <v>-422.70179999999999</v>
      </c>
      <c r="K4005">
        <v>1.110536</v>
      </c>
      <c r="L4005">
        <v>96.386049999999997</v>
      </c>
      <c r="M4005">
        <v>1.521328E-3</v>
      </c>
      <c r="N4005">
        <v>-9.2950619999999998E-3</v>
      </c>
      <c r="O4005">
        <v>-0.99995579999999995</v>
      </c>
      <c r="P4005">
        <v>7.9050789999999996E-2</v>
      </c>
      <c r="Q4005">
        <v>0.14504110000000001</v>
      </c>
      <c r="R4005">
        <v>-0.986263</v>
      </c>
      <c r="S4005">
        <v>-0.25033569999999999</v>
      </c>
      <c r="T4005">
        <v>-0.12932060000000001</v>
      </c>
      <c r="U4005">
        <v>-3.0799560000000001</v>
      </c>
      <c r="V4005">
        <v>-7.7785950000000006E-2</v>
      </c>
      <c r="W4005">
        <v>0.15408479999999999</v>
      </c>
      <c r="X4005">
        <v>0.98499099999999995</v>
      </c>
      <c r="Y4005">
        <v>8.2465699999999906E-2</v>
      </c>
      <c r="Z4005">
        <v>3.252124E-2</v>
      </c>
      <c r="AA4005">
        <v>0.99606309999999998</v>
      </c>
      <c r="AB4005">
        <v>23</v>
      </c>
      <c r="AC4005">
        <v>-2.15120000000001</v>
      </c>
      <c r="AD4005">
        <v>-1.110537544936</v>
      </c>
      <c r="AE4005">
        <v>-26.20562</v>
      </c>
      <c r="AF4005">
        <v>2.1871649728576101</v>
      </c>
      <c r="AG4005">
        <v>-1.110537544936</v>
      </c>
      <c r="AH4005">
        <v>26.1556588052458</v>
      </c>
      <c r="AI4005">
        <v>92.422803194452698</v>
      </c>
      <c r="AJ4005">
        <v>85.219984566410005</v>
      </c>
      <c r="AK4005">
        <v>26.270429608090598</v>
      </c>
      <c r="AL4005">
        <v>81.136278699901794</v>
      </c>
      <c r="AM4005">
        <v>94.515347108112394</v>
      </c>
      <c r="AN4005">
        <v>1.0000000248447201</v>
      </c>
    </row>
    <row r="4006" spans="1:40" x14ac:dyDescent="0.25">
      <c r="A4006" t="str">
        <f>"20190304155453820"</f>
        <v>20190304155453820</v>
      </c>
      <c r="B4006" t="str">
        <f>"1551686093811064"</f>
        <v>1551686093811064</v>
      </c>
      <c r="C4006" t="s">
        <v>40</v>
      </c>
      <c r="D4006">
        <v>4.273129</v>
      </c>
      <c r="E4006">
        <v>0.53007099999999996</v>
      </c>
      <c r="F4006" t="s">
        <v>46</v>
      </c>
      <c r="G4006">
        <v>-423.42610000000002</v>
      </c>
      <c r="H4006" s="1">
        <v>-1.7979679999999999E-6</v>
      </c>
      <c r="I4006">
        <v>61.655259999999998</v>
      </c>
      <c r="J4006">
        <v>-422.70030000000003</v>
      </c>
      <c r="K4006">
        <v>1.1105050000000001</v>
      </c>
      <c r="L4006">
        <v>96.147769999999994</v>
      </c>
      <c r="M4006">
        <v>2.5658870000000002E-3</v>
      </c>
      <c r="N4006">
        <v>-9.2509289999999997E-3</v>
      </c>
      <c r="O4006">
        <v>-0.99995409999999996</v>
      </c>
      <c r="P4006">
        <v>8.1160750000000004E-2</v>
      </c>
      <c r="Q4006">
        <v>0.1450369</v>
      </c>
      <c r="R4006">
        <v>-0.98609219999999997</v>
      </c>
      <c r="S4006">
        <v>-6.3842769999999993E-2</v>
      </c>
      <c r="T4006">
        <v>-9.7886200000000007E-2</v>
      </c>
      <c r="U4006">
        <v>-3.0612789999999999</v>
      </c>
      <c r="V4006">
        <v>-7.8856389999999998E-2</v>
      </c>
      <c r="W4006">
        <v>0.1540395</v>
      </c>
      <c r="X4006">
        <v>0.98491289999999998</v>
      </c>
      <c r="Y4006">
        <v>2.3405929999999998E-2</v>
      </c>
      <c r="Z4006">
        <v>2.270343E-2</v>
      </c>
      <c r="AA4006">
        <v>0.99946820000000003</v>
      </c>
      <c r="AB4006">
        <v>23</v>
      </c>
      <c r="AC4006">
        <v>-0.72579999999999201</v>
      </c>
      <c r="AD4006">
        <v>-1.1105067979679999</v>
      </c>
      <c r="AE4006">
        <v>-34.492510000000003</v>
      </c>
      <c r="AF4006">
        <v>0.81346243834375798</v>
      </c>
      <c r="AG4006">
        <v>-1.1105067979679999</v>
      </c>
      <c r="AH4006">
        <v>34.454835478362597</v>
      </c>
      <c r="AI4006">
        <v>91.845535626019696</v>
      </c>
      <c r="AJ4006">
        <v>88.647524887445798</v>
      </c>
      <c r="AK4006">
        <v>34.482323505354998</v>
      </c>
      <c r="AL4006">
        <v>81.1389049739077</v>
      </c>
      <c r="AM4006">
        <v>94.577583555683006</v>
      </c>
      <c r="AN4006">
        <v>0.99999995919524498</v>
      </c>
    </row>
    <row r="4007" spans="1:40" x14ac:dyDescent="0.25">
      <c r="A4007" t="str">
        <f>"20190304155453843"</f>
        <v>20190304155453843</v>
      </c>
      <c r="B4007" t="str">
        <f>"1551686093831560"</f>
        <v>1551686093831560</v>
      </c>
      <c r="C4007" t="s">
        <v>40</v>
      </c>
      <c r="D4007">
        <v>4.2611369999999997</v>
      </c>
      <c r="E4007">
        <v>0.52643469999999903</v>
      </c>
      <c r="F4007" t="s">
        <v>46</v>
      </c>
      <c r="G4007">
        <v>-422.76639999999998</v>
      </c>
      <c r="H4007" s="1">
        <v>-4.6944439999999998E-6</v>
      </c>
      <c r="I4007">
        <v>59.33963</v>
      </c>
      <c r="J4007">
        <v>-422.69850000000002</v>
      </c>
      <c r="K4007">
        <v>1.1104689999999999</v>
      </c>
      <c r="L4007">
        <v>95.920869999999994</v>
      </c>
      <c r="M4007">
        <v>3.5083789999999998E-3</v>
      </c>
      <c r="N4007">
        <v>-9.2111659999999998E-3</v>
      </c>
      <c r="O4007">
        <v>-0.99995160000000005</v>
      </c>
      <c r="P4007">
        <v>8.2721619999999996E-2</v>
      </c>
      <c r="Q4007">
        <v>0.14503350000000001</v>
      </c>
      <c r="R4007">
        <v>-0.98596300000000003</v>
      </c>
      <c r="S4007">
        <v>-5.493164E-3</v>
      </c>
      <c r="T4007">
        <v>-9.221029E-2</v>
      </c>
      <c r="U4007">
        <v>-3.0563349999999998</v>
      </c>
      <c r="V4007">
        <v>-7.9477240000000005E-2</v>
      </c>
      <c r="W4007">
        <v>0.1540009</v>
      </c>
      <c r="X4007">
        <v>0.98486910000000005</v>
      </c>
      <c r="Y4007">
        <v>5.3044559999999999E-3</v>
      </c>
      <c r="Z4007">
        <v>2.09477E-2</v>
      </c>
      <c r="AA4007">
        <v>0.9997665</v>
      </c>
      <c r="AB4007">
        <v>23</v>
      </c>
      <c r="AC4007">
        <v>-6.7899999999951804E-2</v>
      </c>
      <c r="AD4007">
        <v>-1.1104736944439999</v>
      </c>
      <c r="AE4007">
        <v>-36.581240000000001</v>
      </c>
      <c r="AF4007">
        <v>0.196065183066951</v>
      </c>
      <c r="AG4007">
        <v>-1.1104736944439999</v>
      </c>
      <c r="AH4007">
        <v>36.547098243587101</v>
      </c>
      <c r="AI4007">
        <v>91.740356274090601</v>
      </c>
      <c r="AJ4007">
        <v>89.692626767345502</v>
      </c>
      <c r="AK4007">
        <v>36.564490744552501</v>
      </c>
      <c r="AL4007">
        <v>81.141143900564799</v>
      </c>
      <c r="AM4007">
        <v>94.613672979435805</v>
      </c>
      <c r="AN4007">
        <v>1.0000000265068101</v>
      </c>
    </row>
    <row r="4008" spans="1:40" x14ac:dyDescent="0.25">
      <c r="A4008" t="str">
        <f>"20190304155453863"</f>
        <v>20190304155453863</v>
      </c>
      <c r="B4008" t="str">
        <f>"1551686093861816"</f>
        <v>1551686093861816</v>
      </c>
      <c r="C4008" t="s">
        <v>40</v>
      </c>
      <c r="D4008">
        <v>4.2316820000000002</v>
      </c>
      <c r="E4008">
        <v>0.52240229999999999</v>
      </c>
      <c r="F4008" t="s">
        <v>46</v>
      </c>
      <c r="G4008">
        <v>-422.34960000000001</v>
      </c>
      <c r="H4008" s="1">
        <v>-4.3351329999999996E-6</v>
      </c>
      <c r="I4008">
        <v>58.501019999999997</v>
      </c>
      <c r="J4008">
        <v>-422.69670000000002</v>
      </c>
      <c r="K4008">
        <v>1.1104350000000001</v>
      </c>
      <c r="L4008">
        <v>95.693939999999998</v>
      </c>
      <c r="M4008">
        <v>4.396858E-3</v>
      </c>
      <c r="N4008">
        <v>-9.1712289999999995E-3</v>
      </c>
      <c r="O4008">
        <v>-0.99994839999999996</v>
      </c>
      <c r="P4008">
        <v>8.4297460000000005E-2</v>
      </c>
      <c r="Q4008">
        <v>0.14487050000000001</v>
      </c>
      <c r="R4008">
        <v>-0.98585339999999999</v>
      </c>
      <c r="S4008">
        <v>2.8472899999999999E-2</v>
      </c>
      <c r="T4008">
        <v>-9.0621229999999997E-2</v>
      </c>
      <c r="U4008">
        <v>-3.0536799999999999</v>
      </c>
      <c r="V4008">
        <v>-8.0165860000000005E-2</v>
      </c>
      <c r="W4008">
        <v>0.153803</v>
      </c>
      <c r="X4008">
        <v>0.98484419999999995</v>
      </c>
      <c r="Y4008">
        <v>-4.9239440000000004E-3</v>
      </c>
      <c r="Z4008">
        <v>2.049351E-2</v>
      </c>
      <c r="AA4008">
        <v>0.9997779</v>
      </c>
      <c r="AB4008">
        <v>23</v>
      </c>
      <c r="AC4008">
        <v>0.34710000000001101</v>
      </c>
      <c r="AD4008">
        <v>-1.110439335133</v>
      </c>
      <c r="AE4008">
        <v>-37.192920000000001</v>
      </c>
      <c r="AF4008">
        <v>-0.18339433683613099</v>
      </c>
      <c r="AG4008">
        <v>-1.110439335133</v>
      </c>
      <c r="AH4008">
        <v>37.160964536490198</v>
      </c>
      <c r="AI4008">
        <v>91.711575227417697</v>
      </c>
      <c r="AJ4008">
        <v>90.282760049759702</v>
      </c>
      <c r="AK4008">
        <v>37.178004172925597</v>
      </c>
      <c r="AL4008">
        <v>81.152619333746102</v>
      </c>
      <c r="AM4008">
        <v>94.653589862248296</v>
      </c>
      <c r="AN4008">
        <v>1.00000001309608</v>
      </c>
    </row>
    <row r="4009" spans="1:40" x14ac:dyDescent="0.25">
      <c r="A4009" t="str">
        <f>"20190304155453888"</f>
        <v>20190304155453888</v>
      </c>
      <c r="B4009" t="str">
        <f>"1551686093881335"</f>
        <v>1551686093881335</v>
      </c>
      <c r="C4009" t="s">
        <v>40</v>
      </c>
      <c r="D4009">
        <v>4.2486370000000004</v>
      </c>
      <c r="E4009">
        <v>0.52084849999999905</v>
      </c>
      <c r="F4009" t="s">
        <v>46</v>
      </c>
      <c r="G4009">
        <v>-421.89699999999999</v>
      </c>
      <c r="H4009" s="1">
        <v>-4.0609369999999999E-6</v>
      </c>
      <c r="I4009">
        <v>57.931220000000003</v>
      </c>
      <c r="J4009">
        <v>-422.69459999999998</v>
      </c>
      <c r="K4009">
        <v>1.110393</v>
      </c>
      <c r="L4009">
        <v>95.448520000000002</v>
      </c>
      <c r="M4009">
        <v>5.3057130000000001E-3</v>
      </c>
      <c r="N4009">
        <v>-9.1285329999999994E-3</v>
      </c>
      <c r="O4009">
        <v>-0.99994430000000001</v>
      </c>
      <c r="P4009">
        <v>8.5628609999999994E-2</v>
      </c>
      <c r="Q4009">
        <v>0.14453669999999999</v>
      </c>
      <c r="R4009">
        <v>-0.98578730000000003</v>
      </c>
      <c r="S4009">
        <v>6.4605709999999997E-2</v>
      </c>
      <c r="T4009">
        <v>-8.9707609999999993E-2</v>
      </c>
      <c r="U4009">
        <v>-3.0506899999999999</v>
      </c>
      <c r="V4009">
        <v>-8.0588960000000001E-2</v>
      </c>
      <c r="W4009">
        <v>0.15343309999999999</v>
      </c>
      <c r="X4009">
        <v>0.9848673</v>
      </c>
      <c r="Y4009">
        <v>-1.5860490000000001E-2</v>
      </c>
      <c r="Z4009">
        <v>2.0261919999999999E-2</v>
      </c>
      <c r="AA4009">
        <v>0.99966889999999997</v>
      </c>
      <c r="AB4009">
        <v>23</v>
      </c>
      <c r="AC4009">
        <v>0.79759999999998799</v>
      </c>
      <c r="AD4009">
        <v>-1.110397060937</v>
      </c>
      <c r="AE4009">
        <v>-37.517299999999999</v>
      </c>
      <c r="AF4009">
        <v>-0.59800086108181805</v>
      </c>
      <c r="AG4009">
        <v>-1.110397060937</v>
      </c>
      <c r="AH4009">
        <v>37.488179893265396</v>
      </c>
      <c r="AI4009">
        <v>91.696384929673997</v>
      </c>
      <c r="AJ4009">
        <v>90.913888587706197</v>
      </c>
      <c r="AK4009">
        <v>37.509388403073402</v>
      </c>
      <c r="AL4009">
        <v>81.174067044772798</v>
      </c>
      <c r="AM4009">
        <v>94.677932655985202</v>
      </c>
      <c r="AN4009">
        <v>0.99999994762938904</v>
      </c>
    </row>
    <row r="4010" spans="1:40" x14ac:dyDescent="0.25">
      <c r="A4010" t="str">
        <f>"20190304155453911"</f>
        <v>20190304155453911</v>
      </c>
      <c r="B4010" t="str">
        <f>"1551686093901831"</f>
        <v>1551686093901831</v>
      </c>
      <c r="C4010" t="s">
        <v>40</v>
      </c>
      <c r="D4010">
        <v>4.2212769999999997</v>
      </c>
      <c r="E4010">
        <v>0.51962989999999998</v>
      </c>
      <c r="F4010" t="s">
        <v>46</v>
      </c>
      <c r="G4010">
        <v>-421.70209999999997</v>
      </c>
      <c r="H4010" s="1">
        <v>-4.0577540000000004E-6</v>
      </c>
      <c r="I4010">
        <v>58.023449999999997</v>
      </c>
      <c r="J4010">
        <v>-422.69220000000001</v>
      </c>
      <c r="K4010">
        <v>1.1103510000000001</v>
      </c>
      <c r="L4010">
        <v>95.194550000000007</v>
      </c>
      <c r="M4010">
        <v>6.1863969999999997E-3</v>
      </c>
      <c r="N4010">
        <v>-9.0882319999999999E-3</v>
      </c>
      <c r="O4010">
        <v>-0.99993989999999999</v>
      </c>
      <c r="P4010">
        <v>8.6608299999999999E-2</v>
      </c>
      <c r="Q4010">
        <v>0.144252399999999</v>
      </c>
      <c r="R4010">
        <v>-0.98574379999999995</v>
      </c>
      <c r="S4010">
        <v>8.0871579999999998E-2</v>
      </c>
      <c r="T4010">
        <v>-9.0478299999999998E-2</v>
      </c>
      <c r="U4010">
        <v>-3.0495000000000001</v>
      </c>
      <c r="V4010">
        <v>-8.0687369999999994E-2</v>
      </c>
      <c r="W4010">
        <v>0.15311549999999999</v>
      </c>
      <c r="X4010">
        <v>0.98490869999999997</v>
      </c>
      <c r="Y4010">
        <v>-2.031614E-2</v>
      </c>
      <c r="Z4010">
        <v>2.056301E-2</v>
      </c>
      <c r="AA4010">
        <v>0.99958210000000003</v>
      </c>
      <c r="AB4010">
        <v>24</v>
      </c>
      <c r="AC4010">
        <v>0.99010000000003995</v>
      </c>
      <c r="AD4010">
        <v>-1.110355057754</v>
      </c>
      <c r="AE4010">
        <v>-37.171100000000003</v>
      </c>
      <c r="AF4010">
        <v>-0.75943927993429206</v>
      </c>
      <c r="AG4010">
        <v>-1.110355057754</v>
      </c>
      <c r="AH4010">
        <v>37.143394332899803</v>
      </c>
      <c r="AI4010">
        <v>91.711917759149998</v>
      </c>
      <c r="AJ4010">
        <v>91.171314695989693</v>
      </c>
      <c r="AK4010">
        <v>37.167746487290302</v>
      </c>
      <c r="AL4010">
        <v>81.192482046521505</v>
      </c>
      <c r="AM4010">
        <v>94.683423648096493</v>
      </c>
      <c r="AN4010">
        <v>0.99999997767672799</v>
      </c>
    </row>
    <row r="4011" spans="1:40" x14ac:dyDescent="0.25">
      <c r="A4011" t="str">
        <f>"20190304155453932"</f>
        <v>20190304155453932</v>
      </c>
      <c r="B4011" t="str">
        <f>"1551686093921352"</f>
        <v>1551686093921352</v>
      </c>
      <c r="C4011" t="s">
        <v>40</v>
      </c>
      <c r="D4011">
        <v>4.2380380000000004</v>
      </c>
      <c r="E4011">
        <v>0.51870830000000001</v>
      </c>
      <c r="F4011" t="s">
        <v>46</v>
      </c>
      <c r="G4011">
        <v>-421.56330000000003</v>
      </c>
      <c r="H4011" s="1">
        <v>-4.1530979999999996E-6</v>
      </c>
      <c r="I4011">
        <v>58.375999999999998</v>
      </c>
      <c r="J4011">
        <v>-422.69009999999997</v>
      </c>
      <c r="K4011">
        <v>1.110317</v>
      </c>
      <c r="L4011">
        <v>94.980739999999997</v>
      </c>
      <c r="M4011">
        <v>6.8748209999999997E-3</v>
      </c>
      <c r="N4011">
        <v>-9.0583940000000009E-3</v>
      </c>
      <c r="O4011">
        <v>-0.99993549999999998</v>
      </c>
      <c r="P4011">
        <v>8.7244740000000001E-2</v>
      </c>
      <c r="Q4011">
        <v>0.14406529999999901</v>
      </c>
      <c r="R4011">
        <v>-0.98571509999999996</v>
      </c>
      <c r="S4011">
        <v>9.3475340000000004E-2</v>
      </c>
      <c r="T4011">
        <v>-9.1938610000000004E-2</v>
      </c>
      <c r="U4011">
        <v>-3.0486149999999999</v>
      </c>
      <c r="V4011">
        <v>-8.0633670000000005E-2</v>
      </c>
      <c r="W4011">
        <v>0.1529054</v>
      </c>
      <c r="X4011">
        <v>0.98494579999999998</v>
      </c>
      <c r="Y4011">
        <v>-2.376356E-2</v>
      </c>
      <c r="Z4011">
        <v>2.1076850000000001E-2</v>
      </c>
      <c r="AA4011">
        <v>0.99949540000000003</v>
      </c>
      <c r="AB4011">
        <v>24</v>
      </c>
      <c r="AC4011">
        <v>1.1267999999999401</v>
      </c>
      <c r="AD4011">
        <v>-1.1103211530979999</v>
      </c>
      <c r="AE4011">
        <v>-36.6047399999999</v>
      </c>
      <c r="AF4011">
        <v>-0.87430838297681501</v>
      </c>
      <c r="AG4011">
        <v>-1.1103211530979999</v>
      </c>
      <c r="AH4011">
        <v>36.5779991646084</v>
      </c>
      <c r="AI4011">
        <v>91.738177055395994</v>
      </c>
      <c r="AJ4011">
        <v>91.369255962484203</v>
      </c>
      <c r="AK4011">
        <v>36.605289933254902</v>
      </c>
      <c r="AL4011">
        <v>81.204663878114602</v>
      </c>
      <c r="AM4011">
        <v>94.680145022587297</v>
      </c>
      <c r="AN4011">
        <v>1.0000000395122299</v>
      </c>
    </row>
    <row r="4012" spans="1:40" x14ac:dyDescent="0.25">
      <c r="A4012" t="str">
        <f>"20190304155453954"</f>
        <v>20190304155453954</v>
      </c>
      <c r="B4012" t="str">
        <f>"1551686093951608"</f>
        <v>1551686093951608</v>
      </c>
      <c r="C4012" t="s">
        <v>40</v>
      </c>
      <c r="D4012">
        <v>4.2682669999999998</v>
      </c>
      <c r="E4012">
        <v>0.5176229</v>
      </c>
      <c r="F4012" t="s">
        <v>46</v>
      </c>
      <c r="G4012">
        <v>-421.47070000000002</v>
      </c>
      <c r="H4012" s="1">
        <v>-4.2546989999999999E-6</v>
      </c>
      <c r="I4012">
        <v>58.722819999999999</v>
      </c>
      <c r="J4012">
        <v>-422.68759999999997</v>
      </c>
      <c r="K4012">
        <v>1.1102799999999999</v>
      </c>
      <c r="L4012">
        <v>94.748350000000002</v>
      </c>
      <c r="M4012">
        <v>7.5639949999999996E-3</v>
      </c>
      <c r="N4012">
        <v>-9.0296419999999992E-3</v>
      </c>
      <c r="O4012">
        <v>-0.9999306</v>
      </c>
      <c r="P4012">
        <v>8.7566900000000003E-2</v>
      </c>
      <c r="Q4012">
        <v>0.14455570000000001</v>
      </c>
      <c r="R4012">
        <v>-0.98561449999999995</v>
      </c>
      <c r="S4012">
        <v>0.1025085</v>
      </c>
      <c r="T4012">
        <v>-9.3339560000000002E-2</v>
      </c>
      <c r="U4012">
        <v>-3.048035</v>
      </c>
      <c r="V4012">
        <v>-8.0264249999999995E-2</v>
      </c>
      <c r="W4012">
        <v>0.15337419999999999</v>
      </c>
      <c r="X4012">
        <v>0.98490299999999997</v>
      </c>
      <c r="Y4012">
        <v>-2.6038559999999999E-2</v>
      </c>
      <c r="Z4012">
        <v>2.1567869999999999E-2</v>
      </c>
      <c r="AA4012">
        <v>0.99942830000000005</v>
      </c>
      <c r="AB4012">
        <v>24</v>
      </c>
      <c r="AC4012">
        <v>1.2168999999999499</v>
      </c>
      <c r="AD4012">
        <v>-1.1102842546989999</v>
      </c>
      <c r="AE4012">
        <v>-36.025529999999897</v>
      </c>
      <c r="AF4012">
        <v>-0.94346202924732403</v>
      </c>
      <c r="AG4012">
        <v>-1.1102842546989999</v>
      </c>
      <c r="AH4012">
        <v>35.999549702324302</v>
      </c>
      <c r="AI4012">
        <v>91.765928441056303</v>
      </c>
      <c r="AJ4012">
        <v>91.501241597327294</v>
      </c>
      <c r="AK4012">
        <v>36.029022058570803</v>
      </c>
      <c r="AL4012">
        <v>81.1774822747402</v>
      </c>
      <c r="AM4012">
        <v>94.658999283335106</v>
      </c>
      <c r="AN4012">
        <v>0.99999995723135005</v>
      </c>
    </row>
    <row r="4013" spans="1:40" x14ac:dyDescent="0.25">
      <c r="A4013" t="str">
        <f>"20190304155453976"</f>
        <v>20190304155453976</v>
      </c>
      <c r="B4013" t="str">
        <f>"1551686093971128"</f>
        <v>1551686093971128</v>
      </c>
      <c r="C4013" t="s">
        <v>40</v>
      </c>
      <c r="D4013">
        <v>4.3989180000000001</v>
      </c>
      <c r="E4013">
        <v>0.51690420000000004</v>
      </c>
      <c r="F4013" t="s">
        <v>46</v>
      </c>
      <c r="G4013">
        <v>-421.36779999999999</v>
      </c>
      <c r="H4013" s="1">
        <v>-4.2409619999999999E-6</v>
      </c>
      <c r="I4013">
        <v>58.736080000000001</v>
      </c>
      <c r="J4013">
        <v>-422.685</v>
      </c>
      <c r="K4013">
        <v>1.110228</v>
      </c>
      <c r="L4013">
        <v>94.50412</v>
      </c>
      <c r="M4013">
        <v>8.2218080000000006E-3</v>
      </c>
      <c r="N4013">
        <v>-9.0029169999999992E-3</v>
      </c>
      <c r="O4013">
        <v>-0.99992599999999998</v>
      </c>
      <c r="P4013">
        <v>8.8257550000000004E-2</v>
      </c>
      <c r="Q4013">
        <v>0.14478279999999999</v>
      </c>
      <c r="R4013">
        <v>-0.98551979999999995</v>
      </c>
      <c r="S4013">
        <v>0.1116943</v>
      </c>
      <c r="T4013">
        <v>-9.3961829999999996E-2</v>
      </c>
      <c r="U4013">
        <v>-3.0476679999999998</v>
      </c>
      <c r="V4013">
        <v>-8.0291680000000004E-2</v>
      </c>
      <c r="W4013">
        <v>0.15358250000000001</v>
      </c>
      <c r="X4013">
        <v>0.98486830000000003</v>
      </c>
      <c r="Y4013">
        <v>-2.8392870000000001E-2</v>
      </c>
      <c r="Z4013">
        <v>2.1799450000000001E-2</v>
      </c>
      <c r="AA4013">
        <v>0.99935909999999994</v>
      </c>
      <c r="AB4013">
        <v>24</v>
      </c>
      <c r="AC4013">
        <v>1.3172000000000099</v>
      </c>
      <c r="AD4013">
        <v>-1.110232240962</v>
      </c>
      <c r="AE4013">
        <v>-35.768039999999999</v>
      </c>
      <c r="AF4013">
        <v>-1.0220822858965</v>
      </c>
      <c r="AG4013">
        <v>-1.110232240962</v>
      </c>
      <c r="AH4013">
        <v>35.743270292441203</v>
      </c>
      <c r="AI4013">
        <v>91.778382600030497</v>
      </c>
      <c r="AJ4013">
        <v>91.637932043314507</v>
      </c>
      <c r="AK4013">
        <v>35.7751120057859</v>
      </c>
      <c r="AL4013">
        <v>81.165404430237501</v>
      </c>
      <c r="AM4013">
        <v>94.660747949286602</v>
      </c>
      <c r="AN4013">
        <v>0.99999995326418001</v>
      </c>
    </row>
    <row r="4014" spans="1:40" x14ac:dyDescent="0.25">
      <c r="A4014" t="str">
        <f>"20190304155453998"</f>
        <v>20190304155453998</v>
      </c>
      <c r="B4014" t="str">
        <f>"1551686093991623"</f>
        <v>1551686093991623</v>
      </c>
      <c r="C4014" t="s">
        <v>40</v>
      </c>
      <c r="D4014">
        <v>4.2267099999999997</v>
      </c>
      <c r="E4014">
        <v>0.51644869999999998</v>
      </c>
      <c r="F4014" t="s">
        <v>46</v>
      </c>
      <c r="G4014">
        <v>-421.27969999999999</v>
      </c>
      <c r="H4014" s="1">
        <v>-4.2159800000000002E-6</v>
      </c>
      <c r="I4014">
        <v>58.708590000000001</v>
      </c>
      <c r="J4014">
        <v>-422.6825</v>
      </c>
      <c r="K4014">
        <v>1.11019</v>
      </c>
      <c r="L4014">
        <v>94.276790000000005</v>
      </c>
      <c r="M4014">
        <v>8.7728240000000002E-3</v>
      </c>
      <c r="N4014">
        <v>-8.9811639999999998E-3</v>
      </c>
      <c r="O4014">
        <v>-0.99992110000000001</v>
      </c>
      <c r="P4014">
        <v>8.8807839999999999E-2</v>
      </c>
      <c r="Q4014">
        <v>0.145096</v>
      </c>
      <c r="R4014">
        <v>-0.98542379999999996</v>
      </c>
      <c r="S4014">
        <v>0.1196289</v>
      </c>
      <c r="T4014">
        <v>-9.4513059999999996E-2</v>
      </c>
      <c r="U4014">
        <v>-3.0472410000000001</v>
      </c>
      <c r="V4014">
        <v>-8.0284140000000004E-2</v>
      </c>
      <c r="W4014">
        <v>0.1538822</v>
      </c>
      <c r="X4014">
        <v>0.98482219999999998</v>
      </c>
      <c r="Y4014">
        <v>-3.0444990000000002E-2</v>
      </c>
      <c r="Z4014">
        <v>2.2003579999999998E-2</v>
      </c>
      <c r="AA4014">
        <v>0.99929420000000002</v>
      </c>
      <c r="AB4014">
        <v>24</v>
      </c>
      <c r="AC4014">
        <v>1.40280000000001</v>
      </c>
      <c r="AD4014">
        <v>-1.11019421598</v>
      </c>
      <c r="AE4014">
        <v>-35.568199999999997</v>
      </c>
      <c r="AF4014">
        <v>-1.08963990067244</v>
      </c>
      <c r="AG4014">
        <v>-1.11019421598</v>
      </c>
      <c r="AH4014">
        <v>35.544562365146298</v>
      </c>
      <c r="AI4014">
        <v>91.788147812556602</v>
      </c>
      <c r="AJ4014">
        <v>91.755886619048496</v>
      </c>
      <c r="AK4014">
        <v>35.578585694770197</v>
      </c>
      <c r="AL4014">
        <v>81.148026898678097</v>
      </c>
      <c r="AM4014">
        <v>94.660529388008499</v>
      </c>
      <c r="AN4014">
        <v>1.0000000201126</v>
      </c>
    </row>
    <row r="4015" spans="1:40" x14ac:dyDescent="0.25">
      <c r="A4015" t="str">
        <f>"20190304155454022"</f>
        <v>20190304155454022</v>
      </c>
      <c r="B4015" t="str">
        <f>"1551686094011144"</f>
        <v>1551686094011144</v>
      </c>
      <c r="C4015" t="s">
        <v>40</v>
      </c>
      <c r="D4015">
        <v>4.2396529999999997</v>
      </c>
      <c r="E4015">
        <v>0.51604179999999999</v>
      </c>
      <c r="F4015" t="s">
        <v>46</v>
      </c>
      <c r="G4015">
        <v>-421.2176</v>
      </c>
      <c r="H4015" s="1">
        <v>-4.1630559999999996E-6</v>
      </c>
      <c r="I4015">
        <v>58.585430000000002</v>
      </c>
      <c r="J4015">
        <v>-422.67959999999999</v>
      </c>
      <c r="K4015">
        <v>1.1101399999999999</v>
      </c>
      <c r="L4015">
        <v>94.02731</v>
      </c>
      <c r="M4015">
        <v>9.3113469999999993E-3</v>
      </c>
      <c r="N4015">
        <v>-8.9606879999999996E-3</v>
      </c>
      <c r="O4015">
        <v>-0.99991680000000005</v>
      </c>
      <c r="P4015">
        <v>8.9816279999999998E-2</v>
      </c>
      <c r="Q4015">
        <v>0.1454946</v>
      </c>
      <c r="R4015">
        <v>-0.98527390000000004</v>
      </c>
      <c r="S4015">
        <v>0.12506099999999901</v>
      </c>
      <c r="T4015">
        <v>-9.4779970000000005E-2</v>
      </c>
      <c r="U4015">
        <v>-3.0470579999999998</v>
      </c>
      <c r="V4015">
        <v>-8.0746449999999997E-2</v>
      </c>
      <c r="W4015">
        <v>0.1542675</v>
      </c>
      <c r="X4015">
        <v>0.98472409999999999</v>
      </c>
      <c r="Y4015">
        <v>-3.1687310000000003E-2</v>
      </c>
      <c r="Z4015">
        <v>2.2111579999999999E-2</v>
      </c>
      <c r="AA4015">
        <v>0.99925319999999995</v>
      </c>
      <c r="AB4015">
        <v>24</v>
      </c>
      <c r="AC4015">
        <v>1.46199999999998</v>
      </c>
      <c r="AD4015">
        <v>-1.1101441630559901</v>
      </c>
      <c r="AE4015">
        <v>-35.441879999999998</v>
      </c>
      <c r="AF4015">
        <v>-1.1308042436027199</v>
      </c>
      <c r="AG4015">
        <v>-1.1101441630559901</v>
      </c>
      <c r="AH4015">
        <v>35.419265381540697</v>
      </c>
      <c r="AI4015">
        <v>91.794317247188701</v>
      </c>
      <c r="AJ4015">
        <v>91.828618129109699</v>
      </c>
      <c r="AK4015">
        <v>35.454696423296603</v>
      </c>
      <c r="AL4015">
        <v>81.125683880450197</v>
      </c>
      <c r="AM4015">
        <v>94.687712316985994</v>
      </c>
      <c r="AN4015">
        <v>1.0000000019323301</v>
      </c>
    </row>
    <row r="4016" spans="1:40" x14ac:dyDescent="0.25">
      <c r="A4016" t="str">
        <f>"20190304155454043"</f>
        <v>20190304155454043</v>
      </c>
      <c r="B4016" t="str">
        <f>"1551686094031640"</f>
        <v>1551686094031640</v>
      </c>
      <c r="C4016" t="s">
        <v>40</v>
      </c>
      <c r="D4016">
        <v>4.2014449999999997</v>
      </c>
      <c r="E4016">
        <v>0.51588459999999903</v>
      </c>
      <c r="F4016" t="s">
        <v>46</v>
      </c>
      <c r="G4016">
        <v>-421.13589999999999</v>
      </c>
      <c r="H4016" s="1">
        <v>-3.9822029999999996E-6</v>
      </c>
      <c r="I4016">
        <v>58.167230000000004</v>
      </c>
      <c r="J4016">
        <v>-422.67689999999999</v>
      </c>
      <c r="K4016">
        <v>1.1101030000000001</v>
      </c>
      <c r="L4016">
        <v>93.795169999999999</v>
      </c>
      <c r="M4016">
        <v>9.7467739999999997E-3</v>
      </c>
      <c r="N4016">
        <v>-8.9448280000000002E-3</v>
      </c>
      <c r="O4016">
        <v>-0.99991240000000003</v>
      </c>
      <c r="P4016">
        <v>9.071208E-2</v>
      </c>
      <c r="Q4016">
        <v>0.14529310000000001</v>
      </c>
      <c r="R4016">
        <v>-0.98522140000000002</v>
      </c>
      <c r="S4016">
        <v>0.13116459999999999</v>
      </c>
      <c r="T4016">
        <v>-9.4322199999999995E-2</v>
      </c>
      <c r="U4016">
        <v>-3.0468139999999999</v>
      </c>
      <c r="V4016">
        <v>-8.1198510000000002E-2</v>
      </c>
      <c r="W4016">
        <v>0.1540579</v>
      </c>
      <c r="X4016">
        <v>0.98471980000000003</v>
      </c>
      <c r="Y4016">
        <v>-3.3253400000000002E-2</v>
      </c>
      <c r="Z4016">
        <v>2.197785E-2</v>
      </c>
      <c r="AA4016">
        <v>0.99920529999999996</v>
      </c>
      <c r="AB4016">
        <v>24</v>
      </c>
      <c r="AC4016">
        <v>1.5409999999999899</v>
      </c>
      <c r="AD4016">
        <v>-1.1101069822030001</v>
      </c>
      <c r="AE4016">
        <v>-35.627939999999903</v>
      </c>
      <c r="AF4016">
        <v>-1.19249982506531</v>
      </c>
      <c r="AG4016">
        <v>-1.1101069822030001</v>
      </c>
      <c r="AH4016">
        <v>35.606763917465997</v>
      </c>
      <c r="AI4016">
        <v>91.784723918110501</v>
      </c>
      <c r="AJ4016">
        <v>91.918165859241199</v>
      </c>
      <c r="AK4016">
        <v>35.644018151982799</v>
      </c>
      <c r="AL4016">
        <v>81.137838891749098</v>
      </c>
      <c r="AM4016">
        <v>94.713859084928799</v>
      </c>
      <c r="AN4016">
        <v>1.00000005954533</v>
      </c>
    </row>
    <row r="4017" spans="1:40" x14ac:dyDescent="0.25">
      <c r="A4017" t="str">
        <f>"20190304155454065"</f>
        <v>20190304155454065</v>
      </c>
      <c r="B4017" t="str">
        <f>"1551686094061896"</f>
        <v>1551686094061896</v>
      </c>
      <c r="C4017" t="s">
        <v>40</v>
      </c>
      <c r="D4017">
        <v>4.1816820000000003</v>
      </c>
      <c r="E4017">
        <v>0.51552290000000001</v>
      </c>
      <c r="F4017" t="s">
        <v>46</v>
      </c>
      <c r="G4017">
        <v>-421.10210000000001</v>
      </c>
      <c r="H4017" s="1">
        <v>-4.073408E-6</v>
      </c>
      <c r="I4017">
        <v>58.400790000000001</v>
      </c>
      <c r="J4017">
        <v>-422.67410000000001</v>
      </c>
      <c r="K4017">
        <v>1.1100620000000001</v>
      </c>
      <c r="L4017">
        <v>93.558170000000004</v>
      </c>
      <c r="M4017">
        <v>1.0143070000000001E-2</v>
      </c>
      <c r="N4017">
        <v>-8.9311449999999997E-3</v>
      </c>
      <c r="O4017">
        <v>-0.99990880000000004</v>
      </c>
      <c r="P4017">
        <v>9.1740269999999999E-2</v>
      </c>
      <c r="Q4017">
        <v>0.14525009999999999</v>
      </c>
      <c r="R4017">
        <v>-0.98513280000000003</v>
      </c>
      <c r="S4017">
        <v>0.13555909999999999</v>
      </c>
      <c r="T4017">
        <v>-9.5553399999999997E-2</v>
      </c>
      <c r="U4017">
        <v>-3.0466000000000002</v>
      </c>
      <c r="V4017">
        <v>-8.1825540000000002E-2</v>
      </c>
      <c r="W4017">
        <v>0.15400659999999999</v>
      </c>
      <c r="X4017">
        <v>0.98467590000000005</v>
      </c>
      <c r="Y4017">
        <v>-3.4298170000000003E-2</v>
      </c>
      <c r="Z4017">
        <v>2.2395419999999999E-2</v>
      </c>
      <c r="AA4017">
        <v>0.99916070000000001</v>
      </c>
      <c r="AB4017">
        <v>24</v>
      </c>
      <c r="AC4017">
        <v>1.5720000000000001</v>
      </c>
      <c r="AD4017">
        <v>-1.1100660734079999</v>
      </c>
      <c r="AE4017">
        <v>-35.157379999999897</v>
      </c>
      <c r="AF4017">
        <v>-1.21409323148077</v>
      </c>
      <c r="AG4017">
        <v>-1.1100660734079999</v>
      </c>
      <c r="AH4017">
        <v>35.136558025500896</v>
      </c>
      <c r="AI4017">
        <v>91.808459891861602</v>
      </c>
      <c r="AJ4017">
        <v>91.978985910141702</v>
      </c>
      <c r="AK4017">
        <v>35.175047675041597</v>
      </c>
      <c r="AL4017">
        <v>81.140813491473295</v>
      </c>
      <c r="AM4017">
        <v>94.750305254028305</v>
      </c>
      <c r="AN4017">
        <v>1.0000000399403299</v>
      </c>
    </row>
    <row r="4018" spans="1:40" x14ac:dyDescent="0.25">
      <c r="A4018" t="str">
        <f>"20190304155454089"</f>
        <v>20190304155454089</v>
      </c>
      <c r="B4018" t="str">
        <f>"1551686094081415"</f>
        <v>1551686094081415</v>
      </c>
      <c r="C4018" t="s">
        <v>40</v>
      </c>
      <c r="D4018">
        <v>4.217206</v>
      </c>
      <c r="E4018">
        <v>0.5154147</v>
      </c>
      <c r="F4018" t="s">
        <v>46</v>
      </c>
      <c r="G4018">
        <v>-421.03930000000003</v>
      </c>
      <c r="H4018" s="1">
        <v>-4.0711800000000004E-6</v>
      </c>
      <c r="I4018">
        <v>58.434489999999997</v>
      </c>
      <c r="J4018">
        <v>-422.67110000000002</v>
      </c>
      <c r="K4018">
        <v>1.1100319999999999</v>
      </c>
      <c r="L4018">
        <v>93.306150000000002</v>
      </c>
      <c r="M4018">
        <v>1.052078E-2</v>
      </c>
      <c r="N4018">
        <v>-8.9173210000000006E-3</v>
      </c>
      <c r="O4018">
        <v>-0.99990500000000004</v>
      </c>
      <c r="P4018">
        <v>9.2134969999999997E-2</v>
      </c>
      <c r="Q4018">
        <v>0.1452146</v>
      </c>
      <c r="R4018">
        <v>-0.98510129999999996</v>
      </c>
      <c r="S4018">
        <v>0.14178470000000001</v>
      </c>
      <c r="T4018">
        <v>-9.6275689999999997E-2</v>
      </c>
      <c r="U4018">
        <v>-3.046265</v>
      </c>
      <c r="V4018">
        <v>-8.183878E-2</v>
      </c>
      <c r="W4018">
        <v>0.15396270000000001</v>
      </c>
      <c r="X4018">
        <v>0.98468160000000005</v>
      </c>
      <c r="Y4018">
        <v>-3.5962639999999997E-2</v>
      </c>
      <c r="Z4018">
        <v>2.2646880000000001E-2</v>
      </c>
      <c r="AA4018">
        <v>0.99909650000000005</v>
      </c>
      <c r="AB4018">
        <v>24</v>
      </c>
      <c r="AC4018">
        <v>1.6317999999999899</v>
      </c>
      <c r="AD4018">
        <v>-1.1100360711799999</v>
      </c>
      <c r="AE4018">
        <v>-34.871659999999999</v>
      </c>
      <c r="AF4018">
        <v>-1.26354054818105</v>
      </c>
      <c r="AG4018">
        <v>-1.1100360711799999</v>
      </c>
      <c r="AH4018">
        <v>34.851661078487901</v>
      </c>
      <c r="AI4018">
        <v>91.823074473617098</v>
      </c>
      <c r="AJ4018">
        <v>92.076338522354007</v>
      </c>
      <c r="AK4018">
        <v>34.8922196875751</v>
      </c>
      <c r="AL4018">
        <v>81.143358567806501</v>
      </c>
      <c r="AM4018">
        <v>94.751042995041701</v>
      </c>
      <c r="AN4018">
        <v>0.999999976140868</v>
      </c>
    </row>
    <row r="4019" spans="1:40" x14ac:dyDescent="0.25">
      <c r="A4019" t="str">
        <f>"20190304155454113"</f>
        <v>20190304155454113</v>
      </c>
      <c r="B4019" t="str">
        <f>"1551686094101911"</f>
        <v>1551686094101911</v>
      </c>
      <c r="C4019" t="s">
        <v>40</v>
      </c>
      <c r="D4019">
        <v>4.176984</v>
      </c>
      <c r="E4019">
        <v>0.51536559999999998</v>
      </c>
      <c r="F4019" t="s">
        <v>46</v>
      </c>
      <c r="G4019">
        <v>-421.02339999999998</v>
      </c>
      <c r="H4019" s="1">
        <v>-4.0529270000000003E-6</v>
      </c>
      <c r="I4019">
        <v>58.40184</v>
      </c>
      <c r="J4019">
        <v>-422.66800000000001</v>
      </c>
      <c r="K4019">
        <v>1.110012</v>
      </c>
      <c r="L4019">
        <v>93.047489999999996</v>
      </c>
      <c r="M4019">
        <v>1.086853E-2</v>
      </c>
      <c r="N4019">
        <v>-8.8994339999999995E-3</v>
      </c>
      <c r="O4019">
        <v>-0.99990140000000005</v>
      </c>
      <c r="P4019">
        <v>9.2346529999999996E-2</v>
      </c>
      <c r="Q4019">
        <v>0.14528469999999999</v>
      </c>
      <c r="R4019">
        <v>-0.98507089999999997</v>
      </c>
      <c r="S4019">
        <v>0.14379879999999901</v>
      </c>
      <c r="T4019">
        <v>-9.6876139999999999E-2</v>
      </c>
      <c r="U4019">
        <v>-3.0462039999999999</v>
      </c>
      <c r="V4019">
        <v>-8.1700469999999997E-2</v>
      </c>
      <c r="W4019">
        <v>0.15401879999999901</v>
      </c>
      <c r="X4019">
        <v>0.98468429999999996</v>
      </c>
      <c r="Y4019">
        <v>-3.6274870000000001E-2</v>
      </c>
      <c r="Z4019">
        <v>2.2861329999999999E-2</v>
      </c>
      <c r="AA4019">
        <v>0.99908030000000003</v>
      </c>
      <c r="AB4019">
        <v>24</v>
      </c>
      <c r="AC4019">
        <v>1.64460000000002</v>
      </c>
      <c r="AD4019">
        <v>-1.110016052927</v>
      </c>
      <c r="AE4019">
        <v>-34.645650000000003</v>
      </c>
      <c r="AF4019">
        <v>-1.2666433894900599</v>
      </c>
      <c r="AG4019">
        <v>-1.110016052927</v>
      </c>
      <c r="AH4019">
        <v>34.626014743501102</v>
      </c>
      <c r="AI4019">
        <v>91.834891953512994</v>
      </c>
      <c r="AJ4019">
        <v>92.094984814772502</v>
      </c>
      <c r="AK4019">
        <v>34.666949939835298</v>
      </c>
      <c r="AL4019">
        <v>81.1401053650591</v>
      </c>
      <c r="AM4019">
        <v>94.743037306699605</v>
      </c>
      <c r="AN4019">
        <v>0.99999996410907399</v>
      </c>
    </row>
    <row r="4020" spans="1:40" x14ac:dyDescent="0.25">
      <c r="A4020" t="str">
        <f>"20190304155454137"</f>
        <v>20190304155454137</v>
      </c>
      <c r="B4020" t="str">
        <f>"1551686094131192"</f>
        <v>1551686094131192</v>
      </c>
      <c r="C4020" t="s">
        <v>40</v>
      </c>
      <c r="D4020">
        <v>4.1426319999999999</v>
      </c>
      <c r="E4020">
        <v>0.51532730000000004</v>
      </c>
      <c r="F4020" t="s">
        <v>46</v>
      </c>
      <c r="G4020">
        <v>-421.0059</v>
      </c>
      <c r="H4020" s="1">
        <v>-3.9088520000000003E-6</v>
      </c>
      <c r="I4020">
        <v>58.076839999999997</v>
      </c>
      <c r="J4020">
        <v>-422.66480000000001</v>
      </c>
      <c r="K4020">
        <v>1.1099939999999999</v>
      </c>
      <c r="L4020">
        <v>92.787509999999997</v>
      </c>
      <c r="M4020">
        <v>1.1187239999999999E-2</v>
      </c>
      <c r="N4020">
        <v>-8.8804239999999996E-3</v>
      </c>
      <c r="O4020">
        <v>-0.99989799999999995</v>
      </c>
      <c r="P4020">
        <v>9.2585210000000001E-2</v>
      </c>
      <c r="Q4020">
        <v>0.14534839999999999</v>
      </c>
      <c r="R4020">
        <v>-0.9850392</v>
      </c>
      <c r="S4020">
        <v>0.1447754</v>
      </c>
      <c r="T4020">
        <v>-9.6688750000000004E-2</v>
      </c>
      <c r="U4020">
        <v>-3.0461429999999998</v>
      </c>
      <c r="V4020">
        <v>-8.16191E-2</v>
      </c>
      <c r="W4020">
        <v>0.15406729999999999</v>
      </c>
      <c r="X4020">
        <v>0.98468350000000004</v>
      </c>
      <c r="Y4020">
        <v>-3.6276929999999999E-2</v>
      </c>
      <c r="Z4020">
        <v>2.2819249999999999E-2</v>
      </c>
      <c r="AA4020">
        <v>0.9990812</v>
      </c>
      <c r="AB4020">
        <v>24</v>
      </c>
      <c r="AC4020">
        <v>1.65890000000001</v>
      </c>
      <c r="AD4020">
        <v>-1.109997908852</v>
      </c>
      <c r="AE4020">
        <v>-34.710669999999901</v>
      </c>
      <c r="AF4020">
        <v>-1.2691693437308</v>
      </c>
      <c r="AG4020">
        <v>-1.109997908852</v>
      </c>
      <c r="AH4020">
        <v>34.6916610399932</v>
      </c>
      <c r="AI4020">
        <v>91.831392037344003</v>
      </c>
      <c r="AJ4020">
        <v>92.095190272268695</v>
      </c>
      <c r="AK4020">
        <v>34.732610496398102</v>
      </c>
      <c r="AL4020">
        <v>81.137293296668602</v>
      </c>
      <c r="AM4020">
        <v>94.738338806089203</v>
      </c>
      <c r="AN4020">
        <v>1.0000000027931699</v>
      </c>
    </row>
    <row r="4021" spans="1:40" x14ac:dyDescent="0.25">
      <c r="A4021" t="str">
        <f>"20190304155454155"</f>
        <v>20190304155454155</v>
      </c>
      <c r="B4021" t="str">
        <f>"1551686094151687"</f>
        <v>1551686094151687</v>
      </c>
      <c r="C4021" t="s">
        <v>40</v>
      </c>
      <c r="D4021">
        <v>4.1494939999999998</v>
      </c>
      <c r="E4021">
        <v>0.51532630000000001</v>
      </c>
      <c r="F4021" t="s">
        <v>46</v>
      </c>
      <c r="G4021">
        <v>-420.98700000000002</v>
      </c>
      <c r="H4021" s="1">
        <v>-3.811228E-6</v>
      </c>
      <c r="I4021">
        <v>57.861020000000003</v>
      </c>
      <c r="J4021">
        <v>-422.66239999999999</v>
      </c>
      <c r="K4021">
        <v>1.10998</v>
      </c>
      <c r="L4021">
        <v>92.593630000000005</v>
      </c>
      <c r="M4021">
        <v>1.140943E-2</v>
      </c>
      <c r="N4021">
        <v>-8.8648830000000005E-3</v>
      </c>
      <c r="O4021">
        <v>-0.99989589999999995</v>
      </c>
      <c r="P4021">
        <v>9.2107320000000006E-2</v>
      </c>
      <c r="Q4021">
        <v>0.14574479999999901</v>
      </c>
      <c r="R4021">
        <v>-0.9850255</v>
      </c>
      <c r="S4021">
        <v>0.14633180000000001</v>
      </c>
      <c r="T4021">
        <v>-9.6808430000000001E-2</v>
      </c>
      <c r="U4021">
        <v>-3.0461119999999999</v>
      </c>
      <c r="V4021">
        <v>-8.0919270000000001E-2</v>
      </c>
      <c r="W4021">
        <v>0.1544499</v>
      </c>
      <c r="X4021">
        <v>0.98468129999999998</v>
      </c>
      <c r="Y4021">
        <v>-3.6564550000000001E-2</v>
      </c>
      <c r="Z4021">
        <v>2.2873709999999998E-2</v>
      </c>
      <c r="AA4021">
        <v>0.99906950000000005</v>
      </c>
      <c r="AB4021">
        <v>24</v>
      </c>
      <c r="AC4021">
        <v>1.67540000000002</v>
      </c>
      <c r="AD4021">
        <v>-1.1099838112279901</v>
      </c>
      <c r="AE4021">
        <v>-34.732610000000001</v>
      </c>
      <c r="AF4021">
        <v>-1.2776943038717099</v>
      </c>
      <c r="AG4021">
        <v>-1.1099838112279901</v>
      </c>
      <c r="AH4021">
        <v>34.7140935760631</v>
      </c>
      <c r="AI4021">
        <v>91.830171278035294</v>
      </c>
      <c r="AJ4021">
        <v>92.107889127466805</v>
      </c>
      <c r="AK4021">
        <v>34.755328506619001</v>
      </c>
      <c r="AL4021">
        <v>81.115106171797393</v>
      </c>
      <c r="AM4021">
        <v>94.697903752728195</v>
      </c>
      <c r="AN4021">
        <v>0.99999998121851597</v>
      </c>
    </row>
    <row r="4022" spans="1:40" x14ac:dyDescent="0.25">
      <c r="A4022" t="str">
        <f>"20190304155454178"</f>
        <v>20190304155454178</v>
      </c>
      <c r="B4022" t="str">
        <f>"1551686094171212"</f>
        <v>1551686094171212</v>
      </c>
      <c r="C4022" t="s">
        <v>40</v>
      </c>
      <c r="D4022">
        <v>4.1771349999999998</v>
      </c>
      <c r="E4022">
        <v>0.51526179999999999</v>
      </c>
      <c r="F4022" t="s">
        <v>46</v>
      </c>
      <c r="G4022">
        <v>-420.98329999999999</v>
      </c>
      <c r="H4022" s="1">
        <v>-3.5478749999999999E-6</v>
      </c>
      <c r="I4022">
        <v>57.249419999999901</v>
      </c>
      <c r="J4022">
        <v>-422.6592</v>
      </c>
      <c r="K4022">
        <v>1.109969</v>
      </c>
      <c r="L4022">
        <v>92.348110000000005</v>
      </c>
      <c r="M4022">
        <v>1.16799E-2</v>
      </c>
      <c r="N4022">
        <v>-8.8428450000000002E-3</v>
      </c>
      <c r="O4022">
        <v>-0.99989280000000003</v>
      </c>
      <c r="P4022">
        <v>9.1884649999999998E-2</v>
      </c>
      <c r="Q4022">
        <v>0.14640120000000001</v>
      </c>
      <c r="R4022">
        <v>-0.98494890000000002</v>
      </c>
      <c r="S4022">
        <v>0.14471439999999999</v>
      </c>
      <c r="T4022">
        <v>-9.5666890000000004E-2</v>
      </c>
      <c r="U4022">
        <v>-3.0462340000000001</v>
      </c>
      <c r="V4022">
        <v>-8.0427529999999997E-2</v>
      </c>
      <c r="W4022">
        <v>0.1550868</v>
      </c>
      <c r="X4022">
        <v>0.98462150000000004</v>
      </c>
      <c r="Y4022">
        <v>-3.5763650000000001E-2</v>
      </c>
      <c r="Z4022">
        <v>2.2521320000000001E-2</v>
      </c>
      <c r="AA4022">
        <v>0.99910650000000001</v>
      </c>
      <c r="AB4022">
        <v>24</v>
      </c>
      <c r="AC4022">
        <v>1.6759000000000099</v>
      </c>
      <c r="AD4022">
        <v>-1.109972547875</v>
      </c>
      <c r="AE4022">
        <v>-35.098689999999998</v>
      </c>
      <c r="AF4022">
        <v>-1.2645586960411399</v>
      </c>
      <c r="AG4022">
        <v>-1.109972547875</v>
      </c>
      <c r="AH4022">
        <v>35.080866250529397</v>
      </c>
      <c r="AI4022">
        <v>91.811081154779401</v>
      </c>
      <c r="AJ4022">
        <v>92.064444998711906</v>
      </c>
      <c r="AK4022">
        <v>35.121194806559501</v>
      </c>
      <c r="AL4022">
        <v>81.0781696049103</v>
      </c>
      <c r="AM4022">
        <v>94.669763932930806</v>
      </c>
      <c r="AN4022">
        <v>1.00000000068919</v>
      </c>
    </row>
    <row r="4023" spans="1:40" x14ac:dyDescent="0.25">
      <c r="A4023" t="str">
        <f>"20190304155454199"</f>
        <v>20190304155454199</v>
      </c>
      <c r="B4023" t="str">
        <f>"1551686094191704"</f>
        <v>1551686094191704</v>
      </c>
      <c r="C4023" t="s">
        <v>40</v>
      </c>
      <c r="D4023">
        <v>4.1694550000000001</v>
      </c>
      <c r="E4023">
        <v>0.5152658</v>
      </c>
      <c r="F4023" t="s">
        <v>46</v>
      </c>
      <c r="G4023">
        <v>-420.93970000000002</v>
      </c>
      <c r="H4023" s="1">
        <v>-3.1304889999999998E-6</v>
      </c>
      <c r="I4023">
        <v>56.303550000000001</v>
      </c>
      <c r="J4023">
        <v>-422.65609999999998</v>
      </c>
      <c r="K4023">
        <v>1.10996299999999</v>
      </c>
      <c r="L4023">
        <v>92.106350000000006</v>
      </c>
      <c r="M4023">
        <v>1.1936499999999999E-2</v>
      </c>
      <c r="N4023">
        <v>-8.8208369999999998E-3</v>
      </c>
      <c r="O4023">
        <v>-0.9998901</v>
      </c>
      <c r="P4023">
        <v>9.1579240000000006E-2</v>
      </c>
      <c r="Q4023">
        <v>0.14798539999999999</v>
      </c>
      <c r="R4023">
        <v>-0.98474090000000003</v>
      </c>
      <c r="S4023">
        <v>0.1453247</v>
      </c>
      <c r="T4023">
        <v>-9.3807100000000004E-2</v>
      </c>
      <c r="U4023">
        <v>-3.0462340000000001</v>
      </c>
      <c r="V4023">
        <v>-7.9869999999999997E-2</v>
      </c>
      <c r="W4023">
        <v>0.1566487</v>
      </c>
      <c r="X4023">
        <v>0.98441959999999995</v>
      </c>
      <c r="Y4023">
        <v>-3.5707669999999997E-2</v>
      </c>
      <c r="Z4023">
        <v>2.1933939999999999E-2</v>
      </c>
      <c r="AA4023">
        <v>0.9991215</v>
      </c>
      <c r="AB4023">
        <v>24</v>
      </c>
      <c r="AC4023">
        <v>1.71639999999996</v>
      </c>
      <c r="AD4023">
        <v>-1.1099661304889901</v>
      </c>
      <c r="AE4023">
        <v>-35.802799999999998</v>
      </c>
      <c r="AF4023">
        <v>-1.2876662812003501</v>
      </c>
      <c r="AG4023">
        <v>-1.1099661304889901</v>
      </c>
      <c r="AH4023">
        <v>35.7864209231644</v>
      </c>
      <c r="AI4023">
        <v>91.775391375547997</v>
      </c>
      <c r="AJ4023">
        <v>92.060726555328003</v>
      </c>
      <c r="AK4023">
        <v>35.826778138041803</v>
      </c>
      <c r="AL4023">
        <v>80.987571934545599</v>
      </c>
      <c r="AM4023">
        <v>94.638481434192201</v>
      </c>
      <c r="AN4023">
        <v>0.99999999048792398</v>
      </c>
    </row>
    <row r="4024" spans="1:40" x14ac:dyDescent="0.25">
      <c r="A4024" t="str">
        <f>"20190304155454223"</f>
        <v>20190304155454223</v>
      </c>
      <c r="B4024" t="str">
        <f>"1551686094211224"</f>
        <v>1551686094211224</v>
      </c>
      <c r="C4024" t="s">
        <v>40</v>
      </c>
      <c r="D4024">
        <v>4.2336900000000002</v>
      </c>
      <c r="E4024">
        <v>0.51531170000000004</v>
      </c>
      <c r="F4024" t="s">
        <v>46</v>
      </c>
      <c r="G4024">
        <v>-420.85289999999998</v>
      </c>
      <c r="H4024" s="1">
        <v>-2.1342039999999999E-6</v>
      </c>
      <c r="I4024">
        <v>54.034979999999997</v>
      </c>
      <c r="J4024">
        <v>-422.65280000000001</v>
      </c>
      <c r="K4024">
        <v>1.109958</v>
      </c>
      <c r="L4024">
        <v>91.85669</v>
      </c>
      <c r="M4024">
        <v>1.2192619999999999E-2</v>
      </c>
      <c r="N4024">
        <v>-8.8005789999999993E-3</v>
      </c>
      <c r="O4024">
        <v>-0.99988699999999997</v>
      </c>
      <c r="P4024">
        <v>9.1703789999999993E-2</v>
      </c>
      <c r="Q4024">
        <v>0.14886820000000001</v>
      </c>
      <c r="R4024">
        <v>-0.98459580000000002</v>
      </c>
      <c r="S4024">
        <v>0.1442871</v>
      </c>
      <c r="T4024">
        <v>-8.881783E-2</v>
      </c>
      <c r="U4024">
        <v>-3.0464169999999999</v>
      </c>
      <c r="V4024">
        <v>-7.9742489999999999E-2</v>
      </c>
      <c r="W4024">
        <v>0.15751089999999901</v>
      </c>
      <c r="X4024">
        <v>0.98429239999999996</v>
      </c>
      <c r="Y4024">
        <v>-3.511127E-2</v>
      </c>
      <c r="Z4024">
        <v>2.03185E-2</v>
      </c>
      <c r="AA4024">
        <v>0.99917690000000003</v>
      </c>
      <c r="AB4024">
        <v>24</v>
      </c>
      <c r="AC4024">
        <v>1.79990000000003</v>
      </c>
      <c r="AD4024">
        <v>-1.109960134204</v>
      </c>
      <c r="AE4024">
        <v>-37.821710000000003</v>
      </c>
      <c r="AF4024">
        <v>-1.33745334236883</v>
      </c>
      <c r="AG4024">
        <v>-1.109960134204</v>
      </c>
      <c r="AH4024">
        <v>37.808355628053597</v>
      </c>
      <c r="AI4024">
        <v>91.680529341012502</v>
      </c>
      <c r="AJ4024">
        <v>92.025967288833399</v>
      </c>
      <c r="AK4024">
        <v>37.848283293168102</v>
      </c>
      <c r="AL4024">
        <v>80.937550980275105</v>
      </c>
      <c r="AM4024">
        <v>94.631704351494704</v>
      </c>
      <c r="AN4024">
        <v>1.00000003851398</v>
      </c>
    </row>
    <row r="4025" spans="1:40" x14ac:dyDescent="0.25">
      <c r="A4025" t="str">
        <f>"20190304155454244"</f>
        <v>20190304155454244</v>
      </c>
      <c r="B4025" t="str">
        <f>"1551686094241480"</f>
        <v>1551686094241480</v>
      </c>
      <c r="C4025" t="s">
        <v>40</v>
      </c>
      <c r="D4025">
        <v>4.1809580000000004</v>
      </c>
      <c r="E4025">
        <v>0.51539880000000005</v>
      </c>
      <c r="F4025" t="s">
        <v>46</v>
      </c>
      <c r="G4025">
        <v>-420.78769999999997</v>
      </c>
      <c r="H4025" s="1">
        <v>-1.462409E-6</v>
      </c>
      <c r="I4025">
        <v>52.509459999999997</v>
      </c>
      <c r="J4025">
        <v>-422.6497</v>
      </c>
      <c r="K4025">
        <v>1.1099509999999999</v>
      </c>
      <c r="L4025">
        <v>91.620419999999996</v>
      </c>
      <c r="M4025">
        <v>1.242716E-2</v>
      </c>
      <c r="N4025">
        <v>-8.7839659999999903E-3</v>
      </c>
      <c r="O4025">
        <v>-0.99988440000000001</v>
      </c>
      <c r="P4025">
        <v>9.1411370000000006E-2</v>
      </c>
      <c r="Q4025">
        <v>0.1499685</v>
      </c>
      <c r="R4025">
        <v>-0.98445640000000001</v>
      </c>
      <c r="S4025">
        <v>0.14440919999999999</v>
      </c>
      <c r="T4025">
        <v>-8.5939169999999995E-2</v>
      </c>
      <c r="U4025">
        <v>-3.046478</v>
      </c>
      <c r="V4025">
        <v>-7.9220289999999999E-2</v>
      </c>
      <c r="W4025">
        <v>0.15859429999999999</v>
      </c>
      <c r="X4025">
        <v>0.98416049999999999</v>
      </c>
      <c r="Y4025">
        <v>-3.4916919999999997E-2</v>
      </c>
      <c r="Z4025">
        <v>1.9391490000000001E-2</v>
      </c>
      <c r="AA4025">
        <v>0.99920209999999998</v>
      </c>
      <c r="AB4025">
        <v>24</v>
      </c>
      <c r="AC4025">
        <v>1.8620000000000201</v>
      </c>
      <c r="AD4025">
        <v>-1.109952462409</v>
      </c>
      <c r="AE4025">
        <v>-39.110959999999999</v>
      </c>
      <c r="AF4025">
        <v>-1.3746947182445199</v>
      </c>
      <c r="AG4025">
        <v>-1.109952462409</v>
      </c>
      <c r="AH4025">
        <v>39.099660208897603</v>
      </c>
      <c r="AI4025">
        <v>91.625059600921205</v>
      </c>
      <c r="AJ4025">
        <v>92.013617884582601</v>
      </c>
      <c r="AK4025">
        <v>39.139560657836</v>
      </c>
      <c r="AL4025">
        <v>80.874685737282405</v>
      </c>
      <c r="AM4025">
        <v>94.602118007390601</v>
      </c>
      <c r="AN4025">
        <v>0.99999994805020997</v>
      </c>
    </row>
    <row r="4026" spans="1:40" x14ac:dyDescent="0.25">
      <c r="A4026" t="str">
        <f>"20190304155454265"</f>
        <v>20190304155454265</v>
      </c>
      <c r="B4026" t="str">
        <f>"1551686094261977"</f>
        <v>1551686094261977</v>
      </c>
      <c r="C4026" t="s">
        <v>40</v>
      </c>
      <c r="D4026">
        <v>4.1866139999999996</v>
      </c>
      <c r="E4026">
        <v>0.51541959999999998</v>
      </c>
      <c r="F4026" t="s">
        <v>46</v>
      </c>
      <c r="G4026">
        <v>-420.73599999999999</v>
      </c>
      <c r="H4026" s="1">
        <v>-6.5440759999999997E-7</v>
      </c>
      <c r="I4026">
        <v>50.65804</v>
      </c>
      <c r="J4026">
        <v>-422.64640000000003</v>
      </c>
      <c r="K4026">
        <v>1.109958</v>
      </c>
      <c r="L4026">
        <v>91.378540000000001</v>
      </c>
      <c r="M4026">
        <v>1.2661179999999999E-2</v>
      </c>
      <c r="N4026">
        <v>-8.7688539999999995E-3</v>
      </c>
      <c r="O4026">
        <v>-0.99988160000000004</v>
      </c>
      <c r="P4026">
        <v>9.1770749999999998E-2</v>
      </c>
      <c r="Q4026">
        <v>0.150951</v>
      </c>
      <c r="R4026">
        <v>-0.9842727</v>
      </c>
      <c r="S4026">
        <v>0.14233399999999999</v>
      </c>
      <c r="T4026">
        <v>-8.2556610000000002E-2</v>
      </c>
      <c r="U4026">
        <v>-3.0467219999999999</v>
      </c>
      <c r="V4026">
        <v>-7.9351359999999996E-2</v>
      </c>
      <c r="W4026">
        <v>0.1595608</v>
      </c>
      <c r="X4026">
        <v>0.98399380000000003</v>
      </c>
      <c r="Y4026">
        <v>-3.4001419999999997E-2</v>
      </c>
      <c r="Z4026">
        <v>1.8297000000000001E-2</v>
      </c>
      <c r="AA4026">
        <v>0.99925430000000004</v>
      </c>
      <c r="AB4026">
        <v>24</v>
      </c>
      <c r="AC4026">
        <v>1.9104000000000301</v>
      </c>
      <c r="AD4026">
        <v>-1.1099586544076001</v>
      </c>
      <c r="AE4026">
        <v>-40.720500000000001</v>
      </c>
      <c r="AF4026">
        <v>-1.39362437603941</v>
      </c>
      <c r="AG4026">
        <v>-1.1099586544076001</v>
      </c>
      <c r="AH4026">
        <v>40.7112426791399</v>
      </c>
      <c r="AI4026">
        <v>91.560821781883007</v>
      </c>
      <c r="AJ4026">
        <v>91.960579486839507</v>
      </c>
      <c r="AK4026">
        <v>40.750208313526599</v>
      </c>
      <c r="AL4026">
        <v>80.818595985819897</v>
      </c>
      <c r="AM4026">
        <v>94.610476995678596</v>
      </c>
      <c r="AN4026">
        <v>1.00000004283446</v>
      </c>
    </row>
    <row r="4027" spans="1:40" x14ac:dyDescent="0.25">
      <c r="A4027" t="str">
        <f>"20190304155454291"</f>
        <v>20190304155454291</v>
      </c>
      <c r="B4027" t="str">
        <f>"1551686094281496"</f>
        <v>1551686094281496</v>
      </c>
      <c r="C4027" t="s">
        <v>40</v>
      </c>
      <c r="D4027">
        <v>4.2118140000000004</v>
      </c>
      <c r="E4027">
        <v>0.51548709999999998</v>
      </c>
      <c r="F4027" t="s">
        <v>46</v>
      </c>
      <c r="G4027">
        <v>-420.64769999999999</v>
      </c>
      <c r="H4027" s="1">
        <v>-4.2101590000000003E-6</v>
      </c>
      <c r="I4027">
        <v>49.020919999999997</v>
      </c>
      <c r="J4027">
        <v>-422.64280000000002</v>
      </c>
      <c r="K4027">
        <v>1.109952</v>
      </c>
      <c r="L4027">
        <v>91.11551</v>
      </c>
      <c r="M4027">
        <v>1.290612E-2</v>
      </c>
      <c r="N4027">
        <v>-8.7544760000000006E-3</v>
      </c>
      <c r="O4027">
        <v>-0.99987870000000001</v>
      </c>
      <c r="P4027">
        <v>9.2830860000000001E-2</v>
      </c>
      <c r="Q4027">
        <v>0.15116640000000001</v>
      </c>
      <c r="R4027">
        <v>-0.98414020000000002</v>
      </c>
      <c r="S4027">
        <v>0.14376829999999999</v>
      </c>
      <c r="T4027">
        <v>-7.9839590000000002E-2</v>
      </c>
      <c r="U4027">
        <v>-3.046783</v>
      </c>
      <c r="V4027">
        <v>-8.0170270000000002E-2</v>
      </c>
      <c r="W4027">
        <v>0.15976179999999901</v>
      </c>
      <c r="X4027">
        <v>0.98389479999999996</v>
      </c>
      <c r="Y4027">
        <v>-3.4225890000000002E-2</v>
      </c>
      <c r="Z4027">
        <v>1.7420250000000002E-2</v>
      </c>
      <c r="AA4027">
        <v>0.99926230000000005</v>
      </c>
      <c r="AB4027">
        <v>25</v>
      </c>
      <c r="AC4027">
        <v>1.9951000000000301</v>
      </c>
      <c r="AD4027">
        <v>-1.1099562101589999</v>
      </c>
      <c r="AE4027">
        <v>-42.094589999999997</v>
      </c>
      <c r="AF4027">
        <v>-1.45062900892302</v>
      </c>
      <c r="AG4027">
        <v>-1.1099562101589999</v>
      </c>
      <c r="AH4027">
        <v>42.087636697818098</v>
      </c>
      <c r="AI4027">
        <v>91.5097866891889</v>
      </c>
      <c r="AJ4027">
        <v>91.974024613181697</v>
      </c>
      <c r="AK4027">
        <v>42.127253531621598</v>
      </c>
      <c r="AL4027">
        <v>80.806929864950405</v>
      </c>
      <c r="AM4027">
        <v>94.658315665895003</v>
      </c>
      <c r="AN4027">
        <v>1.0000000411990699</v>
      </c>
    </row>
    <row r="4028" spans="1:40" x14ac:dyDescent="0.25">
      <c r="A4028" t="str">
        <f>"20190304155454314"</f>
        <v>20190304155454314</v>
      </c>
      <c r="B4028" t="str">
        <f>"1551686094311562"</f>
        <v>1551686094311562</v>
      </c>
      <c r="C4028" t="s">
        <v>40</v>
      </c>
      <c r="D4028">
        <v>4.2178909999999998</v>
      </c>
      <c r="E4028">
        <v>0.51552589999999998</v>
      </c>
      <c r="F4028" t="s">
        <v>46</v>
      </c>
      <c r="G4028">
        <v>-420.58780000000002</v>
      </c>
      <c r="H4028" s="1">
        <v>-3.8939659999999998E-6</v>
      </c>
      <c r="I4028">
        <v>48.301490000000001</v>
      </c>
      <c r="J4028">
        <v>-422.63900000000001</v>
      </c>
      <c r="K4028">
        <v>1.1099479999999999</v>
      </c>
      <c r="L4028">
        <v>90.846069999999997</v>
      </c>
      <c r="M4028">
        <v>1.314133E-2</v>
      </c>
      <c r="N4028">
        <v>-8.7419990000000003E-3</v>
      </c>
      <c r="O4028">
        <v>-0.99987550000000003</v>
      </c>
      <c r="P4028">
        <v>9.3725669999999997E-2</v>
      </c>
      <c r="Q4028">
        <v>0.1517724</v>
      </c>
      <c r="R4028">
        <v>-0.98396189999999994</v>
      </c>
      <c r="S4028">
        <v>0.14624019999999999</v>
      </c>
      <c r="T4028">
        <v>-7.8985689999999997E-2</v>
      </c>
      <c r="U4028">
        <v>-3.0466920000000002</v>
      </c>
      <c r="V4028">
        <v>-8.0832790000000002E-2</v>
      </c>
      <c r="W4028">
        <v>0.16035529999999901</v>
      </c>
      <c r="X4028">
        <v>0.98374399999999995</v>
      </c>
      <c r="Y4028">
        <v>-3.48013E-2</v>
      </c>
      <c r="Z4028">
        <v>1.7152959999999998E-2</v>
      </c>
      <c r="AA4028">
        <v>0.999247</v>
      </c>
      <c r="AB4028">
        <v>25</v>
      </c>
      <c r="AC4028">
        <v>2.0511999999999899</v>
      </c>
      <c r="AD4028">
        <v>-1.109951893966</v>
      </c>
      <c r="AE4028">
        <v>-42.544580000000003</v>
      </c>
      <c r="AF4028">
        <v>-1.4908967538897</v>
      </c>
      <c r="AG4028">
        <v>-1.109951893966</v>
      </c>
      <c r="AH4028">
        <v>42.538975737698799</v>
      </c>
      <c r="AI4028">
        <v>91.493739214642503</v>
      </c>
      <c r="AJ4028">
        <v>92.007268392595805</v>
      </c>
      <c r="AK4028">
        <v>42.579563444805302</v>
      </c>
      <c r="AL4028">
        <v>80.772480393675806</v>
      </c>
      <c r="AM4028">
        <v>94.697356795333505</v>
      </c>
      <c r="AN4028">
        <v>1.00000000985663</v>
      </c>
    </row>
    <row r="4029" spans="1:40" x14ac:dyDescent="0.25">
      <c r="A4029" t="str">
        <f>"20190304155454335"</f>
        <v>20190304155454335</v>
      </c>
      <c r="B4029" t="str">
        <f>"1551686094331080"</f>
        <v>1551686094331080</v>
      </c>
      <c r="C4029" t="s">
        <v>40</v>
      </c>
      <c r="D4029">
        <v>4.2155500000000004</v>
      </c>
      <c r="E4029">
        <v>0.51558359999999903</v>
      </c>
      <c r="F4029" t="s">
        <v>46</v>
      </c>
      <c r="G4029">
        <v>-420.52409999999998</v>
      </c>
      <c r="H4029" s="1">
        <v>-3.3824509999999999E-6</v>
      </c>
      <c r="I4029">
        <v>47.148600000000002</v>
      </c>
      <c r="J4029">
        <v>-422.63580000000002</v>
      </c>
      <c r="K4029">
        <v>1.1099300000000001</v>
      </c>
      <c r="L4029">
        <v>90.615139999999997</v>
      </c>
      <c r="M4029">
        <v>1.332361E-2</v>
      </c>
      <c r="N4029">
        <v>-8.7300139999999995E-3</v>
      </c>
      <c r="O4029">
        <v>-0.99987340000000002</v>
      </c>
      <c r="P4029">
        <v>9.4650869999999998E-2</v>
      </c>
      <c r="Q4029">
        <v>0.15260360000000001</v>
      </c>
      <c r="R4029">
        <v>-0.98374499999999998</v>
      </c>
      <c r="S4029">
        <v>0.14746090000000001</v>
      </c>
      <c r="T4029">
        <v>-7.7390790000000001E-2</v>
      </c>
      <c r="U4029">
        <v>-3.046783</v>
      </c>
      <c r="V4029">
        <v>-8.1577449999999996E-2</v>
      </c>
      <c r="W4029">
        <v>0.1611747</v>
      </c>
      <c r="X4029">
        <v>0.9835486</v>
      </c>
      <c r="Y4029">
        <v>-3.5017569999999998E-2</v>
      </c>
      <c r="Z4029">
        <v>1.664127E-2</v>
      </c>
      <c r="AA4029">
        <v>0.99924809999999997</v>
      </c>
      <c r="AB4029">
        <v>25</v>
      </c>
      <c r="AC4029">
        <v>2.1117000000000399</v>
      </c>
      <c r="AD4029">
        <v>-1.10993338245099</v>
      </c>
      <c r="AE4029">
        <v>-43.466540000000002</v>
      </c>
      <c r="AF4029">
        <v>-1.5313632255720799</v>
      </c>
      <c r="AG4029">
        <v>-1.10993338245099</v>
      </c>
      <c r="AH4029">
        <v>43.462544806378297</v>
      </c>
      <c r="AI4029">
        <v>91.461977598003699</v>
      </c>
      <c r="AJ4029">
        <v>92.017929894694404</v>
      </c>
      <c r="AK4029">
        <v>43.503676011212598</v>
      </c>
      <c r="AL4029">
        <v>80.724913482699804</v>
      </c>
      <c r="AM4029">
        <v>94.741371657596105</v>
      </c>
      <c r="AN4029">
        <v>1.0000000064152701</v>
      </c>
    </row>
    <row r="4030" spans="1:40" x14ac:dyDescent="0.25">
      <c r="A4030" t="str">
        <f>"20190304155454355"</f>
        <v>20190304155454355</v>
      </c>
      <c r="B4030" t="str">
        <f>"1551686094351578"</f>
        <v>1551686094351578</v>
      </c>
      <c r="C4030" t="s">
        <v>40</v>
      </c>
      <c r="D4030">
        <v>4.282597</v>
      </c>
      <c r="E4030">
        <v>0.51547909999999997</v>
      </c>
      <c r="F4030" t="s">
        <v>46</v>
      </c>
      <c r="G4030">
        <v>-420.41239999999999</v>
      </c>
      <c r="H4030" s="1">
        <v>-2.6765690000000001E-6</v>
      </c>
      <c r="I4030">
        <v>45.572429999999997</v>
      </c>
      <c r="J4030">
        <v>-422.63260000000002</v>
      </c>
      <c r="K4030">
        <v>1.109912</v>
      </c>
      <c r="L4030">
        <v>90.39331</v>
      </c>
      <c r="M4030">
        <v>1.3476200000000001E-2</v>
      </c>
      <c r="N4030">
        <v>-8.7158400000000007E-3</v>
      </c>
      <c r="O4030">
        <v>-0.99987130000000002</v>
      </c>
      <c r="P4030">
        <v>9.5922049999999995E-2</v>
      </c>
      <c r="Q4030">
        <v>0.1528882</v>
      </c>
      <c r="R4030">
        <v>-0.98357709999999998</v>
      </c>
      <c r="S4030">
        <v>0.15039060000000001</v>
      </c>
      <c r="T4030">
        <v>-7.5077409999999997E-2</v>
      </c>
      <c r="U4030">
        <v>-3.0467529999999998</v>
      </c>
      <c r="V4030">
        <v>-8.2694539999999997E-2</v>
      </c>
      <c r="W4030">
        <v>0.16144720000000001</v>
      </c>
      <c r="X4030">
        <v>0.98341060000000002</v>
      </c>
      <c r="Y4030">
        <v>-3.5824699999999897E-2</v>
      </c>
      <c r="Z4030">
        <v>1.5896830000000001E-2</v>
      </c>
      <c r="AA4030">
        <v>0.9992316</v>
      </c>
      <c r="AB4030">
        <v>25</v>
      </c>
      <c r="AC4030">
        <v>2.2202000000000299</v>
      </c>
      <c r="AD4030">
        <v>-1.109914676569</v>
      </c>
      <c r="AE4030">
        <v>-44.820879999999903</v>
      </c>
      <c r="AF4030">
        <v>-1.61497242927118</v>
      </c>
      <c r="AG4030">
        <v>-1.109914676569</v>
      </c>
      <c r="AH4030">
        <v>44.819313624892501</v>
      </c>
      <c r="AI4030">
        <v>91.417674830999999</v>
      </c>
      <c r="AJ4030">
        <v>92.063643578048698</v>
      </c>
      <c r="AK4030">
        <v>44.862132365092101</v>
      </c>
      <c r="AL4030">
        <v>80.709093104031396</v>
      </c>
      <c r="AM4030">
        <v>94.806667341993005</v>
      </c>
      <c r="AN4030">
        <v>0.99999999676300499</v>
      </c>
    </row>
    <row r="4031" spans="1:40" x14ac:dyDescent="0.25">
      <c r="A4031" t="str">
        <f>"20190304155454379"</f>
        <v>20190304155454379</v>
      </c>
      <c r="B4031" t="str">
        <f>"1551686094371097"</f>
        <v>1551686094371097</v>
      </c>
      <c r="C4031" t="s">
        <v>40</v>
      </c>
      <c r="D4031">
        <v>4.2141799999999998</v>
      </c>
      <c r="E4031">
        <v>0.47868480000000002</v>
      </c>
      <c r="F4031" t="s">
        <v>46</v>
      </c>
      <c r="G4031">
        <v>-420.33049999999997</v>
      </c>
      <c r="H4031" s="1">
        <v>-2.4937599999999999E-6</v>
      </c>
      <c r="I4031">
        <v>45.197119999999998</v>
      </c>
      <c r="J4031">
        <v>-422.62889999999999</v>
      </c>
      <c r="K4031">
        <v>1.10989</v>
      </c>
      <c r="L4031">
        <v>90.131290000000007</v>
      </c>
      <c r="M4031">
        <v>1.3623939999999999E-2</v>
      </c>
      <c r="N4031">
        <v>-8.6986849999999994E-3</v>
      </c>
      <c r="O4031">
        <v>-0.99986929999999996</v>
      </c>
      <c r="P4031">
        <v>9.6795480000000003E-2</v>
      </c>
      <c r="Q4031">
        <v>0.15285660000000001</v>
      </c>
      <c r="R4031">
        <v>-0.98349640000000005</v>
      </c>
      <c r="S4031">
        <v>0.15518189999999901</v>
      </c>
      <c r="T4031">
        <v>-7.4817540000000002E-2</v>
      </c>
      <c r="U4031">
        <v>-3.0466000000000002</v>
      </c>
      <c r="V4031">
        <v>-8.3414950000000002E-2</v>
      </c>
      <c r="W4031">
        <v>0.1614025</v>
      </c>
      <c r="X4031">
        <v>0.98335709999999998</v>
      </c>
      <c r="Y4031">
        <v>-3.7246840000000003E-2</v>
      </c>
      <c r="Z4031">
        <v>1.582851E-2</v>
      </c>
      <c r="AA4031">
        <v>0.99918070000000003</v>
      </c>
      <c r="AB4031">
        <v>25</v>
      </c>
      <c r="AC4031">
        <v>2.2984000000000102</v>
      </c>
      <c r="AD4031">
        <v>-1.1098924937600001</v>
      </c>
      <c r="AE4031">
        <v>-44.934170000000002</v>
      </c>
      <c r="AF4031">
        <v>-1.68495771127645</v>
      </c>
      <c r="AG4031">
        <v>-1.1098924937600001</v>
      </c>
      <c r="AH4031">
        <v>44.933970645511998</v>
      </c>
      <c r="AI4031">
        <v>91.413954546070201</v>
      </c>
      <c r="AJ4031">
        <v>92.147501149882899</v>
      </c>
      <c r="AK4031">
        <v>44.979247012463802</v>
      </c>
      <c r="AL4031">
        <v>80.711688324023797</v>
      </c>
      <c r="AM4031">
        <v>94.848605352083894</v>
      </c>
      <c r="AN4031">
        <v>1.00000000350508</v>
      </c>
    </row>
    <row r="4032" spans="1:40" x14ac:dyDescent="0.25">
      <c r="A4032" t="str">
        <f>"20190304155454400"</f>
        <v>20190304155454400</v>
      </c>
      <c r="B4032" t="str">
        <f>"1551686094391593"</f>
        <v>1551686094391593</v>
      </c>
      <c r="C4032" t="s">
        <v>40</v>
      </c>
      <c r="D4032">
        <v>4.2283210000000002</v>
      </c>
      <c r="E4032">
        <v>0.47167199999999998</v>
      </c>
      <c r="F4032" t="s">
        <v>46</v>
      </c>
      <c r="G4032">
        <v>-416.66300000000001</v>
      </c>
      <c r="H4032" s="1">
        <v>-1.0469220000000001E-6</v>
      </c>
      <c r="I4032">
        <v>50.115380000000002</v>
      </c>
      <c r="J4032">
        <v>-422.62549999999999</v>
      </c>
      <c r="K4032">
        <v>1.1098600000000001</v>
      </c>
      <c r="L4032">
        <v>89.893709999999999</v>
      </c>
      <c r="M4032">
        <v>1.372399E-2</v>
      </c>
      <c r="N4032">
        <v>-8.6851840000000003E-3</v>
      </c>
      <c r="O4032">
        <v>-0.99986819999999998</v>
      </c>
      <c r="P4032">
        <v>9.7635159999999999E-2</v>
      </c>
      <c r="Q4032">
        <v>0.15275620000000001</v>
      </c>
      <c r="R4032">
        <v>-0.98342909999999994</v>
      </c>
      <c r="S4032">
        <v>0.4501038</v>
      </c>
      <c r="T4032">
        <v>-8.3736899999999906E-2</v>
      </c>
      <c r="U4032">
        <v>-3.0190429999999999</v>
      </c>
      <c r="V4032">
        <v>-8.4147479999999997E-2</v>
      </c>
      <c r="W4032">
        <v>0.16129279999999999</v>
      </c>
      <c r="X4032">
        <v>0.98331270000000004</v>
      </c>
      <c r="Y4032">
        <v>-0.1338232</v>
      </c>
      <c r="Z4032">
        <v>1.8771340000000001E-2</v>
      </c>
      <c r="AA4032">
        <v>0.99082740000000002</v>
      </c>
      <c r="AB4032">
        <v>25</v>
      </c>
      <c r="AC4032">
        <v>5.9624999999999702</v>
      </c>
      <c r="AD4032">
        <v>-1.109861046922</v>
      </c>
      <c r="AE4032">
        <v>-39.778329999999997</v>
      </c>
      <c r="AF4032">
        <v>-5.4118800484921996</v>
      </c>
      <c r="AG4032">
        <v>-1.109861046922</v>
      </c>
      <c r="AH4032">
        <v>39.826093528965202</v>
      </c>
      <c r="AI4032">
        <v>91.581757935618697</v>
      </c>
      <c r="AJ4032">
        <v>97.738398349698798</v>
      </c>
      <c r="AK4032">
        <v>40.2074366626453</v>
      </c>
      <c r="AL4032">
        <v>80.718057232905196</v>
      </c>
      <c r="AM4032">
        <v>94.891198754250198</v>
      </c>
      <c r="AN4032">
        <v>1.0000000158517399</v>
      </c>
    </row>
    <row r="4033" spans="1:40" x14ac:dyDescent="0.25">
      <c r="A4033" t="str">
        <f>"20190304155454423"</f>
        <v>20190304155454423</v>
      </c>
      <c r="B4033" t="str">
        <f>"1551686094411889"</f>
        <v>1551686094411889</v>
      </c>
      <c r="C4033" t="s">
        <v>40</v>
      </c>
      <c r="D4033">
        <v>4.2679999999999998</v>
      </c>
      <c r="E4033">
        <v>0.46966000000000002</v>
      </c>
      <c r="F4033" t="s">
        <v>46</v>
      </c>
      <c r="G4033">
        <v>-416.69709999999998</v>
      </c>
      <c r="H4033" s="1">
        <v>-2.7754740000000001E-6</v>
      </c>
      <c r="I4033">
        <v>54.736759999999997</v>
      </c>
      <c r="J4033">
        <v>-422.62189999999998</v>
      </c>
      <c r="K4033">
        <v>1.109837</v>
      </c>
      <c r="L4033">
        <v>89.638890000000004</v>
      </c>
      <c r="M4033">
        <v>1.379032E-2</v>
      </c>
      <c r="N4033">
        <v>-8.6728789999999997E-3</v>
      </c>
      <c r="O4033">
        <v>-0.99986719999999896</v>
      </c>
      <c r="P4033">
        <v>9.8299059999999994E-2</v>
      </c>
      <c r="Q4033">
        <v>0.1528793</v>
      </c>
      <c r="R4033">
        <v>-0.98334370000000004</v>
      </c>
      <c r="S4033">
        <v>0.50839230000000002</v>
      </c>
      <c r="T4033">
        <v>-9.5175620000000002E-2</v>
      </c>
      <c r="U4033">
        <v>-3.0148619999999999</v>
      </c>
      <c r="V4033">
        <v>-8.4737090000000001E-2</v>
      </c>
      <c r="W4033">
        <v>0.1614081</v>
      </c>
      <c r="X4033">
        <v>0.98324310000000004</v>
      </c>
      <c r="Y4033">
        <v>-0.15259829999999999</v>
      </c>
      <c r="Z4033">
        <v>2.248443E-2</v>
      </c>
      <c r="AA4033">
        <v>0.98803249999999998</v>
      </c>
      <c r="AB4033">
        <v>25</v>
      </c>
      <c r="AC4033">
        <v>5.9248000000000003</v>
      </c>
      <c r="AD4033">
        <v>-1.1098397754739999</v>
      </c>
      <c r="AE4033">
        <v>-34.90213</v>
      </c>
      <c r="AF4033">
        <v>-5.43756266869583</v>
      </c>
      <c r="AG4033">
        <v>-1.1098397754739999</v>
      </c>
      <c r="AH4033">
        <v>34.946172668570398</v>
      </c>
      <c r="AI4033">
        <v>91.797405736779695</v>
      </c>
      <c r="AJ4033">
        <v>98.844201933491306</v>
      </c>
      <c r="AK4033">
        <v>35.384089875037802</v>
      </c>
      <c r="AL4033">
        <v>80.7113629042138</v>
      </c>
      <c r="AM4033">
        <v>94.925649643784794</v>
      </c>
      <c r="AN4033">
        <v>0.99999997143244301</v>
      </c>
    </row>
    <row r="4034" spans="1:40" x14ac:dyDescent="0.25">
      <c r="A4034" t="str">
        <f>"20190304155454446"</f>
        <v>20190304155454446</v>
      </c>
      <c r="B4034" t="str">
        <f>"1551686094441169"</f>
        <v>1551686094441169</v>
      </c>
      <c r="C4034" t="s">
        <v>40</v>
      </c>
      <c r="D4034">
        <v>4.274457</v>
      </c>
      <c r="E4034">
        <v>0.46880060000000001</v>
      </c>
      <c r="F4034" t="s">
        <v>46</v>
      </c>
      <c r="G4034">
        <v>-416.63350000000003</v>
      </c>
      <c r="H4034" s="1">
        <v>-3.0326610000000002E-6</v>
      </c>
      <c r="I4034">
        <v>55.309989999999999</v>
      </c>
      <c r="J4034">
        <v>-422.61849999999998</v>
      </c>
      <c r="K4034">
        <v>1.1098209999999999</v>
      </c>
      <c r="L4034">
        <v>89.390230000000003</v>
      </c>
      <c r="M4034">
        <v>1.382095E-2</v>
      </c>
      <c r="N4034">
        <v>-8.6623399999999993E-3</v>
      </c>
      <c r="O4034">
        <v>-0.99986699999999995</v>
      </c>
      <c r="P4034">
        <v>9.8795629999999995E-2</v>
      </c>
      <c r="Q4034">
        <v>0.15399779999999999</v>
      </c>
      <c r="R4034">
        <v>-0.98311930000000003</v>
      </c>
      <c r="S4034">
        <v>0.5256653</v>
      </c>
      <c r="T4034">
        <v>-9.7421999999999995E-2</v>
      </c>
      <c r="U4034">
        <v>-3.0133969999999999</v>
      </c>
      <c r="V4034">
        <v>-8.5198129999999997E-2</v>
      </c>
      <c r="W4034">
        <v>0.1625191</v>
      </c>
      <c r="X4034">
        <v>0.98302020000000001</v>
      </c>
      <c r="Y4034">
        <v>-0.15814159999999999</v>
      </c>
      <c r="Z4034">
        <v>2.3215759999999998E-2</v>
      </c>
      <c r="AA4034">
        <v>0.98714349999999995</v>
      </c>
      <c r="AB4034">
        <v>25</v>
      </c>
      <c r="AC4034">
        <v>5.9849999999999497</v>
      </c>
      <c r="AD4034">
        <v>-1.109824032661</v>
      </c>
      <c r="AE4034">
        <v>-34.080240000000003</v>
      </c>
      <c r="AF4034">
        <v>-5.5077232666688598</v>
      </c>
      <c r="AG4034">
        <v>-1.109824032661</v>
      </c>
      <c r="AH4034">
        <v>34.124600294771497</v>
      </c>
      <c r="AI4034">
        <v>91.838974628361001</v>
      </c>
      <c r="AJ4034">
        <v>99.168492572925402</v>
      </c>
      <c r="AK4034">
        <v>34.5840291210205</v>
      </c>
      <c r="AL4034">
        <v>80.646855344151902</v>
      </c>
      <c r="AM4034">
        <v>94.953433691728193</v>
      </c>
      <c r="AN4034">
        <v>0.999999946414172</v>
      </c>
    </row>
    <row r="4035" spans="1:40" x14ac:dyDescent="0.25">
      <c r="A4035" t="str">
        <f>"20190304155454468"</f>
        <v>20190304155454468</v>
      </c>
      <c r="B4035" t="str">
        <f>"1551686094461664"</f>
        <v>1551686094461664</v>
      </c>
      <c r="C4035" t="s">
        <v>40</v>
      </c>
      <c r="D4035">
        <v>4.2828790000000003</v>
      </c>
      <c r="E4035">
        <v>0.46855720000000001</v>
      </c>
      <c r="F4035" t="s">
        <v>46</v>
      </c>
      <c r="G4035">
        <v>-416.37709999999998</v>
      </c>
      <c r="H4035" s="1">
        <v>-2.6070030000000001E-6</v>
      </c>
      <c r="I4035">
        <v>54.211730000000003</v>
      </c>
      <c r="J4035">
        <v>-422.61500000000001</v>
      </c>
      <c r="K4035">
        <v>1.1097999999999999</v>
      </c>
      <c r="L4035">
        <v>89.137330000000006</v>
      </c>
      <c r="M4035">
        <v>1.382778E-2</v>
      </c>
      <c r="N4035">
        <v>-8.652992E-3</v>
      </c>
      <c r="O4035">
        <v>-0.99986699999999995</v>
      </c>
      <c r="P4035">
        <v>9.8492510000000005E-2</v>
      </c>
      <c r="Q4035">
        <v>0.15476999999999999</v>
      </c>
      <c r="R4035">
        <v>-0.98302869999999998</v>
      </c>
      <c r="S4035">
        <v>0.53451539999999997</v>
      </c>
      <c r="T4035">
        <v>-9.5044610000000002E-2</v>
      </c>
      <c r="U4035">
        <v>-3.0126650000000001</v>
      </c>
      <c r="V4035">
        <v>-8.4883529999999999E-2</v>
      </c>
      <c r="W4035">
        <v>0.1632845</v>
      </c>
      <c r="X4035">
        <v>0.98292060000000003</v>
      </c>
      <c r="Y4035">
        <v>-0.16099069999999999</v>
      </c>
      <c r="Z4035">
        <v>2.2440660000000001E-2</v>
      </c>
      <c r="AA4035">
        <v>0.98670080000000004</v>
      </c>
      <c r="AB4035">
        <v>25</v>
      </c>
      <c r="AC4035">
        <v>6.2379000000000202</v>
      </c>
      <c r="AD4035">
        <v>-1.10980260700299</v>
      </c>
      <c r="AE4035">
        <v>-34.925600000000003</v>
      </c>
      <c r="AF4035">
        <v>-5.7487168015497998</v>
      </c>
      <c r="AG4035">
        <v>-1.10980260700299</v>
      </c>
      <c r="AH4035">
        <v>34.974297335741397</v>
      </c>
      <c r="AI4035">
        <v>91.793447217045497</v>
      </c>
      <c r="AJ4035">
        <v>99.334228399555698</v>
      </c>
      <c r="AK4035">
        <v>35.460976873455998</v>
      </c>
      <c r="AL4035">
        <v>80.602407687697706</v>
      </c>
      <c r="AM4035">
        <v>94.935730918550803</v>
      </c>
      <c r="AN4035">
        <v>0.99999997375493499</v>
      </c>
    </row>
    <row r="4036" spans="1:40" x14ac:dyDescent="0.25">
      <c r="A4036" t="str">
        <f>"20190304155454492"</f>
        <v>20190304155454492</v>
      </c>
      <c r="B4036" t="str">
        <f>"1551686094481184"</f>
        <v>1551686094481184</v>
      </c>
      <c r="C4036" t="s">
        <v>40</v>
      </c>
      <c r="D4036">
        <v>4.2921490000000002</v>
      </c>
      <c r="E4036">
        <v>0.46801890000000002</v>
      </c>
      <c r="F4036" t="s">
        <v>46</v>
      </c>
      <c r="G4036">
        <v>-416.2774</v>
      </c>
      <c r="H4036" s="1">
        <v>-2.3157900000000001E-6</v>
      </c>
      <c r="I4036">
        <v>53.491680000000002</v>
      </c>
      <c r="J4036">
        <v>-422.61130000000003</v>
      </c>
      <c r="K4036">
        <v>1.109796</v>
      </c>
      <c r="L4036">
        <v>88.871949999999998</v>
      </c>
      <c r="M4036">
        <v>1.381893E-2</v>
      </c>
      <c r="N4036">
        <v>-8.644947E-3</v>
      </c>
      <c r="O4036">
        <v>-0.99986719999999896</v>
      </c>
      <c r="P4036">
        <v>9.8338410000000001E-2</v>
      </c>
      <c r="Q4036">
        <v>0.1556845</v>
      </c>
      <c r="R4036">
        <v>-0.98289970000000004</v>
      </c>
      <c r="S4036">
        <v>0.53567500000000001</v>
      </c>
      <c r="T4036">
        <v>-9.3803880000000006E-2</v>
      </c>
      <c r="U4036">
        <v>-3.0128780000000002</v>
      </c>
      <c r="V4036">
        <v>-8.4736080000000005E-2</v>
      </c>
      <c r="W4036">
        <v>0.164191899999999</v>
      </c>
      <c r="X4036">
        <v>0.98278220000000005</v>
      </c>
      <c r="Y4036">
        <v>-0.16135739999999901</v>
      </c>
      <c r="Z4036">
        <v>2.203919E-2</v>
      </c>
      <c r="AA4036">
        <v>0.98664989999999997</v>
      </c>
      <c r="AB4036">
        <v>25</v>
      </c>
      <c r="AC4036">
        <v>6.3339000000000203</v>
      </c>
      <c r="AD4036">
        <v>-1.10979831579</v>
      </c>
      <c r="AE4036">
        <v>-35.380270000000003</v>
      </c>
      <c r="AF4036">
        <v>-5.8387928598743599</v>
      </c>
      <c r="AG4036">
        <v>-1.10979831579</v>
      </c>
      <c r="AH4036">
        <v>35.430643601813102</v>
      </c>
      <c r="AI4036">
        <v>91.770235039430801</v>
      </c>
      <c r="AJ4036">
        <v>99.357950302449098</v>
      </c>
      <c r="AK4036">
        <v>35.925668544940798</v>
      </c>
      <c r="AL4036">
        <v>80.549706647530499</v>
      </c>
      <c r="AM4036">
        <v>94.927889828113294</v>
      </c>
      <c r="AN4036">
        <v>1.0000000179580999</v>
      </c>
    </row>
    <row r="4037" spans="1:40" x14ac:dyDescent="0.25">
      <c r="A4037" t="str">
        <f>"20190304155454513"</f>
        <v>20190304155454513</v>
      </c>
      <c r="B4037" t="str">
        <f>"1551686094501237"</f>
        <v>1551686094501237</v>
      </c>
      <c r="C4037" t="s">
        <v>40</v>
      </c>
      <c r="D4037">
        <v>4.2121389999999996</v>
      </c>
      <c r="E4037">
        <v>0.46764800000000001</v>
      </c>
      <c r="F4037" t="s">
        <v>46</v>
      </c>
      <c r="G4037">
        <v>-416.2645</v>
      </c>
      <c r="H4037" s="1">
        <v>-2.2838730000000002E-6</v>
      </c>
      <c r="I4037">
        <v>53.411960000000001</v>
      </c>
      <c r="J4037">
        <v>-422.60789999999997</v>
      </c>
      <c r="K4037">
        <v>1.1097980000000001</v>
      </c>
      <c r="L4037">
        <v>88.625640000000004</v>
      </c>
      <c r="M4037">
        <v>1.3802999999999999E-2</v>
      </c>
      <c r="N4037">
        <v>-8.6389899999999992E-3</v>
      </c>
      <c r="O4037">
        <v>-0.99986739999999996</v>
      </c>
      <c r="P4037">
        <v>9.7859119999999994E-2</v>
      </c>
      <c r="Q4037">
        <v>0.1561795</v>
      </c>
      <c r="R4037">
        <v>-0.98286910000000005</v>
      </c>
      <c r="S4037">
        <v>0.53930659999999997</v>
      </c>
      <c r="T4037">
        <v>-9.4303250000000005E-2</v>
      </c>
      <c r="U4037">
        <v>-3.013153</v>
      </c>
      <c r="V4037">
        <v>-8.427171E-2</v>
      </c>
      <c r="W4037">
        <v>0.16468160000000001</v>
      </c>
      <c r="X4037">
        <v>0.98274019999999995</v>
      </c>
      <c r="Y4037">
        <v>-0.16250909999999999</v>
      </c>
      <c r="Z4037">
        <v>2.2199429999999999E-2</v>
      </c>
      <c r="AA4037">
        <v>0.98645729999999998</v>
      </c>
      <c r="AB4037">
        <v>25</v>
      </c>
      <c r="AC4037">
        <v>6.3433999999999697</v>
      </c>
      <c r="AD4037">
        <v>-1.1098002838729999</v>
      </c>
      <c r="AE4037">
        <v>-35.213679999999997</v>
      </c>
      <c r="AF4037">
        <v>-5.8510940301056102</v>
      </c>
      <c r="AG4037">
        <v>-1.1098002838729999</v>
      </c>
      <c r="AH4037">
        <v>35.263960614263098</v>
      </c>
      <c r="AI4037">
        <v>91.778277620025094</v>
      </c>
      <c r="AJ4037">
        <v>99.4208470283927</v>
      </c>
      <c r="AK4037">
        <v>35.763303485885103</v>
      </c>
      <c r="AL4037">
        <v>80.521261774369293</v>
      </c>
      <c r="AM4037">
        <v>94.901224381869397</v>
      </c>
      <c r="AN4037">
        <v>1.00000002559046</v>
      </c>
    </row>
    <row r="4038" spans="1:40" x14ac:dyDescent="0.25">
      <c r="A4038" t="str">
        <f>"20190304155454536"</f>
        <v>20190304155454536</v>
      </c>
      <c r="B4038" t="str">
        <f>"1551686094531493"</f>
        <v>1551686094531493</v>
      </c>
      <c r="C4038" t="s">
        <v>40</v>
      </c>
      <c r="D4038">
        <v>4.3036580000000004</v>
      </c>
      <c r="E4038">
        <v>0.46755229999999998</v>
      </c>
      <c r="F4038" t="s">
        <v>46</v>
      </c>
      <c r="G4038">
        <v>-416.50479999999999</v>
      </c>
      <c r="H4038" s="1">
        <v>-2.7557160000000002E-6</v>
      </c>
      <c r="I4038">
        <v>54.61121</v>
      </c>
      <c r="J4038">
        <v>-422.60430000000002</v>
      </c>
      <c r="K4038">
        <v>1.109793</v>
      </c>
      <c r="L4038">
        <v>88.368960000000001</v>
      </c>
      <c r="M4038">
        <v>1.378368E-2</v>
      </c>
      <c r="N4038">
        <v>-8.6341409999999997E-3</v>
      </c>
      <c r="O4038">
        <v>-0.99986770000000003</v>
      </c>
      <c r="P4038">
        <v>9.7171240000000006E-2</v>
      </c>
      <c r="Q4038">
        <v>0.15644269999999999</v>
      </c>
      <c r="R4038">
        <v>-0.98289539999999997</v>
      </c>
      <c r="S4038">
        <v>0.540802</v>
      </c>
      <c r="T4038">
        <v>-9.8341109999999995E-2</v>
      </c>
      <c r="U4038">
        <v>-3.0140690000000001</v>
      </c>
      <c r="V4038">
        <v>-8.360215E-2</v>
      </c>
      <c r="W4038">
        <v>0.16493969999999999</v>
      </c>
      <c r="X4038">
        <v>0.98275409999999996</v>
      </c>
      <c r="Y4038">
        <v>-0.16294410000000001</v>
      </c>
      <c r="Z4038">
        <v>2.3510960000000001E-2</v>
      </c>
      <c r="AA4038">
        <v>0.98635510000000004</v>
      </c>
      <c r="AB4038">
        <v>25</v>
      </c>
      <c r="AC4038">
        <v>6.0995000000000301</v>
      </c>
      <c r="AD4038">
        <v>-1.1097957557160001</v>
      </c>
      <c r="AE4038">
        <v>-33.757750000000001</v>
      </c>
      <c r="AF4038">
        <v>-5.6277070816825496</v>
      </c>
      <c r="AG4038">
        <v>-1.1097957557160001</v>
      </c>
      <c r="AH4038">
        <v>33.803240478828201</v>
      </c>
      <c r="AI4038">
        <v>91.854892837150999</v>
      </c>
      <c r="AJ4038">
        <v>99.452152586694396</v>
      </c>
      <c r="AK4038">
        <v>34.286466725023097</v>
      </c>
      <c r="AL4038">
        <v>80.506268678488397</v>
      </c>
      <c r="AM4038">
        <v>94.862401923155701</v>
      </c>
      <c r="AN4038">
        <v>1.00000002259376</v>
      </c>
    </row>
    <row r="4039" spans="1:40" x14ac:dyDescent="0.25">
      <c r="A4039" t="str">
        <f>"20190304155454557"</f>
        <v>20190304155454557</v>
      </c>
      <c r="B4039" t="str">
        <f>"1551686094551991"</f>
        <v>1551686094551991</v>
      </c>
      <c r="C4039" t="s">
        <v>40</v>
      </c>
      <c r="D4039">
        <v>4.3208270000000004</v>
      </c>
      <c r="E4039">
        <v>0.46740120000000002</v>
      </c>
      <c r="F4039" t="s">
        <v>46</v>
      </c>
      <c r="G4039">
        <v>-416.58539999999999</v>
      </c>
      <c r="H4039" s="1">
        <v>-2.78374E-6</v>
      </c>
      <c r="I4039">
        <v>54.709870000000002</v>
      </c>
      <c r="J4039">
        <v>-422.60090000000002</v>
      </c>
      <c r="K4039">
        <v>1.1097900000000001</v>
      </c>
      <c r="L4039">
        <v>88.119900000000001</v>
      </c>
      <c r="M4039">
        <v>1.376486E-2</v>
      </c>
      <c r="N4039">
        <v>-8.6305589999999995E-3</v>
      </c>
      <c r="O4039">
        <v>-0.99986819999999998</v>
      </c>
      <c r="P4039">
        <v>9.6985399999999999E-2</v>
      </c>
      <c r="Q4039">
        <v>0.15676519999999999</v>
      </c>
      <c r="R4039">
        <v>-0.98286269999999998</v>
      </c>
      <c r="S4039">
        <v>0.53909300000000004</v>
      </c>
      <c r="T4039">
        <v>-9.9401000000000003E-2</v>
      </c>
      <c r="U4039">
        <v>-3.0147400000000002</v>
      </c>
      <c r="V4039">
        <v>-8.3435510000000004E-2</v>
      </c>
      <c r="W4039">
        <v>0.16525809999999999</v>
      </c>
      <c r="X4039">
        <v>0.98271470000000005</v>
      </c>
      <c r="Y4039">
        <v>-0.1623812</v>
      </c>
      <c r="Z4039">
        <v>2.3856530000000001E-2</v>
      </c>
      <c r="AA4039">
        <v>0.98643959999999997</v>
      </c>
      <c r="AB4039">
        <v>25</v>
      </c>
      <c r="AC4039">
        <v>6.0155000000000296</v>
      </c>
      <c r="AD4039">
        <v>-1.1097927837399999</v>
      </c>
      <c r="AE4039">
        <v>-33.410029999999999</v>
      </c>
      <c r="AF4039">
        <v>-5.5490980457258798</v>
      </c>
      <c r="AG4039">
        <v>-1.1097927837399999</v>
      </c>
      <c r="AH4039">
        <v>33.453916347632699</v>
      </c>
      <c r="AI4039">
        <v>91.874427948141502</v>
      </c>
      <c r="AJ4039">
        <v>99.418066090090093</v>
      </c>
      <c r="AK4039">
        <v>33.929171049973</v>
      </c>
      <c r="AL4039">
        <v>80.487771200901605</v>
      </c>
      <c r="AM4039">
        <v>94.852949901922003</v>
      </c>
      <c r="AN4039">
        <v>0.99999995277032805</v>
      </c>
    </row>
    <row r="4040" spans="1:40" x14ac:dyDescent="0.25">
      <c r="A4040" t="str">
        <f>"20190304155454580"</f>
        <v>20190304155454580</v>
      </c>
      <c r="B4040" t="str">
        <f>"1551686094571510"</f>
        <v>1551686094571510</v>
      </c>
      <c r="C4040" t="s">
        <v>40</v>
      </c>
      <c r="D4040">
        <v>4.2875829999999997</v>
      </c>
      <c r="E4040">
        <v>0.46780260000000001</v>
      </c>
      <c r="F4040" t="s">
        <v>46</v>
      </c>
      <c r="G4040">
        <v>-416.57979999999998</v>
      </c>
      <c r="H4040" s="1">
        <v>-2.6880159999999999E-6</v>
      </c>
      <c r="I4040">
        <v>54.484400000000001</v>
      </c>
      <c r="J4040">
        <v>-422.59750000000003</v>
      </c>
      <c r="K4040">
        <v>1.1097889999999999</v>
      </c>
      <c r="L4040">
        <v>87.867859999999993</v>
      </c>
      <c r="M4040">
        <v>1.3747819999999999E-2</v>
      </c>
      <c r="N4040">
        <v>-8.6279870000000002E-3</v>
      </c>
      <c r="O4040">
        <v>-0.9998686</v>
      </c>
      <c r="P4040">
        <v>9.6296969999999996E-2</v>
      </c>
      <c r="Q4040">
        <v>0.15711820000000001</v>
      </c>
      <c r="R4040">
        <v>-0.98287400000000003</v>
      </c>
      <c r="S4040">
        <v>0.53970340000000006</v>
      </c>
      <c r="T4040">
        <v>-9.9476460000000003E-2</v>
      </c>
      <c r="U4040">
        <v>-3.014923</v>
      </c>
      <c r="V4040">
        <v>-8.2762790000000003E-2</v>
      </c>
      <c r="W4040">
        <v>0.16560939999999999</v>
      </c>
      <c r="X4040">
        <v>0.98271249999999999</v>
      </c>
      <c r="Y4040">
        <v>-0.1625809</v>
      </c>
      <c r="Z4040">
        <v>2.3880680000000001E-2</v>
      </c>
      <c r="AA4040">
        <v>0.98640620000000001</v>
      </c>
      <c r="AB4040">
        <v>25</v>
      </c>
      <c r="AC4040">
        <v>6.0177000000000396</v>
      </c>
      <c r="AD4040">
        <v>-1.1097916880159999</v>
      </c>
      <c r="AE4040">
        <v>-33.3834599999999</v>
      </c>
      <c r="AF4040">
        <v>-5.5522216033601399</v>
      </c>
      <c r="AG4040">
        <v>-1.1097916880159999</v>
      </c>
      <c r="AH4040">
        <v>33.427258700415202</v>
      </c>
      <c r="AI4040">
        <v>91.875851502385302</v>
      </c>
      <c r="AJ4040">
        <v>99.430652362108006</v>
      </c>
      <c r="AK4040">
        <v>33.903398451307098</v>
      </c>
      <c r="AL4040">
        <v>80.467362476384096</v>
      </c>
      <c r="AM4040">
        <v>94.8140171161496</v>
      </c>
      <c r="AN4040">
        <v>1.00000000521659</v>
      </c>
    </row>
    <row r="4041" spans="1:40" x14ac:dyDescent="0.25">
      <c r="A4041" t="str">
        <f>"20190304155454604"</f>
        <v>20190304155454604</v>
      </c>
      <c r="B4041" t="str">
        <f>"1551686094591029"</f>
        <v>1551686094591029</v>
      </c>
      <c r="C4041" t="s">
        <v>40</v>
      </c>
      <c r="D4041">
        <v>4.2912330000000001</v>
      </c>
      <c r="E4041">
        <v>0.4680763</v>
      </c>
      <c r="F4041" t="s">
        <v>46</v>
      </c>
      <c r="G4041">
        <v>-416.553</v>
      </c>
      <c r="H4041" s="1">
        <v>-2.4000010000000001E-6</v>
      </c>
      <c r="I4041">
        <v>53.801949999999998</v>
      </c>
      <c r="J4041">
        <v>-422.59390000000002</v>
      </c>
      <c r="K4041">
        <v>1.109783</v>
      </c>
      <c r="L4041">
        <v>87.604860000000002</v>
      </c>
      <c r="M4041">
        <v>1.3732340000000001E-2</v>
      </c>
      <c r="N4041">
        <v>-8.6264949999999996E-3</v>
      </c>
      <c r="O4041">
        <v>-0.9998686</v>
      </c>
      <c r="P4041">
        <v>9.6063579999999996E-2</v>
      </c>
      <c r="Q4041">
        <v>0.1567539</v>
      </c>
      <c r="R4041">
        <v>-0.98295500000000002</v>
      </c>
      <c r="S4041">
        <v>0.53506469999999995</v>
      </c>
      <c r="T4041">
        <v>-9.8240380000000002E-2</v>
      </c>
      <c r="U4041">
        <v>-3.0155639999999999</v>
      </c>
      <c r="V4041">
        <v>-8.2543459999999999E-2</v>
      </c>
      <c r="W4041">
        <v>0.165244</v>
      </c>
      <c r="X4041">
        <v>0.98279240000000001</v>
      </c>
      <c r="Y4041">
        <v>-0.16109119999999999</v>
      </c>
      <c r="Z4041">
        <v>2.3480150000000002E-2</v>
      </c>
      <c r="AA4041">
        <v>0.98666019999999999</v>
      </c>
      <c r="AB4041">
        <v>25</v>
      </c>
      <c r="AC4041">
        <v>6.0408999999999597</v>
      </c>
      <c r="AD4041">
        <v>-1.1097854000009999</v>
      </c>
      <c r="AE4041">
        <v>-33.802909999999997</v>
      </c>
      <c r="AF4041">
        <v>-5.5703017763137899</v>
      </c>
      <c r="AG4041">
        <v>-1.1097854000009999</v>
      </c>
      <c r="AH4041">
        <v>33.847326956913399</v>
      </c>
      <c r="AI4041">
        <v>91.853031824554193</v>
      </c>
      <c r="AJ4041">
        <v>99.345476983589805</v>
      </c>
      <c r="AK4041">
        <v>34.3205685798102</v>
      </c>
      <c r="AL4041">
        <v>80.488590324997404</v>
      </c>
      <c r="AM4041">
        <v>94.8009306722101</v>
      </c>
      <c r="AN4041">
        <v>0.99999995191126401</v>
      </c>
    </row>
    <row r="4042" spans="1:40" x14ac:dyDescent="0.25">
      <c r="A4042" t="str">
        <f>"20190304155454625"</f>
        <v>20190304155454625</v>
      </c>
      <c r="B4042" t="str">
        <f>"1551686094611525"</f>
        <v>1551686094611525</v>
      </c>
      <c r="C4042" t="s">
        <v>40</v>
      </c>
      <c r="D4042">
        <v>4.2920489999999996</v>
      </c>
      <c r="E4042">
        <v>0.46829929999999997</v>
      </c>
      <c r="F4042" t="s">
        <v>46</v>
      </c>
      <c r="G4042">
        <v>-416.64120000000003</v>
      </c>
      <c r="H4042" s="1">
        <v>-2.407092E-6</v>
      </c>
      <c r="I4042">
        <v>53.854959999999998</v>
      </c>
      <c r="J4042">
        <v>-422.59059999999999</v>
      </c>
      <c r="K4042">
        <v>1.10978</v>
      </c>
      <c r="L4042">
        <v>87.360780000000005</v>
      </c>
      <c r="M4042">
        <v>1.37196E-2</v>
      </c>
      <c r="N4042">
        <v>-8.6259549999999994E-3</v>
      </c>
      <c r="O4042">
        <v>-0.9998686</v>
      </c>
      <c r="P4042">
        <v>9.5935870000000006E-2</v>
      </c>
      <c r="Q4042">
        <v>0.15732589999999999</v>
      </c>
      <c r="R4042">
        <v>-0.98287579999999997</v>
      </c>
      <c r="S4042">
        <v>0.53192139999999999</v>
      </c>
      <c r="T4042">
        <v>-9.9168660000000006E-2</v>
      </c>
      <c r="U4042">
        <v>-3.0158390000000002</v>
      </c>
      <c r="V4042">
        <v>-8.2429059999999998E-2</v>
      </c>
      <c r="W4042">
        <v>0.16581489999999999</v>
      </c>
      <c r="X4042">
        <v>0.98270590000000002</v>
      </c>
      <c r="Y4042">
        <v>-0.1600898</v>
      </c>
      <c r="Z4042">
        <v>2.37863E-2</v>
      </c>
      <c r="AA4042">
        <v>0.98681580000000002</v>
      </c>
      <c r="AB4042">
        <v>25</v>
      </c>
      <c r="AC4042">
        <v>5.9493999999999598</v>
      </c>
      <c r="AD4042">
        <v>-1.1097824070919999</v>
      </c>
      <c r="AE4042">
        <v>-33.50582</v>
      </c>
      <c r="AF4042">
        <v>-5.4833047123875396</v>
      </c>
      <c r="AG4042">
        <v>-1.1097824070919999</v>
      </c>
      <c r="AH4042">
        <v>33.548612396616399</v>
      </c>
      <c r="AI4042">
        <v>91.869850941283502</v>
      </c>
      <c r="AJ4042">
        <v>99.282549634953995</v>
      </c>
      <c r="AK4042">
        <v>34.011875004156799</v>
      </c>
      <c r="AL4042">
        <v>80.455423153289502</v>
      </c>
      <c r="AM4042">
        <v>94.794727961961499</v>
      </c>
      <c r="AN4042">
        <v>1.0000000084446501</v>
      </c>
    </row>
    <row r="4043" spans="1:40" x14ac:dyDescent="0.25">
      <c r="A4043" t="str">
        <f>"20190304155454647"</f>
        <v>20190304155454647</v>
      </c>
      <c r="B4043" t="str">
        <f>"1551686094641781"</f>
        <v>1551686094641781</v>
      </c>
      <c r="C4043" t="s">
        <v>40</v>
      </c>
      <c r="D4043">
        <v>4.2909620000000004</v>
      </c>
      <c r="E4043">
        <v>0.46857460000000001</v>
      </c>
      <c r="F4043" t="s">
        <v>46</v>
      </c>
      <c r="G4043">
        <v>-416.52280000000002</v>
      </c>
      <c r="H4043" s="1">
        <v>-2.0262160000000002E-6</v>
      </c>
      <c r="I4043">
        <v>52.883479999999999</v>
      </c>
      <c r="J4043">
        <v>-422.58699999999999</v>
      </c>
      <c r="K4043">
        <v>1.1097859999999999</v>
      </c>
      <c r="L4043">
        <v>87.100340000000003</v>
      </c>
      <c r="M4043">
        <v>1.370625E-2</v>
      </c>
      <c r="N4043">
        <v>-8.6260409999999992E-3</v>
      </c>
      <c r="O4043">
        <v>-0.99986889999999995</v>
      </c>
      <c r="P4043">
        <v>9.5766850000000001E-2</v>
      </c>
      <c r="Q4043">
        <v>0.1571804</v>
      </c>
      <c r="R4043">
        <v>-0.9829156</v>
      </c>
      <c r="S4043">
        <v>0.53079219999999905</v>
      </c>
      <c r="T4043">
        <v>-9.7081070000000005E-2</v>
      </c>
      <c r="U4043">
        <v>-3.0159910000000001</v>
      </c>
      <c r="V4043">
        <v>-8.2272719999999994E-2</v>
      </c>
      <c r="W4043">
        <v>0.16567009999999999</v>
      </c>
      <c r="X4043">
        <v>0.98274340000000004</v>
      </c>
      <c r="Y4043">
        <v>-0.1597394</v>
      </c>
      <c r="Z4043">
        <v>2.310506E-2</v>
      </c>
      <c r="AA4043">
        <v>0.98688880000000001</v>
      </c>
      <c r="AB4043">
        <v>26</v>
      </c>
      <c r="AC4043">
        <v>6.0641999999999703</v>
      </c>
      <c r="AD4043">
        <v>-1.109788026216</v>
      </c>
      <c r="AE4043">
        <v>-34.216859999999997</v>
      </c>
      <c r="AF4043">
        <v>-5.5889277603994802</v>
      </c>
      <c r="AG4043">
        <v>-1.109788026216</v>
      </c>
      <c r="AH4043">
        <v>34.261821621961303</v>
      </c>
      <c r="AI4043">
        <v>91.831056313033898</v>
      </c>
      <c r="AJ4043">
        <v>99.2647194231822</v>
      </c>
      <c r="AK4043">
        <v>34.732407976257399</v>
      </c>
      <c r="AL4043">
        <v>80.46383572629</v>
      </c>
      <c r="AM4043">
        <v>94.785494498714598</v>
      </c>
      <c r="AN4043">
        <v>0.99999998636688403</v>
      </c>
    </row>
    <row r="4044" spans="1:40" x14ac:dyDescent="0.25">
      <c r="A4044" t="str">
        <f>"20190304155454669"</f>
        <v>20190304155454669</v>
      </c>
      <c r="B4044" t="str">
        <f>"1551686094661304"</f>
        <v>1551686094661304</v>
      </c>
      <c r="C4044" t="s">
        <v>40</v>
      </c>
      <c r="D4044">
        <v>4.3103030000000002</v>
      </c>
      <c r="E4044">
        <v>0.46866190000000002</v>
      </c>
      <c r="F4044" t="s">
        <v>46</v>
      </c>
      <c r="G4044">
        <v>-416.60829999999999</v>
      </c>
      <c r="H4044" s="1">
        <v>-2.0212330000000001E-6</v>
      </c>
      <c r="I4044">
        <v>52.935650000000003</v>
      </c>
      <c r="J4044">
        <v>-422.58359999999999</v>
      </c>
      <c r="K4044">
        <v>1.109788</v>
      </c>
      <c r="L4044">
        <v>86.851439999999997</v>
      </c>
      <c r="M4044">
        <v>1.3692930000000001E-2</v>
      </c>
      <c r="N4044">
        <v>-8.6267240000000005E-3</v>
      </c>
      <c r="O4044">
        <v>-0.99986929999999996</v>
      </c>
      <c r="P4044">
        <v>9.5604129999999996E-2</v>
      </c>
      <c r="Q4044">
        <v>0.15734310000000001</v>
      </c>
      <c r="R4044">
        <v>-0.98290569999999999</v>
      </c>
      <c r="S4044">
        <v>0.52786250000000001</v>
      </c>
      <c r="T4044">
        <v>-9.7982760000000002E-2</v>
      </c>
      <c r="U4044">
        <v>-3.0163880000000001</v>
      </c>
      <c r="V4044">
        <v>-8.2123290000000002E-2</v>
      </c>
      <c r="W4044">
        <v>0.1658328</v>
      </c>
      <c r="X4044">
        <v>0.9827285</v>
      </c>
      <c r="Y4044">
        <v>-0.1587992</v>
      </c>
      <c r="Z4044">
        <v>2.3399650000000001E-2</v>
      </c>
      <c r="AA4044">
        <v>0.98703350000000001</v>
      </c>
      <c r="AB4044">
        <v>26</v>
      </c>
      <c r="AC4044">
        <v>5.9752999999999998</v>
      </c>
      <c r="AD4044">
        <v>-1.1097900212330001</v>
      </c>
      <c r="AE4044">
        <v>-33.915789999999902</v>
      </c>
      <c r="AF4044">
        <v>-5.5045995898553102</v>
      </c>
      <c r="AG4044">
        <v>-1.1097900212330001</v>
      </c>
      <c r="AH4044">
        <v>33.959166197069699</v>
      </c>
      <c r="AI4044">
        <v>91.847668441554404</v>
      </c>
      <c r="AJ4044">
        <v>99.207258160021397</v>
      </c>
      <c r="AK4044">
        <v>34.4203024294684</v>
      </c>
      <c r="AL4044">
        <v>80.454383353918999</v>
      </c>
      <c r="AM4044">
        <v>94.776915065779704</v>
      </c>
      <c r="AN4044">
        <v>1.0000000285142501</v>
      </c>
    </row>
    <row r="4045" spans="1:40" x14ac:dyDescent="0.25">
      <c r="A4045" t="str">
        <f>"20190304155454692"</f>
        <v>20190304155454692</v>
      </c>
      <c r="B4045" t="str">
        <f>"1551686094681797"</f>
        <v>1551686094681797</v>
      </c>
      <c r="C4045" t="s">
        <v>40</v>
      </c>
      <c r="D4045">
        <v>4.2981089999999904</v>
      </c>
      <c r="E4045">
        <v>0.46873150000000002</v>
      </c>
      <c r="F4045" t="s">
        <v>46</v>
      </c>
      <c r="G4045">
        <v>-416.6379</v>
      </c>
      <c r="H4045" s="1">
        <v>-1.9711730000000002E-6</v>
      </c>
      <c r="I4045">
        <v>52.811750000000004</v>
      </c>
      <c r="J4045">
        <v>-422.58</v>
      </c>
      <c r="K4045">
        <v>1.1097919999999999</v>
      </c>
      <c r="L4045">
        <v>86.59</v>
      </c>
      <c r="M4045">
        <v>1.3678249999999999E-2</v>
      </c>
      <c r="N4045">
        <v>-8.6280230000000003E-3</v>
      </c>
      <c r="O4045">
        <v>-0.99986960000000003</v>
      </c>
      <c r="P4045">
        <v>9.4975439999999994E-2</v>
      </c>
      <c r="Q4045">
        <v>0.15759200000000001</v>
      </c>
      <c r="R4045">
        <v>-0.98292679999999999</v>
      </c>
      <c r="S4045">
        <v>0.52691650000000001</v>
      </c>
      <c r="T4045">
        <v>-9.8351720000000004E-2</v>
      </c>
      <c r="U4045">
        <v>-3.0166629999999999</v>
      </c>
      <c r="V4045">
        <v>-8.1509670000000006E-2</v>
      </c>
      <c r="W4045">
        <v>0.16608299999999901</v>
      </c>
      <c r="X4045">
        <v>0.98273730000000004</v>
      </c>
      <c r="Y4045">
        <v>-0.15849759999999999</v>
      </c>
      <c r="Z4045">
        <v>2.351754E-2</v>
      </c>
      <c r="AA4045">
        <v>0.98707929999999999</v>
      </c>
      <c r="AB4045">
        <v>26</v>
      </c>
      <c r="AC4045">
        <v>5.9420999999999804</v>
      </c>
      <c r="AD4045">
        <v>-1.109793971173</v>
      </c>
      <c r="AE4045">
        <v>-33.77825</v>
      </c>
      <c r="AF4045">
        <v>-5.4737682915517496</v>
      </c>
      <c r="AG4045">
        <v>-1.109793971173</v>
      </c>
      <c r="AH4045">
        <v>33.8209574715003</v>
      </c>
      <c r="AI4045">
        <v>91.855293157931399</v>
      </c>
      <c r="AJ4045">
        <v>99.193344691031797</v>
      </c>
      <c r="AK4045">
        <v>34.279016121485803</v>
      </c>
      <c r="AL4045">
        <v>80.439846040081093</v>
      </c>
      <c r="AM4045">
        <v>94.741343331779703</v>
      </c>
      <c r="AN4045">
        <v>0.99999999500189896</v>
      </c>
    </row>
    <row r="4046" spans="1:40" x14ac:dyDescent="0.25">
      <c r="A4046" t="str">
        <f>"20190304155454716"</f>
        <v>20190304155454716</v>
      </c>
      <c r="B4046" t="str">
        <f>"1551686094711077"</f>
        <v>1551686094711077</v>
      </c>
      <c r="C4046" t="s">
        <v>40</v>
      </c>
      <c r="D4046">
        <v>4.3511069999999998</v>
      </c>
      <c r="E4046">
        <v>0.46851209999999999</v>
      </c>
      <c r="F4046" t="s">
        <v>46</v>
      </c>
      <c r="G4046">
        <v>-416.63069999999999</v>
      </c>
      <c r="H4046" s="1">
        <v>-1.8246169999999999E-6</v>
      </c>
      <c r="I4046">
        <v>52.375410000000002</v>
      </c>
      <c r="J4046">
        <v>-422.57619999999997</v>
      </c>
      <c r="K4046">
        <v>1.1097919999999999</v>
      </c>
      <c r="L4046">
        <v>86.307859999999906</v>
      </c>
      <c r="M4046">
        <v>1.366212E-2</v>
      </c>
      <c r="N4046">
        <v>-8.6299659999999993E-3</v>
      </c>
      <c r="O4046">
        <v>-0.99986929999999996</v>
      </c>
      <c r="P4046">
        <v>9.4315769999999993E-2</v>
      </c>
      <c r="Q4046">
        <v>0.1583039</v>
      </c>
      <c r="R4046">
        <v>-0.98287519999999995</v>
      </c>
      <c r="S4046">
        <v>0.52462769999999903</v>
      </c>
      <c r="T4046">
        <v>-9.7864149999999997E-2</v>
      </c>
      <c r="U4046">
        <v>-3.0171199999999998</v>
      </c>
      <c r="V4046">
        <v>-8.0867159999999993E-2</v>
      </c>
      <c r="W4046">
        <v>0.16679620000000001</v>
      </c>
      <c r="X4046">
        <v>0.98266960000000003</v>
      </c>
      <c r="Y4046">
        <v>-0.15776219999999999</v>
      </c>
      <c r="Z4046">
        <v>2.3355580000000001E-2</v>
      </c>
      <c r="AA4046">
        <v>0.98720090000000005</v>
      </c>
      <c r="AB4046">
        <v>26</v>
      </c>
      <c r="AC4046">
        <v>5.9454999999999796</v>
      </c>
      <c r="AD4046">
        <v>-1.109793824617</v>
      </c>
      <c r="AE4046">
        <v>-33.932450000000003</v>
      </c>
      <c r="AF4046">
        <v>-5.4756557915731401</v>
      </c>
      <c r="AG4046">
        <v>-1.109793824617</v>
      </c>
      <c r="AH4046">
        <v>33.975253812220799</v>
      </c>
      <c r="AI4046">
        <v>91.847070462961099</v>
      </c>
      <c r="AJ4046">
        <v>99.155404417020804</v>
      </c>
      <c r="AK4046">
        <v>34.4315599455757</v>
      </c>
      <c r="AL4046">
        <v>80.398404759829106</v>
      </c>
      <c r="AM4046">
        <v>94.704460133083103</v>
      </c>
      <c r="AN4046">
        <v>1.0000000063325301</v>
      </c>
    </row>
    <row r="4047" spans="1:40" x14ac:dyDescent="0.25">
      <c r="A4047" t="str">
        <f>"20190304155454738"</f>
        <v>20190304155454738</v>
      </c>
      <c r="B4047" t="str">
        <f>"1551686094731573"</f>
        <v>1551686094731573</v>
      </c>
      <c r="C4047" t="s">
        <v>40</v>
      </c>
      <c r="D4047">
        <v>4.3570989999999998</v>
      </c>
      <c r="E4047">
        <v>0.4681092</v>
      </c>
      <c r="F4047" t="s">
        <v>46</v>
      </c>
      <c r="G4047">
        <v>-416.56380000000001</v>
      </c>
      <c r="H4047" s="1">
        <v>-1.6226839999999999E-6</v>
      </c>
      <c r="I4047">
        <v>51.729680000000002</v>
      </c>
      <c r="J4047">
        <v>-422.5727</v>
      </c>
      <c r="K4047">
        <v>1.109791</v>
      </c>
      <c r="L4047">
        <v>86.052059999999997</v>
      </c>
      <c r="M4047">
        <v>1.3647640000000001E-2</v>
      </c>
      <c r="N4047">
        <v>-8.6322480000000004E-3</v>
      </c>
      <c r="O4047">
        <v>-0.99986980000000003</v>
      </c>
      <c r="P4047">
        <v>9.3855309999999997E-2</v>
      </c>
      <c r="Q4047">
        <v>0.1585095</v>
      </c>
      <c r="R4047">
        <v>-0.98288679999999995</v>
      </c>
      <c r="S4047">
        <v>0.52468870000000001</v>
      </c>
      <c r="T4047">
        <v>-9.684777E-2</v>
      </c>
      <c r="U4047">
        <v>-3.0175169999999998</v>
      </c>
      <c r="V4047">
        <v>-8.0421030000000004E-2</v>
      </c>
      <c r="W4047">
        <v>0.1670036</v>
      </c>
      <c r="X4047">
        <v>0.98267099999999996</v>
      </c>
      <c r="Y4047">
        <v>-0.15777559999999999</v>
      </c>
      <c r="Z4047">
        <v>2.3017329999999999E-2</v>
      </c>
      <c r="AA4047">
        <v>0.98720669999999999</v>
      </c>
      <c r="AB4047">
        <v>26</v>
      </c>
      <c r="AC4047">
        <v>6.0088999999999801</v>
      </c>
      <c r="AD4047">
        <v>-1.109792622684</v>
      </c>
      <c r="AE4047">
        <v>-34.322379999999903</v>
      </c>
      <c r="AF4047">
        <v>-5.5342893911233002</v>
      </c>
      <c r="AG4047">
        <v>-1.109792622684</v>
      </c>
      <c r="AH4047">
        <v>34.366331675247203</v>
      </c>
      <c r="AI4047">
        <v>91.826100372541902</v>
      </c>
      <c r="AJ4047">
        <v>99.148262640726202</v>
      </c>
      <c r="AK4047">
        <v>34.826782101468403</v>
      </c>
      <c r="AL4047">
        <v>80.386352695753004</v>
      </c>
      <c r="AM4047">
        <v>94.678615347084005</v>
      </c>
      <c r="AN4047">
        <v>1.00000001936011</v>
      </c>
    </row>
    <row r="4048" spans="1:40" x14ac:dyDescent="0.25">
      <c r="A4048" t="str">
        <f>"20190304155454759"</f>
        <v>20190304155454759</v>
      </c>
      <c r="B4048" t="str">
        <f>"1551686094751094"</f>
        <v>1551686094751094</v>
      </c>
      <c r="C4048" t="s">
        <v>40</v>
      </c>
      <c r="D4048">
        <v>4.3262510000000001</v>
      </c>
      <c r="E4048">
        <v>0.46791189999999999</v>
      </c>
      <c r="F4048" t="s">
        <v>46</v>
      </c>
      <c r="G4048">
        <v>-416.61779999999999</v>
      </c>
      <c r="H4048" s="1">
        <v>-1.673373E-6</v>
      </c>
      <c r="I4048">
        <v>51.92089</v>
      </c>
      <c r="J4048">
        <v>-422.56950000000001</v>
      </c>
      <c r="K4048">
        <v>1.1097939999999999</v>
      </c>
      <c r="L4048">
        <v>85.814300000000003</v>
      </c>
      <c r="M4048">
        <v>1.36348999999999E-2</v>
      </c>
      <c r="N4048">
        <v>-8.642594E-3</v>
      </c>
      <c r="O4048">
        <v>-0.99987009999999998</v>
      </c>
      <c r="P4048">
        <v>9.3781310000000007E-2</v>
      </c>
      <c r="Q4048">
        <v>0.1587287</v>
      </c>
      <c r="R4048">
        <v>-0.98285869999999997</v>
      </c>
      <c r="S4048">
        <v>0.52651979999999998</v>
      </c>
      <c r="T4048">
        <v>-9.8125100000000007E-2</v>
      </c>
      <c r="U4048">
        <v>-3.017792</v>
      </c>
      <c r="V4048">
        <v>-8.0360230000000005E-2</v>
      </c>
      <c r="W4048">
        <v>0.16723250000000001</v>
      </c>
      <c r="X4048">
        <v>0.98263699999999998</v>
      </c>
      <c r="Y4048">
        <v>-0.1583523</v>
      </c>
      <c r="Z4048">
        <v>2.341793E-2</v>
      </c>
      <c r="AA4048">
        <v>0.98710500000000001</v>
      </c>
      <c r="AB4048">
        <v>26</v>
      </c>
      <c r="AC4048">
        <v>5.9517000000000104</v>
      </c>
      <c r="AD4048">
        <v>-1.1097956733729999</v>
      </c>
      <c r="AE4048">
        <v>-33.893409999999903</v>
      </c>
      <c r="AF4048">
        <v>-5.4832933094185501</v>
      </c>
      <c r="AG4048">
        <v>-1.1097956733729999</v>
      </c>
      <c r="AH4048">
        <v>33.936116655156098</v>
      </c>
      <c r="AI4048">
        <v>91.849082791601205</v>
      </c>
      <c r="AJ4048">
        <v>99.178350967701803</v>
      </c>
      <c r="AK4048">
        <v>34.394158887609301</v>
      </c>
      <c r="AL4048">
        <v>80.373050189513194</v>
      </c>
      <c r="AM4048">
        <v>94.675254944538594</v>
      </c>
      <c r="AN4048">
        <v>0.99999997469545099</v>
      </c>
    </row>
    <row r="4049" spans="1:40" x14ac:dyDescent="0.25">
      <c r="A4049" t="str">
        <f>"20190304155454780"</f>
        <v>20190304155454780</v>
      </c>
      <c r="B4049" t="str">
        <f>"1551686094771589"</f>
        <v>1551686094771589</v>
      </c>
      <c r="C4049" t="s">
        <v>40</v>
      </c>
      <c r="D4049">
        <v>4.3140210000000003</v>
      </c>
      <c r="E4049">
        <v>0.46788010000000002</v>
      </c>
      <c r="F4049" t="s">
        <v>46</v>
      </c>
      <c r="G4049">
        <v>-416.62119999999999</v>
      </c>
      <c r="H4049" s="1">
        <v>-1.6213959999999999E-6</v>
      </c>
      <c r="I4049">
        <v>51.770800000000001</v>
      </c>
      <c r="J4049">
        <v>-422.56599999999997</v>
      </c>
      <c r="K4049">
        <v>1.1097980000000001</v>
      </c>
      <c r="L4049">
        <v>85.561309999999906</v>
      </c>
      <c r="M4049">
        <v>1.3621309999999999E-2</v>
      </c>
      <c r="N4049">
        <v>-8.6628109999999994E-3</v>
      </c>
      <c r="O4049">
        <v>-0.99986980000000003</v>
      </c>
      <c r="P4049">
        <v>9.3502210000000002E-2</v>
      </c>
      <c r="Q4049">
        <v>0.15874549999999901</v>
      </c>
      <c r="R4049">
        <v>-0.98288200000000003</v>
      </c>
      <c r="S4049">
        <v>0.52731319999999904</v>
      </c>
      <c r="T4049">
        <v>-9.8381999999999997E-2</v>
      </c>
      <c r="U4049">
        <v>-3.0179140000000002</v>
      </c>
      <c r="V4049">
        <v>-8.009405E-2</v>
      </c>
      <c r="W4049">
        <v>0.16726920000000001</v>
      </c>
      <c r="X4049">
        <v>0.98265250000000004</v>
      </c>
      <c r="Y4049">
        <v>-0.15861040000000001</v>
      </c>
      <c r="Z4049">
        <v>2.347892E-2</v>
      </c>
      <c r="AA4049">
        <v>0.98706199999999999</v>
      </c>
      <c r="AB4049">
        <v>26</v>
      </c>
      <c r="AC4049">
        <v>5.9447999999999803</v>
      </c>
      <c r="AD4049">
        <v>-1.109799621396</v>
      </c>
      <c r="AE4049">
        <v>-33.790509999999898</v>
      </c>
      <c r="AF4049">
        <v>-5.4782282595895202</v>
      </c>
      <c r="AG4049">
        <v>-1.109799621396</v>
      </c>
      <c r="AH4049">
        <v>33.832954032097099</v>
      </c>
      <c r="AI4049">
        <v>91.854623437298002</v>
      </c>
      <c r="AJ4049">
        <v>99.197500631235698</v>
      </c>
      <c r="AK4049">
        <v>34.291564831629003</v>
      </c>
      <c r="AL4049">
        <v>80.370917530991306</v>
      </c>
      <c r="AM4049">
        <v>94.659764065476594</v>
      </c>
      <c r="AN4049">
        <v>0.99999998893514597</v>
      </c>
    </row>
    <row r="4050" spans="1:40" x14ac:dyDescent="0.25">
      <c r="A4050" t="str">
        <f>"20190304155454802"</f>
        <v>20190304155454802</v>
      </c>
      <c r="B4050" t="str">
        <f>"1551686094791109"</f>
        <v>1551686094791109</v>
      </c>
      <c r="C4050" t="s">
        <v>40</v>
      </c>
      <c r="D4050">
        <v>4.3382759999999996</v>
      </c>
      <c r="E4050">
        <v>0.46789190000000003</v>
      </c>
      <c r="F4050" t="s">
        <v>46</v>
      </c>
      <c r="G4050">
        <v>-416.67669999999998</v>
      </c>
      <c r="H4050" s="1">
        <v>-1.6399350000000001E-6</v>
      </c>
      <c r="I4050">
        <v>51.868690000000001</v>
      </c>
      <c r="J4050">
        <v>-422.56259999999997</v>
      </c>
      <c r="K4050">
        <v>1.1098030000000001</v>
      </c>
      <c r="L4050">
        <v>85.306460000000001</v>
      </c>
      <c r="M4050">
        <v>1.3607660000000001E-2</v>
      </c>
      <c r="N4050">
        <v>-8.6911249999999992E-3</v>
      </c>
      <c r="O4050">
        <v>-0.99986980000000003</v>
      </c>
      <c r="P4050">
        <v>9.336672E-2</v>
      </c>
      <c r="Q4050">
        <v>0.1589981</v>
      </c>
      <c r="R4050">
        <v>-0.98285409999999995</v>
      </c>
      <c r="S4050">
        <v>0.52755739999999995</v>
      </c>
      <c r="T4050">
        <v>-9.9413989999999994E-2</v>
      </c>
      <c r="U4050">
        <v>-3.0181269999999998</v>
      </c>
      <c r="V4050">
        <v>-7.9972570000000007E-2</v>
      </c>
      <c r="W4050">
        <v>0.1675499</v>
      </c>
      <c r="X4050">
        <v>0.9826146</v>
      </c>
      <c r="Y4050">
        <v>-0.15868789999999999</v>
      </c>
      <c r="Z4050">
        <v>2.3784699999999999E-2</v>
      </c>
      <c r="AA4050">
        <v>0.98704219999999998</v>
      </c>
      <c r="AB4050">
        <v>26</v>
      </c>
      <c r="AC4050">
        <v>5.8858999999999897</v>
      </c>
      <c r="AD4050">
        <v>-1.1098046399349999</v>
      </c>
      <c r="AE4050">
        <v>-33.43777</v>
      </c>
      <c r="AF4050">
        <v>-5.4245320740380603</v>
      </c>
      <c r="AG4050">
        <v>-1.1098046399349999</v>
      </c>
      <c r="AH4050">
        <v>33.4789985348432</v>
      </c>
      <c r="AI4050">
        <v>91.874194004696903</v>
      </c>
      <c r="AJ4050">
        <v>99.203531246241297</v>
      </c>
      <c r="AK4050">
        <v>33.933767215815102</v>
      </c>
      <c r="AL4050">
        <v>80.354604653958305</v>
      </c>
      <c r="AM4050">
        <v>94.652906245784607</v>
      </c>
      <c r="AN4050">
        <v>1.00000001653778</v>
      </c>
    </row>
    <row r="4051" spans="1:40" x14ac:dyDescent="0.25">
      <c r="A4051" t="str">
        <f>"20190304155454826"</f>
        <v>20190304155454826</v>
      </c>
      <c r="B4051" t="str">
        <f>"1551686094821365"</f>
        <v>1551686094821365</v>
      </c>
      <c r="C4051" t="s">
        <v>40</v>
      </c>
      <c r="D4051">
        <v>4.3605850000000004</v>
      </c>
      <c r="E4051">
        <v>0.46782190000000001</v>
      </c>
      <c r="F4051" t="s">
        <v>46</v>
      </c>
      <c r="G4051">
        <v>-416.63150000000002</v>
      </c>
      <c r="H4051" s="1">
        <v>-1.4755760000000001E-6</v>
      </c>
      <c r="I4051">
        <v>51.3504</v>
      </c>
      <c r="J4051">
        <v>-422.55900000000003</v>
      </c>
      <c r="K4051">
        <v>1.1098129999999999</v>
      </c>
      <c r="L4051">
        <v>85.033969999999997</v>
      </c>
      <c r="M4051">
        <v>1.359283E-2</v>
      </c>
      <c r="N4051">
        <v>-8.7301199999999992E-3</v>
      </c>
      <c r="O4051">
        <v>-0.99986960000000003</v>
      </c>
      <c r="P4051">
        <v>9.3485940000000003E-2</v>
      </c>
      <c r="Q4051">
        <v>0.15928519999999999</v>
      </c>
      <c r="R4051">
        <v>-0.98279640000000001</v>
      </c>
      <c r="S4051">
        <v>0.52719119999999997</v>
      </c>
      <c r="T4051">
        <v>-9.8646159999999997E-2</v>
      </c>
      <c r="U4051">
        <v>-3.0182190000000002</v>
      </c>
      <c r="V4051">
        <v>-8.0107239999999996E-2</v>
      </c>
      <c r="W4051">
        <v>0.1678742</v>
      </c>
      <c r="X4051">
        <v>0.98254819999999998</v>
      </c>
      <c r="Y4051">
        <v>-0.15858239999999901</v>
      </c>
      <c r="Z4051">
        <v>2.3494870000000001E-2</v>
      </c>
      <c r="AA4051">
        <v>0.98706609999999995</v>
      </c>
      <c r="AB4051">
        <v>26</v>
      </c>
      <c r="AC4051">
        <v>5.9275000000000002</v>
      </c>
      <c r="AD4051">
        <v>-1.109814475576</v>
      </c>
      <c r="AE4051">
        <v>-33.683570000000003</v>
      </c>
      <c r="AF4051">
        <v>-5.4633271247888002</v>
      </c>
      <c r="AG4051">
        <v>-1.109814475576</v>
      </c>
      <c r="AH4051">
        <v>33.725520158338099</v>
      </c>
      <c r="AI4051">
        <v>91.8605304439522</v>
      </c>
      <c r="AJ4051">
        <v>99.201630258435202</v>
      </c>
      <c r="AK4051">
        <v>34.183187993414499</v>
      </c>
      <c r="AL4051">
        <v>80.335755934719799</v>
      </c>
      <c r="AM4051">
        <v>94.661020609080595</v>
      </c>
      <c r="AN4051">
        <v>0.99999994112464696</v>
      </c>
    </row>
    <row r="4052" spans="1:40" x14ac:dyDescent="0.25">
      <c r="A4052" t="str">
        <f>"20190304155454847"</f>
        <v>20190304155454847</v>
      </c>
      <c r="B4052" t="str">
        <f>"1551686094841864"</f>
        <v>1551686094841864</v>
      </c>
      <c r="C4052" t="s">
        <v>40</v>
      </c>
      <c r="D4052">
        <v>4.3375339999999998</v>
      </c>
      <c r="E4052">
        <v>0.45226850000000002</v>
      </c>
      <c r="F4052" t="s">
        <v>46</v>
      </c>
      <c r="G4052">
        <v>-416.59690000000001</v>
      </c>
      <c r="H4052" s="1">
        <v>-1.3403469999999999E-6</v>
      </c>
      <c r="I4052">
        <v>50.925939999999997</v>
      </c>
      <c r="J4052">
        <v>-422.55549999999999</v>
      </c>
      <c r="K4052">
        <v>1.109809</v>
      </c>
      <c r="L4052">
        <v>84.781800000000004</v>
      </c>
      <c r="M4052">
        <v>1.357862E-2</v>
      </c>
      <c r="N4052">
        <v>-8.7704759999999993E-3</v>
      </c>
      <c r="O4052">
        <v>-0.99986960000000003</v>
      </c>
      <c r="P4052">
        <v>9.3274419999999997E-2</v>
      </c>
      <c r="Q4052">
        <v>0.15914310000000001</v>
      </c>
      <c r="R4052">
        <v>-0.98283989999999999</v>
      </c>
      <c r="S4052">
        <v>0.5275879</v>
      </c>
      <c r="T4052">
        <v>-9.8208429999999999E-2</v>
      </c>
      <c r="U4052">
        <v>-3.0182500000000001</v>
      </c>
      <c r="V4052">
        <v>-7.9909079999999993E-2</v>
      </c>
      <c r="W4052">
        <v>0.16777220000000001</v>
      </c>
      <c r="X4052">
        <v>0.98258179999999995</v>
      </c>
      <c r="Y4052">
        <v>-0.15872139999999901</v>
      </c>
      <c r="Z4052">
        <v>2.331072E-2</v>
      </c>
      <c r="AA4052">
        <v>0.98704820000000004</v>
      </c>
      <c r="AB4052">
        <v>26</v>
      </c>
      <c r="AC4052">
        <v>5.9585999999999899</v>
      </c>
      <c r="AD4052">
        <v>-1.1098103403470001</v>
      </c>
      <c r="AE4052">
        <v>-33.85586</v>
      </c>
      <c r="AF4052">
        <v>-5.4925924119578999</v>
      </c>
      <c r="AG4052">
        <v>-1.1098103403470001</v>
      </c>
      <c r="AH4052">
        <v>33.898319822731096</v>
      </c>
      <c r="AI4052">
        <v>91.851034984448702</v>
      </c>
      <c r="AJ4052">
        <v>99.203726557502705</v>
      </c>
      <c r="AK4052">
        <v>34.358351782348301</v>
      </c>
      <c r="AL4052">
        <v>80.341684591892701</v>
      </c>
      <c r="AM4052">
        <v>94.649383034010995</v>
      </c>
      <c r="AN4052">
        <v>0.99999998292526304</v>
      </c>
    </row>
    <row r="4053" spans="1:40" x14ac:dyDescent="0.25">
      <c r="A4053" t="str">
        <f>"20190304155454870"</f>
        <v>20190304155454870</v>
      </c>
      <c r="B4053" t="str">
        <f>"1551686094861381"</f>
        <v>1551686094861381</v>
      </c>
      <c r="C4053" t="s">
        <v>40</v>
      </c>
      <c r="D4053">
        <v>4.2447609999999996</v>
      </c>
      <c r="E4053">
        <v>0.43025000000000002</v>
      </c>
      <c r="F4053" t="s">
        <v>46</v>
      </c>
      <c r="G4053">
        <v>-416.91890000000001</v>
      </c>
      <c r="H4053" s="1">
        <v>-4.4275749999999997E-6</v>
      </c>
      <c r="I4053">
        <v>58.679560000000002</v>
      </c>
      <c r="J4053">
        <v>-422.55200000000002</v>
      </c>
      <c r="K4053">
        <v>1.10981</v>
      </c>
      <c r="L4053">
        <v>84.521909999999906</v>
      </c>
      <c r="M4053">
        <v>1.356421E-2</v>
      </c>
      <c r="N4053">
        <v>-8.8199400000000001E-3</v>
      </c>
      <c r="O4053">
        <v>-0.99986909999999896</v>
      </c>
      <c r="P4053">
        <v>9.2627080000000001E-2</v>
      </c>
      <c r="Q4053">
        <v>0.15900839999999999</v>
      </c>
      <c r="R4053">
        <v>-0.98292230000000003</v>
      </c>
      <c r="S4053">
        <v>0.65029910000000002</v>
      </c>
      <c r="T4053">
        <v>-0.12803909999999999</v>
      </c>
      <c r="U4053">
        <v>-3.0114139999999998</v>
      </c>
      <c r="V4053">
        <v>-7.9274890000000001E-2</v>
      </c>
      <c r="W4053">
        <v>0.16768659999999999</v>
      </c>
      <c r="X4053">
        <v>0.98264779999999996</v>
      </c>
      <c r="Y4053">
        <v>-0.19764409999999999</v>
      </c>
      <c r="Z4053">
        <v>3.2775449999999998E-2</v>
      </c>
      <c r="AA4053">
        <v>0.97972579999999998</v>
      </c>
      <c r="AB4053">
        <v>26</v>
      </c>
      <c r="AC4053">
        <v>5.63309999999995</v>
      </c>
      <c r="AD4053">
        <v>-1.1098144275749999</v>
      </c>
      <c r="AE4053">
        <v>-25.84235</v>
      </c>
      <c r="AF4053">
        <v>-5.2727534803052798</v>
      </c>
      <c r="AG4053">
        <v>-1.1098144275749999</v>
      </c>
      <c r="AH4053">
        <v>25.8708340466297</v>
      </c>
      <c r="AI4053">
        <v>92.406962114839104</v>
      </c>
      <c r="AJ4053">
        <v>101.51971870270501</v>
      </c>
      <c r="AK4053">
        <v>26.4260037008243</v>
      </c>
      <c r="AL4053">
        <v>80.346659771445104</v>
      </c>
      <c r="AM4053">
        <v>94.612335081746494</v>
      </c>
      <c r="AN4053">
        <v>1.0000000014244499</v>
      </c>
    </row>
    <row r="4054" spans="1:40" x14ac:dyDescent="0.25">
      <c r="A4054" t="str">
        <f>"20190304155454893"</f>
        <v>20190304155454893</v>
      </c>
      <c r="B4054" t="str">
        <f>"1551686094881877"</f>
        <v>1551686094881877</v>
      </c>
      <c r="C4054" t="s">
        <v>40</v>
      </c>
      <c r="D4054">
        <v>4.3113720000000004</v>
      </c>
      <c r="E4054">
        <v>0.42916969999999999</v>
      </c>
      <c r="F4054" t="s">
        <v>44</v>
      </c>
      <c r="G4054">
        <v>-408.28480000000002</v>
      </c>
      <c r="H4054">
        <v>0.39261829999999998</v>
      </c>
      <c r="I4054">
        <v>32.915669999999999</v>
      </c>
      <c r="J4054">
        <v>-422.54829999999998</v>
      </c>
      <c r="K4054">
        <v>1.1098170000000001</v>
      </c>
      <c r="L4054">
        <v>84.249480000000005</v>
      </c>
      <c r="M4054">
        <v>1.3549169999999999E-2</v>
      </c>
      <c r="N4054">
        <v>-8.8862790000000004E-3</v>
      </c>
      <c r="O4054">
        <v>-0.99986889999999995</v>
      </c>
      <c r="P4054">
        <v>9.2317360000000001E-2</v>
      </c>
      <c r="Q4054">
        <v>0.15913479999999999</v>
      </c>
      <c r="R4054">
        <v>-0.98293109999999995</v>
      </c>
      <c r="S4054">
        <v>0.82418819999999904</v>
      </c>
      <c r="T4054">
        <v>-4.1430469999999997E-2</v>
      </c>
      <c r="U4054">
        <v>-2.9811709999999998</v>
      </c>
      <c r="V4054">
        <v>-7.8980350000000005E-2</v>
      </c>
      <c r="W4054">
        <v>0.16787839999999901</v>
      </c>
      <c r="X4054">
        <v>0.98263880000000003</v>
      </c>
      <c r="Y4054">
        <v>-0.2533571</v>
      </c>
      <c r="Z4054">
        <v>4.5461939999999999E-3</v>
      </c>
      <c r="AA4054">
        <v>0.96736219999999995</v>
      </c>
      <c r="AB4054">
        <v>26</v>
      </c>
      <c r="AC4054">
        <v>14.263499999999899</v>
      </c>
      <c r="AD4054">
        <v>-0.71719869999999997</v>
      </c>
      <c r="AE4054">
        <v>-51.33381</v>
      </c>
      <c r="AF4054">
        <v>-13.5641748189631</v>
      </c>
      <c r="AG4054">
        <v>-0.71719869999999997</v>
      </c>
      <c r="AH4054">
        <v>51.513029171775898</v>
      </c>
      <c r="AI4054">
        <v>90.771368508549699</v>
      </c>
      <c r="AJ4054">
        <v>104.75200339008499</v>
      </c>
      <c r="AK4054">
        <v>53.273758896354501</v>
      </c>
      <c r="AL4054">
        <v>80.335512715449596</v>
      </c>
      <c r="AM4054">
        <v>94.595313728472803</v>
      </c>
      <c r="AN4054">
        <v>1.0000000320690601</v>
      </c>
    </row>
    <row r="4055" spans="1:40" x14ac:dyDescent="0.25">
      <c r="A4055" t="str">
        <f>"20190304155454918"</f>
        <v>20190304155454918</v>
      </c>
      <c r="B4055" t="str">
        <f>"1551686094911157"</f>
        <v>1551686094911157</v>
      </c>
      <c r="C4055" t="s">
        <v>40</v>
      </c>
      <c r="D4055">
        <v>4.3238099999999999</v>
      </c>
      <c r="E4055">
        <v>0.42911630000000001</v>
      </c>
      <c r="F4055" t="s">
        <v>44</v>
      </c>
      <c r="G4055">
        <v>-408.23939999999999</v>
      </c>
      <c r="H4055">
        <v>0.33949069999999998</v>
      </c>
      <c r="I4055">
        <v>32.92756</v>
      </c>
      <c r="J4055">
        <v>-422.54430000000002</v>
      </c>
      <c r="K4055">
        <v>1.1098300000000001</v>
      </c>
      <c r="L4055">
        <v>83.952479999999994</v>
      </c>
      <c r="M4055">
        <v>1.353296E-2</v>
      </c>
      <c r="N4055">
        <v>-8.971662E-3</v>
      </c>
      <c r="O4055">
        <v>-0.99986839999999999</v>
      </c>
      <c r="P4055">
        <v>9.1705549999999997E-2</v>
      </c>
      <c r="Q4055">
        <v>0.1593897</v>
      </c>
      <c r="R4055">
        <v>-0.98294720000000002</v>
      </c>
      <c r="S4055">
        <v>0.83120729999999998</v>
      </c>
      <c r="T4055">
        <v>-4.4748309999999999E-2</v>
      </c>
      <c r="U4055">
        <v>-2.981293</v>
      </c>
      <c r="V4055">
        <v>-7.8384430000000005E-2</v>
      </c>
      <c r="W4055">
        <v>0.16821739999999999</v>
      </c>
      <c r="X4055">
        <v>0.98262850000000002</v>
      </c>
      <c r="Y4055">
        <v>-0.25547340000000002</v>
      </c>
      <c r="Z4055">
        <v>5.5261759999999998E-3</v>
      </c>
      <c r="AA4055">
        <v>0.96680029999999995</v>
      </c>
      <c r="AB4055">
        <v>26</v>
      </c>
      <c r="AC4055">
        <v>14.3049</v>
      </c>
      <c r="AD4055">
        <v>-0.77033929999999895</v>
      </c>
      <c r="AE4055">
        <v>-51.024920000000002</v>
      </c>
      <c r="AF4055">
        <v>-13.6101679913733</v>
      </c>
      <c r="AG4055">
        <v>-0.77033929999999895</v>
      </c>
      <c r="AH4055">
        <v>51.203022206591797</v>
      </c>
      <c r="AI4055">
        <v>90.833017163787702</v>
      </c>
      <c r="AJ4055">
        <v>104.885470488309</v>
      </c>
      <c r="AK4055">
        <v>52.986598102532099</v>
      </c>
      <c r="AL4055">
        <v>80.315808836484294</v>
      </c>
      <c r="AM4055">
        <v>94.5608357493997</v>
      </c>
      <c r="AN4055">
        <v>0.999999990770717</v>
      </c>
    </row>
    <row r="4056" spans="1:40" x14ac:dyDescent="0.25">
      <c r="A4056" t="str">
        <f>"20190304155454939"</f>
        <v>20190304155454939</v>
      </c>
      <c r="B4056" t="str">
        <f>"1551686094931654"</f>
        <v>1551686094931654</v>
      </c>
      <c r="C4056" t="s">
        <v>40</v>
      </c>
      <c r="D4056">
        <v>4.342168</v>
      </c>
      <c r="E4056">
        <v>0.42868580000000001</v>
      </c>
      <c r="F4056" t="s">
        <v>44</v>
      </c>
      <c r="G4056">
        <v>-408.33789999999999</v>
      </c>
      <c r="H4056">
        <v>0.43809399999999998</v>
      </c>
      <c r="I4056">
        <v>32.90549</v>
      </c>
      <c r="J4056">
        <v>-422.541</v>
      </c>
      <c r="K4056">
        <v>1.1098440000000001</v>
      </c>
      <c r="L4056">
        <v>83.704830000000001</v>
      </c>
      <c r="M4056">
        <v>1.351949E-2</v>
      </c>
      <c r="N4056">
        <v>-9.0496880000000002E-3</v>
      </c>
      <c r="O4056">
        <v>-0.99986770000000003</v>
      </c>
      <c r="P4056">
        <v>9.1347590000000006E-2</v>
      </c>
      <c r="Q4056">
        <v>0.15967799999999999</v>
      </c>
      <c r="R4056">
        <v>-0.98293359999999996</v>
      </c>
      <c r="S4056">
        <v>0.82962039999999904</v>
      </c>
      <c r="T4056">
        <v>-3.9227720000000001E-2</v>
      </c>
      <c r="U4056">
        <v>-2.9810180000000002</v>
      </c>
      <c r="V4056">
        <v>-7.8039800000000006E-2</v>
      </c>
      <c r="W4056">
        <v>0.16858210000000001</v>
      </c>
      <c r="X4056">
        <v>0.98259339999999995</v>
      </c>
      <c r="Y4056">
        <v>-0.25503589999999998</v>
      </c>
      <c r="Z4056">
        <v>3.6646780000000002E-3</v>
      </c>
      <c r="AA4056">
        <v>0.96692469999999997</v>
      </c>
      <c r="AB4056">
        <v>26</v>
      </c>
      <c r="AC4056">
        <v>14.203099999999999</v>
      </c>
      <c r="AD4056">
        <v>-0.67174999999999996</v>
      </c>
      <c r="AE4056">
        <v>-50.799340000000001</v>
      </c>
      <c r="AF4056">
        <v>-13.5128009985898</v>
      </c>
      <c r="AG4056">
        <v>-0.67174999999999996</v>
      </c>
      <c r="AH4056">
        <v>50.978455514098499</v>
      </c>
      <c r="AI4056">
        <v>90.729751838512797</v>
      </c>
      <c r="AJ4056">
        <v>104.84591340421299</v>
      </c>
      <c r="AK4056">
        <v>52.743245685992001</v>
      </c>
      <c r="AL4056">
        <v>80.294610045629895</v>
      </c>
      <c r="AM4056">
        <v>94.541028862207497</v>
      </c>
      <c r="AN4056">
        <v>0.99999996227400401</v>
      </c>
    </row>
    <row r="4057" spans="1:40" x14ac:dyDescent="0.25">
      <c r="A4057" t="str">
        <f>"20190304155454959"</f>
        <v>20190304155454959</v>
      </c>
      <c r="B4057" t="str">
        <f>"1551686094951173"</f>
        <v>1551686094951173</v>
      </c>
      <c r="C4057" t="s">
        <v>40</v>
      </c>
      <c r="D4057">
        <v>4.4031770000000003</v>
      </c>
      <c r="E4057">
        <v>0.42847200000000002</v>
      </c>
      <c r="F4057" t="s">
        <v>44</v>
      </c>
      <c r="G4057">
        <v>-408.36059999999998</v>
      </c>
      <c r="H4057">
        <v>0.43647449999999999</v>
      </c>
      <c r="I4057">
        <v>32.905850000000001</v>
      </c>
      <c r="J4057">
        <v>-422.53769999999997</v>
      </c>
      <c r="K4057">
        <v>1.1098570000000001</v>
      </c>
      <c r="L4057">
        <v>83.464019999999906</v>
      </c>
      <c r="M4057">
        <v>1.3506829999999999E-2</v>
      </c>
      <c r="N4057">
        <v>-9.1347100000000007E-3</v>
      </c>
      <c r="O4057">
        <v>-0.99986719999999896</v>
      </c>
      <c r="P4057">
        <v>9.1291689999999995E-2</v>
      </c>
      <c r="Q4057">
        <v>0.160317299999999</v>
      </c>
      <c r="R4057">
        <v>-0.98283480000000001</v>
      </c>
      <c r="S4057">
        <v>0.83218380000000003</v>
      </c>
      <c r="T4057">
        <v>-3.9517160000000003E-2</v>
      </c>
      <c r="U4057">
        <v>-2.9811709999999998</v>
      </c>
      <c r="V4057">
        <v>-7.7997179999999999E-2</v>
      </c>
      <c r="W4057">
        <v>0.16930400000000001</v>
      </c>
      <c r="X4057">
        <v>0.98247269999999998</v>
      </c>
      <c r="Y4057">
        <v>-0.25580629999999999</v>
      </c>
      <c r="Z4057">
        <v>3.6701250000000002E-3</v>
      </c>
      <c r="AA4057">
        <v>0.9667211</v>
      </c>
      <c r="AB4057">
        <v>26</v>
      </c>
      <c r="AC4057">
        <v>14.1770999999999</v>
      </c>
      <c r="AD4057">
        <v>-0.673382499999999</v>
      </c>
      <c r="AE4057">
        <v>-50.558169999999897</v>
      </c>
      <c r="AF4057">
        <v>-13.490678921174499</v>
      </c>
      <c r="AG4057">
        <v>-0.673382499999999</v>
      </c>
      <c r="AH4057">
        <v>50.7367089600545</v>
      </c>
      <c r="AI4057">
        <v>90.734859528225897</v>
      </c>
      <c r="AJ4057">
        <v>104.89017530261501</v>
      </c>
      <c r="AK4057">
        <v>52.503956973192103</v>
      </c>
      <c r="AL4057">
        <v>80.2526454307405</v>
      </c>
      <c r="AM4057">
        <v>94.539114473821698</v>
      </c>
      <c r="AN4057">
        <v>1.0000000053746201</v>
      </c>
    </row>
    <row r="4058" spans="1:40" x14ac:dyDescent="0.25">
      <c r="A4058" t="str">
        <f>"20190304155454982"</f>
        <v>20190304155454982</v>
      </c>
      <c r="B4058" t="str">
        <f>"1551686094971669"</f>
        <v>1551686094971669</v>
      </c>
      <c r="C4058" t="s">
        <v>40</v>
      </c>
      <c r="D4058">
        <v>4.2520899999999999</v>
      </c>
      <c r="E4058">
        <v>0.42823260000000002</v>
      </c>
      <c r="F4058" t="s">
        <v>44</v>
      </c>
      <c r="G4058">
        <v>-408.4083</v>
      </c>
      <c r="H4058">
        <v>0.40334520000000001</v>
      </c>
      <c r="I4058">
        <v>32.913269999999997</v>
      </c>
      <c r="J4058">
        <v>-422.5342</v>
      </c>
      <c r="K4058">
        <v>1.1098809999999999</v>
      </c>
      <c r="L4058">
        <v>83.207089999999994</v>
      </c>
      <c r="M4058">
        <v>1.349293E-2</v>
      </c>
      <c r="N4058">
        <v>-9.2302470000000005E-3</v>
      </c>
      <c r="O4058">
        <v>-0.99986649999999999</v>
      </c>
      <c r="P4058">
        <v>9.1466400000000003E-2</v>
      </c>
      <c r="Q4058">
        <v>0.1609708</v>
      </c>
      <c r="R4058">
        <v>-0.98271189999999997</v>
      </c>
      <c r="S4058">
        <v>0.83343509999999998</v>
      </c>
      <c r="T4058">
        <v>-4.1674259999999998E-2</v>
      </c>
      <c r="U4058">
        <v>-2.9817809999999998</v>
      </c>
      <c r="V4058">
        <v>-7.8187049999999994E-2</v>
      </c>
      <c r="W4058">
        <v>0.17005020000000001</v>
      </c>
      <c r="X4058">
        <v>0.98232870000000005</v>
      </c>
      <c r="Y4058">
        <v>-0.25614290000000001</v>
      </c>
      <c r="Z4058">
        <v>4.2687159999999997E-3</v>
      </c>
      <c r="AA4058">
        <v>0.96662950000000003</v>
      </c>
      <c r="AB4058">
        <v>26</v>
      </c>
      <c r="AC4058">
        <v>14.1259</v>
      </c>
      <c r="AD4058">
        <v>-0.70653579999999905</v>
      </c>
      <c r="AE4058">
        <v>-50.293819999999997</v>
      </c>
      <c r="AF4058">
        <v>-13.443515048334101</v>
      </c>
      <c r="AG4058">
        <v>-0.70653579999999905</v>
      </c>
      <c r="AH4058">
        <v>50.470616920598999</v>
      </c>
      <c r="AI4058">
        <v>90.775009875737396</v>
      </c>
      <c r="AJ4058">
        <v>104.915182960875</v>
      </c>
      <c r="AK4058">
        <v>52.235145850636997</v>
      </c>
      <c r="AL4058">
        <v>80.209262000437604</v>
      </c>
      <c r="AM4058">
        <v>94.550781984615497</v>
      </c>
      <c r="AN4058">
        <v>0.999999980075716</v>
      </c>
    </row>
    <row r="4059" spans="1:40" x14ac:dyDescent="0.25">
      <c r="A4059" t="str">
        <f>"20190304155455003"</f>
        <v>20190304155455003</v>
      </c>
      <c r="B4059" t="str">
        <f>"1551686094992165"</f>
        <v>1551686094992165</v>
      </c>
      <c r="C4059" t="s">
        <v>40</v>
      </c>
      <c r="D4059">
        <v>4.2715480000000001</v>
      </c>
      <c r="E4059">
        <v>0.42823610000000001</v>
      </c>
      <c r="F4059" t="s">
        <v>44</v>
      </c>
      <c r="G4059">
        <v>-408.41930000000002</v>
      </c>
      <c r="H4059">
        <v>0.42493130000000001</v>
      </c>
      <c r="I4059">
        <v>32.908439999999999</v>
      </c>
      <c r="J4059">
        <v>-422.53070000000002</v>
      </c>
      <c r="K4059">
        <v>1.1098920000000001</v>
      </c>
      <c r="L4059">
        <v>82.946899999999999</v>
      </c>
      <c r="M4059">
        <v>1.3478739999999999E-2</v>
      </c>
      <c r="N4059">
        <v>-9.3279409999999993E-3</v>
      </c>
      <c r="O4059">
        <v>-0.99986580000000003</v>
      </c>
      <c r="P4059">
        <v>9.1183749999999994E-2</v>
      </c>
      <c r="Q4059">
        <v>0.16080349999999999</v>
      </c>
      <c r="R4059">
        <v>-0.98276560000000002</v>
      </c>
      <c r="S4059">
        <v>0.83670040000000001</v>
      </c>
      <c r="T4059">
        <v>-4.0601970000000001E-2</v>
      </c>
      <c r="U4059">
        <v>-2.9815670000000001</v>
      </c>
      <c r="V4059">
        <v>-7.7917749999999994E-2</v>
      </c>
      <c r="W4059">
        <v>0.1699793</v>
      </c>
      <c r="X4059">
        <v>0.98236239999999997</v>
      </c>
      <c r="Y4059">
        <v>-0.25715640000000001</v>
      </c>
      <c r="Z4059">
        <v>3.8216029999999998E-3</v>
      </c>
      <c r="AA4059">
        <v>0.96636219999999995</v>
      </c>
      <c r="AB4059">
        <v>26</v>
      </c>
      <c r="AC4059">
        <v>14.1114</v>
      </c>
      <c r="AD4059">
        <v>-0.68496069999999998</v>
      </c>
      <c r="AE4059">
        <v>-50.038460000000001</v>
      </c>
      <c r="AF4059">
        <v>-13.433301649339199</v>
      </c>
      <c r="AG4059">
        <v>-0.68496069999999998</v>
      </c>
      <c r="AH4059">
        <v>50.215409964091698</v>
      </c>
      <c r="AI4059">
        <v>90.7549482551035</v>
      </c>
      <c r="AJ4059">
        <v>104.976708031154</v>
      </c>
      <c r="AK4059">
        <v>51.9856726629991</v>
      </c>
      <c r="AL4059">
        <v>80.213384596696201</v>
      </c>
      <c r="AM4059">
        <v>94.535018275542896</v>
      </c>
      <c r="AN4059">
        <v>1.00000001156365</v>
      </c>
    </row>
    <row r="4060" spans="1:40" x14ac:dyDescent="0.25">
      <c r="A4060" t="str">
        <f>"20190304155455026"</f>
        <v>20190304155455026</v>
      </c>
      <c r="B4060" t="str">
        <f>"1551686095021446"</f>
        <v>1551686095021446</v>
      </c>
      <c r="C4060" t="s">
        <v>40</v>
      </c>
      <c r="D4060">
        <v>4.2919320000000001</v>
      </c>
      <c r="E4060">
        <v>0.42804999999999999</v>
      </c>
      <c r="F4060" t="s">
        <v>44</v>
      </c>
      <c r="G4060">
        <v>-408.50560000000002</v>
      </c>
      <c r="H4060">
        <v>0.3698439</v>
      </c>
      <c r="I4060">
        <v>32.920759999999902</v>
      </c>
      <c r="J4060">
        <v>-422.52719999999999</v>
      </c>
      <c r="K4060">
        <v>1.1099030000000001</v>
      </c>
      <c r="L4060">
        <v>82.683070000000001</v>
      </c>
      <c r="M4060">
        <v>1.3464230000000001E-2</v>
      </c>
      <c r="N4060">
        <v>-9.4241010000000007E-3</v>
      </c>
      <c r="O4060">
        <v>-0.99986509999999995</v>
      </c>
      <c r="P4060">
        <v>9.0824119999999994E-2</v>
      </c>
      <c r="Q4060">
        <v>0.16033620000000001</v>
      </c>
      <c r="R4060">
        <v>-0.98287530000000001</v>
      </c>
      <c r="S4060">
        <v>0.83609009999999995</v>
      </c>
      <c r="T4060">
        <v>-4.4116969999999998E-2</v>
      </c>
      <c r="U4060">
        <v>-2.9822389999999999</v>
      </c>
      <c r="V4060">
        <v>-7.7571000000000001E-2</v>
      </c>
      <c r="W4060">
        <v>0.16960710000000001</v>
      </c>
      <c r="X4060">
        <v>0.98245420000000006</v>
      </c>
      <c r="Y4060">
        <v>-0.25692749999999998</v>
      </c>
      <c r="Z4060">
        <v>4.8600620000000001E-3</v>
      </c>
      <c r="AA4060">
        <v>0.96641840000000001</v>
      </c>
      <c r="AB4060">
        <v>26</v>
      </c>
      <c r="AC4060">
        <v>14.0215999999999</v>
      </c>
      <c r="AD4060">
        <v>-0.74005909999999997</v>
      </c>
      <c r="AE4060">
        <v>-49.762309999999999</v>
      </c>
      <c r="AF4060">
        <v>-13.347553065419</v>
      </c>
      <c r="AG4060">
        <v>-0.74005909999999997</v>
      </c>
      <c r="AH4060">
        <v>49.936365024876203</v>
      </c>
      <c r="AI4060">
        <v>90.820271411018993</v>
      </c>
      <c r="AJ4060">
        <v>104.96482174738399</v>
      </c>
      <c r="AK4060">
        <v>51.694732925157403</v>
      </c>
      <c r="AL4060">
        <v>80.235024598074801</v>
      </c>
      <c r="AM4060">
        <v>94.5145000114928</v>
      </c>
      <c r="AN4060">
        <v>1.0000000417545201</v>
      </c>
    </row>
    <row r="4061" spans="1:40" x14ac:dyDescent="0.25">
      <c r="A4061" t="str">
        <f>"20190304155455050"</f>
        <v>20190304155455050</v>
      </c>
      <c r="B4061" t="str">
        <f>"1551686095041941"</f>
        <v>1551686095041941</v>
      </c>
      <c r="C4061" t="s">
        <v>40</v>
      </c>
      <c r="D4061">
        <v>4.2873799999999997</v>
      </c>
      <c r="E4061">
        <v>0.42794739999999998</v>
      </c>
      <c r="F4061" t="s">
        <v>44</v>
      </c>
      <c r="G4061">
        <v>-408.58870000000002</v>
      </c>
      <c r="H4061">
        <v>0.28730169999999999</v>
      </c>
      <c r="I4061">
        <v>32.939239999999998</v>
      </c>
      <c r="J4061">
        <v>-422.52330000000001</v>
      </c>
      <c r="K4061">
        <v>1.1099190000000001</v>
      </c>
      <c r="L4061">
        <v>82.394930000000002</v>
      </c>
      <c r="M4061">
        <v>1.344851E-2</v>
      </c>
      <c r="N4061">
        <v>-9.5272210000000006E-3</v>
      </c>
      <c r="O4061">
        <v>-0.99986410000000003</v>
      </c>
      <c r="P4061">
        <v>9.0792700000000004E-2</v>
      </c>
      <c r="Q4061">
        <v>0.1605704</v>
      </c>
      <c r="R4061">
        <v>-0.98284000000000005</v>
      </c>
      <c r="S4061">
        <v>0.83587649999999902</v>
      </c>
      <c r="T4061">
        <v>-4.933071E-2</v>
      </c>
      <c r="U4061">
        <v>-2.9830930000000002</v>
      </c>
      <c r="V4061">
        <v>-7.7555669999999993E-2</v>
      </c>
      <c r="W4061">
        <v>0.1699426</v>
      </c>
      <c r="X4061">
        <v>0.98239739999999998</v>
      </c>
      <c r="Y4061">
        <v>-0.25680180000000002</v>
      </c>
      <c r="Z4061">
        <v>6.4388789999999998E-3</v>
      </c>
      <c r="AA4061">
        <v>0.96644260000000004</v>
      </c>
      <c r="AB4061">
        <v>26</v>
      </c>
      <c r="AC4061">
        <v>13.9345999999999</v>
      </c>
      <c r="AD4061">
        <v>-0.8226173</v>
      </c>
      <c r="AE4061">
        <v>-49.455689999999997</v>
      </c>
      <c r="AF4061">
        <v>-13.2648040690509</v>
      </c>
      <c r="AG4061">
        <v>-0.8226173</v>
      </c>
      <c r="AH4061">
        <v>49.625904981991503</v>
      </c>
      <c r="AI4061">
        <v>90.917465066114403</v>
      </c>
      <c r="AJ4061">
        <v>104.96507417191501</v>
      </c>
      <c r="AK4061">
        <v>51.374723079489399</v>
      </c>
      <c r="AL4061">
        <v>80.215518385226304</v>
      </c>
      <c r="AM4061">
        <v>94.513871406961599</v>
      </c>
      <c r="AN4061">
        <v>1.0000000103853299</v>
      </c>
    </row>
    <row r="4062" spans="1:40" x14ac:dyDescent="0.25">
      <c r="A4062" t="str">
        <f>"20190304155455072"</f>
        <v>20190304155455072</v>
      </c>
      <c r="B4062" t="str">
        <f>"1551686095061461"</f>
        <v>1551686095061461</v>
      </c>
      <c r="C4062" t="s">
        <v>40</v>
      </c>
      <c r="D4062">
        <v>4.2831979999999996</v>
      </c>
      <c r="E4062">
        <v>0.42780610000000002</v>
      </c>
      <c r="F4062" t="s">
        <v>44</v>
      </c>
      <c r="G4062">
        <v>-408.6583</v>
      </c>
      <c r="H4062">
        <v>0.27693649999999997</v>
      </c>
      <c r="I4062">
        <v>32.941560000000003</v>
      </c>
      <c r="J4062">
        <v>-422.51990000000001</v>
      </c>
      <c r="K4062">
        <v>1.109931</v>
      </c>
      <c r="L4062">
        <v>82.141419999999997</v>
      </c>
      <c r="M4062">
        <v>1.343486E-2</v>
      </c>
      <c r="N4062">
        <v>-9.6134080000000004E-3</v>
      </c>
      <c r="O4062">
        <v>-0.99986359999999996</v>
      </c>
      <c r="P4062">
        <v>9.1006190000000001E-2</v>
      </c>
      <c r="Q4062">
        <v>0.16051650000000001</v>
      </c>
      <c r="R4062">
        <v>-0.98282890000000001</v>
      </c>
      <c r="S4062">
        <v>0.8364258</v>
      </c>
      <c r="T4062">
        <v>-5.025077E-2</v>
      </c>
      <c r="U4062">
        <v>-2.9833370000000001</v>
      </c>
      <c r="V4062">
        <v>-7.7781959999999997E-2</v>
      </c>
      <c r="W4062">
        <v>0.16997319999999999</v>
      </c>
      <c r="X4062">
        <v>0.98237419999999998</v>
      </c>
      <c r="Y4062">
        <v>-0.25695829999999997</v>
      </c>
      <c r="Z4062">
        <v>6.6482269999999996E-3</v>
      </c>
      <c r="AA4062">
        <v>0.96639960000000003</v>
      </c>
      <c r="AB4062">
        <v>26</v>
      </c>
      <c r="AC4062">
        <v>13.861599999999999</v>
      </c>
      <c r="AD4062">
        <v>-0.83299449999999997</v>
      </c>
      <c r="AE4062">
        <v>-49.199860000000001</v>
      </c>
      <c r="AF4062">
        <v>-13.1958206699766</v>
      </c>
      <c r="AG4062">
        <v>-0.83299449999999997</v>
      </c>
      <c r="AH4062">
        <v>49.368545536422502</v>
      </c>
      <c r="AI4062">
        <v>90.933879884361204</v>
      </c>
      <c r="AJ4062">
        <v>104.964865921038</v>
      </c>
      <c r="AK4062">
        <v>51.108481207848797</v>
      </c>
      <c r="AL4062">
        <v>80.213739102465695</v>
      </c>
      <c r="AM4062">
        <v>94.527093669053698</v>
      </c>
      <c r="AN4062">
        <v>0.99999999542266005</v>
      </c>
    </row>
    <row r="4063" spans="1:40" x14ac:dyDescent="0.25">
      <c r="A4063" t="str">
        <f>"20190304155455093"</f>
        <v>20190304155455093</v>
      </c>
      <c r="B4063" t="str">
        <f>"1551686095080981"</f>
        <v>1551686095080981</v>
      </c>
      <c r="C4063" t="s">
        <v>40</v>
      </c>
      <c r="D4063">
        <v>3.9232580000000001</v>
      </c>
      <c r="E4063">
        <v>0.43043979999999998</v>
      </c>
      <c r="F4063" t="s">
        <v>44</v>
      </c>
      <c r="G4063">
        <v>-408.68970000000002</v>
      </c>
      <c r="H4063">
        <v>0.267700299999999</v>
      </c>
      <c r="I4063">
        <v>32.943629999999999</v>
      </c>
      <c r="J4063">
        <v>-422.51650000000001</v>
      </c>
      <c r="K4063">
        <v>1.109939</v>
      </c>
      <c r="L4063">
        <v>81.882630000000006</v>
      </c>
      <c r="M4063">
        <v>1.342075E-2</v>
      </c>
      <c r="N4063">
        <v>-9.6940159999999997E-3</v>
      </c>
      <c r="O4063">
        <v>-0.9998629</v>
      </c>
      <c r="P4063">
        <v>9.0729009999999999E-2</v>
      </c>
      <c r="Q4063">
        <v>0.1603628</v>
      </c>
      <c r="R4063">
        <v>-0.98287970000000002</v>
      </c>
      <c r="S4063">
        <v>0.83859249999999996</v>
      </c>
      <c r="T4063">
        <v>-5.1068429999999998E-2</v>
      </c>
      <c r="U4063">
        <v>-2.9830930000000002</v>
      </c>
      <c r="V4063">
        <v>-7.7518310000000007E-2</v>
      </c>
      <c r="W4063">
        <v>0.16989889999999999</v>
      </c>
      <c r="X4063">
        <v>0.9824079</v>
      </c>
      <c r="Y4063">
        <v>-0.25764189999999998</v>
      </c>
      <c r="Z4063">
        <v>6.8302379999999998E-3</v>
      </c>
      <c r="AA4063">
        <v>0.96621630000000003</v>
      </c>
      <c r="AB4063">
        <v>26</v>
      </c>
      <c r="AC4063">
        <v>13.826799999999899</v>
      </c>
      <c r="AD4063">
        <v>-0.84223869999999901</v>
      </c>
      <c r="AE4063">
        <v>-48.939</v>
      </c>
      <c r="AF4063">
        <v>-13.165114595334501</v>
      </c>
      <c r="AG4063">
        <v>-0.84223869999999901</v>
      </c>
      <c r="AH4063">
        <v>49.106697388188401</v>
      </c>
      <c r="AI4063">
        <v>90.949086157124995</v>
      </c>
      <c r="AJ4063">
        <v>105.007635935655</v>
      </c>
      <c r="AK4063">
        <v>50.847785956825902</v>
      </c>
      <c r="AL4063">
        <v>80.218059089342304</v>
      </c>
      <c r="AM4063">
        <v>94.511657949032397</v>
      </c>
      <c r="AN4063">
        <v>1.0000000032944301</v>
      </c>
    </row>
    <row r="4064" spans="1:40" x14ac:dyDescent="0.25">
      <c r="A4064" t="str">
        <f>"20190304155455118"</f>
        <v>20190304155455118</v>
      </c>
      <c r="B4064" t="str">
        <f>"1551686095111237"</f>
        <v>1551686095111237</v>
      </c>
      <c r="C4064" t="s">
        <v>40</v>
      </c>
      <c r="D4064">
        <v>4.42028</v>
      </c>
      <c r="E4064">
        <v>0.51808259999999995</v>
      </c>
      <c r="F4064" t="s">
        <v>74</v>
      </c>
      <c r="G4064">
        <v>-405.18310000000002</v>
      </c>
      <c r="H4064" s="1">
        <v>-5.7462150000000003E-6</v>
      </c>
      <c r="I4064">
        <v>18.546510000000001</v>
      </c>
      <c r="J4064">
        <v>-422.5127</v>
      </c>
      <c r="K4064">
        <v>1.1099410000000001</v>
      </c>
      <c r="L4064">
        <v>81.598269999999999</v>
      </c>
      <c r="M4064">
        <v>1.3405210000000001E-2</v>
      </c>
      <c r="N4064">
        <v>-9.7735879999999997E-3</v>
      </c>
      <c r="O4064">
        <v>-0.99986269999999999</v>
      </c>
      <c r="P4064">
        <v>9.0674939999999996E-2</v>
      </c>
      <c r="Q4064">
        <v>0.16013450000000001</v>
      </c>
      <c r="R4064">
        <v>-0.98292219999999997</v>
      </c>
      <c r="S4064">
        <v>0.81701659999999998</v>
      </c>
      <c r="T4064">
        <v>-5.2317860000000001E-2</v>
      </c>
      <c r="U4064">
        <v>-2.985382</v>
      </c>
      <c r="V4064">
        <v>-7.7479119999999999E-2</v>
      </c>
      <c r="W4064">
        <v>0.1697495</v>
      </c>
      <c r="X4064">
        <v>0.9824368</v>
      </c>
      <c r="Y4064">
        <v>-0.2509728</v>
      </c>
      <c r="Z4064">
        <v>7.1727240000000001E-3</v>
      </c>
      <c r="AA4064">
        <v>0.96796760000000004</v>
      </c>
      <c r="AB4064">
        <v>27</v>
      </c>
      <c r="AC4064">
        <v>17.3295999999999</v>
      </c>
      <c r="AD4064">
        <v>-1.1099467462149999</v>
      </c>
      <c r="AE4064">
        <v>-63.051759999999902</v>
      </c>
      <c r="AF4064">
        <v>-16.478032781708301</v>
      </c>
      <c r="AG4064">
        <v>-1.1099467462149999</v>
      </c>
      <c r="AH4064">
        <v>63.260185044257902</v>
      </c>
      <c r="AI4064">
        <v>90.972741541009896</v>
      </c>
      <c r="AJ4064">
        <v>104.599990523532</v>
      </c>
      <c r="AK4064">
        <v>65.380490652550407</v>
      </c>
      <c r="AL4064">
        <v>80.226745083885803</v>
      </c>
      <c r="AM4064">
        <v>94.509254350119207</v>
      </c>
      <c r="AN4064">
        <v>0.99999998639023202</v>
      </c>
    </row>
    <row r="4065" spans="1:40" x14ac:dyDescent="0.25">
      <c r="A4065" t="str">
        <f>"20190304155455142"</f>
        <v>20190304155455142</v>
      </c>
      <c r="B4065" t="str">
        <f>"1551686095131733"</f>
        <v>1551686095131733</v>
      </c>
      <c r="C4065" t="s">
        <v>40</v>
      </c>
      <c r="D4065">
        <v>4.4509259999999999</v>
      </c>
      <c r="E4065">
        <v>0.51903809999999995</v>
      </c>
      <c r="F4065" t="s">
        <v>46</v>
      </c>
      <c r="G4065">
        <v>-421.25760000000002</v>
      </c>
      <c r="H4065" s="1">
        <v>-4.5076769999999996E-6</v>
      </c>
      <c r="I4065">
        <v>49.577280000000002</v>
      </c>
      <c r="J4065">
        <v>-422.50889999999998</v>
      </c>
      <c r="K4065">
        <v>1.10995</v>
      </c>
      <c r="L4065">
        <v>81.312010000000001</v>
      </c>
      <c r="M4065">
        <v>1.3389460000000001E-2</v>
      </c>
      <c r="N4065">
        <v>-9.8450919999999997E-3</v>
      </c>
      <c r="O4065">
        <v>-0.99986220000000003</v>
      </c>
      <c r="P4065">
        <v>9.034739E-2</v>
      </c>
      <c r="Q4065">
        <v>0.16005939999999999</v>
      </c>
      <c r="R4065">
        <v>-0.98296459999999997</v>
      </c>
      <c r="S4065">
        <v>0.11987299999999999</v>
      </c>
      <c r="T4065">
        <v>-0.1060117</v>
      </c>
      <c r="U4065">
        <v>-3.0583499999999999</v>
      </c>
      <c r="V4065">
        <v>-7.7166709999999999E-2</v>
      </c>
      <c r="W4065">
        <v>0.169744799999999</v>
      </c>
      <c r="X4065">
        <v>0.98246219999999995</v>
      </c>
      <c r="Y4065">
        <v>-2.5764269999999999E-2</v>
      </c>
      <c r="Z4065">
        <v>2.4780300000000002E-2</v>
      </c>
      <c r="AA4065">
        <v>0.9993609</v>
      </c>
      <c r="AB4065">
        <v>27</v>
      </c>
      <c r="AC4065">
        <v>1.2512999999999499</v>
      </c>
      <c r="AD4065">
        <v>-1.1099545076770001</v>
      </c>
      <c r="AE4065">
        <v>-31.734729999999999</v>
      </c>
      <c r="AF4065">
        <v>-0.82524848211632895</v>
      </c>
      <c r="AG4065">
        <v>-1.1099545076770001</v>
      </c>
      <c r="AH4065">
        <v>31.709908764014401</v>
      </c>
      <c r="AI4065">
        <v>92.004050395183299</v>
      </c>
      <c r="AJ4065">
        <v>91.490782733525407</v>
      </c>
      <c r="AK4065">
        <v>31.740059040406098</v>
      </c>
      <c r="AL4065">
        <v>80.2270183391811</v>
      </c>
      <c r="AM4065">
        <v>94.491031109628807</v>
      </c>
      <c r="AN4065">
        <v>0.99999998634405196</v>
      </c>
    </row>
    <row r="4066" spans="1:40" x14ac:dyDescent="0.25">
      <c r="A4066" t="str">
        <f>"20190304155455161"</f>
        <v>20190304155455161</v>
      </c>
      <c r="B4066" t="str">
        <f>"1551686095151254"</f>
        <v>1551686095151254</v>
      </c>
      <c r="C4066" t="s">
        <v>40</v>
      </c>
      <c r="D4066">
        <v>4.4467600000000003</v>
      </c>
      <c r="E4066">
        <v>0.51992269999999996</v>
      </c>
      <c r="F4066" t="s">
        <v>46</v>
      </c>
      <c r="G4066">
        <v>-421.3537</v>
      </c>
      <c r="H4066" s="1">
        <v>-3.7774520000000001E-7</v>
      </c>
      <c r="I4066">
        <v>49.630040000000001</v>
      </c>
      <c r="J4066">
        <v>-422.50580000000002</v>
      </c>
      <c r="K4066">
        <v>1.1099490000000001</v>
      </c>
      <c r="L4066">
        <v>81.08484</v>
      </c>
      <c r="M4066">
        <v>1.3377389999999999E-2</v>
      </c>
      <c r="N4066">
        <v>-9.8865159999999997E-3</v>
      </c>
      <c r="O4066">
        <v>-0.99986200000000003</v>
      </c>
      <c r="P4066">
        <v>8.9828089999999999E-2</v>
      </c>
      <c r="Q4066">
        <v>0.1604708</v>
      </c>
      <c r="R4066">
        <v>-0.98294510000000002</v>
      </c>
      <c r="S4066">
        <v>0.11154169999999999</v>
      </c>
      <c r="T4066">
        <v>-0.10717649999999999</v>
      </c>
      <c r="U4066">
        <v>-3.0592039999999998</v>
      </c>
      <c r="V4066">
        <v>-7.6659370000000004E-2</v>
      </c>
      <c r="W4066">
        <v>0.17019679999999901</v>
      </c>
      <c r="X4066">
        <v>0.98242370000000001</v>
      </c>
      <c r="Y4066">
        <v>-2.30478E-2</v>
      </c>
      <c r="Z4066">
        <v>2.5111930000000001E-2</v>
      </c>
      <c r="AA4066">
        <v>0.9994189</v>
      </c>
      <c r="AB4066">
        <v>27</v>
      </c>
      <c r="AC4066">
        <v>1.1521000000000099</v>
      </c>
      <c r="AD4066">
        <v>-1.1099493777451901</v>
      </c>
      <c r="AE4066">
        <v>-31.454799999999999</v>
      </c>
      <c r="AF4066">
        <v>-0.73028523759358899</v>
      </c>
      <c r="AG4066">
        <v>-1.1099493777451901</v>
      </c>
      <c r="AH4066">
        <v>31.4283164367436</v>
      </c>
      <c r="AI4066">
        <v>92.022120842886096</v>
      </c>
      <c r="AJ4066">
        <v>91.3311159620702</v>
      </c>
      <c r="AK4066">
        <v>31.4563885116759</v>
      </c>
      <c r="AL4066">
        <v>80.200738065987906</v>
      </c>
      <c r="AM4066">
        <v>94.461798139653496</v>
      </c>
      <c r="AN4066">
        <v>0.99999996803036295</v>
      </c>
    </row>
    <row r="4067" spans="1:40" x14ac:dyDescent="0.25">
      <c r="A4067" t="str">
        <f>"20190304155455183"</f>
        <v>20190304155455183</v>
      </c>
      <c r="B4067" t="str">
        <f>"1551686095171749"</f>
        <v>1551686095171749</v>
      </c>
      <c r="C4067" t="s">
        <v>40</v>
      </c>
      <c r="D4067">
        <v>4.4070850000000004</v>
      </c>
      <c r="E4067">
        <v>0.52249319999999999</v>
      </c>
      <c r="F4067" t="s">
        <v>46</v>
      </c>
      <c r="G4067">
        <v>-421.39859999999999</v>
      </c>
      <c r="H4067" s="1">
        <v>-4.0560260000000001E-6</v>
      </c>
      <c r="I4067">
        <v>48.176569999999998</v>
      </c>
      <c r="J4067">
        <v>-422.50229999999999</v>
      </c>
      <c r="K4067">
        <v>1.1099410000000001</v>
      </c>
      <c r="L4067">
        <v>80.822419999999994</v>
      </c>
      <c r="M4067">
        <v>1.3363089999999999E-2</v>
      </c>
      <c r="N4067">
        <v>-9.915086E-3</v>
      </c>
      <c r="O4067">
        <v>-0.99986169999999996</v>
      </c>
      <c r="P4067">
        <v>8.9657470000000003E-2</v>
      </c>
      <c r="Q4067">
        <v>0.16078990000000001</v>
      </c>
      <c r="R4067">
        <v>-0.98290849999999996</v>
      </c>
      <c r="S4067">
        <v>0.10293579999999999</v>
      </c>
      <c r="T4067">
        <v>-0.1031933</v>
      </c>
      <c r="U4067">
        <v>-3.0595089999999998</v>
      </c>
      <c r="V4067">
        <v>-7.6502929999999997E-2</v>
      </c>
      <c r="W4067">
        <v>0.17054359999999999</v>
      </c>
      <c r="X4067">
        <v>0.98237580000000002</v>
      </c>
      <c r="Y4067">
        <v>-2.0252429999999998E-2</v>
      </c>
      <c r="Z4067">
        <v>2.3783160000000001E-2</v>
      </c>
      <c r="AA4067">
        <v>0.99951199999999996</v>
      </c>
      <c r="AB4067">
        <v>27</v>
      </c>
      <c r="AC4067">
        <v>1.1036999999999999</v>
      </c>
      <c r="AD4067">
        <v>-1.109945056026</v>
      </c>
      <c r="AE4067">
        <v>-32.645850000000003</v>
      </c>
      <c r="AF4067">
        <v>-0.66656098394649499</v>
      </c>
      <c r="AG4067">
        <v>-1.109945056026</v>
      </c>
      <c r="AH4067">
        <v>32.620019577972599</v>
      </c>
      <c r="AI4067">
        <v>91.948416458487301</v>
      </c>
      <c r="AJ4067">
        <v>91.170625198564906</v>
      </c>
      <c r="AK4067">
        <v>32.645703528030097</v>
      </c>
      <c r="AL4067">
        <v>80.180573546246407</v>
      </c>
      <c r="AM4067">
        <v>94.452945770257003</v>
      </c>
      <c r="AN4067">
        <v>1.0000000151125901</v>
      </c>
    </row>
    <row r="4068" spans="1:40" x14ac:dyDescent="0.25">
      <c r="A4068" t="str">
        <f>"20190304155455205"</f>
        <v>20190304155455205</v>
      </c>
      <c r="B4068" t="str">
        <f>"1551686095201030"</f>
        <v>1551686095201030</v>
      </c>
      <c r="C4068" t="s">
        <v>40</v>
      </c>
      <c r="D4068">
        <v>4.4149129999999897</v>
      </c>
      <c r="E4068">
        <v>0.52300329999999995</v>
      </c>
      <c r="F4068" t="s">
        <v>46</v>
      </c>
      <c r="G4068">
        <v>-421.40949999999998</v>
      </c>
      <c r="H4068" s="1">
        <v>-6.1712730000000002E-7</v>
      </c>
      <c r="I4068">
        <v>40.153460000000003</v>
      </c>
      <c r="J4068">
        <v>-422.49869999999999</v>
      </c>
      <c r="K4068">
        <v>1.1099410000000001</v>
      </c>
      <c r="L4068">
        <v>80.54871</v>
      </c>
      <c r="M4068">
        <v>1.3348179999999999E-2</v>
      </c>
      <c r="N4068">
        <v>-9.9321770000000004E-3</v>
      </c>
      <c r="O4068">
        <v>-0.99986149999999996</v>
      </c>
      <c r="P4068">
        <v>8.8897149999999994E-2</v>
      </c>
      <c r="Q4068">
        <v>0.16130890000000001</v>
      </c>
      <c r="R4068">
        <v>-0.98289210000000005</v>
      </c>
      <c r="S4068">
        <v>8.2183839999999994E-2</v>
      </c>
      <c r="T4068">
        <v>-8.3467959999999994E-2</v>
      </c>
      <c r="U4068">
        <v>-3.058319</v>
      </c>
      <c r="V4068">
        <v>-7.5757989999999997E-2</v>
      </c>
      <c r="W4068">
        <v>0.17107919999999999</v>
      </c>
      <c r="X4068">
        <v>0.9823404</v>
      </c>
      <c r="Y4068">
        <v>-1.350957E-2</v>
      </c>
      <c r="Z4068">
        <v>1.734409E-2</v>
      </c>
      <c r="AA4068">
        <v>0.99975829999999999</v>
      </c>
      <c r="AB4068">
        <v>27</v>
      </c>
      <c r="AC4068">
        <v>1.0891999999999999</v>
      </c>
      <c r="AD4068">
        <v>-1.1099416171273</v>
      </c>
      <c r="AE4068">
        <v>-40.395249999999997</v>
      </c>
      <c r="AF4068">
        <v>-0.549458710971375</v>
      </c>
      <c r="AG4068">
        <v>-1.1099416171273</v>
      </c>
      <c r="AH4068">
        <v>40.375729331831501</v>
      </c>
      <c r="AI4068">
        <v>91.574536858186804</v>
      </c>
      <c r="AJ4068">
        <v>90.779669432009797</v>
      </c>
      <c r="AK4068">
        <v>40.394719882007003</v>
      </c>
      <c r="AL4068">
        <v>80.149428191807999</v>
      </c>
      <c r="AM4068">
        <v>94.409915783724799</v>
      </c>
      <c r="AN4068">
        <v>1.0000000135968199</v>
      </c>
    </row>
    <row r="4069" spans="1:40" x14ac:dyDescent="0.25">
      <c r="A4069" t="str">
        <f>"20190304155455228"</f>
        <v>20190304155455228</v>
      </c>
      <c r="B4069" t="str">
        <f>"1551686095221525"</f>
        <v>1551686095221525</v>
      </c>
      <c r="C4069" t="s">
        <v>40</v>
      </c>
      <c r="D4069">
        <v>4.3543419999999999</v>
      </c>
      <c r="E4069">
        <v>0.52292700000000003</v>
      </c>
      <c r="F4069" t="s">
        <v>74</v>
      </c>
      <c r="G4069">
        <v>-421.41239999999999</v>
      </c>
      <c r="H4069" s="1">
        <v>-1.9932720000000001E-6</v>
      </c>
      <c r="I4069">
        <v>36.796570000000003</v>
      </c>
      <c r="J4069">
        <v>-422.49509999999998</v>
      </c>
      <c r="K4069">
        <v>1.109936</v>
      </c>
      <c r="L4069">
        <v>80.280240000000006</v>
      </c>
      <c r="M4069">
        <v>1.3333640000000001E-2</v>
      </c>
      <c r="N4069">
        <v>-9.9437210000000009E-3</v>
      </c>
      <c r="O4069">
        <v>-0.99986169999999996</v>
      </c>
      <c r="P4069">
        <v>8.8661870000000004E-2</v>
      </c>
      <c r="Q4069">
        <v>0.161876399999999</v>
      </c>
      <c r="R4069">
        <v>-0.98282029999999998</v>
      </c>
      <c r="S4069">
        <v>7.5927729999999999E-2</v>
      </c>
      <c r="T4069">
        <v>-7.7580689999999994E-2</v>
      </c>
      <c r="U4069">
        <v>-3.0581049999999999</v>
      </c>
      <c r="V4069">
        <v>-7.5537610000000005E-2</v>
      </c>
      <c r="W4069">
        <v>0.171657</v>
      </c>
      <c r="X4069">
        <v>0.98225649999999998</v>
      </c>
      <c r="Y4069">
        <v>-1.148335E-2</v>
      </c>
      <c r="Z4069">
        <v>1.5412459999999999E-2</v>
      </c>
      <c r="AA4069">
        <v>0.99981529999999996</v>
      </c>
      <c r="AB4069">
        <v>27</v>
      </c>
      <c r="AC4069">
        <v>1.08269999999998</v>
      </c>
      <c r="AD4069">
        <v>-1.1099379932719999</v>
      </c>
      <c r="AE4069">
        <v>-43.483669999999996</v>
      </c>
      <c r="AF4069">
        <v>-0.50245232962240804</v>
      </c>
      <c r="AG4069">
        <v>-1.1099379932719999</v>
      </c>
      <c r="AH4069">
        <v>43.465938588487703</v>
      </c>
      <c r="AI4069">
        <v>91.462678624444194</v>
      </c>
      <c r="AJ4069">
        <v>90.662291362773104</v>
      </c>
      <c r="AK4069">
        <v>43.483010913121397</v>
      </c>
      <c r="AL4069">
        <v>80.115824914783403</v>
      </c>
      <c r="AM4069">
        <v>94.397511833441499</v>
      </c>
      <c r="AN4069">
        <v>0.99999994398287895</v>
      </c>
    </row>
    <row r="4070" spans="1:40" x14ac:dyDescent="0.25">
      <c r="A4070" t="str">
        <f>"20190304155455249"</f>
        <v>20190304155455249</v>
      </c>
      <c r="B4070" t="str">
        <f>"1551686095241045"</f>
        <v>1551686095241045</v>
      </c>
      <c r="C4070" t="s">
        <v>40</v>
      </c>
      <c r="D4070">
        <v>4.3719760000000001</v>
      </c>
      <c r="E4070">
        <v>0.52285779999999904</v>
      </c>
      <c r="F4070" t="s">
        <v>74</v>
      </c>
      <c r="G4070">
        <v>-421.43419999999998</v>
      </c>
      <c r="H4070" s="1">
        <v>-1.5774660000000001E-6</v>
      </c>
      <c r="I4070">
        <v>37.455509999999997</v>
      </c>
      <c r="J4070">
        <v>-422.49169999999998</v>
      </c>
      <c r="K4070">
        <v>1.1099349999999999</v>
      </c>
      <c r="L4070">
        <v>80.021850000000001</v>
      </c>
      <c r="M4070">
        <v>1.331982E-2</v>
      </c>
      <c r="N4070">
        <v>-9.9453000000000007E-3</v>
      </c>
      <c r="O4070">
        <v>-0.99986200000000003</v>
      </c>
      <c r="P4070">
        <v>8.8219660000000005E-2</v>
      </c>
      <c r="Q4070">
        <v>0.1619305</v>
      </c>
      <c r="R4070">
        <v>-0.98285120000000004</v>
      </c>
      <c r="S4070">
        <v>7.5775149999999999E-2</v>
      </c>
      <c r="T4070">
        <v>-7.9274650000000002E-2</v>
      </c>
      <c r="U4070">
        <v>-3.0586549999999999</v>
      </c>
      <c r="V4070">
        <v>-7.5108759999999997E-2</v>
      </c>
      <c r="W4070">
        <v>0.1717129</v>
      </c>
      <c r="X4070">
        <v>0.98227969999999998</v>
      </c>
      <c r="Y4070">
        <v>-1.1442620000000001E-2</v>
      </c>
      <c r="Z4070">
        <v>1.5959569999999999E-2</v>
      </c>
      <c r="AA4070">
        <v>0.99980720000000001</v>
      </c>
      <c r="AB4070">
        <v>27</v>
      </c>
      <c r="AC4070">
        <v>1.0575000000000001</v>
      </c>
      <c r="AD4070">
        <v>-1.1099365774659999</v>
      </c>
      <c r="AE4070">
        <v>-42.566339999999997</v>
      </c>
      <c r="AF4070">
        <v>-0.49006923971622202</v>
      </c>
      <c r="AG4070">
        <v>-1.1099365774659999</v>
      </c>
      <c r="AH4070">
        <v>42.547738248767502</v>
      </c>
      <c r="AI4070">
        <v>91.494228573835201</v>
      </c>
      <c r="AJ4070">
        <v>90.659909519231107</v>
      </c>
      <c r="AK4070">
        <v>42.5650344432064</v>
      </c>
      <c r="AL4070">
        <v>80.112574641283103</v>
      </c>
      <c r="AM4070">
        <v>94.372540046950604</v>
      </c>
      <c r="AN4070">
        <v>1.0000000274436101</v>
      </c>
    </row>
    <row r="4071" spans="1:40" x14ac:dyDescent="0.25">
      <c r="A4071" t="str">
        <f>"20190304155455272"</f>
        <v>20190304155455272</v>
      </c>
      <c r="B4071" t="str">
        <f>"1551686095261541"</f>
        <v>1551686095261541</v>
      </c>
      <c r="C4071" t="s">
        <v>40</v>
      </c>
      <c r="D4071">
        <v>4.3526559999999996</v>
      </c>
      <c r="E4071">
        <v>0.52262529999999996</v>
      </c>
      <c r="F4071" t="s">
        <v>74</v>
      </c>
      <c r="G4071">
        <v>-421.4751</v>
      </c>
      <c r="H4071" s="1">
        <v>-9.5367770000000007E-7</v>
      </c>
      <c r="I4071">
        <v>38.445839999999997</v>
      </c>
      <c r="J4071">
        <v>-422.48809999999997</v>
      </c>
      <c r="K4071">
        <v>1.109926</v>
      </c>
      <c r="L4071">
        <v>79.75009</v>
      </c>
      <c r="M4071">
        <v>1.3305040000000001E-2</v>
      </c>
      <c r="N4071">
        <v>-9.935513E-3</v>
      </c>
      <c r="O4071">
        <v>-0.99986240000000004</v>
      </c>
      <c r="P4071">
        <v>8.7917540000000002E-2</v>
      </c>
      <c r="Q4071">
        <v>0.16245879999999999</v>
      </c>
      <c r="R4071">
        <v>-0.98279119999999998</v>
      </c>
      <c r="S4071">
        <v>7.4798580000000003E-2</v>
      </c>
      <c r="T4071">
        <v>-8.1666950000000002E-2</v>
      </c>
      <c r="U4071">
        <v>-3.0590820000000001</v>
      </c>
      <c r="V4071">
        <v>-7.4821810000000002E-2</v>
      </c>
      <c r="W4071">
        <v>0.17223060000000001</v>
      </c>
      <c r="X4071">
        <v>0.9822109</v>
      </c>
      <c r="Y4071">
        <v>-1.1134679999999999E-2</v>
      </c>
      <c r="Z4071">
        <v>1.6747020000000001E-2</v>
      </c>
      <c r="AA4071">
        <v>0.99979779999999996</v>
      </c>
      <c r="AB4071">
        <v>27</v>
      </c>
      <c r="AC4071">
        <v>1.0129999999999699</v>
      </c>
      <c r="AD4071">
        <v>-1.1099269536776999</v>
      </c>
      <c r="AE4071">
        <v>-41.304250000000003</v>
      </c>
      <c r="AF4071">
        <v>-0.46299452392155799</v>
      </c>
      <c r="AG4071">
        <v>-1.1099269536776999</v>
      </c>
      <c r="AH4071">
        <v>41.284278630478703</v>
      </c>
      <c r="AI4071">
        <v>91.539928051891593</v>
      </c>
      <c r="AJ4071">
        <v>90.642533210753598</v>
      </c>
      <c r="AK4071">
        <v>41.301791290580702</v>
      </c>
      <c r="AL4071">
        <v>80.082463424203695</v>
      </c>
      <c r="AM4071">
        <v>94.356203288469501</v>
      </c>
      <c r="AN4071">
        <v>0.99999996745342201</v>
      </c>
    </row>
    <row r="4072" spans="1:40" x14ac:dyDescent="0.25">
      <c r="A4072" t="str">
        <f>"20190304155455294"</f>
        <v>20190304155455294</v>
      </c>
      <c r="B4072" t="str">
        <f>"1551686095281061"</f>
        <v>1551686095281061</v>
      </c>
      <c r="C4072" t="s">
        <v>40</v>
      </c>
      <c r="D4072">
        <v>4.4220829999999998</v>
      </c>
      <c r="E4072">
        <v>0.5222521</v>
      </c>
      <c r="F4072" t="s">
        <v>74</v>
      </c>
      <c r="G4072">
        <v>-421.46480000000003</v>
      </c>
      <c r="H4072" s="1">
        <v>-8.8577250000000004E-7</v>
      </c>
      <c r="I4072">
        <v>38.550409999999999</v>
      </c>
      <c r="J4072">
        <v>-422.4846</v>
      </c>
      <c r="K4072">
        <v>1.109923</v>
      </c>
      <c r="L4072">
        <v>79.484409999999997</v>
      </c>
      <c r="M4072">
        <v>1.329054E-2</v>
      </c>
      <c r="N4072">
        <v>-9.9212039999999994E-3</v>
      </c>
      <c r="O4072">
        <v>-0.99986240000000004</v>
      </c>
      <c r="P4072">
        <v>8.7665389999999996E-2</v>
      </c>
      <c r="Q4072">
        <v>0.16256379999999901</v>
      </c>
      <c r="R4072">
        <v>-0.98279609999999995</v>
      </c>
      <c r="S4072">
        <v>7.5988769999999997E-2</v>
      </c>
      <c r="T4072">
        <v>-8.2419629999999994E-2</v>
      </c>
      <c r="U4072">
        <v>-3.0593569999999999</v>
      </c>
      <c r="V4072">
        <v>-7.4584079999999997E-2</v>
      </c>
      <c r="W4072">
        <v>0.17232210000000001</v>
      </c>
      <c r="X4072">
        <v>0.982213</v>
      </c>
      <c r="Y4072">
        <v>-1.1535500000000001E-2</v>
      </c>
      <c r="Z4072">
        <v>1.700451E-2</v>
      </c>
      <c r="AA4072">
        <v>0.99978889999999998</v>
      </c>
      <c r="AB4072">
        <v>27</v>
      </c>
      <c r="AC4072">
        <v>1.0197999999999701</v>
      </c>
      <c r="AD4072">
        <v>-1.1099238857725</v>
      </c>
      <c r="AE4072">
        <v>-40.933999999999997</v>
      </c>
      <c r="AF4072">
        <v>-0.47529891446095601</v>
      </c>
      <c r="AG4072">
        <v>-1.1099238857725</v>
      </c>
      <c r="AH4072">
        <v>40.913876494406502</v>
      </c>
      <c r="AI4072">
        <v>91.553851123866195</v>
      </c>
      <c r="AJ4072">
        <v>90.665578507076305</v>
      </c>
      <c r="AK4072">
        <v>40.931688578531002</v>
      </c>
      <c r="AL4072">
        <v>80.077141956664704</v>
      </c>
      <c r="AM4072">
        <v>94.342406177638296</v>
      </c>
      <c r="AN4072">
        <v>1.0000000342534201</v>
      </c>
    </row>
    <row r="4073" spans="1:40" x14ac:dyDescent="0.25">
      <c r="A4073" t="str">
        <f>"20190304155455319"</f>
        <v>20190304155455319</v>
      </c>
      <c r="B4073" t="str">
        <f>"1551686095311318"</f>
        <v>1551686095311318</v>
      </c>
      <c r="C4073" t="s">
        <v>40</v>
      </c>
      <c r="D4073">
        <v>4.4007430000000003</v>
      </c>
      <c r="E4073">
        <v>0.52194580000000002</v>
      </c>
      <c r="F4073" t="s">
        <v>74</v>
      </c>
      <c r="G4073">
        <v>-421.45530000000002</v>
      </c>
      <c r="H4073" s="1">
        <v>-8.6295569999999996E-7</v>
      </c>
      <c r="I4073">
        <v>38.584229999999998</v>
      </c>
      <c r="J4073">
        <v>-422.48070000000001</v>
      </c>
      <c r="K4073">
        <v>1.1099129999999999</v>
      </c>
      <c r="L4073">
        <v>79.191190000000006</v>
      </c>
      <c r="M4073">
        <v>1.327448E-2</v>
      </c>
      <c r="N4073">
        <v>-9.9013360000000002E-3</v>
      </c>
      <c r="O4073">
        <v>-0.9998631</v>
      </c>
      <c r="P4073">
        <v>8.7715979999999999E-2</v>
      </c>
      <c r="Q4073">
        <v>0.16284979999999999</v>
      </c>
      <c r="R4073">
        <v>-0.98274459999999997</v>
      </c>
      <c r="S4073">
        <v>7.6995850000000005E-2</v>
      </c>
      <c r="T4073">
        <v>-8.302379E-2</v>
      </c>
      <c r="U4073">
        <v>-3.0593870000000001</v>
      </c>
      <c r="V4073">
        <v>-7.4651259999999997E-2</v>
      </c>
      <c r="W4073">
        <v>0.17258799999999999</v>
      </c>
      <c r="X4073">
        <v>0.98216119999999996</v>
      </c>
      <c r="Y4073">
        <v>-1.188006E-2</v>
      </c>
      <c r="Z4073">
        <v>1.7221199999999999E-2</v>
      </c>
      <c r="AA4073">
        <v>0.99978109999999998</v>
      </c>
      <c r="AB4073">
        <v>27</v>
      </c>
      <c r="AC4073">
        <v>1.0253999999999901</v>
      </c>
      <c r="AD4073">
        <v>-1.1099138629556999</v>
      </c>
      <c r="AE4073">
        <v>-40.606960000000001</v>
      </c>
      <c r="AF4073">
        <v>-0.485884294484424</v>
      </c>
      <c r="AG4073">
        <v>-1.1099138629556999</v>
      </c>
      <c r="AH4073">
        <v>40.586691181392297</v>
      </c>
      <c r="AI4073">
        <v>91.566350433076906</v>
      </c>
      <c r="AJ4073">
        <v>90.685884677163898</v>
      </c>
      <c r="AK4073">
        <v>40.604771805595902</v>
      </c>
      <c r="AL4073">
        <v>80.061675191015198</v>
      </c>
      <c r="AM4073">
        <v>94.346530874702495</v>
      </c>
      <c r="AN4073">
        <v>1.0000000255745101</v>
      </c>
    </row>
    <row r="4074" spans="1:40" x14ac:dyDescent="0.25">
      <c r="A4074" t="str">
        <f>"20190304155455361"</f>
        <v>20190304155455361</v>
      </c>
      <c r="B4074" t="str">
        <f>"1551686095351333"</f>
        <v>1551686095351333</v>
      </c>
      <c r="C4074" t="s">
        <v>40</v>
      </c>
      <c r="D4074">
        <v>4.377974</v>
      </c>
      <c r="E4074">
        <v>0.52154739999999999</v>
      </c>
      <c r="F4074" t="s">
        <v>74</v>
      </c>
      <c r="G4074">
        <v>-421.4477</v>
      </c>
      <c r="H4074" s="1">
        <v>-4.1915500000000002E-7</v>
      </c>
      <c r="I4074">
        <v>39.552680000000002</v>
      </c>
      <c r="J4074">
        <v>-422.47390000000001</v>
      </c>
      <c r="K4074">
        <v>1.109907</v>
      </c>
      <c r="L4074">
        <v>78.677090000000007</v>
      </c>
      <c r="M4074">
        <v>1.3246859999999999E-2</v>
      </c>
      <c r="N4074">
        <v>-9.8570740000000004E-3</v>
      </c>
      <c r="O4074">
        <v>-0.99986390000000003</v>
      </c>
      <c r="P4074">
        <v>8.6682850000000006E-2</v>
      </c>
      <c r="Q4074">
        <v>0.1635134</v>
      </c>
      <c r="R4074">
        <v>-0.98272590000000004</v>
      </c>
      <c r="S4074">
        <v>7.9742430000000003E-2</v>
      </c>
      <c r="T4074">
        <v>-8.5675840000000003E-2</v>
      </c>
      <c r="U4074">
        <v>-3.0597530000000002</v>
      </c>
      <c r="V4074">
        <v>-7.3645550000000004E-2</v>
      </c>
      <c r="W4074">
        <v>0.17320749999999999</v>
      </c>
      <c r="X4074">
        <v>0.982128</v>
      </c>
      <c r="Y4074">
        <v>-1.280092E-2</v>
      </c>
      <c r="Z4074">
        <v>1.8127480000000001E-2</v>
      </c>
      <c r="AA4074">
        <v>0.99975369999999997</v>
      </c>
      <c r="AB4074">
        <v>27</v>
      </c>
      <c r="AC4074">
        <v>1.02620000000001</v>
      </c>
      <c r="AD4074">
        <v>-1.109907419155</v>
      </c>
      <c r="AE4074">
        <v>-39.124409999999997</v>
      </c>
      <c r="AF4074">
        <v>-0.50740123973326201</v>
      </c>
      <c r="AG4074">
        <v>-1.109907419155</v>
      </c>
      <c r="AH4074">
        <v>39.103123510792798</v>
      </c>
      <c r="AI4074">
        <v>91.625716476329004</v>
      </c>
      <c r="AJ4074">
        <v>90.743427006298006</v>
      </c>
      <c r="AK4074">
        <v>39.122162757157199</v>
      </c>
      <c r="AL4074">
        <v>80.025637030050902</v>
      </c>
      <c r="AM4074">
        <v>94.2883382581484</v>
      </c>
      <c r="AN4074">
        <v>0.99999995673752495</v>
      </c>
    </row>
    <row r="4075" spans="1:40" x14ac:dyDescent="0.25">
      <c r="A4075" t="str">
        <f>"20190304155455384"</f>
        <v>20190304155455384</v>
      </c>
      <c r="B4075" t="str">
        <f>"1551686095371830"</f>
        <v>1551686095371830</v>
      </c>
      <c r="C4075" t="s">
        <v>40</v>
      </c>
      <c r="D4075">
        <v>4.4265169999999996</v>
      </c>
      <c r="E4075">
        <v>0.52139869999999999</v>
      </c>
      <c r="F4075" t="s">
        <v>74</v>
      </c>
      <c r="G4075">
        <v>-421.4196</v>
      </c>
      <c r="H4075" s="1">
        <v>-9.8020500000000009E-7</v>
      </c>
      <c r="I4075">
        <v>38.391959999999997</v>
      </c>
      <c r="J4075">
        <v>-422.47039999999998</v>
      </c>
      <c r="K4075">
        <v>1.1099110000000001</v>
      </c>
      <c r="L4075">
        <v>78.406649999999999</v>
      </c>
      <c r="M4075">
        <v>1.3231649999999999E-2</v>
      </c>
      <c r="N4075">
        <v>-9.8352170000000003E-3</v>
      </c>
      <c r="O4075">
        <v>-0.99986430000000004</v>
      </c>
      <c r="P4075">
        <v>8.5900199999999996E-2</v>
      </c>
      <c r="Q4075">
        <v>0.16349839999999999</v>
      </c>
      <c r="R4075">
        <v>-0.98279729999999998</v>
      </c>
      <c r="S4075">
        <v>8.0078129999999997E-2</v>
      </c>
      <c r="T4075">
        <v>-8.4299330000000006E-2</v>
      </c>
      <c r="U4075">
        <v>-3.059723</v>
      </c>
      <c r="V4075">
        <v>-7.2877020000000001E-2</v>
      </c>
      <c r="W4075">
        <v>0.1731713</v>
      </c>
      <c r="X4075">
        <v>0.9821917</v>
      </c>
      <c r="Y4075">
        <v>-1.292621E-2</v>
      </c>
      <c r="Z4075">
        <v>1.7700259999999999E-2</v>
      </c>
      <c r="AA4075">
        <v>0.99975979999999998</v>
      </c>
      <c r="AB4075">
        <v>27</v>
      </c>
      <c r="AC4075">
        <v>1.05079999999998</v>
      </c>
      <c r="AD4075">
        <v>-1.1099119802049999</v>
      </c>
      <c r="AE4075">
        <v>-40.014690000000002</v>
      </c>
      <c r="AF4075">
        <v>-0.52082170111697801</v>
      </c>
      <c r="AG4075">
        <v>-1.1099119802049999</v>
      </c>
      <c r="AH4075">
        <v>39.994341731113302</v>
      </c>
      <c r="AI4075">
        <v>91.589514014698494</v>
      </c>
      <c r="AJ4075">
        <v>90.7460855061546</v>
      </c>
      <c r="AK4075">
        <v>40.013129474626602</v>
      </c>
      <c r="AL4075">
        <v>80.0277428666719</v>
      </c>
      <c r="AM4075">
        <v>94.243477319438497</v>
      </c>
      <c r="AN4075">
        <v>0.99999994736832798</v>
      </c>
    </row>
    <row r="4076" spans="1:40" x14ac:dyDescent="0.25">
      <c r="A4076" t="str">
        <f>"20190304155455405"</f>
        <v>20190304155455405</v>
      </c>
      <c r="B4076" t="str">
        <f>"1551686095401596"</f>
        <v>1551686095401596</v>
      </c>
      <c r="C4076" t="s">
        <v>40</v>
      </c>
      <c r="D4076">
        <v>4.4063629999999998</v>
      </c>
      <c r="E4076">
        <v>0.52119759999999904</v>
      </c>
      <c r="F4076" t="s">
        <v>74</v>
      </c>
      <c r="G4076">
        <v>-421.4348</v>
      </c>
      <c r="H4076" s="1">
        <v>-1.0381169999999999E-6</v>
      </c>
      <c r="I4076">
        <v>38.304180000000002</v>
      </c>
      <c r="J4076">
        <v>-422.46690000000001</v>
      </c>
      <c r="K4076">
        <v>1.1099030000000001</v>
      </c>
      <c r="L4076">
        <v>78.145510000000002</v>
      </c>
      <c r="M4076">
        <v>1.3216759999999999E-2</v>
      </c>
      <c r="N4076">
        <v>-9.8159560000000007E-3</v>
      </c>
      <c r="O4076">
        <v>-0.99986459999999999</v>
      </c>
      <c r="P4076">
        <v>8.5259669999999996E-2</v>
      </c>
      <c r="Q4076">
        <v>0.16359199999999999</v>
      </c>
      <c r="R4076">
        <v>-0.98283739999999997</v>
      </c>
      <c r="S4076">
        <v>7.9010010000000006E-2</v>
      </c>
      <c r="T4076">
        <v>-8.4682820000000006E-2</v>
      </c>
      <c r="U4076">
        <v>-3.0596920000000001</v>
      </c>
      <c r="V4076">
        <v>-7.2250789999999995E-2</v>
      </c>
      <c r="W4076">
        <v>0.17324639999999999</v>
      </c>
      <c r="X4076">
        <v>0.98222480000000001</v>
      </c>
      <c r="Y4076">
        <v>-1.2592580000000001E-2</v>
      </c>
      <c r="Z4076">
        <v>1.7845130000000001E-2</v>
      </c>
      <c r="AA4076">
        <v>0.99976149999999997</v>
      </c>
      <c r="AB4076">
        <v>27</v>
      </c>
      <c r="AC4076">
        <v>1.03210000000001</v>
      </c>
      <c r="AD4076">
        <v>-1.109904038117</v>
      </c>
      <c r="AE4076">
        <v>-39.841329999999999</v>
      </c>
      <c r="AF4076">
        <v>-0.50501957250721696</v>
      </c>
      <c r="AG4076">
        <v>-1.109904038117</v>
      </c>
      <c r="AH4076">
        <v>39.820608371608898</v>
      </c>
      <c r="AI4076">
        <v>91.596440879621099</v>
      </c>
      <c r="AJ4076">
        <v>90.726607152866407</v>
      </c>
      <c r="AK4076">
        <v>39.839274376267099</v>
      </c>
      <c r="AL4076">
        <v>80.023374697161898</v>
      </c>
      <c r="AM4076">
        <v>94.2070034742178</v>
      </c>
      <c r="AN4076">
        <v>1.0000000247518099</v>
      </c>
    </row>
    <row r="4077" spans="1:40" x14ac:dyDescent="0.25">
      <c r="A4077" t="str">
        <f>"20190304155455428"</f>
        <v>20190304155455428</v>
      </c>
      <c r="B4077" t="str">
        <f>"1551686095421116"</f>
        <v>1551686095421116</v>
      </c>
      <c r="C4077" t="s">
        <v>40</v>
      </c>
      <c r="D4077">
        <v>4.4119169999999999</v>
      </c>
      <c r="E4077">
        <v>0.52115219999999995</v>
      </c>
      <c r="F4077" t="s">
        <v>74</v>
      </c>
      <c r="G4077">
        <v>-421.44779999999997</v>
      </c>
      <c r="H4077" s="1">
        <v>-1.118434E-6</v>
      </c>
      <c r="I4077">
        <v>38.18065</v>
      </c>
      <c r="J4077">
        <v>-422.4633</v>
      </c>
      <c r="K4077">
        <v>1.1099060000000001</v>
      </c>
      <c r="L4077">
        <v>77.866550000000004</v>
      </c>
      <c r="M4077">
        <v>1.320084E-2</v>
      </c>
      <c r="N4077">
        <v>-9.7957400000000007E-3</v>
      </c>
      <c r="O4077">
        <v>-0.99986509999999995</v>
      </c>
      <c r="P4077">
        <v>8.4681350000000002E-2</v>
      </c>
      <c r="Q4077">
        <v>0.1633974</v>
      </c>
      <c r="R4077">
        <v>-0.9829196</v>
      </c>
      <c r="S4077">
        <v>7.8033450000000004E-2</v>
      </c>
      <c r="T4077">
        <v>-8.4976319999999994E-2</v>
      </c>
      <c r="U4077">
        <v>-3.0597840000000001</v>
      </c>
      <c r="V4077">
        <v>-7.1686799999999995E-2</v>
      </c>
      <c r="W4077">
        <v>0.1730323</v>
      </c>
      <c r="X4077">
        <v>0.98230390000000001</v>
      </c>
      <c r="Y4077">
        <v>-1.228886E-2</v>
      </c>
      <c r="Z4077">
        <v>1.7960460000000001E-2</v>
      </c>
      <c r="AA4077">
        <v>0.99976319999999996</v>
      </c>
      <c r="AB4077">
        <v>27</v>
      </c>
      <c r="AC4077">
        <v>1.01550000000003</v>
      </c>
      <c r="AD4077">
        <v>-1.1099071184339999</v>
      </c>
      <c r="AE4077">
        <v>-39.685899999999997</v>
      </c>
      <c r="AF4077">
        <v>-0.49111538331141902</v>
      </c>
      <c r="AG4077">
        <v>-1.1099071184339999</v>
      </c>
      <c r="AH4077">
        <v>39.664843411600401</v>
      </c>
      <c r="AI4077">
        <v>91.602717366583903</v>
      </c>
      <c r="AJ4077">
        <v>90.709378847631697</v>
      </c>
      <c r="AK4077">
        <v>39.683408258339597</v>
      </c>
      <c r="AL4077">
        <v>80.035830214387303</v>
      </c>
      <c r="AM4077">
        <v>94.173945176579906</v>
      </c>
      <c r="AN4077">
        <v>1.0000000630463599</v>
      </c>
    </row>
    <row r="4078" spans="1:40" x14ac:dyDescent="0.25">
      <c r="A4078" t="str">
        <f>"20190304155455451"</f>
        <v>20190304155455451</v>
      </c>
      <c r="B4078" t="str">
        <f>"1551686095441614"</f>
        <v>1551686095441614</v>
      </c>
      <c r="C4078" t="s">
        <v>40</v>
      </c>
      <c r="D4078">
        <v>4.3989929999999999</v>
      </c>
      <c r="E4078">
        <v>0.52107859999999995</v>
      </c>
      <c r="F4078" t="s">
        <v>74</v>
      </c>
      <c r="G4078">
        <v>-421.4864</v>
      </c>
      <c r="H4078" s="1">
        <v>-7.1408209999999899E-7</v>
      </c>
      <c r="I4078">
        <v>38.82526</v>
      </c>
      <c r="J4078">
        <v>-422.4597</v>
      </c>
      <c r="K4078">
        <v>1.109909</v>
      </c>
      <c r="L4078">
        <v>77.593599999999995</v>
      </c>
      <c r="M4078">
        <v>1.318571E-2</v>
      </c>
      <c r="N4078">
        <v>-9.7726359999999995E-3</v>
      </c>
      <c r="O4078">
        <v>-0.99986529999999996</v>
      </c>
      <c r="P4078">
        <v>8.4789020000000007E-2</v>
      </c>
      <c r="Q4078">
        <v>0.16398950000000001</v>
      </c>
      <c r="R4078">
        <v>-0.98281169999999995</v>
      </c>
      <c r="S4078">
        <v>7.6568600000000001E-2</v>
      </c>
      <c r="T4078">
        <v>-8.6992860000000005E-2</v>
      </c>
      <c r="U4078">
        <v>-3.0599980000000002</v>
      </c>
      <c r="V4078">
        <v>-7.1811150000000004E-2</v>
      </c>
      <c r="W4078">
        <v>0.17360100000000001</v>
      </c>
      <c r="X4078">
        <v>0.98219440000000002</v>
      </c>
      <c r="Y4078">
        <v>-1.182367E-2</v>
      </c>
      <c r="Z4078">
        <v>1.864E-2</v>
      </c>
      <c r="AA4078">
        <v>0.99975630000000004</v>
      </c>
      <c r="AB4078">
        <v>27</v>
      </c>
      <c r="AC4078">
        <v>0.97329999999999395</v>
      </c>
      <c r="AD4078">
        <v>-1.1099097140820999</v>
      </c>
      <c r="AE4078">
        <v>-38.768340000000002</v>
      </c>
      <c r="AF4078">
        <v>-0.46162474778144902</v>
      </c>
      <c r="AG4078">
        <v>-1.1099097140820999</v>
      </c>
      <c r="AH4078">
        <v>38.746065950067198</v>
      </c>
      <c r="AI4078">
        <v>91.640714886997401</v>
      </c>
      <c r="AJ4078">
        <v>90.682595710687494</v>
      </c>
      <c r="AK4078">
        <v>38.764708480628897</v>
      </c>
      <c r="AL4078">
        <v>80.002744707671994</v>
      </c>
      <c r="AM4078">
        <v>94.181624251131296</v>
      </c>
      <c r="AN4078">
        <v>0.99999999392834105</v>
      </c>
    </row>
    <row r="4079" spans="1:40" x14ac:dyDescent="0.25">
      <c r="A4079" t="str">
        <f>"20190304155455472"</f>
        <v>20190304155455472</v>
      </c>
      <c r="B4079" t="str">
        <f>"1551686095461132"</f>
        <v>1551686095461132</v>
      </c>
      <c r="C4079" t="s">
        <v>40</v>
      </c>
      <c r="D4079">
        <v>4.3902150000000004</v>
      </c>
      <c r="E4079">
        <v>0.52097680000000002</v>
      </c>
      <c r="F4079" t="s">
        <v>74</v>
      </c>
      <c r="G4079">
        <v>-421.44749999999999</v>
      </c>
      <c r="H4079" s="1">
        <v>-1.3837589999999999E-6</v>
      </c>
      <c r="I4079">
        <v>37.763179999999998</v>
      </c>
      <c r="J4079">
        <v>-422.45620000000002</v>
      </c>
      <c r="K4079">
        <v>1.1099030000000001</v>
      </c>
      <c r="L4079">
        <v>77.326689999999999</v>
      </c>
      <c r="M4079">
        <v>1.3171189999999999E-2</v>
      </c>
      <c r="N4079">
        <v>-9.749331E-3</v>
      </c>
      <c r="O4079">
        <v>-0.99986600000000003</v>
      </c>
      <c r="P4079">
        <v>8.4819549999999994E-2</v>
      </c>
      <c r="Q4079">
        <v>0.16435900000000001</v>
      </c>
      <c r="R4079">
        <v>-0.9827475</v>
      </c>
      <c r="S4079">
        <v>7.7758789999999994E-2</v>
      </c>
      <c r="T4079">
        <v>-8.5269570000000003E-2</v>
      </c>
      <c r="U4079">
        <v>-3.0599980000000002</v>
      </c>
      <c r="V4079">
        <v>-7.1856779999999995E-2</v>
      </c>
      <c r="W4079">
        <v>0.17394709999999999</v>
      </c>
      <c r="X4079">
        <v>0.98212980000000005</v>
      </c>
      <c r="Y4079">
        <v>-1.222702E-2</v>
      </c>
      <c r="Z4079">
        <v>1.8100689999999999E-2</v>
      </c>
      <c r="AA4079">
        <v>0.99976140000000002</v>
      </c>
      <c r="AB4079">
        <v>27</v>
      </c>
      <c r="AC4079">
        <v>1.0087000000000299</v>
      </c>
      <c r="AD4079">
        <v>-1.1099043837589999</v>
      </c>
      <c r="AE4079">
        <v>-39.563510000000001</v>
      </c>
      <c r="AF4079">
        <v>-0.48710625221283399</v>
      </c>
      <c r="AG4079">
        <v>-1.1099043837589999</v>
      </c>
      <c r="AH4079">
        <v>39.542264159058597</v>
      </c>
      <c r="AI4079">
        <v>91.607680406533305</v>
      </c>
      <c r="AJ4079">
        <v>90.705769419771002</v>
      </c>
      <c r="AK4079">
        <v>39.5608368853188</v>
      </c>
      <c r="AL4079">
        <v>79.982608003261106</v>
      </c>
      <c r="AM4079">
        <v>94.184546135182202</v>
      </c>
      <c r="AN4079">
        <v>0.99999996723920803</v>
      </c>
    </row>
    <row r="4080" spans="1:40" x14ac:dyDescent="0.25">
      <c r="A4080" t="str">
        <f>"20190304155455495"</f>
        <v>20190304155455495</v>
      </c>
      <c r="B4080" t="str">
        <f>"1551686095491388"</f>
        <v>1551686095491388</v>
      </c>
      <c r="C4080" t="s">
        <v>40</v>
      </c>
      <c r="D4080">
        <v>4.3791469999999997</v>
      </c>
      <c r="E4080">
        <v>0.5208853</v>
      </c>
      <c r="F4080" t="s">
        <v>74</v>
      </c>
      <c r="G4080">
        <v>-421.41840000000002</v>
      </c>
      <c r="H4080" s="1">
        <v>-1.9190160000000002E-6</v>
      </c>
      <c r="I4080">
        <v>36.914700000000003</v>
      </c>
      <c r="J4080">
        <v>-422.45260000000002</v>
      </c>
      <c r="K4080">
        <v>1.109901</v>
      </c>
      <c r="L4080">
        <v>77.058009999999996</v>
      </c>
      <c r="M4080">
        <v>1.315676E-2</v>
      </c>
      <c r="N4080">
        <v>-9.7279029999999996E-3</v>
      </c>
      <c r="O4080">
        <v>-0.99986620000000004</v>
      </c>
      <c r="P4080">
        <v>8.4754399999999994E-2</v>
      </c>
      <c r="Q4080">
        <v>0.16494589999999901</v>
      </c>
      <c r="R4080">
        <v>-0.98265469999999999</v>
      </c>
      <c r="S4080">
        <v>7.8582760000000001E-2</v>
      </c>
      <c r="T4080">
        <v>-8.4041240000000003E-2</v>
      </c>
      <c r="U4080">
        <v>-3.0599669999999999</v>
      </c>
      <c r="V4080">
        <v>-7.1806419999999996E-2</v>
      </c>
      <c r="W4080">
        <v>0.174512</v>
      </c>
      <c r="X4080">
        <v>0.9820333</v>
      </c>
      <c r="Y4080">
        <v>-1.251089E-2</v>
      </c>
      <c r="Z4080">
        <v>1.772135E-2</v>
      </c>
      <c r="AA4080">
        <v>0.99976469999999995</v>
      </c>
      <c r="AB4080">
        <v>27</v>
      </c>
      <c r="AC4080">
        <v>1.03419999999999</v>
      </c>
      <c r="AD4080">
        <v>-1.1099029190159999</v>
      </c>
      <c r="AE4080">
        <v>-40.1433099999999</v>
      </c>
      <c r="AF4080">
        <v>-0.50554342840066502</v>
      </c>
      <c r="AG4080">
        <v>-1.1099029190159999</v>
      </c>
      <c r="AH4080">
        <v>40.122791336332199</v>
      </c>
      <c r="AI4080">
        <v>91.584423564000403</v>
      </c>
      <c r="AJ4080">
        <v>90.7218832777438</v>
      </c>
      <c r="AK4080">
        <v>40.141323387084398</v>
      </c>
      <c r="AL4080">
        <v>79.949739229675799</v>
      </c>
      <c r="AM4080">
        <v>94.182033302193005</v>
      </c>
      <c r="AN4080">
        <v>1.0000000012030501</v>
      </c>
    </row>
    <row r="4081" spans="1:40" x14ac:dyDescent="0.25">
      <c r="A4081" t="str">
        <f>"20190304155455518"</f>
        <v>20190304155455518</v>
      </c>
      <c r="B4081" t="str">
        <f>"1551686095511884"</f>
        <v>1551686095511884</v>
      </c>
      <c r="C4081" t="s">
        <v>40</v>
      </c>
      <c r="D4081">
        <v>4.2950530000000002</v>
      </c>
      <c r="E4081">
        <v>0.55734499999999998</v>
      </c>
      <c r="F4081" t="s">
        <v>74</v>
      </c>
      <c r="G4081">
        <v>-421.39449999999999</v>
      </c>
      <c r="H4081" s="1">
        <v>-2.6308989999999998E-6</v>
      </c>
      <c r="I4081">
        <v>35.789499999999997</v>
      </c>
      <c r="J4081">
        <v>-422.44889999999998</v>
      </c>
      <c r="K4081">
        <v>1.109904</v>
      </c>
      <c r="L4081">
        <v>76.771999999999906</v>
      </c>
      <c r="M4081">
        <v>1.31418E-2</v>
      </c>
      <c r="N4081">
        <v>-9.7078960000000006E-3</v>
      </c>
      <c r="O4081">
        <v>-0.9998667</v>
      </c>
      <c r="P4081">
        <v>8.4905359999999999E-2</v>
      </c>
      <c r="Q4081">
        <v>0.1652517</v>
      </c>
      <c r="R4081">
        <v>-0.98259030000000003</v>
      </c>
      <c r="S4081">
        <v>7.846069E-2</v>
      </c>
      <c r="T4081">
        <v>-8.2297679999999998E-2</v>
      </c>
      <c r="U4081">
        <v>-3.0599980000000002</v>
      </c>
      <c r="V4081">
        <v>-7.1973170000000003E-2</v>
      </c>
      <c r="W4081">
        <v>0.17479739999999999</v>
      </c>
      <c r="X4081">
        <v>0.98197029999999996</v>
      </c>
      <c r="Y4081">
        <v>-1.248604E-2</v>
      </c>
      <c r="Z4081">
        <v>1.7172010000000001E-2</v>
      </c>
      <c r="AA4081">
        <v>0.99977459999999996</v>
      </c>
      <c r="AB4081">
        <v>27</v>
      </c>
      <c r="AC4081">
        <v>1.05439999999998</v>
      </c>
      <c r="AD4081">
        <v>-1.109906630899</v>
      </c>
      <c r="AE4081">
        <v>-40.982500000000002</v>
      </c>
      <c r="AF4081">
        <v>-0.51532211853589904</v>
      </c>
      <c r="AG4081">
        <v>-1.109906630899</v>
      </c>
      <c r="AH4081">
        <v>40.962793233090501</v>
      </c>
      <c r="AI4081">
        <v>91.551954272426698</v>
      </c>
      <c r="AJ4081">
        <v>90.720757123474996</v>
      </c>
      <c r="AK4081">
        <v>40.981067324706103</v>
      </c>
      <c r="AL4081">
        <v>79.933131427128103</v>
      </c>
      <c r="AM4081">
        <v>94.191978277923994</v>
      </c>
      <c r="AN4081">
        <v>0.99999996916434897</v>
      </c>
    </row>
    <row r="4082" spans="1:40" x14ac:dyDescent="0.25">
      <c r="A4082" t="str">
        <f>"20190304155455541"</f>
        <v>20190304155455541</v>
      </c>
      <c r="B4082" t="str">
        <f>"1551686095531404"</f>
        <v>1551686095531404</v>
      </c>
      <c r="C4082" t="s">
        <v>40</v>
      </c>
      <c r="D4082">
        <v>4.3665799999999999</v>
      </c>
      <c r="E4082">
        <v>0.56368409999999902</v>
      </c>
      <c r="F4082" t="s">
        <v>84</v>
      </c>
      <c r="G4082">
        <v>-427.6508</v>
      </c>
      <c r="H4082">
        <v>0.44803290000000001</v>
      </c>
      <c r="I4082">
        <v>0.59999080000000005</v>
      </c>
      <c r="J4082">
        <v>-422.4452</v>
      </c>
      <c r="K4082">
        <v>1.109899</v>
      </c>
      <c r="L4082">
        <v>76.491299999999995</v>
      </c>
      <c r="M4082">
        <v>1.3126799999999999E-2</v>
      </c>
      <c r="N4082">
        <v>-9.6904780000000006E-3</v>
      </c>
      <c r="O4082">
        <v>-0.99986699999999995</v>
      </c>
      <c r="P4082">
        <v>8.4742300000000007E-2</v>
      </c>
      <c r="Q4082">
        <v>0.1652429</v>
      </c>
      <c r="R4082">
        <v>-0.98260579999999997</v>
      </c>
      <c r="S4082">
        <v>-0.2100525</v>
      </c>
      <c r="T4082">
        <v>-2.6726960000000001E-2</v>
      </c>
      <c r="U4082">
        <v>-3.0757750000000001</v>
      </c>
      <c r="V4082">
        <v>-7.1824600000000002E-2</v>
      </c>
      <c r="W4082">
        <v>0.1747716</v>
      </c>
      <c r="X4082">
        <v>0.98198580000000002</v>
      </c>
      <c r="Y4082">
        <v>8.1217639999999994E-2</v>
      </c>
      <c r="Z4082">
        <v>-1.0312469999999999E-3</v>
      </c>
      <c r="AA4082">
        <v>0.99669589999999997</v>
      </c>
      <c r="AB4082">
        <v>27</v>
      </c>
      <c r="AC4082">
        <v>-5.2055999999999996</v>
      </c>
      <c r="AD4082">
        <v>-0.66186609999999901</v>
      </c>
      <c r="AE4082">
        <v>-75.891309199999995</v>
      </c>
      <c r="AF4082">
        <v>6.2009387062278298</v>
      </c>
      <c r="AG4082">
        <v>-0.66186609999999901</v>
      </c>
      <c r="AH4082">
        <v>75.810694553096198</v>
      </c>
      <c r="AI4082">
        <v>90.498543851226501</v>
      </c>
      <c r="AJ4082">
        <v>85.323899320523395</v>
      </c>
      <c r="AK4082">
        <v>76.066754342456093</v>
      </c>
      <c r="AL4082">
        <v>79.934633065865199</v>
      </c>
      <c r="AM4082">
        <v>94.183289977731903</v>
      </c>
      <c r="AN4082">
        <v>0.99999999836667997</v>
      </c>
    </row>
    <row r="4083" spans="1:40" x14ac:dyDescent="0.25">
      <c r="A4083" t="str">
        <f>"20190304155455565"</f>
        <v>20190304155455565</v>
      </c>
      <c r="B4083" t="str">
        <f>"1551686095561660"</f>
        <v>1551686095561660</v>
      </c>
      <c r="C4083" t="s">
        <v>40</v>
      </c>
      <c r="D4083">
        <v>4.4257039999999996</v>
      </c>
      <c r="E4083">
        <v>0.56854720000000003</v>
      </c>
      <c r="F4083" t="s">
        <v>84</v>
      </c>
      <c r="G4083">
        <v>-429.05509999999998</v>
      </c>
      <c r="H4083">
        <v>0.4742982</v>
      </c>
      <c r="I4083">
        <v>-1.3045100000000001</v>
      </c>
      <c r="J4083">
        <v>-422.44130000000001</v>
      </c>
      <c r="K4083">
        <v>1.1099019999999999</v>
      </c>
      <c r="L4083">
        <v>76.199709999999996</v>
      </c>
      <c r="M4083">
        <v>1.3111009999999999E-2</v>
      </c>
      <c r="N4083">
        <v>-9.6748800000000003E-3</v>
      </c>
      <c r="O4083">
        <v>-0.99986719999999896</v>
      </c>
      <c r="P4083">
        <v>8.4555249999999998E-2</v>
      </c>
      <c r="Q4083">
        <v>0.16522800000000001</v>
      </c>
      <c r="R4083">
        <v>-0.98262439999999995</v>
      </c>
      <c r="S4083">
        <v>-0.26168819999999998</v>
      </c>
      <c r="T4083">
        <v>-2.5164369999999998E-2</v>
      </c>
      <c r="U4083">
        <v>-3.0799259999999999</v>
      </c>
      <c r="V4083">
        <v>-7.1653140000000004E-2</v>
      </c>
      <c r="W4083">
        <v>0.17474200000000001</v>
      </c>
      <c r="X4083">
        <v>0.98200359999999998</v>
      </c>
      <c r="Y4083">
        <v>9.7709530000000003E-2</v>
      </c>
      <c r="Z4083">
        <v>-1.545402E-3</v>
      </c>
      <c r="AA4083">
        <v>0.99521380000000004</v>
      </c>
      <c r="AB4083">
        <v>27</v>
      </c>
      <c r="AC4083">
        <v>-6.6137999999999604</v>
      </c>
      <c r="AD4083">
        <v>-0.63560379999999905</v>
      </c>
      <c r="AE4083">
        <v>-77.504219999999904</v>
      </c>
      <c r="AF4083">
        <v>7.6289283048791301</v>
      </c>
      <c r="AG4083">
        <v>-0.63560379999999905</v>
      </c>
      <c r="AH4083">
        <v>77.4056717411639</v>
      </c>
      <c r="AI4083">
        <v>90.468195847635897</v>
      </c>
      <c r="AJ4083">
        <v>84.371235558255805</v>
      </c>
      <c r="AK4083">
        <v>77.783305130165203</v>
      </c>
      <c r="AL4083">
        <v>79.936355591457101</v>
      </c>
      <c r="AM4083">
        <v>94.173263555976902</v>
      </c>
      <c r="AN4083">
        <v>1.0000000047244</v>
      </c>
    </row>
    <row r="4084" spans="1:40" x14ac:dyDescent="0.25">
      <c r="A4084" t="str">
        <f>"20190304155455587"</f>
        <v>20190304155455587</v>
      </c>
      <c r="B4084" t="str">
        <f>"1551686095581180"</f>
        <v>1551686095581180</v>
      </c>
      <c r="C4084" t="s">
        <v>40</v>
      </c>
      <c r="D4084">
        <v>4.4209620000000003</v>
      </c>
      <c r="E4084">
        <v>0.56992540000000003</v>
      </c>
      <c r="F4084" t="s">
        <v>84</v>
      </c>
      <c r="G4084">
        <v>-430.07929999999999</v>
      </c>
      <c r="H4084">
        <v>0.41123320000000002</v>
      </c>
      <c r="I4084">
        <v>-2.1427710000000002</v>
      </c>
      <c r="J4084">
        <v>-422.43790000000001</v>
      </c>
      <c r="K4084">
        <v>1.1099049999999999</v>
      </c>
      <c r="L4084">
        <v>75.934629999999999</v>
      </c>
      <c r="M4084">
        <v>1.309653E-2</v>
      </c>
      <c r="N4084">
        <v>-9.6627359999999999E-3</v>
      </c>
      <c r="O4084">
        <v>-0.99986770000000003</v>
      </c>
      <c r="P4084">
        <v>8.4498599999999993E-2</v>
      </c>
      <c r="Q4084">
        <v>0.1657708</v>
      </c>
      <c r="R4084">
        <v>-0.98253800000000002</v>
      </c>
      <c r="S4084">
        <v>-0.30062870000000003</v>
      </c>
      <c r="T4084">
        <v>-2.7500630000000002E-2</v>
      </c>
      <c r="U4084">
        <v>-3.0835569999999999</v>
      </c>
      <c r="V4084">
        <v>-7.1611649999999999E-2</v>
      </c>
      <c r="W4084">
        <v>0.1752716</v>
      </c>
      <c r="X4084">
        <v>0.98191229999999996</v>
      </c>
      <c r="Y4084">
        <v>0.1100512</v>
      </c>
      <c r="Z4084">
        <v>-8.0005750000000002E-4</v>
      </c>
      <c r="AA4084">
        <v>0.99392559999999996</v>
      </c>
      <c r="AB4084">
        <v>27</v>
      </c>
      <c r="AC4084">
        <v>-7.6413999999999698</v>
      </c>
      <c r="AD4084">
        <v>-0.69867179999999895</v>
      </c>
      <c r="AE4084">
        <v>-78.077400999999995</v>
      </c>
      <c r="AF4084">
        <v>8.6626481179247694</v>
      </c>
      <c r="AG4084">
        <v>-0.69867179999999895</v>
      </c>
      <c r="AH4084">
        <v>77.964439971248396</v>
      </c>
      <c r="AI4084">
        <v>90.510297480711301</v>
      </c>
      <c r="AJ4084">
        <v>83.659857207055694</v>
      </c>
      <c r="AK4084">
        <v>78.447329557668795</v>
      </c>
      <c r="AL4084">
        <v>79.905536716239197</v>
      </c>
      <c r="AM4084">
        <v>94.171242046689997</v>
      </c>
      <c r="AN4084">
        <v>1.0000000635367801</v>
      </c>
    </row>
    <row r="4085" spans="1:40" x14ac:dyDescent="0.25">
      <c r="A4085" t="str">
        <f>"20190304155455610"</f>
        <v>20190304155455610</v>
      </c>
      <c r="B4085" t="str">
        <f>"1551686095601676"</f>
        <v>1551686095601676</v>
      </c>
      <c r="C4085" t="s">
        <v>40</v>
      </c>
      <c r="D4085">
        <v>4.4340419999999998</v>
      </c>
      <c r="E4085">
        <v>0.57117050000000003</v>
      </c>
      <c r="F4085" t="s">
        <v>84</v>
      </c>
      <c r="G4085">
        <v>-430.37970000000001</v>
      </c>
      <c r="H4085">
        <v>0.44616679999999997</v>
      </c>
      <c r="I4085">
        <v>-2.3886699999999998</v>
      </c>
      <c r="J4085">
        <v>-422.4341</v>
      </c>
      <c r="K4085">
        <v>1.1099079999999999</v>
      </c>
      <c r="L4085">
        <v>75.649050000000003</v>
      </c>
      <c r="M4085">
        <v>1.308105E-2</v>
      </c>
      <c r="N4085">
        <v>-9.6554780000000003E-3</v>
      </c>
      <c r="O4085">
        <v>-0.99986790000000003</v>
      </c>
      <c r="P4085">
        <v>8.430124E-2</v>
      </c>
      <c r="Q4085">
        <v>0.16626170000000001</v>
      </c>
      <c r="R4085">
        <v>-0.98247180000000001</v>
      </c>
      <c r="S4085">
        <v>-0.31277470000000002</v>
      </c>
      <c r="T4085">
        <v>-2.6141169999999998E-2</v>
      </c>
      <c r="U4085">
        <v>-3.084625</v>
      </c>
      <c r="V4085">
        <v>-7.1430270000000004E-2</v>
      </c>
      <c r="W4085">
        <v>0.1757551</v>
      </c>
      <c r="X4085">
        <v>0.98183900000000002</v>
      </c>
      <c r="Y4085">
        <v>0.11387700000000001</v>
      </c>
      <c r="Z4085">
        <v>-1.2378020000000001E-3</v>
      </c>
      <c r="AA4085">
        <v>0.99349410000000005</v>
      </c>
      <c r="AB4085">
        <v>27</v>
      </c>
      <c r="AC4085">
        <v>-7.9456000000000104</v>
      </c>
      <c r="AD4085">
        <v>-0.66374119999999903</v>
      </c>
      <c r="AE4085">
        <v>-78.037719999999993</v>
      </c>
      <c r="AF4085">
        <v>8.9651410312840092</v>
      </c>
      <c r="AG4085">
        <v>-0.66374119999999903</v>
      </c>
      <c r="AH4085">
        <v>77.921521663191697</v>
      </c>
      <c r="AI4085">
        <v>90.484839542781003</v>
      </c>
      <c r="AJ4085">
        <v>83.436780307308894</v>
      </c>
      <c r="AK4085">
        <v>78.438369720428497</v>
      </c>
      <c r="AL4085">
        <v>79.877396551628095</v>
      </c>
      <c r="AM4085">
        <v>94.161023688263796</v>
      </c>
      <c r="AN4085">
        <v>0.99999998028464099</v>
      </c>
    </row>
    <row r="4086" spans="1:40" x14ac:dyDescent="0.25">
      <c r="A4086" t="str">
        <f>"20190304155455631"</f>
        <v>20190304155455631</v>
      </c>
      <c r="B4086" t="str">
        <f>"1551686095621196"</f>
        <v>1551686095621196</v>
      </c>
      <c r="C4086" t="s">
        <v>40</v>
      </c>
      <c r="D4086">
        <v>4.384201</v>
      </c>
      <c r="E4086">
        <v>0.57190659999999904</v>
      </c>
      <c r="F4086" t="s">
        <v>84</v>
      </c>
      <c r="G4086">
        <v>-430.62689999999998</v>
      </c>
      <c r="H4086">
        <v>0.51819209999999905</v>
      </c>
      <c r="I4086">
        <v>-2.590973</v>
      </c>
      <c r="J4086">
        <v>-422.43060000000003</v>
      </c>
      <c r="K4086">
        <v>1.1099139999999901</v>
      </c>
      <c r="L4086">
        <v>75.37567</v>
      </c>
      <c r="M4086">
        <v>1.306644E-2</v>
      </c>
      <c r="N4086">
        <v>-9.6608370000000002E-3</v>
      </c>
      <c r="O4086">
        <v>-0.99986819999999998</v>
      </c>
      <c r="P4086">
        <v>8.4065940000000006E-2</v>
      </c>
      <c r="Q4086">
        <v>0.16603409999999999</v>
      </c>
      <c r="R4086">
        <v>-0.98253069999999998</v>
      </c>
      <c r="S4086">
        <v>-0.32305909999999999</v>
      </c>
      <c r="T4086">
        <v>-2.3333670000000001E-2</v>
      </c>
      <c r="U4086">
        <v>-3.085175</v>
      </c>
      <c r="V4086">
        <v>-7.1208399999999894E-2</v>
      </c>
      <c r="W4086">
        <v>0.1755331</v>
      </c>
      <c r="X4086">
        <v>0.98189490000000001</v>
      </c>
      <c r="Y4086">
        <v>0.11712119999999999</v>
      </c>
      <c r="Z4086">
        <v>-2.1521000000000001E-3</v>
      </c>
      <c r="AA4086">
        <v>0.99311530000000003</v>
      </c>
      <c r="AB4086">
        <v>27</v>
      </c>
      <c r="AC4086">
        <v>-8.1962999999999493</v>
      </c>
      <c r="AD4086">
        <v>-0.59172189999999902</v>
      </c>
      <c r="AE4086">
        <v>-77.966643000000005</v>
      </c>
      <c r="AF4086">
        <v>9.2138690702710999</v>
      </c>
      <c r="AG4086">
        <v>-0.59172189999999902</v>
      </c>
      <c r="AH4086">
        <v>77.848449961179099</v>
      </c>
      <c r="AI4086">
        <v>90.432475303209202</v>
      </c>
      <c r="AJ4086">
        <v>83.250074159272003</v>
      </c>
      <c r="AK4086">
        <v>78.394047474341093</v>
      </c>
      <c r="AL4086">
        <v>79.890317793557799</v>
      </c>
      <c r="AM4086">
        <v>94.147908960507493</v>
      </c>
      <c r="AN4086">
        <v>1.0000000500360799</v>
      </c>
    </row>
    <row r="4087" spans="1:40" x14ac:dyDescent="0.25">
      <c r="A4087" t="str">
        <f>"20190304155455653"</f>
        <v>20190304155455653</v>
      </c>
      <c r="B4087" t="str">
        <f>"1551686095651451"</f>
        <v>1551686095651451</v>
      </c>
      <c r="C4087" t="s">
        <v>40</v>
      </c>
      <c r="D4087">
        <v>4.4443989999999998</v>
      </c>
      <c r="E4087">
        <v>0.57260849999999996</v>
      </c>
      <c r="F4087" t="s">
        <v>84</v>
      </c>
      <c r="G4087">
        <v>-430.7944</v>
      </c>
      <c r="H4087">
        <v>0.57239130000000005</v>
      </c>
      <c r="I4087">
        <v>-2.7280899999999999</v>
      </c>
      <c r="J4087">
        <v>-422.4271</v>
      </c>
      <c r="K4087">
        <v>1.109912</v>
      </c>
      <c r="L4087">
        <v>75.104309999999998</v>
      </c>
      <c r="M4087">
        <v>1.3051780000000001E-2</v>
      </c>
      <c r="N4087">
        <v>-9.6756740000000004E-3</v>
      </c>
      <c r="O4087">
        <v>-0.99986790000000003</v>
      </c>
      <c r="P4087">
        <v>8.3990549999999997E-2</v>
      </c>
      <c r="Q4087">
        <v>0.16619010000000001</v>
      </c>
      <c r="R4087">
        <v>-0.98251029999999995</v>
      </c>
      <c r="S4087">
        <v>-0.33038329999999999</v>
      </c>
      <c r="T4087">
        <v>-2.123392E-2</v>
      </c>
      <c r="U4087">
        <v>-3.0852050000000002</v>
      </c>
      <c r="V4087">
        <v>-7.1147669999999996E-2</v>
      </c>
      <c r="W4087">
        <v>0.17570350000000001</v>
      </c>
      <c r="X4087">
        <v>0.98186879999999999</v>
      </c>
      <c r="Y4087">
        <v>0.11943670000000001</v>
      </c>
      <c r="Z4087">
        <v>-2.8452339999999999E-3</v>
      </c>
      <c r="AA4087">
        <v>0.99283770000000005</v>
      </c>
      <c r="AB4087">
        <v>28</v>
      </c>
      <c r="AC4087">
        <v>-8.3673000000000002</v>
      </c>
      <c r="AD4087">
        <v>-0.53752069999999996</v>
      </c>
      <c r="AE4087">
        <v>-77.832399999999893</v>
      </c>
      <c r="AF4087">
        <v>9.3820438870918395</v>
      </c>
      <c r="AG4087">
        <v>-0.53752069999999996</v>
      </c>
      <c r="AH4087">
        <v>77.712892337185195</v>
      </c>
      <c r="AI4087">
        <v>90.393437586364897</v>
      </c>
      <c r="AJ4087">
        <v>83.116167735843405</v>
      </c>
      <c r="AK4087">
        <v>78.279022166945694</v>
      </c>
      <c r="AL4087">
        <v>79.880400211842996</v>
      </c>
      <c r="AM4087">
        <v>94.144493534676798</v>
      </c>
      <c r="AN4087">
        <v>1.0000000256360499</v>
      </c>
    </row>
    <row r="4088" spans="1:40" x14ac:dyDescent="0.25">
      <c r="A4088" t="str">
        <f>"20190304155455673"</f>
        <v>20190304155455673</v>
      </c>
      <c r="B4088" t="str">
        <f>"1551686095671949"</f>
        <v>1551686095671949</v>
      </c>
      <c r="C4088" t="s">
        <v>40</v>
      </c>
      <c r="D4088">
        <v>4.4647560000000004</v>
      </c>
      <c r="E4088">
        <v>0.57323409999999997</v>
      </c>
      <c r="F4088" t="s">
        <v>84</v>
      </c>
      <c r="G4088">
        <v>-430.90780000000001</v>
      </c>
      <c r="H4088">
        <v>0.58793229999999996</v>
      </c>
      <c r="I4088">
        <v>-2.8208690000000001</v>
      </c>
      <c r="J4088">
        <v>-422.4239</v>
      </c>
      <c r="K4088">
        <v>1.1099209999999999</v>
      </c>
      <c r="L4088">
        <v>74.861999999999995</v>
      </c>
      <c r="M4088">
        <v>1.303867E-2</v>
      </c>
      <c r="N4088">
        <v>-9.6967619999999994E-3</v>
      </c>
      <c r="O4088">
        <v>-0.99986819999999998</v>
      </c>
      <c r="P4088">
        <v>8.3492449999999996E-2</v>
      </c>
      <c r="Q4088">
        <v>0.16657089999999999</v>
      </c>
      <c r="R4088">
        <v>-0.98248860000000005</v>
      </c>
      <c r="S4088">
        <v>-0.33581539999999999</v>
      </c>
      <c r="T4088">
        <v>-2.0670060000000001E-2</v>
      </c>
      <c r="U4088">
        <v>-3.0856319999999999</v>
      </c>
      <c r="V4088">
        <v>-7.0663089999999998E-2</v>
      </c>
      <c r="W4088">
        <v>0.17610479999999901</v>
      </c>
      <c r="X4088">
        <v>0.98183180000000003</v>
      </c>
      <c r="Y4088">
        <v>0.1211366</v>
      </c>
      <c r="Z4088">
        <v>-3.0502250000000002E-3</v>
      </c>
      <c r="AA4088">
        <v>0.99263109999999999</v>
      </c>
      <c r="AB4088">
        <v>28</v>
      </c>
      <c r="AC4088">
        <v>-8.4839000000000002</v>
      </c>
      <c r="AD4088">
        <v>-0.52198869999999897</v>
      </c>
      <c r="AE4088">
        <v>-77.682868999999997</v>
      </c>
      <c r="AF4088">
        <v>9.4956837380190606</v>
      </c>
      <c r="AG4088">
        <v>-0.52198869999999897</v>
      </c>
      <c r="AH4088">
        <v>77.562180073107697</v>
      </c>
      <c r="AI4088">
        <v>90.382733738868794</v>
      </c>
      <c r="AJ4088">
        <v>83.020198819910902</v>
      </c>
      <c r="AK4088">
        <v>78.143024381889504</v>
      </c>
      <c r="AL4088">
        <v>79.857042218386297</v>
      </c>
      <c r="AM4088">
        <v>94.116517738382498</v>
      </c>
      <c r="AN4088">
        <v>0.999999928181311</v>
      </c>
    </row>
    <row r="4089" spans="1:40" x14ac:dyDescent="0.25">
      <c r="A4089" t="str">
        <f>"20190304155455697"</f>
        <v>20190304155455697</v>
      </c>
      <c r="B4089" t="str">
        <f>"1551686095691468"</f>
        <v>1551686095691468</v>
      </c>
      <c r="C4089" t="s">
        <v>40</v>
      </c>
      <c r="D4089">
        <v>4.4928819999999998</v>
      </c>
      <c r="E4089">
        <v>0.57345089999999999</v>
      </c>
      <c r="F4089" t="s">
        <v>84</v>
      </c>
      <c r="G4089">
        <v>-431.0795</v>
      </c>
      <c r="H4089">
        <v>0.64901660000000005</v>
      </c>
      <c r="I4089">
        <v>-2.9613909999999999</v>
      </c>
      <c r="J4089">
        <v>-422.42020000000002</v>
      </c>
      <c r="K4089">
        <v>1.109928</v>
      </c>
      <c r="L4089">
        <v>74.576169999999905</v>
      </c>
      <c r="M4089">
        <v>1.3023470000000001E-2</v>
      </c>
      <c r="N4089">
        <v>-9.7320210000000004E-3</v>
      </c>
      <c r="O4089">
        <v>-0.99986819999999998</v>
      </c>
      <c r="P4089">
        <v>8.3016839999999995E-2</v>
      </c>
      <c r="Q4089">
        <v>0.16693520000000001</v>
      </c>
      <c r="R4089">
        <v>-0.98246710000000004</v>
      </c>
      <c r="S4089">
        <v>-0.34320070000000003</v>
      </c>
      <c r="T4089">
        <v>-1.8276210000000001E-2</v>
      </c>
      <c r="U4089">
        <v>-3.0857540000000001</v>
      </c>
      <c r="V4089">
        <v>-7.0202459999999994E-2</v>
      </c>
      <c r="W4089">
        <v>0.1765033</v>
      </c>
      <c r="X4089">
        <v>0.98179329999999998</v>
      </c>
      <c r="Y4089">
        <v>0.12346409999999999</v>
      </c>
      <c r="Z4089">
        <v>-3.858032E-3</v>
      </c>
      <c r="AA4089">
        <v>0.99234149999999999</v>
      </c>
      <c r="AB4089">
        <v>28</v>
      </c>
      <c r="AC4089">
        <v>-8.6592999999999698</v>
      </c>
      <c r="AD4089">
        <v>-0.46091140000000003</v>
      </c>
      <c r="AE4089">
        <v>-77.537560999999997</v>
      </c>
      <c r="AF4089">
        <v>9.6680836764722393</v>
      </c>
      <c r="AG4089">
        <v>-0.46091140000000003</v>
      </c>
      <c r="AH4089">
        <v>77.415503253208996</v>
      </c>
      <c r="AI4089">
        <v>90.338490518232405</v>
      </c>
      <c r="AJ4089">
        <v>82.881436005715898</v>
      </c>
      <c r="AK4089">
        <v>78.018231364480002</v>
      </c>
      <c r="AL4089">
        <v>79.833846648226896</v>
      </c>
      <c r="AM4089">
        <v>94.089934665969096</v>
      </c>
      <c r="AN4089">
        <v>0.99999994211291399</v>
      </c>
    </row>
    <row r="4090" spans="1:40" x14ac:dyDescent="0.25">
      <c r="A4090" t="str">
        <f>"20190304155455719"</f>
        <v>20190304155455719</v>
      </c>
      <c r="B4090" t="str">
        <f>"1551686095711964"</f>
        <v>1551686095711964</v>
      </c>
      <c r="C4090" t="s">
        <v>40</v>
      </c>
      <c r="D4090">
        <v>4.5028259999999998</v>
      </c>
      <c r="E4090">
        <v>0.57358469999999995</v>
      </c>
      <c r="F4090" t="s">
        <v>84</v>
      </c>
      <c r="G4090">
        <v>-431.13130000000001</v>
      </c>
      <c r="H4090">
        <v>0.69746609999999998</v>
      </c>
      <c r="I4090">
        <v>-3.0037400000000001</v>
      </c>
      <c r="J4090">
        <v>-422.41660000000002</v>
      </c>
      <c r="K4090">
        <v>1.1099429999999999</v>
      </c>
      <c r="L4090">
        <v>74.298649999999995</v>
      </c>
      <c r="M4090">
        <v>1.3008479999999999E-2</v>
      </c>
      <c r="N4090">
        <v>-9.7731640000000009E-3</v>
      </c>
      <c r="O4090">
        <v>-0.99986790000000003</v>
      </c>
      <c r="P4090">
        <v>8.2123570000000007E-2</v>
      </c>
      <c r="Q4090">
        <v>0.16695699999999999</v>
      </c>
      <c r="R4090">
        <v>-0.98253849999999998</v>
      </c>
      <c r="S4090">
        <v>-0.346466099999999</v>
      </c>
      <c r="T4090">
        <v>-1.6405940000000001E-2</v>
      </c>
      <c r="U4090">
        <v>-3.0856020000000002</v>
      </c>
      <c r="V4090">
        <v>-6.9323389999999999E-2</v>
      </c>
      <c r="W4090">
        <v>0.17656620000000001</v>
      </c>
      <c r="X4090">
        <v>0.98184450000000001</v>
      </c>
      <c r="Y4090">
        <v>0.1244917</v>
      </c>
      <c r="Z4090">
        <v>-4.5014779999999997E-3</v>
      </c>
      <c r="AA4090">
        <v>0.99221040000000005</v>
      </c>
      <c r="AB4090">
        <v>28</v>
      </c>
      <c r="AC4090">
        <v>-8.7146999999999899</v>
      </c>
      <c r="AD4090">
        <v>-0.41247689999999998</v>
      </c>
      <c r="AE4090">
        <v>-77.302389999999903</v>
      </c>
      <c r="AF4090">
        <v>9.7193236366736695</v>
      </c>
      <c r="AG4090">
        <v>-0.41247689999999998</v>
      </c>
      <c r="AH4090">
        <v>77.180308264550206</v>
      </c>
      <c r="AI4090">
        <v>90.303805127485603</v>
      </c>
      <c r="AJ4090">
        <v>82.822518945675995</v>
      </c>
      <c r="AK4090">
        <v>77.7909723101494</v>
      </c>
      <c r="AL4090">
        <v>79.830185718541699</v>
      </c>
      <c r="AM4090">
        <v>94.038681447895399</v>
      </c>
      <c r="AN4090">
        <v>0.999999988781891</v>
      </c>
    </row>
    <row r="4091" spans="1:40" x14ac:dyDescent="0.25">
      <c r="A4091" t="str">
        <f>"20190304155455745"</f>
        <v>20190304155455745</v>
      </c>
      <c r="B4091" t="str">
        <f>"1551686095741243"</f>
        <v>1551686095741243</v>
      </c>
      <c r="C4091" t="s">
        <v>40</v>
      </c>
      <c r="D4091">
        <v>4.4887420000000002</v>
      </c>
      <c r="E4091">
        <v>0.57369829999999999</v>
      </c>
      <c r="F4091" t="s">
        <v>84</v>
      </c>
      <c r="G4091">
        <v>-431.20179999999999</v>
      </c>
      <c r="H4091">
        <v>0.71553540000000004</v>
      </c>
      <c r="I4091">
        <v>-3.061518</v>
      </c>
      <c r="J4091">
        <v>-422.41269999999997</v>
      </c>
      <c r="K4091">
        <v>1.109952</v>
      </c>
      <c r="L4091">
        <v>73.992249999999999</v>
      </c>
      <c r="M4091">
        <v>1.2991829999999999E-2</v>
      </c>
      <c r="N4091">
        <v>-9.8248599999999995E-3</v>
      </c>
      <c r="O4091">
        <v>-0.99986739999999996</v>
      </c>
      <c r="P4091">
        <v>8.0722360000000007E-2</v>
      </c>
      <c r="Q4091">
        <v>0.16807269999999999</v>
      </c>
      <c r="R4091">
        <v>-0.98246429999999996</v>
      </c>
      <c r="S4091">
        <v>-0.35037230000000003</v>
      </c>
      <c r="T4091">
        <v>-1.573074E-2</v>
      </c>
      <c r="U4091">
        <v>-3.0852659999999998</v>
      </c>
      <c r="V4091">
        <v>-6.7938949999999998E-2</v>
      </c>
      <c r="W4091">
        <v>0.17773149999999999</v>
      </c>
      <c r="X4091">
        <v>0.98173109999999997</v>
      </c>
      <c r="Y4091">
        <v>0.12572729999999999</v>
      </c>
      <c r="Z4091">
        <v>-4.7707460000000002E-3</v>
      </c>
      <c r="AA4091">
        <v>0.99205339999999997</v>
      </c>
      <c r="AB4091">
        <v>28</v>
      </c>
      <c r="AC4091">
        <v>-8.7891000000000101</v>
      </c>
      <c r="AD4091">
        <v>-0.39441659999999901</v>
      </c>
      <c r="AE4091">
        <v>-77.053768000000005</v>
      </c>
      <c r="AF4091">
        <v>9.7892226626024499</v>
      </c>
      <c r="AG4091">
        <v>-0.39441659999999901</v>
      </c>
      <c r="AH4091">
        <v>76.931082435070394</v>
      </c>
      <c r="AI4091">
        <v>90.291396550229607</v>
      </c>
      <c r="AJ4091">
        <v>82.748275589321693</v>
      </c>
      <c r="AK4091">
        <v>77.552407373491405</v>
      </c>
      <c r="AL4091">
        <v>79.7623468323537</v>
      </c>
      <c r="AM4091">
        <v>93.958740710775899</v>
      </c>
      <c r="AN4091">
        <v>1.0000000698632701</v>
      </c>
    </row>
    <row r="4092" spans="1:40" x14ac:dyDescent="0.25">
      <c r="A4092" t="str">
        <f>"20190304155455766"</f>
        <v>20190304155455766</v>
      </c>
      <c r="B4092" t="str">
        <f>"1551686095761740"</f>
        <v>1551686095761740</v>
      </c>
      <c r="C4092" t="s">
        <v>40</v>
      </c>
      <c r="D4092">
        <v>4.5537650000000003</v>
      </c>
      <c r="E4092">
        <v>0.57356049999999903</v>
      </c>
      <c r="F4092" t="s">
        <v>84</v>
      </c>
      <c r="G4092">
        <v>-431.31880000000001</v>
      </c>
      <c r="H4092">
        <v>0.81792710000000002</v>
      </c>
      <c r="I4092">
        <v>-3.1571750000000001</v>
      </c>
      <c r="J4092">
        <v>-422.40910000000002</v>
      </c>
      <c r="K4092">
        <v>1.10996299999999</v>
      </c>
      <c r="L4092">
        <v>73.719239999999999</v>
      </c>
      <c r="M4092">
        <v>1.2976939999999999E-2</v>
      </c>
      <c r="N4092">
        <v>-9.8783989999999995E-3</v>
      </c>
      <c r="O4092">
        <v>-0.99986719999999896</v>
      </c>
      <c r="P4092">
        <v>7.9457570000000005E-2</v>
      </c>
      <c r="Q4092">
        <v>0.168993899999999</v>
      </c>
      <c r="R4092">
        <v>-0.98240959999999999</v>
      </c>
      <c r="S4092">
        <v>-0.35610960000000003</v>
      </c>
      <c r="T4092">
        <v>-1.167762E-2</v>
      </c>
      <c r="U4092">
        <v>-3.0848080000000002</v>
      </c>
      <c r="V4092">
        <v>-6.6689689999999996E-2</v>
      </c>
      <c r="W4092">
        <v>0.1787041</v>
      </c>
      <c r="X4092">
        <v>0.98164010000000002</v>
      </c>
      <c r="Y4092">
        <v>0.12754979999999999</v>
      </c>
      <c r="Z4092">
        <v>-6.1288030000000004E-3</v>
      </c>
      <c r="AA4092">
        <v>0.99181319999999995</v>
      </c>
      <c r="AB4092">
        <v>28</v>
      </c>
      <c r="AC4092">
        <v>-8.9096999999999795</v>
      </c>
      <c r="AD4092">
        <v>-0.29203589999999902</v>
      </c>
      <c r="AE4092">
        <v>-76.876414999999994</v>
      </c>
      <c r="AF4092">
        <v>9.9064777356282594</v>
      </c>
      <c r="AG4092">
        <v>-0.29203589999999902</v>
      </c>
      <c r="AH4092">
        <v>76.753221886283697</v>
      </c>
      <c r="AI4092">
        <v>90.216208405260502</v>
      </c>
      <c r="AJ4092">
        <v>82.645538116419104</v>
      </c>
      <c r="AK4092">
        <v>77.390442924294504</v>
      </c>
      <c r="AL4092">
        <v>79.705713376933502</v>
      </c>
      <c r="AM4092">
        <v>93.886531747933006</v>
      </c>
      <c r="AN4092">
        <v>0.999999978018557</v>
      </c>
    </row>
    <row r="4093" spans="1:40" x14ac:dyDescent="0.25">
      <c r="A4093" t="str">
        <f>"20190304155455785"</f>
        <v>20190304155455785</v>
      </c>
      <c r="B4093" t="str">
        <f>"1551686095781261"</f>
        <v>1551686095781261</v>
      </c>
      <c r="C4093" t="s">
        <v>40</v>
      </c>
      <c r="D4093">
        <v>4.5422630000000002</v>
      </c>
      <c r="E4093">
        <v>0.57345900000000005</v>
      </c>
      <c r="F4093" t="s">
        <v>84</v>
      </c>
      <c r="G4093">
        <v>-431.35989999999998</v>
      </c>
      <c r="H4093">
        <v>0.85379430000000001</v>
      </c>
      <c r="I4093">
        <v>-3.1908189999999998</v>
      </c>
      <c r="J4093">
        <v>-422.40600000000001</v>
      </c>
      <c r="K4093">
        <v>1.109977</v>
      </c>
      <c r="L4093">
        <v>73.477909999999994</v>
      </c>
      <c r="M4093">
        <v>1.2963819999999999E-2</v>
      </c>
      <c r="N4093">
        <v>-9.9272920000000008E-3</v>
      </c>
      <c r="O4093">
        <v>-0.9998667</v>
      </c>
      <c r="P4093">
        <v>7.7848730000000005E-2</v>
      </c>
      <c r="Q4093">
        <v>0.1685015</v>
      </c>
      <c r="R4093">
        <v>-0.98262260000000001</v>
      </c>
      <c r="S4093">
        <v>-0.35897829999999997</v>
      </c>
      <c r="T4093">
        <v>-1.027489E-2</v>
      </c>
      <c r="U4093">
        <v>-3.0845340000000001</v>
      </c>
      <c r="V4093">
        <v>-6.5091270000000007E-2</v>
      </c>
      <c r="W4093">
        <v>0.1782617</v>
      </c>
      <c r="X4093">
        <v>0.98182789999999998</v>
      </c>
      <c r="Y4093">
        <v>0.12845670000000001</v>
      </c>
      <c r="Z4093">
        <v>-6.6291600000000003E-3</v>
      </c>
      <c r="AA4093">
        <v>0.99169300000000005</v>
      </c>
      <c r="AB4093">
        <v>28</v>
      </c>
      <c r="AC4093">
        <v>-8.9538999999999707</v>
      </c>
      <c r="AD4093">
        <v>-0.25618269999999899</v>
      </c>
      <c r="AE4093">
        <v>-76.668728999999999</v>
      </c>
      <c r="AF4093">
        <v>9.9470064974283403</v>
      </c>
      <c r="AG4093">
        <v>-0.25618269999999899</v>
      </c>
      <c r="AH4093">
        <v>76.545359992900103</v>
      </c>
      <c r="AI4093">
        <v>90.190158465420495</v>
      </c>
      <c r="AJ4093">
        <v>82.595951466625706</v>
      </c>
      <c r="AK4093">
        <v>77.1893820695459</v>
      </c>
      <c r="AL4093">
        <v>79.731475594459198</v>
      </c>
      <c r="AM4093">
        <v>93.792931089472106</v>
      </c>
      <c r="AN4093">
        <v>1.0000000661677499</v>
      </c>
    </row>
    <row r="4094" spans="1:40" x14ac:dyDescent="0.25">
      <c r="A4094" t="str">
        <f>"20190304155455808"</f>
        <v>20190304155455808</v>
      </c>
      <c r="B4094" t="str">
        <f>"1551686095801756"</f>
        <v>1551686095801756</v>
      </c>
      <c r="C4094" t="s">
        <v>40</v>
      </c>
      <c r="D4094">
        <v>4.5652249999999999</v>
      </c>
      <c r="E4094">
        <v>0.57356370000000001</v>
      </c>
      <c r="F4094" t="s">
        <v>84</v>
      </c>
      <c r="G4094">
        <v>-431.44130000000001</v>
      </c>
      <c r="H4094">
        <v>0.79798719999999901</v>
      </c>
      <c r="I4094">
        <v>-3.2574619999999999</v>
      </c>
      <c r="J4094">
        <v>-422.40230000000003</v>
      </c>
      <c r="K4094">
        <v>1.1099840000000001</v>
      </c>
      <c r="L4094">
        <v>73.193209999999993</v>
      </c>
      <c r="M4094">
        <v>1.2948680000000001E-2</v>
      </c>
      <c r="N4094">
        <v>-9.9834539999999992E-3</v>
      </c>
      <c r="O4094">
        <v>-0.99986649999999999</v>
      </c>
      <c r="P4094">
        <v>7.7025850000000007E-2</v>
      </c>
      <c r="Q4094">
        <v>0.1687727</v>
      </c>
      <c r="R4094">
        <v>-0.98264099999999999</v>
      </c>
      <c r="S4094">
        <v>-0.36312870000000003</v>
      </c>
      <c r="T4094">
        <v>-1.253986E-2</v>
      </c>
      <c r="U4094">
        <v>-3.0839840000000001</v>
      </c>
      <c r="V4094">
        <v>-6.4282580000000006E-2</v>
      </c>
      <c r="W4094">
        <v>0.17858779999999999</v>
      </c>
      <c r="X4094">
        <v>0.98182179999999997</v>
      </c>
      <c r="Y4094">
        <v>0.12977830000000001</v>
      </c>
      <c r="Z4094">
        <v>-5.9567090000000001E-3</v>
      </c>
      <c r="AA4094">
        <v>0.99152510000000005</v>
      </c>
      <c r="AB4094">
        <v>28</v>
      </c>
      <c r="AC4094">
        <v>-9.0389999999999802</v>
      </c>
      <c r="AD4094">
        <v>-0.31199680000000002</v>
      </c>
      <c r="AE4094">
        <v>-76.450671999999997</v>
      </c>
      <c r="AF4094">
        <v>10.0280618521753</v>
      </c>
      <c r="AG4094">
        <v>-0.31199680000000002</v>
      </c>
      <c r="AH4094">
        <v>76.325959322700697</v>
      </c>
      <c r="AI4094">
        <v>90.232210431702001</v>
      </c>
      <c r="AJ4094">
        <v>82.515083827067301</v>
      </c>
      <c r="AK4094">
        <v>76.982539793415697</v>
      </c>
      <c r="AL4094">
        <v>79.712485526968294</v>
      </c>
      <c r="AM4094">
        <v>93.745966158166496</v>
      </c>
      <c r="AN4094">
        <v>0.99999994967776695</v>
      </c>
    </row>
    <row r="4095" spans="1:40" x14ac:dyDescent="0.25">
      <c r="A4095" t="str">
        <f>"20190304155455831"</f>
        <v>20190304155455831</v>
      </c>
      <c r="B4095" t="str">
        <f>"1551686095821276"</f>
        <v>1551686095821276</v>
      </c>
      <c r="C4095" t="s">
        <v>40</v>
      </c>
      <c r="D4095">
        <v>4.5725660000000001</v>
      </c>
      <c r="E4095">
        <v>0.57378790000000002</v>
      </c>
      <c r="F4095" t="s">
        <v>84</v>
      </c>
      <c r="G4095">
        <v>-431.52080000000001</v>
      </c>
      <c r="H4095">
        <v>0.83089659999999999</v>
      </c>
      <c r="I4095">
        <v>-3.3225419999999999</v>
      </c>
      <c r="J4095">
        <v>-422.39870000000002</v>
      </c>
      <c r="K4095">
        <v>1.1099889999999999</v>
      </c>
      <c r="L4095">
        <v>72.908810000000003</v>
      </c>
      <c r="M4095">
        <v>1.29333E-2</v>
      </c>
      <c r="N4095">
        <v>-1.0045180000000001E-2</v>
      </c>
      <c r="O4095">
        <v>-0.99986600000000003</v>
      </c>
      <c r="P4095">
        <v>7.5913949999999994E-2</v>
      </c>
      <c r="Q4095">
        <v>0.16870379999999999</v>
      </c>
      <c r="R4095">
        <v>-0.98273929999999998</v>
      </c>
      <c r="S4095">
        <v>-0.36749270000000001</v>
      </c>
      <c r="T4095">
        <v>-1.124883E-2</v>
      </c>
      <c r="U4095">
        <v>-3.0837400000000001</v>
      </c>
      <c r="V4095">
        <v>-6.3185249999999998E-2</v>
      </c>
      <c r="W4095">
        <v>0.1785803</v>
      </c>
      <c r="X4095">
        <v>0.98189439999999995</v>
      </c>
      <c r="Y4095">
        <v>0.13115550000000001</v>
      </c>
      <c r="Z4095">
        <v>-6.4342649999999998E-3</v>
      </c>
      <c r="AA4095">
        <v>0.99134089999999997</v>
      </c>
      <c r="AB4095">
        <v>28</v>
      </c>
      <c r="AC4095">
        <v>-9.1220999999999801</v>
      </c>
      <c r="AD4095">
        <v>-0.27909239999999902</v>
      </c>
      <c r="AE4095">
        <v>-76.231352000000001</v>
      </c>
      <c r="AF4095">
        <v>10.1071759965763</v>
      </c>
      <c r="AG4095">
        <v>-0.27909239999999902</v>
      </c>
      <c r="AH4095">
        <v>76.105984964945804</v>
      </c>
      <c r="AI4095">
        <v>90.208282843192805</v>
      </c>
      <c r="AJ4095">
        <v>82.435159894666896</v>
      </c>
      <c r="AK4095">
        <v>76.774695353860295</v>
      </c>
      <c r="AL4095">
        <v>79.712922332420007</v>
      </c>
      <c r="AM4095">
        <v>93.6819269172871</v>
      </c>
      <c r="AN4095">
        <v>0.999999956058505</v>
      </c>
    </row>
    <row r="4096" spans="1:40" x14ac:dyDescent="0.25">
      <c r="A4096" t="str">
        <f>"20190304155455853"</f>
        <v>20190304155455853</v>
      </c>
      <c r="B4096" t="str">
        <f>"1551686095841773"</f>
        <v>1551686095841773</v>
      </c>
      <c r="C4096" t="s">
        <v>40</v>
      </c>
      <c r="D4096">
        <v>4.6831329999999998</v>
      </c>
      <c r="E4096">
        <v>0.6002904</v>
      </c>
      <c r="F4096" t="s">
        <v>84</v>
      </c>
      <c r="G4096">
        <v>-431.62639999999999</v>
      </c>
      <c r="H4096">
        <v>0.82126549999999998</v>
      </c>
      <c r="I4096">
        <v>-3.4089930000000002</v>
      </c>
      <c r="J4096">
        <v>-422.39510000000001</v>
      </c>
      <c r="K4096">
        <v>1.1099950000000001</v>
      </c>
      <c r="L4096">
        <v>72.635739999999998</v>
      </c>
      <c r="M4096">
        <v>1.291848E-2</v>
      </c>
      <c r="N4096">
        <v>-1.0124370000000001E-2</v>
      </c>
      <c r="O4096">
        <v>-0.99986529999999996</v>
      </c>
      <c r="P4096">
        <v>7.5312500000000004E-2</v>
      </c>
      <c r="Q4096">
        <v>0.16867960000000001</v>
      </c>
      <c r="R4096">
        <v>-0.98278980000000005</v>
      </c>
      <c r="S4096">
        <v>-0.37283329999999998</v>
      </c>
      <c r="T4096">
        <v>-1.166642E-2</v>
      </c>
      <c r="U4096">
        <v>-3.0834959999999998</v>
      </c>
      <c r="V4096">
        <v>-6.2597490000000006E-2</v>
      </c>
      <c r="W4096">
        <v>0.17863419999999999</v>
      </c>
      <c r="X4096">
        <v>0.98192230000000003</v>
      </c>
      <c r="Y4096">
        <v>0.13284219999999999</v>
      </c>
      <c r="Z4096">
        <v>-6.3798040000000002E-3</v>
      </c>
      <c r="AA4096">
        <v>0.99111660000000001</v>
      </c>
      <c r="AB4096">
        <v>28</v>
      </c>
      <c r="AC4096">
        <v>-9.2312999999999708</v>
      </c>
      <c r="AD4096">
        <v>-0.28872949999999997</v>
      </c>
      <c r="AE4096">
        <v>-76.044732999999994</v>
      </c>
      <c r="AF4096">
        <v>10.2128172174324</v>
      </c>
      <c r="AG4096">
        <v>-0.28872949999999997</v>
      </c>
      <c r="AH4096">
        <v>75.918047625839193</v>
      </c>
      <c r="AI4096">
        <v>90.215959430698106</v>
      </c>
      <c r="AJ4096">
        <v>82.338325380471503</v>
      </c>
      <c r="AK4096">
        <v>76.602447451501405</v>
      </c>
      <c r="AL4096">
        <v>79.709784215098196</v>
      </c>
      <c r="AM4096">
        <v>93.647666544427693</v>
      </c>
      <c r="AN4096">
        <v>1.0000000132006099</v>
      </c>
    </row>
    <row r="4097" spans="1:40" x14ac:dyDescent="0.25">
      <c r="A4097" t="str">
        <f>"20190304155455873"</f>
        <v>20190304155455873</v>
      </c>
      <c r="B4097" t="str">
        <f>"1551686095871052"</f>
        <v>1551686095871052</v>
      </c>
      <c r="C4097" t="s">
        <v>40</v>
      </c>
      <c r="D4097">
        <v>4.5730769999999996</v>
      </c>
      <c r="E4097">
        <v>0.60964130000000005</v>
      </c>
      <c r="F4097" t="s">
        <v>84</v>
      </c>
      <c r="G4097">
        <v>-437.69110000000001</v>
      </c>
      <c r="H4097">
        <v>1.2546649999999999</v>
      </c>
      <c r="I4097">
        <v>-8.3727710000000002</v>
      </c>
      <c r="J4097">
        <v>-422.39170000000001</v>
      </c>
      <c r="K4097">
        <v>1.110012</v>
      </c>
      <c r="L4097">
        <v>72.370359999999906</v>
      </c>
      <c r="M4097">
        <v>1.2903919999999999E-2</v>
      </c>
      <c r="N4097">
        <v>-1.0233269999999999E-2</v>
      </c>
      <c r="O4097">
        <v>-0.99986430000000004</v>
      </c>
      <c r="P4097">
        <v>7.4968899999999894E-2</v>
      </c>
      <c r="Q4097">
        <v>0.16854710000000001</v>
      </c>
      <c r="R4097">
        <v>-0.98283880000000001</v>
      </c>
      <c r="S4097">
        <v>-0.58465579999999995</v>
      </c>
      <c r="T4097">
        <v>5.5286880000000004E-3</v>
      </c>
      <c r="U4097">
        <v>-3.0963750000000001</v>
      </c>
      <c r="V4097">
        <v>-6.2267210000000003E-2</v>
      </c>
      <c r="W4097">
        <v>0.178609299999999</v>
      </c>
      <c r="X4097">
        <v>0.98194780000000004</v>
      </c>
      <c r="Y4097">
        <v>0.1981841</v>
      </c>
      <c r="Z4097">
        <v>-1.199764E-2</v>
      </c>
      <c r="AA4097">
        <v>0.98009139999999995</v>
      </c>
      <c r="AB4097">
        <v>28</v>
      </c>
      <c r="AC4097">
        <v>-15.299399999999901</v>
      </c>
      <c r="AD4097">
        <v>0.144652999999999</v>
      </c>
      <c r="AE4097">
        <v>-80.743130999999906</v>
      </c>
      <c r="AF4097">
        <v>16.340032966256398</v>
      </c>
      <c r="AG4097">
        <v>0.144652999999999</v>
      </c>
      <c r="AH4097">
        <v>80.538725579180095</v>
      </c>
      <c r="AI4097">
        <v>89.899147719377595</v>
      </c>
      <c r="AJ4097">
        <v>78.531260720910794</v>
      </c>
      <c r="AK4097">
        <v>82.179705035654806</v>
      </c>
      <c r="AL4097">
        <v>79.711233902529301</v>
      </c>
      <c r="AM4097">
        <v>93.628378121242903</v>
      </c>
      <c r="AN4097">
        <v>0.99999998470625595</v>
      </c>
    </row>
    <row r="4098" spans="1:40" x14ac:dyDescent="0.25">
      <c r="A4098" t="str">
        <f>"20190304155455897"</f>
        <v>20190304155455897</v>
      </c>
      <c r="B4098" t="str">
        <f>"1551686095891560"</f>
        <v>1551686095891560</v>
      </c>
      <c r="C4098" t="s">
        <v>40</v>
      </c>
      <c r="D4098">
        <v>4.6403109999999996</v>
      </c>
      <c r="E4098">
        <v>0.61300149999999998</v>
      </c>
      <c r="F4098" t="s">
        <v>84</v>
      </c>
      <c r="G4098">
        <v>-439.79149999999998</v>
      </c>
      <c r="H4098">
        <v>1.3794919999999999</v>
      </c>
      <c r="I4098">
        <v>-9.3367679999999993</v>
      </c>
      <c r="J4098">
        <v>-422.38799999999998</v>
      </c>
      <c r="K4098">
        <v>1.1100410000000001</v>
      </c>
      <c r="L4098">
        <v>72.083889999999997</v>
      </c>
      <c r="M4098">
        <v>1.2884990000000001E-2</v>
      </c>
      <c r="N4098">
        <v>-1.039342E-2</v>
      </c>
      <c r="O4098">
        <v>-0.9998631</v>
      </c>
      <c r="P4098">
        <v>7.4580010000000002E-2</v>
      </c>
      <c r="Q4098">
        <v>0.1684744</v>
      </c>
      <c r="R4098">
        <v>-0.98288109999999995</v>
      </c>
      <c r="S4098">
        <v>-0.66036989999999995</v>
      </c>
      <c r="T4098">
        <v>1.022649E-2</v>
      </c>
      <c r="U4098">
        <v>-3.101013</v>
      </c>
      <c r="V4098">
        <v>-6.1896329999999999E-2</v>
      </c>
      <c r="W4098">
        <v>0.1786943</v>
      </c>
      <c r="X4098">
        <v>0.98195580000000005</v>
      </c>
      <c r="Y4098">
        <v>0.22084100000000001</v>
      </c>
      <c r="Z4098">
        <v>-1.362783E-2</v>
      </c>
      <c r="AA4098">
        <v>0.97521460000000004</v>
      </c>
      <c r="AB4098">
        <v>28</v>
      </c>
      <c r="AC4098">
        <v>-17.403499999999902</v>
      </c>
      <c r="AD4098">
        <v>0.269450999999999</v>
      </c>
      <c r="AE4098">
        <v>-81.420657999999904</v>
      </c>
      <c r="AF4098">
        <v>18.451022742348801</v>
      </c>
      <c r="AG4098">
        <v>0.269450999999999</v>
      </c>
      <c r="AH4098">
        <v>81.188791811201796</v>
      </c>
      <c r="AI4098">
        <v>89.814574373734601</v>
      </c>
      <c r="AJ4098">
        <v>77.196388475147899</v>
      </c>
      <c r="AK4098">
        <v>83.259430455911399</v>
      </c>
      <c r="AL4098">
        <v>79.706284298909196</v>
      </c>
      <c r="AM4098">
        <v>93.606794452789302</v>
      </c>
      <c r="AN4098">
        <v>1.00000000083679</v>
      </c>
    </row>
    <row r="4099" spans="1:40" x14ac:dyDescent="0.25">
      <c r="A4099" t="str">
        <f>"20190304155455921"</f>
        <v>20190304155455921</v>
      </c>
      <c r="B4099" t="str">
        <f>"1551686095911702"</f>
        <v>1551686095911702</v>
      </c>
      <c r="C4099" t="s">
        <v>40</v>
      </c>
      <c r="D4099">
        <v>4.5962430000000003</v>
      </c>
      <c r="E4099">
        <v>0.61405750000000003</v>
      </c>
      <c r="F4099" t="s">
        <v>84</v>
      </c>
      <c r="G4099">
        <v>-440.6044</v>
      </c>
      <c r="H4099">
        <v>1.4353</v>
      </c>
      <c r="I4099">
        <v>-10.00212</v>
      </c>
      <c r="J4099">
        <v>-422.3843</v>
      </c>
      <c r="K4099">
        <v>1.110077</v>
      </c>
      <c r="L4099">
        <v>71.792719999999903</v>
      </c>
      <c r="M4099">
        <v>1.286727E-2</v>
      </c>
      <c r="N4099">
        <v>-1.060557E-2</v>
      </c>
      <c r="O4099">
        <v>-0.999861</v>
      </c>
      <c r="P4099">
        <v>7.4011499999999994E-2</v>
      </c>
      <c r="Q4099">
        <v>0.16823640000000001</v>
      </c>
      <c r="R4099">
        <v>-0.98296459999999997</v>
      </c>
      <c r="S4099">
        <v>-0.68847659999999999</v>
      </c>
      <c r="T4099">
        <v>1.229191E-2</v>
      </c>
      <c r="U4099">
        <v>-3.1023860000000001</v>
      </c>
      <c r="V4099">
        <v>-6.1343670000000003E-2</v>
      </c>
      <c r="W4099">
        <v>0.17866570000000001</v>
      </c>
      <c r="X4099">
        <v>0.98199570000000003</v>
      </c>
      <c r="Y4099">
        <v>0.22916139999999999</v>
      </c>
      <c r="Z4099">
        <v>-1.448209E-2</v>
      </c>
      <c r="AA4099">
        <v>0.9732807</v>
      </c>
      <c r="AB4099">
        <v>28</v>
      </c>
      <c r="AC4099">
        <v>-18.220099999999999</v>
      </c>
      <c r="AD4099">
        <v>0.32522299999999998</v>
      </c>
      <c r="AE4099">
        <v>-81.794839999999994</v>
      </c>
      <c r="AF4099">
        <v>19.2708366452047</v>
      </c>
      <c r="AG4099">
        <v>0.32522299999999998</v>
      </c>
      <c r="AH4099">
        <v>81.552383254011403</v>
      </c>
      <c r="AI4099">
        <v>89.777634987211997</v>
      </c>
      <c r="AJ4099">
        <v>76.704877248443296</v>
      </c>
      <c r="AK4099">
        <v>83.798938712939801</v>
      </c>
      <c r="AL4099">
        <v>79.707949923156093</v>
      </c>
      <c r="AM4099">
        <v>93.574529115358601</v>
      </c>
      <c r="AN4099">
        <v>1.00000001651202</v>
      </c>
    </row>
    <row r="4100" spans="1:40" x14ac:dyDescent="0.25">
      <c r="A4100" t="str">
        <f>"20190304155455965"</f>
        <v>20190304155455965</v>
      </c>
      <c r="B4100" t="str">
        <f>"1551686095961479"</f>
        <v>1551686095961479</v>
      </c>
      <c r="C4100" t="s">
        <v>40</v>
      </c>
      <c r="D4100">
        <v>4.633273</v>
      </c>
      <c r="E4100">
        <v>0.61632500000000001</v>
      </c>
      <c r="F4100" t="s">
        <v>84</v>
      </c>
      <c r="G4100">
        <v>-441.07420000000002</v>
      </c>
      <c r="H4100">
        <v>1.491231</v>
      </c>
      <c r="I4100">
        <v>-11.141690000000001</v>
      </c>
      <c r="J4100">
        <v>-422.37740000000002</v>
      </c>
      <c r="K4100">
        <v>1.1101719999999999</v>
      </c>
      <c r="L4100">
        <v>71.252259999999893</v>
      </c>
      <c r="M4100">
        <v>1.283722E-2</v>
      </c>
      <c r="N4100">
        <v>-1.1114310000000001E-2</v>
      </c>
      <c r="O4100">
        <v>-0.99985599999999997</v>
      </c>
      <c r="P4100">
        <v>7.3419120000000004E-2</v>
      </c>
      <c r="Q4100">
        <v>0.16821639999999999</v>
      </c>
      <c r="R4100">
        <v>-0.98301240000000001</v>
      </c>
      <c r="S4100">
        <v>-0.69909670000000002</v>
      </c>
      <c r="T4100">
        <v>1.4256120000000001E-2</v>
      </c>
      <c r="U4100">
        <v>-3.1021730000000001</v>
      </c>
      <c r="V4100">
        <v>-6.0780580000000001E-2</v>
      </c>
      <c r="W4100">
        <v>0.1791451</v>
      </c>
      <c r="X4100">
        <v>0.98194340000000002</v>
      </c>
      <c r="Y4100">
        <v>0.2323144</v>
      </c>
      <c r="Z4100">
        <v>-1.560572E-2</v>
      </c>
      <c r="AA4100">
        <v>0.97251549999999998</v>
      </c>
      <c r="AB4100">
        <v>28</v>
      </c>
      <c r="AC4100">
        <v>-18.6968</v>
      </c>
      <c r="AD4100">
        <v>0.38105899999999998</v>
      </c>
      <c r="AE4100">
        <v>-82.393949999999904</v>
      </c>
      <c r="AF4100">
        <v>19.752631797812001</v>
      </c>
      <c r="AG4100">
        <v>0.38105899999999998</v>
      </c>
      <c r="AH4100">
        <v>82.145459161420305</v>
      </c>
      <c r="AI4100">
        <v>89.741582254442704</v>
      </c>
      <c r="AJ4100">
        <v>76.479391756275703</v>
      </c>
      <c r="AK4100">
        <v>84.487798703374807</v>
      </c>
      <c r="AL4100">
        <v>79.680032184440606</v>
      </c>
      <c r="AM4100">
        <v>93.541989624558994</v>
      </c>
      <c r="AN4100">
        <v>1.0000000432813501</v>
      </c>
    </row>
    <row r="4101" spans="1:40" x14ac:dyDescent="0.25">
      <c r="A4101" t="str">
        <f>"20190304155455986"</f>
        <v>20190304155455986</v>
      </c>
      <c r="B4101" t="str">
        <f>"1551686095981975"</f>
        <v>1551686095981975</v>
      </c>
      <c r="C4101" t="s">
        <v>40</v>
      </c>
      <c r="D4101">
        <v>4.5973739999999896</v>
      </c>
      <c r="E4101">
        <v>0.61696289999999998</v>
      </c>
      <c r="F4101" t="s">
        <v>84</v>
      </c>
      <c r="G4101">
        <v>-441.5539</v>
      </c>
      <c r="H4101">
        <v>1.51749</v>
      </c>
      <c r="I4101">
        <v>-11.534369999999999</v>
      </c>
      <c r="J4101">
        <v>-422.37389999999999</v>
      </c>
      <c r="K4101">
        <v>1.1102190000000001</v>
      </c>
      <c r="L4101">
        <v>70.978210000000004</v>
      </c>
      <c r="M4101">
        <v>1.282114E-2</v>
      </c>
      <c r="N4101">
        <v>-1.138892E-2</v>
      </c>
      <c r="O4101">
        <v>-0.99985310000000005</v>
      </c>
      <c r="P4101">
        <v>7.3564249999999998E-2</v>
      </c>
      <c r="Q4101">
        <v>0.16871369999999999</v>
      </c>
      <c r="R4101">
        <v>-0.98291629999999997</v>
      </c>
      <c r="S4101">
        <v>-0.71875</v>
      </c>
      <c r="T4101">
        <v>1.5265580000000001E-2</v>
      </c>
      <c r="U4101">
        <v>-3.1029049999999998</v>
      </c>
      <c r="V4101">
        <v>-6.0943749999999998E-2</v>
      </c>
      <c r="W4101">
        <v>0.17991070000000001</v>
      </c>
      <c r="X4101">
        <v>0.98179329999999998</v>
      </c>
      <c r="Y4101">
        <v>0.23809710000000001</v>
      </c>
      <c r="Z4101">
        <v>-1.619017E-2</v>
      </c>
      <c r="AA4101">
        <v>0.97110640000000004</v>
      </c>
      <c r="AB4101">
        <v>28</v>
      </c>
      <c r="AC4101">
        <v>-19.18</v>
      </c>
      <c r="AD4101">
        <v>0.40727099999999999</v>
      </c>
      <c r="AE4101">
        <v>-82.51258</v>
      </c>
      <c r="AF4101">
        <v>20.235929372194899</v>
      </c>
      <c r="AG4101">
        <v>0.40727099999999999</v>
      </c>
      <c r="AH4101">
        <v>82.257970391119898</v>
      </c>
      <c r="AI4101">
        <v>89.724535525909602</v>
      </c>
      <c r="AJ4101">
        <v>76.179352664207698</v>
      </c>
      <c r="AK4101">
        <v>84.711465576333097</v>
      </c>
      <c r="AL4101">
        <v>79.6354420651613</v>
      </c>
      <c r="AM4101">
        <v>93.5520156269545</v>
      </c>
      <c r="AN4101">
        <v>1.0000000422817199</v>
      </c>
    </row>
    <row r="4102" spans="1:40" x14ac:dyDescent="0.25">
      <c r="A4102" t="str">
        <f>"20190304155456009"</f>
        <v>20190304155456009</v>
      </c>
      <c r="B4102" t="str">
        <f>"1551686096001494"</f>
        <v>1551686096001494</v>
      </c>
      <c r="C4102" t="s">
        <v>40</v>
      </c>
      <c r="D4102">
        <v>4.5942629999999998</v>
      </c>
      <c r="E4102">
        <v>0.61773339999999999</v>
      </c>
      <c r="F4102" t="s">
        <v>84</v>
      </c>
      <c r="G4102">
        <v>-441.6035</v>
      </c>
      <c r="H4102">
        <v>1.569194</v>
      </c>
      <c r="I4102">
        <v>-11.574949999999999</v>
      </c>
      <c r="J4102">
        <v>-422.37020000000001</v>
      </c>
      <c r="K4102">
        <v>1.110255</v>
      </c>
      <c r="L4102">
        <v>70.691040000000001</v>
      </c>
      <c r="M4102">
        <v>1.280476E-2</v>
      </c>
      <c r="N4102">
        <v>-1.166384E-2</v>
      </c>
      <c r="O4102">
        <v>-0.99985000000000002</v>
      </c>
      <c r="P4102">
        <v>7.394162E-2</v>
      </c>
      <c r="Q4102">
        <v>0.16900979999999999</v>
      </c>
      <c r="R4102">
        <v>-0.98283699999999996</v>
      </c>
      <c r="S4102">
        <v>-0.72286989999999995</v>
      </c>
      <c r="T4102">
        <v>1.725256E-2</v>
      </c>
      <c r="U4102">
        <v>-3.1033019999999998</v>
      </c>
      <c r="V4102">
        <v>-6.1338030000000002E-2</v>
      </c>
      <c r="W4102">
        <v>0.18047630000000001</v>
      </c>
      <c r="X4102">
        <v>0.98166489999999995</v>
      </c>
      <c r="Y4102">
        <v>0.23927380000000001</v>
      </c>
      <c r="Z4102">
        <v>-1.7086E-2</v>
      </c>
      <c r="AA4102">
        <v>0.97080180000000005</v>
      </c>
      <c r="AB4102">
        <v>28</v>
      </c>
      <c r="AC4102">
        <v>-19.2332999999999</v>
      </c>
      <c r="AD4102">
        <v>0.45893899999999999</v>
      </c>
      <c r="AE4102">
        <v>-82.265990000000002</v>
      </c>
      <c r="AF4102">
        <v>20.284592280042499</v>
      </c>
      <c r="AG4102">
        <v>0.45893899999999999</v>
      </c>
      <c r="AH4102">
        <v>82.010529959490299</v>
      </c>
      <c r="AI4102">
        <v>89.6887497963953</v>
      </c>
      <c r="AJ4102">
        <v>76.107216763469495</v>
      </c>
      <c r="AK4102">
        <v>84.483148220279702</v>
      </c>
      <c r="AL4102">
        <v>79.602495975005795</v>
      </c>
      <c r="AM4102">
        <v>93.575402626789398</v>
      </c>
      <c r="AN4102">
        <v>1.0000000123389901</v>
      </c>
    </row>
    <row r="4103" spans="1:40" x14ac:dyDescent="0.25">
      <c r="A4103" t="str">
        <f>"20190304155456032"</f>
        <v>20190304155456032</v>
      </c>
      <c r="B4103" t="str">
        <f>"1551686096021707"</f>
        <v>1551686096021707</v>
      </c>
      <c r="C4103" t="s">
        <v>40</v>
      </c>
      <c r="D4103">
        <v>4.3126179999999996</v>
      </c>
      <c r="E4103">
        <v>0.61787340000000002</v>
      </c>
      <c r="F4103" t="s">
        <v>84</v>
      </c>
      <c r="G4103">
        <v>-441.6782</v>
      </c>
      <c r="H4103">
        <v>1.5980449999999999</v>
      </c>
      <c r="I4103">
        <v>-11.636049999999999</v>
      </c>
      <c r="J4103">
        <v>-422.36660000000001</v>
      </c>
      <c r="K4103">
        <v>1.1102829999999999</v>
      </c>
      <c r="L4103">
        <v>70.406649999999999</v>
      </c>
      <c r="M4103">
        <v>1.278928E-2</v>
      </c>
      <c r="N4103">
        <v>-1.1932440000000001E-2</v>
      </c>
      <c r="O4103">
        <v>-0.99984720000000005</v>
      </c>
      <c r="P4103">
        <v>7.3710410000000004E-2</v>
      </c>
      <c r="Q4103">
        <v>0.16876579999999999</v>
      </c>
      <c r="R4103">
        <v>-0.98289629999999995</v>
      </c>
      <c r="S4103">
        <v>-0.72796629999999996</v>
      </c>
      <c r="T4103">
        <v>1.839006E-2</v>
      </c>
      <c r="U4103">
        <v>-3.1039729999999999</v>
      </c>
      <c r="V4103">
        <v>-6.1121540000000002E-2</v>
      </c>
      <c r="W4103">
        <v>0.1804965</v>
      </c>
      <c r="X4103">
        <v>0.98167470000000001</v>
      </c>
      <c r="Y4103">
        <v>0.24072099999999999</v>
      </c>
      <c r="Z4103">
        <v>-1.7708089999999999E-2</v>
      </c>
      <c r="AA4103">
        <v>0.97043279999999998</v>
      </c>
      <c r="AB4103">
        <v>28</v>
      </c>
      <c r="AC4103">
        <v>-19.311599999999999</v>
      </c>
      <c r="AD4103">
        <v>0.48776199999999997</v>
      </c>
      <c r="AE4103">
        <v>-82.042699999999996</v>
      </c>
      <c r="AF4103">
        <v>20.3586801131638</v>
      </c>
      <c r="AG4103">
        <v>0.48776199999999997</v>
      </c>
      <c r="AH4103">
        <v>81.786251058870306</v>
      </c>
      <c r="AI4103">
        <v>89.668418286314903</v>
      </c>
      <c r="AJ4103">
        <v>76.021716243416705</v>
      </c>
      <c r="AK4103">
        <v>84.283477799526906</v>
      </c>
      <c r="AL4103">
        <v>79.601319386870102</v>
      </c>
      <c r="AM4103">
        <v>93.562780479776507</v>
      </c>
      <c r="AN4103">
        <v>1.00000002289215</v>
      </c>
    </row>
    <row r="4104" spans="1:40" x14ac:dyDescent="0.25">
      <c r="A4104" t="str">
        <f>"20190304155456052"</f>
        <v>20190304155456052</v>
      </c>
      <c r="B4104" t="str">
        <f>"1551686096042203"</f>
        <v>1551686096042203</v>
      </c>
      <c r="C4104" t="s">
        <v>40</v>
      </c>
      <c r="D4104">
        <v>4.6110139999999999</v>
      </c>
      <c r="E4104">
        <v>0.61793659999999995</v>
      </c>
      <c r="F4104" t="s">
        <v>84</v>
      </c>
      <c r="G4104">
        <v>-441.6361</v>
      </c>
      <c r="H4104">
        <v>1.681781</v>
      </c>
      <c r="I4104">
        <v>-11.60163</v>
      </c>
      <c r="J4104">
        <v>-422.36340000000001</v>
      </c>
      <c r="K4104">
        <v>1.110306</v>
      </c>
      <c r="L4104">
        <v>70.151060000000001</v>
      </c>
      <c r="M4104">
        <v>1.277582E-2</v>
      </c>
      <c r="N4104">
        <v>-1.216483E-2</v>
      </c>
      <c r="O4104">
        <v>-0.99984430000000002</v>
      </c>
      <c r="P4104">
        <v>7.4264280000000002E-2</v>
      </c>
      <c r="Q4104">
        <v>0.16885359999999999</v>
      </c>
      <c r="R4104">
        <v>-0.98283940000000003</v>
      </c>
      <c r="S4104">
        <v>-0.72915649999999999</v>
      </c>
      <c r="T4104">
        <v>2.1624330000000001E-2</v>
      </c>
      <c r="U4104">
        <v>-3.10318</v>
      </c>
      <c r="V4104">
        <v>-6.1689439999999998E-2</v>
      </c>
      <c r="W4104">
        <v>0.1808121</v>
      </c>
      <c r="X4104">
        <v>0.98158109999999998</v>
      </c>
      <c r="Y4104">
        <v>0.24111150000000001</v>
      </c>
      <c r="Z4104">
        <v>-1.8954450000000001E-2</v>
      </c>
      <c r="AA4104">
        <v>0.97031230000000002</v>
      </c>
      <c r="AB4104">
        <v>28</v>
      </c>
      <c r="AC4104">
        <v>-19.272699999999901</v>
      </c>
      <c r="AD4104">
        <v>0.57147499999999996</v>
      </c>
      <c r="AE4104">
        <v>-81.752690000000001</v>
      </c>
      <c r="AF4104">
        <v>20.314721474636102</v>
      </c>
      <c r="AG4104">
        <v>0.57147499999999996</v>
      </c>
      <c r="AH4104">
        <v>81.496001478196106</v>
      </c>
      <c r="AI4104">
        <v>89.610159791930798</v>
      </c>
      <c r="AJ4104">
        <v>76.002987747129296</v>
      </c>
      <c r="AK4104">
        <v>83.991742148867203</v>
      </c>
      <c r="AL4104">
        <v>79.582934410149704</v>
      </c>
      <c r="AM4104">
        <v>93.596138954488097</v>
      </c>
      <c r="AN4104">
        <v>1.00000002919556</v>
      </c>
    </row>
    <row r="4105" spans="1:40" x14ac:dyDescent="0.25">
      <c r="A4105" t="str">
        <f>"20190304155456076"</f>
        <v>20190304155456076</v>
      </c>
      <c r="B4105" t="str">
        <f>"1551686096071483"</f>
        <v>1551686096071483</v>
      </c>
      <c r="C4105" t="s">
        <v>40</v>
      </c>
      <c r="D4105">
        <v>4.6519570000000003</v>
      </c>
      <c r="E4105">
        <v>0.61819679999999999</v>
      </c>
      <c r="F4105" t="s">
        <v>84</v>
      </c>
      <c r="G4105">
        <v>-441.5222</v>
      </c>
      <c r="H4105">
        <v>1.680774</v>
      </c>
      <c r="I4105">
        <v>-11.508369999999999</v>
      </c>
      <c r="J4105">
        <v>-422.35969999999998</v>
      </c>
      <c r="K4105">
        <v>1.1103259999999999</v>
      </c>
      <c r="L4105">
        <v>69.864959999999996</v>
      </c>
      <c r="M4105">
        <v>1.27613E-2</v>
      </c>
      <c r="N4105">
        <v>-1.240408E-2</v>
      </c>
      <c r="O4105">
        <v>-0.99984170000000006</v>
      </c>
      <c r="P4105">
        <v>7.4543219999999993E-2</v>
      </c>
      <c r="Q4105">
        <v>0.1683962</v>
      </c>
      <c r="R4105">
        <v>-0.98289700000000002</v>
      </c>
      <c r="S4105">
        <v>-0.72817989999999999</v>
      </c>
      <c r="T4105">
        <v>2.168107E-2</v>
      </c>
      <c r="U4105">
        <v>-3.1036679999999999</v>
      </c>
      <c r="V4105">
        <v>-6.198174E-2</v>
      </c>
      <c r="W4105">
        <v>0.18059030000000001</v>
      </c>
      <c r="X4105">
        <v>0.98160349999999996</v>
      </c>
      <c r="Y4105">
        <v>0.2407725</v>
      </c>
      <c r="Z4105">
        <v>-1.9211240000000001E-2</v>
      </c>
      <c r="AA4105">
        <v>0.97039149999999996</v>
      </c>
      <c r="AB4105">
        <v>28</v>
      </c>
      <c r="AC4105">
        <v>-19.162500000000001</v>
      </c>
      <c r="AD4105">
        <v>0.57044799999999996</v>
      </c>
      <c r="AE4105">
        <v>-81.373329999999996</v>
      </c>
      <c r="AF4105">
        <v>20.198508208090999</v>
      </c>
      <c r="AG4105">
        <v>0.57044799999999996</v>
      </c>
      <c r="AH4105">
        <v>81.118368643096801</v>
      </c>
      <c r="AI4105">
        <v>89.609023873930695</v>
      </c>
      <c r="AJ4105">
        <v>76.017671757398901</v>
      </c>
      <c r="AK4105">
        <v>83.597218112030305</v>
      </c>
      <c r="AL4105">
        <v>79.595855134983196</v>
      </c>
      <c r="AM4105">
        <v>93.613051096110695</v>
      </c>
      <c r="AN4105">
        <v>1.00000001187988</v>
      </c>
    </row>
    <row r="4106" spans="1:40" x14ac:dyDescent="0.25">
      <c r="A4106" t="str">
        <f>"20190304155456098"</f>
        <v>20190304155456098</v>
      </c>
      <c r="B4106" t="str">
        <f>"1551686096091979"</f>
        <v>1551686096091979</v>
      </c>
      <c r="C4106" t="s">
        <v>40</v>
      </c>
      <c r="D4106">
        <v>4.6592089999999997</v>
      </c>
      <c r="E4106">
        <v>0.61866880000000002</v>
      </c>
      <c r="F4106" t="s">
        <v>84</v>
      </c>
      <c r="G4106">
        <v>-441.4796</v>
      </c>
      <c r="H4106">
        <v>1.632755</v>
      </c>
      <c r="I4106">
        <v>-11.47353</v>
      </c>
      <c r="J4106">
        <v>-422.3562</v>
      </c>
      <c r="K4106">
        <v>1.1103369999999999</v>
      </c>
      <c r="L4106">
        <v>69.587429999999998</v>
      </c>
      <c r="M4106">
        <v>1.2746810000000001E-2</v>
      </c>
      <c r="N4106">
        <v>-1.261175E-2</v>
      </c>
      <c r="O4106">
        <v>-0.99983929999999999</v>
      </c>
      <c r="P4106">
        <v>7.50498E-2</v>
      </c>
      <c r="Q4106">
        <v>0.16805590000000001</v>
      </c>
      <c r="R4106">
        <v>-0.98291649999999997</v>
      </c>
      <c r="S4106">
        <v>-0.72967530000000003</v>
      </c>
      <c r="T4106">
        <v>1.993644E-2</v>
      </c>
      <c r="U4106">
        <v>-3.1041259999999999</v>
      </c>
      <c r="V4106">
        <v>-6.2501929999999997E-2</v>
      </c>
      <c r="W4106">
        <v>0.18045430000000001</v>
      </c>
      <c r="X4106">
        <v>0.98159549999999995</v>
      </c>
      <c r="Y4106">
        <v>0.24116989999999999</v>
      </c>
      <c r="Z4106">
        <v>-1.887142E-2</v>
      </c>
      <c r="AA4106">
        <v>0.97029940000000003</v>
      </c>
      <c r="AB4106">
        <v>28</v>
      </c>
      <c r="AC4106">
        <v>-19.1234</v>
      </c>
      <c r="AD4106">
        <v>0.52241799999999905</v>
      </c>
      <c r="AE4106">
        <v>-81.060959999999994</v>
      </c>
      <c r="AF4106">
        <v>20.1544038717172</v>
      </c>
      <c r="AG4106">
        <v>0.52241799999999905</v>
      </c>
      <c r="AH4106">
        <v>80.807412155918101</v>
      </c>
      <c r="AI4106">
        <v>89.640598950374198</v>
      </c>
      <c r="AJ4106">
        <v>75.995425291632202</v>
      </c>
      <c r="AK4106">
        <v>83.284517020436894</v>
      </c>
      <c r="AL4106">
        <v>79.603777242684302</v>
      </c>
      <c r="AM4106">
        <v>93.643322387521593</v>
      </c>
      <c r="AN4106">
        <v>0.99999998563123205</v>
      </c>
    </row>
    <row r="4107" spans="1:40" x14ac:dyDescent="0.25">
      <c r="A4107" t="str">
        <f>"20190304155456121"</f>
        <v>20190304155456121</v>
      </c>
      <c r="B4107" t="str">
        <f>"1551686096112088"</f>
        <v>1551686096112088</v>
      </c>
      <c r="C4107" t="s">
        <v>40</v>
      </c>
      <c r="D4107">
        <v>4.3466500000000003</v>
      </c>
      <c r="E4107">
        <v>0.61887930000000002</v>
      </c>
      <c r="F4107" t="s">
        <v>84</v>
      </c>
      <c r="G4107">
        <v>-441.44740000000002</v>
      </c>
      <c r="H4107">
        <v>1.576802</v>
      </c>
      <c r="I4107">
        <v>-11.44721</v>
      </c>
      <c r="J4107">
        <v>-422.35270000000003</v>
      </c>
      <c r="K4107">
        <v>1.110347</v>
      </c>
      <c r="L4107">
        <v>69.313599999999994</v>
      </c>
      <c r="M4107">
        <v>1.273167E-2</v>
      </c>
      <c r="N4107">
        <v>-1.279481E-2</v>
      </c>
      <c r="O4107">
        <v>-0.99983719999999998</v>
      </c>
      <c r="P4107">
        <v>7.5059669999999995E-2</v>
      </c>
      <c r="Q4107">
        <v>0.16741230000000001</v>
      </c>
      <c r="R4107">
        <v>-0.9830257</v>
      </c>
      <c r="S4107">
        <v>-0.73150630000000005</v>
      </c>
      <c r="T4107">
        <v>1.7872209999999999E-2</v>
      </c>
      <c r="U4107">
        <v>-3.1049500000000001</v>
      </c>
      <c r="V4107">
        <v>-6.2525579999999997E-2</v>
      </c>
      <c r="W4107">
        <v>0.17999129999999899</v>
      </c>
      <c r="X4107">
        <v>0.98167899999999997</v>
      </c>
      <c r="Y4107">
        <v>0.24164060000000001</v>
      </c>
      <c r="Z4107">
        <v>-1.8406450000000001E-2</v>
      </c>
      <c r="AA4107">
        <v>0.97019120000000003</v>
      </c>
      <c r="AB4107">
        <v>28</v>
      </c>
      <c r="AC4107">
        <v>-19.0946999999999</v>
      </c>
      <c r="AD4107">
        <v>0.46645500000000001</v>
      </c>
      <c r="AE4107">
        <v>-80.760809999999907</v>
      </c>
      <c r="AF4107">
        <v>20.120820457657398</v>
      </c>
      <c r="AG4107">
        <v>0.46645500000000001</v>
      </c>
      <c r="AH4107">
        <v>80.508592362207594</v>
      </c>
      <c r="AI4107">
        <v>89.677945672732704</v>
      </c>
      <c r="AJ4107">
        <v>75.967994920608206</v>
      </c>
      <c r="AK4107">
        <v>82.986134024308001</v>
      </c>
      <c r="AL4107">
        <v>79.630746814714499</v>
      </c>
      <c r="AM4107">
        <v>93.644388086460793</v>
      </c>
      <c r="AN4107">
        <v>0.99999998763551301</v>
      </c>
    </row>
    <row r="4108" spans="1:40" x14ac:dyDescent="0.25">
      <c r="A4108" t="str">
        <f>"20190304155456146"</f>
        <v>20190304155456146</v>
      </c>
      <c r="B4108" t="str">
        <f>"1551686096141368"</f>
        <v>1551686096141368</v>
      </c>
      <c r="C4108" t="s">
        <v>40</v>
      </c>
      <c r="D4108">
        <v>4.6692450000000001</v>
      </c>
      <c r="E4108">
        <v>0.61973009999999995</v>
      </c>
      <c r="F4108" t="s">
        <v>84</v>
      </c>
      <c r="G4108">
        <v>-441.42689999999999</v>
      </c>
      <c r="H4108">
        <v>1.522899</v>
      </c>
      <c r="I4108">
        <v>-11.430429999999999</v>
      </c>
      <c r="J4108">
        <v>-422.34879999999998</v>
      </c>
      <c r="K4108">
        <v>1.110357</v>
      </c>
      <c r="L4108">
        <v>69.007260000000002</v>
      </c>
      <c r="M4108">
        <v>1.271487E-2</v>
      </c>
      <c r="N4108">
        <v>-1.297369E-2</v>
      </c>
      <c r="O4108">
        <v>-0.99983500000000003</v>
      </c>
      <c r="P4108">
        <v>7.5214580000000003E-2</v>
      </c>
      <c r="Q4108">
        <v>0.16686770000000001</v>
      </c>
      <c r="R4108">
        <v>-0.98310649999999999</v>
      </c>
      <c r="S4108">
        <v>-0.73352050000000002</v>
      </c>
      <c r="T4108">
        <v>1.5864130000000001E-2</v>
      </c>
      <c r="U4108">
        <v>-3.1051030000000002</v>
      </c>
      <c r="V4108">
        <v>-6.2695559999999997E-2</v>
      </c>
      <c r="W4108">
        <v>0.17962359999999999</v>
      </c>
      <c r="X4108">
        <v>0.98173549999999998</v>
      </c>
      <c r="Y4108">
        <v>0.24221019999999999</v>
      </c>
      <c r="Z4108">
        <v>-1.7956299999999901E-2</v>
      </c>
      <c r="AA4108">
        <v>0.97005759999999996</v>
      </c>
      <c r="AB4108">
        <v>28</v>
      </c>
      <c r="AC4108">
        <v>-19.078099999999999</v>
      </c>
      <c r="AD4108">
        <v>0.41254200000000002</v>
      </c>
      <c r="AE4108">
        <v>-80.437690000000003</v>
      </c>
      <c r="AF4108">
        <v>20.098897849614801</v>
      </c>
      <c r="AG4108">
        <v>0.41254200000000002</v>
      </c>
      <c r="AH4108">
        <v>80.186593694255393</v>
      </c>
      <c r="AI4108">
        <v>89.7140735704956</v>
      </c>
      <c r="AJ4108">
        <v>75.928624212984104</v>
      </c>
      <c r="AK4108">
        <v>82.668166146096496</v>
      </c>
      <c r="AL4108">
        <v>79.652163461746994</v>
      </c>
      <c r="AM4108">
        <v>93.654059053832995</v>
      </c>
      <c r="AN4108">
        <v>0.99999998144046098</v>
      </c>
    </row>
    <row r="4109" spans="1:40" x14ac:dyDescent="0.25">
      <c r="A4109" t="str">
        <f>"20190304155456167"</f>
        <v>20190304155456167</v>
      </c>
      <c r="B4109" t="str">
        <f>"1551686096161864"</f>
        <v>1551686096161864</v>
      </c>
      <c r="C4109" t="s">
        <v>40</v>
      </c>
      <c r="D4109">
        <v>4.6509790000000004</v>
      </c>
      <c r="E4109">
        <v>0.61984919999999899</v>
      </c>
      <c r="F4109" t="s">
        <v>84</v>
      </c>
      <c r="G4109">
        <v>-441.52850000000001</v>
      </c>
      <c r="H4109">
        <v>1.418085</v>
      </c>
      <c r="I4109">
        <v>-11.513579999999999</v>
      </c>
      <c r="J4109">
        <v>-422.34559999999999</v>
      </c>
      <c r="K4109">
        <v>1.110365</v>
      </c>
      <c r="L4109">
        <v>68.748289999999997</v>
      </c>
      <c r="M4109">
        <v>1.2700919999999999E-2</v>
      </c>
      <c r="N4109">
        <v>-1.310717E-2</v>
      </c>
      <c r="O4109">
        <v>-0.99983359999999999</v>
      </c>
      <c r="P4109">
        <v>7.490832E-2</v>
      </c>
      <c r="Q4109">
        <v>0.1670016</v>
      </c>
      <c r="R4109">
        <v>-0.98310730000000002</v>
      </c>
      <c r="S4109">
        <v>-0.73986819999999998</v>
      </c>
      <c r="T4109">
        <v>1.186979E-2</v>
      </c>
      <c r="U4109">
        <v>-3.1061399999999999</v>
      </c>
      <c r="V4109">
        <v>-6.2403199999999902E-2</v>
      </c>
      <c r="W4109">
        <v>0.1798882</v>
      </c>
      <c r="X4109">
        <v>0.98170570000000001</v>
      </c>
      <c r="Y4109">
        <v>0.24400269999999999</v>
      </c>
      <c r="Z4109">
        <v>-1.6837540000000002E-2</v>
      </c>
      <c r="AA4109">
        <v>0.96962839999999995</v>
      </c>
      <c r="AB4109">
        <v>27</v>
      </c>
      <c r="AC4109">
        <v>-19.1829</v>
      </c>
      <c r="AD4109">
        <v>0.30771999999999999</v>
      </c>
      <c r="AE4109">
        <v>-80.261870000000002</v>
      </c>
      <c r="AF4109">
        <v>20.200558550416702</v>
      </c>
      <c r="AG4109">
        <v>0.30771999999999999</v>
      </c>
      <c r="AH4109">
        <v>80.010621065651193</v>
      </c>
      <c r="AI4109">
        <v>89.786346321361293</v>
      </c>
      <c r="AJ4109">
        <v>75.830451793534806</v>
      </c>
      <c r="AK4109">
        <v>82.521856139197695</v>
      </c>
      <c r="AL4109">
        <v>79.636752186193206</v>
      </c>
      <c r="AM4109">
        <v>93.637175510588193</v>
      </c>
      <c r="AN4109">
        <v>1.0000000026409801</v>
      </c>
    </row>
    <row r="4110" spans="1:40" x14ac:dyDescent="0.25">
      <c r="A4110" t="str">
        <f>"20190304155456188"</f>
        <v>20190304155456188</v>
      </c>
      <c r="B4110" t="str">
        <f>"1551686096181384"</f>
        <v>1551686096181384</v>
      </c>
      <c r="C4110" t="s">
        <v>40</v>
      </c>
      <c r="D4110">
        <v>4.6869930000000002</v>
      </c>
      <c r="E4110">
        <v>0.6204191</v>
      </c>
      <c r="F4110" t="s">
        <v>84</v>
      </c>
      <c r="G4110">
        <v>-441.50700000000001</v>
      </c>
      <c r="H4110">
        <v>1.4511889999999901</v>
      </c>
      <c r="I4110">
        <v>-11.495950000000001</v>
      </c>
      <c r="J4110">
        <v>-422.34230000000002</v>
      </c>
      <c r="K4110">
        <v>1.1103700000000001</v>
      </c>
      <c r="L4110">
        <v>68.493769999999998</v>
      </c>
      <c r="M4110">
        <v>1.2686899999999999E-2</v>
      </c>
      <c r="N4110">
        <v>-1.322308E-2</v>
      </c>
      <c r="O4110">
        <v>-0.99983219999999995</v>
      </c>
      <c r="P4110">
        <v>7.4523210000000006E-2</v>
      </c>
      <c r="Q4110">
        <v>0.1671888</v>
      </c>
      <c r="R4110">
        <v>-0.98310439999999999</v>
      </c>
      <c r="S4110">
        <v>-0.74163819999999903</v>
      </c>
      <c r="T4110">
        <v>1.3190510000000001E-2</v>
      </c>
      <c r="U4110">
        <v>-3.1058349999999999</v>
      </c>
      <c r="V4110">
        <v>-6.2031759999999998E-2</v>
      </c>
      <c r="W4110">
        <v>0.18018970000000001</v>
      </c>
      <c r="X4110">
        <v>0.98167400000000005</v>
      </c>
      <c r="Y4110">
        <v>0.24453159999999999</v>
      </c>
      <c r="Z4110">
        <v>-1.7366360000000001E-2</v>
      </c>
      <c r="AA4110">
        <v>0.96948579999999995</v>
      </c>
      <c r="AB4110">
        <v>27</v>
      </c>
      <c r="AC4110">
        <v>-19.1646999999999</v>
      </c>
      <c r="AD4110">
        <v>0.34081899999999898</v>
      </c>
      <c r="AE4110">
        <v>-79.989719999999906</v>
      </c>
      <c r="AF4110">
        <v>20.177721083388001</v>
      </c>
      <c r="AG4110">
        <v>0.34081899999999898</v>
      </c>
      <c r="AH4110">
        <v>79.738750268928698</v>
      </c>
      <c r="AI4110">
        <v>89.762591138555706</v>
      </c>
      <c r="AJ4110">
        <v>75.799516920778998</v>
      </c>
      <c r="AK4110">
        <v>82.252810773616304</v>
      </c>
      <c r="AL4110">
        <v>79.619191089271993</v>
      </c>
      <c r="AM4110">
        <v>93.615700143127299</v>
      </c>
      <c r="AN4110">
        <v>1.00000005475539</v>
      </c>
    </row>
    <row r="4111" spans="1:40" x14ac:dyDescent="0.25">
      <c r="A4111" t="str">
        <f>"20190304155456209"</f>
        <v>20190304155456209</v>
      </c>
      <c r="B4111" t="str">
        <f>"1551686096201880"</f>
        <v>1551686096201880</v>
      </c>
      <c r="C4111" t="s">
        <v>40</v>
      </c>
      <c r="D4111">
        <v>4.7202960000000003</v>
      </c>
      <c r="E4111">
        <v>0.62074169999999995</v>
      </c>
      <c r="F4111" t="s">
        <v>84</v>
      </c>
      <c r="G4111">
        <v>-441.61619999999999</v>
      </c>
      <c r="H4111">
        <v>1.4728859999999999</v>
      </c>
      <c r="I4111">
        <v>-11.58535</v>
      </c>
      <c r="J4111">
        <v>-422.339</v>
      </c>
      <c r="K4111">
        <v>1.110385</v>
      </c>
      <c r="L4111">
        <v>68.226140000000001</v>
      </c>
      <c r="M4111">
        <v>1.2672030000000001E-2</v>
      </c>
      <c r="N4111">
        <v>-1.332994E-2</v>
      </c>
      <c r="O4111">
        <v>-0.99983100000000003</v>
      </c>
      <c r="P4111">
        <v>7.4379630000000002E-2</v>
      </c>
      <c r="Q4111">
        <v>0.1674272</v>
      </c>
      <c r="R4111">
        <v>-0.98307460000000002</v>
      </c>
      <c r="S4111">
        <v>-0.74752810000000003</v>
      </c>
      <c r="T4111">
        <v>1.4058950000000001E-2</v>
      </c>
      <c r="U4111">
        <v>-3.1058349999999999</v>
      </c>
      <c r="V4111">
        <v>-6.1903310000000003E-2</v>
      </c>
      <c r="W4111">
        <v>0.1805321</v>
      </c>
      <c r="X4111">
        <v>0.98161909999999997</v>
      </c>
      <c r="Y4111">
        <v>0.2462539</v>
      </c>
      <c r="Z4111">
        <v>-1.774305E-2</v>
      </c>
      <c r="AA4111">
        <v>0.96904299999999999</v>
      </c>
      <c r="AB4111">
        <v>27</v>
      </c>
      <c r="AC4111">
        <v>-19.277200000000001</v>
      </c>
      <c r="AD4111">
        <v>0.36250100000000002</v>
      </c>
      <c r="AE4111">
        <v>-79.811490000000006</v>
      </c>
      <c r="AF4111">
        <v>20.286719770772599</v>
      </c>
      <c r="AG4111">
        <v>0.36250100000000002</v>
      </c>
      <c r="AH4111">
        <v>79.559226809568102</v>
      </c>
      <c r="AI4111">
        <v>89.747035418288604</v>
      </c>
      <c r="AJ4111">
        <v>75.695045279995199</v>
      </c>
      <c r="AK4111">
        <v>82.105742652808203</v>
      </c>
      <c r="AL4111">
        <v>79.599244909257607</v>
      </c>
      <c r="AM4111">
        <v>93.608434132467906</v>
      </c>
      <c r="AN4111">
        <v>0.99999995820208698</v>
      </c>
    </row>
    <row r="4112" spans="1:40" x14ac:dyDescent="0.25">
      <c r="A4112" t="str">
        <f>"20190304155456232"</f>
        <v>20190304155456232</v>
      </c>
      <c r="B4112" t="str">
        <f>"1551686096221676"</f>
        <v>1551686096221676</v>
      </c>
      <c r="C4112" t="s">
        <v>40</v>
      </c>
      <c r="D4112">
        <v>4.7147459999999999</v>
      </c>
      <c r="E4112">
        <v>0.62095409999999995</v>
      </c>
      <c r="F4112" t="s">
        <v>84</v>
      </c>
      <c r="G4112">
        <v>-441.62</v>
      </c>
      <c r="H4112">
        <v>1.4697359999999999</v>
      </c>
      <c r="I4112">
        <v>-11.58845</v>
      </c>
      <c r="J4112">
        <v>-422.33550000000002</v>
      </c>
      <c r="K4112">
        <v>1.110398</v>
      </c>
      <c r="L4112">
        <v>67.951229999999995</v>
      </c>
      <c r="M4112">
        <v>1.265696E-2</v>
      </c>
      <c r="N4112">
        <v>-1.342545E-2</v>
      </c>
      <c r="O4112">
        <v>-0.99983</v>
      </c>
      <c r="P4112">
        <v>7.4429300000000004E-2</v>
      </c>
      <c r="Q4112">
        <v>0.1674435</v>
      </c>
      <c r="R4112">
        <v>-0.98306830000000001</v>
      </c>
      <c r="S4112">
        <v>-0.75033570000000005</v>
      </c>
      <c r="T4112">
        <v>1.398337E-2</v>
      </c>
      <c r="U4112">
        <v>-3.1060490000000001</v>
      </c>
      <c r="V4112">
        <v>-6.1968019999999999E-2</v>
      </c>
      <c r="W4112">
        <v>0.18064230000000001</v>
      </c>
      <c r="X4112">
        <v>0.98159479999999999</v>
      </c>
      <c r="Y4112">
        <v>0.2470512</v>
      </c>
      <c r="Z4112">
        <v>-1.781392E-2</v>
      </c>
      <c r="AA4112">
        <v>0.96883869999999905</v>
      </c>
      <c r="AB4112">
        <v>27</v>
      </c>
      <c r="AC4112">
        <v>-19.284499999999898</v>
      </c>
      <c r="AD4112">
        <v>0.35933799999999999</v>
      </c>
      <c r="AE4112">
        <v>-79.539680000000004</v>
      </c>
      <c r="AF4112">
        <v>20.2893849250699</v>
      </c>
      <c r="AG4112">
        <v>0.35933799999999999</v>
      </c>
      <c r="AH4112">
        <v>79.287674035661297</v>
      </c>
      <c r="AI4112">
        <v>89.748438535542206</v>
      </c>
      <c r="AJ4112">
        <v>75.646265160144793</v>
      </c>
      <c r="AK4112">
        <v>81.843286336884006</v>
      </c>
      <c r="AL4112">
        <v>79.5928259545164</v>
      </c>
      <c r="AM4112">
        <v>93.612285376225898</v>
      </c>
      <c r="AN4112">
        <v>1.00000001371952</v>
      </c>
    </row>
    <row r="4113" spans="1:40" x14ac:dyDescent="0.25">
      <c r="A4113" t="str">
        <f>"20190304155456254"</f>
        <v>20190304155456254</v>
      </c>
      <c r="B4113" t="str">
        <f>"1551686096251932"</f>
        <v>1551686096251932</v>
      </c>
      <c r="C4113" t="s">
        <v>40</v>
      </c>
      <c r="D4113">
        <v>4.7966930000000003</v>
      </c>
      <c r="E4113">
        <v>0.62147589999999997</v>
      </c>
      <c r="F4113" t="s">
        <v>84</v>
      </c>
      <c r="G4113">
        <v>-441.5881</v>
      </c>
      <c r="H4113">
        <v>1.470469</v>
      </c>
      <c r="I4113">
        <v>-11.56241</v>
      </c>
      <c r="J4113">
        <v>-422.33210000000003</v>
      </c>
      <c r="K4113">
        <v>1.1104069999999999</v>
      </c>
      <c r="L4113">
        <v>67.679630000000003</v>
      </c>
      <c r="M4113">
        <v>1.26424E-2</v>
      </c>
      <c r="N4113">
        <v>-1.350734E-2</v>
      </c>
      <c r="O4113">
        <v>-0.99982910000000003</v>
      </c>
      <c r="P4113">
        <v>7.462792E-2</v>
      </c>
      <c r="Q4113">
        <v>0.16772200000000001</v>
      </c>
      <c r="R4113">
        <v>-0.98300569999999998</v>
      </c>
      <c r="S4113">
        <v>-0.75210569999999999</v>
      </c>
      <c r="T4113">
        <v>1.406515E-2</v>
      </c>
      <c r="U4113">
        <v>-3.106201</v>
      </c>
      <c r="V4113">
        <v>-6.218104E-2</v>
      </c>
      <c r="W4113">
        <v>0.18100060000000001</v>
      </c>
      <c r="X4113">
        <v>0.98151529999999998</v>
      </c>
      <c r="Y4113">
        <v>0.24754709999999999</v>
      </c>
      <c r="Z4113">
        <v>-1.7920720000000001E-2</v>
      </c>
      <c r="AA4113">
        <v>0.96871010000000002</v>
      </c>
      <c r="AB4113">
        <v>27</v>
      </c>
      <c r="AC4113">
        <v>-19.255999999999901</v>
      </c>
      <c r="AD4113">
        <v>0.36006199999999999</v>
      </c>
      <c r="AE4113">
        <v>-79.242040000000003</v>
      </c>
      <c r="AF4113">
        <v>20.2559666330725</v>
      </c>
      <c r="AG4113">
        <v>0.36006199999999999</v>
      </c>
      <c r="AH4113">
        <v>78.990701816200399</v>
      </c>
      <c r="AI4113">
        <v>89.747016812793504</v>
      </c>
      <c r="AJ4113">
        <v>75.617284691698103</v>
      </c>
      <c r="AK4113">
        <v>81.547316340268793</v>
      </c>
      <c r="AL4113">
        <v>79.571952568653003</v>
      </c>
      <c r="AM4113">
        <v>93.624962651939597</v>
      </c>
      <c r="AN4113">
        <v>0.99999999153496499</v>
      </c>
    </row>
    <row r="4114" spans="1:40" x14ac:dyDescent="0.25">
      <c r="A4114" t="str">
        <f>"20190304155456277"</f>
        <v>20190304155456277</v>
      </c>
      <c r="B4114" t="str">
        <f>"1551686096271451"</f>
        <v>1551686096271451</v>
      </c>
      <c r="C4114" t="s">
        <v>40</v>
      </c>
      <c r="D4114">
        <v>4.7848660000000001</v>
      </c>
      <c r="E4114">
        <v>0.62196169999999995</v>
      </c>
      <c r="F4114" t="s">
        <v>84</v>
      </c>
      <c r="G4114">
        <v>-441.61950000000002</v>
      </c>
      <c r="H4114">
        <v>1.491673</v>
      </c>
      <c r="I4114">
        <v>-11.58807</v>
      </c>
      <c r="J4114">
        <v>-422.32870000000003</v>
      </c>
      <c r="K4114">
        <v>1.1104149999999999</v>
      </c>
      <c r="L4114">
        <v>67.408360000000002</v>
      </c>
      <c r="M4114">
        <v>1.262625E-2</v>
      </c>
      <c r="N4114">
        <v>-1.3578130000000001E-2</v>
      </c>
      <c r="O4114">
        <v>-0.9998281</v>
      </c>
      <c r="P4114">
        <v>7.5321929999999995E-2</v>
      </c>
      <c r="Q4114">
        <v>0.168271799999999</v>
      </c>
      <c r="R4114">
        <v>-0.98285869999999997</v>
      </c>
      <c r="S4114">
        <v>-0.75592040000000005</v>
      </c>
      <c r="T4114">
        <v>1.4941690000000001E-2</v>
      </c>
      <c r="U4114">
        <v>-3.1066889999999998</v>
      </c>
      <c r="V4114">
        <v>-6.289264E-2</v>
      </c>
      <c r="W4114">
        <v>0.1816178</v>
      </c>
      <c r="X4114">
        <v>0.98135600000000001</v>
      </c>
      <c r="Y4114">
        <v>0.2486186</v>
      </c>
      <c r="Z4114">
        <v>-1.8263410000000001E-2</v>
      </c>
      <c r="AA4114">
        <v>0.96842930000000005</v>
      </c>
      <c r="AB4114">
        <v>27</v>
      </c>
      <c r="AC4114">
        <v>-19.290799999999901</v>
      </c>
      <c r="AD4114">
        <v>0.38125799999999999</v>
      </c>
      <c r="AE4114">
        <v>-78.996430000000004</v>
      </c>
      <c r="AF4114">
        <v>20.286336653856399</v>
      </c>
      <c r="AG4114">
        <v>0.38125799999999999</v>
      </c>
      <c r="AH4114">
        <v>78.744807808589201</v>
      </c>
      <c r="AI4114">
        <v>89.731364879323706</v>
      </c>
      <c r="AJ4114">
        <v>75.553519379821196</v>
      </c>
      <c r="AK4114">
        <v>81.316822179102701</v>
      </c>
      <c r="AL4114">
        <v>79.535994296212493</v>
      </c>
      <c r="AM4114">
        <v>93.666927741788101</v>
      </c>
      <c r="AN4114">
        <v>1.0000000540895</v>
      </c>
    </row>
    <row r="4115" spans="1:40" x14ac:dyDescent="0.25">
      <c r="A4115" t="str">
        <f>"20190304155456299"</f>
        <v>20190304155456299</v>
      </c>
      <c r="B4115" t="str">
        <f>"1551686096291948"</f>
        <v>1551686096291948</v>
      </c>
      <c r="C4115" t="s">
        <v>40</v>
      </c>
      <c r="D4115">
        <v>4.815213</v>
      </c>
      <c r="E4115">
        <v>0.62250130000000004</v>
      </c>
      <c r="F4115" t="s">
        <v>84</v>
      </c>
      <c r="G4115">
        <v>-441.5795</v>
      </c>
      <c r="H4115">
        <v>1.5315160000000001</v>
      </c>
      <c r="I4115">
        <v>-11.55528</v>
      </c>
      <c r="J4115">
        <v>-422.3252</v>
      </c>
      <c r="K4115">
        <v>1.1104149999999999</v>
      </c>
      <c r="L4115">
        <v>67.132199999999997</v>
      </c>
      <c r="M4115">
        <v>1.260585E-2</v>
      </c>
      <c r="N4115">
        <v>-1.3640309999999999E-2</v>
      </c>
      <c r="O4115">
        <v>-0.99982760000000004</v>
      </c>
      <c r="P4115">
        <v>7.5922390000000006E-2</v>
      </c>
      <c r="Q4115">
        <v>0.16870789999999999</v>
      </c>
      <c r="R4115">
        <v>-0.982738</v>
      </c>
      <c r="S4115">
        <v>-0.75759889999999996</v>
      </c>
      <c r="T4115">
        <v>1.6571039999999999E-2</v>
      </c>
      <c r="U4115">
        <v>-3.1075439999999999</v>
      </c>
      <c r="V4115">
        <v>-6.3514210000000001E-2</v>
      </c>
      <c r="W4115">
        <v>0.18211340000000001</v>
      </c>
      <c r="X4115">
        <v>0.98122410000000004</v>
      </c>
      <c r="Y4115">
        <v>0.24902949999999999</v>
      </c>
      <c r="Z4115">
        <v>-1.8832339999999999E-2</v>
      </c>
      <c r="AA4115">
        <v>0.96831279999999997</v>
      </c>
      <c r="AB4115">
        <v>27</v>
      </c>
      <c r="AC4115">
        <v>-19.254300000000001</v>
      </c>
      <c r="AD4115">
        <v>0.421101</v>
      </c>
      <c r="AE4115">
        <v>-78.687479999999994</v>
      </c>
      <c r="AF4115">
        <v>20.2442375660886</v>
      </c>
      <c r="AG4115">
        <v>0.421101</v>
      </c>
      <c r="AH4115">
        <v>78.436367744038193</v>
      </c>
      <c r="AI4115">
        <v>89.702159464028099</v>
      </c>
      <c r="AJ4115">
        <v>75.5279291856192</v>
      </c>
      <c r="AK4115">
        <v>81.007840765955706</v>
      </c>
      <c r="AL4115">
        <v>79.507116781995407</v>
      </c>
      <c r="AM4115">
        <v>93.703564158158898</v>
      </c>
      <c r="AN4115">
        <v>1.0000000398761399</v>
      </c>
    </row>
    <row r="4116" spans="1:40" x14ac:dyDescent="0.25">
      <c r="A4116" t="str">
        <f>"20190304155456324"</f>
        <v>20190304155456324</v>
      </c>
      <c r="B4116" t="str">
        <f>"1551686096311469"</f>
        <v>1551686096311469</v>
      </c>
      <c r="C4116" t="s">
        <v>40</v>
      </c>
      <c r="D4116">
        <v>4.0957559999999997</v>
      </c>
      <c r="E4116">
        <v>0.62267430000000001</v>
      </c>
      <c r="F4116" t="s">
        <v>84</v>
      </c>
      <c r="G4116">
        <v>-441.56119999999999</v>
      </c>
      <c r="H4116">
        <v>1.567496</v>
      </c>
      <c r="I4116">
        <v>-11.5403</v>
      </c>
      <c r="J4116">
        <v>-422.32170000000002</v>
      </c>
      <c r="K4116">
        <v>1.1104179999999999</v>
      </c>
      <c r="L4116">
        <v>66.851039999999998</v>
      </c>
      <c r="M4116">
        <v>1.25789E-2</v>
      </c>
      <c r="N4116">
        <v>-1.3694390000000001E-2</v>
      </c>
      <c r="O4116">
        <v>-0.99982709999999997</v>
      </c>
      <c r="P4116">
        <v>7.7090359999999997E-2</v>
      </c>
      <c r="Q4116">
        <v>0.16841879999999901</v>
      </c>
      <c r="R4116">
        <v>-0.98269669999999998</v>
      </c>
      <c r="S4116">
        <v>-0.76000979999999996</v>
      </c>
      <c r="T4116">
        <v>1.805818E-2</v>
      </c>
      <c r="U4116">
        <v>-3.1083370000000001</v>
      </c>
      <c r="V4116">
        <v>-6.470687E-2</v>
      </c>
      <c r="W4116">
        <v>0.18187800000000001</v>
      </c>
      <c r="X4116">
        <v>0.9811898</v>
      </c>
      <c r="Y4116">
        <v>0.2496536</v>
      </c>
      <c r="Z4116">
        <v>-1.9348230000000001E-2</v>
      </c>
      <c r="AA4116">
        <v>0.9681419</v>
      </c>
      <c r="AB4116">
        <v>27</v>
      </c>
      <c r="AC4116">
        <v>-19.2394999999999</v>
      </c>
      <c r="AD4116">
        <v>0.45707799999999899</v>
      </c>
      <c r="AE4116">
        <v>-78.39134</v>
      </c>
      <c r="AF4116">
        <v>20.2234983554984</v>
      </c>
      <c r="AG4116">
        <v>0.45707799999999899</v>
      </c>
      <c r="AH4116">
        <v>78.140596625642104</v>
      </c>
      <c r="AI4116">
        <v>89.675546093522897</v>
      </c>
      <c r="AJ4116">
        <v>75.489714743389797</v>
      </c>
      <c r="AK4116">
        <v>80.716489313177206</v>
      </c>
      <c r="AL4116">
        <v>79.520832910698701</v>
      </c>
      <c r="AM4116">
        <v>93.773041600426197</v>
      </c>
      <c r="AN4116">
        <v>1.00000000476661</v>
      </c>
    </row>
    <row r="4117" spans="1:40" x14ac:dyDescent="0.25">
      <c r="A4117" t="str">
        <f>"20190304155456346"</f>
        <v>20190304155456346</v>
      </c>
      <c r="B4117" t="str">
        <f>"1551686096341724"</f>
        <v>1551686096341724</v>
      </c>
      <c r="C4117" t="s">
        <v>40</v>
      </c>
      <c r="D4117">
        <v>4.5147409999999999</v>
      </c>
      <c r="E4117">
        <v>0.53999399999999997</v>
      </c>
      <c r="F4117" t="s">
        <v>84</v>
      </c>
      <c r="G4117">
        <v>-441.40230000000003</v>
      </c>
      <c r="H4117">
        <v>1.591291</v>
      </c>
      <c r="I4117">
        <v>-11.41024</v>
      </c>
      <c r="J4117">
        <v>-422.31810000000002</v>
      </c>
      <c r="K4117">
        <v>1.110409</v>
      </c>
      <c r="L4117">
        <v>66.564639999999997</v>
      </c>
      <c r="M4117">
        <v>1.2542670000000001E-2</v>
      </c>
      <c r="N4117">
        <v>-1.3740850000000001E-2</v>
      </c>
      <c r="O4117">
        <v>-0.99982689999999996</v>
      </c>
      <c r="P4117">
        <v>7.7946379999999996E-2</v>
      </c>
      <c r="Q4117">
        <v>0.16829340000000001</v>
      </c>
      <c r="R4117">
        <v>-0.98265060000000004</v>
      </c>
      <c r="S4117">
        <v>-0.75799559999999999</v>
      </c>
      <c r="T4117">
        <v>1.91021E-2</v>
      </c>
      <c r="U4117">
        <v>-3.1090089999999999</v>
      </c>
      <c r="V4117">
        <v>-6.5596299999999996E-2</v>
      </c>
      <c r="W4117">
        <v>0.18179880000000001</v>
      </c>
      <c r="X4117">
        <v>0.98114539999999995</v>
      </c>
      <c r="Y4117">
        <v>0.24897710000000001</v>
      </c>
      <c r="Z4117">
        <v>-1.9719980000000002E-2</v>
      </c>
      <c r="AA4117">
        <v>0.96830859999999996</v>
      </c>
      <c r="AB4117">
        <v>27</v>
      </c>
      <c r="AC4117">
        <v>-19.084199999999999</v>
      </c>
      <c r="AD4117">
        <v>0.48088199999999998</v>
      </c>
      <c r="AE4117">
        <v>-77.974879999999999</v>
      </c>
      <c r="AF4117">
        <v>20.060084220603301</v>
      </c>
      <c r="AG4117">
        <v>0.48088199999999998</v>
      </c>
      <c r="AH4117">
        <v>77.7265665754894</v>
      </c>
      <c r="AI4117">
        <v>89.656770939343801</v>
      </c>
      <c r="AJ4117">
        <v>75.528589453721096</v>
      </c>
      <c r="AK4117">
        <v>80.274886347160901</v>
      </c>
      <c r="AL4117">
        <v>79.525447484579402</v>
      </c>
      <c r="AM4117">
        <v>93.824923716828707</v>
      </c>
      <c r="AN4117">
        <v>0.99999998709814397</v>
      </c>
    </row>
    <row r="4118" spans="1:40" x14ac:dyDescent="0.25">
      <c r="A4118" t="str">
        <f>"20190304155456369"</f>
        <v>20190304155456369</v>
      </c>
      <c r="B4118" t="str">
        <f>"1551686096361244"</f>
        <v>1551686096361244</v>
      </c>
      <c r="C4118" t="s">
        <v>40</v>
      </c>
      <c r="D4118">
        <v>4.490056</v>
      </c>
      <c r="E4118">
        <v>0.47108489999999997</v>
      </c>
      <c r="F4118" t="s">
        <v>84</v>
      </c>
      <c r="G4118">
        <v>-424.43610000000001</v>
      </c>
      <c r="H4118">
        <v>1.001017</v>
      </c>
      <c r="I4118">
        <v>0.43227389999999999</v>
      </c>
      <c r="J4118">
        <v>-422.31470000000002</v>
      </c>
      <c r="K4118">
        <v>1.1104050000000001</v>
      </c>
      <c r="L4118">
        <v>66.291169999999994</v>
      </c>
      <c r="M4118">
        <v>1.2499980000000001E-2</v>
      </c>
      <c r="N4118">
        <v>-1.3778759999999999E-2</v>
      </c>
      <c r="O4118">
        <v>-0.99982709999999997</v>
      </c>
      <c r="P4118">
        <v>7.8817670000000006E-2</v>
      </c>
      <c r="Q4118">
        <v>0.1686484</v>
      </c>
      <c r="R4118">
        <v>-0.98252050000000002</v>
      </c>
      <c r="S4118">
        <v>-9.8052979999999998E-2</v>
      </c>
      <c r="T4118">
        <v>-5.0655600000000002E-3</v>
      </c>
      <c r="U4118">
        <v>-3.0616150000000002</v>
      </c>
      <c r="V4118">
        <v>-6.6507860000000002E-2</v>
      </c>
      <c r="W4118">
        <v>0.18219070000000001</v>
      </c>
      <c r="X4118">
        <v>0.98101130000000003</v>
      </c>
      <c r="Y4118">
        <v>4.449533E-2</v>
      </c>
      <c r="Z4118">
        <v>-1.212855E-2</v>
      </c>
      <c r="AA4118">
        <v>0.99893589999999999</v>
      </c>
      <c r="AB4118">
        <v>27</v>
      </c>
      <c r="AC4118">
        <v>-2.1213999999999902</v>
      </c>
      <c r="AD4118">
        <v>-0.109387999999999</v>
      </c>
      <c r="AE4118">
        <v>-65.858896099999995</v>
      </c>
      <c r="AF4118">
        <v>2.9445390186192899</v>
      </c>
      <c r="AG4118">
        <v>-0.109387999999999</v>
      </c>
      <c r="AH4118">
        <v>65.827048331732598</v>
      </c>
      <c r="AI4118">
        <v>90.095115977889606</v>
      </c>
      <c r="AJ4118">
        <v>87.438784303635501</v>
      </c>
      <c r="AK4118">
        <v>65.8929629614193</v>
      </c>
      <c r="AL4118">
        <v>79.502611600709201</v>
      </c>
      <c r="AM4118">
        <v>93.878444233552599</v>
      </c>
      <c r="AN4118">
        <v>0.99999995866797897</v>
      </c>
    </row>
    <row r="4119" spans="1:40" x14ac:dyDescent="0.25">
      <c r="A4119" t="str">
        <f>"20190304155456388"</f>
        <v>20190304155456388</v>
      </c>
      <c r="B4119" t="str">
        <f>"1551686096381740"</f>
        <v>1551686096381740</v>
      </c>
      <c r="C4119" t="s">
        <v>40</v>
      </c>
      <c r="D4119">
        <v>4.4607780000000004</v>
      </c>
      <c r="E4119">
        <v>0.46854760000000001</v>
      </c>
      <c r="F4119" t="s">
        <v>46</v>
      </c>
      <c r="G4119">
        <v>-418.63619999999997</v>
      </c>
      <c r="H4119" s="1">
        <v>-9.9669980000000004E-7</v>
      </c>
      <c r="I4119">
        <v>41.392180000000003</v>
      </c>
      <c r="J4119">
        <v>-422.31180000000001</v>
      </c>
      <c r="K4119">
        <v>1.1104039999999999</v>
      </c>
      <c r="L4119">
        <v>66.050929999999994</v>
      </c>
      <c r="M4119">
        <v>1.245243E-2</v>
      </c>
      <c r="N4119">
        <v>-1.380754E-2</v>
      </c>
      <c r="O4119">
        <v>-0.99982740000000003</v>
      </c>
      <c r="P4119">
        <v>7.9699119999999998E-2</v>
      </c>
      <c r="Q4119">
        <v>0.16880229999999999</v>
      </c>
      <c r="R4119">
        <v>-0.98242289999999999</v>
      </c>
      <c r="S4119">
        <v>0.44921879999999997</v>
      </c>
      <c r="T4119">
        <v>-0.13560069999999999</v>
      </c>
      <c r="U4119">
        <v>-3.040619</v>
      </c>
      <c r="V4119">
        <v>-6.7434069999999999E-2</v>
      </c>
      <c r="W4119">
        <v>0.1823727</v>
      </c>
      <c r="X4119">
        <v>0.98091430000000002</v>
      </c>
      <c r="Y4119">
        <v>-0.13370119999999999</v>
      </c>
      <c r="Z4119">
        <v>3.032251E-2</v>
      </c>
      <c r="AA4119">
        <v>0.99055769999999999</v>
      </c>
      <c r="AB4119">
        <v>27</v>
      </c>
      <c r="AC4119">
        <v>3.67560000000003</v>
      </c>
      <c r="AD4119">
        <v>-1.1104049966998</v>
      </c>
      <c r="AE4119">
        <v>-24.658750000000001</v>
      </c>
      <c r="AF4119">
        <v>-3.36155607644368</v>
      </c>
      <c r="AG4119">
        <v>-1.1104049966998</v>
      </c>
      <c r="AH4119">
        <v>24.653706567423399</v>
      </c>
      <c r="AI4119">
        <v>92.555251864770995</v>
      </c>
      <c r="AJ4119">
        <v>97.764451875363306</v>
      </c>
      <c r="AK4119">
        <v>24.906591617971099</v>
      </c>
      <c r="AL4119">
        <v>79.492006629885694</v>
      </c>
      <c r="AM4119">
        <v>93.932676046479997</v>
      </c>
      <c r="AN4119">
        <v>1.00000000972327</v>
      </c>
    </row>
    <row r="4120" spans="1:40" x14ac:dyDescent="0.25">
      <c r="A4120" t="str">
        <f>"20190304155456411"</f>
        <v>20190304155456411</v>
      </c>
      <c r="B4120" t="str">
        <f>"1551686096401260"</f>
        <v>1551686096401260</v>
      </c>
      <c r="C4120" t="s">
        <v>40</v>
      </c>
      <c r="D4120">
        <v>4.4090119999999997</v>
      </c>
      <c r="E4120">
        <v>0.4677906</v>
      </c>
      <c r="F4120" t="s">
        <v>46</v>
      </c>
      <c r="G4120">
        <v>-418.8451</v>
      </c>
      <c r="H4120" s="1">
        <v>-1.949395E-6</v>
      </c>
      <c r="I4120">
        <v>43.69932</v>
      </c>
      <c r="J4120">
        <v>-422.30829999999997</v>
      </c>
      <c r="K4120">
        <v>1.1103970000000001</v>
      </c>
      <c r="L4120">
        <v>65.769499999999994</v>
      </c>
      <c r="M4120">
        <v>1.238158E-2</v>
      </c>
      <c r="N4120">
        <v>-1.3836350000000001E-2</v>
      </c>
      <c r="O4120">
        <v>-0.99982789999999999</v>
      </c>
      <c r="P4120">
        <v>7.9928100000000002E-2</v>
      </c>
      <c r="Q4120">
        <v>0.1686964</v>
      </c>
      <c r="R4120">
        <v>-0.98242260000000003</v>
      </c>
      <c r="S4120">
        <v>0.47171020000000002</v>
      </c>
      <c r="T4120">
        <v>-0.151092899999999</v>
      </c>
      <c r="U4120">
        <v>-3.041382</v>
      </c>
      <c r="V4120">
        <v>-6.7728800000000006E-2</v>
      </c>
      <c r="W4120">
        <v>0.18229619999999999</v>
      </c>
      <c r="X4120">
        <v>0.98090820000000001</v>
      </c>
      <c r="Y4120">
        <v>-0.1408604</v>
      </c>
      <c r="Z4120">
        <v>3.5261180000000003E-2</v>
      </c>
      <c r="AA4120">
        <v>0.98940130000000004</v>
      </c>
      <c r="AB4120">
        <v>27</v>
      </c>
      <c r="AC4120">
        <v>3.4631999999999699</v>
      </c>
      <c r="AD4120">
        <v>-1.1103989493949999</v>
      </c>
      <c r="AE4120">
        <v>-22.070179999999901</v>
      </c>
      <c r="AF4120">
        <v>-3.1817841480764102</v>
      </c>
      <c r="AG4120">
        <v>-1.1103989493949999</v>
      </c>
      <c r="AH4120">
        <v>22.056880687517701</v>
      </c>
      <c r="AI4120">
        <v>92.852504198383997</v>
      </c>
      <c r="AJ4120">
        <v>98.208497104242994</v>
      </c>
      <c r="AK4120">
        <v>22.312837602043299</v>
      </c>
      <c r="AL4120">
        <v>79.496464338629195</v>
      </c>
      <c r="AM4120">
        <v>93.949834553307696</v>
      </c>
      <c r="AN4120">
        <v>0.99999999585555999</v>
      </c>
    </row>
    <row r="4121" spans="1:40" x14ac:dyDescent="0.25">
      <c r="A4121" t="str">
        <f>"20190304155456435"</f>
        <v>20190304155456435</v>
      </c>
      <c r="B4121" t="str">
        <f>"1551686096431517"</f>
        <v>1551686096431517</v>
      </c>
      <c r="C4121" t="s">
        <v>40</v>
      </c>
      <c r="D4121">
        <v>4.435098</v>
      </c>
      <c r="E4121">
        <v>0.46684150000000002</v>
      </c>
      <c r="F4121" t="s">
        <v>46</v>
      </c>
      <c r="G4121">
        <v>-418.7758</v>
      </c>
      <c r="H4121" s="1">
        <v>-1.7972649999999901E-6</v>
      </c>
      <c r="I4121">
        <v>43.316070000000003</v>
      </c>
      <c r="J4121">
        <v>-422.30500000000001</v>
      </c>
      <c r="K4121">
        <v>1.1103829999999999</v>
      </c>
      <c r="L4121">
        <v>65.490200000000002</v>
      </c>
      <c r="M4121">
        <v>1.229446E-2</v>
      </c>
      <c r="N4121">
        <v>-1.3860519999999999E-2</v>
      </c>
      <c r="O4121">
        <v>-0.99982859999999996</v>
      </c>
      <c r="P4121">
        <v>8.0139699999999994E-2</v>
      </c>
      <c r="Q4121">
        <v>0.16855819999999999</v>
      </c>
      <c r="R4121">
        <v>-0.98242910000000006</v>
      </c>
      <c r="S4121">
        <v>0.47836299999999998</v>
      </c>
      <c r="T4121">
        <v>-0.15036749999999999</v>
      </c>
      <c r="U4121">
        <v>-3.0405880000000001</v>
      </c>
      <c r="V4121">
        <v>-6.8020689999999995E-2</v>
      </c>
      <c r="W4121">
        <v>0.1821837</v>
      </c>
      <c r="X4121">
        <v>0.98090889999999997</v>
      </c>
      <c r="Y4121">
        <v>-0.14309920000000001</v>
      </c>
      <c r="Z4121">
        <v>3.499857E-2</v>
      </c>
      <c r="AA4121">
        <v>0.98908929999999995</v>
      </c>
      <c r="AB4121">
        <v>27</v>
      </c>
      <c r="AC4121">
        <v>3.5291999999999999</v>
      </c>
      <c r="AD4121">
        <v>-1.1103847972649901</v>
      </c>
      <c r="AE4121">
        <v>-22.174130000000002</v>
      </c>
      <c r="AF4121">
        <v>-3.2483439098837499</v>
      </c>
      <c r="AG4121">
        <v>-1.1103847972649901</v>
      </c>
      <c r="AH4121">
        <v>22.161648484772002</v>
      </c>
      <c r="AI4121">
        <v>92.838068331116403</v>
      </c>
      <c r="AJ4121">
        <v>98.338750719767404</v>
      </c>
      <c r="AK4121">
        <v>22.425952736003801</v>
      </c>
      <c r="AL4121">
        <v>79.503019856504196</v>
      </c>
      <c r="AM4121">
        <v>93.9668000581337</v>
      </c>
      <c r="AN4121">
        <v>0.99999999245648796</v>
      </c>
    </row>
    <row r="4122" spans="1:40" x14ac:dyDescent="0.25">
      <c r="A4122" t="str">
        <f>"20190304155456455"</f>
        <v>20190304155456455</v>
      </c>
      <c r="B4122" t="str">
        <f>"1551686096452012"</f>
        <v>1551686096452012</v>
      </c>
      <c r="C4122" t="s">
        <v>40</v>
      </c>
      <c r="D4122">
        <v>4.4902829999999998</v>
      </c>
      <c r="E4122">
        <v>0.4665532</v>
      </c>
      <c r="F4122" t="s">
        <v>46</v>
      </c>
      <c r="G4122">
        <v>-418.89109999999999</v>
      </c>
      <c r="H4122" s="1">
        <v>-2.126159E-6</v>
      </c>
      <c r="I4122">
        <v>44.130400000000002</v>
      </c>
      <c r="J4122">
        <v>-422.3021</v>
      </c>
      <c r="K4122">
        <v>1.110374</v>
      </c>
      <c r="L4122">
        <v>65.246639999999999</v>
      </c>
      <c r="M4122">
        <v>1.2205260000000001E-2</v>
      </c>
      <c r="N4122">
        <v>-1.3878440000000001E-2</v>
      </c>
      <c r="O4122">
        <v>-0.99982939999999998</v>
      </c>
      <c r="P4122">
        <v>8.0782640000000003E-2</v>
      </c>
      <c r="Q4122">
        <v>0.16817209999999999</v>
      </c>
      <c r="R4122">
        <v>-0.98244229999999999</v>
      </c>
      <c r="S4122">
        <v>0.48605350000000003</v>
      </c>
      <c r="T4122">
        <v>-0.15809300000000001</v>
      </c>
      <c r="U4122">
        <v>-3.0411380000000001</v>
      </c>
      <c r="V4122">
        <v>-6.8747130000000004E-2</v>
      </c>
      <c r="W4122">
        <v>0.18181749999999999</v>
      </c>
      <c r="X4122">
        <v>0.98092619999999997</v>
      </c>
      <c r="Y4122">
        <v>-0.14558180000000001</v>
      </c>
      <c r="Z4122">
        <v>3.7456259999999998E-2</v>
      </c>
      <c r="AA4122">
        <v>0.98863690000000004</v>
      </c>
      <c r="AB4122">
        <v>27</v>
      </c>
      <c r="AC4122">
        <v>3.411</v>
      </c>
      <c r="AD4122">
        <v>-1.1103761261589999</v>
      </c>
      <c r="AE4122">
        <v>-21.116240000000001</v>
      </c>
      <c r="AF4122">
        <v>-3.1445181817326802</v>
      </c>
      <c r="AG4122">
        <v>-1.1103761261589999</v>
      </c>
      <c r="AH4122">
        <v>21.099445005999101</v>
      </c>
      <c r="AI4122">
        <v>92.9796119690822</v>
      </c>
      <c r="AJ4122">
        <v>98.476584305272596</v>
      </c>
      <c r="AK4122">
        <v>21.3613555117172</v>
      </c>
      <c r="AL4122">
        <v>79.524357930630401</v>
      </c>
      <c r="AM4122">
        <v>94.008956373094506</v>
      </c>
      <c r="AN4122">
        <v>0.99999999051796296</v>
      </c>
    </row>
    <row r="4123" spans="1:40" x14ac:dyDescent="0.25">
      <c r="A4123" t="str">
        <f>"20190304155456479"</f>
        <v>20190304155456479</v>
      </c>
      <c r="B4123" t="str">
        <f>"1551686096471532"</f>
        <v>1551686096471532</v>
      </c>
      <c r="C4123" t="s">
        <v>40</v>
      </c>
      <c r="D4123">
        <v>4.4606760000000003</v>
      </c>
      <c r="E4123">
        <v>0.46620889999999998</v>
      </c>
      <c r="F4123" t="s">
        <v>46</v>
      </c>
      <c r="G4123">
        <v>-419.02330000000001</v>
      </c>
      <c r="H4123" s="1">
        <v>-2.4418390000000001E-6</v>
      </c>
      <c r="I4123">
        <v>44.920920000000002</v>
      </c>
      <c r="J4123">
        <v>-422.2987</v>
      </c>
      <c r="K4123">
        <v>1.110371</v>
      </c>
      <c r="L4123">
        <v>64.962590000000006</v>
      </c>
      <c r="M4123">
        <v>1.2089000000000001E-2</v>
      </c>
      <c r="N4123">
        <v>-1.3896199999999999E-2</v>
      </c>
      <c r="O4123">
        <v>-0.99983029999999995</v>
      </c>
      <c r="P4123">
        <v>8.0988779999999996E-2</v>
      </c>
      <c r="Q4123">
        <v>0.1681792</v>
      </c>
      <c r="R4123">
        <v>-0.98242379999999996</v>
      </c>
      <c r="S4123">
        <v>0.49066159999999998</v>
      </c>
      <c r="T4123">
        <v>-0.16616639999999999</v>
      </c>
      <c r="U4123">
        <v>-3.0417179999999999</v>
      </c>
      <c r="V4123">
        <v>-6.9062499999999999E-2</v>
      </c>
      <c r="W4123">
        <v>0.1818438</v>
      </c>
      <c r="X4123">
        <v>0.98089919999999997</v>
      </c>
      <c r="Y4123">
        <v>-0.14710809999999999</v>
      </c>
      <c r="Z4123">
        <v>4.0030320000000001E-2</v>
      </c>
      <c r="AA4123">
        <v>0.98831009999999997</v>
      </c>
      <c r="AB4123">
        <v>27</v>
      </c>
      <c r="AC4123">
        <v>3.2753999999999901</v>
      </c>
      <c r="AD4123">
        <v>-1.1103734418390001</v>
      </c>
      <c r="AE4123">
        <v>-20.04167</v>
      </c>
      <c r="AF4123">
        <v>-3.0238132495068601</v>
      </c>
      <c r="AG4123">
        <v>-1.1103734418390001</v>
      </c>
      <c r="AH4123">
        <v>20.019952318836001</v>
      </c>
      <c r="AI4123">
        <v>93.139031685074897</v>
      </c>
      <c r="AJ4123">
        <v>98.5890321162438</v>
      </c>
      <c r="AK4123">
        <v>20.277447240634199</v>
      </c>
      <c r="AL4123">
        <v>79.522825802710997</v>
      </c>
      <c r="AM4123">
        <v>94.027397138206496</v>
      </c>
      <c r="AN4123">
        <v>1.0000000185326601</v>
      </c>
    </row>
    <row r="4124" spans="1:40" x14ac:dyDescent="0.25">
      <c r="A4124" t="str">
        <f>"20190304155456499"</f>
        <v>20190304155456499</v>
      </c>
      <c r="B4124" t="str">
        <f>"1551686096492028"</f>
        <v>1551686096492028</v>
      </c>
      <c r="C4124" t="s">
        <v>40</v>
      </c>
      <c r="D4124">
        <v>4.4665609999999996</v>
      </c>
      <c r="E4124">
        <v>0.46606170000000002</v>
      </c>
      <c r="F4124" t="s">
        <v>46</v>
      </c>
      <c r="G4124">
        <v>-419.10640000000001</v>
      </c>
      <c r="H4124" s="1">
        <v>-2.5930270000000001E-6</v>
      </c>
      <c r="I4124">
        <v>45.307679999999998</v>
      </c>
      <c r="J4124">
        <v>-422.29579999999999</v>
      </c>
      <c r="K4124">
        <v>1.1103689999999999</v>
      </c>
      <c r="L4124">
        <v>64.70966</v>
      </c>
      <c r="M4124">
        <v>1.197491E-2</v>
      </c>
      <c r="N4124">
        <v>-1.3909390000000001E-2</v>
      </c>
      <c r="O4124">
        <v>-0.99983169999999999</v>
      </c>
      <c r="P4124">
        <v>8.1435439999999998E-2</v>
      </c>
      <c r="Q4124">
        <v>0.16765260000000001</v>
      </c>
      <c r="R4124">
        <v>-0.98247720000000005</v>
      </c>
      <c r="S4124">
        <v>0.49414059999999999</v>
      </c>
      <c r="T4124">
        <v>-0.17187330000000001</v>
      </c>
      <c r="U4124">
        <v>-3.0423580000000001</v>
      </c>
      <c r="V4124">
        <v>-6.9617369999999998E-2</v>
      </c>
      <c r="W4124">
        <v>0.1813322</v>
      </c>
      <c r="X4124">
        <v>0.98095460000000001</v>
      </c>
      <c r="Y4124">
        <v>-0.14827499999999999</v>
      </c>
      <c r="Z4124">
        <v>4.1842369999999997E-2</v>
      </c>
      <c r="AA4124">
        <v>0.98806059999999996</v>
      </c>
      <c r="AB4124">
        <v>27</v>
      </c>
      <c r="AC4124">
        <v>3.1893999999999698</v>
      </c>
      <c r="AD4124">
        <v>-1.1103715930269999</v>
      </c>
      <c r="AE4124">
        <v>-19.401979999999998</v>
      </c>
      <c r="AF4124">
        <v>-2.9474123454451999</v>
      </c>
      <c r="AG4124">
        <v>-1.1103715930269999</v>
      </c>
      <c r="AH4124">
        <v>19.376990383139201</v>
      </c>
      <c r="AI4124">
        <v>93.242453541276205</v>
      </c>
      <c r="AJ4124">
        <v>98.648900086490201</v>
      </c>
      <c r="AK4124">
        <v>19.631299521859301</v>
      </c>
      <c r="AL4124">
        <v>79.552633021018906</v>
      </c>
      <c r="AM4124">
        <v>94.059418259281401</v>
      </c>
      <c r="AN4124">
        <v>0.999999936111856</v>
      </c>
    </row>
    <row r="4125" spans="1:40" x14ac:dyDescent="0.25">
      <c r="A4125" t="str">
        <f>"20190304155456524"</f>
        <v>20190304155456524</v>
      </c>
      <c r="B4125" t="str">
        <f>"1551686096511550"</f>
        <v>1551686096511550</v>
      </c>
      <c r="C4125" t="s">
        <v>40</v>
      </c>
      <c r="D4125">
        <v>4.5133650000000003</v>
      </c>
      <c r="E4125">
        <v>0.46595320000000001</v>
      </c>
      <c r="F4125" t="s">
        <v>46</v>
      </c>
      <c r="G4125">
        <v>-419.2</v>
      </c>
      <c r="H4125" s="1">
        <v>-2.7699540000000002E-6</v>
      </c>
      <c r="I4125">
        <v>45.758800000000001</v>
      </c>
      <c r="J4125">
        <v>-422.29259999999999</v>
      </c>
      <c r="K4125">
        <v>1.110365</v>
      </c>
      <c r="L4125">
        <v>64.430759999999907</v>
      </c>
      <c r="M4125">
        <v>1.184198E-2</v>
      </c>
      <c r="N4125">
        <v>-1.3921579999999999E-2</v>
      </c>
      <c r="O4125">
        <v>-0.99983319999999998</v>
      </c>
      <c r="P4125">
        <v>8.2372609999999999E-2</v>
      </c>
      <c r="Q4125">
        <v>0.1674995</v>
      </c>
      <c r="R4125">
        <v>-0.98242529999999995</v>
      </c>
      <c r="S4125">
        <v>0.49707030000000002</v>
      </c>
      <c r="T4125">
        <v>-0.17828150000000001</v>
      </c>
      <c r="U4125">
        <v>-3.0427550000000001</v>
      </c>
      <c r="V4125">
        <v>-7.0683330000000003E-2</v>
      </c>
      <c r="W4125">
        <v>0.18119150000000001</v>
      </c>
      <c r="X4125">
        <v>0.98090449999999996</v>
      </c>
      <c r="Y4125">
        <v>-0.14929589999999901</v>
      </c>
      <c r="Z4125">
        <v>4.3886090000000003E-2</v>
      </c>
      <c r="AA4125">
        <v>0.98781819999999998</v>
      </c>
      <c r="AB4125">
        <v>27</v>
      </c>
      <c r="AC4125">
        <v>3.0926</v>
      </c>
      <c r="AD4125">
        <v>-1.110367769954</v>
      </c>
      <c r="AE4125">
        <v>-18.671959999999899</v>
      </c>
      <c r="AF4125">
        <v>-2.86140004974169</v>
      </c>
      <c r="AG4125">
        <v>-1.110367769954</v>
      </c>
      <c r="AH4125">
        <v>18.6431084909944</v>
      </c>
      <c r="AI4125">
        <v>93.369102140835594</v>
      </c>
      <c r="AJ4125">
        <v>98.725834549437494</v>
      </c>
      <c r="AK4125">
        <v>18.894073701459899</v>
      </c>
      <c r="AL4125">
        <v>79.560831692681305</v>
      </c>
      <c r="AM4125">
        <v>94.121572036086107</v>
      </c>
      <c r="AN4125">
        <v>1.00000006546619</v>
      </c>
    </row>
    <row r="4126" spans="1:40" x14ac:dyDescent="0.25">
      <c r="A4126" t="str">
        <f>"20190304155456569"</f>
        <v>20190304155456569</v>
      </c>
      <c r="B4126" t="str">
        <f>"1551686096561324"</f>
        <v>1551686096561324</v>
      </c>
      <c r="C4126" t="s">
        <v>40</v>
      </c>
      <c r="D4126">
        <v>4.5491739999999998</v>
      </c>
      <c r="E4126">
        <v>0.46634360000000002</v>
      </c>
      <c r="F4126" t="s">
        <v>46</v>
      </c>
      <c r="G4126">
        <v>-419.1902</v>
      </c>
      <c r="H4126" s="1">
        <v>-2.6973820000000001E-6</v>
      </c>
      <c r="I4126">
        <v>45.585599999999999</v>
      </c>
      <c r="J4126">
        <v>-422.28649999999999</v>
      </c>
      <c r="K4126">
        <v>1.1103809999999901</v>
      </c>
      <c r="L4126">
        <v>63.89029</v>
      </c>
      <c r="M4126">
        <v>1.1575230000000001E-2</v>
      </c>
      <c r="N4126">
        <v>-1.3939119999999999E-2</v>
      </c>
      <c r="O4126">
        <v>-0.99983580000000005</v>
      </c>
      <c r="P4126">
        <v>8.3935549999999998E-2</v>
      </c>
      <c r="Q4126">
        <v>0.1675141</v>
      </c>
      <c r="R4126">
        <v>-0.98229</v>
      </c>
      <c r="S4126">
        <v>0.50082399999999905</v>
      </c>
      <c r="T4126">
        <v>-0.17925050000000001</v>
      </c>
      <c r="U4126">
        <v>-3.0422359999999999</v>
      </c>
      <c r="V4126">
        <v>-7.2508820000000002E-2</v>
      </c>
      <c r="W4126">
        <v>0.18122250000000001</v>
      </c>
      <c r="X4126">
        <v>0.98076549999999996</v>
      </c>
      <c r="Y4126">
        <v>-0.15076999999999999</v>
      </c>
      <c r="Z4126">
        <v>4.4179280000000001E-2</v>
      </c>
      <c r="AA4126">
        <v>0.98758120000000005</v>
      </c>
      <c r="AB4126">
        <v>27</v>
      </c>
      <c r="AC4126">
        <v>3.0962999999999798</v>
      </c>
      <c r="AD4126">
        <v>-1.1103836973819901</v>
      </c>
      <c r="AE4126">
        <v>-18.304690000000001</v>
      </c>
      <c r="AF4126">
        <v>-2.87390975829019</v>
      </c>
      <c r="AG4126">
        <v>-1.1103836973819901</v>
      </c>
      <c r="AH4126">
        <v>18.273933839950999</v>
      </c>
      <c r="AI4126">
        <v>93.435084713747202</v>
      </c>
      <c r="AJ4126">
        <v>98.937601807488093</v>
      </c>
      <c r="AK4126">
        <v>18.531836585754601</v>
      </c>
      <c r="AL4126">
        <v>79.5590254052711</v>
      </c>
      <c r="AM4126">
        <v>94.228232948593401</v>
      </c>
      <c r="AN4126">
        <v>1.00000004473714</v>
      </c>
    </row>
    <row r="4127" spans="1:40" x14ac:dyDescent="0.25">
      <c r="A4127" t="str">
        <f>"20190304155456593"</f>
        <v>20190304155456593</v>
      </c>
      <c r="B4127" t="str">
        <f>"1551686096581821"</f>
        <v>1551686096581821</v>
      </c>
      <c r="C4127" t="s">
        <v>40</v>
      </c>
      <c r="D4127">
        <v>4.5741529999999999</v>
      </c>
      <c r="E4127">
        <v>0.4665668</v>
      </c>
      <c r="F4127" t="s">
        <v>46</v>
      </c>
      <c r="G4127">
        <v>-419.13440000000003</v>
      </c>
      <c r="H4127" s="1">
        <v>-2.3835900000000001E-6</v>
      </c>
      <c r="I4127">
        <v>44.831049999999998</v>
      </c>
      <c r="J4127">
        <v>-422.28320000000002</v>
      </c>
      <c r="K4127">
        <v>1.1103860000000001</v>
      </c>
      <c r="L4127">
        <v>63.594880000000003</v>
      </c>
      <c r="M4127">
        <v>1.1430289999999999E-2</v>
      </c>
      <c r="N4127">
        <v>-1.3946129999999999E-2</v>
      </c>
      <c r="O4127">
        <v>-0.99983750000000005</v>
      </c>
      <c r="P4127">
        <v>8.5924630000000002E-2</v>
      </c>
      <c r="Q4127">
        <v>0.16659930000000001</v>
      </c>
      <c r="R4127">
        <v>-0.98227370000000003</v>
      </c>
      <c r="S4127">
        <v>0.50299070000000001</v>
      </c>
      <c r="T4127">
        <v>-0.17718610000000001</v>
      </c>
      <c r="U4127">
        <v>-3.0413209999999999</v>
      </c>
      <c r="V4127">
        <v>-7.464076E-2</v>
      </c>
      <c r="W4127">
        <v>0.18031539999999999</v>
      </c>
      <c r="X4127">
        <v>0.98077270000000005</v>
      </c>
      <c r="Y4127">
        <v>-0.1516507</v>
      </c>
      <c r="Z4127">
        <v>4.3514949999999997E-2</v>
      </c>
      <c r="AA4127">
        <v>0.98747580000000001</v>
      </c>
      <c r="AB4127">
        <v>27</v>
      </c>
      <c r="AC4127">
        <v>3.1487999999999898</v>
      </c>
      <c r="AD4127">
        <v>-1.1103883835899999</v>
      </c>
      <c r="AE4127">
        <v>-18.763829999999999</v>
      </c>
      <c r="AF4127">
        <v>-2.9241377570595999</v>
      </c>
      <c r="AG4127">
        <v>-1.1103883835899999</v>
      </c>
      <c r="AH4127">
        <v>18.7347883049617</v>
      </c>
      <c r="AI4127">
        <v>93.351401814389902</v>
      </c>
      <c r="AJ4127">
        <v>98.871186575701699</v>
      </c>
      <c r="AK4127">
        <v>18.994100052816499</v>
      </c>
      <c r="AL4127">
        <v>79.611868375020293</v>
      </c>
      <c r="AM4127">
        <v>94.352050849262795</v>
      </c>
      <c r="AN4127">
        <v>0.99999998779791299</v>
      </c>
    </row>
    <row r="4128" spans="1:40" x14ac:dyDescent="0.25">
      <c r="A4128" t="str">
        <f>"20190304155456615"</f>
        <v>20190304155456615</v>
      </c>
      <c r="B4128" t="str">
        <f>"1551686096612076"</f>
        <v>1551686096612076</v>
      </c>
      <c r="C4128" t="s">
        <v>40</v>
      </c>
      <c r="D4128">
        <v>4.5113409999999998</v>
      </c>
      <c r="E4128">
        <v>0.46678950000000002</v>
      </c>
      <c r="F4128" t="s">
        <v>46</v>
      </c>
      <c r="G4128">
        <v>-419.17559999999997</v>
      </c>
      <c r="H4128" s="1">
        <v>-2.4379899999999999E-6</v>
      </c>
      <c r="I4128">
        <v>44.974910000000001</v>
      </c>
      <c r="J4128">
        <v>-422.28030000000001</v>
      </c>
      <c r="K4128">
        <v>1.1103889999999901</v>
      </c>
      <c r="L4128">
        <v>63.332120000000003</v>
      </c>
      <c r="M4128">
        <v>1.130304E-2</v>
      </c>
      <c r="N4128">
        <v>-1.3951130000000001E-2</v>
      </c>
      <c r="O4128">
        <v>-0.99983889999999997</v>
      </c>
      <c r="P4128">
        <v>8.8524370000000005E-2</v>
      </c>
      <c r="Q4128">
        <v>0.1668084</v>
      </c>
      <c r="R4128">
        <v>-0.98200750000000003</v>
      </c>
      <c r="S4128">
        <v>0.50744630000000002</v>
      </c>
      <c r="T4128">
        <v>-0.1813179</v>
      </c>
      <c r="U4128">
        <v>-3.0404969999999998</v>
      </c>
      <c r="V4128">
        <v>-7.7369060000000003E-2</v>
      </c>
      <c r="W4128">
        <v>0.18052650000000001</v>
      </c>
      <c r="X4128">
        <v>0.98052240000000002</v>
      </c>
      <c r="Y4128">
        <v>-0.15321570000000001</v>
      </c>
      <c r="Z4128">
        <v>4.4847169999999999E-2</v>
      </c>
      <c r="AA4128">
        <v>0.98717460000000001</v>
      </c>
      <c r="AB4128">
        <v>27</v>
      </c>
      <c r="AC4128">
        <v>3.10470000000003</v>
      </c>
      <c r="AD4128">
        <v>-1.11039143799</v>
      </c>
      <c r="AE4128">
        <v>-18.357209999999998</v>
      </c>
      <c r="AF4128">
        <v>-2.8867209498299</v>
      </c>
      <c r="AG4128">
        <v>-1.11039143799</v>
      </c>
      <c r="AH4128">
        <v>18.325946634095398</v>
      </c>
      <c r="AI4128">
        <v>93.425249672612196</v>
      </c>
      <c r="AJ4128">
        <v>98.951731244485103</v>
      </c>
      <c r="AK4128">
        <v>18.5851135865096</v>
      </c>
      <c r="AL4128">
        <v>79.599571383907403</v>
      </c>
      <c r="AM4128">
        <v>94.511630544253904</v>
      </c>
      <c r="AN4128">
        <v>0.99999998277464597</v>
      </c>
    </row>
    <row r="4129" spans="1:40" x14ac:dyDescent="0.25">
      <c r="A4129" t="str">
        <f>"20190304155456635"</f>
        <v>20190304155456635</v>
      </c>
      <c r="B4129" t="str">
        <f>"1551686096631597"</f>
        <v>1551686096631597</v>
      </c>
      <c r="C4129" t="s">
        <v>40</v>
      </c>
      <c r="D4129">
        <v>4.4911479999999999</v>
      </c>
      <c r="E4129">
        <v>0.46705540000000001</v>
      </c>
      <c r="F4129" t="s">
        <v>46</v>
      </c>
      <c r="G4129">
        <v>-419.14280000000002</v>
      </c>
      <c r="H4129" s="1">
        <v>-2.3447370000000001E-6</v>
      </c>
      <c r="I4129">
        <v>44.743960000000001</v>
      </c>
      <c r="J4129">
        <v>-422.27769999999998</v>
      </c>
      <c r="K4129">
        <v>1.1103959999999999</v>
      </c>
      <c r="L4129">
        <v>63.089570000000002</v>
      </c>
      <c r="M4129">
        <v>1.1187219999999999E-2</v>
      </c>
      <c r="N4129">
        <v>-1.395478E-2</v>
      </c>
      <c r="O4129">
        <v>-0.99984010000000001</v>
      </c>
      <c r="P4129">
        <v>9.1055129999999998E-2</v>
      </c>
      <c r="Q4129">
        <v>0.16703950000000001</v>
      </c>
      <c r="R4129">
        <v>-0.98173659999999996</v>
      </c>
      <c r="S4129">
        <v>0.51306149999999995</v>
      </c>
      <c r="T4129">
        <v>-0.18157390000000001</v>
      </c>
      <c r="U4129">
        <v>-3.0395810000000001</v>
      </c>
      <c r="V4129">
        <v>-8.0016309999999993E-2</v>
      </c>
      <c r="W4129">
        <v>0.18075859999999999</v>
      </c>
      <c r="X4129">
        <v>0.98026720000000001</v>
      </c>
      <c r="Y4129">
        <v>-0.15515019999999999</v>
      </c>
      <c r="Z4129">
        <v>4.4925960000000001E-2</v>
      </c>
      <c r="AA4129">
        <v>0.98686890000000005</v>
      </c>
      <c r="AB4129">
        <v>27</v>
      </c>
      <c r="AC4129">
        <v>3.1348999999999498</v>
      </c>
      <c r="AD4129">
        <v>-1.1103983447369901</v>
      </c>
      <c r="AE4129">
        <v>-18.345610000000001</v>
      </c>
      <c r="AF4129">
        <v>-2.91905694232954</v>
      </c>
      <c r="AG4129">
        <v>-1.1103983447369901</v>
      </c>
      <c r="AH4129">
        <v>18.3143453672524</v>
      </c>
      <c r="AI4129">
        <v>93.426449738078901</v>
      </c>
      <c r="AJ4129">
        <v>99.055992564342702</v>
      </c>
      <c r="AK4129">
        <v>18.578727732209099</v>
      </c>
      <c r="AL4129">
        <v>79.586051122507797</v>
      </c>
      <c r="AM4129">
        <v>94.666538898714904</v>
      </c>
      <c r="AN4129">
        <v>1.0000000323678999</v>
      </c>
    </row>
    <row r="4130" spans="1:40" x14ac:dyDescent="0.25">
      <c r="A4130" t="str">
        <f>"20190304155456656"</f>
        <v>20190304155456656</v>
      </c>
      <c r="B4130" t="str">
        <f>"1551686096652093"</f>
        <v>1551686096652093</v>
      </c>
      <c r="C4130" t="s">
        <v>40</v>
      </c>
      <c r="D4130">
        <v>4.4520580000000001</v>
      </c>
      <c r="E4130">
        <v>0.46722619999999998</v>
      </c>
      <c r="F4130" t="s">
        <v>46</v>
      </c>
      <c r="G4130">
        <v>-419.04719999999998</v>
      </c>
      <c r="H4130" s="1">
        <v>-2.1270129999999999E-6</v>
      </c>
      <c r="I4130">
        <v>44.196939999999998</v>
      </c>
      <c r="J4130">
        <v>-422.27499999999998</v>
      </c>
      <c r="K4130">
        <v>1.110395</v>
      </c>
      <c r="L4130">
        <v>62.837919999999997</v>
      </c>
      <c r="M4130">
        <v>1.106824E-2</v>
      </c>
      <c r="N4130">
        <v>-1.395771E-2</v>
      </c>
      <c r="O4130">
        <v>-0.99984150000000005</v>
      </c>
      <c r="P4130">
        <v>9.4337069999999995E-2</v>
      </c>
      <c r="Q4130">
        <v>0.16682859999999999</v>
      </c>
      <c r="R4130">
        <v>-0.98146279999999997</v>
      </c>
      <c r="S4130">
        <v>0.51947019999999999</v>
      </c>
      <c r="T4130">
        <v>-0.17855550000000001</v>
      </c>
      <c r="U4130">
        <v>-3.0379939999999999</v>
      </c>
      <c r="V4130">
        <v>-8.3418720000000002E-2</v>
      </c>
      <c r="W4130">
        <v>0.18054809999999999</v>
      </c>
      <c r="X4130">
        <v>0.98002230000000001</v>
      </c>
      <c r="Y4130">
        <v>-0.15738239999999901</v>
      </c>
      <c r="Z4130">
        <v>4.3956849999999999E-2</v>
      </c>
      <c r="AA4130">
        <v>0.98655899999999996</v>
      </c>
      <c r="AB4130">
        <v>27</v>
      </c>
      <c r="AC4130">
        <v>3.2277999999999998</v>
      </c>
      <c r="AD4130">
        <v>-1.110397127013</v>
      </c>
      <c r="AE4130">
        <v>-18.6409799999999</v>
      </c>
      <c r="AF4130">
        <v>-3.0108868358845302</v>
      </c>
      <c r="AG4130">
        <v>-1.110397127013</v>
      </c>
      <c r="AH4130">
        <v>18.6114510365096</v>
      </c>
      <c r="AI4130">
        <v>93.370616578884693</v>
      </c>
      <c r="AJ4130">
        <v>99.189468878997602</v>
      </c>
      <c r="AK4130">
        <v>18.886093587679099</v>
      </c>
      <c r="AL4130">
        <v>79.598313341381498</v>
      </c>
      <c r="AM4130">
        <v>94.865243856475303</v>
      </c>
      <c r="AN4130">
        <v>1.0000000038786601</v>
      </c>
    </row>
    <row r="4131" spans="1:40" x14ac:dyDescent="0.25">
      <c r="A4131" t="str">
        <f>"20190304155456679"</f>
        <v>20190304155456679</v>
      </c>
      <c r="B4131" t="str">
        <f>"1551686096671612"</f>
        <v>1551686096671612</v>
      </c>
      <c r="C4131" t="s">
        <v>40</v>
      </c>
      <c r="D4131">
        <v>4.4311680000000004</v>
      </c>
      <c r="E4131">
        <v>0.4673505</v>
      </c>
      <c r="F4131" t="s">
        <v>46</v>
      </c>
      <c r="G4131">
        <v>-418.9821</v>
      </c>
      <c r="H4131" s="1">
        <v>-2.023423E-6</v>
      </c>
      <c r="I4131">
        <v>43.928539999999998</v>
      </c>
      <c r="J4131">
        <v>-422.27210000000002</v>
      </c>
      <c r="K4131">
        <v>1.110395</v>
      </c>
      <c r="L4131">
        <v>62.561219999999999</v>
      </c>
      <c r="M4131">
        <v>1.0938160000000001E-2</v>
      </c>
      <c r="N4131">
        <v>-1.3960169999999999E-2</v>
      </c>
      <c r="O4131">
        <v>-0.99984289999999998</v>
      </c>
      <c r="P4131">
        <v>9.7125740000000002E-2</v>
      </c>
      <c r="Q4131">
        <v>0.16629929999999901</v>
      </c>
      <c r="R4131">
        <v>-0.98128040000000005</v>
      </c>
      <c r="S4131">
        <v>0.52871699999999999</v>
      </c>
      <c r="T4131">
        <v>-0.1782897</v>
      </c>
      <c r="U4131">
        <v>-3.0361630000000002</v>
      </c>
      <c r="V4131">
        <v>-8.6336789999999997E-2</v>
      </c>
      <c r="W4131">
        <v>0.1800195</v>
      </c>
      <c r="X4131">
        <v>0.97986680000000004</v>
      </c>
      <c r="Y4131">
        <v>-0.160525799999999</v>
      </c>
      <c r="Z4131">
        <v>4.3873370000000002E-2</v>
      </c>
      <c r="AA4131">
        <v>0.98605609999999999</v>
      </c>
      <c r="AB4131">
        <v>27</v>
      </c>
      <c r="AC4131">
        <v>3.29000000000002</v>
      </c>
      <c r="AD4131">
        <v>-1.1103970234230001</v>
      </c>
      <c r="AE4131">
        <v>-18.632679999999901</v>
      </c>
      <c r="AF4131">
        <v>-3.0753842294726699</v>
      </c>
      <c r="AG4131">
        <v>-1.1103970234230001</v>
      </c>
      <c r="AH4131">
        <v>18.603483381190799</v>
      </c>
      <c r="AI4131">
        <v>93.370162084668706</v>
      </c>
      <c r="AJ4131">
        <v>99.386802267470202</v>
      </c>
      <c r="AK4131">
        <v>18.888635832763502</v>
      </c>
      <c r="AL4131">
        <v>79.629104411933696</v>
      </c>
      <c r="AM4131">
        <v>95.035369764662406</v>
      </c>
      <c r="AN4131">
        <v>1.0000000037149901</v>
      </c>
    </row>
    <row r="4132" spans="1:40" x14ac:dyDescent="0.25">
      <c r="A4132" t="str">
        <f>"20190304155456700"</f>
        <v>20190304155456700</v>
      </c>
      <c r="B4132" t="str">
        <f>"1551686096691133"</f>
        <v>1551686096691133</v>
      </c>
      <c r="C4132" t="s">
        <v>40</v>
      </c>
      <c r="D4132">
        <v>4.3540260000000002</v>
      </c>
      <c r="E4132">
        <v>0.46749540000000001</v>
      </c>
      <c r="F4132" t="s">
        <v>46</v>
      </c>
      <c r="G4132">
        <v>-418.97989999999999</v>
      </c>
      <c r="H4132" s="1">
        <v>-2.0281519999999999E-6</v>
      </c>
      <c r="I4132">
        <v>43.938659999999999</v>
      </c>
      <c r="J4132">
        <v>-422.26940000000002</v>
      </c>
      <c r="K4132">
        <v>1.110395</v>
      </c>
      <c r="L4132">
        <v>62.30368</v>
      </c>
      <c r="M4132">
        <v>1.0817449999999999E-2</v>
      </c>
      <c r="N4132">
        <v>-1.396185E-2</v>
      </c>
      <c r="O4132">
        <v>-0.99984410000000001</v>
      </c>
      <c r="P4132">
        <v>0.1002702</v>
      </c>
      <c r="Q4132">
        <v>0.16567799999999999</v>
      </c>
      <c r="R4132">
        <v>-0.98106930000000003</v>
      </c>
      <c r="S4132">
        <v>0.53649899999999995</v>
      </c>
      <c r="T4132">
        <v>-0.1809537</v>
      </c>
      <c r="U4132">
        <v>-3.0347900000000001</v>
      </c>
      <c r="V4132">
        <v>-8.9602810000000005E-2</v>
      </c>
      <c r="W4132">
        <v>0.179398</v>
      </c>
      <c r="X4132">
        <v>0.97968759999999999</v>
      </c>
      <c r="Y4132">
        <v>-0.1631638</v>
      </c>
      <c r="Z4132">
        <v>4.4733639999999998E-2</v>
      </c>
      <c r="AA4132">
        <v>0.98558429999999997</v>
      </c>
      <c r="AB4132">
        <v>27</v>
      </c>
      <c r="AC4132">
        <v>3.2895000000000301</v>
      </c>
      <c r="AD4132">
        <v>-1.1103970281519999</v>
      </c>
      <c r="AE4132">
        <v>-18.365020000000001</v>
      </c>
      <c r="AF4132">
        <v>-3.0797168373064601</v>
      </c>
      <c r="AG4132">
        <v>-1.1103970281519999</v>
      </c>
      <c r="AH4132">
        <v>18.334590022872302</v>
      </c>
      <c r="AI4132">
        <v>93.418000741583199</v>
      </c>
      <c r="AJ4132">
        <v>99.535133500940603</v>
      </c>
      <c r="AK4132">
        <v>18.624575932485701</v>
      </c>
      <c r="AL4132">
        <v>79.665303539694094</v>
      </c>
      <c r="AM4132">
        <v>95.225767149073206</v>
      </c>
      <c r="AN4132">
        <v>1.00000004977882</v>
      </c>
    </row>
    <row r="4133" spans="1:40" x14ac:dyDescent="0.25">
      <c r="A4133" t="str">
        <f>"20190304155456724"</f>
        <v>20190304155456724</v>
      </c>
      <c r="B4133" t="str">
        <f>"1551686096711628"</f>
        <v>1551686096711628</v>
      </c>
      <c r="C4133" t="s">
        <v>40</v>
      </c>
      <c r="D4133">
        <v>4.3232569999999999</v>
      </c>
      <c r="E4133">
        <v>0.46709529999999999</v>
      </c>
      <c r="F4133" t="s">
        <v>46</v>
      </c>
      <c r="G4133">
        <v>-418.96749999999997</v>
      </c>
      <c r="H4133" s="1">
        <v>-2.0280139999999999E-6</v>
      </c>
      <c r="I4133">
        <v>43.933199999999999</v>
      </c>
      <c r="J4133">
        <v>-422.26659999999998</v>
      </c>
      <c r="K4133">
        <v>1.110403</v>
      </c>
      <c r="L4133">
        <v>62.035739999999997</v>
      </c>
      <c r="M4133">
        <v>1.0691900000000001E-2</v>
      </c>
      <c r="N4133">
        <v>-1.396293E-2</v>
      </c>
      <c r="O4133">
        <v>-0.99984530000000005</v>
      </c>
      <c r="P4133">
        <v>0.10310859999999999</v>
      </c>
      <c r="Q4133">
        <v>0.165802</v>
      </c>
      <c r="R4133">
        <v>-0.98075400000000001</v>
      </c>
      <c r="S4133">
        <v>0.54516600000000004</v>
      </c>
      <c r="T4133">
        <v>-0.18333530000000001</v>
      </c>
      <c r="U4133">
        <v>-3.033112</v>
      </c>
      <c r="V4133">
        <v>-9.2568139999999993E-2</v>
      </c>
      <c r="W4133">
        <v>0.1795195</v>
      </c>
      <c r="X4133">
        <v>0.97938950000000002</v>
      </c>
      <c r="Y4133">
        <v>-0.16610129999999901</v>
      </c>
      <c r="Z4133">
        <v>4.5505520000000001E-2</v>
      </c>
      <c r="AA4133">
        <v>0.98505819999999999</v>
      </c>
      <c r="AB4133">
        <v>27</v>
      </c>
      <c r="AC4133">
        <v>3.2991000000000001</v>
      </c>
      <c r="AD4133">
        <v>-1.1104050280140001</v>
      </c>
      <c r="AE4133">
        <v>-18.102540000000001</v>
      </c>
      <c r="AF4133">
        <v>-3.09407453666332</v>
      </c>
      <c r="AG4133">
        <v>-1.1104050280140001</v>
      </c>
      <c r="AH4133">
        <v>18.070974643951001</v>
      </c>
      <c r="AI4133">
        <v>93.465915911730903</v>
      </c>
      <c r="AJ4133">
        <v>99.715852794916501</v>
      </c>
      <c r="AK4133">
        <v>18.3675371551818</v>
      </c>
      <c r="AL4133">
        <v>79.658226200720904</v>
      </c>
      <c r="AM4133">
        <v>95.399337520522593</v>
      </c>
      <c r="AN4133">
        <v>0.99999995206677805</v>
      </c>
    </row>
    <row r="4134" spans="1:40" x14ac:dyDescent="0.25">
      <c r="A4134" t="str">
        <f>"20190304155456750"</f>
        <v>20190304155456750</v>
      </c>
      <c r="B4134" t="str">
        <f>"1551686096741884"</f>
        <v>1551686096741884</v>
      </c>
      <c r="C4134" t="s">
        <v>40</v>
      </c>
      <c r="D4134">
        <v>4.1375039999999998</v>
      </c>
      <c r="E4134">
        <v>0.42115089999999999</v>
      </c>
      <c r="F4134" t="s">
        <v>46</v>
      </c>
      <c r="G4134">
        <v>-418.87130000000002</v>
      </c>
      <c r="H4134" s="1">
        <v>-1.8915039999999999E-6</v>
      </c>
      <c r="I4134">
        <v>43.575200000000002</v>
      </c>
      <c r="J4134">
        <v>-422.26350000000002</v>
      </c>
      <c r="K4134">
        <v>1.110406</v>
      </c>
      <c r="L4134">
        <v>61.730710000000002</v>
      </c>
      <c r="M4134">
        <v>1.054866E-2</v>
      </c>
      <c r="N4134">
        <v>-1.396347E-2</v>
      </c>
      <c r="O4134">
        <v>-0.99984680000000004</v>
      </c>
      <c r="P4134">
        <v>0.10627739999999999</v>
      </c>
      <c r="Q4134">
        <v>0.16616110000000001</v>
      </c>
      <c r="R4134">
        <v>-0.98035470000000002</v>
      </c>
      <c r="S4134">
        <v>0.55749510000000002</v>
      </c>
      <c r="T4134">
        <v>-0.18232110000000001</v>
      </c>
      <c r="U4134">
        <v>-3.0310969999999999</v>
      </c>
      <c r="V4134">
        <v>-9.5881240000000006E-2</v>
      </c>
      <c r="W4134">
        <v>0.17987449999999999</v>
      </c>
      <c r="X4134">
        <v>0.97900560000000003</v>
      </c>
      <c r="Y4134">
        <v>-0.17023450000000001</v>
      </c>
      <c r="Z4134">
        <v>4.5173629999999999E-2</v>
      </c>
      <c r="AA4134">
        <v>0.98436760000000001</v>
      </c>
      <c r="AB4134">
        <v>27</v>
      </c>
      <c r="AC4134">
        <v>3.3921999999999999</v>
      </c>
      <c r="AD4134">
        <v>-1.1104078915039901</v>
      </c>
      <c r="AE4134">
        <v>-18.1555099999999</v>
      </c>
      <c r="AF4134">
        <v>-3.1889498455962402</v>
      </c>
      <c r="AG4134">
        <v>-1.1104078915039901</v>
      </c>
      <c r="AH4134">
        <v>18.124774690651801</v>
      </c>
      <c r="AI4134">
        <v>93.452917494928897</v>
      </c>
      <c r="AJ4134">
        <v>99.978730856274694</v>
      </c>
      <c r="AK4134">
        <v>18.4366446076865</v>
      </c>
      <c r="AL4134">
        <v>79.637550193782303</v>
      </c>
      <c r="AM4134">
        <v>95.593559871185406</v>
      </c>
      <c r="AN4134">
        <v>1.0000000063827701</v>
      </c>
    </row>
    <row r="4135" spans="1:40" x14ac:dyDescent="0.25">
      <c r="A4135" t="str">
        <f>"20190304155456772"</f>
        <v>20190304155456772</v>
      </c>
      <c r="B4135" t="str">
        <f>"1551686096761404"</f>
        <v>1551686096761404</v>
      </c>
      <c r="C4135" t="s">
        <v>40</v>
      </c>
      <c r="D4135">
        <v>4.0998580000000002</v>
      </c>
      <c r="E4135">
        <v>0.41996650000000002</v>
      </c>
      <c r="F4135" t="s">
        <v>74</v>
      </c>
      <c r="G4135">
        <v>-406.64080000000001</v>
      </c>
      <c r="H4135" s="1">
        <v>-3.8167780000000003E-6</v>
      </c>
      <c r="I4135">
        <v>12.05875</v>
      </c>
      <c r="J4135">
        <v>-422.26069999999999</v>
      </c>
      <c r="K4135">
        <v>1.1104069999999999</v>
      </c>
      <c r="L4135">
        <v>61.459989999999998</v>
      </c>
      <c r="M4135">
        <v>1.0421329999999999E-2</v>
      </c>
      <c r="N4135">
        <v>-1.396351E-2</v>
      </c>
      <c r="O4135">
        <v>-0.99984819999999996</v>
      </c>
      <c r="P4135">
        <v>0.10879229999999999</v>
      </c>
      <c r="Q4135">
        <v>0.16691829999999999</v>
      </c>
      <c r="R4135">
        <v>-0.97995019999999999</v>
      </c>
      <c r="S4135">
        <v>0.9341431</v>
      </c>
      <c r="T4135">
        <v>-6.6395999999999997E-2</v>
      </c>
      <c r="U4135">
        <v>-2.9700929999999999</v>
      </c>
      <c r="V4135">
        <v>-9.8525169999999995E-2</v>
      </c>
      <c r="W4135">
        <v>0.18062690000000001</v>
      </c>
      <c r="X4135">
        <v>0.97860449999999999</v>
      </c>
      <c r="Y4135">
        <v>-0.28999049999999998</v>
      </c>
      <c r="Z4135">
        <v>7.4120119999999999E-3</v>
      </c>
      <c r="AA4135">
        <v>0.95700090000000004</v>
      </c>
      <c r="AB4135">
        <v>26</v>
      </c>
      <c r="AC4135">
        <v>15.6198999999999</v>
      </c>
      <c r="AD4135">
        <v>-1.110410816778</v>
      </c>
      <c r="AE4135">
        <v>-49.401240000000001</v>
      </c>
      <c r="AF4135">
        <v>-15.0972404223912</v>
      </c>
      <c r="AG4135">
        <v>-1.110410816778</v>
      </c>
      <c r="AH4135">
        <v>49.538599039455697</v>
      </c>
      <c r="AI4135">
        <v>91.228316914819899</v>
      </c>
      <c r="AJ4135">
        <v>106.94897301544</v>
      </c>
      <c r="AK4135">
        <v>51.799927368148502</v>
      </c>
      <c r="AL4135">
        <v>79.593723204118106</v>
      </c>
      <c r="AM4135">
        <v>95.749123538075196</v>
      </c>
      <c r="AN4135">
        <v>1.0000000267736899</v>
      </c>
    </row>
    <row r="4136" spans="1:40" x14ac:dyDescent="0.25">
      <c r="A4136" t="str">
        <f>"20190304155456790"</f>
        <v>20190304155456790</v>
      </c>
      <c r="B4136" t="str">
        <f>"1551686096781900"</f>
        <v>1551686096781900</v>
      </c>
      <c r="C4136" t="s">
        <v>40</v>
      </c>
      <c r="D4136">
        <v>4.0838729999999996</v>
      </c>
      <c r="E4136">
        <v>0.4196011</v>
      </c>
      <c r="F4136" t="s">
        <v>74</v>
      </c>
      <c r="G4136">
        <v>-405.63249999999999</v>
      </c>
      <c r="H4136">
        <v>1.4514640000000001E-2</v>
      </c>
      <c r="I4136">
        <v>9.6162379999999992</v>
      </c>
      <c r="J4136">
        <v>-422.25869999999998</v>
      </c>
      <c r="K4136">
        <v>1.110412</v>
      </c>
      <c r="L4136">
        <v>61.244509999999998</v>
      </c>
      <c r="M4136">
        <v>1.0320090000000001E-2</v>
      </c>
      <c r="N4136">
        <v>-1.396325E-2</v>
      </c>
      <c r="O4136">
        <v>-0.99984910000000005</v>
      </c>
      <c r="P4136">
        <v>0.1115694</v>
      </c>
      <c r="Q4136">
        <v>0.16748589999999999</v>
      </c>
      <c r="R4136">
        <v>-0.9795412</v>
      </c>
      <c r="S4136">
        <v>0.95144649999999997</v>
      </c>
      <c r="T4136">
        <v>-6.2705520000000001E-2</v>
      </c>
      <c r="U4136">
        <v>-2.966431</v>
      </c>
      <c r="V4136">
        <v>-0.1014058</v>
      </c>
      <c r="W4136">
        <v>0.18118919999999999</v>
      </c>
      <c r="X4136">
        <v>0.97820620000000003</v>
      </c>
      <c r="Y4136">
        <v>-0.29549429999999999</v>
      </c>
      <c r="Z4136">
        <v>6.2149519999999897E-3</v>
      </c>
      <c r="AA4136">
        <v>0.95532430000000002</v>
      </c>
      <c r="AB4136">
        <v>26</v>
      </c>
      <c r="AC4136">
        <v>16.626199999999901</v>
      </c>
      <c r="AD4136">
        <v>-1.0958973599999999</v>
      </c>
      <c r="AE4136">
        <v>-51.628272000000003</v>
      </c>
      <c r="AF4136">
        <v>-16.085887153659399</v>
      </c>
      <c r="AG4136">
        <v>-1.0958973599999999</v>
      </c>
      <c r="AH4136">
        <v>51.775985926285401</v>
      </c>
      <c r="AI4136">
        <v>91.157966560802507</v>
      </c>
      <c r="AJ4136">
        <v>107.25909957032999</v>
      </c>
      <c r="AK4136">
        <v>54.228308798844402</v>
      </c>
      <c r="AL4136">
        <v>79.5609651697239</v>
      </c>
      <c r="AM4136">
        <v>95.918429886682901</v>
      </c>
      <c r="AN4136">
        <v>1.0000000160943501</v>
      </c>
    </row>
    <row r="4137" spans="1:40" x14ac:dyDescent="0.25">
      <c r="A4137" t="str">
        <f>"20190304155456813"</f>
        <v>20190304155456813</v>
      </c>
      <c r="B4137" t="str">
        <f>"1551686096802396"</f>
        <v>1551686096802396</v>
      </c>
      <c r="C4137" t="s">
        <v>40</v>
      </c>
      <c r="D4137">
        <v>4.0232960000000002</v>
      </c>
      <c r="E4137">
        <v>0.4196317</v>
      </c>
      <c r="F4137" t="s">
        <v>74</v>
      </c>
      <c r="G4137">
        <v>-405.48250000000002</v>
      </c>
      <c r="H4137">
        <v>6.0500869999999998E-2</v>
      </c>
      <c r="I4137">
        <v>9.6057220000000001</v>
      </c>
      <c r="J4137">
        <v>-422.25599999999997</v>
      </c>
      <c r="K4137">
        <v>1.110414</v>
      </c>
      <c r="L4137">
        <v>60.981720000000003</v>
      </c>
      <c r="M4137">
        <v>1.019657E-2</v>
      </c>
      <c r="N4137">
        <v>-1.396261E-2</v>
      </c>
      <c r="O4137">
        <v>-0.99985060000000003</v>
      </c>
      <c r="P4137">
        <v>0.1139633</v>
      </c>
      <c r="Q4137">
        <v>0.1682826</v>
      </c>
      <c r="R4137">
        <v>-0.97912920000000003</v>
      </c>
      <c r="S4137">
        <v>0.96270750000000005</v>
      </c>
      <c r="T4137">
        <v>-6.0249690000000002E-2</v>
      </c>
      <c r="U4137">
        <v>-2.9633180000000001</v>
      </c>
      <c r="V4137">
        <v>-0.10392469999999999</v>
      </c>
      <c r="W4137">
        <v>0.1819807</v>
      </c>
      <c r="X4137">
        <v>0.97779479999999996</v>
      </c>
      <c r="Y4137">
        <v>-0.2991915</v>
      </c>
      <c r="Z4137">
        <v>5.4233700000000003E-3</v>
      </c>
      <c r="AA4137">
        <v>0.95417770000000002</v>
      </c>
      <c r="AB4137">
        <v>26</v>
      </c>
      <c r="AC4137">
        <v>16.773499999999899</v>
      </c>
      <c r="AD4137">
        <v>-1.04991313</v>
      </c>
      <c r="AE4137">
        <v>-51.375998000000003</v>
      </c>
      <c r="AF4137">
        <v>-16.242587939395399</v>
      </c>
      <c r="AG4137">
        <v>-1.04991313</v>
      </c>
      <c r="AH4137">
        <v>51.5249301020609</v>
      </c>
      <c r="AI4137">
        <v>91.113348329511496</v>
      </c>
      <c r="AJ4137">
        <v>107.496803642993</v>
      </c>
      <c r="AK4137">
        <v>54.034640764715</v>
      </c>
      <c r="AL4137">
        <v>79.514848661424793</v>
      </c>
      <c r="AM4137">
        <v>96.066892638854299</v>
      </c>
      <c r="AN4137">
        <v>0.99999999467480905</v>
      </c>
    </row>
    <row r="4138" spans="1:40" x14ac:dyDescent="0.25">
      <c r="A4138" t="str">
        <f>"20190304155456837"</f>
        <v>20190304155456837</v>
      </c>
      <c r="B4138" t="str">
        <f>"1551686096831676"</f>
        <v>1551686096831676</v>
      </c>
      <c r="C4138" t="s">
        <v>40</v>
      </c>
      <c r="D4138">
        <v>4.0171869999999998</v>
      </c>
      <c r="E4138">
        <v>0.41970459999999898</v>
      </c>
      <c r="F4138" t="s">
        <v>74</v>
      </c>
      <c r="G4138">
        <v>-404.9228</v>
      </c>
      <c r="H4138">
        <v>7.9986559999999998E-2</v>
      </c>
      <c r="I4138">
        <v>8.0646819999999995</v>
      </c>
      <c r="J4138">
        <v>-422.2534</v>
      </c>
      <c r="K4138">
        <v>1.110411</v>
      </c>
      <c r="L4138">
        <v>60.702330000000003</v>
      </c>
      <c r="M4138">
        <v>1.006519E-2</v>
      </c>
      <c r="N4138">
        <v>-1.396144E-2</v>
      </c>
      <c r="O4138">
        <v>-0.99985219999999997</v>
      </c>
      <c r="P4138">
        <v>0.11571629999999999</v>
      </c>
      <c r="Q4138">
        <v>0.16869110000000001</v>
      </c>
      <c r="R4138">
        <v>-0.9788538</v>
      </c>
      <c r="S4138">
        <v>0.96987920000000005</v>
      </c>
      <c r="T4138">
        <v>-5.7657479999999997E-2</v>
      </c>
      <c r="U4138">
        <v>-2.9609679999999998</v>
      </c>
      <c r="V4138">
        <v>-0.105809</v>
      </c>
      <c r="W4138">
        <v>0.1823844</v>
      </c>
      <c r="X4138">
        <v>0.97751750000000004</v>
      </c>
      <c r="Y4138">
        <v>-0.30162939999999999</v>
      </c>
      <c r="Z4138">
        <v>4.5914629999999996E-3</v>
      </c>
      <c r="AA4138">
        <v>0.95341419999999999</v>
      </c>
      <c r="AB4138">
        <v>26</v>
      </c>
      <c r="AC4138">
        <v>17.3306</v>
      </c>
      <c r="AD4138">
        <v>-1.03042444</v>
      </c>
      <c r="AE4138">
        <v>-52.637647999999999</v>
      </c>
      <c r="AF4138">
        <v>-16.794056264154399</v>
      </c>
      <c r="AG4138">
        <v>-1.03042444</v>
      </c>
      <c r="AH4138">
        <v>52.7911821163637</v>
      </c>
      <c r="AI4138">
        <v>91.065599121388601</v>
      </c>
      <c r="AJ4138">
        <v>107.647031460737</v>
      </c>
      <c r="AK4138">
        <v>55.407680059475702</v>
      </c>
      <c r="AL4138">
        <v>79.491325138450193</v>
      </c>
      <c r="AM4138">
        <v>96.177789712119207</v>
      </c>
      <c r="AN4138">
        <v>1.0000000383253</v>
      </c>
    </row>
    <row r="4139" spans="1:40" x14ac:dyDescent="0.25">
      <c r="A4139" t="str">
        <f>"20190304155456858"</f>
        <v>20190304155456858</v>
      </c>
      <c r="B4139" t="str">
        <f>"1551686096851196"</f>
        <v>1551686096851196</v>
      </c>
      <c r="C4139" t="s">
        <v>40</v>
      </c>
      <c r="D4139">
        <v>4.023123</v>
      </c>
      <c r="E4139">
        <v>0.4198675</v>
      </c>
      <c r="F4139" t="s">
        <v>74</v>
      </c>
      <c r="G4139">
        <v>-404.50220000000002</v>
      </c>
      <c r="H4139">
        <v>7.9986639999999998E-2</v>
      </c>
      <c r="I4139">
        <v>6.7878339999999904</v>
      </c>
      <c r="J4139">
        <v>-422.25099999999998</v>
      </c>
      <c r="K4139">
        <v>1.110411</v>
      </c>
      <c r="L4139">
        <v>60.456629999999997</v>
      </c>
      <c r="M4139">
        <v>9.9495639999999993E-3</v>
      </c>
      <c r="N4139">
        <v>-1.3960190000000001E-2</v>
      </c>
      <c r="O4139">
        <v>-0.9998534</v>
      </c>
      <c r="P4139">
        <v>0.1177484</v>
      </c>
      <c r="Q4139">
        <v>0.169517</v>
      </c>
      <c r="R4139">
        <v>-0.97846849999999996</v>
      </c>
      <c r="S4139">
        <v>0.97436520000000004</v>
      </c>
      <c r="T4139">
        <v>-5.6560279999999998E-2</v>
      </c>
      <c r="U4139">
        <v>-2.959381</v>
      </c>
      <c r="V4139">
        <v>-0.107958</v>
      </c>
      <c r="W4139">
        <v>0.18320429999999999</v>
      </c>
      <c r="X4139">
        <v>0.97712909999999997</v>
      </c>
      <c r="Y4139">
        <v>-0.30319580000000002</v>
      </c>
      <c r="Z4139">
        <v>4.2404879999999997E-3</v>
      </c>
      <c r="AA4139">
        <v>0.95291879999999995</v>
      </c>
      <c r="AB4139">
        <v>26</v>
      </c>
      <c r="AC4139">
        <v>17.7487999999999</v>
      </c>
      <c r="AD4139">
        <v>-1.03042436</v>
      </c>
      <c r="AE4139">
        <v>-53.668796</v>
      </c>
      <c r="AF4139">
        <v>-17.208170283132599</v>
      </c>
      <c r="AG4139">
        <v>-1.03042436</v>
      </c>
      <c r="AH4139">
        <v>53.824863681049798</v>
      </c>
      <c r="AI4139">
        <v>91.044660177504298</v>
      </c>
      <c r="AJ4139">
        <v>107.729427161009</v>
      </c>
      <c r="AK4139">
        <v>56.518128499965002</v>
      </c>
      <c r="AL4139">
        <v>79.443542976053706</v>
      </c>
      <c r="AM4139">
        <v>96.304746980994395</v>
      </c>
      <c r="AN4139">
        <v>1.0000000116846499</v>
      </c>
    </row>
    <row r="4140" spans="1:40" x14ac:dyDescent="0.25">
      <c r="A4140" t="str">
        <f>"20190304155456879"</f>
        <v>20190304155456879</v>
      </c>
      <c r="B4140" t="str">
        <f>"1551686096871692"</f>
        <v>1551686096871692</v>
      </c>
      <c r="C4140" t="s">
        <v>40</v>
      </c>
      <c r="D4140">
        <v>4.0223420000000001</v>
      </c>
      <c r="E4140">
        <v>0.4200487</v>
      </c>
      <c r="F4140" t="s">
        <v>74</v>
      </c>
      <c r="G4140">
        <v>-404.24939999999998</v>
      </c>
      <c r="H4140">
        <v>7.9986680000000004E-2</v>
      </c>
      <c r="I4140">
        <v>6.0465049999999998</v>
      </c>
      <c r="J4140">
        <v>-422.24860000000001</v>
      </c>
      <c r="K4140">
        <v>1.11042</v>
      </c>
      <c r="L4140">
        <v>60.199100000000001</v>
      </c>
      <c r="M4140">
        <v>9.8278559999999994E-3</v>
      </c>
      <c r="N4140">
        <v>-1.395892E-2</v>
      </c>
      <c r="O4140">
        <v>-0.99985460000000004</v>
      </c>
      <c r="P4140">
        <v>0.1192624</v>
      </c>
      <c r="Q4140">
        <v>0.1698723</v>
      </c>
      <c r="R4140">
        <v>-0.97822339999999997</v>
      </c>
      <c r="S4140">
        <v>0.97863770000000005</v>
      </c>
      <c r="T4140">
        <v>-5.6017879999999999E-2</v>
      </c>
      <c r="U4140">
        <v>-2.9579469999999999</v>
      </c>
      <c r="V4140">
        <v>-0.10959389999999899</v>
      </c>
      <c r="W4140">
        <v>0.18355540000000001</v>
      </c>
      <c r="X4140">
        <v>0.976881</v>
      </c>
      <c r="Y4140">
        <v>-0.30469020000000002</v>
      </c>
      <c r="Z4140">
        <v>4.0672549999999997E-3</v>
      </c>
      <c r="AA4140">
        <v>0.95244280000000003</v>
      </c>
      <c r="AB4140">
        <v>26</v>
      </c>
      <c r="AC4140">
        <v>17.999199999999998</v>
      </c>
      <c r="AD4140">
        <v>-1.03043332</v>
      </c>
      <c r="AE4140">
        <v>-54.152594999999998</v>
      </c>
      <c r="AF4140">
        <v>-17.460381919245599</v>
      </c>
      <c r="AG4140">
        <v>-1.03043332</v>
      </c>
      <c r="AH4140">
        <v>54.309182111446802</v>
      </c>
      <c r="AI4140">
        <v>91.034815736298796</v>
      </c>
      <c r="AJ4140">
        <v>107.82257891233699</v>
      </c>
      <c r="AK4140">
        <v>57.056235340295501</v>
      </c>
      <c r="AL4140">
        <v>79.423078727877297</v>
      </c>
      <c r="AM4140">
        <v>96.401108601223498</v>
      </c>
      <c r="AN4140">
        <v>0.99999994797368297</v>
      </c>
    </row>
    <row r="4141" spans="1:40" x14ac:dyDescent="0.25">
      <c r="A4141" t="str">
        <f>"20190304155456902"</f>
        <v>20190304155456902</v>
      </c>
      <c r="B4141" t="str">
        <f>"1551686096891212"</f>
        <v>1551686096891212</v>
      </c>
      <c r="C4141" t="s">
        <v>40</v>
      </c>
      <c r="D4141">
        <v>4.0182960000000003</v>
      </c>
      <c r="E4141">
        <v>0.42024349999999999</v>
      </c>
      <c r="F4141" t="s">
        <v>74</v>
      </c>
      <c r="G4141">
        <v>-404.24860000000001</v>
      </c>
      <c r="H4141">
        <v>7.9986660000000001E-2</v>
      </c>
      <c r="I4141">
        <v>5.9740979999999997</v>
      </c>
      <c r="J4141">
        <v>-422.24599999999998</v>
      </c>
      <c r="K4141">
        <v>1.1104259999999999</v>
      </c>
      <c r="L4141">
        <v>59.928959999999996</v>
      </c>
      <c r="M4141">
        <v>9.7004210000000007E-3</v>
      </c>
      <c r="N4141">
        <v>-1.3957489999999999E-2</v>
      </c>
      <c r="O4141">
        <v>-0.99985579999999996</v>
      </c>
      <c r="P4141">
        <v>0.1206733</v>
      </c>
      <c r="Q4141">
        <v>0.17011960000000001</v>
      </c>
      <c r="R4141">
        <v>-0.97800730000000002</v>
      </c>
      <c r="S4141">
        <v>0.98153690000000005</v>
      </c>
      <c r="T4141">
        <v>-5.6189299999999998E-2</v>
      </c>
      <c r="U4141">
        <v>-2.9568789999999998</v>
      </c>
      <c r="V4141">
        <v>-0.11113190000000001</v>
      </c>
      <c r="W4141">
        <v>0.18379819999999999</v>
      </c>
      <c r="X4141">
        <v>0.97666160000000002</v>
      </c>
      <c r="Y4141">
        <v>-0.3057549</v>
      </c>
      <c r="Z4141">
        <v>4.1239069999999996E-3</v>
      </c>
      <c r="AA4141">
        <v>0.95210130000000004</v>
      </c>
      <c r="AB4141">
        <v>26</v>
      </c>
      <c r="AC4141">
        <v>17.997399999999899</v>
      </c>
      <c r="AD4141">
        <v>-1.03043933999999</v>
      </c>
      <c r="AE4141">
        <v>-53.954861999999999</v>
      </c>
      <c r="AF4141">
        <v>-17.4673841701992</v>
      </c>
      <c r="AG4141">
        <v>-1.03043933999999</v>
      </c>
      <c r="AH4141">
        <v>54.1091624870053</v>
      </c>
      <c r="AI4141">
        <v>91.038246919361001</v>
      </c>
      <c r="AJ4141">
        <v>107.890987096936</v>
      </c>
      <c r="AK4141">
        <v>56.868029507165801</v>
      </c>
      <c r="AL4141">
        <v>79.408926870931296</v>
      </c>
      <c r="AM4141">
        <v>96.491623680950994</v>
      </c>
      <c r="AN4141">
        <v>0.999999979217704</v>
      </c>
    </row>
    <row r="4142" spans="1:40" x14ac:dyDescent="0.25">
      <c r="A4142" t="str">
        <f>"20190304155456924"</f>
        <v>20190304155456924</v>
      </c>
      <c r="B4142" t="str">
        <f>"1551686096911709"</f>
        <v>1551686096911709</v>
      </c>
      <c r="C4142" t="s">
        <v>40</v>
      </c>
      <c r="D4142">
        <v>4.0367280000000001</v>
      </c>
      <c r="E4142">
        <v>0.42044749999999997</v>
      </c>
      <c r="F4142" t="s">
        <v>74</v>
      </c>
      <c r="G4142">
        <v>-404.32209999999998</v>
      </c>
      <c r="H4142">
        <v>7.9986660000000001E-2</v>
      </c>
      <c r="I4142">
        <v>6.0743410000000004</v>
      </c>
      <c r="J4142">
        <v>-422.24380000000002</v>
      </c>
      <c r="K4142">
        <v>1.1104270000000001</v>
      </c>
      <c r="L4142">
        <v>59.677149999999997</v>
      </c>
      <c r="M4142">
        <v>9.5816349999999998E-3</v>
      </c>
      <c r="N4142">
        <v>-1.395592E-2</v>
      </c>
      <c r="O4142">
        <v>-0.999857</v>
      </c>
      <c r="P4142">
        <v>0.1220054</v>
      </c>
      <c r="Q4142">
        <v>0.17047309999999999</v>
      </c>
      <c r="R4142">
        <v>-0.97778030000000005</v>
      </c>
      <c r="S4142">
        <v>0.98379519999999998</v>
      </c>
      <c r="T4142">
        <v>-5.6558009999999999E-2</v>
      </c>
      <c r="U4142">
        <v>-2.9559329999999999</v>
      </c>
      <c r="V4142">
        <v>-0.1125824</v>
      </c>
      <c r="W4142">
        <v>0.18414739999999999</v>
      </c>
      <c r="X4142">
        <v>0.97642969999999896</v>
      </c>
      <c r="Y4142">
        <v>-0.30661349999999998</v>
      </c>
      <c r="Z4142">
        <v>4.2445859999999998E-3</v>
      </c>
      <c r="AA4142">
        <v>0.95182469999999997</v>
      </c>
      <c r="AB4142">
        <v>26</v>
      </c>
      <c r="AC4142">
        <v>17.921700000000001</v>
      </c>
      <c r="AD4142">
        <v>-1.03044034</v>
      </c>
      <c r="AE4142">
        <v>-53.602808999999901</v>
      </c>
      <c r="AF4142">
        <v>-17.401440634656201</v>
      </c>
      <c r="AG4142">
        <v>-1.03044034</v>
      </c>
      <c r="AH4142">
        <v>53.754216310614098</v>
      </c>
      <c r="AI4142">
        <v>91.044825419025202</v>
      </c>
      <c r="AJ4142">
        <v>107.937925717</v>
      </c>
      <c r="AK4142">
        <v>56.510067374088798</v>
      </c>
      <c r="AL4142">
        <v>79.388572083926206</v>
      </c>
      <c r="AM4142">
        <v>96.577163421554502</v>
      </c>
      <c r="AN4142">
        <v>1.0000000103793001</v>
      </c>
    </row>
    <row r="4143" spans="1:40" x14ac:dyDescent="0.25">
      <c r="A4143" t="str">
        <f>"20190304155456955"</f>
        <v>20190304155456955</v>
      </c>
      <c r="B4143" t="str">
        <f>"1551686096951725"</f>
        <v>1551686096951725</v>
      </c>
      <c r="C4143" t="s">
        <v>40</v>
      </c>
      <c r="D4143">
        <v>4.0169629999999996</v>
      </c>
      <c r="E4143">
        <v>0.42075380000000001</v>
      </c>
      <c r="F4143" t="s">
        <v>74</v>
      </c>
      <c r="G4143">
        <v>-404.42259999999999</v>
      </c>
      <c r="H4143">
        <v>7.9986650000000006E-2</v>
      </c>
      <c r="I4143">
        <v>6.2848319999999998</v>
      </c>
      <c r="J4143">
        <v>-422.2405</v>
      </c>
      <c r="K4143">
        <v>1.1104309999999999</v>
      </c>
      <c r="L4143">
        <v>59.313479999999998</v>
      </c>
      <c r="M4143">
        <v>9.4102430000000004E-3</v>
      </c>
      <c r="N4143">
        <v>-1.3953480000000001E-2</v>
      </c>
      <c r="O4143">
        <v>-0.99985840000000004</v>
      </c>
      <c r="P4143">
        <v>0.122932</v>
      </c>
      <c r="Q4143">
        <v>0.1705817</v>
      </c>
      <c r="R4143">
        <v>-0.97764519999999999</v>
      </c>
      <c r="S4143">
        <v>0.98632810000000004</v>
      </c>
      <c r="T4143">
        <v>-5.703068E-2</v>
      </c>
      <c r="U4143">
        <v>-2.9550480000000001</v>
      </c>
      <c r="V4143">
        <v>-0.1136779</v>
      </c>
      <c r="W4143">
        <v>0.1842519</v>
      </c>
      <c r="X4143">
        <v>0.97628300000000001</v>
      </c>
      <c r="Y4143">
        <v>-0.30759530000000002</v>
      </c>
      <c r="Z4143">
        <v>4.3984360000000004E-3</v>
      </c>
      <c r="AA4143">
        <v>0.95150710000000005</v>
      </c>
      <c r="AB4143">
        <v>26</v>
      </c>
      <c r="AC4143">
        <v>17.817900000000002</v>
      </c>
      <c r="AD4143">
        <v>-1.03044435</v>
      </c>
      <c r="AE4143">
        <v>-53.028647999999997</v>
      </c>
      <c r="AF4143">
        <v>-17.312176024737202</v>
      </c>
      <c r="AG4143">
        <v>-1.03044435</v>
      </c>
      <c r="AH4143">
        <v>53.175944557604502</v>
      </c>
      <c r="AI4143">
        <v>91.055618116140394</v>
      </c>
      <c r="AJ4143">
        <v>108.033387146084</v>
      </c>
      <c r="AK4143">
        <v>55.932587405405798</v>
      </c>
      <c r="AL4143">
        <v>79.382479918697996</v>
      </c>
      <c r="AM4143">
        <v>96.641583544772402</v>
      </c>
      <c r="AN4143">
        <v>0.99999996184550899</v>
      </c>
    </row>
    <row r="4144" spans="1:40" x14ac:dyDescent="0.25">
      <c r="A4144" t="str">
        <f>"20190304155456977"</f>
        <v>20190304155456977</v>
      </c>
      <c r="B4144" t="str">
        <f>"1551686096971244"</f>
        <v>1551686096971244</v>
      </c>
      <c r="C4144" t="s">
        <v>40</v>
      </c>
      <c r="D4144">
        <v>4.0599429999999996</v>
      </c>
      <c r="E4144">
        <v>0.4209464</v>
      </c>
      <c r="F4144" t="s">
        <v>74</v>
      </c>
      <c r="G4144">
        <v>-404.93040000000002</v>
      </c>
      <c r="H4144">
        <v>7.9986570000000007E-2</v>
      </c>
      <c r="I4144">
        <v>7.4599339999999996</v>
      </c>
      <c r="J4144">
        <v>-422.23820000000001</v>
      </c>
      <c r="K4144">
        <v>1.110433</v>
      </c>
      <c r="L4144">
        <v>59.061520000000002</v>
      </c>
      <c r="M4144">
        <v>9.2912010000000007E-3</v>
      </c>
      <c r="N4144">
        <v>-1.3951679999999999E-2</v>
      </c>
      <c r="O4144">
        <v>-0.99985959999999996</v>
      </c>
      <c r="P4144">
        <v>0.1239922</v>
      </c>
      <c r="Q4144">
        <v>0.17071739999999999</v>
      </c>
      <c r="R4144">
        <v>-0.97748780000000002</v>
      </c>
      <c r="S4144">
        <v>0.98638919999999997</v>
      </c>
      <c r="T4144">
        <v>-5.8718439999999997E-2</v>
      </c>
      <c r="U4144">
        <v>-2.9548030000000001</v>
      </c>
      <c r="V4144">
        <v>-0.114856</v>
      </c>
      <c r="W4144">
        <v>0.18438399999999999</v>
      </c>
      <c r="X4144">
        <v>0.97612019999999999</v>
      </c>
      <c r="Y4144">
        <v>-0.30774800000000002</v>
      </c>
      <c r="Z4144">
        <v>4.9432950000000003E-3</v>
      </c>
      <c r="AA4144">
        <v>0.9514551</v>
      </c>
      <c r="AB4144">
        <v>26</v>
      </c>
      <c r="AC4144">
        <v>17.307799999999901</v>
      </c>
      <c r="AD4144">
        <v>-1.03044643</v>
      </c>
      <c r="AE4144">
        <v>-51.601585999999998</v>
      </c>
      <c r="AF4144">
        <v>-16.821535830950602</v>
      </c>
      <c r="AG4144">
        <v>-1.03044643</v>
      </c>
      <c r="AH4144">
        <v>51.741637512009802</v>
      </c>
      <c r="AI4144">
        <v>91.085021781807598</v>
      </c>
      <c r="AJ4144">
        <v>108.009673628843</v>
      </c>
      <c r="AK4144">
        <v>54.417119916266003</v>
      </c>
      <c r="AL4144">
        <v>79.374779644293994</v>
      </c>
      <c r="AM4144">
        <v>96.710898007499097</v>
      </c>
      <c r="AN4144">
        <v>1.00000000252002</v>
      </c>
    </row>
    <row r="4145" spans="1:40" x14ac:dyDescent="0.25">
      <c r="A4145" t="str">
        <f>"20190304155456994"</f>
        <v>20190304155456994</v>
      </c>
      <c r="B4145" t="str">
        <f>"1551686096981980"</f>
        <v>1551686096981980</v>
      </c>
      <c r="C4145" t="s">
        <v>40</v>
      </c>
      <c r="D4145">
        <v>4.0475019999999997</v>
      </c>
      <c r="E4145">
        <v>0.42102260000000002</v>
      </c>
      <c r="F4145" t="s">
        <v>74</v>
      </c>
      <c r="G4145">
        <v>-405.18669999999997</v>
      </c>
      <c r="H4145">
        <v>7.9986559999999998E-2</v>
      </c>
      <c r="I4145">
        <v>8.0797139999999992</v>
      </c>
      <c r="J4145">
        <v>-422.23649999999998</v>
      </c>
      <c r="K4145">
        <v>1.110436</v>
      </c>
      <c r="L4145">
        <v>58.86121</v>
      </c>
      <c r="M4145">
        <v>9.1969340000000004E-3</v>
      </c>
      <c r="N4145">
        <v>-1.395016E-2</v>
      </c>
      <c r="O4145">
        <v>-0.99986030000000004</v>
      </c>
      <c r="P4145">
        <v>0.12471640000000001</v>
      </c>
      <c r="Q4145">
        <v>0.17075660000000001</v>
      </c>
      <c r="R4145">
        <v>-0.97738829999999999</v>
      </c>
      <c r="S4145">
        <v>0.98806760000000005</v>
      </c>
      <c r="T4145">
        <v>-5.9710260000000001E-2</v>
      </c>
      <c r="U4145">
        <v>-2.9541930000000001</v>
      </c>
      <c r="V4145">
        <v>-0.1156734</v>
      </c>
      <c r="W4145">
        <v>0.18442020000000001</v>
      </c>
      <c r="X4145">
        <v>0.97601680000000002</v>
      </c>
      <c r="Y4145">
        <v>-0.30838159999999998</v>
      </c>
      <c r="Z4145">
        <v>5.2634509999999997E-3</v>
      </c>
      <c r="AA4145">
        <v>0.95124819999999999</v>
      </c>
      <c r="AB4145">
        <v>26</v>
      </c>
      <c r="AC4145">
        <v>17.049800000000001</v>
      </c>
      <c r="AD4145">
        <v>-1.0304494399999999</v>
      </c>
      <c r="AE4145">
        <v>-50.781495999999997</v>
      </c>
      <c r="AF4145">
        <v>-16.575865409696199</v>
      </c>
      <c r="AG4145">
        <v>-1.0304494399999999</v>
      </c>
      <c r="AH4145">
        <v>50.917327385162203</v>
      </c>
      <c r="AI4145">
        <v>91.102444187254207</v>
      </c>
      <c r="AJ4145">
        <v>108.032383897692</v>
      </c>
      <c r="AK4145">
        <v>53.557402552556098</v>
      </c>
      <c r="AL4145">
        <v>79.372668995148203</v>
      </c>
      <c r="AM4145">
        <v>96.758926837979701</v>
      </c>
      <c r="AN4145">
        <v>0.99999996975891903</v>
      </c>
    </row>
    <row r="4146" spans="1:40" x14ac:dyDescent="0.25">
      <c r="A4146" t="str">
        <f>"20190304155457017"</f>
        <v>20190304155457017</v>
      </c>
      <c r="B4146" t="str">
        <f>"1551686097011260"</f>
        <v>1551686097011260</v>
      </c>
      <c r="C4146" t="s">
        <v>40</v>
      </c>
      <c r="D4146">
        <v>4.2821899999999999</v>
      </c>
      <c r="E4146">
        <v>0.42128460000000001</v>
      </c>
      <c r="F4146" t="s">
        <v>74</v>
      </c>
      <c r="G4146">
        <v>-405.37130000000002</v>
      </c>
      <c r="H4146">
        <v>7.9986570000000007E-2</v>
      </c>
      <c r="I4146">
        <v>8.5325030000000002</v>
      </c>
      <c r="J4146">
        <v>-422.23419999999999</v>
      </c>
      <c r="K4146">
        <v>1.1104339999999999</v>
      </c>
      <c r="L4146">
        <v>58.599699999999999</v>
      </c>
      <c r="M4146">
        <v>9.0753069999999995E-3</v>
      </c>
      <c r="N4146">
        <v>-1.394806E-2</v>
      </c>
      <c r="O4146">
        <v>-0.99986180000000002</v>
      </c>
      <c r="P4146">
        <v>0.1251843</v>
      </c>
      <c r="Q4146">
        <v>0.170822</v>
      </c>
      <c r="R4146">
        <v>-0.97731760000000001</v>
      </c>
      <c r="S4146">
        <v>0.98977660000000001</v>
      </c>
      <c r="T4146">
        <v>-6.0474630000000001E-2</v>
      </c>
      <c r="U4146">
        <v>-2.9536739999999999</v>
      </c>
      <c r="V4146">
        <v>-0.11626069999999999</v>
      </c>
      <c r="W4146">
        <v>0.18448249999999999</v>
      </c>
      <c r="X4146">
        <v>0.97593529999999995</v>
      </c>
      <c r="Y4146">
        <v>-0.30904140000000002</v>
      </c>
      <c r="Z4146">
        <v>5.5103369999999997E-3</v>
      </c>
      <c r="AA4146">
        <v>0.95103260000000001</v>
      </c>
      <c r="AB4146">
        <v>26</v>
      </c>
      <c r="AC4146">
        <v>16.8628999999999</v>
      </c>
      <c r="AD4146">
        <v>-1.0304474299999999</v>
      </c>
      <c r="AE4146">
        <v>-50.067197</v>
      </c>
      <c r="AF4146">
        <v>-16.4015464545705</v>
      </c>
      <c r="AG4146">
        <v>-1.0304474299999999</v>
      </c>
      <c r="AH4146">
        <v>50.199088170781799</v>
      </c>
      <c r="AI4146">
        <v>91.117821060348405</v>
      </c>
      <c r="AJ4146">
        <v>108.093766476798</v>
      </c>
      <c r="AK4146">
        <v>52.820649382465596</v>
      </c>
      <c r="AL4146">
        <v>79.369037761509404</v>
      </c>
      <c r="AM4146">
        <v>96.793485536972</v>
      </c>
      <c r="AN4146">
        <v>1.0000000264784099</v>
      </c>
    </row>
    <row r="4147" spans="1:40" x14ac:dyDescent="0.25">
      <c r="A4147" t="str">
        <f>"20190304155457038"</f>
        <v>20190304155457038</v>
      </c>
      <c r="B4147" t="str">
        <f>"1551686097031757"</f>
        <v>1551686097031757</v>
      </c>
      <c r="C4147" t="s">
        <v>40</v>
      </c>
      <c r="D4147">
        <v>4.1053350000000002</v>
      </c>
      <c r="E4147">
        <v>0.42161379999999998</v>
      </c>
      <c r="F4147" t="s">
        <v>74</v>
      </c>
      <c r="G4147">
        <v>-405.55399999999997</v>
      </c>
      <c r="H4147">
        <v>7.9986570000000007E-2</v>
      </c>
      <c r="I4147">
        <v>8.7790029999999994</v>
      </c>
      <c r="J4147">
        <v>-422.2319</v>
      </c>
      <c r="K4147">
        <v>1.1104369999999999</v>
      </c>
      <c r="L4147">
        <v>58.343600000000002</v>
      </c>
      <c r="M4147">
        <v>8.9589819999999903E-3</v>
      </c>
      <c r="N4147">
        <v>-1.394595E-2</v>
      </c>
      <c r="O4147">
        <v>-0.99986249999999999</v>
      </c>
      <c r="P4147">
        <v>0.12576490000000001</v>
      </c>
      <c r="Q4147">
        <v>0.17089570000000001</v>
      </c>
      <c r="R4147">
        <v>-0.97722949999999997</v>
      </c>
      <c r="S4147">
        <v>0.98889159999999998</v>
      </c>
      <c r="T4147">
        <v>-6.109059E-2</v>
      </c>
      <c r="U4147">
        <v>-2.9536440000000002</v>
      </c>
      <c r="V4147">
        <v>-0.116957199999999</v>
      </c>
      <c r="W4147">
        <v>0.1845523</v>
      </c>
      <c r="X4147">
        <v>0.97583880000000001</v>
      </c>
      <c r="Y4147">
        <v>-0.30889800000000001</v>
      </c>
      <c r="Z4147">
        <v>5.7116909999999996E-3</v>
      </c>
      <c r="AA4147">
        <v>0.95107810000000004</v>
      </c>
      <c r="AB4147">
        <v>26</v>
      </c>
      <c r="AC4147">
        <v>16.677899999999902</v>
      </c>
      <c r="AD4147">
        <v>-1.0304504299999999</v>
      </c>
      <c r="AE4147">
        <v>-49.564596999999999</v>
      </c>
      <c r="AF4147">
        <v>-16.226838657855101</v>
      </c>
      <c r="AG4147">
        <v>-1.0304504299999999</v>
      </c>
      <c r="AH4147">
        <v>49.692745057497397</v>
      </c>
      <c r="AI4147">
        <v>91.129273585980997</v>
      </c>
      <c r="AJ4147">
        <v>108.084108233439</v>
      </c>
      <c r="AK4147">
        <v>52.2851894159922</v>
      </c>
      <c r="AL4147">
        <v>79.364967832507105</v>
      </c>
      <c r="AM4147">
        <v>96.834469905236801</v>
      </c>
      <c r="AN4147">
        <v>0.99999995082628301</v>
      </c>
    </row>
    <row r="4148" spans="1:40" x14ac:dyDescent="0.25">
      <c r="A4148" t="str">
        <f>"20190304155457059"</f>
        <v>20190304155457059</v>
      </c>
      <c r="B4148" t="str">
        <f>"1551686097051277"</f>
        <v>1551686097051277</v>
      </c>
      <c r="C4148" t="s">
        <v>40</v>
      </c>
      <c r="D4148">
        <v>4.2350760000000003</v>
      </c>
      <c r="E4148">
        <v>0.42221540000000002</v>
      </c>
      <c r="F4148" t="s">
        <v>74</v>
      </c>
      <c r="G4148">
        <v>-404.55099999999999</v>
      </c>
      <c r="H4148">
        <v>7.9986619999999994E-2</v>
      </c>
      <c r="I4148">
        <v>5.5228419999999998</v>
      </c>
      <c r="J4148">
        <v>-422.23</v>
      </c>
      <c r="K4148">
        <v>1.110439</v>
      </c>
      <c r="L4148">
        <v>58.103909999999999</v>
      </c>
      <c r="M4148">
        <v>8.8563289999999996E-3</v>
      </c>
      <c r="N4148">
        <v>-1.3943830000000001E-2</v>
      </c>
      <c r="O4148">
        <v>-0.99986390000000003</v>
      </c>
      <c r="P4148">
        <v>0.1266697</v>
      </c>
      <c r="Q4148">
        <v>0.17151729999999901</v>
      </c>
      <c r="R4148">
        <v>-0.9770046</v>
      </c>
      <c r="S4148">
        <v>0.98840329999999998</v>
      </c>
      <c r="T4148">
        <v>-5.7604309999999999E-2</v>
      </c>
      <c r="U4148">
        <v>-2.9527890000000001</v>
      </c>
      <c r="V4148">
        <v>-0.1179664</v>
      </c>
      <c r="W4148">
        <v>0.18516759999999999</v>
      </c>
      <c r="X4148">
        <v>0.97560080000000005</v>
      </c>
      <c r="Y4148">
        <v>-0.30894120000000003</v>
      </c>
      <c r="Z4148">
        <v>4.5986389999999999E-3</v>
      </c>
      <c r="AA4148">
        <v>0.95106999999999997</v>
      </c>
      <c r="AB4148">
        <v>26</v>
      </c>
      <c r="AC4148">
        <v>17.678999999999998</v>
      </c>
      <c r="AD4148">
        <v>-1.0304523800000001</v>
      </c>
      <c r="AE4148">
        <v>-52.581068000000002</v>
      </c>
      <c r="AF4148">
        <v>-17.206648995898</v>
      </c>
      <c r="AG4148">
        <v>-1.0304523800000001</v>
      </c>
      <c r="AH4148">
        <v>52.717401470408099</v>
      </c>
      <c r="AI4148">
        <v>91.064545868548606</v>
      </c>
      <c r="AJ4148">
        <v>108.07637731121299</v>
      </c>
      <c r="AK4148">
        <v>55.463997508002102</v>
      </c>
      <c r="AL4148">
        <v>79.329096179061096</v>
      </c>
      <c r="AM4148">
        <v>96.8945435368815</v>
      </c>
      <c r="AN4148">
        <v>1.0000000162896701</v>
      </c>
    </row>
    <row r="4149" spans="1:40" x14ac:dyDescent="0.25">
      <c r="A4149" t="str">
        <f>"20190304155457082"</f>
        <v>20190304155457082</v>
      </c>
      <c r="B4149" t="str">
        <f>"1551686097071773"</f>
        <v>1551686097071773</v>
      </c>
      <c r="C4149" t="s">
        <v>40</v>
      </c>
      <c r="D4149">
        <v>4.2529940000000002</v>
      </c>
      <c r="E4149">
        <v>0.42276429999999998</v>
      </c>
      <c r="F4149" t="s">
        <v>74</v>
      </c>
      <c r="G4149">
        <v>-404.95170000000002</v>
      </c>
      <c r="H4149">
        <v>7.9986559999999998E-2</v>
      </c>
      <c r="I4149">
        <v>6.3609349999999996</v>
      </c>
      <c r="J4149">
        <v>-422.2278</v>
      </c>
      <c r="K4149">
        <v>1.110455</v>
      </c>
      <c r="L4149">
        <v>57.842440000000003</v>
      </c>
      <c r="M4149">
        <v>8.7567080000000002E-3</v>
      </c>
      <c r="N4149">
        <v>-1.3941490000000001E-2</v>
      </c>
      <c r="O4149">
        <v>-0.99986439999999999</v>
      </c>
      <c r="P4149">
        <v>0.12752939999999999</v>
      </c>
      <c r="Q4149">
        <v>0.1716751</v>
      </c>
      <c r="R4149">
        <v>-0.97686450000000002</v>
      </c>
      <c r="S4149">
        <v>0.9861145</v>
      </c>
      <c r="T4149">
        <v>-5.8810349999999997E-2</v>
      </c>
      <c r="U4149">
        <v>-2.9530940000000001</v>
      </c>
      <c r="V4149">
        <v>-0.1189287</v>
      </c>
      <c r="W4149">
        <v>0.18531900000000001</v>
      </c>
      <c r="X4149">
        <v>0.97545519999999997</v>
      </c>
      <c r="Y4149">
        <v>-0.308342</v>
      </c>
      <c r="Z4149">
        <v>4.9907170000000004E-3</v>
      </c>
      <c r="AA4149">
        <v>0.95126250000000001</v>
      </c>
      <c r="AB4149">
        <v>26</v>
      </c>
      <c r="AC4149">
        <v>17.2760999999999</v>
      </c>
      <c r="AD4149">
        <v>-1.0304684399999999</v>
      </c>
      <c r="AE4149">
        <v>-51.481504999999999</v>
      </c>
      <c r="AF4149">
        <v>-16.818528791717899</v>
      </c>
      <c r="AG4149">
        <v>-1.0304684399999999</v>
      </c>
      <c r="AH4149">
        <v>51.612241704143898</v>
      </c>
      <c r="AI4149">
        <v>91.087522394517805</v>
      </c>
      <c r="AJ4149">
        <v>108.04888160839199</v>
      </c>
      <c r="AK4149">
        <v>54.293169640854998</v>
      </c>
      <c r="AL4149">
        <v>79.320268723475905</v>
      </c>
      <c r="AM4149">
        <v>96.951264497120505</v>
      </c>
      <c r="AN4149">
        <v>1.0000000073258599</v>
      </c>
    </row>
    <row r="4150" spans="1:40" x14ac:dyDescent="0.25">
      <c r="A4150" t="str">
        <f>"20190304155457103"</f>
        <v>20190304155457103</v>
      </c>
      <c r="B4150" t="str">
        <f>"1551686097091293"</f>
        <v>1551686097091293</v>
      </c>
      <c r="C4150" t="s">
        <v>40</v>
      </c>
      <c r="D4150">
        <v>4.2703170000000004</v>
      </c>
      <c r="E4150">
        <v>0.42324070000000003</v>
      </c>
      <c r="F4150" t="s">
        <v>74</v>
      </c>
      <c r="G4150">
        <v>-405.7296</v>
      </c>
      <c r="H4150">
        <v>7.9986559999999998E-2</v>
      </c>
      <c r="I4150">
        <v>8.3151659999999996</v>
      </c>
      <c r="J4150">
        <v>-422.22559999999999</v>
      </c>
      <c r="K4150">
        <v>1.110474</v>
      </c>
      <c r="L4150">
        <v>57.589660000000002</v>
      </c>
      <c r="M4150">
        <v>8.6814459999999902E-3</v>
      </c>
      <c r="N4150">
        <v>-1.3939139999999999E-2</v>
      </c>
      <c r="O4150">
        <v>-0.99986509999999995</v>
      </c>
      <c r="P4150">
        <v>0.12858330000000001</v>
      </c>
      <c r="Q4150">
        <v>0.17265829999999999</v>
      </c>
      <c r="R4150">
        <v>-0.97655309999999995</v>
      </c>
      <c r="S4150">
        <v>0.98382570000000003</v>
      </c>
      <c r="T4150">
        <v>-6.1449289999999997E-2</v>
      </c>
      <c r="U4150">
        <v>-2.95343</v>
      </c>
      <c r="V4150">
        <v>-0.1200653</v>
      </c>
      <c r="W4150">
        <v>0.18629119999999999</v>
      </c>
      <c r="X4150">
        <v>0.97513070000000002</v>
      </c>
      <c r="Y4150">
        <v>-0.30771459999999901</v>
      </c>
      <c r="Z4150">
        <v>5.8435739999999998E-3</v>
      </c>
      <c r="AA4150">
        <v>0.9514608</v>
      </c>
      <c r="AB4150">
        <v>26</v>
      </c>
      <c r="AC4150">
        <v>16.495999999999899</v>
      </c>
      <c r="AD4150">
        <v>-1.0304874399999999</v>
      </c>
      <c r="AE4150">
        <v>-49.274493999999997</v>
      </c>
      <c r="AF4150">
        <v>-16.061246153447001</v>
      </c>
      <c r="AG4150">
        <v>-1.0304874399999999</v>
      </c>
      <c r="AH4150">
        <v>49.396432973045201</v>
      </c>
      <c r="AI4150">
        <v>91.136553045944893</v>
      </c>
      <c r="AJ4150">
        <v>108.01193034894099</v>
      </c>
      <c r="AK4150">
        <v>51.952219614046903</v>
      </c>
      <c r="AL4150">
        <v>79.263578352788798</v>
      </c>
      <c r="AM4150">
        <v>97.019350237479699</v>
      </c>
      <c r="AN4150">
        <v>0.99999998477200902</v>
      </c>
    </row>
    <row r="4151" spans="1:40" x14ac:dyDescent="0.25">
      <c r="A4151" t="str">
        <f>"20190304155457125"</f>
        <v>20190304155457125</v>
      </c>
      <c r="B4151" t="str">
        <f>"1551686097121549"</f>
        <v>1551686097121549</v>
      </c>
      <c r="C4151" t="s">
        <v>40</v>
      </c>
      <c r="D4151">
        <v>4.3143159999999998</v>
      </c>
      <c r="E4151">
        <v>0.42385919999999999</v>
      </c>
      <c r="F4151" t="s">
        <v>74</v>
      </c>
      <c r="G4151">
        <v>-405.97390000000001</v>
      </c>
      <c r="H4151">
        <v>7.9986570000000007E-2</v>
      </c>
      <c r="I4151">
        <v>8.7657410000000002</v>
      </c>
      <c r="J4151">
        <v>-422.2235</v>
      </c>
      <c r="K4151">
        <v>1.1104889999999901</v>
      </c>
      <c r="L4151">
        <v>57.334229999999998</v>
      </c>
      <c r="M4151">
        <v>8.6238479999999999E-3</v>
      </c>
      <c r="N4151">
        <v>-1.393673E-2</v>
      </c>
      <c r="O4151">
        <v>-0.99986580000000003</v>
      </c>
      <c r="P4151">
        <v>0.12948809999999999</v>
      </c>
      <c r="Q4151">
        <v>0.1733025</v>
      </c>
      <c r="R4151">
        <v>-0.97631950000000001</v>
      </c>
      <c r="S4151">
        <v>0.98315430000000004</v>
      </c>
      <c r="T4151">
        <v>-6.2339539999999999E-2</v>
      </c>
      <c r="U4151">
        <v>-2.9536129999999998</v>
      </c>
      <c r="V4151">
        <v>-0.1210357</v>
      </c>
      <c r="W4151">
        <v>0.18692500000000001</v>
      </c>
      <c r="X4151">
        <v>0.97488949999999996</v>
      </c>
      <c r="Y4151">
        <v>-0.30755589999999999</v>
      </c>
      <c r="Z4151">
        <v>6.1321489999999999E-3</v>
      </c>
      <c r="AA4151">
        <v>0.95151030000000003</v>
      </c>
      <c r="AB4151">
        <v>26</v>
      </c>
      <c r="AC4151">
        <v>16.249599999999901</v>
      </c>
      <c r="AD4151">
        <v>-1.0305024300000001</v>
      </c>
      <c r="AE4151">
        <v>-48.568489</v>
      </c>
      <c r="AF4151">
        <v>-15.8237012847394</v>
      </c>
      <c r="AG4151">
        <v>-1.0305024300000001</v>
      </c>
      <c r="AH4151">
        <v>48.687118626572499</v>
      </c>
      <c r="AI4151">
        <v>91.153171739109894</v>
      </c>
      <c r="AJ4151">
        <v>108.004574301983</v>
      </c>
      <c r="AK4151">
        <v>51.204364831182502</v>
      </c>
      <c r="AL4151">
        <v>79.226615898115</v>
      </c>
      <c r="AM4151">
        <v>97.077242578275701</v>
      </c>
      <c r="AN4151">
        <v>1.0000000667548601</v>
      </c>
    </row>
    <row r="4152" spans="1:40" x14ac:dyDescent="0.25">
      <c r="A4152" t="str">
        <f>"20190304155457153"</f>
        <v>20190304155457153</v>
      </c>
      <c r="B4152" t="str">
        <f>"1551686097141069"</f>
        <v>1551686097141069</v>
      </c>
      <c r="C4152" t="s">
        <v>40</v>
      </c>
      <c r="D4152">
        <v>4.290889</v>
      </c>
      <c r="E4152">
        <v>0.4241473</v>
      </c>
      <c r="F4152" t="s">
        <v>74</v>
      </c>
      <c r="G4152">
        <v>-406.3673</v>
      </c>
      <c r="H4152">
        <v>7.8600500000000004E-2</v>
      </c>
      <c r="I4152">
        <v>9.5876269999999995</v>
      </c>
      <c r="J4152">
        <v>-422.2208</v>
      </c>
      <c r="K4152">
        <v>1.1105130000000001</v>
      </c>
      <c r="L4152">
        <v>57.015810000000002</v>
      </c>
      <c r="M4152">
        <v>8.58324699999999E-3</v>
      </c>
      <c r="N4152">
        <v>-1.393372E-2</v>
      </c>
      <c r="O4152">
        <v>-0.99986620000000004</v>
      </c>
      <c r="P4152">
        <v>0.13047310000000001</v>
      </c>
      <c r="Q4152">
        <v>0.17324439999999999</v>
      </c>
      <c r="R4152">
        <v>-0.97619869999999997</v>
      </c>
      <c r="S4152">
        <v>0.98098750000000001</v>
      </c>
      <c r="T4152">
        <v>-6.3840750000000002E-2</v>
      </c>
      <c r="U4152">
        <v>-2.9539789999999999</v>
      </c>
      <c r="V4152">
        <v>-0.1220711</v>
      </c>
      <c r="W4152">
        <v>0.1868561</v>
      </c>
      <c r="X4152">
        <v>0.97477349999999996</v>
      </c>
      <c r="Y4152">
        <v>-0.30692900000000001</v>
      </c>
      <c r="Z4152">
        <v>6.6197340000000004E-3</v>
      </c>
      <c r="AA4152">
        <v>0.95170940000000004</v>
      </c>
      <c r="AB4152">
        <v>26</v>
      </c>
      <c r="AC4152">
        <v>15.853499999999899</v>
      </c>
      <c r="AD4152">
        <v>-1.03191249999999</v>
      </c>
      <c r="AE4152">
        <v>-47.428182999999898</v>
      </c>
      <c r="AF4152">
        <v>-15.439214487063699</v>
      </c>
      <c r="AG4152">
        <v>-1.03191249999999</v>
      </c>
      <c r="AH4152">
        <v>47.542279432308902</v>
      </c>
      <c r="AI4152">
        <v>91.182638955829702</v>
      </c>
      <c r="AJ4152">
        <v>107.991051683273</v>
      </c>
      <c r="AK4152">
        <v>49.9970251215506</v>
      </c>
      <c r="AL4152">
        <v>79.2306332809504</v>
      </c>
      <c r="AM4152">
        <v>97.138003690590907</v>
      </c>
      <c r="AN4152">
        <v>0.99999996593233398</v>
      </c>
    </row>
    <row r="4153" spans="1:40" x14ac:dyDescent="0.25">
      <c r="A4153" t="str">
        <f>"20190304155457193"</f>
        <v>20190304155457193</v>
      </c>
      <c r="B4153" t="str">
        <f>"1551686097181084"</f>
        <v>1551686097181084</v>
      </c>
      <c r="C4153" t="s">
        <v>40</v>
      </c>
      <c r="D4153">
        <v>4.3721120000000004</v>
      </c>
      <c r="E4153">
        <v>0.42460959999999998</v>
      </c>
      <c r="F4153" t="s">
        <v>74</v>
      </c>
      <c r="G4153">
        <v>-406.45839999999998</v>
      </c>
      <c r="H4153">
        <v>5.6353569999999999E-2</v>
      </c>
      <c r="I4153">
        <v>9.6098750000000006</v>
      </c>
      <c r="J4153">
        <v>-422.21690000000001</v>
      </c>
      <c r="K4153">
        <v>1.110536</v>
      </c>
      <c r="L4153">
        <v>56.552219999999998</v>
      </c>
      <c r="M4153">
        <v>8.5871999999999997E-3</v>
      </c>
      <c r="N4153">
        <v>-1.3929270000000001E-2</v>
      </c>
      <c r="O4153">
        <v>-0.99986620000000004</v>
      </c>
      <c r="P4153">
        <v>0.13215959999999999</v>
      </c>
      <c r="Q4153">
        <v>0.17290620000000001</v>
      </c>
      <c r="R4153">
        <v>-0.97603169999999995</v>
      </c>
      <c r="S4153">
        <v>0.98205569999999998</v>
      </c>
      <c r="T4153">
        <v>-6.5677760000000002E-2</v>
      </c>
      <c r="U4153">
        <v>-2.9535520000000002</v>
      </c>
      <c r="V4153">
        <v>-0.123767</v>
      </c>
      <c r="W4153">
        <v>0.1865038</v>
      </c>
      <c r="X4153">
        <v>0.97462709999999997</v>
      </c>
      <c r="Y4153">
        <v>-0.30727369999999998</v>
      </c>
      <c r="Z4153">
        <v>7.2154180000000004E-3</v>
      </c>
      <c r="AA4153">
        <v>0.95159389999999999</v>
      </c>
      <c r="AB4153">
        <v>26</v>
      </c>
      <c r="AC4153">
        <v>15.7585</v>
      </c>
      <c r="AD4153">
        <v>-1.05418243</v>
      </c>
      <c r="AE4153">
        <v>-46.942345000000003</v>
      </c>
      <c r="AF4153">
        <v>-15.347820265719101</v>
      </c>
      <c r="AG4153">
        <v>-1.05418243</v>
      </c>
      <c r="AH4153">
        <v>47.054621434956303</v>
      </c>
      <c r="AI4153">
        <v>91.220160375339205</v>
      </c>
      <c r="AJ4153">
        <v>108.064788402803</v>
      </c>
      <c r="AK4153">
        <v>49.505598530788298</v>
      </c>
      <c r="AL4153">
        <v>79.251179721224503</v>
      </c>
      <c r="AM4153">
        <v>97.237201380304597</v>
      </c>
      <c r="AN4153">
        <v>0.99999996087892395</v>
      </c>
    </row>
    <row r="4154" spans="1:40" x14ac:dyDescent="0.25">
      <c r="A4154" t="str">
        <f>"20190304155457214"</f>
        <v>20190304155457214</v>
      </c>
      <c r="B4154" t="str">
        <f>"1551686097201581"</f>
        <v>1551686097201581</v>
      </c>
      <c r="C4154" t="s">
        <v>40</v>
      </c>
      <c r="D4154">
        <v>4.3860340000000004</v>
      </c>
      <c r="E4154">
        <v>0.42481560000000002</v>
      </c>
      <c r="F4154" t="s">
        <v>74</v>
      </c>
      <c r="G4154">
        <v>-406.601</v>
      </c>
      <c r="H4154" s="1">
        <v>-3.3167829999999999E-6</v>
      </c>
      <c r="I4154">
        <v>9.7040410000000001</v>
      </c>
      <c r="J4154">
        <v>-422.21469999999999</v>
      </c>
      <c r="K4154">
        <v>1.110552</v>
      </c>
      <c r="L4154">
        <v>56.308199999999999</v>
      </c>
      <c r="M4154">
        <v>8.6287699999999991E-3</v>
      </c>
      <c r="N4154">
        <v>-1.3926869999999999E-2</v>
      </c>
      <c r="O4154">
        <v>-0.99986600000000003</v>
      </c>
      <c r="P4154">
        <v>0.1328491</v>
      </c>
      <c r="Q4154">
        <v>0.1727911</v>
      </c>
      <c r="R4154">
        <v>-0.97595849999999995</v>
      </c>
      <c r="S4154">
        <v>0.98425289999999999</v>
      </c>
      <c r="T4154">
        <v>-6.9996119999999995E-2</v>
      </c>
      <c r="U4154">
        <v>-2.9527890000000001</v>
      </c>
      <c r="V4154">
        <v>-0.1244257</v>
      </c>
      <c r="W4154">
        <v>0.18637970000000001</v>
      </c>
      <c r="X4154">
        <v>0.97456699999999996</v>
      </c>
      <c r="Y4154">
        <v>-0.3079385</v>
      </c>
      <c r="Z4154">
        <v>8.6069270000000003E-3</v>
      </c>
      <c r="AA4154">
        <v>0.95136730000000003</v>
      </c>
      <c r="AB4154">
        <v>26</v>
      </c>
      <c r="AC4154">
        <v>15.6136999999999</v>
      </c>
      <c r="AD4154">
        <v>-1.110555316783</v>
      </c>
      <c r="AE4154">
        <v>-46.604159000000003</v>
      </c>
      <c r="AF4154">
        <v>-15.203181270672999</v>
      </c>
      <c r="AG4154">
        <v>-1.110555316783</v>
      </c>
      <c r="AH4154">
        <v>46.713314638689603</v>
      </c>
      <c r="AI4154">
        <v>91.295047982869804</v>
      </c>
      <c r="AJ4154">
        <v>108.02784779673399</v>
      </c>
      <c r="AK4154">
        <v>49.1376008611918</v>
      </c>
      <c r="AL4154">
        <v>79.258417369599499</v>
      </c>
      <c r="AM4154">
        <v>97.275750706880004</v>
      </c>
      <c r="AN4154">
        <v>0.99999999244078897</v>
      </c>
    </row>
    <row r="4155" spans="1:40" x14ac:dyDescent="0.25">
      <c r="A4155" t="str">
        <f>"20190304155457237"</f>
        <v>20190304155457237</v>
      </c>
      <c r="B4155" t="str">
        <f>"1551686097231860"</f>
        <v>1551686097231860</v>
      </c>
      <c r="C4155" t="s">
        <v>40</v>
      </c>
      <c r="D4155">
        <v>4.4047369999999999</v>
      </c>
      <c r="E4155">
        <v>0.42505310000000002</v>
      </c>
      <c r="F4155" t="s">
        <v>74</v>
      </c>
      <c r="G4155">
        <v>-407.06380000000001</v>
      </c>
      <c r="H4155" s="1">
        <v>-3.3033350000000001E-6</v>
      </c>
      <c r="I4155">
        <v>10.875450000000001</v>
      </c>
      <c r="J4155">
        <v>-422.2124</v>
      </c>
      <c r="K4155">
        <v>1.110581</v>
      </c>
      <c r="L4155">
        <v>56.042450000000002</v>
      </c>
      <c r="M4155">
        <v>8.7148520000000004E-3</v>
      </c>
      <c r="N4155">
        <v>-1.3924219999999999E-2</v>
      </c>
      <c r="O4155">
        <v>-0.99986509999999995</v>
      </c>
      <c r="P4155">
        <v>0.1336165</v>
      </c>
      <c r="Q4155">
        <v>0.17255870000000001</v>
      </c>
      <c r="R4155">
        <v>-0.97589459999999995</v>
      </c>
      <c r="S4155">
        <v>0.98464969999999996</v>
      </c>
      <c r="T4155">
        <v>-7.2174070000000007E-2</v>
      </c>
      <c r="U4155">
        <v>-2.9526370000000002</v>
      </c>
      <c r="V4155">
        <v>-0.12512219999999999</v>
      </c>
      <c r="W4155">
        <v>0.1861352</v>
      </c>
      <c r="X4155">
        <v>0.97452459999999996</v>
      </c>
      <c r="Y4155">
        <v>-0.30798300000000001</v>
      </c>
      <c r="Z4155">
        <v>9.3105040000000007E-3</v>
      </c>
      <c r="AA4155">
        <v>0.95134629999999998</v>
      </c>
      <c r="AB4155">
        <v>26</v>
      </c>
      <c r="AC4155">
        <v>15.148599999999901</v>
      </c>
      <c r="AD4155">
        <v>-1.110584303335</v>
      </c>
      <c r="AE4155">
        <v>-45.167000000000002</v>
      </c>
      <c r="AF4155">
        <v>-14.746348731003</v>
      </c>
      <c r="AG4155">
        <v>-1.110584303335</v>
      </c>
      <c r="AH4155">
        <v>45.272711256510199</v>
      </c>
      <c r="AI4155">
        <v>91.336172880193899</v>
      </c>
      <c r="AJ4155">
        <v>108.041604296008</v>
      </c>
      <c r="AK4155">
        <v>47.626742308355702</v>
      </c>
      <c r="AL4155">
        <v>79.272676176239997</v>
      </c>
      <c r="AM4155">
        <v>97.3163531226526</v>
      </c>
      <c r="AN4155">
        <v>1.00000003680851</v>
      </c>
    </row>
    <row r="4156" spans="1:40" x14ac:dyDescent="0.25">
      <c r="A4156" t="str">
        <f>"20190304155457260"</f>
        <v>20190304155457260</v>
      </c>
      <c r="B4156" t="str">
        <f>"1551686097251380"</f>
        <v>1551686097251380</v>
      </c>
      <c r="C4156" t="s">
        <v>40</v>
      </c>
      <c r="D4156">
        <v>4.4376230000000003</v>
      </c>
      <c r="E4156">
        <v>0.4251955</v>
      </c>
      <c r="F4156" t="s">
        <v>74</v>
      </c>
      <c r="G4156">
        <v>-407.63470000000001</v>
      </c>
      <c r="H4156" s="1">
        <v>-3.2966879999999998E-6</v>
      </c>
      <c r="I4156">
        <v>12.36544</v>
      </c>
      <c r="J4156">
        <v>-422.21</v>
      </c>
      <c r="K4156">
        <v>1.110619</v>
      </c>
      <c r="L4156">
        <v>55.788640000000001</v>
      </c>
      <c r="M4156">
        <v>8.8513610000000003E-3</v>
      </c>
      <c r="N4156">
        <v>-1.392174E-2</v>
      </c>
      <c r="O4156">
        <v>-0.99986390000000003</v>
      </c>
      <c r="P4156">
        <v>0.1336492</v>
      </c>
      <c r="Q4156">
        <v>0.17307899999999901</v>
      </c>
      <c r="R4156">
        <v>-0.9757979</v>
      </c>
      <c r="S4156">
        <v>0.98541259999999997</v>
      </c>
      <c r="T4156">
        <v>-7.5072650000000005E-2</v>
      </c>
      <c r="U4156">
        <v>-2.9524539999999999</v>
      </c>
      <c r="V4156">
        <v>-0.12503980000000001</v>
      </c>
      <c r="W4156">
        <v>0.18664020000000001</v>
      </c>
      <c r="X4156">
        <v>0.97443849999999999</v>
      </c>
      <c r="Y4156">
        <v>-0.30808720000000001</v>
      </c>
      <c r="Z4156">
        <v>1.0245239999999999E-2</v>
      </c>
      <c r="AA4156">
        <v>0.95130289999999995</v>
      </c>
      <c r="AB4156">
        <v>26</v>
      </c>
      <c r="AC4156">
        <v>14.575299999999899</v>
      </c>
      <c r="AD4156">
        <v>-1.1106222966879999</v>
      </c>
      <c r="AE4156">
        <v>-43.423200000000001</v>
      </c>
      <c r="AF4156">
        <v>-14.1819992399684</v>
      </c>
      <c r="AG4156">
        <v>-1.1106222966879999</v>
      </c>
      <c r="AH4156">
        <v>43.524932808779099</v>
      </c>
      <c r="AI4156">
        <v>91.389808402940801</v>
      </c>
      <c r="AJ4156">
        <v>108.047485194961</v>
      </c>
      <c r="AK4156">
        <v>45.790636164363299</v>
      </c>
      <c r="AL4156">
        <v>79.243224815085398</v>
      </c>
      <c r="AM4156">
        <v>97.312226098125905</v>
      </c>
      <c r="AN4156">
        <v>0.99999995306116396</v>
      </c>
    </row>
    <row r="4157" spans="1:40" x14ac:dyDescent="0.25">
      <c r="A4157" t="str">
        <f>"20190304155457285"</f>
        <v>20190304155457285</v>
      </c>
      <c r="B4157" t="str">
        <f>"1551686097271877"</f>
        <v>1551686097271877</v>
      </c>
      <c r="C4157" t="s">
        <v>40</v>
      </c>
      <c r="D4157">
        <v>4.4202629999999896</v>
      </c>
      <c r="E4157">
        <v>0.42532690000000001</v>
      </c>
      <c r="F4157" t="s">
        <v>74</v>
      </c>
      <c r="G4157">
        <v>-407.6216</v>
      </c>
      <c r="H4157" s="1">
        <v>-3.2297959999999999E-6</v>
      </c>
      <c r="I4157">
        <v>12.029870000000001</v>
      </c>
      <c r="J4157">
        <v>-422.2072</v>
      </c>
      <c r="K4157">
        <v>1.1106720000000001</v>
      </c>
      <c r="L4157">
        <v>55.501339999999999</v>
      </c>
      <c r="M4157">
        <v>9.0839570000000001E-3</v>
      </c>
      <c r="N4157">
        <v>-1.3918959999999999E-2</v>
      </c>
      <c r="O4157">
        <v>-0.99986180000000002</v>
      </c>
      <c r="P4157">
        <v>0.133775799999999</v>
      </c>
      <c r="Q4157">
        <v>0.17377909999999999</v>
      </c>
      <c r="R4157">
        <v>-0.97565619999999997</v>
      </c>
      <c r="S4157">
        <v>0.98443599999999998</v>
      </c>
      <c r="T4157">
        <v>-7.4945810000000002E-2</v>
      </c>
      <c r="U4157">
        <v>-2.9528810000000001</v>
      </c>
      <c r="V4157">
        <v>-0.1249648</v>
      </c>
      <c r="W4157">
        <v>0.18731980000000001</v>
      </c>
      <c r="X4157">
        <v>0.97431769999999995</v>
      </c>
      <c r="Y4157">
        <v>-0.30754179999999998</v>
      </c>
      <c r="Z4157">
        <v>1.020776E-2</v>
      </c>
      <c r="AA4157">
        <v>0.95147990000000005</v>
      </c>
      <c r="AB4157">
        <v>26</v>
      </c>
      <c r="AC4157">
        <v>14.585599999999999</v>
      </c>
      <c r="AD4157">
        <v>-1.1106752297960001</v>
      </c>
      <c r="AE4157">
        <v>-43.471469999999997</v>
      </c>
      <c r="AF4157">
        <v>-14.1817460143016</v>
      </c>
      <c r="AG4157">
        <v>-1.1106752297960001</v>
      </c>
      <c r="AH4157">
        <v>43.576616229776903</v>
      </c>
      <c r="AI4157">
        <v>91.3883870940534</v>
      </c>
      <c r="AJ4157">
        <v>108.027164894187</v>
      </c>
      <c r="AK4157">
        <v>45.839688060866003</v>
      </c>
      <c r="AL4157">
        <v>79.203587454428899</v>
      </c>
      <c r="AM4157">
        <v>97.308783851915607</v>
      </c>
      <c r="AN4157">
        <v>0.999999944622183</v>
      </c>
    </row>
    <row r="4158" spans="1:40" x14ac:dyDescent="0.25">
      <c r="A4158" t="str">
        <f>"20190304155457305"</f>
        <v>20190304155457305</v>
      </c>
      <c r="B4158" t="str">
        <f>"1551686097301157"</f>
        <v>1551686097301157</v>
      </c>
      <c r="C4158" t="s">
        <v>40</v>
      </c>
      <c r="D4158">
        <v>4.3439430000000003</v>
      </c>
      <c r="E4158">
        <v>0.42527379999999998</v>
      </c>
      <c r="F4158" t="s">
        <v>74</v>
      </c>
      <c r="G4158">
        <v>-407.51479999999998</v>
      </c>
      <c r="H4158" s="1">
        <v>-3.1462550000000001E-6</v>
      </c>
      <c r="I4158">
        <v>11.369669999999999</v>
      </c>
      <c r="J4158">
        <v>-422.20490000000001</v>
      </c>
      <c r="K4158">
        <v>1.1107229999999999</v>
      </c>
      <c r="L4158">
        <v>55.271329999999999</v>
      </c>
      <c r="M4158">
        <v>9.3294580000000005E-3</v>
      </c>
      <c r="N4158">
        <v>-1.39168E-2</v>
      </c>
      <c r="O4158">
        <v>-0.99985959999999996</v>
      </c>
      <c r="P4158">
        <v>0.13391700000000001</v>
      </c>
      <c r="Q4158">
        <v>0.1743837</v>
      </c>
      <c r="R4158">
        <v>-0.97552910000000004</v>
      </c>
      <c r="S4158">
        <v>0.98321530000000001</v>
      </c>
      <c r="T4158">
        <v>-7.4326039999999996E-2</v>
      </c>
      <c r="U4158">
        <v>-2.9532780000000001</v>
      </c>
      <c r="V4158">
        <v>-0.12488779999999999</v>
      </c>
      <c r="W4158">
        <v>0.18790770000000001</v>
      </c>
      <c r="X4158">
        <v>0.97421440000000004</v>
      </c>
      <c r="Y4158">
        <v>-0.30691689999999999</v>
      </c>
      <c r="Z4158">
        <v>1.001204E-2</v>
      </c>
      <c r="AA4158">
        <v>0.95168359999999996</v>
      </c>
      <c r="AB4158">
        <v>26</v>
      </c>
      <c r="AC4158">
        <v>14.690099999999999</v>
      </c>
      <c r="AD4158">
        <v>-1.110726146255</v>
      </c>
      <c r="AE4158">
        <v>-43.90166</v>
      </c>
      <c r="AF4158">
        <v>-14.2716266842531</v>
      </c>
      <c r="AG4158">
        <v>-1.110726146255</v>
      </c>
      <c r="AH4158">
        <v>44.011477643250103</v>
      </c>
      <c r="AI4158">
        <v>91.375211133032593</v>
      </c>
      <c r="AJ4158">
        <v>107.966352626312</v>
      </c>
      <c r="AK4158">
        <v>46.280916208832402</v>
      </c>
      <c r="AL4158">
        <v>79.169294722726804</v>
      </c>
      <c r="AM4158">
        <v>97.305095166482602</v>
      </c>
      <c r="AN4158">
        <v>0.99999998173774396</v>
      </c>
    </row>
    <row r="4159" spans="1:40" x14ac:dyDescent="0.25">
      <c r="A4159" t="str">
        <f>"20190304155457326"</f>
        <v>20190304155457326</v>
      </c>
      <c r="B4159" t="str">
        <f>"1551686097321780"</f>
        <v>1551686097321780</v>
      </c>
      <c r="C4159" t="s">
        <v>40</v>
      </c>
      <c r="D4159">
        <v>4.618506</v>
      </c>
      <c r="E4159">
        <v>0.4759738</v>
      </c>
      <c r="F4159" t="s">
        <v>74</v>
      </c>
      <c r="G4159">
        <v>-407.41840000000002</v>
      </c>
      <c r="H4159" s="1">
        <v>-3.1013740000000002E-6</v>
      </c>
      <c r="I4159">
        <v>10.911210000000001</v>
      </c>
      <c r="J4159">
        <v>-422.2022</v>
      </c>
      <c r="K4159">
        <v>1.1107659999999999</v>
      </c>
      <c r="L4159">
        <v>55.023829999999997</v>
      </c>
      <c r="M4159">
        <v>9.6472810000000006E-3</v>
      </c>
      <c r="N4159">
        <v>-1.391447E-2</v>
      </c>
      <c r="O4159">
        <v>-0.99985679999999999</v>
      </c>
      <c r="P4159">
        <v>0.13364029999999999</v>
      </c>
      <c r="Q4159">
        <v>0.1750457</v>
      </c>
      <c r="R4159">
        <v>-0.97544839999999999</v>
      </c>
      <c r="S4159">
        <v>0.98443599999999998</v>
      </c>
      <c r="T4159">
        <v>-7.3948139999999996E-2</v>
      </c>
      <c r="U4159">
        <v>-2.9533390000000002</v>
      </c>
      <c r="V4159">
        <v>-0.1243221</v>
      </c>
      <c r="W4159">
        <v>0.188554</v>
      </c>
      <c r="X4159">
        <v>0.97416190000000003</v>
      </c>
      <c r="Y4159">
        <v>-0.30696319999999999</v>
      </c>
      <c r="Z4159">
        <v>9.8913449999999993E-3</v>
      </c>
      <c r="AA4159">
        <v>0.95167000000000002</v>
      </c>
      <c r="AB4159">
        <v>26</v>
      </c>
      <c r="AC4159">
        <v>14.7837999999999</v>
      </c>
      <c r="AD4159">
        <v>-1.110769101374</v>
      </c>
      <c r="AE4159">
        <v>-44.11262</v>
      </c>
      <c r="AF4159">
        <v>-14.3493244463184</v>
      </c>
      <c r="AG4159">
        <v>-1.110769101374</v>
      </c>
      <c r="AH4159">
        <v>44.227993012840997</v>
      </c>
      <c r="AI4159">
        <v>91.368466369429299</v>
      </c>
      <c r="AJ4159">
        <v>107.975129897952</v>
      </c>
      <c r="AK4159">
        <v>46.510776020253502</v>
      </c>
      <c r="AL4159">
        <v>79.131590705444196</v>
      </c>
      <c r="AM4159">
        <v>97.272748295617305</v>
      </c>
      <c r="AN4159">
        <v>1.0000000014380099</v>
      </c>
    </row>
    <row r="4160" spans="1:40" x14ac:dyDescent="0.25">
      <c r="A4160" t="str">
        <f>"20190304155457353"</f>
        <v>20190304155457353</v>
      </c>
      <c r="B4160" t="str">
        <f>"1551686097341301"</f>
        <v>1551686097341301</v>
      </c>
      <c r="C4160" t="s">
        <v>40</v>
      </c>
      <c r="D4160">
        <v>4.5330550000000001</v>
      </c>
      <c r="E4160">
        <v>0.49478169999999999</v>
      </c>
      <c r="F4160" t="s">
        <v>84</v>
      </c>
      <c r="G4160">
        <v>-411.62400000000002</v>
      </c>
      <c r="H4160">
        <v>0.52416109999999905</v>
      </c>
      <c r="I4160">
        <v>0.56257060000000003</v>
      </c>
      <c r="J4160">
        <v>-422.19880000000001</v>
      </c>
      <c r="K4160">
        <v>1.1108169999999999</v>
      </c>
      <c r="L4160">
        <v>54.713650000000001</v>
      </c>
      <c r="M4160">
        <v>1.0126339999999999E-2</v>
      </c>
      <c r="N4160">
        <v>-1.391151E-2</v>
      </c>
      <c r="O4160">
        <v>-0.99985210000000002</v>
      </c>
      <c r="P4160">
        <v>0.13352539999999999</v>
      </c>
      <c r="Q4160">
        <v>0.17508580000000001</v>
      </c>
      <c r="R4160">
        <v>-0.97545689999999996</v>
      </c>
      <c r="S4160">
        <v>0.58297730000000003</v>
      </c>
      <c r="T4160">
        <v>-3.2329919999999998E-2</v>
      </c>
      <c r="U4160">
        <v>-3.0014340000000002</v>
      </c>
      <c r="V4160">
        <v>-0.1237603</v>
      </c>
      <c r="W4160">
        <v>0.1885783</v>
      </c>
      <c r="X4160">
        <v>0.97422869999999995</v>
      </c>
      <c r="Y4160">
        <v>-0.18068670000000001</v>
      </c>
      <c r="Z4160">
        <v>-3.3156689999999998E-3</v>
      </c>
      <c r="AA4160">
        <v>0.9835351</v>
      </c>
      <c r="AB4160">
        <v>26</v>
      </c>
      <c r="AC4160">
        <v>10.5747999999999</v>
      </c>
      <c r="AD4160">
        <v>-0.58665590000000001</v>
      </c>
      <c r="AE4160">
        <v>-54.1510794</v>
      </c>
      <c r="AF4160">
        <v>-10.0247190995261</v>
      </c>
      <c r="AG4160">
        <v>-0.58665590000000001</v>
      </c>
      <c r="AH4160">
        <v>54.249263484624699</v>
      </c>
      <c r="AI4160">
        <v>90.609262785887793</v>
      </c>
      <c r="AJ4160">
        <v>100.46958141647499</v>
      </c>
      <c r="AK4160">
        <v>55.170841454464302</v>
      </c>
      <c r="AL4160">
        <v>79.130172677361799</v>
      </c>
      <c r="AM4160">
        <v>97.239741776358102</v>
      </c>
      <c r="AN4160">
        <v>0.99999997349533398</v>
      </c>
    </row>
    <row r="4161" spans="1:40" x14ac:dyDescent="0.25">
      <c r="A4161" t="str">
        <f>"20190304155457375"</f>
        <v>20190304155457375</v>
      </c>
      <c r="B4161" t="str">
        <f>"1551686097371557"</f>
        <v>1551686097371557</v>
      </c>
      <c r="C4161" t="s">
        <v>40</v>
      </c>
      <c r="D4161">
        <v>4.5575559999999999</v>
      </c>
      <c r="E4161">
        <v>0.50365300000000002</v>
      </c>
      <c r="F4161" t="s">
        <v>84</v>
      </c>
      <c r="G4161">
        <v>-414.4178</v>
      </c>
      <c r="H4161">
        <v>0.1176244</v>
      </c>
      <c r="I4161">
        <v>0.53415679999999999</v>
      </c>
      <c r="J4161">
        <v>-422.19580000000002</v>
      </c>
      <c r="K4161">
        <v>1.1108469999999999</v>
      </c>
      <c r="L4161">
        <v>54.465940000000003</v>
      </c>
      <c r="M4161">
        <v>1.0569139999999999E-2</v>
      </c>
      <c r="N4161">
        <v>-1.390913E-2</v>
      </c>
      <c r="O4161">
        <v>-0.99984770000000001</v>
      </c>
      <c r="P4161">
        <v>0.1338094</v>
      </c>
      <c r="Q4161">
        <v>0.17471</v>
      </c>
      <c r="R4161">
        <v>-0.97548539999999995</v>
      </c>
      <c r="S4161">
        <v>0.43457030000000002</v>
      </c>
      <c r="T4161">
        <v>-5.5471659999999999E-2</v>
      </c>
      <c r="U4161">
        <v>-3.0259399999999999</v>
      </c>
      <c r="V4161">
        <v>-0.1236271</v>
      </c>
      <c r="W4161">
        <v>0.188191</v>
      </c>
      <c r="X4161">
        <v>0.97432050000000003</v>
      </c>
      <c r="Y4161">
        <v>-0.1316552</v>
      </c>
      <c r="Z4161">
        <v>4.2564859999999899E-3</v>
      </c>
      <c r="AA4161">
        <v>0.99128649999999996</v>
      </c>
      <c r="AB4161">
        <v>26</v>
      </c>
      <c r="AC4161">
        <v>7.7780000000000102</v>
      </c>
      <c r="AD4161">
        <v>-0.99322259999999996</v>
      </c>
      <c r="AE4161">
        <v>-53.931783199999998</v>
      </c>
      <c r="AF4161">
        <v>-7.2051040458254301</v>
      </c>
      <c r="AG4161">
        <v>-0.99322259999999996</v>
      </c>
      <c r="AH4161">
        <v>53.9930458429616</v>
      </c>
      <c r="AI4161">
        <v>91.044600994435896</v>
      </c>
      <c r="AJ4161">
        <v>97.600931679722393</v>
      </c>
      <c r="AK4161">
        <v>54.480721497099097</v>
      </c>
      <c r="AL4161">
        <v>79.152767904918207</v>
      </c>
      <c r="AM4161">
        <v>97.231358187200897</v>
      </c>
      <c r="AN4161">
        <v>0.99999997452782896</v>
      </c>
    </row>
    <row r="4162" spans="1:40" x14ac:dyDescent="0.25">
      <c r="A4162" t="str">
        <f>"20190304155457395"</f>
        <v>20190304155457395</v>
      </c>
      <c r="B4162" t="str">
        <f>"1551686097391077"</f>
        <v>1551686097391077</v>
      </c>
      <c r="C4162" t="s">
        <v>40</v>
      </c>
      <c r="D4162">
        <v>4.5150430000000004</v>
      </c>
      <c r="E4162">
        <v>0.5057045</v>
      </c>
      <c r="F4162" t="s">
        <v>74</v>
      </c>
      <c r="G4162">
        <v>-416.97640000000001</v>
      </c>
      <c r="H4162" s="1">
        <v>-1.3829729999999999E-5</v>
      </c>
      <c r="I4162">
        <v>10.88593</v>
      </c>
      <c r="J4162">
        <v>-422.19299999999998</v>
      </c>
      <c r="K4162">
        <v>1.1108800000000001</v>
      </c>
      <c r="L4162">
        <v>54.24109</v>
      </c>
      <c r="M4162">
        <v>1.10156E-2</v>
      </c>
      <c r="N4162">
        <v>-1.3906969999999999E-2</v>
      </c>
      <c r="O4162">
        <v>-0.99984289999999998</v>
      </c>
      <c r="P4162">
        <v>0.13472809999999999</v>
      </c>
      <c r="Q4162">
        <v>0.17480309999999999</v>
      </c>
      <c r="R4162">
        <v>-0.9753425</v>
      </c>
      <c r="S4162">
        <v>0.3640137</v>
      </c>
      <c r="T4162">
        <v>-7.7473159999999999E-2</v>
      </c>
      <c r="U4162">
        <v>-3.0393370000000002</v>
      </c>
      <c r="V4162">
        <v>-0.1241255</v>
      </c>
      <c r="W4162">
        <v>0.1882711</v>
      </c>
      <c r="X4162">
        <v>0.97424169999999999</v>
      </c>
      <c r="Y4162">
        <v>-0.1079348</v>
      </c>
      <c r="Z4162">
        <v>1.1418930000000001E-2</v>
      </c>
      <c r="AA4162">
        <v>0.99409239999999999</v>
      </c>
      <c r="AB4162">
        <v>26</v>
      </c>
      <c r="AC4162">
        <v>5.2166000000000201</v>
      </c>
      <c r="AD4162">
        <v>-1.1108938297299999</v>
      </c>
      <c r="AE4162">
        <v>-43.355159999999998</v>
      </c>
      <c r="AF4162">
        <v>-4.7355895247494404</v>
      </c>
      <c r="AG4162">
        <v>-1.1108938297299999</v>
      </c>
      <c r="AH4162">
        <v>43.381922845519298</v>
      </c>
      <c r="AI4162">
        <v>91.458211016199499</v>
      </c>
      <c r="AJ4162">
        <v>96.229765668496697</v>
      </c>
      <c r="AK4162">
        <v>43.653764133490697</v>
      </c>
      <c r="AL4162">
        <v>79.148095465553197</v>
      </c>
      <c r="AM4162">
        <v>97.260781765453402</v>
      </c>
      <c r="AN4162">
        <v>1.00000001843217</v>
      </c>
    </row>
    <row r="4163" spans="1:40" x14ac:dyDescent="0.25">
      <c r="A4163" t="str">
        <f>"20190304155457416"</f>
        <v>20190304155457416</v>
      </c>
      <c r="B4163" t="str">
        <f>"1551686097411433"</f>
        <v>1551686097411433</v>
      </c>
      <c r="C4163" t="s">
        <v>40</v>
      </c>
      <c r="D4163">
        <v>4.5600839999999998</v>
      </c>
      <c r="E4163">
        <v>0.50674490000000005</v>
      </c>
      <c r="F4163" t="s">
        <v>74</v>
      </c>
      <c r="G4163">
        <v>-418.0308</v>
      </c>
      <c r="H4163" s="1">
        <v>-1.261252E-5</v>
      </c>
      <c r="I4163">
        <v>18.118980000000001</v>
      </c>
      <c r="J4163">
        <v>-422.18990000000002</v>
      </c>
      <c r="K4163">
        <v>1.110916</v>
      </c>
      <c r="L4163">
        <v>54.009189999999997</v>
      </c>
      <c r="M4163">
        <v>1.151486E-2</v>
      </c>
      <c r="N4163">
        <v>-1.390479E-2</v>
      </c>
      <c r="O4163">
        <v>-0.99983699999999998</v>
      </c>
      <c r="P4163">
        <v>0.13595070000000001</v>
      </c>
      <c r="Q4163">
        <v>0.17517489999999999</v>
      </c>
      <c r="R4163">
        <v>-0.97510589999999997</v>
      </c>
      <c r="S4163">
        <v>0.350769</v>
      </c>
      <c r="T4163">
        <v>-9.3619469999999996E-2</v>
      </c>
      <c r="U4163">
        <v>-3.0441590000000001</v>
      </c>
      <c r="V4163">
        <v>-0.12487769999999999</v>
      </c>
      <c r="W4163">
        <v>0.18862789999999999</v>
      </c>
      <c r="X4163">
        <v>0.97407650000000001</v>
      </c>
      <c r="Y4163">
        <v>-0.102974</v>
      </c>
      <c r="Z4163">
        <v>1.6661510000000001E-2</v>
      </c>
      <c r="AA4163">
        <v>0.99454450000000005</v>
      </c>
      <c r="AB4163">
        <v>25</v>
      </c>
      <c r="AC4163">
        <v>4.15910000000002</v>
      </c>
      <c r="AD4163">
        <v>-1.11092861252</v>
      </c>
      <c r="AE4163">
        <v>-35.890209999999897</v>
      </c>
      <c r="AF4163">
        <v>-3.7419757408315202</v>
      </c>
      <c r="AG4163">
        <v>-1.11092861252</v>
      </c>
      <c r="AH4163">
        <v>35.901783736471003</v>
      </c>
      <c r="AI4163">
        <v>91.762825942125403</v>
      </c>
      <c r="AJ4163">
        <v>95.950346754168194</v>
      </c>
      <c r="AK4163">
        <v>36.113357920406997</v>
      </c>
      <c r="AL4163">
        <v>79.127278902788504</v>
      </c>
      <c r="AM4163">
        <v>97.305533693991705</v>
      </c>
      <c r="AN4163">
        <v>0.99999997623397396</v>
      </c>
    </row>
    <row r="4164" spans="1:40" x14ac:dyDescent="0.25">
      <c r="A4164" t="str">
        <f>"20190304155457438"</f>
        <v>20190304155457438</v>
      </c>
      <c r="B4164" t="str">
        <f>"1551686097431913"</f>
        <v>1551686097431913</v>
      </c>
      <c r="C4164" t="s">
        <v>40</v>
      </c>
      <c r="D4164">
        <v>4.5693780000000004</v>
      </c>
      <c r="E4164">
        <v>0.50749949999999999</v>
      </c>
      <c r="F4164" t="s">
        <v>74</v>
      </c>
      <c r="G4164">
        <v>-418.47280000000001</v>
      </c>
      <c r="H4164" s="1">
        <v>-6.8747240000000002E-6</v>
      </c>
      <c r="I4164">
        <v>21.31738</v>
      </c>
      <c r="J4164">
        <v>-422.18619999999999</v>
      </c>
      <c r="K4164">
        <v>1.1109530000000001</v>
      </c>
      <c r="L4164">
        <v>53.745820000000002</v>
      </c>
      <c r="M4164">
        <v>1.2124279999999999E-2</v>
      </c>
      <c r="N4164">
        <v>-1.3902360000000001E-2</v>
      </c>
      <c r="O4164">
        <v>-0.99983010000000005</v>
      </c>
      <c r="P4164">
        <v>0.137492</v>
      </c>
      <c r="Q4164">
        <v>0.175308399999999</v>
      </c>
      <c r="R4164">
        <v>-0.97486600000000001</v>
      </c>
      <c r="S4164">
        <v>0.34643550000000001</v>
      </c>
      <c r="T4164">
        <v>-0.10353900000000001</v>
      </c>
      <c r="U4164">
        <v>-3.0469059999999999</v>
      </c>
      <c r="V4164">
        <v>-0.12584319999999999</v>
      </c>
      <c r="W4164">
        <v>0.18874550000000001</v>
      </c>
      <c r="X4164">
        <v>0.9739295</v>
      </c>
      <c r="Y4164">
        <v>-0.1008611</v>
      </c>
      <c r="Z4164">
        <v>1.9875E-2</v>
      </c>
      <c r="AA4164">
        <v>0.99470199999999998</v>
      </c>
      <c r="AB4164">
        <v>25</v>
      </c>
      <c r="AC4164">
        <v>3.7133999999999698</v>
      </c>
      <c r="AD4164">
        <v>-1.1109598747239999</v>
      </c>
      <c r="AE4164">
        <v>-32.428439999999902</v>
      </c>
      <c r="AF4164">
        <v>-3.3160760243323502</v>
      </c>
      <c r="AG4164">
        <v>-1.1109598747239999</v>
      </c>
      <c r="AH4164">
        <v>32.433509205360501</v>
      </c>
      <c r="AI4164">
        <v>91.951645307365496</v>
      </c>
      <c r="AJ4164">
        <v>95.837766029752302</v>
      </c>
      <c r="AK4164">
        <v>32.621513015441202</v>
      </c>
      <c r="AL4164">
        <v>79.120418186476201</v>
      </c>
      <c r="AM4164">
        <v>97.362498596945002</v>
      </c>
      <c r="AN4164">
        <v>1.0000000228633601</v>
      </c>
    </row>
    <row r="4165" spans="1:40" x14ac:dyDescent="0.25">
      <c r="A4165" t="str">
        <f>"20190304155457461"</f>
        <v>20190304155457461</v>
      </c>
      <c r="B4165" t="str">
        <f>"1551686097451432"</f>
        <v>1551686097451432</v>
      </c>
      <c r="C4165" t="s">
        <v>40</v>
      </c>
      <c r="D4165">
        <v>4.5014849999999997</v>
      </c>
      <c r="E4165">
        <v>0.50858749999999997</v>
      </c>
      <c r="F4165" t="s">
        <v>74</v>
      </c>
      <c r="G4165">
        <v>-418.73419999999999</v>
      </c>
      <c r="H4165" s="1">
        <v>-7.001515E-6</v>
      </c>
      <c r="I4165">
        <v>23.26033</v>
      </c>
      <c r="J4165">
        <v>-422.18259999999998</v>
      </c>
      <c r="K4165">
        <v>1.1109770000000001</v>
      </c>
      <c r="L4165">
        <v>53.49915</v>
      </c>
      <c r="M4165">
        <v>1.2731869999999999E-2</v>
      </c>
      <c r="N4165">
        <v>-1.390011E-2</v>
      </c>
      <c r="O4165">
        <v>-0.99982230000000005</v>
      </c>
      <c r="P4165">
        <v>0.1389059</v>
      </c>
      <c r="Q4165">
        <v>0.1748895</v>
      </c>
      <c r="R4165">
        <v>-0.97474059999999996</v>
      </c>
      <c r="S4165">
        <v>0.34521479999999999</v>
      </c>
      <c r="T4165">
        <v>-0.1110995</v>
      </c>
      <c r="U4165">
        <v>-3.048645</v>
      </c>
      <c r="V4165">
        <v>-0.1266777</v>
      </c>
      <c r="W4165">
        <v>0.1883147</v>
      </c>
      <c r="X4165">
        <v>0.97390469999999896</v>
      </c>
      <c r="Y4165">
        <v>-9.9792389999999995E-2</v>
      </c>
      <c r="Z4165">
        <v>2.2322760000000001E-2</v>
      </c>
      <c r="AA4165">
        <v>0.99475780000000003</v>
      </c>
      <c r="AB4165">
        <v>25</v>
      </c>
      <c r="AC4165">
        <v>3.4483999999999901</v>
      </c>
      <c r="AD4165">
        <v>-1.1109840015150001</v>
      </c>
      <c r="AE4165">
        <v>-30.23882</v>
      </c>
      <c r="AF4165">
        <v>-3.0590103079211701</v>
      </c>
      <c r="AG4165">
        <v>-1.1109840015150001</v>
      </c>
      <c r="AH4165">
        <v>30.239981943959901</v>
      </c>
      <c r="AI4165">
        <v>92.093364478793802</v>
      </c>
      <c r="AJ4165">
        <v>95.776266323636193</v>
      </c>
      <c r="AK4165">
        <v>30.414607304494499</v>
      </c>
      <c r="AL4165">
        <v>79.145551837714706</v>
      </c>
      <c r="AM4165">
        <v>97.410966969136496</v>
      </c>
      <c r="AN4165">
        <v>1.00000001529773</v>
      </c>
    </row>
    <row r="4166" spans="1:40" x14ac:dyDescent="0.25">
      <c r="A4166" t="str">
        <f>"20190304155457483"</f>
        <v>20190304155457483</v>
      </c>
      <c r="B4166" t="str">
        <f>"1551686097471928"</f>
        <v>1551686097471928</v>
      </c>
      <c r="C4166" t="s">
        <v>40</v>
      </c>
      <c r="D4166">
        <v>4.5543259999999997</v>
      </c>
      <c r="E4166">
        <v>0.50881359999999998</v>
      </c>
      <c r="F4166" t="s">
        <v>74</v>
      </c>
      <c r="G4166">
        <v>-419.13319999999999</v>
      </c>
      <c r="H4166" s="1">
        <v>-7.1940430000000002E-6</v>
      </c>
      <c r="I4166">
        <v>26.217379999999999</v>
      </c>
      <c r="J4166">
        <v>-422.17860000000002</v>
      </c>
      <c r="K4166">
        <v>1.111002</v>
      </c>
      <c r="L4166">
        <v>53.249360000000003</v>
      </c>
      <c r="M4166">
        <v>1.33791E-2</v>
      </c>
      <c r="N4166">
        <v>-1.389777E-2</v>
      </c>
      <c r="O4166">
        <v>-0.99981399999999998</v>
      </c>
      <c r="P4166">
        <v>0.13977729999999999</v>
      </c>
      <c r="Q4166">
        <v>0.17439950000000001</v>
      </c>
      <c r="R4166">
        <v>-0.97470380000000001</v>
      </c>
      <c r="S4166">
        <v>0.34106449999999999</v>
      </c>
      <c r="T4166">
        <v>-0.124263</v>
      </c>
      <c r="U4166">
        <v>-3.051453</v>
      </c>
      <c r="V4166">
        <v>-0.12692680000000001</v>
      </c>
      <c r="W4166">
        <v>0.18781590000000001</v>
      </c>
      <c r="X4166">
        <v>0.97396859999999996</v>
      </c>
      <c r="Y4166">
        <v>-9.7695909999999997E-2</v>
      </c>
      <c r="Z4166">
        <v>2.658044E-2</v>
      </c>
      <c r="AA4166">
        <v>0.99486129999999995</v>
      </c>
      <c r="AB4166">
        <v>25</v>
      </c>
      <c r="AC4166">
        <v>3.0454000000000199</v>
      </c>
      <c r="AD4166">
        <v>-1.111009194043</v>
      </c>
      <c r="AE4166">
        <v>-27.031980000000001</v>
      </c>
      <c r="AF4166">
        <v>-2.6789603396108399</v>
      </c>
      <c r="AG4166">
        <v>-1.111009194043</v>
      </c>
      <c r="AH4166">
        <v>27.025229981328799</v>
      </c>
      <c r="AI4166">
        <v>92.342639318458396</v>
      </c>
      <c r="AJ4166">
        <v>95.661128647750004</v>
      </c>
      <c r="AK4166">
        <v>27.180401495823599</v>
      </c>
      <c r="AL4166">
        <v>79.174650341673001</v>
      </c>
      <c r="AM4166">
        <v>97.424895754869198</v>
      </c>
      <c r="AN4166">
        <v>1.0000000293185001</v>
      </c>
    </row>
    <row r="4167" spans="1:40" x14ac:dyDescent="0.25">
      <c r="A4167" t="str">
        <f>"20190304155457506"</f>
        <v>20190304155457506</v>
      </c>
      <c r="B4167" t="str">
        <f>"1551686097501208"</f>
        <v>1551686097501208</v>
      </c>
      <c r="C4167" t="s">
        <v>40</v>
      </c>
      <c r="D4167">
        <v>4.5929909999999996</v>
      </c>
      <c r="E4167">
        <v>0.50903799999999999</v>
      </c>
      <c r="F4167" t="s">
        <v>74</v>
      </c>
      <c r="G4167">
        <v>-419.24959999999999</v>
      </c>
      <c r="H4167" s="1">
        <v>-7.2447359999999996E-6</v>
      </c>
      <c r="I4167">
        <v>27.031279999999999</v>
      </c>
      <c r="J4167">
        <v>-422.17439999999999</v>
      </c>
      <c r="K4167">
        <v>1.111019</v>
      </c>
      <c r="L4167">
        <v>52.995510000000003</v>
      </c>
      <c r="M4167">
        <v>1.4061819999999999E-2</v>
      </c>
      <c r="N4167">
        <v>-1.3895279999999999E-2</v>
      </c>
      <c r="O4167">
        <v>-0.99980460000000004</v>
      </c>
      <c r="P4167">
        <v>0.14075079999999901</v>
      </c>
      <c r="Q4167">
        <v>0.1745678</v>
      </c>
      <c r="R4167">
        <v>-0.97453330000000005</v>
      </c>
      <c r="S4167">
        <v>0.34097290000000002</v>
      </c>
      <c r="T4167">
        <v>-0.12933459999999999</v>
      </c>
      <c r="U4167">
        <v>-3.0520939999999999</v>
      </c>
      <c r="V4167">
        <v>-0.12724240000000001</v>
      </c>
      <c r="W4167">
        <v>0.18797610000000001</v>
      </c>
      <c r="X4167">
        <v>0.97389650000000005</v>
      </c>
      <c r="Y4167">
        <v>-9.6957940000000006E-2</v>
      </c>
      <c r="Z4167">
        <v>2.8224880000000001E-2</v>
      </c>
      <c r="AA4167">
        <v>0.9948882</v>
      </c>
      <c r="AB4167">
        <v>25</v>
      </c>
      <c r="AC4167">
        <v>2.9247999999999998</v>
      </c>
      <c r="AD4167">
        <v>-1.111026244736</v>
      </c>
      <c r="AE4167">
        <v>-25.964230000000001</v>
      </c>
      <c r="AF4167">
        <v>-2.5547519545738</v>
      </c>
      <c r="AG4167">
        <v>-1.111026244736</v>
      </c>
      <c r="AH4167">
        <v>25.955863651087402</v>
      </c>
      <c r="AI4167">
        <v>92.439244956684604</v>
      </c>
      <c r="AJ4167">
        <v>95.621332626868295</v>
      </c>
      <c r="AK4167">
        <v>26.1049419600912</v>
      </c>
      <c r="AL4167">
        <v>79.165304981197096</v>
      </c>
      <c r="AM4167">
        <v>97.443695655011396</v>
      </c>
      <c r="AN4167">
        <v>1.0000000176206001</v>
      </c>
    </row>
    <row r="4168" spans="1:40" x14ac:dyDescent="0.25">
      <c r="A4168" t="str">
        <f>"20190304155457527"</f>
        <v>20190304155457527</v>
      </c>
      <c r="B4168" t="str">
        <f>"1551686097521704"</f>
        <v>1551686097521704</v>
      </c>
      <c r="C4168" t="s">
        <v>40</v>
      </c>
      <c r="D4168">
        <v>4.5785839999999904</v>
      </c>
      <c r="E4168">
        <v>0.50915259999999996</v>
      </c>
      <c r="F4168" t="s">
        <v>74</v>
      </c>
      <c r="G4168">
        <v>-419.30680000000001</v>
      </c>
      <c r="H4168" s="1">
        <v>-7.268433E-6</v>
      </c>
      <c r="I4168">
        <v>27.420500000000001</v>
      </c>
      <c r="J4168">
        <v>-422.17</v>
      </c>
      <c r="K4168">
        <v>1.11103</v>
      </c>
      <c r="L4168">
        <v>52.740969999999997</v>
      </c>
      <c r="M4168">
        <v>1.47613E-2</v>
      </c>
      <c r="N4168">
        <v>-1.3892750000000001E-2</v>
      </c>
      <c r="O4168">
        <v>-0.99979450000000003</v>
      </c>
      <c r="P4168">
        <v>0.14126329999999901</v>
      </c>
      <c r="Q4168">
        <v>0.17538299999999901</v>
      </c>
      <c r="R4168">
        <v>-0.97431310000000004</v>
      </c>
      <c r="S4168">
        <v>0.34228520000000001</v>
      </c>
      <c r="T4168">
        <v>-0.13261510000000001</v>
      </c>
      <c r="U4168">
        <v>-3.0527039999999999</v>
      </c>
      <c r="V4168">
        <v>-0.1270792</v>
      </c>
      <c r="W4168">
        <v>0.18878529999999999</v>
      </c>
      <c r="X4168">
        <v>0.97376130000000005</v>
      </c>
      <c r="Y4168">
        <v>-9.6658099999999997E-2</v>
      </c>
      <c r="Z4168">
        <v>2.9284810000000001E-2</v>
      </c>
      <c r="AA4168">
        <v>0.99488679999999996</v>
      </c>
      <c r="AB4168">
        <v>25</v>
      </c>
      <c r="AC4168">
        <v>2.8632</v>
      </c>
      <c r="AD4168">
        <v>-1.1110372684330001</v>
      </c>
      <c r="AE4168">
        <v>-25.32047</v>
      </c>
      <c r="AF4168">
        <v>-2.4843659166063401</v>
      </c>
      <c r="AG4168">
        <v>-1.1110372684330001</v>
      </c>
      <c r="AH4168">
        <v>25.311859984061101</v>
      </c>
      <c r="AI4168">
        <v>92.501320275135001</v>
      </c>
      <c r="AJ4168">
        <v>95.605641691598606</v>
      </c>
      <c r="AK4168">
        <v>25.457744080577001</v>
      </c>
      <c r="AL4168">
        <v>79.118096267423397</v>
      </c>
      <c r="AM4168">
        <v>97.435275944510195</v>
      </c>
      <c r="AN4168">
        <v>1.0000000409731999</v>
      </c>
    </row>
    <row r="4169" spans="1:40" x14ac:dyDescent="0.25">
      <c r="A4169" t="str">
        <f>"20190304155457551"</f>
        <v>20190304155457551</v>
      </c>
      <c r="B4169" t="str">
        <f>"1551686097541224"</f>
        <v>1551686097541224</v>
      </c>
      <c r="C4169" t="s">
        <v>40</v>
      </c>
      <c r="D4169">
        <v>4.5539329999999998</v>
      </c>
      <c r="E4169">
        <v>0.50926150000000003</v>
      </c>
      <c r="F4169" t="s">
        <v>74</v>
      </c>
      <c r="G4169">
        <v>-419.28019999999998</v>
      </c>
      <c r="H4169" s="1">
        <v>-7.2267109999999999E-6</v>
      </c>
      <c r="I4169">
        <v>26.966619999999999</v>
      </c>
      <c r="J4169">
        <v>-422.1653</v>
      </c>
      <c r="K4169">
        <v>1.1110310000000001</v>
      </c>
      <c r="L4169">
        <v>52.47336</v>
      </c>
      <c r="M4169">
        <v>1.550463E-2</v>
      </c>
      <c r="N4169">
        <v>-1.3890059999999999E-2</v>
      </c>
      <c r="O4169">
        <v>-0.99978359999999999</v>
      </c>
      <c r="P4169">
        <v>0.14167879999999899</v>
      </c>
      <c r="Q4169">
        <v>0.17585379999999901</v>
      </c>
      <c r="R4169">
        <v>-0.97416789999999998</v>
      </c>
      <c r="S4169">
        <v>0.3423157</v>
      </c>
      <c r="T4169">
        <v>-0.13161049999999999</v>
      </c>
      <c r="U4169">
        <v>-3.0531619999999999</v>
      </c>
      <c r="V4169">
        <v>-0.12677279999999999</v>
      </c>
      <c r="W4169">
        <v>0.18925210000000001</v>
      </c>
      <c r="X4169">
        <v>0.97371059999999998</v>
      </c>
      <c r="Y4169">
        <v>-9.5912960000000005E-2</v>
      </c>
      <c r="Z4169">
        <v>2.8956030000000001E-2</v>
      </c>
      <c r="AA4169">
        <v>0.99496850000000003</v>
      </c>
      <c r="AB4169">
        <v>25</v>
      </c>
      <c r="AC4169">
        <v>2.88510000000002</v>
      </c>
      <c r="AD4169">
        <v>-1.1110382267109999</v>
      </c>
      <c r="AE4169">
        <v>-25.506740000000001</v>
      </c>
      <c r="AF4169">
        <v>-2.4845879362154601</v>
      </c>
      <c r="AG4169">
        <v>-1.1110382267109999</v>
      </c>
      <c r="AH4169">
        <v>25.500637611724699</v>
      </c>
      <c r="AI4169">
        <v>92.483001191402707</v>
      </c>
      <c r="AJ4169">
        <v>95.564899467888907</v>
      </c>
      <c r="AK4169">
        <v>25.645469419733999</v>
      </c>
      <c r="AL4169">
        <v>79.090859344824096</v>
      </c>
      <c r="AM4169">
        <v>97.417930584618105</v>
      </c>
      <c r="AN4169">
        <v>1.0000000163633</v>
      </c>
    </row>
    <row r="4170" spans="1:40" x14ac:dyDescent="0.25">
      <c r="A4170" t="str">
        <f>"20190304155457595"</f>
        <v>20190304155457595</v>
      </c>
      <c r="B4170" t="str">
        <f>"1551686097591976"</f>
        <v>1551686097591976</v>
      </c>
      <c r="C4170" t="s">
        <v>40</v>
      </c>
      <c r="D4170">
        <v>4.4459759999999999</v>
      </c>
      <c r="E4170">
        <v>0.50941579999999997</v>
      </c>
      <c r="F4170" t="s">
        <v>74</v>
      </c>
      <c r="G4170">
        <v>-419.25400000000002</v>
      </c>
      <c r="H4170" s="1">
        <v>-7.189325E-6</v>
      </c>
      <c r="I4170">
        <v>26.55218</v>
      </c>
      <c r="J4170">
        <v>-422.15609999999998</v>
      </c>
      <c r="K4170">
        <v>1.1110359999999999</v>
      </c>
      <c r="L4170">
        <v>51.990110000000001</v>
      </c>
      <c r="M4170">
        <v>1.684633E-2</v>
      </c>
      <c r="N4170">
        <v>-1.3885089999999999E-2</v>
      </c>
      <c r="O4170">
        <v>-0.99976189999999998</v>
      </c>
      <c r="P4170">
        <v>0.14275289999999999</v>
      </c>
      <c r="Q4170">
        <v>0.17722360000000001</v>
      </c>
      <c r="R4170">
        <v>-0.97376289999999999</v>
      </c>
      <c r="S4170">
        <v>0.34292600000000001</v>
      </c>
      <c r="T4170">
        <v>-0.13087169999999901</v>
      </c>
      <c r="U4170">
        <v>-3.0533139999999999</v>
      </c>
      <c r="V4170">
        <v>-0.1265433</v>
      </c>
      <c r="W4170">
        <v>0.1906149</v>
      </c>
      <c r="X4170">
        <v>0.97347459999999997</v>
      </c>
      <c r="Y4170">
        <v>-9.4769400000000004E-2</v>
      </c>
      <c r="Z4170">
        <v>2.8720309999999999E-2</v>
      </c>
      <c r="AA4170">
        <v>0.99508490000000005</v>
      </c>
      <c r="AB4170">
        <v>25</v>
      </c>
      <c r="AC4170">
        <v>2.9020999999999599</v>
      </c>
      <c r="AD4170">
        <v>-1.1110431893249999</v>
      </c>
      <c r="AE4170">
        <v>-25.437929999999898</v>
      </c>
      <c r="AF4170">
        <v>-2.4684626458239598</v>
      </c>
      <c r="AG4170">
        <v>-1.1110431893249999</v>
      </c>
      <c r="AH4170">
        <v>25.435315637697201</v>
      </c>
      <c r="AI4170">
        <v>92.4894729403306</v>
      </c>
      <c r="AJ4170">
        <v>95.543118143072505</v>
      </c>
      <c r="AK4170">
        <v>25.578956319436799</v>
      </c>
      <c r="AL4170">
        <v>79.011329016962605</v>
      </c>
      <c r="AM4170">
        <v>97.406426061525394</v>
      </c>
      <c r="AN4170">
        <v>1.0000000218610201</v>
      </c>
    </row>
    <row r="4171" spans="1:40" x14ac:dyDescent="0.25">
      <c r="A4171" t="str">
        <f>"20190304155457621"</f>
        <v>20190304155457621</v>
      </c>
      <c r="B4171" t="str">
        <f>"1551686097611497"</f>
        <v>1551686097611497</v>
      </c>
      <c r="C4171" t="s">
        <v>40</v>
      </c>
      <c r="D4171">
        <v>4.5926229999999997</v>
      </c>
      <c r="E4171">
        <v>0.50948359999999904</v>
      </c>
      <c r="F4171" t="s">
        <v>74</v>
      </c>
      <c r="G4171">
        <v>-419.22430000000003</v>
      </c>
      <c r="H4171" s="1">
        <v>-7.1454780000000003E-6</v>
      </c>
      <c r="I4171">
        <v>26.069839999999999</v>
      </c>
      <c r="J4171">
        <v>-422.15019999999998</v>
      </c>
      <c r="K4171">
        <v>1.111032</v>
      </c>
      <c r="L4171">
        <v>51.697479999999999</v>
      </c>
      <c r="M4171">
        <v>1.7653120000000001E-2</v>
      </c>
      <c r="N4171">
        <v>-1.388209E-2</v>
      </c>
      <c r="O4171">
        <v>-0.99974799999999997</v>
      </c>
      <c r="P4171">
        <v>0.14354739999999999</v>
      </c>
      <c r="Q4171">
        <v>0.17729210000000001</v>
      </c>
      <c r="R4171">
        <v>-0.97363350000000004</v>
      </c>
      <c r="S4171">
        <v>0.34542850000000003</v>
      </c>
      <c r="T4171">
        <v>-0.13090689999999999</v>
      </c>
      <c r="U4171">
        <v>-3.0540159999999998</v>
      </c>
      <c r="V4171">
        <v>-0.12655050000000001</v>
      </c>
      <c r="W4171">
        <v>0.1906814</v>
      </c>
      <c r="X4171">
        <v>0.97346060000000001</v>
      </c>
      <c r="Y4171">
        <v>-9.4745830000000003E-2</v>
      </c>
      <c r="Z4171">
        <v>2.8722999999999999E-2</v>
      </c>
      <c r="AA4171">
        <v>0.99508700000000005</v>
      </c>
      <c r="AB4171">
        <v>25</v>
      </c>
      <c r="AC4171">
        <v>2.9258999999999502</v>
      </c>
      <c r="AD4171">
        <v>-1.111039145478</v>
      </c>
      <c r="AE4171">
        <v>-25.62764</v>
      </c>
      <c r="AF4171">
        <v>-2.4684129849750902</v>
      </c>
      <c r="AG4171">
        <v>-1.111039145478</v>
      </c>
      <c r="AH4171">
        <v>25.627754443802498</v>
      </c>
      <c r="AI4171">
        <v>92.470966483106807</v>
      </c>
      <c r="AJ4171">
        <v>95.501641208228307</v>
      </c>
      <c r="AK4171">
        <v>25.770317585916899</v>
      </c>
      <c r="AL4171">
        <v>79.007447220041499</v>
      </c>
      <c r="AM4171">
        <v>97.406948129643695</v>
      </c>
      <c r="AN4171">
        <v>0.99999998255428402</v>
      </c>
    </row>
    <row r="4172" spans="1:40" x14ac:dyDescent="0.25">
      <c r="A4172" t="str">
        <f>"20190304155457640"</f>
        <v>20190304155457640</v>
      </c>
      <c r="B4172" t="str">
        <f>"1551686097631993"</f>
        <v>1551686097631993</v>
      </c>
      <c r="C4172" t="s">
        <v>40</v>
      </c>
      <c r="D4172">
        <v>4.5353659999999998</v>
      </c>
      <c r="E4172">
        <v>0.50951279999999999</v>
      </c>
      <c r="F4172" t="s">
        <v>74</v>
      </c>
      <c r="G4172">
        <v>-419.22379999999998</v>
      </c>
      <c r="H4172" s="1">
        <v>-7.1325830000000003E-6</v>
      </c>
      <c r="I4172">
        <v>25.953579999999999</v>
      </c>
      <c r="J4172">
        <v>-422.1456</v>
      </c>
      <c r="K4172">
        <v>1.1110370000000001</v>
      </c>
      <c r="L4172">
        <v>51.477200000000003</v>
      </c>
      <c r="M4172">
        <v>1.825854E-2</v>
      </c>
      <c r="N4172">
        <v>-1.3879829999999999E-2</v>
      </c>
      <c r="O4172">
        <v>-0.99973699999999999</v>
      </c>
      <c r="P4172">
        <v>0.14471329999999999</v>
      </c>
      <c r="Q4172">
        <v>0.1777155</v>
      </c>
      <c r="R4172">
        <v>-0.97338349999999996</v>
      </c>
      <c r="S4172">
        <v>0.34716799999999998</v>
      </c>
      <c r="T4172">
        <v>-0.1318047</v>
      </c>
      <c r="U4172">
        <v>-3.0540470000000002</v>
      </c>
      <c r="V4172">
        <v>-0.12712899999999999</v>
      </c>
      <c r="W4172">
        <v>0.19110079999999999</v>
      </c>
      <c r="X4172">
        <v>0.97330300000000003</v>
      </c>
      <c r="Y4172">
        <v>-9.4700339999999994E-2</v>
      </c>
      <c r="Z4172">
        <v>2.9015039999999999E-2</v>
      </c>
      <c r="AA4172">
        <v>0.99508289999999999</v>
      </c>
      <c r="AB4172">
        <v>25</v>
      </c>
      <c r="AC4172">
        <v>2.9218000000000099</v>
      </c>
      <c r="AD4172">
        <v>-1.1110441325830001</v>
      </c>
      <c r="AE4172">
        <v>-25.523620000000001</v>
      </c>
      <c r="AF4172">
        <v>-2.4506603247808498</v>
      </c>
      <c r="AG4172">
        <v>-1.1110441325830001</v>
      </c>
      <c r="AH4172">
        <v>25.524976555486599</v>
      </c>
      <c r="AI4172">
        <v>92.480987337469003</v>
      </c>
      <c r="AJ4172">
        <v>95.484174463299496</v>
      </c>
      <c r="AK4172">
        <v>25.666409629126999</v>
      </c>
      <c r="AL4172">
        <v>78.982967563948705</v>
      </c>
      <c r="AM4172">
        <v>97.441620236083807</v>
      </c>
      <c r="AN4172">
        <v>1.00000001410532</v>
      </c>
    </row>
    <row r="4173" spans="1:40" x14ac:dyDescent="0.25">
      <c r="A4173" t="str">
        <f>"20190304155457662"</f>
        <v>20190304155457662</v>
      </c>
      <c r="B4173" t="str">
        <f>"1551686097651512"</f>
        <v>1551686097651512</v>
      </c>
      <c r="C4173" t="s">
        <v>40</v>
      </c>
      <c r="D4173">
        <v>4.5565740000000003</v>
      </c>
      <c r="E4173">
        <v>0.50954900000000003</v>
      </c>
      <c r="F4173" t="s">
        <v>74</v>
      </c>
      <c r="G4173">
        <v>-419.17750000000001</v>
      </c>
      <c r="H4173" s="1">
        <v>-7.113855E-6</v>
      </c>
      <c r="I4173">
        <v>25.642440000000001</v>
      </c>
      <c r="J4173">
        <v>-422.14049999999997</v>
      </c>
      <c r="K4173">
        <v>1.111038</v>
      </c>
      <c r="L4173">
        <v>51.237949999999998</v>
      </c>
      <c r="M4173">
        <v>1.8919390000000001E-2</v>
      </c>
      <c r="N4173">
        <v>-1.387741E-2</v>
      </c>
      <c r="O4173">
        <v>-0.99972459999999996</v>
      </c>
      <c r="P4173">
        <v>0.14610879999999901</v>
      </c>
      <c r="Q4173">
        <v>0.177677799999999</v>
      </c>
      <c r="R4173">
        <v>-0.97318190000000004</v>
      </c>
      <c r="S4173">
        <v>0.35086060000000002</v>
      </c>
      <c r="T4173">
        <v>-0.1313338</v>
      </c>
      <c r="U4173">
        <v>-3.0538639999999999</v>
      </c>
      <c r="V4173">
        <v>-0.1278823</v>
      </c>
      <c r="W4173">
        <v>0.19105910000000001</v>
      </c>
      <c r="X4173">
        <v>0.97321250000000004</v>
      </c>
      <c r="Y4173">
        <v>-9.5237080000000002E-2</v>
      </c>
      <c r="Z4173">
        <v>2.8862909999999999E-2</v>
      </c>
      <c r="AA4173">
        <v>0.99503609999999998</v>
      </c>
      <c r="AB4173">
        <v>25</v>
      </c>
      <c r="AC4173">
        <v>2.9629999999999601</v>
      </c>
      <c r="AD4173">
        <v>-1.1110451138549999</v>
      </c>
      <c r="AE4173">
        <v>-25.595510000000001</v>
      </c>
      <c r="AF4173">
        <v>-2.4735722711188401</v>
      </c>
      <c r="AG4173">
        <v>-1.1110451138549999</v>
      </c>
      <c r="AH4173">
        <v>25.599393887694202</v>
      </c>
      <c r="AI4173">
        <v>92.473641051128396</v>
      </c>
      <c r="AJ4173">
        <v>95.519139562133006</v>
      </c>
      <c r="AK4173">
        <v>25.742609588827399</v>
      </c>
      <c r="AL4173">
        <v>78.985401671108903</v>
      </c>
      <c r="AM4173">
        <v>97.485904985548302</v>
      </c>
      <c r="AN4173">
        <v>1.00000001625117</v>
      </c>
    </row>
    <row r="4174" spans="1:40" x14ac:dyDescent="0.25">
      <c r="A4174" t="str">
        <f>"20190304155457683"</f>
        <v>20190304155457683</v>
      </c>
      <c r="B4174" t="str">
        <f>"1551686097681768"</f>
        <v>1551686097681768</v>
      </c>
      <c r="C4174" t="s">
        <v>40</v>
      </c>
      <c r="D4174">
        <v>4.5821690000000004</v>
      </c>
      <c r="E4174">
        <v>0.50957640000000004</v>
      </c>
      <c r="F4174" t="s">
        <v>74</v>
      </c>
      <c r="G4174">
        <v>-419.16579999999999</v>
      </c>
      <c r="H4174" s="1">
        <v>-7.1164589999999999E-6</v>
      </c>
      <c r="I4174">
        <v>25.62931</v>
      </c>
      <c r="J4174">
        <v>-422.13510000000002</v>
      </c>
      <c r="K4174">
        <v>1.111049</v>
      </c>
      <c r="L4174">
        <v>50.992609999999999</v>
      </c>
      <c r="M4174">
        <v>1.960723E-2</v>
      </c>
      <c r="N4174">
        <v>-1.387495E-2</v>
      </c>
      <c r="O4174">
        <v>-0.99971149999999998</v>
      </c>
      <c r="P4174">
        <v>0.14711939999999901</v>
      </c>
      <c r="Q4174">
        <v>0.17795759999999999</v>
      </c>
      <c r="R4174">
        <v>-0.97297840000000002</v>
      </c>
      <c r="S4174">
        <v>0.35470580000000002</v>
      </c>
      <c r="T4174">
        <v>-0.13248299999999999</v>
      </c>
      <c r="U4174">
        <v>-3.0536189999999999</v>
      </c>
      <c r="V4174">
        <v>-0.12822800000000001</v>
      </c>
      <c r="W4174">
        <v>0.19133339999999999</v>
      </c>
      <c r="X4174">
        <v>0.97311309999999995</v>
      </c>
      <c r="Y4174">
        <v>-9.5795939999999996E-2</v>
      </c>
      <c r="Z4174">
        <v>2.9237659999999999E-2</v>
      </c>
      <c r="AA4174">
        <v>0.99497150000000001</v>
      </c>
      <c r="AB4174">
        <v>25</v>
      </c>
      <c r="AC4174">
        <v>2.9693000000000298</v>
      </c>
      <c r="AD4174">
        <v>-1.111056116459</v>
      </c>
      <c r="AE4174">
        <v>-25.363299999999999</v>
      </c>
      <c r="AF4174">
        <v>-2.46670769229882</v>
      </c>
      <c r="AG4174">
        <v>-1.111056116459</v>
      </c>
      <c r="AH4174">
        <v>25.3686259755208</v>
      </c>
      <c r="AI4174">
        <v>92.495993458471105</v>
      </c>
      <c r="AJ4174">
        <v>95.553672451668604</v>
      </c>
      <c r="AK4174">
        <v>25.512472957732601</v>
      </c>
      <c r="AL4174">
        <v>78.969389846371897</v>
      </c>
      <c r="AM4174">
        <v>97.506668914693805</v>
      </c>
      <c r="AN4174">
        <v>0.99999999766558401</v>
      </c>
    </row>
    <row r="4175" spans="1:40" x14ac:dyDescent="0.25">
      <c r="A4175" t="str">
        <f>"20190304155457708"</f>
        <v>20190304155457708</v>
      </c>
      <c r="B4175" t="str">
        <f>"1551686097701288"</f>
        <v>1551686097701288</v>
      </c>
      <c r="C4175" t="s">
        <v>40</v>
      </c>
      <c r="D4175">
        <v>4.564832</v>
      </c>
      <c r="E4175">
        <v>0.50961670000000003</v>
      </c>
      <c r="F4175" t="s">
        <v>74</v>
      </c>
      <c r="G4175">
        <v>-419.14519999999999</v>
      </c>
      <c r="H4175" s="1">
        <v>-7.1081120000000001E-6</v>
      </c>
      <c r="I4175">
        <v>25.490639999999999</v>
      </c>
      <c r="J4175">
        <v>-422.12900000000002</v>
      </c>
      <c r="K4175">
        <v>1.1110519999999999</v>
      </c>
      <c r="L4175">
        <v>50.727449999999997</v>
      </c>
      <c r="M4175">
        <v>2.0364589999999998E-2</v>
      </c>
      <c r="N4175">
        <v>-1.3872219999999999E-2</v>
      </c>
      <c r="O4175">
        <v>-0.99969649999999999</v>
      </c>
      <c r="P4175">
        <v>0.14810680000000001</v>
      </c>
      <c r="Q4175">
        <v>0.17806739999999999</v>
      </c>
      <c r="R4175">
        <v>-0.97280880000000003</v>
      </c>
      <c r="S4175">
        <v>0.35800169999999998</v>
      </c>
      <c r="T4175">
        <v>-0.1330345</v>
      </c>
      <c r="U4175">
        <v>-3.053528</v>
      </c>
      <c r="V4175">
        <v>-0.12848289999999901</v>
      </c>
      <c r="W4175">
        <v>0.1914373</v>
      </c>
      <c r="X4175">
        <v>0.97305909999999995</v>
      </c>
      <c r="Y4175">
        <v>-9.6103910000000001E-2</v>
      </c>
      <c r="Z4175">
        <v>2.9417200000000001E-2</v>
      </c>
      <c r="AA4175">
        <v>0.9949365</v>
      </c>
      <c r="AB4175">
        <v>25</v>
      </c>
      <c r="AC4175">
        <v>2.98380000000002</v>
      </c>
      <c r="AD4175">
        <v>-1.111059108112</v>
      </c>
      <c r="AE4175">
        <v>-25.236809999999998</v>
      </c>
      <c r="AF4175">
        <v>-2.46448353404215</v>
      </c>
      <c r="AG4175">
        <v>-1.111059108112</v>
      </c>
      <c r="AH4175">
        <v>25.244090766894999</v>
      </c>
      <c r="AI4175">
        <v>92.508203183357097</v>
      </c>
      <c r="AJ4175">
        <v>95.575897110190496</v>
      </c>
      <c r="AK4175">
        <v>25.388427483373501</v>
      </c>
      <c r="AL4175">
        <v>78.963325327343796</v>
      </c>
      <c r="AM4175">
        <v>97.521833106589199</v>
      </c>
      <c r="AN4175">
        <v>1.0000000537582501</v>
      </c>
    </row>
    <row r="4176" spans="1:40" x14ac:dyDescent="0.25">
      <c r="A4176" t="str">
        <f>"20190304155457729"</f>
        <v>20190304155457729</v>
      </c>
      <c r="B4176" t="str">
        <f>"1551686097721405"</f>
        <v>1551686097721405</v>
      </c>
      <c r="C4176" t="s">
        <v>40</v>
      </c>
      <c r="D4176">
        <v>4.5886399999999998</v>
      </c>
      <c r="E4176">
        <v>0.50965579999999999</v>
      </c>
      <c r="F4176" t="s">
        <v>74</v>
      </c>
      <c r="G4176">
        <v>-419.12270000000001</v>
      </c>
      <c r="H4176" s="1">
        <v>-7.0959839999999999E-6</v>
      </c>
      <c r="I4176">
        <v>25.312529999999999</v>
      </c>
      <c r="J4176">
        <v>-422.1234</v>
      </c>
      <c r="K4176">
        <v>1.1110599999999999</v>
      </c>
      <c r="L4176">
        <v>50.491970000000002</v>
      </c>
      <c r="M4176">
        <v>2.1055440000000002E-2</v>
      </c>
      <c r="N4176">
        <v>-1.3869889999999999E-2</v>
      </c>
      <c r="O4176">
        <v>-0.99968250000000003</v>
      </c>
      <c r="P4176">
        <v>0.14850829999999901</v>
      </c>
      <c r="Q4176">
        <v>0.1779917</v>
      </c>
      <c r="R4176">
        <v>-0.97276169999999995</v>
      </c>
      <c r="S4176">
        <v>0.36117549999999998</v>
      </c>
      <c r="T4176">
        <v>-0.13347979999999901</v>
      </c>
      <c r="U4176">
        <v>-3.0532840000000001</v>
      </c>
      <c r="V4176">
        <v>-0.12821579999999999</v>
      </c>
      <c r="W4176">
        <v>0.19135679999999999</v>
      </c>
      <c r="X4176">
        <v>0.97311009999999998</v>
      </c>
      <c r="Y4176">
        <v>-9.644461E-2</v>
      </c>
      <c r="Z4176">
        <v>2.9564050000000001E-2</v>
      </c>
      <c r="AA4176">
        <v>0.99489919999999998</v>
      </c>
      <c r="AB4176">
        <v>25</v>
      </c>
      <c r="AC4176">
        <v>3.0006999999999899</v>
      </c>
      <c r="AD4176">
        <v>-1.1110670959840001</v>
      </c>
      <c r="AE4176">
        <v>-25.17944</v>
      </c>
      <c r="AF4176">
        <v>-2.4650871089437598</v>
      </c>
      <c r="AG4176">
        <v>-1.1110670959840001</v>
      </c>
      <c r="AH4176">
        <v>25.188685879697701</v>
      </c>
      <c r="AI4176">
        <v>92.5136731727072</v>
      </c>
      <c r="AJ4176">
        <v>95.589444185369203</v>
      </c>
      <c r="AK4176">
        <v>25.3333973420965</v>
      </c>
      <c r="AL4176">
        <v>78.968023817154005</v>
      </c>
      <c r="AM4176">
        <v>97.505985727625699</v>
      </c>
      <c r="AN4176">
        <v>0.99999999149894403</v>
      </c>
    </row>
    <row r="4177" spans="1:40" x14ac:dyDescent="0.25">
      <c r="A4177" t="str">
        <f>"20190304155457752"</f>
        <v>20190304155457752</v>
      </c>
      <c r="B4177" t="str">
        <f>"1551686097741901"</f>
        <v>1551686097741901</v>
      </c>
      <c r="C4177" t="s">
        <v>40</v>
      </c>
      <c r="D4177">
        <v>4.5880239999999999</v>
      </c>
      <c r="E4177">
        <v>0.50974090000000005</v>
      </c>
      <c r="F4177" t="s">
        <v>74</v>
      </c>
      <c r="G4177">
        <v>-419.13670000000002</v>
      </c>
      <c r="H4177" s="1">
        <v>-7.0854989999999999E-6</v>
      </c>
      <c r="I4177">
        <v>25.263179999999998</v>
      </c>
      <c r="J4177">
        <v>-422.11709999999999</v>
      </c>
      <c r="K4177">
        <v>1.111083</v>
      </c>
      <c r="L4177">
        <v>50.235379999999999</v>
      </c>
      <c r="M4177">
        <v>2.184328E-2</v>
      </c>
      <c r="N4177">
        <v>-1.3867569999999999E-2</v>
      </c>
      <c r="O4177">
        <v>-0.99966540000000004</v>
      </c>
      <c r="P4177">
        <v>0.14899589999999999</v>
      </c>
      <c r="Q4177">
        <v>0.17767869999999999</v>
      </c>
      <c r="R4177">
        <v>-0.97274419999999995</v>
      </c>
      <c r="S4177">
        <v>0.36148069999999999</v>
      </c>
      <c r="T4177">
        <v>-0.13447229999999999</v>
      </c>
      <c r="U4177">
        <v>-3.053436</v>
      </c>
      <c r="V4177">
        <v>-0.12794369999999999</v>
      </c>
      <c r="W4177">
        <v>0.1910376</v>
      </c>
      <c r="X4177">
        <v>0.97320870000000004</v>
      </c>
      <c r="Y4177">
        <v>-9.5751349999999999E-2</v>
      </c>
      <c r="Z4177">
        <v>2.9887239999999999E-2</v>
      </c>
      <c r="AA4177">
        <v>0.99495650000000002</v>
      </c>
      <c r="AB4177">
        <v>25</v>
      </c>
      <c r="AC4177">
        <v>2.9803999999999702</v>
      </c>
      <c r="AD4177">
        <v>-1.111090085499</v>
      </c>
      <c r="AE4177">
        <v>-24.972200000000001</v>
      </c>
      <c r="AF4177">
        <v>-2.4294198229663202</v>
      </c>
      <c r="AG4177">
        <v>-1.111090085499</v>
      </c>
      <c r="AH4177">
        <v>24.9825868143176</v>
      </c>
      <c r="AI4177">
        <v>92.5345874220517</v>
      </c>
      <c r="AJ4177">
        <v>95.554236999337704</v>
      </c>
      <c r="AK4177">
        <v>25.125012354011499</v>
      </c>
      <c r="AL4177">
        <v>78.986657182770699</v>
      </c>
      <c r="AM4177">
        <v>97.489487304540603</v>
      </c>
      <c r="AN4177">
        <v>1.0000000643695599</v>
      </c>
    </row>
    <row r="4178" spans="1:40" x14ac:dyDescent="0.25">
      <c r="A4178" t="str">
        <f>"20190304155457778"</f>
        <v>20190304155457778</v>
      </c>
      <c r="B4178" t="str">
        <f>"1551686097772157"</f>
        <v>1551686097772157</v>
      </c>
      <c r="C4178" t="s">
        <v>40</v>
      </c>
      <c r="D4178">
        <v>4.5888280000000004</v>
      </c>
      <c r="E4178">
        <v>0.50976250000000001</v>
      </c>
      <c r="F4178" t="s">
        <v>74</v>
      </c>
      <c r="G4178">
        <v>-419.19290000000001</v>
      </c>
      <c r="H4178" s="1">
        <v>-7.0986360000000002E-6</v>
      </c>
      <c r="I4178">
        <v>25.555350000000001</v>
      </c>
      <c r="J4178">
        <v>-422.10969999999998</v>
      </c>
      <c r="K4178">
        <v>1.1111200000000001</v>
      </c>
      <c r="L4178">
        <v>49.948549999999997</v>
      </c>
      <c r="M4178">
        <v>2.2787430000000001E-2</v>
      </c>
      <c r="N4178">
        <v>-1.3865209999999999E-2</v>
      </c>
      <c r="O4178">
        <v>-0.99964419999999998</v>
      </c>
      <c r="P4178">
        <v>0.1491634</v>
      </c>
      <c r="Q4178">
        <v>0.17780779999999999</v>
      </c>
      <c r="R4178">
        <v>-0.97269490000000003</v>
      </c>
      <c r="S4178">
        <v>0.36181639999999998</v>
      </c>
      <c r="T4178">
        <v>-0.13747879999999901</v>
      </c>
      <c r="U4178">
        <v>-3.053741</v>
      </c>
      <c r="V4178">
        <v>-0.12720699999999999</v>
      </c>
      <c r="W4178">
        <v>0.19115509999999999</v>
      </c>
      <c r="X4178">
        <v>0.97328219999999999</v>
      </c>
      <c r="Y4178">
        <v>-9.4903680000000004E-2</v>
      </c>
      <c r="Z4178">
        <v>3.086231E-2</v>
      </c>
      <c r="AA4178">
        <v>0.99500789999999995</v>
      </c>
      <c r="AB4178">
        <v>25</v>
      </c>
      <c r="AC4178">
        <v>2.9167999999999599</v>
      </c>
      <c r="AD4178">
        <v>-1.111127098636</v>
      </c>
      <c r="AE4178">
        <v>-24.3932</v>
      </c>
      <c r="AF4178">
        <v>-2.3553126243103901</v>
      </c>
      <c r="AG4178">
        <v>-1.111127098636</v>
      </c>
      <c r="AH4178">
        <v>24.403417384221701</v>
      </c>
      <c r="AI4178">
        <v>92.594927439639306</v>
      </c>
      <c r="AJ4178">
        <v>95.512865949371999</v>
      </c>
      <c r="AK4178">
        <v>24.541982010752399</v>
      </c>
      <c r="AL4178">
        <v>78.979798562038994</v>
      </c>
      <c r="AM4178">
        <v>97.446292167142602</v>
      </c>
      <c r="AN4178">
        <v>1.0000000669709199</v>
      </c>
    </row>
    <row r="4179" spans="1:40" x14ac:dyDescent="0.25">
      <c r="A4179" t="str">
        <f>"20190304155457800"</f>
        <v>20190304155457800</v>
      </c>
      <c r="B4179" t="str">
        <f>"1551686097791678"</f>
        <v>1551686097791678</v>
      </c>
      <c r="C4179" t="s">
        <v>40</v>
      </c>
      <c r="D4179">
        <v>4.4632639999999997</v>
      </c>
      <c r="E4179">
        <v>0.50977209999999995</v>
      </c>
      <c r="F4179" t="s">
        <v>74</v>
      </c>
      <c r="G4179">
        <v>-419.19069999999999</v>
      </c>
      <c r="H4179" s="1">
        <v>-7.078698E-6</v>
      </c>
      <c r="I4179">
        <v>25.371110000000002</v>
      </c>
      <c r="J4179">
        <v>-422.10320000000002</v>
      </c>
      <c r="K4179">
        <v>1.111165</v>
      </c>
      <c r="L4179">
        <v>49.706180000000003</v>
      </c>
      <c r="M4179">
        <v>2.3657629999999999E-2</v>
      </c>
      <c r="N4179">
        <v>-1.386339E-2</v>
      </c>
      <c r="O4179">
        <v>-0.99962410000000002</v>
      </c>
      <c r="P4179">
        <v>0.1496246</v>
      </c>
      <c r="Q4179">
        <v>0.1781575</v>
      </c>
      <c r="R4179">
        <v>-0.97255990000000003</v>
      </c>
      <c r="S4179">
        <v>0.36270140000000001</v>
      </c>
      <c r="T4179">
        <v>-0.1380614</v>
      </c>
      <c r="U4179">
        <v>-3.053833</v>
      </c>
      <c r="V4179">
        <v>-0.12684300000000001</v>
      </c>
      <c r="W4179">
        <v>0.19148970000000001</v>
      </c>
      <c r="X4179">
        <v>0.97326389999999996</v>
      </c>
      <c r="Y4179">
        <v>-9.4317380000000006E-2</v>
      </c>
      <c r="Z4179">
        <v>3.1051809999999999E-2</v>
      </c>
      <c r="AA4179">
        <v>0.99505779999999999</v>
      </c>
      <c r="AB4179">
        <v>25</v>
      </c>
      <c r="AC4179">
        <v>2.9125000000000201</v>
      </c>
      <c r="AD4179">
        <v>-1.1111720786979999</v>
      </c>
      <c r="AE4179">
        <v>-24.335069999999899</v>
      </c>
      <c r="AF4179">
        <v>-2.3311276707648201</v>
      </c>
      <c r="AG4179">
        <v>-1.1111720786979999</v>
      </c>
      <c r="AH4179">
        <v>24.347121353494799</v>
      </c>
      <c r="AI4179">
        <v>92.6012149654007</v>
      </c>
      <c r="AJ4179">
        <v>95.469142324531404</v>
      </c>
      <c r="AK4179">
        <v>24.483692078763099</v>
      </c>
      <c r="AL4179">
        <v>78.960266233739205</v>
      </c>
      <c r="AM4179">
        <v>97.425360927528303</v>
      </c>
      <c r="AN4179">
        <v>1.0000000354491401</v>
      </c>
    </row>
    <row r="4180" spans="1:40" x14ac:dyDescent="0.25">
      <c r="A4180" t="str">
        <f>"20190304155457820"</f>
        <v>20190304155457820</v>
      </c>
      <c r="B4180" t="str">
        <f>"1551686097811795"</f>
        <v>1551686097811795</v>
      </c>
      <c r="C4180" t="s">
        <v>40</v>
      </c>
      <c r="D4180">
        <v>4.8476860000000004</v>
      </c>
      <c r="E4180">
        <v>0.50982529999999904</v>
      </c>
      <c r="F4180" t="s">
        <v>74</v>
      </c>
      <c r="G4180">
        <v>-419.18939999999998</v>
      </c>
      <c r="H4180" s="1">
        <v>-7.0718569999999999E-6</v>
      </c>
      <c r="I4180">
        <v>25.306190000000001</v>
      </c>
      <c r="J4180">
        <v>-422.09679999999997</v>
      </c>
      <c r="K4180">
        <v>1.1112139999999999</v>
      </c>
      <c r="L4180">
        <v>49.475650000000002</v>
      </c>
      <c r="M4180">
        <v>2.4568449999999999E-2</v>
      </c>
      <c r="N4180">
        <v>-1.386194E-2</v>
      </c>
      <c r="O4180">
        <v>-0.99960230000000005</v>
      </c>
      <c r="P4180">
        <v>0.15055439999999901</v>
      </c>
      <c r="Q4180">
        <v>0.17888200000000001</v>
      </c>
      <c r="R4180">
        <v>-0.97228349999999997</v>
      </c>
      <c r="S4180">
        <v>0.36471559999999997</v>
      </c>
      <c r="T4180">
        <v>-0.13907949999999999</v>
      </c>
      <c r="U4180">
        <v>-3.0540159999999998</v>
      </c>
      <c r="V4180">
        <v>-0.12691759999999999</v>
      </c>
      <c r="W4180">
        <v>0.19219349999999999</v>
      </c>
      <c r="X4180">
        <v>0.97311539999999996</v>
      </c>
      <c r="Y4180">
        <v>-9.404904E-2</v>
      </c>
      <c r="Z4180">
        <v>3.1379259999999999E-2</v>
      </c>
      <c r="AA4180">
        <v>0.99507290000000004</v>
      </c>
      <c r="AB4180">
        <v>25</v>
      </c>
      <c r="AC4180">
        <v>2.9073999999999902</v>
      </c>
      <c r="AD4180">
        <v>-1.1112210718569999</v>
      </c>
      <c r="AE4180">
        <v>-24.169460000000001</v>
      </c>
      <c r="AF4180">
        <v>-2.30785037390564</v>
      </c>
      <c r="AG4180">
        <v>-1.1112210718569999</v>
      </c>
      <c r="AH4180">
        <v>24.183210518369101</v>
      </c>
      <c r="AI4180">
        <v>92.619014211571397</v>
      </c>
      <c r="AJ4180">
        <v>95.451337728306996</v>
      </c>
      <c r="AK4180">
        <v>24.3184838465443</v>
      </c>
      <c r="AL4180">
        <v>78.919177897373501</v>
      </c>
      <c r="AM4180">
        <v>97.430800337666298</v>
      </c>
      <c r="AN4180">
        <v>1.0000000001745799</v>
      </c>
    </row>
    <row r="4181" spans="1:40" x14ac:dyDescent="0.25">
      <c r="A4181" t="str">
        <f>"20190304155457843"</f>
        <v>20190304155457843</v>
      </c>
      <c r="B4181" t="str">
        <f>"1551686097842034"</f>
        <v>1551686097842034</v>
      </c>
      <c r="C4181" t="s">
        <v>40</v>
      </c>
      <c r="D4181">
        <v>4.6512929999999999</v>
      </c>
      <c r="E4181">
        <v>0.50985420000000004</v>
      </c>
      <c r="F4181" t="s">
        <v>74</v>
      </c>
      <c r="G4181">
        <v>-419.09469999999999</v>
      </c>
      <c r="H4181" s="1">
        <v>-7.0187040000000004E-6</v>
      </c>
      <c r="I4181">
        <v>24.538270000000001</v>
      </c>
      <c r="J4181">
        <v>-422.08929999999998</v>
      </c>
      <c r="K4181">
        <v>1.1113029999999999</v>
      </c>
      <c r="L4181">
        <v>49.222259999999999</v>
      </c>
      <c r="M4181">
        <v>2.568399E-2</v>
      </c>
      <c r="N4181">
        <v>-1.386073E-2</v>
      </c>
      <c r="O4181">
        <v>-0.99957419999999997</v>
      </c>
      <c r="P4181">
        <v>0.15177789999999999</v>
      </c>
      <c r="Q4181">
        <v>0.17997389999999999</v>
      </c>
      <c r="R4181">
        <v>-0.97189159999999997</v>
      </c>
      <c r="S4181">
        <v>0.36761470000000002</v>
      </c>
      <c r="T4181">
        <v>-0.136072</v>
      </c>
      <c r="U4181">
        <v>-3.0536500000000002</v>
      </c>
      <c r="V4181">
        <v>-0.12709980000000001</v>
      </c>
      <c r="W4181">
        <v>0.1932566</v>
      </c>
      <c r="X4181">
        <v>0.972881</v>
      </c>
      <c r="Y4181">
        <v>-9.3887709999999999E-2</v>
      </c>
      <c r="Z4181">
        <v>3.0406590000000001E-2</v>
      </c>
      <c r="AA4181">
        <v>0.99511839999999996</v>
      </c>
      <c r="AB4181">
        <v>25</v>
      </c>
      <c r="AC4181">
        <v>2.9945999999999899</v>
      </c>
      <c r="AD4181">
        <v>-1.1113100187039999</v>
      </c>
      <c r="AE4181">
        <v>-24.683990000000001</v>
      </c>
      <c r="AF4181">
        <v>-2.35486386001054</v>
      </c>
      <c r="AG4181">
        <v>-1.1113100187039999</v>
      </c>
      <c r="AH4181">
        <v>24.703420188914201</v>
      </c>
      <c r="AI4181">
        <v>92.564167596044797</v>
      </c>
      <c r="AJ4181">
        <v>95.445290253306396</v>
      </c>
      <c r="AK4181">
        <v>24.840277027177201</v>
      </c>
      <c r="AL4181">
        <v>78.857102526435895</v>
      </c>
      <c r="AM4181">
        <v>97.443121127274495</v>
      </c>
      <c r="AN4181">
        <v>0.99999995638229899</v>
      </c>
    </row>
    <row r="4182" spans="1:40" x14ac:dyDescent="0.25">
      <c r="A4182" t="str">
        <f>"20190304155457862"</f>
        <v>20190304155457862</v>
      </c>
      <c r="B4182" t="str">
        <f>"1551686097851793"</f>
        <v>1551686097851793</v>
      </c>
      <c r="C4182" t="s">
        <v>40</v>
      </c>
      <c r="D4182">
        <v>4.6450239999999896</v>
      </c>
      <c r="E4182">
        <v>0.50984350000000001</v>
      </c>
      <c r="F4182" t="s">
        <v>74</v>
      </c>
      <c r="G4182">
        <v>-418.94990000000001</v>
      </c>
      <c r="H4182" s="1">
        <v>-6.9414719999999996E-6</v>
      </c>
      <c r="I4182">
        <v>23.399799999999999</v>
      </c>
      <c r="J4182">
        <v>-422.08280000000002</v>
      </c>
      <c r="K4182">
        <v>1.1113820000000001</v>
      </c>
      <c r="L4182">
        <v>49.010800000000003</v>
      </c>
      <c r="M4182">
        <v>2.671142E-2</v>
      </c>
      <c r="N4182">
        <v>-1.386008E-2</v>
      </c>
      <c r="O4182">
        <v>-0.99954710000000002</v>
      </c>
      <c r="P4182">
        <v>0.1529208</v>
      </c>
      <c r="Q4182">
        <v>0.1803411</v>
      </c>
      <c r="R4182">
        <v>-0.97164399999999995</v>
      </c>
      <c r="S4182">
        <v>0.3711853</v>
      </c>
      <c r="T4182">
        <v>-0.13139629999999999</v>
      </c>
      <c r="U4182">
        <v>-3.053131</v>
      </c>
      <c r="V4182">
        <v>-0.12728119999999901</v>
      </c>
      <c r="W4182">
        <v>0.1935991</v>
      </c>
      <c r="X4182">
        <v>0.97278920000000002</v>
      </c>
      <c r="Y4182">
        <v>-9.4037739999999995E-2</v>
      </c>
      <c r="Z4182">
        <v>2.889247E-2</v>
      </c>
      <c r="AA4182">
        <v>0.99514930000000001</v>
      </c>
      <c r="AB4182">
        <v>25</v>
      </c>
      <c r="AC4182">
        <v>3.1328999999999998</v>
      </c>
      <c r="AD4182">
        <v>-1.111388941472</v>
      </c>
      <c r="AE4182">
        <v>-25.611000000000001</v>
      </c>
      <c r="AF4182">
        <v>-2.44307723849152</v>
      </c>
      <c r="AG4182">
        <v>-1.111388941472</v>
      </c>
      <c r="AH4182">
        <v>25.637984406659101</v>
      </c>
      <c r="AI4182">
        <v>92.470998947036307</v>
      </c>
      <c r="AJ4182">
        <v>95.443353853228203</v>
      </c>
      <c r="AK4182">
        <v>25.778092563425901</v>
      </c>
      <c r="AL4182">
        <v>78.837101152930003</v>
      </c>
      <c r="AM4182">
        <v>97.454320243793106</v>
      </c>
      <c r="AN4182">
        <v>0.99999997151544395</v>
      </c>
    </row>
    <row r="4183" spans="1:40" x14ac:dyDescent="0.25">
      <c r="A4183" t="str">
        <f>"20190304155457884"</f>
        <v>20190304155457884</v>
      </c>
      <c r="B4183" t="str">
        <f>"1551686097882048"</f>
        <v>1551686097882048</v>
      </c>
      <c r="C4183" t="s">
        <v>40</v>
      </c>
      <c r="D4183">
        <v>4.6335309999999996</v>
      </c>
      <c r="E4183">
        <v>0.50998719999999997</v>
      </c>
      <c r="F4183" t="s">
        <v>74</v>
      </c>
      <c r="G4183">
        <v>-418.86989999999997</v>
      </c>
      <c r="H4183" s="1">
        <v>-6.9085300000000004E-6</v>
      </c>
      <c r="I4183">
        <v>22.857240000000001</v>
      </c>
      <c r="J4183">
        <v>-422.07490000000001</v>
      </c>
      <c r="K4183">
        <v>1.1114660000000001</v>
      </c>
      <c r="L4183">
        <v>48.767670000000003</v>
      </c>
      <c r="M4183">
        <v>2.7996980000000001E-2</v>
      </c>
      <c r="N4183">
        <v>-1.385948E-2</v>
      </c>
      <c r="O4183">
        <v>-0.99951190000000001</v>
      </c>
      <c r="P4183">
        <v>0.1548996</v>
      </c>
      <c r="Q4183">
        <v>0.1810117</v>
      </c>
      <c r="R4183">
        <v>-0.97120589999999996</v>
      </c>
      <c r="S4183">
        <v>0.375</v>
      </c>
      <c r="T4183">
        <v>-0.12972</v>
      </c>
      <c r="U4183">
        <v>-3.0526119999999999</v>
      </c>
      <c r="V4183">
        <v>-0.128056</v>
      </c>
      <c r="W4183">
        <v>0.19423989999999999</v>
      </c>
      <c r="X4183">
        <v>0.97255979999999997</v>
      </c>
      <c r="Y4183">
        <v>-9.4005080000000005E-2</v>
      </c>
      <c r="Z4183">
        <v>2.8351830000000001E-2</v>
      </c>
      <c r="AA4183">
        <v>0.99516789999999999</v>
      </c>
      <c r="AB4183">
        <v>25</v>
      </c>
      <c r="AC4183">
        <v>3.20500000000004</v>
      </c>
      <c r="AD4183">
        <v>-1.1114729085299999</v>
      </c>
      <c r="AE4183">
        <v>-25.910429999999899</v>
      </c>
      <c r="AF4183">
        <v>-2.4737764646326199</v>
      </c>
      <c r="AG4183">
        <v>-1.1114729085299999</v>
      </c>
      <c r="AH4183">
        <v>25.942991240459101</v>
      </c>
      <c r="AI4183">
        <v>92.4421530105991</v>
      </c>
      <c r="AJ4183">
        <v>95.446931674533602</v>
      </c>
      <c r="AK4183">
        <v>26.084358081538198</v>
      </c>
      <c r="AL4183">
        <v>78.799676146703305</v>
      </c>
      <c r="AM4183">
        <v>97.500930779796803</v>
      </c>
      <c r="AN4183">
        <v>1.0000000212320199</v>
      </c>
    </row>
    <row r="4184" spans="1:40" x14ac:dyDescent="0.25">
      <c r="A4184" t="str">
        <f>"20190304155457908"</f>
        <v>20190304155457908</v>
      </c>
      <c r="B4184" t="str">
        <f>"1551686097901569"</f>
        <v>1551686097901569</v>
      </c>
      <c r="C4184" t="s">
        <v>40</v>
      </c>
      <c r="D4184">
        <v>4.6055359999999999</v>
      </c>
      <c r="E4184">
        <v>0.50998789999999905</v>
      </c>
      <c r="F4184" t="s">
        <v>74</v>
      </c>
      <c r="G4184">
        <v>-418.68709999999999</v>
      </c>
      <c r="H4184" s="1">
        <v>-6.8263639999999901E-6</v>
      </c>
      <c r="I4184">
        <v>21.556249999999999</v>
      </c>
      <c r="J4184">
        <v>-422.0659</v>
      </c>
      <c r="K4184">
        <v>1.111545</v>
      </c>
      <c r="L4184">
        <v>48.509459999999997</v>
      </c>
      <c r="M4184">
        <v>2.948371E-2</v>
      </c>
      <c r="N4184">
        <v>-1.3858769999999999E-2</v>
      </c>
      <c r="O4184">
        <v>-0.99946959999999996</v>
      </c>
      <c r="P4184">
        <v>0.156671</v>
      </c>
      <c r="Q4184">
        <v>0.18100160000000001</v>
      </c>
      <c r="R4184">
        <v>-0.97092409999999996</v>
      </c>
      <c r="S4184">
        <v>0.37991330000000001</v>
      </c>
      <c r="T4184">
        <v>-0.124644</v>
      </c>
      <c r="U4184">
        <v>-3.0515750000000001</v>
      </c>
      <c r="V4184">
        <v>-0.12842049999999999</v>
      </c>
      <c r="W4184">
        <v>0.19420390000000001</v>
      </c>
      <c r="X4184">
        <v>0.97251889999999996</v>
      </c>
      <c r="Y4184">
        <v>-9.4149919999999998E-2</v>
      </c>
      <c r="Z4184">
        <v>2.6712449999999999E-2</v>
      </c>
      <c r="AA4184">
        <v>0.99519959999999996</v>
      </c>
      <c r="AB4184">
        <v>25</v>
      </c>
      <c r="AC4184">
        <v>3.3788000000000098</v>
      </c>
      <c r="AD4184">
        <v>-1.1115518263640001</v>
      </c>
      <c r="AE4184">
        <v>-26.953209999999999</v>
      </c>
      <c r="AF4184">
        <v>-2.57825709283575</v>
      </c>
      <c r="AG4184">
        <v>-1.1115518263640001</v>
      </c>
      <c r="AH4184">
        <v>26.995916484978601</v>
      </c>
      <c r="AI4184">
        <v>92.347143025384</v>
      </c>
      <c r="AJ4184">
        <v>95.455512129949298</v>
      </c>
      <c r="AK4184">
        <v>27.141526559193199</v>
      </c>
      <c r="AL4184">
        <v>78.801778539923703</v>
      </c>
      <c r="AM4184">
        <v>97.522350090340396</v>
      </c>
      <c r="AN4184">
        <v>0.99999999522633498</v>
      </c>
    </row>
    <row r="4185" spans="1:40" x14ac:dyDescent="0.25">
      <c r="A4185" t="str">
        <f>"20190304155457930"</f>
        <v>20190304155457930</v>
      </c>
      <c r="B4185" t="str">
        <f>"1551686097921664"</f>
        <v>1551686097921664</v>
      </c>
      <c r="C4185" t="s">
        <v>40</v>
      </c>
      <c r="D4185">
        <v>4.6474060000000001</v>
      </c>
      <c r="E4185">
        <v>0.50980530000000002</v>
      </c>
      <c r="F4185" t="s">
        <v>74</v>
      </c>
      <c r="G4185">
        <v>-418.64049999999997</v>
      </c>
      <c r="H4185" s="1">
        <v>-6.8187270000000001E-6</v>
      </c>
      <c r="I4185">
        <v>21.34282</v>
      </c>
      <c r="J4185">
        <v>-422.05700000000002</v>
      </c>
      <c r="K4185">
        <v>1.111607</v>
      </c>
      <c r="L4185">
        <v>48.26596</v>
      </c>
      <c r="M4185">
        <v>3.100497E-2</v>
      </c>
      <c r="N4185">
        <v>-1.385811E-2</v>
      </c>
      <c r="O4185">
        <v>-0.99942319999999996</v>
      </c>
      <c r="P4185">
        <v>0.15864700000000001</v>
      </c>
      <c r="Q4185">
        <v>0.18154100000000001</v>
      </c>
      <c r="R4185">
        <v>-0.97050230000000004</v>
      </c>
      <c r="S4185">
        <v>0.38470460000000001</v>
      </c>
      <c r="T4185">
        <v>-0.124836</v>
      </c>
      <c r="U4185">
        <v>-3.0510250000000001</v>
      </c>
      <c r="V4185">
        <v>-0.12895799999999999</v>
      </c>
      <c r="W4185">
        <v>0.194717</v>
      </c>
      <c r="X4185">
        <v>0.97234520000000002</v>
      </c>
      <c r="Y4185">
        <v>-9.4194959999999994E-2</v>
      </c>
      <c r="Z4185">
        <v>2.6777499999999999E-2</v>
      </c>
      <c r="AA4185">
        <v>0.99519360000000001</v>
      </c>
      <c r="AB4185">
        <v>25</v>
      </c>
      <c r="AC4185">
        <v>3.4164999999999801</v>
      </c>
      <c r="AD4185">
        <v>-1.1116138187269999</v>
      </c>
      <c r="AE4185">
        <v>-26.92314</v>
      </c>
      <c r="AF4185">
        <v>-2.57570455370236</v>
      </c>
      <c r="AG4185">
        <v>-1.1116138187269999</v>
      </c>
      <c r="AH4185">
        <v>26.970882831380798</v>
      </c>
      <c r="AI4185">
        <v>92.349451349564902</v>
      </c>
      <c r="AJ4185">
        <v>95.455171749675898</v>
      </c>
      <c r="AK4185">
        <v>27.116387295029199</v>
      </c>
      <c r="AL4185">
        <v>78.771808364316101</v>
      </c>
      <c r="AM4185">
        <v>97.554805632092695</v>
      </c>
      <c r="AN4185">
        <v>1.00000003190801</v>
      </c>
    </row>
    <row r="4186" spans="1:40" x14ac:dyDescent="0.25">
      <c r="A4186" t="str">
        <f>"20190304155457956"</f>
        <v>20190304155457956</v>
      </c>
      <c r="B4186" t="str">
        <f>"1551686097951920"</f>
        <v>1551686097951920</v>
      </c>
      <c r="C4186" t="s">
        <v>40</v>
      </c>
      <c r="D4186">
        <v>4.6473329999999997</v>
      </c>
      <c r="E4186">
        <v>0.50976339999999998</v>
      </c>
      <c r="F4186" t="s">
        <v>74</v>
      </c>
      <c r="G4186">
        <v>-418.55470000000003</v>
      </c>
      <c r="H4186" s="1">
        <v>-6.8147909999999999E-6</v>
      </c>
      <c r="I4186">
        <v>21.040009999999999</v>
      </c>
      <c r="J4186">
        <v>-422.04640000000001</v>
      </c>
      <c r="K4186">
        <v>1.1116919999999999</v>
      </c>
      <c r="L4186">
        <v>47.989559999999997</v>
      </c>
      <c r="M4186">
        <v>3.2877549999999998E-2</v>
      </c>
      <c r="N4186">
        <v>-1.385772E-2</v>
      </c>
      <c r="O4186">
        <v>-0.99936329999999995</v>
      </c>
      <c r="P4186">
        <v>0.16084129999999899</v>
      </c>
      <c r="Q4186">
        <v>0.1811748</v>
      </c>
      <c r="R4186">
        <v>-0.9702094</v>
      </c>
      <c r="S4186">
        <v>0.39239499999999999</v>
      </c>
      <c r="T4186">
        <v>-0.12454220000000001</v>
      </c>
      <c r="U4186">
        <v>-3.0503230000000001</v>
      </c>
      <c r="V4186">
        <v>-0.12937309999999999</v>
      </c>
      <c r="W4186">
        <v>0.19432369999999999</v>
      </c>
      <c r="X4186">
        <v>0.97236869999999997</v>
      </c>
      <c r="Y4186">
        <v>-9.4827149999999999E-2</v>
      </c>
      <c r="Z4186">
        <v>2.6682629999999999E-2</v>
      </c>
      <c r="AA4186">
        <v>0.99513609999999997</v>
      </c>
      <c r="AB4186">
        <v>25</v>
      </c>
      <c r="AC4186">
        <v>3.4916999999999798</v>
      </c>
      <c r="AD4186">
        <v>-1.1116988147910001</v>
      </c>
      <c r="AE4186">
        <v>-26.949549999999899</v>
      </c>
      <c r="AF4186">
        <v>-2.5993415490503602</v>
      </c>
      <c r="AG4186">
        <v>-1.1116988147910001</v>
      </c>
      <c r="AH4186">
        <v>27.004593687126199</v>
      </c>
      <c r="AI4186">
        <v>92.346532569156196</v>
      </c>
      <c r="AJ4186">
        <v>95.498097334516899</v>
      </c>
      <c r="AK4186">
        <v>27.152173595316501</v>
      </c>
      <c r="AL4186">
        <v>78.7947811882606</v>
      </c>
      <c r="AM4186">
        <v>97.578660367733505</v>
      </c>
      <c r="AN4186">
        <v>0.99999999406249496</v>
      </c>
    </row>
    <row r="4187" spans="1:40" x14ac:dyDescent="0.25">
      <c r="A4187" t="str">
        <f>"20190304155457979"</f>
        <v>20190304155457979</v>
      </c>
      <c r="B4187" t="str">
        <f>"1551686097971439"</f>
        <v>1551686097971439</v>
      </c>
      <c r="C4187" t="s">
        <v>40</v>
      </c>
      <c r="D4187">
        <v>4.6174419999999996</v>
      </c>
      <c r="E4187">
        <v>0.50976619999999995</v>
      </c>
      <c r="F4187" t="s">
        <v>74</v>
      </c>
      <c r="G4187">
        <v>-418.5215</v>
      </c>
      <c r="H4187" s="1">
        <v>-6.8241189999999897E-6</v>
      </c>
      <c r="I4187">
        <v>21.015419999999999</v>
      </c>
      <c r="J4187">
        <v>-422.03590000000003</v>
      </c>
      <c r="K4187">
        <v>1.111777</v>
      </c>
      <c r="L4187">
        <v>47.734160000000003</v>
      </c>
      <c r="M4187">
        <v>3.4746680000000002E-2</v>
      </c>
      <c r="N4187">
        <v>-1.3857980000000001E-2</v>
      </c>
      <c r="O4187">
        <v>-0.99930030000000003</v>
      </c>
      <c r="P4187">
        <v>0.16268079999999999</v>
      </c>
      <c r="Q4187">
        <v>0.18045829999999999</v>
      </c>
      <c r="R4187">
        <v>-0.97003640000000002</v>
      </c>
      <c r="S4187">
        <v>0.39849849999999998</v>
      </c>
      <c r="T4187">
        <v>-0.12568180000000001</v>
      </c>
      <c r="U4187">
        <v>-3.0495299999999999</v>
      </c>
      <c r="V4187">
        <v>-0.12943279999999999</v>
      </c>
      <c r="W4187">
        <v>0.19358130000000001</v>
      </c>
      <c r="X4187">
        <v>0.97250879999999995</v>
      </c>
      <c r="Y4187">
        <v>-9.495518E-2</v>
      </c>
      <c r="Z4187">
        <v>2.7055829999999999E-2</v>
      </c>
      <c r="AA4187">
        <v>0.99511380000000005</v>
      </c>
      <c r="AB4187">
        <v>25</v>
      </c>
      <c r="AC4187">
        <v>3.5144000000000202</v>
      </c>
      <c r="AD4187">
        <v>-1.1117838241189999</v>
      </c>
      <c r="AE4187">
        <v>-26.71874</v>
      </c>
      <c r="AF4187">
        <v>-2.57941082334656</v>
      </c>
      <c r="AG4187">
        <v>-1.1117838241189999</v>
      </c>
      <c r="AH4187">
        <v>26.779150189131101</v>
      </c>
      <c r="AI4187">
        <v>92.366430611525402</v>
      </c>
      <c r="AJ4187">
        <v>95.501848430376</v>
      </c>
      <c r="AK4187">
        <v>26.926052594452301</v>
      </c>
      <c r="AL4187">
        <v>78.838140640616103</v>
      </c>
      <c r="AM4187">
        <v>97.581037331538298</v>
      </c>
      <c r="AN4187">
        <v>0.99999996775148403</v>
      </c>
    </row>
    <row r="4188" spans="1:40" x14ac:dyDescent="0.25">
      <c r="A4188" t="str">
        <f>"20190304155457999"</f>
        <v>20190304155457999</v>
      </c>
      <c r="B4188" t="str">
        <f>"1551686097991936"</f>
        <v>1551686097991936</v>
      </c>
      <c r="C4188" t="s">
        <v>40</v>
      </c>
      <c r="D4188">
        <v>4.594373</v>
      </c>
      <c r="E4188">
        <v>0.509687</v>
      </c>
      <c r="F4188" t="s">
        <v>74</v>
      </c>
      <c r="G4188">
        <v>-418.55279999999999</v>
      </c>
      <c r="H4188" s="1">
        <v>-6.8616989999999996E-6</v>
      </c>
      <c r="I4188">
        <v>21.451219999999999</v>
      </c>
      <c r="J4188">
        <v>-422.02620000000002</v>
      </c>
      <c r="K4188">
        <v>1.1118629999999901</v>
      </c>
      <c r="L4188">
        <v>47.508479999999999</v>
      </c>
      <c r="M4188">
        <v>3.6517359999999999E-2</v>
      </c>
      <c r="N4188">
        <v>-1.385859E-2</v>
      </c>
      <c r="O4188">
        <v>-0.99923709999999999</v>
      </c>
      <c r="P4188">
        <v>0.16438249999999999</v>
      </c>
      <c r="Q4188">
        <v>0.1802357</v>
      </c>
      <c r="R4188">
        <v>-0.96979090000000001</v>
      </c>
      <c r="S4188">
        <v>0.40405269999999999</v>
      </c>
      <c r="T4188">
        <v>-0.1289698</v>
      </c>
      <c r="U4188">
        <v>-3.048889</v>
      </c>
      <c r="V4188">
        <v>-0.12945309999999999</v>
      </c>
      <c r="W4188">
        <v>0.1933338</v>
      </c>
      <c r="X4188">
        <v>0.97255530000000001</v>
      </c>
      <c r="Y4188">
        <v>-9.499544E-2</v>
      </c>
      <c r="Z4188">
        <v>2.8124980000000001E-2</v>
      </c>
      <c r="AA4188">
        <v>0.99508039999999998</v>
      </c>
      <c r="AB4188">
        <v>25</v>
      </c>
      <c r="AC4188">
        <v>3.4734000000000198</v>
      </c>
      <c r="AD4188">
        <v>-1.1118698616989999</v>
      </c>
      <c r="AE4188">
        <v>-26.057259999999999</v>
      </c>
      <c r="AF4188">
        <v>-2.51495014726023</v>
      </c>
      <c r="AG4188">
        <v>-1.1118698616989999</v>
      </c>
      <c r="AH4188">
        <v>26.120000802004899</v>
      </c>
      <c r="AI4188">
        <v>92.426274134373898</v>
      </c>
      <c r="AJ4188">
        <v>95.4997394758106</v>
      </c>
      <c r="AK4188">
        <v>26.2643421910638</v>
      </c>
      <c r="AL4188">
        <v>78.852594055371696</v>
      </c>
      <c r="AM4188">
        <v>97.5818541906213</v>
      </c>
      <c r="AN4188">
        <v>0.99999993744006799</v>
      </c>
    </row>
    <row r="4189" spans="1:40" x14ac:dyDescent="0.25">
      <c r="A4189" t="str">
        <f>"20190304155458021"</f>
        <v>20190304155458021</v>
      </c>
      <c r="B4189" t="str">
        <f>"1551686098011456"</f>
        <v>1551686098011456</v>
      </c>
      <c r="C4189" t="s">
        <v>40</v>
      </c>
      <c r="D4189">
        <v>4.6004459999999998</v>
      </c>
      <c r="E4189">
        <v>0.50954579999999905</v>
      </c>
      <c r="F4189" t="s">
        <v>74</v>
      </c>
      <c r="G4189">
        <v>-418.5378</v>
      </c>
      <c r="H4189" s="1">
        <v>-6.8862360000000004E-6</v>
      </c>
      <c r="I4189">
        <v>21.622599999999998</v>
      </c>
      <c r="J4189">
        <v>-422.01560000000001</v>
      </c>
      <c r="K4189">
        <v>1.111958</v>
      </c>
      <c r="L4189">
        <v>47.278779999999998</v>
      </c>
      <c r="M4189">
        <v>3.8435990000000003E-2</v>
      </c>
      <c r="N4189">
        <v>-1.3859450000000001E-2</v>
      </c>
      <c r="O4189">
        <v>-0.99916499999999997</v>
      </c>
      <c r="P4189">
        <v>0.16648279999999999</v>
      </c>
      <c r="Q4189">
        <v>0.17992079999999999</v>
      </c>
      <c r="R4189">
        <v>-0.96949079999999999</v>
      </c>
      <c r="S4189">
        <v>0.41076659999999998</v>
      </c>
      <c r="T4189">
        <v>-0.13092670000000001</v>
      </c>
      <c r="U4189">
        <v>-3.0481569999999998</v>
      </c>
      <c r="V4189">
        <v>-0.12973100000000001</v>
      </c>
      <c r="W4189">
        <v>0.1929913</v>
      </c>
      <c r="X4189">
        <v>0.97258630000000001</v>
      </c>
      <c r="Y4189">
        <v>-9.5265440000000007E-2</v>
      </c>
      <c r="Z4189">
        <v>2.8760830000000001E-2</v>
      </c>
      <c r="AA4189">
        <v>0.99503640000000004</v>
      </c>
      <c r="AB4189">
        <v>25</v>
      </c>
      <c r="AC4189">
        <v>3.4777999999999998</v>
      </c>
      <c r="AD4189">
        <v>-1.1119648862360001</v>
      </c>
      <c r="AE4189">
        <v>-25.656179999999999</v>
      </c>
      <c r="AF4189">
        <v>-2.4844316291158202</v>
      </c>
      <c r="AG4189">
        <v>-1.1119648862360001</v>
      </c>
      <c r="AH4189">
        <v>25.723455407029199</v>
      </c>
      <c r="AI4189">
        <v>92.463771398001995</v>
      </c>
      <c r="AJ4189">
        <v>95.516649793593103</v>
      </c>
      <c r="AK4189">
        <v>25.867064474064101</v>
      </c>
      <c r="AL4189">
        <v>78.872594592946697</v>
      </c>
      <c r="AM4189">
        <v>97.597701045810496</v>
      </c>
      <c r="AN4189">
        <v>0.99999994259218805</v>
      </c>
    </row>
    <row r="4190" spans="1:40" x14ac:dyDescent="0.25">
      <c r="A4190" t="str">
        <f>"20190304155458042"</f>
        <v>20190304155458042</v>
      </c>
      <c r="B4190" t="str">
        <f>"1551686098031750"</f>
        <v>1551686098031750</v>
      </c>
      <c r="C4190" t="s">
        <v>40</v>
      </c>
      <c r="D4190">
        <v>4.7013230000000004</v>
      </c>
      <c r="E4190">
        <v>0.50943769999999999</v>
      </c>
      <c r="F4190" t="s">
        <v>74</v>
      </c>
      <c r="G4190">
        <v>-418.52859999999998</v>
      </c>
      <c r="H4190" s="1">
        <v>-6.915213E-6</v>
      </c>
      <c r="I4190">
        <v>21.851520000000001</v>
      </c>
      <c r="J4190">
        <v>-422.00470000000001</v>
      </c>
      <c r="K4190">
        <v>1.112036</v>
      </c>
      <c r="L4190">
        <v>47.052219999999998</v>
      </c>
      <c r="M4190">
        <v>4.0445750000000003E-2</v>
      </c>
      <c r="N4190">
        <v>-1.3860509999999999E-2</v>
      </c>
      <c r="O4190">
        <v>-0.99908549999999996</v>
      </c>
      <c r="P4190">
        <v>0.1694531</v>
      </c>
      <c r="Q4190">
        <v>0.18033370000000001</v>
      </c>
      <c r="R4190">
        <v>-0.96889899999999995</v>
      </c>
      <c r="S4190">
        <v>0.41790769999999999</v>
      </c>
      <c r="T4190">
        <v>-0.1332662</v>
      </c>
      <c r="U4190">
        <v>-3.0473940000000002</v>
      </c>
      <c r="V4190">
        <v>-0.130802</v>
      </c>
      <c r="W4190">
        <v>0.19337260000000001</v>
      </c>
      <c r="X4190">
        <v>0.97236719999999999</v>
      </c>
      <c r="Y4190">
        <v>-9.5581849999999996E-2</v>
      </c>
      <c r="Z4190">
        <v>2.9520149999999998E-2</v>
      </c>
      <c r="AA4190">
        <v>0.99498370000000003</v>
      </c>
      <c r="AB4190">
        <v>25</v>
      </c>
      <c r="AC4190">
        <v>3.4761000000000299</v>
      </c>
      <c r="AD4190">
        <v>-1.112042915213</v>
      </c>
      <c r="AE4190">
        <v>-25.200700000000001</v>
      </c>
      <c r="AF4190">
        <v>-2.4492157077049499</v>
      </c>
      <c r="AG4190">
        <v>-1.112042915213</v>
      </c>
      <c r="AH4190">
        <v>25.2723898038894</v>
      </c>
      <c r="AI4190">
        <v>92.507785969947307</v>
      </c>
      <c r="AJ4190">
        <v>95.535402646960307</v>
      </c>
      <c r="AK4190">
        <v>25.415132961050499</v>
      </c>
      <c r="AL4190">
        <v>78.850329476591796</v>
      </c>
      <c r="AM4190">
        <v>97.661387960798507</v>
      </c>
      <c r="AN4190">
        <v>1.00000004863529</v>
      </c>
    </row>
    <row r="4191" spans="1:40" x14ac:dyDescent="0.25">
      <c r="A4191" t="str">
        <f>"20190304155458063"</f>
        <v>20190304155458063</v>
      </c>
      <c r="B4191" t="str">
        <f>"1551686098062007"</f>
        <v>1551686098062007</v>
      </c>
      <c r="C4191" t="s">
        <v>40</v>
      </c>
      <c r="D4191">
        <v>4.4588020000000004</v>
      </c>
      <c r="E4191">
        <v>0.43087170000000002</v>
      </c>
      <c r="F4191" t="s">
        <v>74</v>
      </c>
      <c r="G4191">
        <v>-418.41640000000001</v>
      </c>
      <c r="H4191" s="1">
        <v>-6.9150160000000003E-6</v>
      </c>
      <c r="I4191">
        <v>21.499559999999999</v>
      </c>
      <c r="J4191">
        <v>-421.99220000000003</v>
      </c>
      <c r="K4191">
        <v>1.1121239999999999</v>
      </c>
      <c r="L4191">
        <v>46.807980000000001</v>
      </c>
      <c r="M4191">
        <v>4.2744450000000003E-2</v>
      </c>
      <c r="N4191">
        <v>-1.386181E-2</v>
      </c>
      <c r="O4191">
        <v>-0.99898980000000004</v>
      </c>
      <c r="P4191">
        <v>0.1728875</v>
      </c>
      <c r="Q4191">
        <v>0.1808401</v>
      </c>
      <c r="R4191">
        <v>-0.96819750000000004</v>
      </c>
      <c r="S4191">
        <v>0.4277649</v>
      </c>
      <c r="T4191">
        <v>-0.1325672</v>
      </c>
      <c r="U4191">
        <v>-3.0461429999999998</v>
      </c>
      <c r="V4191">
        <v>-0.13206109999999999</v>
      </c>
      <c r="W4191">
        <v>0.19384460000000001</v>
      </c>
      <c r="X4191">
        <v>0.97210289999999999</v>
      </c>
      <c r="Y4191">
        <v>-9.6505999999999995E-2</v>
      </c>
      <c r="Z4191">
        <v>2.9294839999999999E-2</v>
      </c>
      <c r="AA4191">
        <v>0.99490120000000004</v>
      </c>
      <c r="AB4191">
        <v>24</v>
      </c>
      <c r="AC4191">
        <v>3.5758000000000099</v>
      </c>
      <c r="AD4191">
        <v>-1.1121309150159999</v>
      </c>
      <c r="AE4191">
        <v>-25.308420000000002</v>
      </c>
      <c r="AF4191">
        <v>-2.4859263418886202</v>
      </c>
      <c r="AG4191">
        <v>-1.1121309150159999</v>
      </c>
      <c r="AH4191">
        <v>25.390076318712801</v>
      </c>
      <c r="AI4191">
        <v>92.496134284274703</v>
      </c>
      <c r="AJ4191">
        <v>95.591970382657493</v>
      </c>
      <c r="AK4191">
        <v>25.535713039182799</v>
      </c>
      <c r="AL4191">
        <v>78.822763252119401</v>
      </c>
      <c r="AM4191">
        <v>97.736325387318601</v>
      </c>
      <c r="AN4191">
        <v>0.99999995563538902</v>
      </c>
    </row>
    <row r="4192" spans="1:40" x14ac:dyDescent="0.25">
      <c r="A4192" t="str">
        <f>"20190304155458088"</f>
        <v>20190304155458088</v>
      </c>
      <c r="B4192" t="str">
        <f>"1551686098081527"</f>
        <v>1551686098081527</v>
      </c>
      <c r="C4192" t="s">
        <v>40</v>
      </c>
      <c r="D4192">
        <v>4.4816099999999999</v>
      </c>
      <c r="E4192">
        <v>0.42690889999999998</v>
      </c>
      <c r="F4192" t="s">
        <v>74</v>
      </c>
      <c r="G4192">
        <v>-413.17349999999999</v>
      </c>
      <c r="H4192" s="1">
        <v>-8.8946529999999995E-6</v>
      </c>
      <c r="I4192">
        <v>22.277229999999999</v>
      </c>
      <c r="J4192">
        <v>-421.97829999999999</v>
      </c>
      <c r="K4192">
        <v>1.112201</v>
      </c>
      <c r="L4192">
        <v>46.551729999999999</v>
      </c>
      <c r="M4192">
        <v>4.526736E-2</v>
      </c>
      <c r="N4192">
        <v>-1.3862950000000001E-2</v>
      </c>
      <c r="O4192">
        <v>-0.99887879999999996</v>
      </c>
      <c r="P4192">
        <v>0.17664929999999901</v>
      </c>
      <c r="Q4192">
        <v>0.18128230000000001</v>
      </c>
      <c r="R4192">
        <v>-0.96743559999999995</v>
      </c>
      <c r="S4192">
        <v>1.055115</v>
      </c>
      <c r="T4192">
        <v>-0.13306189999999901</v>
      </c>
      <c r="U4192">
        <v>-2.9349980000000002</v>
      </c>
      <c r="V4192">
        <v>-0.13342570000000001</v>
      </c>
      <c r="W4192">
        <v>0.19425719999999999</v>
      </c>
      <c r="X4192">
        <v>0.97183419999999998</v>
      </c>
      <c r="Y4192">
        <v>-0.29509370000000001</v>
      </c>
      <c r="Z4192">
        <v>2.912698E-2</v>
      </c>
      <c r="AA4192">
        <v>0.95502419999999999</v>
      </c>
      <c r="AB4192">
        <v>24</v>
      </c>
      <c r="AC4192">
        <v>8.8048000000000002</v>
      </c>
      <c r="AD4192">
        <v>-1.1122098946529999</v>
      </c>
      <c r="AE4192">
        <v>-24.2745</v>
      </c>
      <c r="AF4192">
        <v>-7.6825716908127299</v>
      </c>
      <c r="AG4192">
        <v>-1.1122098946529999</v>
      </c>
      <c r="AH4192">
        <v>24.602576929436999</v>
      </c>
      <c r="AI4192">
        <v>92.470899419125203</v>
      </c>
      <c r="AJ4192">
        <v>107.341859083336</v>
      </c>
      <c r="AK4192">
        <v>25.798172613638801</v>
      </c>
      <c r="AL4192">
        <v>78.798665382082405</v>
      </c>
      <c r="AM4192">
        <v>97.817416771500405</v>
      </c>
      <c r="AN4192">
        <v>0.999999994730985</v>
      </c>
    </row>
    <row r="4193" spans="1:40" x14ac:dyDescent="0.25">
      <c r="A4193" t="str">
        <f>"20190304155458108"</f>
        <v>20190304155458108</v>
      </c>
      <c r="B4193" t="str">
        <f>"1551686098102023"</f>
        <v>1551686098102023</v>
      </c>
      <c r="C4193" t="s">
        <v>40</v>
      </c>
      <c r="D4193">
        <v>4.4704730000000001</v>
      </c>
      <c r="E4193">
        <v>0.42568230000000001</v>
      </c>
      <c r="F4193" t="s">
        <v>74</v>
      </c>
      <c r="G4193">
        <v>-411.57279999999997</v>
      </c>
      <c r="H4193" s="1">
        <v>-1.0461E-5</v>
      </c>
      <c r="I4193">
        <v>18.870539999999998</v>
      </c>
      <c r="J4193">
        <v>-421.96550000000002</v>
      </c>
      <c r="K4193">
        <v>1.1122430000000001</v>
      </c>
      <c r="L4193">
        <v>46.325740000000003</v>
      </c>
      <c r="M4193">
        <v>4.7576229999999997E-2</v>
      </c>
      <c r="N4193">
        <v>-1.3863540000000001E-2</v>
      </c>
      <c r="O4193">
        <v>-0.99877169999999904</v>
      </c>
      <c r="P4193">
        <v>0.1804972</v>
      </c>
      <c r="Q4193">
        <v>0.18073549999999999</v>
      </c>
      <c r="R4193">
        <v>-0.96682780000000001</v>
      </c>
      <c r="S4193">
        <v>1.098541</v>
      </c>
      <c r="T4193">
        <v>-0.1174198</v>
      </c>
      <c r="U4193">
        <v>-2.9223940000000002</v>
      </c>
      <c r="V4193">
        <v>-0.1350662</v>
      </c>
      <c r="W4193">
        <v>0.193687</v>
      </c>
      <c r="X4193">
        <v>0.97172139999999996</v>
      </c>
      <c r="Y4193">
        <v>-0.30672169999999999</v>
      </c>
      <c r="Z4193">
        <v>2.4084270000000001E-2</v>
      </c>
      <c r="AA4193">
        <v>0.95149450000000002</v>
      </c>
      <c r="AB4193">
        <v>24</v>
      </c>
      <c r="AC4193">
        <v>10.3927</v>
      </c>
      <c r="AD4193">
        <v>-1.1122534609999899</v>
      </c>
      <c r="AE4193">
        <v>-27.455200000000001</v>
      </c>
      <c r="AF4193">
        <v>-9.0615812026938602</v>
      </c>
      <c r="AG4193">
        <v>-1.1122534609999899</v>
      </c>
      <c r="AH4193">
        <v>27.878577229419701</v>
      </c>
      <c r="AI4193">
        <v>92.172895352858703</v>
      </c>
      <c r="AJ4193">
        <v>108.006101485491</v>
      </c>
      <c r="AK4193">
        <v>29.335378470223301</v>
      </c>
      <c r="AL4193">
        <v>78.831968075435299</v>
      </c>
      <c r="AM4193">
        <v>97.913230473465205</v>
      </c>
      <c r="AN4193">
        <v>1.0000000057846901</v>
      </c>
    </row>
    <row r="4194" spans="1:40" x14ac:dyDescent="0.25">
      <c r="A4194" t="str">
        <f>"20190304155458130"</f>
        <v>20190304155458130</v>
      </c>
      <c r="B4194" t="str">
        <f>"1551686098122094"</f>
        <v>1551686098122094</v>
      </c>
      <c r="C4194" t="s">
        <v>40</v>
      </c>
      <c r="D4194">
        <v>4.4531970000000003</v>
      </c>
      <c r="E4194">
        <v>0.4254464</v>
      </c>
      <c r="F4194" t="s">
        <v>74</v>
      </c>
      <c r="G4194">
        <v>-411.28539999999998</v>
      </c>
      <c r="H4194" s="1">
        <v>-1.045276E-5</v>
      </c>
      <c r="I4194">
        <v>18.508140000000001</v>
      </c>
      <c r="J4194">
        <v>-421.95119999999997</v>
      </c>
      <c r="K4194">
        <v>1.1122890000000001</v>
      </c>
      <c r="L4194">
        <v>46.085239999999999</v>
      </c>
      <c r="M4194">
        <v>5.0123420000000002E-2</v>
      </c>
      <c r="N4194">
        <v>-1.386399E-2</v>
      </c>
      <c r="O4194">
        <v>-0.9986469</v>
      </c>
      <c r="P4194">
        <v>0.18390329999999999</v>
      </c>
      <c r="Q4194">
        <v>0.17976400000000001</v>
      </c>
      <c r="R4194">
        <v>-0.96636690000000003</v>
      </c>
      <c r="S4194">
        <v>1.1194459999999999</v>
      </c>
      <c r="T4194">
        <v>-0.1165824</v>
      </c>
      <c r="U4194">
        <v>-2.9157410000000001</v>
      </c>
      <c r="V4194">
        <v>-0.13602449999999999</v>
      </c>
      <c r="W4194">
        <v>0.1926966</v>
      </c>
      <c r="X4194">
        <v>0.97178469999999995</v>
      </c>
      <c r="Y4194">
        <v>-0.31096699999999999</v>
      </c>
      <c r="Z4194">
        <v>2.382331E-2</v>
      </c>
      <c r="AA4194">
        <v>0.95012209999999997</v>
      </c>
      <c r="AB4194">
        <v>24</v>
      </c>
      <c r="AC4194">
        <v>10.6657999999999</v>
      </c>
      <c r="AD4194">
        <v>-1.1122994527600001</v>
      </c>
      <c r="AE4194">
        <v>-27.577100000000002</v>
      </c>
      <c r="AF4194">
        <v>-9.2568995818128403</v>
      </c>
      <c r="AG4194">
        <v>-1.1122994527600001</v>
      </c>
      <c r="AH4194">
        <v>28.037410128025801</v>
      </c>
      <c r="AI4194">
        <v>92.157416286860396</v>
      </c>
      <c r="AJ4194">
        <v>108.27128236258299</v>
      </c>
      <c r="AK4194">
        <v>29.5469755918859</v>
      </c>
      <c r="AL4194">
        <v>78.889804140632407</v>
      </c>
      <c r="AM4194">
        <v>97.968144038721803</v>
      </c>
      <c r="AN4194">
        <v>1.00000007370294</v>
      </c>
    </row>
    <row r="4195" spans="1:40" x14ac:dyDescent="0.25">
      <c r="A4195" t="str">
        <f>"20190304155458153"</f>
        <v>20190304155458153</v>
      </c>
      <c r="B4195" t="str">
        <f>"1551686098141615"</f>
        <v>1551686098141615</v>
      </c>
      <c r="C4195" t="s">
        <v>40</v>
      </c>
      <c r="D4195">
        <v>4.4253600000000004</v>
      </c>
      <c r="E4195">
        <v>0.42543039999999999</v>
      </c>
      <c r="F4195" t="s">
        <v>74</v>
      </c>
      <c r="G4195">
        <v>-411.51319999999998</v>
      </c>
      <c r="H4195" s="1">
        <v>-1.0368019999999999E-5</v>
      </c>
      <c r="I4195">
        <v>19.208169999999999</v>
      </c>
      <c r="J4195">
        <v>-421.93599999999998</v>
      </c>
      <c r="K4195">
        <v>1.1123350000000001</v>
      </c>
      <c r="L4195">
        <v>45.842799999999997</v>
      </c>
      <c r="M4195">
        <v>5.278414E-2</v>
      </c>
      <c r="N4195">
        <v>-1.386481E-2</v>
      </c>
      <c r="O4195">
        <v>-0.99851000000000001</v>
      </c>
      <c r="P4195">
        <v>0.1875317</v>
      </c>
      <c r="Q4195">
        <v>0.1792658</v>
      </c>
      <c r="R4195">
        <v>-0.96576229999999996</v>
      </c>
      <c r="S4195">
        <v>1.130768</v>
      </c>
      <c r="T4195">
        <v>-0.1204978</v>
      </c>
      <c r="U4195">
        <v>-2.9116520000000001</v>
      </c>
      <c r="V4195">
        <v>-0.13710539999999999</v>
      </c>
      <c r="W4195">
        <v>0.19217670000000001</v>
      </c>
      <c r="X4195">
        <v>0.97173569999999998</v>
      </c>
      <c r="Y4195">
        <v>-0.3120812</v>
      </c>
      <c r="Z4195">
        <v>2.5099670000000001E-2</v>
      </c>
      <c r="AA4195">
        <v>0.94972380000000001</v>
      </c>
      <c r="AB4195">
        <v>24</v>
      </c>
      <c r="AC4195">
        <v>10.422799999999899</v>
      </c>
      <c r="AD4195">
        <v>-1.1123453680199999</v>
      </c>
      <c r="AE4195">
        <v>-26.634629999999898</v>
      </c>
      <c r="AF4195">
        <v>-8.9886508542132795</v>
      </c>
      <c r="AG4195">
        <v>-1.1123453680199999</v>
      </c>
      <c r="AH4195">
        <v>27.106704144885398</v>
      </c>
      <c r="AI4195">
        <v>92.230552142694094</v>
      </c>
      <c r="AJ4195">
        <v>108.345650012939</v>
      </c>
      <c r="AK4195">
        <v>28.5798279560087</v>
      </c>
      <c r="AL4195">
        <v>78.920159003519402</v>
      </c>
      <c r="AM4195">
        <v>98.031038647994293</v>
      </c>
      <c r="AN4195">
        <v>1.0000000226932599</v>
      </c>
    </row>
    <row r="4196" spans="1:40" x14ac:dyDescent="0.25">
      <c r="A4196" t="str">
        <f>"20190304155458179"</f>
        <v>20190304155458179</v>
      </c>
      <c r="B4196" t="str">
        <f>"1551686098171871"</f>
        <v>1551686098171871</v>
      </c>
      <c r="C4196" t="s">
        <v>40</v>
      </c>
      <c r="D4196">
        <v>4.4216220000000002</v>
      </c>
      <c r="E4196">
        <v>0.42566520000000002</v>
      </c>
      <c r="F4196" t="s">
        <v>74</v>
      </c>
      <c r="G4196">
        <v>-411.58330000000001</v>
      </c>
      <c r="H4196" s="1">
        <v>-1.032792E-5</v>
      </c>
      <c r="I4196">
        <v>19.48706</v>
      </c>
      <c r="J4196">
        <v>-421.9178</v>
      </c>
      <c r="K4196">
        <v>1.1124019999999999</v>
      </c>
      <c r="L4196">
        <v>45.566499999999998</v>
      </c>
      <c r="M4196">
        <v>5.5925790000000003E-2</v>
      </c>
      <c r="N4196">
        <v>-1.386632E-2</v>
      </c>
      <c r="O4196">
        <v>-0.99833879999999997</v>
      </c>
      <c r="P4196">
        <v>0.19241920000000001</v>
      </c>
      <c r="Q4196">
        <v>0.17884040000000001</v>
      </c>
      <c r="R4196">
        <v>-0.96487889999999998</v>
      </c>
      <c r="S4196">
        <v>1.142029</v>
      </c>
      <c r="T4196">
        <v>-0.1227061</v>
      </c>
      <c r="U4196">
        <v>-2.9073790000000002</v>
      </c>
      <c r="V4196">
        <v>-0.13899810000000001</v>
      </c>
      <c r="W4196">
        <v>0.19172</v>
      </c>
      <c r="X4196">
        <v>0.971557</v>
      </c>
      <c r="Y4196">
        <v>-0.3127453</v>
      </c>
      <c r="Z4196">
        <v>2.5830809999999999E-2</v>
      </c>
      <c r="AA4196">
        <v>0.94948569999999999</v>
      </c>
      <c r="AB4196">
        <v>24</v>
      </c>
      <c r="AC4196">
        <v>10.334499999999901</v>
      </c>
      <c r="AD4196">
        <v>-1.11241232792</v>
      </c>
      <c r="AE4196">
        <v>-26.079440000000002</v>
      </c>
      <c r="AF4196">
        <v>-8.8457594247131208</v>
      </c>
      <c r="AG4196">
        <v>-1.11241232792</v>
      </c>
      <c r="AH4196">
        <v>26.5748475874097</v>
      </c>
      <c r="AI4196">
        <v>92.274427286106402</v>
      </c>
      <c r="AJ4196">
        <v>108.41064538365001</v>
      </c>
      <c r="AK4196">
        <v>28.030473511542102</v>
      </c>
      <c r="AL4196">
        <v>78.946821718022406</v>
      </c>
      <c r="AM4196">
        <v>98.141905954934302</v>
      </c>
      <c r="AN4196">
        <v>1.0000000172262999</v>
      </c>
    </row>
    <row r="4197" spans="1:40" x14ac:dyDescent="0.25">
      <c r="A4197" t="str">
        <f>"20190304155458205"</f>
        <v>20190304155458205</v>
      </c>
      <c r="B4197" t="str">
        <f>"1551686098202126"</f>
        <v>1551686098202126</v>
      </c>
      <c r="C4197" t="s">
        <v>40</v>
      </c>
      <c r="D4197">
        <v>4.680707</v>
      </c>
      <c r="E4197">
        <v>0.42580869999999998</v>
      </c>
      <c r="F4197" t="s">
        <v>74</v>
      </c>
      <c r="G4197">
        <v>-411.77699999999999</v>
      </c>
      <c r="H4197" s="1">
        <v>-9.1823149999999995E-6</v>
      </c>
      <c r="I4197">
        <v>20.074010000000001</v>
      </c>
      <c r="J4197">
        <v>-421.899</v>
      </c>
      <c r="K4197">
        <v>1.1124750000000001</v>
      </c>
      <c r="L4197">
        <v>45.296080000000003</v>
      </c>
      <c r="M4197">
        <v>5.9126100000000001E-2</v>
      </c>
      <c r="N4197">
        <v>-1.386809E-2</v>
      </c>
      <c r="O4197">
        <v>-0.99815430000000005</v>
      </c>
      <c r="P4197">
        <v>0.1976282</v>
      </c>
      <c r="Q4197">
        <v>0.1787907</v>
      </c>
      <c r="R4197">
        <v>-0.96383459999999999</v>
      </c>
      <c r="S4197">
        <v>1.1545719999999999</v>
      </c>
      <c r="T4197">
        <v>-0.12665309999999999</v>
      </c>
      <c r="U4197">
        <v>-2.9024350000000001</v>
      </c>
      <c r="V4197">
        <v>-0.14117060000000001</v>
      </c>
      <c r="W4197">
        <v>0.19163289999999999</v>
      </c>
      <c r="X4197">
        <v>0.97126089999999998</v>
      </c>
      <c r="Y4197">
        <v>-0.31378260000000002</v>
      </c>
      <c r="Z4197">
        <v>2.7124229999999999E-2</v>
      </c>
      <c r="AA4197">
        <v>0.94910729999999999</v>
      </c>
      <c r="AB4197">
        <v>24</v>
      </c>
      <c r="AC4197">
        <v>10.122</v>
      </c>
      <c r="AD4197">
        <v>-1.112484182315</v>
      </c>
      <c r="AE4197">
        <v>-25.222069999999899</v>
      </c>
      <c r="AF4197">
        <v>-8.5984547995785903</v>
      </c>
      <c r="AG4197">
        <v>-1.112484182315</v>
      </c>
      <c r="AH4197">
        <v>25.733348781030099</v>
      </c>
      <c r="AI4197">
        <v>92.347974934480206</v>
      </c>
      <c r="AJ4197">
        <v>108.476362513048</v>
      </c>
      <c r="AK4197">
        <v>27.154673363574801</v>
      </c>
      <c r="AL4197">
        <v>78.951906505981</v>
      </c>
      <c r="AM4197">
        <v>98.269901364425706</v>
      </c>
      <c r="AN4197">
        <v>1.00000002126778</v>
      </c>
    </row>
    <row r="4198" spans="1:40" x14ac:dyDescent="0.25">
      <c r="A4198" t="str">
        <f>"20190304155458225"</f>
        <v>20190304155458225</v>
      </c>
      <c r="B4198" t="str">
        <f>"1551686098221452"</f>
        <v>1551686098221452</v>
      </c>
      <c r="C4198" t="s">
        <v>40</v>
      </c>
      <c r="D4198">
        <v>4.4158839999999904</v>
      </c>
      <c r="E4198">
        <v>0.42579250000000002</v>
      </c>
      <c r="F4198" t="s">
        <v>74</v>
      </c>
      <c r="G4198">
        <v>-411.70119999999997</v>
      </c>
      <c r="H4198" s="1">
        <v>-9.20385E-6</v>
      </c>
      <c r="I4198">
        <v>20.013529999999999</v>
      </c>
      <c r="J4198">
        <v>-421.88260000000002</v>
      </c>
      <c r="K4198">
        <v>1.112538</v>
      </c>
      <c r="L4198">
        <v>45.072299999999998</v>
      </c>
      <c r="M4198">
        <v>6.1873709999999998E-2</v>
      </c>
      <c r="N4198">
        <v>-1.386973E-2</v>
      </c>
      <c r="O4198">
        <v>-0.99798770000000003</v>
      </c>
      <c r="P4198">
        <v>0.2026625</v>
      </c>
      <c r="Q4198">
        <v>0.1791346</v>
      </c>
      <c r="R4198">
        <v>-0.96272469999999999</v>
      </c>
      <c r="S4198">
        <v>1.1683650000000001</v>
      </c>
      <c r="T4198">
        <v>-0.12745799999999999</v>
      </c>
      <c r="U4198">
        <v>-2.8966370000000001</v>
      </c>
      <c r="V4198">
        <v>-0.14361279999999901</v>
      </c>
      <c r="W4198">
        <v>0.1919399</v>
      </c>
      <c r="X4198">
        <v>0.97084210000000004</v>
      </c>
      <c r="Y4198">
        <v>-0.3157102</v>
      </c>
      <c r="Z4198">
        <v>2.740832E-2</v>
      </c>
      <c r="AA4198">
        <v>0.94845970000000002</v>
      </c>
      <c r="AB4198">
        <v>24</v>
      </c>
      <c r="AC4198">
        <v>10.1814</v>
      </c>
      <c r="AD4198">
        <v>-1.1125472038499999</v>
      </c>
      <c r="AE4198">
        <v>-25.058769999999999</v>
      </c>
      <c r="AF4198">
        <v>-8.5967161175393496</v>
      </c>
      <c r="AG4198">
        <v>-1.1125472038499999</v>
      </c>
      <c r="AH4198">
        <v>25.597462324967498</v>
      </c>
      <c r="AI4198">
        <v>92.3593477231083</v>
      </c>
      <c r="AJ4198">
        <v>108.564240231505</v>
      </c>
      <c r="AK4198">
        <v>27.025383748699799</v>
      </c>
      <c r="AL4198">
        <v>78.933983452629306</v>
      </c>
      <c r="AM4198">
        <v>98.414514490570596</v>
      </c>
      <c r="AN4198">
        <v>0.99999997233412896</v>
      </c>
    </row>
    <row r="4199" spans="1:40" x14ac:dyDescent="0.25">
      <c r="A4199" t="str">
        <f>"20190304155458244"</f>
        <v>20190304155458244</v>
      </c>
      <c r="B4199" t="str">
        <f>"1551686098232189"</f>
        <v>1551686098232189</v>
      </c>
      <c r="C4199" t="s">
        <v>40</v>
      </c>
      <c r="D4199">
        <v>4.4318780000000002</v>
      </c>
      <c r="E4199">
        <v>0.42581629999999998</v>
      </c>
      <c r="F4199" t="s">
        <v>74</v>
      </c>
      <c r="G4199">
        <v>-411.47230000000002</v>
      </c>
      <c r="H4199" s="1">
        <v>-9.2514529999999992E-6</v>
      </c>
      <c r="I4199">
        <v>19.65682</v>
      </c>
      <c r="J4199">
        <v>-421.86700000000002</v>
      </c>
      <c r="K4199">
        <v>1.1125940000000001</v>
      </c>
      <c r="L4199">
        <v>44.866819999999997</v>
      </c>
      <c r="M4199">
        <v>6.4464830000000001E-2</v>
      </c>
      <c r="N4199">
        <v>-1.387126E-2</v>
      </c>
      <c r="O4199">
        <v>-0.99782360000000003</v>
      </c>
      <c r="P4199">
        <v>0.20755779999999999</v>
      </c>
      <c r="Q4199">
        <v>0.17889829999999901</v>
      </c>
      <c r="R4199">
        <v>-0.96172489999999999</v>
      </c>
      <c r="S4199">
        <v>1.1839599999999999</v>
      </c>
      <c r="T4199">
        <v>-0.12652869999999999</v>
      </c>
      <c r="U4199">
        <v>-2.8904719999999999</v>
      </c>
      <c r="V4199">
        <v>-0.14605699999999999</v>
      </c>
      <c r="W4199">
        <v>0.19167129999999999</v>
      </c>
      <c r="X4199">
        <v>0.97053049999999996</v>
      </c>
      <c r="Y4199">
        <v>-0.3183396</v>
      </c>
      <c r="Z4199">
        <v>2.712883E-2</v>
      </c>
      <c r="AA4199">
        <v>0.94758849999999994</v>
      </c>
      <c r="AB4199">
        <v>24</v>
      </c>
      <c r="AC4199">
        <v>10.394699999999901</v>
      </c>
      <c r="AD4199">
        <v>-1.112603251453</v>
      </c>
      <c r="AE4199">
        <v>-25.21</v>
      </c>
      <c r="AF4199">
        <v>-8.7332214720843897</v>
      </c>
      <c r="AG4199">
        <v>-1.112603251453</v>
      </c>
      <c r="AH4199">
        <v>25.784784803792199</v>
      </c>
      <c r="AI4199">
        <v>92.340323060370693</v>
      </c>
      <c r="AJ4199">
        <v>108.711070743297</v>
      </c>
      <c r="AK4199">
        <v>27.246323984227601</v>
      </c>
      <c r="AL4199">
        <v>78.949664476568103</v>
      </c>
      <c r="AM4199">
        <v>98.558328446601806</v>
      </c>
      <c r="AN4199">
        <v>0.99999999296146902</v>
      </c>
    </row>
    <row r="4200" spans="1:40" x14ac:dyDescent="0.25">
      <c r="A4200" t="str">
        <f>"20190304155458264"</f>
        <v>20190304155458264</v>
      </c>
      <c r="B4200" t="str">
        <f>"1551686098261469"</f>
        <v>1551686098261469</v>
      </c>
      <c r="C4200" t="s">
        <v>40</v>
      </c>
      <c r="D4200">
        <v>4.4239550000000003</v>
      </c>
      <c r="E4200">
        <v>0.42578939999999998</v>
      </c>
      <c r="F4200" t="s">
        <v>74</v>
      </c>
      <c r="G4200">
        <v>-411.45740000000001</v>
      </c>
      <c r="H4200" s="1">
        <v>-9.2703589999999997E-6</v>
      </c>
      <c r="I4200">
        <v>19.791979999999999</v>
      </c>
      <c r="J4200">
        <v>-421.84969999999998</v>
      </c>
      <c r="K4200">
        <v>1.112644</v>
      </c>
      <c r="L4200">
        <v>44.6496</v>
      </c>
      <c r="M4200">
        <v>6.7281049999999995E-2</v>
      </c>
      <c r="N4200">
        <v>-1.387276E-2</v>
      </c>
      <c r="O4200">
        <v>-0.99763769999999996</v>
      </c>
      <c r="P4200">
        <v>0.2117117</v>
      </c>
      <c r="Q4200">
        <v>0.17892269999999999</v>
      </c>
      <c r="R4200">
        <v>-0.96081470000000002</v>
      </c>
      <c r="S4200">
        <v>1.1975709999999999</v>
      </c>
      <c r="T4200">
        <v>-0.12799940000000001</v>
      </c>
      <c r="U4200">
        <v>-2.884735</v>
      </c>
      <c r="V4200">
        <v>-0.1475378</v>
      </c>
      <c r="W4200">
        <v>0.19166939999999999</v>
      </c>
      <c r="X4200">
        <v>0.97030689999999997</v>
      </c>
      <c r="Y4200">
        <v>-0.32013740000000002</v>
      </c>
      <c r="Z4200">
        <v>2.762655E-2</v>
      </c>
      <c r="AA4200">
        <v>0.94696820000000004</v>
      </c>
      <c r="AB4200">
        <v>24</v>
      </c>
      <c r="AC4200">
        <v>10.392299999999899</v>
      </c>
      <c r="AD4200">
        <v>-1.112653270359</v>
      </c>
      <c r="AE4200">
        <v>-24.857620000000001</v>
      </c>
      <c r="AF4200">
        <v>-8.6813338917246501</v>
      </c>
      <c r="AG4200">
        <v>-1.112653270359</v>
      </c>
      <c r="AH4200">
        <v>25.457139240619099</v>
      </c>
      <c r="AI4200">
        <v>92.368842707947096</v>
      </c>
      <c r="AJ4200">
        <v>108.83028238251001</v>
      </c>
      <c r="AK4200">
        <v>26.919685989177498</v>
      </c>
      <c r="AL4200">
        <v>78.949775706055505</v>
      </c>
      <c r="AM4200">
        <v>98.645754782581307</v>
      </c>
      <c r="AN4200">
        <v>1.0000000207563999</v>
      </c>
    </row>
    <row r="4201" spans="1:40" x14ac:dyDescent="0.25">
      <c r="A4201" t="str">
        <f>"20190304155458287"</f>
        <v>20190304155458287</v>
      </c>
      <c r="B4201" t="str">
        <f>"1551686098281965"</f>
        <v>1551686098281965</v>
      </c>
      <c r="C4201" t="s">
        <v>40</v>
      </c>
      <c r="D4201">
        <v>4.4015750000000002</v>
      </c>
      <c r="E4201">
        <v>0.42577179999999998</v>
      </c>
      <c r="F4201" t="s">
        <v>74</v>
      </c>
      <c r="G4201">
        <v>-411.34429999999998</v>
      </c>
      <c r="H4201" s="1">
        <v>-9.2968950000000004E-6</v>
      </c>
      <c r="I4201">
        <v>19.64601</v>
      </c>
      <c r="J4201">
        <v>-421.82929999999999</v>
      </c>
      <c r="K4201">
        <v>1.1126969999999901</v>
      </c>
      <c r="L4201">
        <v>44.40448</v>
      </c>
      <c r="M4201">
        <v>7.0556859999999999E-2</v>
      </c>
      <c r="N4201">
        <v>-1.387437E-2</v>
      </c>
      <c r="O4201">
        <v>-0.9974113</v>
      </c>
      <c r="P4201">
        <v>0.2164779</v>
      </c>
      <c r="Q4201">
        <v>0.1789896</v>
      </c>
      <c r="R4201">
        <v>-0.95973960000000003</v>
      </c>
      <c r="S4201">
        <v>1.2099</v>
      </c>
      <c r="T4201">
        <v>-0.12814320000000001</v>
      </c>
      <c r="U4201">
        <v>-2.8796390000000001</v>
      </c>
      <c r="V4201">
        <v>-0.14919560000000001</v>
      </c>
      <c r="W4201">
        <v>0.1917083</v>
      </c>
      <c r="X4201">
        <v>0.97004570000000001</v>
      </c>
      <c r="Y4201">
        <v>-0.32106990000000002</v>
      </c>
      <c r="Z4201">
        <v>2.7696019999999998E-2</v>
      </c>
      <c r="AA4201">
        <v>0.9466504</v>
      </c>
      <c r="AB4201">
        <v>24</v>
      </c>
      <c r="AC4201">
        <v>10.484999999999999</v>
      </c>
      <c r="AD4201">
        <v>-1.1127062968949999</v>
      </c>
      <c r="AE4201">
        <v>-24.758469999999999</v>
      </c>
      <c r="AF4201">
        <v>-8.6969208997838408</v>
      </c>
      <c r="AG4201">
        <v>-1.1127062968949999</v>
      </c>
      <c r="AH4201">
        <v>25.393123969589499</v>
      </c>
      <c r="AI4201">
        <v>92.373851279725201</v>
      </c>
      <c r="AJ4201">
        <v>108.905879555083</v>
      </c>
      <c r="AK4201">
        <v>26.864200962902</v>
      </c>
      <c r="AL4201">
        <v>78.947504888098507</v>
      </c>
      <c r="AM4201">
        <v>98.743727333403797</v>
      </c>
      <c r="AN4201">
        <v>1.00000002971836</v>
      </c>
    </row>
    <row r="4202" spans="1:40" x14ac:dyDescent="0.25">
      <c r="A4202" t="str">
        <f>"20190304155458311"</f>
        <v>20190304155458311</v>
      </c>
      <c r="B4202" t="str">
        <f>"1551686098302461"</f>
        <v>1551686098302461</v>
      </c>
      <c r="C4202" t="s">
        <v>40</v>
      </c>
      <c r="D4202">
        <v>4.4256830000000003</v>
      </c>
      <c r="E4202">
        <v>0.42582300000000001</v>
      </c>
      <c r="F4202" t="s">
        <v>74</v>
      </c>
      <c r="G4202">
        <v>-411.20769999999999</v>
      </c>
      <c r="H4202" s="1">
        <v>-1.021665E-5</v>
      </c>
      <c r="I4202">
        <v>19.468070000000001</v>
      </c>
      <c r="J4202">
        <v>-421.8082</v>
      </c>
      <c r="K4202">
        <v>1.1127499999999999</v>
      </c>
      <c r="L4202">
        <v>44.15936</v>
      </c>
      <c r="M4202">
        <v>7.3931659999999996E-2</v>
      </c>
      <c r="N4202">
        <v>-1.387624E-2</v>
      </c>
      <c r="O4202">
        <v>-0.99716680000000002</v>
      </c>
      <c r="P4202">
        <v>0.22134390000000001</v>
      </c>
      <c r="Q4202">
        <v>0.17969189999999999</v>
      </c>
      <c r="R4202">
        <v>-0.95849759999999995</v>
      </c>
      <c r="S4202">
        <v>1.22403</v>
      </c>
      <c r="T4202">
        <v>-0.1282277</v>
      </c>
      <c r="U4202">
        <v>-2.8736570000000001</v>
      </c>
      <c r="V4202">
        <v>-0.1508755</v>
      </c>
      <c r="W4202">
        <v>0.19237979999999999</v>
      </c>
      <c r="X4202">
        <v>0.96965279999999998</v>
      </c>
      <c r="Y4202">
        <v>-0.32251400000000002</v>
      </c>
      <c r="Z4202">
        <v>2.774859E-2</v>
      </c>
      <c r="AA4202">
        <v>0.9461579</v>
      </c>
      <c r="AB4202">
        <v>24</v>
      </c>
      <c r="AC4202">
        <v>10.6005</v>
      </c>
      <c r="AD4202">
        <v>-1.1127602166499999</v>
      </c>
      <c r="AE4202">
        <v>-24.691289999999999</v>
      </c>
      <c r="AF4202">
        <v>-8.7308674864849394</v>
      </c>
      <c r="AG4202">
        <v>-1.1127602166499999</v>
      </c>
      <c r="AH4202">
        <v>25.363994961208402</v>
      </c>
      <c r="AI4202">
        <v>92.375427065684704</v>
      </c>
      <c r="AJ4202">
        <v>108.994635288596</v>
      </c>
      <c r="AK4202">
        <v>26.847691199775898</v>
      </c>
      <c r="AL4202">
        <v>78.9083004660434</v>
      </c>
      <c r="AM4202">
        <v>98.844158032400898</v>
      </c>
      <c r="AN4202">
        <v>0.99999997824806397</v>
      </c>
    </row>
    <row r="4203" spans="1:40" x14ac:dyDescent="0.25">
      <c r="A4203" t="str">
        <f>"20190304155458333"</f>
        <v>20190304155458333</v>
      </c>
      <c r="B4203" t="str">
        <f>"1551686098321388"</f>
        <v>1551686098321388</v>
      </c>
      <c r="C4203" t="s">
        <v>40</v>
      </c>
      <c r="D4203">
        <v>4.4395089999999904</v>
      </c>
      <c r="E4203">
        <v>0.42583100000000002</v>
      </c>
      <c r="F4203" t="s">
        <v>74</v>
      </c>
      <c r="G4203">
        <v>-410.93680000000001</v>
      </c>
      <c r="H4203" s="1">
        <v>-1.024343E-5</v>
      </c>
      <c r="I4203">
        <v>18.97016</v>
      </c>
      <c r="J4203">
        <v>-421.78640000000001</v>
      </c>
      <c r="K4203">
        <v>1.1128070000000001</v>
      </c>
      <c r="L4203">
        <v>43.917969999999997</v>
      </c>
      <c r="M4203">
        <v>7.7351639999999999E-2</v>
      </c>
      <c r="N4203">
        <v>-1.387847E-2</v>
      </c>
      <c r="O4203">
        <v>-0.9969074</v>
      </c>
      <c r="P4203">
        <v>0.2256946</v>
      </c>
      <c r="Q4203">
        <v>0.18056539999999999</v>
      </c>
      <c r="R4203">
        <v>-0.95731869999999997</v>
      </c>
      <c r="S4203">
        <v>1.2377320000000001</v>
      </c>
      <c r="T4203">
        <v>-0.12668940000000001</v>
      </c>
      <c r="U4203">
        <v>-2.8678279999999998</v>
      </c>
      <c r="V4203">
        <v>-0.15199860000000001</v>
      </c>
      <c r="W4203">
        <v>0.19322529999999999</v>
      </c>
      <c r="X4203">
        <v>0.96930930000000004</v>
      </c>
      <c r="Y4203">
        <v>-0.3237834</v>
      </c>
      <c r="Z4203">
        <v>2.7276479999999999E-2</v>
      </c>
      <c r="AA4203">
        <v>0.94573799999999997</v>
      </c>
      <c r="AB4203">
        <v>24</v>
      </c>
      <c r="AC4203">
        <v>10.849600000000001</v>
      </c>
      <c r="AD4203">
        <v>-1.1128172434300001</v>
      </c>
      <c r="AE4203">
        <v>-24.94781</v>
      </c>
      <c r="AF4203">
        <v>-8.8723019975022499</v>
      </c>
      <c r="AG4203">
        <v>-1.1128172434300001</v>
      </c>
      <c r="AH4203">
        <v>25.669413298835799</v>
      </c>
      <c r="AI4203">
        <v>92.346293919835205</v>
      </c>
      <c r="AJ4203">
        <v>109.067049282597</v>
      </c>
      <c r="AK4203">
        <v>27.1822531085744</v>
      </c>
      <c r="AL4203">
        <v>78.8589314491241</v>
      </c>
      <c r="AM4203">
        <v>98.912047166470799</v>
      </c>
      <c r="AN4203">
        <v>1.00000005501426</v>
      </c>
    </row>
    <row r="4204" spans="1:40" x14ac:dyDescent="0.25">
      <c r="A4204" t="str">
        <f>"20190304155458354"</f>
        <v>20190304155458354</v>
      </c>
      <c r="B4204" t="str">
        <f>"1551686098341885"</f>
        <v>1551686098341885</v>
      </c>
      <c r="C4204" t="s">
        <v>40</v>
      </c>
      <c r="D4204">
        <v>4.3972170000000004</v>
      </c>
      <c r="E4204">
        <v>0.42580230000000002</v>
      </c>
      <c r="F4204" t="s">
        <v>74</v>
      </c>
      <c r="G4204">
        <v>-410.52640000000002</v>
      </c>
      <c r="H4204" s="1">
        <v>-1.026811E-5</v>
      </c>
      <c r="I4204">
        <v>18.15089</v>
      </c>
      <c r="J4204">
        <v>-421.76569999999998</v>
      </c>
      <c r="K4204">
        <v>1.112865</v>
      </c>
      <c r="L4204">
        <v>43.698520000000002</v>
      </c>
      <c r="M4204">
        <v>8.0549369999999995E-2</v>
      </c>
      <c r="N4204">
        <v>-1.388081E-2</v>
      </c>
      <c r="O4204">
        <v>-0.99665400000000004</v>
      </c>
      <c r="P4204">
        <v>0.2303653</v>
      </c>
      <c r="Q4204">
        <v>0.18111350000000001</v>
      </c>
      <c r="R4204">
        <v>-0.95610150000000005</v>
      </c>
      <c r="S4204">
        <v>1.2507629999999901</v>
      </c>
      <c r="T4204">
        <v>-0.123612</v>
      </c>
      <c r="U4204">
        <v>-2.8622130000000001</v>
      </c>
      <c r="V4204">
        <v>-0.15366299999999999</v>
      </c>
      <c r="W4204">
        <v>0.1937403</v>
      </c>
      <c r="X4204">
        <v>0.96894400000000003</v>
      </c>
      <c r="Y4204">
        <v>-0.32505630000000002</v>
      </c>
      <c r="Z4204">
        <v>2.6305530000000001E-2</v>
      </c>
      <c r="AA4204">
        <v>0.94532870000000002</v>
      </c>
      <c r="AB4204">
        <v>24</v>
      </c>
      <c r="AC4204">
        <v>11.239299999999901</v>
      </c>
      <c r="AD4204">
        <v>-1.11287526811</v>
      </c>
      <c r="AE4204">
        <v>-25.547629999999899</v>
      </c>
      <c r="AF4204">
        <v>-9.1302129082141406</v>
      </c>
      <c r="AG4204">
        <v>-1.11287526811</v>
      </c>
      <c r="AH4204">
        <v>26.3281481906583</v>
      </c>
      <c r="AI4204">
        <v>92.286960532920801</v>
      </c>
      <c r="AJ4204">
        <v>109.12579044873399</v>
      </c>
      <c r="AK4204">
        <v>27.888540052519001</v>
      </c>
      <c r="AL4204">
        <v>78.8288557283404</v>
      </c>
      <c r="AM4204">
        <v>99.011383618802199</v>
      </c>
      <c r="AN4204">
        <v>1.0000000482745399</v>
      </c>
    </row>
    <row r="4205" spans="1:40" x14ac:dyDescent="0.25">
      <c r="A4205" t="str">
        <f>"20190304155458378"</f>
        <v>20190304155458378</v>
      </c>
      <c r="B4205" t="str">
        <f>"1551686098372141"</f>
        <v>1551686098372141</v>
      </c>
      <c r="C4205" t="s">
        <v>40</v>
      </c>
      <c r="D4205">
        <v>4.4141199999999996</v>
      </c>
      <c r="E4205">
        <v>0.42585390000000001</v>
      </c>
      <c r="F4205" t="s">
        <v>74</v>
      </c>
      <c r="G4205">
        <v>-410.24939999999998</v>
      </c>
      <c r="H4205" s="1">
        <v>-1.026102E-5</v>
      </c>
      <c r="I4205">
        <v>17.68422</v>
      </c>
      <c r="J4205">
        <v>-421.74</v>
      </c>
      <c r="K4205">
        <v>1.1129439999999999</v>
      </c>
      <c r="L4205">
        <v>43.43591</v>
      </c>
      <c r="M4205">
        <v>8.449305E-2</v>
      </c>
      <c r="N4205">
        <v>-1.3883950000000001E-2</v>
      </c>
      <c r="O4205">
        <v>-0.99632750000000003</v>
      </c>
      <c r="P4205">
        <v>0.23524229999999999</v>
      </c>
      <c r="Q4205">
        <v>0.1807213</v>
      </c>
      <c r="R4205">
        <v>-0.95498760000000005</v>
      </c>
      <c r="S4205">
        <v>1.264435</v>
      </c>
      <c r="T4205">
        <v>-0.1221879</v>
      </c>
      <c r="U4205">
        <v>-2.8562319999999999</v>
      </c>
      <c r="V4205">
        <v>-0.15480350000000001</v>
      </c>
      <c r="W4205">
        <v>0.19331599999999999</v>
      </c>
      <c r="X4205">
        <v>0.96884720000000002</v>
      </c>
      <c r="Y4205">
        <v>-0.3258355</v>
      </c>
      <c r="Z4205">
        <v>2.5870899999999999E-2</v>
      </c>
      <c r="AA4205">
        <v>0.94507249999999998</v>
      </c>
      <c r="AB4205">
        <v>24</v>
      </c>
      <c r="AC4205">
        <v>11.490600000000001</v>
      </c>
      <c r="AD4205">
        <v>-1.1129542610200001</v>
      </c>
      <c r="AE4205">
        <v>-25.75169</v>
      </c>
      <c r="AF4205">
        <v>-9.2590313535132704</v>
      </c>
      <c r="AG4205">
        <v>-1.1129542610200001</v>
      </c>
      <c r="AH4205">
        <v>26.589137005546601</v>
      </c>
      <c r="AI4205">
        <v>92.2636861656718</v>
      </c>
      <c r="AJ4205">
        <v>109.19945074235601</v>
      </c>
      <c r="AK4205">
        <v>28.177127878692499</v>
      </c>
      <c r="AL4205">
        <v>78.853634780696495</v>
      </c>
      <c r="AM4205">
        <v>99.078049171483002</v>
      </c>
      <c r="AN4205">
        <v>1.00000004820804</v>
      </c>
    </row>
    <row r="4206" spans="1:40" x14ac:dyDescent="0.25">
      <c r="A4206" t="str">
        <f>"20190304155458403"</f>
        <v>20190304155458403</v>
      </c>
      <c r="B4206" t="str">
        <f>"1551686098391661"</f>
        <v>1551686098391661</v>
      </c>
      <c r="C4206" t="s">
        <v>40</v>
      </c>
      <c r="D4206">
        <v>4.4178899999999999</v>
      </c>
      <c r="E4206">
        <v>0.42592839999999998</v>
      </c>
      <c r="F4206" t="s">
        <v>74</v>
      </c>
      <c r="G4206">
        <v>-410.21319999999997</v>
      </c>
      <c r="H4206" s="1">
        <v>-1.023682E-5</v>
      </c>
      <c r="I4206">
        <v>17.747429999999898</v>
      </c>
      <c r="J4206">
        <v>-421.71460000000002</v>
      </c>
      <c r="K4206">
        <v>1.113022</v>
      </c>
      <c r="L4206">
        <v>43.187899999999999</v>
      </c>
      <c r="M4206">
        <v>8.8352680000000003E-2</v>
      </c>
      <c r="N4206">
        <v>-1.388754E-2</v>
      </c>
      <c r="O4206">
        <v>-0.9959924</v>
      </c>
      <c r="P4206">
        <v>0.2401084</v>
      </c>
      <c r="Q4206">
        <v>0.1799335</v>
      </c>
      <c r="R4206">
        <v>-0.95392460000000001</v>
      </c>
      <c r="S4206">
        <v>1.278748</v>
      </c>
      <c r="T4206">
        <v>-0.1234673</v>
      </c>
      <c r="U4206">
        <v>-2.8497919999999999</v>
      </c>
      <c r="V4206">
        <v>-0.15600990000000001</v>
      </c>
      <c r="W4206">
        <v>0.19249540000000001</v>
      </c>
      <c r="X4206">
        <v>0.96881709999999999</v>
      </c>
      <c r="Y4206">
        <v>-0.32691500000000001</v>
      </c>
      <c r="Z4206">
        <v>2.630998E-2</v>
      </c>
      <c r="AA4206">
        <v>0.94468739999999995</v>
      </c>
      <c r="AB4206">
        <v>24</v>
      </c>
      <c r="AC4206">
        <v>11.5014</v>
      </c>
      <c r="AD4206">
        <v>-1.1130322368200001</v>
      </c>
      <c r="AE4206">
        <v>-25.440470000000001</v>
      </c>
      <c r="AF4206">
        <v>-9.1938501096815006</v>
      </c>
      <c r="AG4206">
        <v>-1.1130322368200001</v>
      </c>
      <c r="AH4206">
        <v>26.315414655903599</v>
      </c>
      <c r="AI4206">
        <v>92.286553762224003</v>
      </c>
      <c r="AJ4206">
        <v>109.257948183219</v>
      </c>
      <c r="AK4206">
        <v>27.8974330201121</v>
      </c>
      <c r="AL4206">
        <v>78.901551957253105</v>
      </c>
      <c r="AM4206">
        <v>99.147883168443698</v>
      </c>
      <c r="AN4206">
        <v>1.0000000705857801</v>
      </c>
    </row>
    <row r="4207" spans="1:40" x14ac:dyDescent="0.25">
      <c r="A4207" t="str">
        <f>"20190304155458425"</f>
        <v>20190304155458425</v>
      </c>
      <c r="B4207" t="str">
        <f>"1551686098421448"</f>
        <v>1551686098421448</v>
      </c>
      <c r="C4207" t="s">
        <v>40</v>
      </c>
      <c r="D4207">
        <v>4.4424299999999999</v>
      </c>
      <c r="E4207">
        <v>0.42600080000000001</v>
      </c>
      <c r="F4207" t="s">
        <v>74</v>
      </c>
      <c r="G4207">
        <v>-410.30070000000001</v>
      </c>
      <c r="H4207" s="1">
        <v>-1.020559E-5</v>
      </c>
      <c r="I4207">
        <v>18.073599999999999</v>
      </c>
      <c r="J4207">
        <v>-421.68939999999998</v>
      </c>
      <c r="K4207">
        <v>1.1130990000000001</v>
      </c>
      <c r="L4207">
        <v>42.952579999999998</v>
      </c>
      <c r="M4207">
        <v>9.2152380000000006E-2</v>
      </c>
      <c r="N4207">
        <v>-1.3891550000000001E-2</v>
      </c>
      <c r="O4207">
        <v>-0.99564810000000004</v>
      </c>
      <c r="P4207">
        <v>0.24514140000000001</v>
      </c>
      <c r="Q4207">
        <v>0.17946679999999901</v>
      </c>
      <c r="R4207">
        <v>-0.95273200000000002</v>
      </c>
      <c r="S4207">
        <v>1.2922670000000001</v>
      </c>
      <c r="T4207">
        <v>-0.1260164</v>
      </c>
      <c r="U4207">
        <v>-2.8434140000000001</v>
      </c>
      <c r="V4207">
        <v>-0.1574566</v>
      </c>
      <c r="W4207">
        <v>0.19199369999999999</v>
      </c>
      <c r="X4207">
        <v>0.9686825</v>
      </c>
      <c r="Y4207">
        <v>-0.3278182</v>
      </c>
      <c r="Z4207">
        <v>2.7160710000000001E-2</v>
      </c>
      <c r="AA4207">
        <v>0.94435029999999998</v>
      </c>
      <c r="AB4207">
        <v>24</v>
      </c>
      <c r="AC4207">
        <v>11.388699999999901</v>
      </c>
      <c r="AD4207">
        <v>-1.11310920559</v>
      </c>
      <c r="AE4207">
        <v>-24.878979999999999</v>
      </c>
      <c r="AF4207">
        <v>-9.0324042406505392</v>
      </c>
      <c r="AG4207">
        <v>-1.11310920559</v>
      </c>
      <c r="AH4207">
        <v>25.780029498724598</v>
      </c>
      <c r="AI4207">
        <v>92.333427209606796</v>
      </c>
      <c r="AJ4207">
        <v>109.308643531903</v>
      </c>
      <c r="AK4207">
        <v>27.3392256551864</v>
      </c>
      <c r="AL4207">
        <v>78.930842538803802</v>
      </c>
      <c r="AM4207">
        <v>99.2325193928083</v>
      </c>
      <c r="AN4207">
        <v>0.99999997376474903</v>
      </c>
    </row>
    <row r="4208" spans="1:40" x14ac:dyDescent="0.25">
      <c r="A4208" t="str">
        <f>"20190304155458445"</f>
        <v>20190304155458445</v>
      </c>
      <c r="B4208" t="str">
        <f>"1551686098441945"</f>
        <v>1551686098441945</v>
      </c>
      <c r="C4208" t="s">
        <v>40</v>
      </c>
      <c r="D4208">
        <v>4.4485979999999996</v>
      </c>
      <c r="E4208">
        <v>0.4260775</v>
      </c>
      <c r="F4208" t="s">
        <v>74</v>
      </c>
      <c r="G4208">
        <v>-410.24740000000003</v>
      </c>
      <c r="H4208" s="1">
        <v>-1.0178139999999999E-5</v>
      </c>
      <c r="I4208">
        <v>18.12302</v>
      </c>
      <c r="J4208">
        <v>-421.66539999999998</v>
      </c>
      <c r="K4208">
        <v>1.1131530000000001</v>
      </c>
      <c r="L4208">
        <v>42.737639999999999</v>
      </c>
      <c r="M4208">
        <v>9.5717430000000006E-2</v>
      </c>
      <c r="N4208">
        <v>-1.3895380000000001E-2</v>
      </c>
      <c r="O4208">
        <v>-0.99531159999999996</v>
      </c>
      <c r="P4208">
        <v>0.25047469999999999</v>
      </c>
      <c r="Q4208">
        <v>0.1797744</v>
      </c>
      <c r="R4208">
        <v>-0.95128539999999995</v>
      </c>
      <c r="S4208">
        <v>1.3070980000000001</v>
      </c>
      <c r="T4208">
        <v>-0.1271583</v>
      </c>
      <c r="U4208">
        <v>-2.8364560000000001</v>
      </c>
      <c r="V4208">
        <v>-0.1594566</v>
      </c>
      <c r="W4208">
        <v>0.19226280000000001</v>
      </c>
      <c r="X4208">
        <v>0.968302</v>
      </c>
      <c r="Y4208">
        <v>-0.32938210000000001</v>
      </c>
      <c r="Z4208">
        <v>2.7556270000000001E-2</v>
      </c>
      <c r="AA4208">
        <v>0.94379449999999998</v>
      </c>
      <c r="AB4208">
        <v>24</v>
      </c>
      <c r="AC4208">
        <v>11.4179999999999</v>
      </c>
      <c r="AD4208">
        <v>-1.11316317814</v>
      </c>
      <c r="AE4208">
        <v>-24.614619999999999</v>
      </c>
      <c r="AF4208">
        <v>-8.9941516470648804</v>
      </c>
      <c r="AG4208">
        <v>-1.11316317814</v>
      </c>
      <c r="AH4208">
        <v>25.551584214227201</v>
      </c>
      <c r="AI4208">
        <v>92.353177949970501</v>
      </c>
      <c r="AJ4208">
        <v>109.392056547175</v>
      </c>
      <c r="AK4208">
        <v>27.1112034400598</v>
      </c>
      <c r="AL4208">
        <v>78.915132708586796</v>
      </c>
      <c r="AM4208">
        <v>99.351341125263801</v>
      </c>
      <c r="AN4208">
        <v>1.0000000773756901</v>
      </c>
    </row>
    <row r="4209" spans="1:40" x14ac:dyDescent="0.25">
      <c r="A4209" t="str">
        <f>"20190304155458466"</f>
        <v>20190304155458466</v>
      </c>
      <c r="B4209" t="str">
        <f>"1551686098461465"</f>
        <v>1551686098461465</v>
      </c>
      <c r="C4209" t="s">
        <v>40</v>
      </c>
      <c r="D4209">
        <v>4.326702</v>
      </c>
      <c r="E4209">
        <v>0.42611719999999997</v>
      </c>
      <c r="F4209" t="s">
        <v>74</v>
      </c>
      <c r="G4209">
        <v>-410.02710000000002</v>
      </c>
      <c r="H4209" s="1">
        <v>-1.015732E-5</v>
      </c>
      <c r="I4209">
        <v>17.83297</v>
      </c>
      <c r="J4209">
        <v>-421.64049999999997</v>
      </c>
      <c r="K4209">
        <v>1.1132139999999999</v>
      </c>
      <c r="L4209">
        <v>42.52234</v>
      </c>
      <c r="M4209">
        <v>9.9383440000000003E-2</v>
      </c>
      <c r="N4209">
        <v>-1.3899069999999999E-2</v>
      </c>
      <c r="O4209">
        <v>-0.99495230000000001</v>
      </c>
      <c r="P4209">
        <v>0.25537349999999998</v>
      </c>
      <c r="Q4209">
        <v>0.17975679999999999</v>
      </c>
      <c r="R4209">
        <v>-0.94998550000000004</v>
      </c>
      <c r="S4209">
        <v>1.3222050000000001</v>
      </c>
      <c r="T4209">
        <v>-0.12646450000000001</v>
      </c>
      <c r="U4209">
        <v>-2.8293759999999999</v>
      </c>
      <c r="V4209">
        <v>-0.16091059999999999</v>
      </c>
      <c r="W4209">
        <v>0.1922132</v>
      </c>
      <c r="X4209">
        <v>0.96807120000000002</v>
      </c>
      <c r="Y4209">
        <v>-0.3309473</v>
      </c>
      <c r="Z4209">
        <v>2.7358029999999998E-2</v>
      </c>
      <c r="AA4209">
        <v>0.9432526</v>
      </c>
      <c r="AB4209">
        <v>24</v>
      </c>
      <c r="AC4209">
        <v>11.613399999999899</v>
      </c>
      <c r="AD4209">
        <v>-1.1132241573199999</v>
      </c>
      <c r="AE4209">
        <v>-24.68937</v>
      </c>
      <c r="AF4209">
        <v>-9.0868153410491299</v>
      </c>
      <c r="AG4209">
        <v>-1.1132241573199999</v>
      </c>
      <c r="AH4209">
        <v>25.678658002551401</v>
      </c>
      <c r="AI4209">
        <v>92.340304184179999</v>
      </c>
      <c r="AJ4209">
        <v>109.487162639617</v>
      </c>
      <c r="AK4209">
        <v>27.261748987890801</v>
      </c>
      <c r="AL4209">
        <v>78.918027632374205</v>
      </c>
      <c r="AM4209">
        <v>99.437293558255604</v>
      </c>
      <c r="AN4209">
        <v>0.99999999185802002</v>
      </c>
    </row>
    <row r="4210" spans="1:40" x14ac:dyDescent="0.25">
      <c r="A4210" t="str">
        <f>"20190304155458488"</f>
        <v>20190304155458488</v>
      </c>
      <c r="B4210" t="str">
        <f>"1551686098481960"</f>
        <v>1551686098481960</v>
      </c>
      <c r="C4210" t="s">
        <v>40</v>
      </c>
      <c r="D4210">
        <v>4.4252529999999997</v>
      </c>
      <c r="E4210">
        <v>0.42399690000000001</v>
      </c>
      <c r="F4210" t="s">
        <v>74</v>
      </c>
      <c r="G4210">
        <v>-409.90629999999999</v>
      </c>
      <c r="H4210" s="1">
        <v>-3.1455589999999999E-6</v>
      </c>
      <c r="I4210">
        <v>17.732669999999999</v>
      </c>
      <c r="J4210">
        <v>-421.6121</v>
      </c>
      <c r="K4210">
        <v>1.1132839999999999</v>
      </c>
      <c r="L4210">
        <v>42.285550000000001</v>
      </c>
      <c r="M4210">
        <v>0.1035353</v>
      </c>
      <c r="N4210">
        <v>-1.390311E-2</v>
      </c>
      <c r="O4210">
        <v>-0.99452879999999999</v>
      </c>
      <c r="P4210">
        <v>0.26085720000000001</v>
      </c>
      <c r="Q4210">
        <v>0.179705</v>
      </c>
      <c r="R4210">
        <v>-0.94850440000000003</v>
      </c>
      <c r="S4210">
        <v>1.3361510000000001</v>
      </c>
      <c r="T4210">
        <v>-0.12675999999999901</v>
      </c>
      <c r="U4210">
        <v>-2.8227540000000002</v>
      </c>
      <c r="V4210">
        <v>-0.1624951</v>
      </c>
      <c r="W4210">
        <v>0.19212660000000001</v>
      </c>
      <c r="X4210">
        <v>0.96782369999999995</v>
      </c>
      <c r="Y4210">
        <v>-0.33167000000000002</v>
      </c>
      <c r="Z4210">
        <v>2.7479859999999998E-2</v>
      </c>
      <c r="AA4210">
        <v>0.94299520000000003</v>
      </c>
      <c r="AB4210">
        <v>24</v>
      </c>
      <c r="AC4210">
        <v>11.7058</v>
      </c>
      <c r="AD4210">
        <v>-1.1132871455590001</v>
      </c>
      <c r="AE4210">
        <v>-24.552879999999998</v>
      </c>
      <c r="AF4210">
        <v>-9.0853237832175306</v>
      </c>
      <c r="AG4210">
        <v>-1.1132871455590001</v>
      </c>
      <c r="AH4210">
        <v>25.5901144962498</v>
      </c>
      <c r="AI4210">
        <v>92.347664223569296</v>
      </c>
      <c r="AJ4210">
        <v>109.546518914053</v>
      </c>
      <c r="AK4210">
        <v>27.177867400617298</v>
      </c>
      <c r="AL4210">
        <v>78.923083787117093</v>
      </c>
      <c r="AM4210">
        <v>99.530919462736506</v>
      </c>
      <c r="AN4210">
        <v>1.0000000011166299</v>
      </c>
    </row>
    <row r="4211" spans="1:40" x14ac:dyDescent="0.25">
      <c r="A4211" t="str">
        <f>"20190304155458510"</f>
        <v>20190304155458510</v>
      </c>
      <c r="B4211" t="str">
        <f>"1551686098501480"</f>
        <v>1551686098501480</v>
      </c>
      <c r="C4211" t="s">
        <v>40</v>
      </c>
      <c r="D4211">
        <v>4.4550789999999996</v>
      </c>
      <c r="E4211">
        <v>0.42410369999999997</v>
      </c>
      <c r="F4211" t="s">
        <v>74</v>
      </c>
      <c r="G4211">
        <v>-408.55560000000003</v>
      </c>
      <c r="H4211" s="1">
        <v>-3.4478549999999999E-6</v>
      </c>
      <c r="I4211">
        <v>15.49676</v>
      </c>
      <c r="J4211">
        <v>-421.5829</v>
      </c>
      <c r="K4211">
        <v>1.1133500000000001</v>
      </c>
      <c r="L4211">
        <v>42.052370000000003</v>
      </c>
      <c r="M4211">
        <v>0.1077442</v>
      </c>
      <c r="N4211">
        <v>-1.3907600000000001E-2</v>
      </c>
      <c r="O4211">
        <v>-0.9940814</v>
      </c>
      <c r="P4211">
        <v>0.26599640000000002</v>
      </c>
      <c r="Q4211">
        <v>0.17984600000000001</v>
      </c>
      <c r="R4211">
        <v>-0.94704900000000003</v>
      </c>
      <c r="S4211">
        <v>1.368835</v>
      </c>
      <c r="T4211">
        <v>-0.116716899999999</v>
      </c>
      <c r="U4211">
        <v>-2.8085330000000002</v>
      </c>
      <c r="V4211">
        <v>-0.16368389999999999</v>
      </c>
      <c r="W4211">
        <v>0.19223519999999999</v>
      </c>
      <c r="X4211">
        <v>0.96760179999999996</v>
      </c>
      <c r="Y4211">
        <v>-0.3384624</v>
      </c>
      <c r="Z4211">
        <v>2.4256690000000001E-2</v>
      </c>
      <c r="AA4211">
        <v>0.94066719999999904</v>
      </c>
      <c r="AB4211">
        <v>24</v>
      </c>
      <c r="AC4211">
        <v>13.027299999999901</v>
      </c>
      <c r="AD4211">
        <v>-1.113353447855</v>
      </c>
      <c r="AE4211">
        <v>-26.555609999999898</v>
      </c>
      <c r="AF4211">
        <v>-10.0756841767453</v>
      </c>
      <c r="AG4211">
        <v>-1.113353447855</v>
      </c>
      <c r="AH4211">
        <v>27.765404785993599</v>
      </c>
      <c r="AI4211">
        <v>92.158654161830299</v>
      </c>
      <c r="AJ4211">
        <v>109.945139414363</v>
      </c>
      <c r="AK4211">
        <v>29.558022099921399</v>
      </c>
      <c r="AL4211">
        <v>78.916743456906502</v>
      </c>
      <c r="AM4211">
        <v>99.601514337645895</v>
      </c>
      <c r="AN4211">
        <v>1.00000001730074</v>
      </c>
    </row>
    <row r="4212" spans="1:40" x14ac:dyDescent="0.25">
      <c r="A4212" t="str">
        <f>"20190304155458533"</f>
        <v>20190304155458533</v>
      </c>
      <c r="B4212" t="str">
        <f>"1551686098521977"</f>
        <v>1551686098521977</v>
      </c>
      <c r="C4212" t="s">
        <v>40</v>
      </c>
      <c r="D4212">
        <v>4.3474620000000002</v>
      </c>
      <c r="E4212">
        <v>0.42351100000000003</v>
      </c>
      <c r="F4212" t="s">
        <v>74</v>
      </c>
      <c r="G4212">
        <v>-408.59480000000002</v>
      </c>
      <c r="H4212" s="1">
        <v>-3.4817660000000002E-6</v>
      </c>
      <c r="I4212">
        <v>15.7536</v>
      </c>
      <c r="J4212">
        <v>-421.55189999999999</v>
      </c>
      <c r="K4212">
        <v>1.113424</v>
      </c>
      <c r="L4212">
        <v>41.813200000000002</v>
      </c>
      <c r="M4212">
        <v>0.1121828</v>
      </c>
      <c r="N4212">
        <v>-1.3912799999999901E-2</v>
      </c>
      <c r="O4212">
        <v>-0.99359019999999998</v>
      </c>
      <c r="P4212">
        <v>0.2716848</v>
      </c>
      <c r="Q4212">
        <v>0.1801516</v>
      </c>
      <c r="R4212">
        <v>-0.94537439999999995</v>
      </c>
      <c r="S4212">
        <v>1.3836360000000001</v>
      </c>
      <c r="T4212">
        <v>-0.1186068</v>
      </c>
      <c r="U4212">
        <v>-2.8016359999999998</v>
      </c>
      <c r="V4212">
        <v>-0.16522510000000001</v>
      </c>
      <c r="W4212">
        <v>0.1925028</v>
      </c>
      <c r="X4212">
        <v>0.9672866</v>
      </c>
      <c r="Y4212">
        <v>-0.33916659999999998</v>
      </c>
      <c r="Z4212">
        <v>2.4889910000000001E-2</v>
      </c>
      <c r="AA4212">
        <v>0.94039700000000004</v>
      </c>
      <c r="AB4212">
        <v>24</v>
      </c>
      <c r="AC4212">
        <v>12.957099999999899</v>
      </c>
      <c r="AD4212">
        <v>-1.1134274817659999</v>
      </c>
      <c r="AE4212">
        <v>-26.0596</v>
      </c>
      <c r="AF4212">
        <v>-9.93702709181545</v>
      </c>
      <c r="AG4212">
        <v>-1.1134274817659999</v>
      </c>
      <c r="AH4212">
        <v>27.308802183355901</v>
      </c>
      <c r="AI4212">
        <v>92.194160854333305</v>
      </c>
      <c r="AJ4212">
        <v>109.995249613973</v>
      </c>
      <c r="AK4212">
        <v>29.081865567227499</v>
      </c>
      <c r="AL4212">
        <v>78.901119252789101</v>
      </c>
      <c r="AM4212">
        <v>99.693310806137902</v>
      </c>
      <c r="AN4212">
        <v>1.0000000141087</v>
      </c>
    </row>
    <row r="4213" spans="1:40" x14ac:dyDescent="0.25">
      <c r="A4213" t="str">
        <f>"20190304155458557"</f>
        <v>20190304155458557</v>
      </c>
      <c r="B4213" t="str">
        <f>"1551686098552232"</f>
        <v>1551686098552232</v>
      </c>
      <c r="C4213" t="s">
        <v>40</v>
      </c>
      <c r="D4213">
        <v>4.1726590000000003</v>
      </c>
      <c r="E4213">
        <v>0.4085432</v>
      </c>
      <c r="F4213" t="s">
        <v>74</v>
      </c>
      <c r="G4213">
        <v>-408.18189999999998</v>
      </c>
      <c r="H4213" s="1">
        <v>-3.6094609999999999E-6</v>
      </c>
      <c r="I4213">
        <v>15.22866</v>
      </c>
      <c r="J4213">
        <v>-421.51900000000001</v>
      </c>
      <c r="K4213">
        <v>1.1135029999999999</v>
      </c>
      <c r="L4213">
        <v>41.56897</v>
      </c>
      <c r="M4213">
        <v>0.11684079999999999</v>
      </c>
      <c r="N4213">
        <v>-1.3918389999999999E-2</v>
      </c>
      <c r="O4213">
        <v>-0.99305319999999997</v>
      </c>
      <c r="P4213">
        <v>0.2771651</v>
      </c>
      <c r="Q4213">
        <v>0.18052309999999999</v>
      </c>
      <c r="R4213">
        <v>-0.94371150000000004</v>
      </c>
      <c r="S4213">
        <v>1.4042049999999999</v>
      </c>
      <c r="T4213">
        <v>-0.1169395</v>
      </c>
      <c r="U4213">
        <v>-2.792084</v>
      </c>
      <c r="V4213">
        <v>-0.16635039999999901</v>
      </c>
      <c r="W4213">
        <v>0.19283790000000001</v>
      </c>
      <c r="X4213">
        <v>0.96702690000000002</v>
      </c>
      <c r="Y4213">
        <v>-0.34158250000000001</v>
      </c>
      <c r="Z4213">
        <v>2.4374239999999998E-2</v>
      </c>
      <c r="AA4213">
        <v>0.93953569999999997</v>
      </c>
      <c r="AB4213">
        <v>24</v>
      </c>
      <c r="AC4213">
        <v>13.3371</v>
      </c>
      <c r="AD4213">
        <v>-1.113506609461</v>
      </c>
      <c r="AE4213">
        <v>-26.340309999999999</v>
      </c>
      <c r="AF4213">
        <v>-10.153368868705099</v>
      </c>
      <c r="AG4213">
        <v>-1.113506609461</v>
      </c>
      <c r="AH4213">
        <v>27.678958702885101</v>
      </c>
      <c r="AI4213">
        <v>92.162944067926603</v>
      </c>
      <c r="AJ4213">
        <v>110.14436330684001</v>
      </c>
      <c r="AK4213">
        <v>29.5034837134417</v>
      </c>
      <c r="AL4213">
        <v>78.881552315876107</v>
      </c>
      <c r="AM4213">
        <v>99.760634244155099</v>
      </c>
      <c r="AN4213">
        <v>0.99999996829008897</v>
      </c>
    </row>
    <row r="4214" spans="1:40" x14ac:dyDescent="0.25">
      <c r="A4214" t="str">
        <f>"20190304155458585"</f>
        <v>20190304155458585</v>
      </c>
      <c r="B4214" t="str">
        <f>"1551686098571753"</f>
        <v>1551686098571753</v>
      </c>
      <c r="C4214" t="s">
        <v>40</v>
      </c>
      <c r="D4214">
        <v>4.1822460000000001</v>
      </c>
      <c r="E4214">
        <v>0.40827920000000001</v>
      </c>
      <c r="F4214" t="s">
        <v>84</v>
      </c>
      <c r="G4214">
        <v>-398.57389999999998</v>
      </c>
      <c r="H4214">
        <v>0.64067909999999995</v>
      </c>
      <c r="I4214">
        <v>0.69528959999999995</v>
      </c>
      <c r="J4214">
        <v>-421.48250000000002</v>
      </c>
      <c r="K4214">
        <v>1.113583</v>
      </c>
      <c r="L4214">
        <v>41.308929999999997</v>
      </c>
      <c r="M4214">
        <v>0.1219409</v>
      </c>
      <c r="N4214">
        <v>-1.3924509999999999E-2</v>
      </c>
      <c r="O4214">
        <v>-0.99243970000000004</v>
      </c>
      <c r="P4214">
        <v>0.28340379999999998</v>
      </c>
      <c r="Q4214">
        <v>0.1805274</v>
      </c>
      <c r="R4214">
        <v>-0.94185580000000002</v>
      </c>
      <c r="S4214">
        <v>1.5348820000000001</v>
      </c>
      <c r="T4214">
        <v>-3.1630520000000002E-2</v>
      </c>
      <c r="U4214">
        <v>-2.7341920000000002</v>
      </c>
      <c r="V4214">
        <v>-0.16782279999999999</v>
      </c>
      <c r="W4214">
        <v>0.1928018</v>
      </c>
      <c r="X4214">
        <v>0.96677970000000002</v>
      </c>
      <c r="Y4214">
        <v>-0.37945119999999999</v>
      </c>
      <c r="Z4214">
        <v>-3.2315550000000001E-3</v>
      </c>
      <c r="AA4214">
        <v>0.92520610000000003</v>
      </c>
      <c r="AB4214">
        <v>24</v>
      </c>
      <c r="AC4214">
        <v>22.9086</v>
      </c>
      <c r="AD4214">
        <v>-0.47290389999999899</v>
      </c>
      <c r="AE4214">
        <v>-40.613640400000001</v>
      </c>
      <c r="AF4214">
        <v>-17.782835107754799</v>
      </c>
      <c r="AG4214">
        <v>-0.47290389999999899</v>
      </c>
      <c r="AH4214">
        <v>43.099829568480999</v>
      </c>
      <c r="AI4214">
        <v>90.581123439160905</v>
      </c>
      <c r="AJ4214">
        <v>112.420868136075</v>
      </c>
      <c r="AK4214">
        <v>46.6266894750243</v>
      </c>
      <c r="AL4214">
        <v>78.883660689979195</v>
      </c>
      <c r="AM4214">
        <v>99.847812238131098</v>
      </c>
      <c r="AN4214">
        <v>1.0000000073075801</v>
      </c>
    </row>
    <row r="4215" spans="1:40" x14ac:dyDescent="0.25">
      <c r="A4215" t="str">
        <f>"20190304155458609"</f>
        <v>20190304155458609</v>
      </c>
      <c r="B4215" t="str">
        <f>"1551686098602008"</f>
        <v>1551686098602008</v>
      </c>
      <c r="C4215" t="s">
        <v>40</v>
      </c>
      <c r="D4215">
        <v>4.1743449999999998</v>
      </c>
      <c r="E4215">
        <v>0.407974</v>
      </c>
      <c r="F4215" t="s">
        <v>84</v>
      </c>
      <c r="G4215">
        <v>-398.29640000000001</v>
      </c>
      <c r="H4215">
        <v>0.72611359999999903</v>
      </c>
      <c r="I4215">
        <v>0.69811440000000002</v>
      </c>
      <c r="J4215">
        <v>-421.44049999999999</v>
      </c>
      <c r="K4215">
        <v>1.1136680000000001</v>
      </c>
      <c r="L4215">
        <v>41.02328</v>
      </c>
      <c r="M4215">
        <v>0.12772829999999999</v>
      </c>
      <c r="N4215">
        <v>-1.393143E-2</v>
      </c>
      <c r="O4215">
        <v>-0.99171149999999997</v>
      </c>
      <c r="P4215">
        <v>0.29026689999999999</v>
      </c>
      <c r="Q4215">
        <v>0.18057870000000001</v>
      </c>
      <c r="R4215">
        <v>-0.93975370000000003</v>
      </c>
      <c r="S4215">
        <v>1.554352</v>
      </c>
      <c r="T4215">
        <v>-2.5976900000000001E-2</v>
      </c>
      <c r="U4215">
        <v>-2.7224729999999999</v>
      </c>
      <c r="V4215">
        <v>-0.16927900000000001</v>
      </c>
      <c r="W4215">
        <v>0.19281209999999999</v>
      </c>
      <c r="X4215">
        <v>0.96652369999999999</v>
      </c>
      <c r="Y4215">
        <v>-0.38075759999999997</v>
      </c>
      <c r="Z4215">
        <v>-5.0378760000000002E-3</v>
      </c>
      <c r="AA4215">
        <v>0.92466119999999996</v>
      </c>
      <c r="AB4215">
        <v>24</v>
      </c>
      <c r="AC4215">
        <v>23.144099999999899</v>
      </c>
      <c r="AD4215">
        <v>-0.38755440000000002</v>
      </c>
      <c r="AE4215">
        <v>-40.325165599999998</v>
      </c>
      <c r="AF4215">
        <v>-17.802093466060601</v>
      </c>
      <c r="AG4215">
        <v>-0.38755440000000002</v>
      </c>
      <c r="AH4215">
        <v>42.948264786616598</v>
      </c>
      <c r="AI4215">
        <v>90.477607174358496</v>
      </c>
      <c r="AJ4215">
        <v>112.51404974913901</v>
      </c>
      <c r="AK4215">
        <v>46.493205722650004</v>
      </c>
      <c r="AL4215">
        <v>78.883058885930296</v>
      </c>
      <c r="AM4215">
        <v>99.934145660301795</v>
      </c>
      <c r="AN4215">
        <v>0.999999974204549</v>
      </c>
    </row>
    <row r="4216" spans="1:40" x14ac:dyDescent="0.25">
      <c r="A4216" t="str">
        <f>"20190304155458632"</f>
        <v>20190304155458632</v>
      </c>
      <c r="B4216" t="str">
        <f>"1551686098622036"</f>
        <v>1551686098622036</v>
      </c>
      <c r="C4216" t="s">
        <v>40</v>
      </c>
      <c r="D4216">
        <v>4.2144490000000001</v>
      </c>
      <c r="E4216">
        <v>0.40808650000000002</v>
      </c>
      <c r="F4216" t="s">
        <v>84</v>
      </c>
      <c r="G4216">
        <v>-397.98160000000001</v>
      </c>
      <c r="H4216">
        <v>0.81746030000000003</v>
      </c>
      <c r="I4216">
        <v>0.70131489999999996</v>
      </c>
      <c r="J4216">
        <v>-421.40519999999998</v>
      </c>
      <c r="K4216">
        <v>1.113723</v>
      </c>
      <c r="L4216">
        <v>40.792360000000002</v>
      </c>
      <c r="M4216">
        <v>0.13250729999999999</v>
      </c>
      <c r="N4216">
        <v>-1.393658E-2</v>
      </c>
      <c r="O4216">
        <v>-0.99108399999999996</v>
      </c>
      <c r="P4216">
        <v>0.29622900000000002</v>
      </c>
      <c r="Q4216">
        <v>0.18127860000000001</v>
      </c>
      <c r="R4216">
        <v>-0.93775620000000004</v>
      </c>
      <c r="S4216">
        <v>1.576233</v>
      </c>
      <c r="T4216">
        <v>-1.9904379999999999E-2</v>
      </c>
      <c r="U4216">
        <v>-2.7092900000000002</v>
      </c>
      <c r="V4216">
        <v>-0.17080999999999999</v>
      </c>
      <c r="W4216">
        <v>0.19347790000000001</v>
      </c>
      <c r="X4216">
        <v>0.96612129999999996</v>
      </c>
      <c r="Y4216">
        <v>-0.38383050000000002</v>
      </c>
      <c r="Z4216">
        <v>-6.983235E-3</v>
      </c>
      <c r="AA4216">
        <v>0.92337720000000001</v>
      </c>
      <c r="AB4216">
        <v>24</v>
      </c>
      <c r="AC4216">
        <v>23.423599999999901</v>
      </c>
      <c r="AD4216">
        <v>-0.29626269999999999</v>
      </c>
      <c r="AE4216">
        <v>-40.091045100000002</v>
      </c>
      <c r="AF4216">
        <v>-17.903409826906799</v>
      </c>
      <c r="AG4216">
        <v>-0.29626269999999999</v>
      </c>
      <c r="AH4216">
        <v>42.839809970219299</v>
      </c>
      <c r="AI4216">
        <v>90.365587513809103</v>
      </c>
      <c r="AJ4216">
        <v>112.68079376909201</v>
      </c>
      <c r="AK4216">
        <v>46.431338267404001</v>
      </c>
      <c r="AL4216">
        <v>78.844180229985199</v>
      </c>
      <c r="AM4216">
        <v>100.026268517975</v>
      </c>
      <c r="AN4216">
        <v>1.0000000601010399</v>
      </c>
    </row>
    <row r="4217" spans="1:40" x14ac:dyDescent="0.25">
      <c r="A4217" t="str">
        <f>"20190304155458653"</f>
        <v>20190304155458653</v>
      </c>
      <c r="B4217" t="str">
        <f>"1551686098641556"</f>
        <v>1551686098641556</v>
      </c>
      <c r="C4217" t="s">
        <v>40</v>
      </c>
      <c r="D4217">
        <v>4.1919449999999996</v>
      </c>
      <c r="E4217">
        <v>0.40851690000000002</v>
      </c>
      <c r="F4217" t="s">
        <v>84</v>
      </c>
      <c r="G4217">
        <v>-397.75290000000001</v>
      </c>
      <c r="H4217">
        <v>0.85751369999999905</v>
      </c>
      <c r="I4217">
        <v>0.70364190000000004</v>
      </c>
      <c r="J4217">
        <v>-421.37189999999998</v>
      </c>
      <c r="K4217">
        <v>1.1137629999999901</v>
      </c>
      <c r="L4217">
        <v>40.581510000000002</v>
      </c>
      <c r="M4217">
        <v>0.1369533</v>
      </c>
      <c r="N4217">
        <v>-1.3940839999999999E-2</v>
      </c>
      <c r="O4217">
        <v>-0.99047940000000001</v>
      </c>
      <c r="P4217">
        <v>0.30196339999999999</v>
      </c>
      <c r="Q4217">
        <v>0.18179239999999999</v>
      </c>
      <c r="R4217">
        <v>-0.93582560000000004</v>
      </c>
      <c r="S4217">
        <v>1.5926209999999901</v>
      </c>
      <c r="T4217">
        <v>-1.7253520000000001E-2</v>
      </c>
      <c r="U4217">
        <v>-2.6993710000000002</v>
      </c>
      <c r="V4217">
        <v>-0.17242939999999901</v>
      </c>
      <c r="W4217">
        <v>0.1939611</v>
      </c>
      <c r="X4217">
        <v>0.96573659999999995</v>
      </c>
      <c r="Y4217">
        <v>-0.3853278</v>
      </c>
      <c r="Z4217">
        <v>-7.8228250000000003E-3</v>
      </c>
      <c r="AA4217">
        <v>0.92274659999999997</v>
      </c>
      <c r="AB4217">
        <v>24</v>
      </c>
      <c r="AC4217">
        <v>23.6189999999999</v>
      </c>
      <c r="AD4217">
        <v>-0.25624929999999901</v>
      </c>
      <c r="AE4217">
        <v>-39.877868099999901</v>
      </c>
      <c r="AF4217">
        <v>-17.933921989657801</v>
      </c>
      <c r="AG4217">
        <v>-0.25624929999999901</v>
      </c>
      <c r="AH4217">
        <v>42.735753718447299</v>
      </c>
      <c r="AI4217">
        <v>90.316786574924095</v>
      </c>
      <c r="AJ4217">
        <v>112.765200844034</v>
      </c>
      <c r="AK4217">
        <v>46.346907852829503</v>
      </c>
      <c r="AL4217">
        <v>78.815959585018405</v>
      </c>
      <c r="AM4217">
        <v>100.123316816689</v>
      </c>
      <c r="AN4217">
        <v>0.99999999343856405</v>
      </c>
    </row>
    <row r="4218" spans="1:40" x14ac:dyDescent="0.25">
      <c r="A4218" t="str">
        <f>"20190304155458671"</f>
        <v>20190304155458671</v>
      </c>
      <c r="B4218" t="str">
        <f>"1551686098662052"</f>
        <v>1551686098662052</v>
      </c>
      <c r="C4218" t="s">
        <v>40</v>
      </c>
      <c r="D4218">
        <v>4.2183809999999999</v>
      </c>
      <c r="E4218">
        <v>0.408688</v>
      </c>
      <c r="F4218" t="s">
        <v>84</v>
      </c>
      <c r="G4218">
        <v>-397.5829</v>
      </c>
      <c r="H4218">
        <v>0.85586519999999999</v>
      </c>
      <c r="I4218">
        <v>0.70536989999999999</v>
      </c>
      <c r="J4218">
        <v>-421.34109999999998</v>
      </c>
      <c r="K4218">
        <v>1.113801</v>
      </c>
      <c r="L4218">
        <v>40.392760000000003</v>
      </c>
      <c r="M4218">
        <v>0.14100179999999901</v>
      </c>
      <c r="N4218">
        <v>-1.394463E-2</v>
      </c>
      <c r="O4218">
        <v>-0.98991119999999999</v>
      </c>
      <c r="P4218">
        <v>0.30726409999999998</v>
      </c>
      <c r="Q4218">
        <v>0.18193380000000001</v>
      </c>
      <c r="R4218">
        <v>-0.9340714</v>
      </c>
      <c r="S4218">
        <v>1.6054079999999999</v>
      </c>
      <c r="T4218">
        <v>-1.7406109999999999E-2</v>
      </c>
      <c r="U4218">
        <v>-2.691071</v>
      </c>
      <c r="V4218">
        <v>-0.17398259999999999</v>
      </c>
      <c r="W4218">
        <v>0.19407479999999999</v>
      </c>
      <c r="X4218">
        <v>0.96543509999999999</v>
      </c>
      <c r="Y4218">
        <v>-0.3860401</v>
      </c>
      <c r="Z4218">
        <v>-7.754108E-3</v>
      </c>
      <c r="AA4218">
        <v>0.92244939999999997</v>
      </c>
      <c r="AB4218">
        <v>24</v>
      </c>
      <c r="AC4218">
        <v>23.758199999999899</v>
      </c>
      <c r="AD4218">
        <v>-0.25793579999999999</v>
      </c>
      <c r="AE4218">
        <v>-39.687390100000002</v>
      </c>
      <c r="AF4218">
        <v>-17.923698979907499</v>
      </c>
      <c r="AG4218">
        <v>-0.25793579999999999</v>
      </c>
      <c r="AH4218">
        <v>42.6397579674139</v>
      </c>
      <c r="AI4218">
        <v>90.319508894364603</v>
      </c>
      <c r="AJ4218">
        <v>112.799537725204</v>
      </c>
      <c r="AK4218">
        <v>46.254453574968302</v>
      </c>
      <c r="AL4218">
        <v>78.8093184060684</v>
      </c>
      <c r="AM4218">
        <v>100.215716358458</v>
      </c>
      <c r="AN4218">
        <v>0.99999995270490305</v>
      </c>
    </row>
    <row r="4219" spans="1:40" x14ac:dyDescent="0.25">
      <c r="A4219" t="str">
        <f>"20190304155458690"</f>
        <v>20190304155458690</v>
      </c>
      <c r="B4219" t="str">
        <f>"1551686098681573"</f>
        <v>1551686098681573</v>
      </c>
      <c r="C4219" t="s">
        <v>40</v>
      </c>
      <c r="D4219">
        <v>4.199033</v>
      </c>
      <c r="E4219">
        <v>0.40889920000000002</v>
      </c>
      <c r="F4219" t="s">
        <v>84</v>
      </c>
      <c r="G4219">
        <v>-397.39679999999998</v>
      </c>
      <c r="H4219">
        <v>0.83565780000000001</v>
      </c>
      <c r="I4219">
        <v>0.70726389999999995</v>
      </c>
      <c r="J4219">
        <v>-421.30869999999999</v>
      </c>
      <c r="K4219">
        <v>1.1138399999999999</v>
      </c>
      <c r="L4219">
        <v>40.199190000000002</v>
      </c>
      <c r="M4219">
        <v>0.1452224</v>
      </c>
      <c r="N4219">
        <v>-1.3948830000000001E-2</v>
      </c>
      <c r="O4219">
        <v>-0.98930079999999998</v>
      </c>
      <c r="P4219">
        <v>0.31245460000000003</v>
      </c>
      <c r="Q4219">
        <v>0.18215519999999999</v>
      </c>
      <c r="R4219">
        <v>-0.93230460000000004</v>
      </c>
      <c r="S4219">
        <v>1.618744</v>
      </c>
      <c r="T4219">
        <v>-1.8805499999999999E-2</v>
      </c>
      <c r="U4219">
        <v>-2.682922</v>
      </c>
      <c r="V4219">
        <v>-0.175265</v>
      </c>
      <c r="W4219">
        <v>0.19426940000000001</v>
      </c>
      <c r="X4219">
        <v>0.96516400000000002</v>
      </c>
      <c r="Y4219">
        <v>-0.38670690000000002</v>
      </c>
      <c r="Z4219">
        <v>-7.2803059999999899E-3</v>
      </c>
      <c r="AA4219">
        <v>0.92217389999999999</v>
      </c>
      <c r="AB4219">
        <v>23</v>
      </c>
      <c r="AC4219">
        <v>23.911899999999999</v>
      </c>
      <c r="AD4219">
        <v>-0.27818219999999899</v>
      </c>
      <c r="AE4219">
        <v>-39.491926100000001</v>
      </c>
      <c r="AF4219">
        <v>-17.922040813313401</v>
      </c>
      <c r="AG4219">
        <v>-0.27818219999999899</v>
      </c>
      <c r="AH4219">
        <v>42.5445281974024</v>
      </c>
      <c r="AI4219">
        <v>90.345247782876001</v>
      </c>
      <c r="AJ4219">
        <v>112.843440037748</v>
      </c>
      <c r="AK4219">
        <v>46.166154396809397</v>
      </c>
      <c r="AL4219">
        <v>78.797952670418596</v>
      </c>
      <c r="AM4219">
        <v>100.292240423054</v>
      </c>
      <c r="AN4219">
        <v>0.99999998344867902</v>
      </c>
    </row>
    <row r="4220" spans="1:40" x14ac:dyDescent="0.25">
      <c r="A4220" t="str">
        <f>"20190304155458711"</f>
        <v>20190304155458711</v>
      </c>
      <c r="B4220" t="str">
        <f>"1551686098702068"</f>
        <v>1551686098702068</v>
      </c>
      <c r="C4220" t="s">
        <v>40</v>
      </c>
      <c r="D4220">
        <v>4.2612259999999997</v>
      </c>
      <c r="E4220">
        <v>0.4091593</v>
      </c>
      <c r="F4220" t="s">
        <v>84</v>
      </c>
      <c r="G4220">
        <v>-397.21570000000003</v>
      </c>
      <c r="H4220">
        <v>0.82737799999999995</v>
      </c>
      <c r="I4220">
        <v>0.70910640000000003</v>
      </c>
      <c r="J4220">
        <v>-421.27</v>
      </c>
      <c r="K4220">
        <v>1.1138939999999999</v>
      </c>
      <c r="L4220">
        <v>39.974640000000001</v>
      </c>
      <c r="M4220">
        <v>0.15020259999999999</v>
      </c>
      <c r="N4220">
        <v>-1.395419E-2</v>
      </c>
      <c r="O4220">
        <v>-0.98855669999999995</v>
      </c>
      <c r="P4220">
        <v>0.31840190000000002</v>
      </c>
      <c r="Q4220">
        <v>0.18224290000000001</v>
      </c>
      <c r="R4220">
        <v>-0.93027300000000002</v>
      </c>
      <c r="S4220">
        <v>1.631866</v>
      </c>
      <c r="T4220">
        <v>-1.9404290000000001E-2</v>
      </c>
      <c r="U4220">
        <v>-2.674744</v>
      </c>
      <c r="V4220">
        <v>-0.17659839999999999</v>
      </c>
      <c r="W4220">
        <v>0.1943269</v>
      </c>
      <c r="X4220">
        <v>0.96490940000000003</v>
      </c>
      <c r="Y4220">
        <v>-0.3866137</v>
      </c>
      <c r="Z4220">
        <v>-7.0646290000000002E-3</v>
      </c>
      <c r="AA4220">
        <v>0.92221470000000005</v>
      </c>
      <c r="AB4220">
        <v>23</v>
      </c>
      <c r="AC4220">
        <v>24.054299999999898</v>
      </c>
      <c r="AD4220">
        <v>-0.28651599999999999</v>
      </c>
      <c r="AE4220">
        <v>-39.265533599999998</v>
      </c>
      <c r="AF4220">
        <v>-17.8823040299079</v>
      </c>
      <c r="AG4220">
        <v>-0.28651599999999999</v>
      </c>
      <c r="AH4220">
        <v>42.431715810961698</v>
      </c>
      <c r="AI4220">
        <v>90.356512445609596</v>
      </c>
      <c r="AJ4220">
        <v>112.852368272155</v>
      </c>
      <c r="AK4220">
        <v>46.046817430725199</v>
      </c>
      <c r="AL4220">
        <v>78.794594852102705</v>
      </c>
      <c r="AM4220">
        <v>100.371527122706</v>
      </c>
      <c r="AN4220">
        <v>1.0000000445772601</v>
      </c>
    </row>
    <row r="4221" spans="1:40" x14ac:dyDescent="0.25">
      <c r="A4221" t="str">
        <f>"20190304155458734"</f>
        <v>20190304155458734</v>
      </c>
      <c r="B4221" t="str">
        <f>"1551686098721589"</f>
        <v>1551686098721589</v>
      </c>
      <c r="C4221" t="s">
        <v>40</v>
      </c>
      <c r="D4221">
        <v>4.2519970000000002</v>
      </c>
      <c r="E4221">
        <v>0.40938459999999899</v>
      </c>
      <c r="F4221" t="s">
        <v>84</v>
      </c>
      <c r="G4221">
        <v>-397.01749999999998</v>
      </c>
      <c r="H4221">
        <v>0.80623509999999998</v>
      </c>
      <c r="I4221">
        <v>0.71112059999999999</v>
      </c>
      <c r="J4221">
        <v>-421.22969999999998</v>
      </c>
      <c r="K4221">
        <v>1.1139479999999999</v>
      </c>
      <c r="L4221">
        <v>39.748840000000001</v>
      </c>
      <c r="M4221">
        <v>0.15530089999999999</v>
      </c>
      <c r="N4221">
        <v>-1.395976E-2</v>
      </c>
      <c r="O4221">
        <v>-0.98776870000000006</v>
      </c>
      <c r="P4221">
        <v>0.3243974</v>
      </c>
      <c r="Q4221">
        <v>0.18223690000000001</v>
      </c>
      <c r="R4221">
        <v>-0.92820049999999998</v>
      </c>
      <c r="S4221">
        <v>1.646393</v>
      </c>
      <c r="T4221">
        <v>-2.0887369999999999E-2</v>
      </c>
      <c r="U4221">
        <v>-2.6654360000000001</v>
      </c>
      <c r="V4221">
        <v>-0.17787439999999999</v>
      </c>
      <c r="W4221">
        <v>0.19428999999999999</v>
      </c>
      <c r="X4221">
        <v>0.96468240000000005</v>
      </c>
      <c r="Y4221">
        <v>-0.38693339999999998</v>
      </c>
      <c r="Z4221">
        <v>-6.5595250000000001E-3</v>
      </c>
      <c r="AA4221">
        <v>0.92208429999999997</v>
      </c>
      <c r="AB4221">
        <v>23</v>
      </c>
      <c r="AC4221">
        <v>24.212199999999999</v>
      </c>
      <c r="AD4221">
        <v>-0.30771290000000001</v>
      </c>
      <c r="AE4221">
        <v>-39.037719399999901</v>
      </c>
      <c r="AF4221">
        <v>-17.8543968284472</v>
      </c>
      <c r="AG4221">
        <v>-0.30771290000000001</v>
      </c>
      <c r="AH4221">
        <v>42.322633625205803</v>
      </c>
      <c r="AI4221">
        <v>90.383815205116505</v>
      </c>
      <c r="AJ4221">
        <v>112.873131672067</v>
      </c>
      <c r="AK4221">
        <v>45.935601555981499</v>
      </c>
      <c r="AL4221">
        <v>78.796749861358606</v>
      </c>
      <c r="AM4221">
        <v>100.447226035379</v>
      </c>
      <c r="AN4221">
        <v>1.00000001957255</v>
      </c>
    </row>
    <row r="4222" spans="1:40" x14ac:dyDescent="0.25">
      <c r="A4222" t="str">
        <f>"20190304155458756"</f>
        <v>20190304155458756</v>
      </c>
      <c r="B4222" t="str">
        <f>"1551686098751844"</f>
        <v>1551686098751844</v>
      </c>
      <c r="C4222" t="s">
        <v>40</v>
      </c>
      <c r="D4222">
        <v>4.3097110000000001</v>
      </c>
      <c r="E4222">
        <v>0.40979779999999999</v>
      </c>
      <c r="F4222" t="s">
        <v>84</v>
      </c>
      <c r="G4222">
        <v>-396.80470000000003</v>
      </c>
      <c r="H4222">
        <v>0.78768899999999997</v>
      </c>
      <c r="I4222">
        <v>0.71328349999999996</v>
      </c>
      <c r="J4222">
        <v>-421.18830000000003</v>
      </c>
      <c r="K4222">
        <v>1.114012</v>
      </c>
      <c r="L4222">
        <v>39.523710000000001</v>
      </c>
      <c r="M4222">
        <v>0.16048289999999901</v>
      </c>
      <c r="N4222">
        <v>-1.3965379999999999E-2</v>
      </c>
      <c r="O4222">
        <v>-0.98694000000000004</v>
      </c>
      <c r="P4222">
        <v>0.33092569999999999</v>
      </c>
      <c r="Q4222">
        <v>0.18217030000000001</v>
      </c>
      <c r="R4222">
        <v>-0.92590669999999997</v>
      </c>
      <c r="S4222">
        <v>1.6616820000000001</v>
      </c>
      <c r="T4222">
        <v>-2.219784E-2</v>
      </c>
      <c r="U4222">
        <v>-2.6556700000000002</v>
      </c>
      <c r="V4222">
        <v>-0.1796333</v>
      </c>
      <c r="W4222">
        <v>0.1941852</v>
      </c>
      <c r="X4222">
        <v>0.9643775</v>
      </c>
      <c r="Y4222">
        <v>-0.38743359999999999</v>
      </c>
      <c r="Z4222">
        <v>-6.1095019999999898E-3</v>
      </c>
      <c r="AA4222">
        <v>0.92187739999999996</v>
      </c>
      <c r="AB4222">
        <v>23</v>
      </c>
      <c r="AC4222">
        <v>24.383600000000001</v>
      </c>
      <c r="AD4222">
        <v>-0.32632299999999897</v>
      </c>
      <c r="AE4222">
        <v>-38.810426499999899</v>
      </c>
      <c r="AF4222">
        <v>-17.8375726697417</v>
      </c>
      <c r="AG4222">
        <v>-0.32632299999999897</v>
      </c>
      <c r="AH4222">
        <v>42.218683045717498</v>
      </c>
      <c r="AI4222">
        <v>90.407935679059406</v>
      </c>
      <c r="AJ4222">
        <v>112.904264027815</v>
      </c>
      <c r="AK4222">
        <v>45.833423214542897</v>
      </c>
      <c r="AL4222">
        <v>78.802870686627102</v>
      </c>
      <c r="AM4222">
        <v>100.551485309009</v>
      </c>
      <c r="AN4222">
        <v>0.99999998843708904</v>
      </c>
    </row>
    <row r="4223" spans="1:40" x14ac:dyDescent="0.25">
      <c r="A4223" t="str">
        <f>"20190304155458780"</f>
        <v>20190304155458780</v>
      </c>
      <c r="B4223" t="str">
        <f>"1551686098771364"</f>
        <v>1551686098771364</v>
      </c>
      <c r="C4223" t="s">
        <v>40</v>
      </c>
      <c r="D4223">
        <v>4.3427889999999998</v>
      </c>
      <c r="E4223">
        <v>0.41006300000000001</v>
      </c>
      <c r="F4223" t="s">
        <v>84</v>
      </c>
      <c r="G4223">
        <v>-396.58179999999999</v>
      </c>
      <c r="H4223">
        <v>0.75266429999999995</v>
      </c>
      <c r="I4223">
        <v>0.71555139999999995</v>
      </c>
      <c r="J4223">
        <v>-421.14240000000001</v>
      </c>
      <c r="K4223">
        <v>1.1140760000000001</v>
      </c>
      <c r="L4223">
        <v>39.281979999999997</v>
      </c>
      <c r="M4223">
        <v>0.16616939999999999</v>
      </c>
      <c r="N4223">
        <v>-1.3971829999999999E-2</v>
      </c>
      <c r="O4223">
        <v>-0.9859985</v>
      </c>
      <c r="P4223">
        <v>0.3379259</v>
      </c>
      <c r="Q4223">
        <v>0.18204670000000001</v>
      </c>
      <c r="R4223">
        <v>-0.92339899999999997</v>
      </c>
      <c r="S4223">
        <v>1.677338</v>
      </c>
      <c r="T4223">
        <v>-2.4633530000000001E-2</v>
      </c>
      <c r="U4223">
        <v>-2.645416</v>
      </c>
      <c r="V4223">
        <v>-0.1814067</v>
      </c>
      <c r="W4223">
        <v>0.1940201</v>
      </c>
      <c r="X4223">
        <v>0.96407869999999996</v>
      </c>
      <c r="Y4223">
        <v>-0.38762659999999999</v>
      </c>
      <c r="Z4223">
        <v>-5.2910980000000002E-3</v>
      </c>
      <c r="AA4223">
        <v>0.92180130000000005</v>
      </c>
      <c r="AB4223">
        <v>23</v>
      </c>
      <c r="AC4223">
        <v>24.560600000000001</v>
      </c>
      <c r="AD4223">
        <v>-0.3614117</v>
      </c>
      <c r="AE4223">
        <v>-38.566428600000002</v>
      </c>
      <c r="AF4223">
        <v>-17.808775556161901</v>
      </c>
      <c r="AG4223">
        <v>-0.3614117</v>
      </c>
      <c r="AH4223">
        <v>42.109129510785301</v>
      </c>
      <c r="AI4223">
        <v>90.452906168183205</v>
      </c>
      <c r="AJ4223">
        <v>112.92445379562101</v>
      </c>
      <c r="AK4223">
        <v>45.721569235785601</v>
      </c>
      <c r="AL4223">
        <v>78.812513349975902</v>
      </c>
      <c r="AM4223">
        <v>100.656506233456</v>
      </c>
      <c r="AN4223">
        <v>0.99999996490129395</v>
      </c>
    </row>
    <row r="4224" spans="1:40" x14ac:dyDescent="0.25">
      <c r="A4224" t="str">
        <f>"20190304155458804"</f>
        <v>20190304155458804</v>
      </c>
      <c r="B4224" t="str">
        <f>"1551686098801620"</f>
        <v>1551686098801620</v>
      </c>
      <c r="C4224" t="s">
        <v>40</v>
      </c>
      <c r="D4224">
        <v>4.2592089999999896</v>
      </c>
      <c r="E4224">
        <v>0.41008420000000001</v>
      </c>
      <c r="F4224" t="s">
        <v>84</v>
      </c>
      <c r="G4224">
        <v>-396.31439999999998</v>
      </c>
      <c r="H4224">
        <v>0.72514749999999994</v>
      </c>
      <c r="I4224">
        <v>0.71827319999999995</v>
      </c>
      <c r="J4224">
        <v>-421.09480000000002</v>
      </c>
      <c r="K4224">
        <v>1.1141559999999999</v>
      </c>
      <c r="L4224">
        <v>39.040619999999997</v>
      </c>
      <c r="M4224">
        <v>0.17200379999999901</v>
      </c>
      <c r="N4224">
        <v>-1.397954E-2</v>
      </c>
      <c r="O4224">
        <v>-0.98499729999999996</v>
      </c>
      <c r="P4224">
        <v>0.34493390000000002</v>
      </c>
      <c r="Q4224">
        <v>0.18238299999999999</v>
      </c>
      <c r="R4224">
        <v>-0.92073749999999999</v>
      </c>
      <c r="S4224">
        <v>1.695557</v>
      </c>
      <c r="T4224">
        <v>-2.6562450000000001E-2</v>
      </c>
      <c r="U4224">
        <v>-2.6336059999999999</v>
      </c>
      <c r="V4224">
        <v>-0.18307960000000001</v>
      </c>
      <c r="W4224">
        <v>0.19431100000000001</v>
      </c>
      <c r="X4224">
        <v>0.96370389999999995</v>
      </c>
      <c r="Y4224">
        <v>-0.38855869999999998</v>
      </c>
      <c r="Z4224">
        <v>-4.6362419999999996E-3</v>
      </c>
      <c r="AA4224">
        <v>0.92141229999999996</v>
      </c>
      <c r="AB4224">
        <v>23</v>
      </c>
      <c r="AC4224">
        <v>24.7804</v>
      </c>
      <c r="AD4224">
        <v>-0.38900849999999898</v>
      </c>
      <c r="AE4224">
        <v>-38.322346799999998</v>
      </c>
      <c r="AF4224">
        <v>-17.817480713866001</v>
      </c>
      <c r="AG4224">
        <v>-0.38900849999999898</v>
      </c>
      <c r="AH4224">
        <v>42.010775369989297</v>
      </c>
      <c r="AI4224">
        <v>90.488418917561603</v>
      </c>
      <c r="AJ4224">
        <v>112.982622546269</v>
      </c>
      <c r="AK4224">
        <v>45.634627135430399</v>
      </c>
      <c r="AL4224">
        <v>78.795523684555207</v>
      </c>
      <c r="AM4224">
        <v>100.75658181786601</v>
      </c>
      <c r="AN4224">
        <v>1.0000000557661799</v>
      </c>
    </row>
    <row r="4225" spans="1:40" x14ac:dyDescent="0.25">
      <c r="A4225" t="str">
        <f>"20190304155458826"</f>
        <v>20190304155458826</v>
      </c>
      <c r="B4225" t="str">
        <f>"1551686098822118"</f>
        <v>1551686098822118</v>
      </c>
      <c r="C4225" t="s">
        <v>40</v>
      </c>
      <c r="D4225">
        <v>4.259099</v>
      </c>
      <c r="E4225">
        <v>0.417935</v>
      </c>
      <c r="F4225" t="s">
        <v>84</v>
      </c>
      <c r="G4225">
        <v>-396.04</v>
      </c>
      <c r="H4225">
        <v>0.74997740000000002</v>
      </c>
      <c r="I4225">
        <v>0.77898409999999996</v>
      </c>
      <c r="J4225">
        <v>-421.04829999999998</v>
      </c>
      <c r="K4225">
        <v>1.1142369999999999</v>
      </c>
      <c r="L4225">
        <v>38.813020000000002</v>
      </c>
      <c r="M4225">
        <v>0.17765510000000001</v>
      </c>
      <c r="N4225">
        <v>-1.398807E-2</v>
      </c>
      <c r="O4225">
        <v>-0.98399349999999997</v>
      </c>
      <c r="P4225">
        <v>0.35210360000000002</v>
      </c>
      <c r="Q4225">
        <v>0.18230579999999999</v>
      </c>
      <c r="R4225">
        <v>-0.91803500000000005</v>
      </c>
      <c r="S4225">
        <v>1.715881</v>
      </c>
      <c r="T4225">
        <v>-2.4942639999999999E-2</v>
      </c>
      <c r="U4225">
        <v>-2.6203609999999999</v>
      </c>
      <c r="V4225">
        <v>-0.18510170000000001</v>
      </c>
      <c r="W4225">
        <v>0.1941843</v>
      </c>
      <c r="X4225">
        <v>0.96334299999999995</v>
      </c>
      <c r="Y4225">
        <v>-0.39040469999999999</v>
      </c>
      <c r="Z4225">
        <v>-5.1364219999999999E-3</v>
      </c>
      <c r="AA4225">
        <v>0.92062900000000003</v>
      </c>
      <c r="AB4225">
        <v>23</v>
      </c>
      <c r="AC4225">
        <v>25.008299999999899</v>
      </c>
      <c r="AD4225">
        <v>-0.36425960000000002</v>
      </c>
      <c r="AE4225">
        <v>-38.034035899999999</v>
      </c>
      <c r="AF4225">
        <v>-17.851665843053102</v>
      </c>
      <c r="AG4225">
        <v>-0.36425960000000002</v>
      </c>
      <c r="AH4225">
        <v>41.869507254518602</v>
      </c>
      <c r="AI4225">
        <v>90.458518636505104</v>
      </c>
      <c r="AJ4225">
        <v>113.091672129237</v>
      </c>
      <c r="AK4225">
        <v>45.517801969827303</v>
      </c>
      <c r="AL4225">
        <v>78.802922915930694</v>
      </c>
      <c r="AM4225">
        <v>100.87654677484799</v>
      </c>
      <c r="AN4225">
        <v>0.999999958679189</v>
      </c>
    </row>
    <row r="4226" spans="1:40" x14ac:dyDescent="0.25">
      <c r="A4226" t="str">
        <f>"20190304155458846"</f>
        <v>20190304155458846</v>
      </c>
      <c r="B4226" t="str">
        <f>"1551686098841636"</f>
        <v>1551686098841636</v>
      </c>
      <c r="C4226" t="s">
        <v>40</v>
      </c>
      <c r="D4226">
        <v>4.2636900000000004</v>
      </c>
      <c r="E4226">
        <v>0.41813090000000003</v>
      </c>
      <c r="F4226" t="s">
        <v>84</v>
      </c>
      <c r="G4226">
        <v>-396.76870000000002</v>
      </c>
      <c r="H4226">
        <v>0.25060300000000002</v>
      </c>
      <c r="I4226">
        <v>0.71364969999999905</v>
      </c>
      <c r="J4226">
        <v>-421.00709999999998</v>
      </c>
      <c r="K4226">
        <v>1.1143019999999999</v>
      </c>
      <c r="L4226">
        <v>38.616520000000001</v>
      </c>
      <c r="M4226">
        <v>0.18262999999999999</v>
      </c>
      <c r="N4226">
        <v>-1.39957E-2</v>
      </c>
      <c r="O4226">
        <v>-0.98308209999999996</v>
      </c>
      <c r="P4226">
        <v>0.3593114</v>
      </c>
      <c r="Q4226">
        <v>0.18193709999999999</v>
      </c>
      <c r="R4226">
        <v>-0.91531130000000005</v>
      </c>
      <c r="S4226">
        <v>1.679565</v>
      </c>
      <c r="T4226">
        <v>-5.9744480000000003E-2</v>
      </c>
      <c r="U4226">
        <v>-2.6355590000000002</v>
      </c>
      <c r="V4226">
        <v>-0.18782479999999999</v>
      </c>
      <c r="W4226">
        <v>0.19376370000000001</v>
      </c>
      <c r="X4226">
        <v>0.96290050000000005</v>
      </c>
      <c r="Y4226">
        <v>-0.37425969999999997</v>
      </c>
      <c r="Z4226">
        <v>6.2068419999999997E-3</v>
      </c>
      <c r="AA4226">
        <v>0.92730310000000005</v>
      </c>
      <c r="AB4226">
        <v>23</v>
      </c>
      <c r="AC4226">
        <v>24.238399999999899</v>
      </c>
      <c r="AD4226">
        <v>-0.86369899999999999</v>
      </c>
      <c r="AE4226">
        <v>-37.902870299999996</v>
      </c>
      <c r="AF4226">
        <v>-16.901562961314202</v>
      </c>
      <c r="AG4226">
        <v>-0.86369899999999999</v>
      </c>
      <c r="AH4226">
        <v>41.677015889377003</v>
      </c>
      <c r="AI4226">
        <v>91.100202805624505</v>
      </c>
      <c r="AJ4226">
        <v>112.07436414060901</v>
      </c>
      <c r="AK4226">
        <v>44.982023742171201</v>
      </c>
      <c r="AL4226">
        <v>78.827487997447307</v>
      </c>
      <c r="AM4226">
        <v>101.037602664087</v>
      </c>
      <c r="AN4226">
        <v>0.999999949916488</v>
      </c>
    </row>
    <row r="4227" spans="1:40" x14ac:dyDescent="0.25">
      <c r="A4227" t="str">
        <f>"20190304155458868"</f>
        <v>20190304155458868</v>
      </c>
      <c r="B4227" t="str">
        <f>"1551686098862132"</f>
        <v>1551686098862132</v>
      </c>
      <c r="C4227" t="s">
        <v>40</v>
      </c>
      <c r="D4227">
        <v>4.35283</v>
      </c>
      <c r="E4227">
        <v>0.41891909999999999</v>
      </c>
      <c r="F4227" t="s">
        <v>84</v>
      </c>
      <c r="G4227">
        <v>-396.45670000000001</v>
      </c>
      <c r="H4227">
        <v>0.22955200000000001</v>
      </c>
      <c r="I4227">
        <v>0.71682360000000001</v>
      </c>
      <c r="J4227">
        <v>-420.95780000000002</v>
      </c>
      <c r="K4227">
        <v>1.114374</v>
      </c>
      <c r="L4227">
        <v>38.388730000000002</v>
      </c>
      <c r="M4227">
        <v>0.188527</v>
      </c>
      <c r="N4227">
        <v>-1.4004300000000001E-2</v>
      </c>
      <c r="O4227">
        <v>-0.98196830000000002</v>
      </c>
      <c r="P4227">
        <v>0.36760320000000002</v>
      </c>
      <c r="Q4227">
        <v>0.18124979999999999</v>
      </c>
      <c r="R4227">
        <v>-0.91214949999999995</v>
      </c>
      <c r="S4227">
        <v>1.6989749999999999</v>
      </c>
      <c r="T4227">
        <v>-6.1229829999999999E-2</v>
      </c>
      <c r="U4227">
        <v>-2.6228030000000002</v>
      </c>
      <c r="V4227">
        <v>-0.19079380000000001</v>
      </c>
      <c r="W4227">
        <v>0.193018</v>
      </c>
      <c r="X4227">
        <v>0.9624665</v>
      </c>
      <c r="Y4227">
        <v>-0.37558180000000002</v>
      </c>
      <c r="Z4227">
        <v>6.7211270000000004E-3</v>
      </c>
      <c r="AA4227">
        <v>0.92676480000000006</v>
      </c>
      <c r="AB4227">
        <v>23</v>
      </c>
      <c r="AC4227">
        <v>24.501100000000001</v>
      </c>
      <c r="AD4227">
        <v>-0.884821999999999</v>
      </c>
      <c r="AE4227">
        <v>-37.671906399999997</v>
      </c>
      <c r="AF4227">
        <v>-16.952220570939001</v>
      </c>
      <c r="AG4227">
        <v>-0.884821999999999</v>
      </c>
      <c r="AH4227">
        <v>41.599684384327198</v>
      </c>
      <c r="AI4227">
        <v>91.128421437148106</v>
      </c>
      <c r="AJ4227">
        <v>112.17130807932701</v>
      </c>
      <c r="AK4227">
        <v>44.929883520137103</v>
      </c>
      <c r="AL4227">
        <v>78.871036049385197</v>
      </c>
      <c r="AM4227">
        <v>101.212619236443</v>
      </c>
      <c r="AN4227">
        <v>0.99999999303234499</v>
      </c>
    </row>
    <row r="4228" spans="1:40" x14ac:dyDescent="0.25">
      <c r="A4228" t="str">
        <f>"20190304155458890"</f>
        <v>20190304155458890</v>
      </c>
      <c r="B4228" t="str">
        <f>"1551686098881652"</f>
        <v>1551686098881652</v>
      </c>
      <c r="C4228" t="s">
        <v>40</v>
      </c>
      <c r="D4228">
        <v>4.3813259999999996</v>
      </c>
      <c r="E4228">
        <v>0.42020580000000002</v>
      </c>
      <c r="F4228" t="s">
        <v>47</v>
      </c>
      <c r="G4228">
        <v>-392.65519999999998</v>
      </c>
      <c r="H4228">
        <v>-0.05</v>
      </c>
      <c r="I4228">
        <v>-4.664536</v>
      </c>
      <c r="J4228">
        <v>-420.90890000000002</v>
      </c>
      <c r="K4228">
        <v>1.1144459999999901</v>
      </c>
      <c r="L4228">
        <v>38.169739999999997</v>
      </c>
      <c r="M4228">
        <v>0.19434580000000001</v>
      </c>
      <c r="N4228">
        <v>-1.4013070000000001E-2</v>
      </c>
      <c r="O4228">
        <v>-0.98083310000000001</v>
      </c>
      <c r="P4228">
        <v>0.3758976</v>
      </c>
      <c r="Q4228">
        <v>0.1799521</v>
      </c>
      <c r="R4228">
        <v>-0.90902059999999996</v>
      </c>
      <c r="S4228">
        <v>1.71655299999999</v>
      </c>
      <c r="T4228">
        <v>-7.0619109999999999E-2</v>
      </c>
      <c r="U4228">
        <v>-2.6111759999999999</v>
      </c>
      <c r="V4228">
        <v>-0.1938368</v>
      </c>
      <c r="W4228">
        <v>0.19166050000000001</v>
      </c>
      <c r="X4228">
        <v>0.96212969999999998</v>
      </c>
      <c r="Y4228">
        <v>-0.37631579999999998</v>
      </c>
      <c r="Z4228">
        <v>9.8082320000000001E-3</v>
      </c>
      <c r="AA4228">
        <v>0.92643960000000003</v>
      </c>
      <c r="AB4228">
        <v>23</v>
      </c>
      <c r="AC4228">
        <v>28.253699999999998</v>
      </c>
      <c r="AD4228">
        <v>-1.1644460000000001</v>
      </c>
      <c r="AE4228">
        <v>-42.834276000000003</v>
      </c>
      <c r="AF4228">
        <v>-19.379424351716601</v>
      </c>
      <c r="AG4228">
        <v>-1.1644460000000001</v>
      </c>
      <c r="AH4228">
        <v>47.4844700960968</v>
      </c>
      <c r="AI4228">
        <v>91.300653698796097</v>
      </c>
      <c r="AJ4228">
        <v>112.201418144794</v>
      </c>
      <c r="AK4228">
        <v>51.3000284892507</v>
      </c>
      <c r="AL4228">
        <v>78.950295105427799</v>
      </c>
      <c r="AM4228">
        <v>101.390696293972</v>
      </c>
      <c r="AN4228">
        <v>1.0000000059582801</v>
      </c>
    </row>
    <row r="4229" spans="1:40" x14ac:dyDescent="0.25">
      <c r="A4229" t="str">
        <f>"20190304155458912"</f>
        <v>20190304155458912</v>
      </c>
      <c r="B4229" t="str">
        <f>"1551686098902148"</f>
        <v>1551686098902148</v>
      </c>
      <c r="C4229" t="s">
        <v>40</v>
      </c>
      <c r="D4229">
        <v>4.1739100000000002</v>
      </c>
      <c r="E4229">
        <v>0.42043359999999902</v>
      </c>
      <c r="F4229" t="s">
        <v>46</v>
      </c>
      <c r="G4229">
        <v>-399.27089999999998</v>
      </c>
      <c r="H4229">
        <v>7.9985710000000002E-2</v>
      </c>
      <c r="I4229">
        <v>5.6408120000000004</v>
      </c>
      <c r="J4229">
        <v>-420.85820000000001</v>
      </c>
      <c r="K4229">
        <v>1.114528</v>
      </c>
      <c r="L4229">
        <v>37.949620000000003</v>
      </c>
      <c r="M4229">
        <v>0.2003548</v>
      </c>
      <c r="N4229">
        <v>-1.4023549999999999E-2</v>
      </c>
      <c r="O4229">
        <v>-0.97962309999999997</v>
      </c>
      <c r="P4229">
        <v>0.38463649999999999</v>
      </c>
      <c r="Q4229">
        <v>0.178876799999999</v>
      </c>
      <c r="R4229">
        <v>-0.90557049999999994</v>
      </c>
      <c r="S4229">
        <v>1.7302550000000001</v>
      </c>
      <c r="T4229">
        <v>-8.2719329999999994E-2</v>
      </c>
      <c r="U4229">
        <v>-2.6011350000000002</v>
      </c>
      <c r="V4229">
        <v>-0.1972025</v>
      </c>
      <c r="W4229">
        <v>0.19051570000000001</v>
      </c>
      <c r="X4229">
        <v>0.961673</v>
      </c>
      <c r="Y4229">
        <v>-0.37563210000000002</v>
      </c>
      <c r="Z4229">
        <v>1.3777660000000001E-2</v>
      </c>
      <c r="AA4229">
        <v>0.9266664</v>
      </c>
      <c r="AB4229">
        <v>23</v>
      </c>
      <c r="AC4229">
        <v>21.587299999999999</v>
      </c>
      <c r="AD4229">
        <v>-1.0345422900000001</v>
      </c>
      <c r="AE4229">
        <v>-32.308807999999999</v>
      </c>
      <c r="AF4229">
        <v>-14.6652396849864</v>
      </c>
      <c r="AG4229">
        <v>-1.0345422900000001</v>
      </c>
      <c r="AH4229">
        <v>35.953623725791303</v>
      </c>
      <c r="AI4229">
        <v>91.526180950205003</v>
      </c>
      <c r="AJ4229">
        <v>112.190214839231</v>
      </c>
      <c r="AK4229">
        <v>38.843308198242902</v>
      </c>
      <c r="AL4229">
        <v>79.017118710579595</v>
      </c>
      <c r="AM4229">
        <v>101.588530182432</v>
      </c>
      <c r="AN4229">
        <v>1.00000000844087</v>
      </c>
    </row>
    <row r="4230" spans="1:40" x14ac:dyDescent="0.25">
      <c r="A4230" t="str">
        <f>"20190304155458935"</f>
        <v>20190304155458935</v>
      </c>
      <c r="B4230" t="str">
        <f>"1551686098931429"</f>
        <v>1551686098931429</v>
      </c>
      <c r="C4230" t="s">
        <v>40</v>
      </c>
      <c r="D4230">
        <v>4.3676130000000004</v>
      </c>
      <c r="E4230">
        <v>0.38918910000000001</v>
      </c>
      <c r="F4230" t="s">
        <v>74</v>
      </c>
      <c r="G4230">
        <v>-400.22890000000001</v>
      </c>
      <c r="H4230">
        <v>7.9987269999999999E-2</v>
      </c>
      <c r="I4230">
        <v>7.5377809999999998</v>
      </c>
      <c r="J4230">
        <v>-420.80500000000001</v>
      </c>
      <c r="K4230">
        <v>1.1146320000000001</v>
      </c>
      <c r="L4230">
        <v>37.725920000000002</v>
      </c>
      <c r="M4230">
        <v>0.20664920000000001</v>
      </c>
      <c r="N4230">
        <v>-1.403653E-2</v>
      </c>
      <c r="O4230">
        <v>-0.97831449999999998</v>
      </c>
      <c r="P4230">
        <v>0.3933876</v>
      </c>
      <c r="Q4230">
        <v>0.17696789999999901</v>
      </c>
      <c r="R4230">
        <v>-0.90217999999999998</v>
      </c>
      <c r="S4230">
        <v>1.7537229999999999</v>
      </c>
      <c r="T4230">
        <v>-8.7947960000000006E-2</v>
      </c>
      <c r="U4230">
        <v>-2.5853579999999998</v>
      </c>
      <c r="V4230">
        <v>-0.2002932</v>
      </c>
      <c r="W4230">
        <v>0.18853429999999999</v>
      </c>
      <c r="X4230">
        <v>0.96142470000000002</v>
      </c>
      <c r="Y4230">
        <v>-0.37804130000000002</v>
      </c>
      <c r="Z4230">
        <v>1.551437E-2</v>
      </c>
      <c r="AA4230">
        <v>0.92565869999999995</v>
      </c>
      <c r="AB4230">
        <v>23</v>
      </c>
      <c r="AC4230">
        <v>20.5761</v>
      </c>
      <c r="AD4230">
        <v>-1.0346447299999999</v>
      </c>
      <c r="AE4230">
        <v>-30.188139</v>
      </c>
      <c r="AF4230">
        <v>-13.881775852613901</v>
      </c>
      <c r="AG4230">
        <v>-1.0346447299999999</v>
      </c>
      <c r="AH4230">
        <v>33.761776023024197</v>
      </c>
      <c r="AI4230">
        <v>91.6235065429846</v>
      </c>
      <c r="AJ4230">
        <v>112.350916757134</v>
      </c>
      <c r="AK4230">
        <v>36.518922639754699</v>
      </c>
      <c r="AL4230">
        <v>79.132740041303506</v>
      </c>
      <c r="AM4230">
        <v>101.76808260146299</v>
      </c>
      <c r="AN4230">
        <v>1.0000000010064001</v>
      </c>
    </row>
    <row r="4231" spans="1:40" x14ac:dyDescent="0.25">
      <c r="A4231" t="str">
        <f>"20190304155458958"</f>
        <v>20190304155458958</v>
      </c>
      <c r="B4231" t="str">
        <f>"1551686098951924"</f>
        <v>1551686098951924</v>
      </c>
      <c r="C4231" t="s">
        <v>40</v>
      </c>
      <c r="D4231">
        <v>4.3070529999999998</v>
      </c>
      <c r="E4231">
        <v>0.38640000000000002</v>
      </c>
      <c r="F4231" t="s">
        <v>84</v>
      </c>
      <c r="G4231">
        <v>-390.45080000000002</v>
      </c>
      <c r="H4231">
        <v>2.1557559999999998</v>
      </c>
      <c r="I4231">
        <v>0.7779083</v>
      </c>
      <c r="J4231">
        <v>-420.74869999999999</v>
      </c>
      <c r="K4231">
        <v>1.114757</v>
      </c>
      <c r="L4231">
        <v>37.496609999999997</v>
      </c>
      <c r="M4231">
        <v>0.21331720000000001</v>
      </c>
      <c r="N4231">
        <v>-1.405238E-2</v>
      </c>
      <c r="O4231">
        <v>-0.97688220000000003</v>
      </c>
      <c r="P4231">
        <v>0.40235349999999998</v>
      </c>
      <c r="Q4231">
        <v>0.17539189999999999</v>
      </c>
      <c r="R4231">
        <v>-0.89852649999999901</v>
      </c>
      <c r="S4231">
        <v>2.003174</v>
      </c>
      <c r="T4231">
        <v>6.8705559999999999E-2</v>
      </c>
      <c r="U4231">
        <v>-2.4383240000000002</v>
      </c>
      <c r="V4231">
        <v>-0.20329549999999999</v>
      </c>
      <c r="W4231">
        <v>0.18687580000000001</v>
      </c>
      <c r="X4231">
        <v>0.96111829999999998</v>
      </c>
      <c r="Y4231">
        <v>-0.4549492</v>
      </c>
      <c r="Z4231">
        <v>-3.5385939999999998E-2</v>
      </c>
      <c r="AA4231">
        <v>0.88981409999999905</v>
      </c>
      <c r="AB4231">
        <v>23</v>
      </c>
      <c r="AC4231">
        <v>30.297899999999899</v>
      </c>
      <c r="AD4231">
        <v>1.040999</v>
      </c>
      <c r="AE4231">
        <v>-36.718701699999997</v>
      </c>
      <c r="AF4231">
        <v>-21.756488396884301</v>
      </c>
      <c r="AG4231">
        <v>1.040999</v>
      </c>
      <c r="AH4231">
        <v>42.316843069345197</v>
      </c>
      <c r="AI4231">
        <v>88.746686542900903</v>
      </c>
      <c r="AJ4231">
        <v>117.20919455833899</v>
      </c>
      <c r="AK4231">
        <v>47.593525543264299</v>
      </c>
      <c r="AL4231">
        <v>79.229484749715397</v>
      </c>
      <c r="AM4231">
        <v>101.94315086734601</v>
      </c>
      <c r="AN4231">
        <v>1.0000000057703899</v>
      </c>
    </row>
    <row r="4232" spans="1:40" x14ac:dyDescent="0.25">
      <c r="A4232" t="str">
        <f>"20190304155458980"</f>
        <v>20190304155458980</v>
      </c>
      <c r="B4232" t="str">
        <f>"1551686098971445"</f>
        <v>1551686098971445</v>
      </c>
      <c r="C4232" t="s">
        <v>40</v>
      </c>
      <c r="D4232">
        <v>4.2972919999999997</v>
      </c>
      <c r="E4232">
        <v>0.38916699999999999</v>
      </c>
      <c r="F4232" t="s">
        <v>84</v>
      </c>
      <c r="G4232">
        <v>-389.48910000000001</v>
      </c>
      <c r="H4232">
        <v>2.484213</v>
      </c>
      <c r="I4232">
        <v>0.78768919999999998</v>
      </c>
      <c r="J4232">
        <v>-420.69439999999997</v>
      </c>
      <c r="K4232">
        <v>1.1149</v>
      </c>
      <c r="L4232">
        <v>37.282780000000002</v>
      </c>
      <c r="M4232">
        <v>0.21975600000000001</v>
      </c>
      <c r="N4232">
        <v>-1.406936E-2</v>
      </c>
      <c r="O4232">
        <v>-0.97545340000000003</v>
      </c>
      <c r="P4232">
        <v>0.41109119999999999</v>
      </c>
      <c r="Q4232">
        <v>0.17426710000000001</v>
      </c>
      <c r="R4232">
        <v>-0.89478189999999902</v>
      </c>
      <c r="S4232">
        <v>2.0475159999999999</v>
      </c>
      <c r="T4232">
        <v>8.9698199999999895E-2</v>
      </c>
      <c r="U4232">
        <v>-2.4044490000000001</v>
      </c>
      <c r="V4232">
        <v>-0.2063323</v>
      </c>
      <c r="W4232">
        <v>0.18566289999999999</v>
      </c>
      <c r="X4232">
        <v>0.96070610000000001</v>
      </c>
      <c r="Y4232">
        <v>-0.4646072</v>
      </c>
      <c r="Z4232">
        <v>-4.2190480000000002E-2</v>
      </c>
      <c r="AA4232">
        <v>0.88451119999999905</v>
      </c>
      <c r="AB4232">
        <v>23</v>
      </c>
      <c r="AC4232">
        <v>31.205299999999902</v>
      </c>
      <c r="AD4232">
        <v>1.369313</v>
      </c>
      <c r="AE4232">
        <v>-36.4950907999999</v>
      </c>
      <c r="AF4232">
        <v>-22.4033013721318</v>
      </c>
      <c r="AG4232">
        <v>1.369313</v>
      </c>
      <c r="AH4232">
        <v>42.4265131905183</v>
      </c>
      <c r="AI4232">
        <v>88.365207397901699</v>
      </c>
      <c r="AJ4232">
        <v>117.836274161094</v>
      </c>
      <c r="AK4232">
        <v>47.997832784072202</v>
      </c>
      <c r="AL4232">
        <v>79.300216323481493</v>
      </c>
      <c r="AM4232">
        <v>102.12136650190099</v>
      </c>
      <c r="AN4232">
        <v>0.99999997051845402</v>
      </c>
    </row>
    <row r="4233" spans="1:40" x14ac:dyDescent="0.25">
      <c r="A4233" t="str">
        <f>"20190304155459004"</f>
        <v>20190304155459004</v>
      </c>
      <c r="B4233" t="str">
        <f>"1551686098991940"</f>
        <v>1551686098991940</v>
      </c>
      <c r="C4233" t="s">
        <v>40</v>
      </c>
      <c r="D4233">
        <v>4.273434</v>
      </c>
      <c r="E4233">
        <v>0.39286939999999998</v>
      </c>
      <c r="F4233" t="s">
        <v>84</v>
      </c>
      <c r="G4233">
        <v>-389.41820000000001</v>
      </c>
      <c r="H4233">
        <v>2.5150359999999998</v>
      </c>
      <c r="I4233">
        <v>0.78841019999999995</v>
      </c>
      <c r="J4233">
        <v>-420.63459999999998</v>
      </c>
      <c r="K4233">
        <v>1.1150690000000001</v>
      </c>
      <c r="L4233">
        <v>37.055109999999999</v>
      </c>
      <c r="M4233">
        <v>0.22688</v>
      </c>
      <c r="N4233">
        <v>-1.408979E-2</v>
      </c>
      <c r="O4233">
        <v>-0.97382080000000004</v>
      </c>
      <c r="P4233">
        <v>0.42088579999999998</v>
      </c>
      <c r="Q4233">
        <v>0.17518010000000001</v>
      </c>
      <c r="R4233">
        <v>-0.89003750000000004</v>
      </c>
      <c r="S4233">
        <v>2.0506289999999998</v>
      </c>
      <c r="T4233">
        <v>9.1798539999999998E-2</v>
      </c>
      <c r="U4233">
        <v>-2.3927610000000001</v>
      </c>
      <c r="V4233">
        <v>-0.20998230000000001</v>
      </c>
      <c r="W4233">
        <v>0.18646499999999999</v>
      </c>
      <c r="X4233">
        <v>0.95975949999999999</v>
      </c>
      <c r="Y4233">
        <v>-0.46090579999999998</v>
      </c>
      <c r="Z4233">
        <v>-4.2906470000000002E-2</v>
      </c>
      <c r="AA4233">
        <v>0.88641119999999995</v>
      </c>
      <c r="AB4233">
        <v>23</v>
      </c>
      <c r="AC4233">
        <v>31.216399999999901</v>
      </c>
      <c r="AD4233">
        <v>1.399967</v>
      </c>
      <c r="AE4233">
        <v>-36.266699799999998</v>
      </c>
      <c r="AF4233">
        <v>-22.1542287555462</v>
      </c>
      <c r="AG4233">
        <v>1.399967</v>
      </c>
      <c r="AH4233">
        <v>42.367587887645897</v>
      </c>
      <c r="AI4233">
        <v>88.322760371131906</v>
      </c>
      <c r="AJ4233">
        <v>117.605298519724</v>
      </c>
      <c r="AK4233">
        <v>47.830766905534396</v>
      </c>
      <c r="AL4233">
        <v>79.253443244954795</v>
      </c>
      <c r="AM4233">
        <v>102.341076115473</v>
      </c>
      <c r="AN4233">
        <v>1.00000003018926</v>
      </c>
    </row>
    <row r="4234" spans="1:40" x14ac:dyDescent="0.25">
      <c r="A4234" t="str">
        <f>"20190304155459026"</f>
        <v>20190304155459026</v>
      </c>
      <c r="B4234" t="str">
        <f>"1551686099022197"</f>
        <v>1551686099022197</v>
      </c>
      <c r="C4234" t="s">
        <v>40</v>
      </c>
      <c r="D4234">
        <v>4.2980150000000004</v>
      </c>
      <c r="E4234">
        <v>0.39708840000000001</v>
      </c>
      <c r="F4234" t="s">
        <v>84</v>
      </c>
      <c r="G4234">
        <v>-389.42919999999998</v>
      </c>
      <c r="H4234">
        <v>2.5937990000000002</v>
      </c>
      <c r="I4234">
        <v>0.78829959999999999</v>
      </c>
      <c r="J4234">
        <v>-420.57670000000002</v>
      </c>
      <c r="K4234">
        <v>1.1152280000000001</v>
      </c>
      <c r="L4234">
        <v>36.841920000000002</v>
      </c>
      <c r="M4234">
        <v>0.2338046</v>
      </c>
      <c r="N4234">
        <v>-1.411104E-2</v>
      </c>
      <c r="O4234">
        <v>-0.97218130000000003</v>
      </c>
      <c r="P4234">
        <v>0.43058170000000001</v>
      </c>
      <c r="Q4234">
        <v>0.17716999999999999</v>
      </c>
      <c r="R4234">
        <v>-0.8849918</v>
      </c>
      <c r="S4234">
        <v>2.049744</v>
      </c>
      <c r="T4234">
        <v>9.7129339999999995E-2</v>
      </c>
      <c r="U4234">
        <v>-2.3822019999999999</v>
      </c>
      <c r="V4234">
        <v>-0.21382419999999999</v>
      </c>
      <c r="W4234">
        <v>0.18834129999999999</v>
      </c>
      <c r="X4234">
        <v>0.95854410000000001</v>
      </c>
      <c r="Y4234">
        <v>-0.45628629999999998</v>
      </c>
      <c r="Z4234">
        <v>-4.4694610000000003E-2</v>
      </c>
      <c r="AA4234">
        <v>0.88870979999999999</v>
      </c>
      <c r="AB4234">
        <v>23</v>
      </c>
      <c r="AC4234">
        <v>31.147500000000001</v>
      </c>
      <c r="AD4234">
        <v>1.4785709999999901</v>
      </c>
      <c r="AE4234">
        <v>-36.0536204</v>
      </c>
      <c r="AF4234">
        <v>-21.8326623860704</v>
      </c>
      <c r="AG4234">
        <v>1.4785709999999901</v>
      </c>
      <c r="AH4234">
        <v>42.296561527671599</v>
      </c>
      <c r="AI4234">
        <v>88.220789177212396</v>
      </c>
      <c r="AJ4234">
        <v>117.301902994475</v>
      </c>
      <c r="AK4234">
        <v>47.621953300240499</v>
      </c>
      <c r="AL4234">
        <v>79.143999973397797</v>
      </c>
      <c r="AM4234">
        <v>102.575188288172</v>
      </c>
      <c r="AN4234">
        <v>1.0000000127180699</v>
      </c>
    </row>
    <row r="4235" spans="1:40" x14ac:dyDescent="0.25">
      <c r="A4235" t="str">
        <f>"20190304155459047"</f>
        <v>20190304155459047</v>
      </c>
      <c r="B4235" t="str">
        <f>"1551686099041720"</f>
        <v>1551686099041720</v>
      </c>
      <c r="C4235" t="s">
        <v>40</v>
      </c>
      <c r="D4235">
        <v>4.2701390000000004</v>
      </c>
      <c r="E4235">
        <v>0.39937539999999999</v>
      </c>
      <c r="F4235" t="s">
        <v>84</v>
      </c>
      <c r="G4235">
        <v>-389.49930000000001</v>
      </c>
      <c r="H4235">
        <v>2.6853910000000001</v>
      </c>
      <c r="I4235">
        <v>0.78758809999999901</v>
      </c>
      <c r="J4235">
        <v>-420.51609999999999</v>
      </c>
      <c r="K4235">
        <v>1.115372</v>
      </c>
      <c r="L4235">
        <v>36.626399999999997</v>
      </c>
      <c r="M4235">
        <v>0.2410176</v>
      </c>
      <c r="N4235">
        <v>-1.4132840000000001E-2</v>
      </c>
      <c r="O4235">
        <v>-0.970418</v>
      </c>
      <c r="P4235">
        <v>0.44011860000000003</v>
      </c>
      <c r="Q4235">
        <v>0.17845620000000001</v>
      </c>
      <c r="R4235">
        <v>-0.88002809999999898</v>
      </c>
      <c r="S4235">
        <v>2.0460210000000001</v>
      </c>
      <c r="T4235">
        <v>0.1033722</v>
      </c>
      <c r="U4235">
        <v>-2.373688</v>
      </c>
      <c r="V4235">
        <v>-0.21720809999999999</v>
      </c>
      <c r="W4235">
        <v>0.18952740000000001</v>
      </c>
      <c r="X4235">
        <v>0.95754890000000004</v>
      </c>
      <c r="Y4235">
        <v>-0.45038600000000001</v>
      </c>
      <c r="Z4235">
        <v>-4.6783859999999997E-2</v>
      </c>
      <c r="AA4235">
        <v>0.89160740000000005</v>
      </c>
      <c r="AB4235">
        <v>23</v>
      </c>
      <c r="AC4235">
        <v>31.0167999999999</v>
      </c>
      <c r="AD4235">
        <v>1.5700190000000001</v>
      </c>
      <c r="AE4235">
        <v>-35.838811900000003</v>
      </c>
      <c r="AF4235">
        <v>-21.4400914383607</v>
      </c>
      <c r="AG4235">
        <v>1.5700190000000001</v>
      </c>
      <c r="AH4235">
        <v>42.212118908066799</v>
      </c>
      <c r="AI4235">
        <v>88.100693182395005</v>
      </c>
      <c r="AJ4235">
        <v>116.926615247073</v>
      </c>
      <c r="AK4235">
        <v>47.370934793968303</v>
      </c>
      <c r="AL4235">
        <v>79.074794296315403</v>
      </c>
      <c r="AM4235">
        <v>102.78055770863701</v>
      </c>
      <c r="AN4235">
        <v>0.99999994497378797</v>
      </c>
    </row>
    <row r="4236" spans="1:40" x14ac:dyDescent="0.25">
      <c r="A4236" t="str">
        <f>"20190304155459070"</f>
        <v>20190304155459070</v>
      </c>
      <c r="B4236" t="str">
        <f>"1551686099062212"</f>
        <v>1551686099062212</v>
      </c>
      <c r="C4236" t="s">
        <v>40</v>
      </c>
      <c r="D4236">
        <v>4.2792770000000004</v>
      </c>
      <c r="E4236">
        <v>0.40144079999999999</v>
      </c>
      <c r="F4236" t="s">
        <v>84</v>
      </c>
      <c r="G4236">
        <v>-389.2944</v>
      </c>
      <c r="H4236">
        <v>2.7198760000000002</v>
      </c>
      <c r="I4236">
        <v>0.78967089999999995</v>
      </c>
      <c r="J4236">
        <v>-420.45460000000003</v>
      </c>
      <c r="K4236">
        <v>1.1154820000000001</v>
      </c>
      <c r="L4236">
        <v>36.41431</v>
      </c>
      <c r="M4236">
        <v>0.24831839999999999</v>
      </c>
      <c r="N4236">
        <v>-1.4153199999999999E-2</v>
      </c>
      <c r="O4236">
        <v>-0.96857539999999998</v>
      </c>
      <c r="P4236">
        <v>0.44916929999999999</v>
      </c>
      <c r="Q4236">
        <v>0.17865139999999999</v>
      </c>
      <c r="R4236">
        <v>-0.87540359999999995</v>
      </c>
      <c r="S4236">
        <v>2.0556640000000002</v>
      </c>
      <c r="T4236">
        <v>0.1056405</v>
      </c>
      <c r="U4236">
        <v>-2.3595280000000001</v>
      </c>
      <c r="V4236">
        <v>-0.21994140000000001</v>
      </c>
      <c r="W4236">
        <v>0.18964210000000001</v>
      </c>
      <c r="X4236">
        <v>0.95690209999999998</v>
      </c>
      <c r="Y4236">
        <v>-0.44835619999999998</v>
      </c>
      <c r="Z4236">
        <v>-4.7533390000000002E-2</v>
      </c>
      <c r="AA4236">
        <v>0.8925902</v>
      </c>
      <c r="AB4236">
        <v>23</v>
      </c>
      <c r="AC4236">
        <v>31.1602</v>
      </c>
      <c r="AD4236">
        <v>1.6043940000000001</v>
      </c>
      <c r="AE4236">
        <v>-35.624639100000003</v>
      </c>
      <c r="AF4236">
        <v>-21.3123898523869</v>
      </c>
      <c r="AG4236">
        <v>1.6043940000000001</v>
      </c>
      <c r="AH4236">
        <v>42.198527387848898</v>
      </c>
      <c r="AI4236">
        <v>88.056275573121695</v>
      </c>
      <c r="AJ4236">
        <v>116.796083763517</v>
      </c>
      <c r="AK4236">
        <v>47.302301794208603</v>
      </c>
      <c r="AL4236">
        <v>79.068101552257104</v>
      </c>
      <c r="AM4236">
        <v>102.944456787494</v>
      </c>
      <c r="AN4236">
        <v>0.99999998725538997</v>
      </c>
    </row>
    <row r="4237" spans="1:40" x14ac:dyDescent="0.25">
      <c r="A4237" t="str">
        <f>"20190304155459091"</f>
        <v>20190304155459091</v>
      </c>
      <c r="B4237" t="str">
        <f>"1551686099081732"</f>
        <v>1551686099081732</v>
      </c>
      <c r="C4237" t="s">
        <v>40</v>
      </c>
      <c r="D4237">
        <v>4.1765639999999999</v>
      </c>
      <c r="E4237">
        <v>0.40236949999999999</v>
      </c>
      <c r="F4237" t="s">
        <v>84</v>
      </c>
      <c r="G4237">
        <v>-389.09190000000001</v>
      </c>
      <c r="H4237">
        <v>2.6891530000000001</v>
      </c>
      <c r="I4237">
        <v>0.79173280000000001</v>
      </c>
      <c r="J4237">
        <v>-420.3904</v>
      </c>
      <c r="K4237">
        <v>1.1155919999999999</v>
      </c>
      <c r="L4237">
        <v>36.199919999999999</v>
      </c>
      <c r="M4237">
        <v>0.25590839999999998</v>
      </c>
      <c r="N4237">
        <v>-1.4173389999999999E-2</v>
      </c>
      <c r="O4237">
        <v>-0.96659729999999999</v>
      </c>
      <c r="P4237">
        <v>0.45780189999999998</v>
      </c>
      <c r="Q4237">
        <v>0.1785582</v>
      </c>
      <c r="R4237">
        <v>-0.87093889999999996</v>
      </c>
      <c r="S4237">
        <v>2.0654910000000002</v>
      </c>
      <c r="T4237">
        <v>0.10363749999999999</v>
      </c>
      <c r="U4237">
        <v>-2.3460390000000002</v>
      </c>
      <c r="V4237">
        <v>-0.22194369999999999</v>
      </c>
      <c r="W4237">
        <v>0.1894816</v>
      </c>
      <c r="X4237">
        <v>0.95647150000000003</v>
      </c>
      <c r="Y4237">
        <v>-0.44600980000000001</v>
      </c>
      <c r="Z4237">
        <v>-4.6869220000000003E-2</v>
      </c>
      <c r="AA4237">
        <v>0.89380009999999999</v>
      </c>
      <c r="AB4237">
        <v>23</v>
      </c>
      <c r="AC4237">
        <v>31.298499999999901</v>
      </c>
      <c r="AD4237">
        <v>1.57356099999999</v>
      </c>
      <c r="AE4237">
        <v>-35.4081872</v>
      </c>
      <c r="AF4237">
        <v>-21.170446767235099</v>
      </c>
      <c r="AG4237">
        <v>1.57356099999999</v>
      </c>
      <c r="AH4237">
        <v>42.192464277835398</v>
      </c>
      <c r="AI4237">
        <v>88.090807783965204</v>
      </c>
      <c r="AJ4237">
        <v>116.64561897696601</v>
      </c>
      <c r="AK4237">
        <v>47.232064875267497</v>
      </c>
      <c r="AL4237">
        <v>79.077467551004105</v>
      </c>
      <c r="AM4237">
        <v>103.063956231505</v>
      </c>
      <c r="AN4237">
        <v>1.0000000065102499</v>
      </c>
    </row>
    <row r="4238" spans="1:40" x14ac:dyDescent="0.25">
      <c r="A4238" t="str">
        <f>"20190304155459113"</f>
        <v>20190304155459113</v>
      </c>
      <c r="B4238" t="str">
        <f>"1551686099102228"</f>
        <v>1551686099102228</v>
      </c>
      <c r="C4238" t="s">
        <v>40</v>
      </c>
      <c r="D4238">
        <v>4.1770339999999999</v>
      </c>
      <c r="E4238">
        <v>0.40304400000000001</v>
      </c>
      <c r="F4238" t="s">
        <v>84</v>
      </c>
      <c r="G4238">
        <v>-388.72840000000002</v>
      </c>
      <c r="H4238">
        <v>2.6943060000000001</v>
      </c>
      <c r="I4238">
        <v>0.79542729999999995</v>
      </c>
      <c r="J4238">
        <v>-420.32530000000003</v>
      </c>
      <c r="K4238">
        <v>1.1157049999999999</v>
      </c>
      <c r="L4238">
        <v>35.98892</v>
      </c>
      <c r="M4238">
        <v>0.26358150000000002</v>
      </c>
      <c r="N4238">
        <v>-1.419453E-2</v>
      </c>
      <c r="O4238">
        <v>-0.96453279999999997</v>
      </c>
      <c r="P4238">
        <v>0.46690480000000001</v>
      </c>
      <c r="Q4238">
        <v>0.17875239999999901</v>
      </c>
      <c r="R4238">
        <v>-0.86605270000000001</v>
      </c>
      <c r="S4238">
        <v>2.0824889999999998</v>
      </c>
      <c r="T4238">
        <v>0.10383439999999999</v>
      </c>
      <c r="U4238">
        <v>-2.3286440000000002</v>
      </c>
      <c r="V4238">
        <v>-0.2244352</v>
      </c>
      <c r="W4238">
        <v>0.1896004</v>
      </c>
      <c r="X4238">
        <v>0.95586629999999995</v>
      </c>
      <c r="Y4238">
        <v>-0.44583660000000003</v>
      </c>
      <c r="Z4238">
        <v>-4.6907850000000001E-2</v>
      </c>
      <c r="AA4238">
        <v>0.89388440000000002</v>
      </c>
      <c r="AB4238">
        <v>23</v>
      </c>
      <c r="AC4238">
        <v>31.596900000000002</v>
      </c>
      <c r="AD4238">
        <v>1.5786009999999999</v>
      </c>
      <c r="AE4238">
        <v>-35.1934927</v>
      </c>
      <c r="AF4238">
        <v>-21.178433616504801</v>
      </c>
      <c r="AG4238">
        <v>1.5786009999999999</v>
      </c>
      <c r="AH4238">
        <v>42.230845614044597</v>
      </c>
      <c r="AI4238">
        <v>88.086232202812795</v>
      </c>
      <c r="AJ4238">
        <v>116.63340118593599</v>
      </c>
      <c r="AK4238">
        <v>47.2700999876579</v>
      </c>
      <c r="AL4238">
        <v>79.070534268578598</v>
      </c>
      <c r="AM4238">
        <v>103.213565873763</v>
      </c>
      <c r="AN4238">
        <v>0.99999992707744201</v>
      </c>
    </row>
    <row r="4239" spans="1:40" x14ac:dyDescent="0.25">
      <c r="A4239" t="str">
        <f>"20190304155459137"</f>
        <v>20190304155459137</v>
      </c>
      <c r="B4239" t="str">
        <f>"1551686099131510"</f>
        <v>1551686099131510</v>
      </c>
      <c r="C4239" t="s">
        <v>40</v>
      </c>
      <c r="D4239">
        <v>4.186763</v>
      </c>
      <c r="E4239">
        <v>0.40442109999999998</v>
      </c>
      <c r="F4239" t="s">
        <v>84</v>
      </c>
      <c r="G4239">
        <v>-388.29250000000002</v>
      </c>
      <c r="H4239">
        <v>2.6743269999999999</v>
      </c>
      <c r="I4239">
        <v>0.79986000000000002</v>
      </c>
      <c r="J4239">
        <v>-420.2559</v>
      </c>
      <c r="K4239">
        <v>1.1158159999999999</v>
      </c>
      <c r="L4239">
        <v>35.771090000000001</v>
      </c>
      <c r="M4239">
        <v>0.27170650000000002</v>
      </c>
      <c r="N4239">
        <v>-1.421821E-2</v>
      </c>
      <c r="O4239">
        <v>-0.9622752</v>
      </c>
      <c r="P4239">
        <v>0.47678949999999998</v>
      </c>
      <c r="Q4239">
        <v>0.17866750000000001</v>
      </c>
      <c r="R4239">
        <v>-0.86066810000000005</v>
      </c>
      <c r="S4239">
        <v>2.102325</v>
      </c>
      <c r="T4239">
        <v>0.1022916</v>
      </c>
      <c r="U4239">
        <v>-2.3094790000000001</v>
      </c>
      <c r="V4239">
        <v>-0.22737070000000001</v>
      </c>
      <c r="W4239">
        <v>0.1894305</v>
      </c>
      <c r="X4239">
        <v>0.95520609999999995</v>
      </c>
      <c r="Y4239">
        <v>-0.44619409999999998</v>
      </c>
      <c r="Z4239">
        <v>-4.6363870000000001E-2</v>
      </c>
      <c r="AA4239">
        <v>0.89373440000000004</v>
      </c>
      <c r="AB4239">
        <v>23</v>
      </c>
      <c r="AC4239">
        <v>31.963399999999901</v>
      </c>
      <c r="AD4239">
        <v>1.558511</v>
      </c>
      <c r="AE4239">
        <v>-34.971229999999998</v>
      </c>
      <c r="AF4239">
        <v>-21.234845491359799</v>
      </c>
      <c r="AG4239">
        <v>1.558511</v>
      </c>
      <c r="AH4239">
        <v>42.295119872140901</v>
      </c>
      <c r="AI4239">
        <v>88.113871091653905</v>
      </c>
      <c r="AJ4239">
        <v>116.659567319125</v>
      </c>
      <c r="AK4239">
        <v>47.352136008609101</v>
      </c>
      <c r="AL4239">
        <v>79.0804495342461</v>
      </c>
      <c r="AM4239">
        <v>103.38913020938</v>
      </c>
      <c r="AN4239">
        <v>1.0000000215129701</v>
      </c>
    </row>
    <row r="4240" spans="1:40" x14ac:dyDescent="0.25">
      <c r="A4240" t="str">
        <f>"20190304155459159"</f>
        <v>20190304155459159</v>
      </c>
      <c r="B4240" t="str">
        <f>"1551686099152004"</f>
        <v>1551686099152004</v>
      </c>
      <c r="C4240" t="s">
        <v>40</v>
      </c>
      <c r="D4240">
        <v>4.2248999999999999</v>
      </c>
      <c r="E4240">
        <v>0.40487260000000003</v>
      </c>
      <c r="F4240" t="s">
        <v>84</v>
      </c>
      <c r="G4240">
        <v>-387.91180000000003</v>
      </c>
      <c r="H4240">
        <v>2.6434929999999999</v>
      </c>
      <c r="I4240">
        <v>0.80373000000000006</v>
      </c>
      <c r="J4240">
        <v>-420.18529999999998</v>
      </c>
      <c r="K4240">
        <v>1.115931</v>
      </c>
      <c r="L4240">
        <v>35.556459999999902</v>
      </c>
      <c r="M4240">
        <v>0.2799122</v>
      </c>
      <c r="N4240">
        <v>-1.424248E-2</v>
      </c>
      <c r="O4240">
        <v>-0.95992</v>
      </c>
      <c r="P4240">
        <v>0.4862612</v>
      </c>
      <c r="Q4240">
        <v>0.17864070000000001</v>
      </c>
      <c r="R4240">
        <v>-0.85535849999999902</v>
      </c>
      <c r="S4240">
        <v>2.1190799999999999</v>
      </c>
      <c r="T4240">
        <v>0.10008690000000001</v>
      </c>
      <c r="U4240">
        <v>-2.2909549999999999</v>
      </c>
      <c r="V4240">
        <v>-0.22981750000000001</v>
      </c>
      <c r="W4240">
        <v>0.1893233</v>
      </c>
      <c r="X4240">
        <v>0.95464159999999998</v>
      </c>
      <c r="Y4240">
        <v>-0.44569629999999999</v>
      </c>
      <c r="Z4240">
        <v>-4.5610949999999997E-2</v>
      </c>
      <c r="AA4240">
        <v>0.89402150000000002</v>
      </c>
      <c r="AB4240">
        <v>23</v>
      </c>
      <c r="AC4240">
        <v>32.273499999999899</v>
      </c>
      <c r="AD4240">
        <v>1.5275620000000001</v>
      </c>
      <c r="AE4240">
        <v>-34.7527299999999</v>
      </c>
      <c r="AF4240">
        <v>-21.232393439942101</v>
      </c>
      <c r="AG4240">
        <v>1.5275620000000001</v>
      </c>
      <c r="AH4240">
        <v>42.353947564213499</v>
      </c>
      <c r="AI4240">
        <v>88.153307143730004</v>
      </c>
      <c r="AJ4240">
        <v>116.624996479858</v>
      </c>
      <c r="AK4240">
        <v>47.402582747404097</v>
      </c>
      <c r="AL4240">
        <v>79.0867044847475</v>
      </c>
      <c r="AM4240">
        <v>103.535650669305</v>
      </c>
      <c r="AN4240">
        <v>0.99999998983984995</v>
      </c>
    </row>
    <row r="4241" spans="1:40" x14ac:dyDescent="0.25">
      <c r="A4241" t="str">
        <f>"20190304155459183"</f>
        <v>20190304155459183</v>
      </c>
      <c r="B4241" t="str">
        <f>"1551686099171524"</f>
        <v>1551686099171524</v>
      </c>
      <c r="C4241" t="s">
        <v>40</v>
      </c>
      <c r="D4241">
        <v>4.169943</v>
      </c>
      <c r="E4241">
        <v>0.40589380000000003</v>
      </c>
      <c r="F4241" t="s">
        <v>84</v>
      </c>
      <c r="G4241">
        <v>-387.39400000000001</v>
      </c>
      <c r="H4241">
        <v>2.6326939999999999</v>
      </c>
      <c r="I4241">
        <v>0.80899809999999905</v>
      </c>
      <c r="J4241">
        <v>-420.11219999999997</v>
      </c>
      <c r="K4241">
        <v>1.116045</v>
      </c>
      <c r="L4241">
        <v>35.341279999999998</v>
      </c>
      <c r="M4241">
        <v>0.28834650000000001</v>
      </c>
      <c r="N4241">
        <v>-1.426708E-2</v>
      </c>
      <c r="O4241">
        <v>-0.9574201</v>
      </c>
      <c r="P4241">
        <v>0.49526160000000002</v>
      </c>
      <c r="Q4241">
        <v>0.17804249999999999</v>
      </c>
      <c r="R4241">
        <v>-0.85030419999999995</v>
      </c>
      <c r="S4241">
        <v>2.1414490000000002</v>
      </c>
      <c r="T4241">
        <v>9.9051E-2</v>
      </c>
      <c r="U4241">
        <v>-2.269196</v>
      </c>
      <c r="V4241">
        <v>-0.2315094</v>
      </c>
      <c r="W4241">
        <v>0.1886565</v>
      </c>
      <c r="X4241">
        <v>0.95436480000000001</v>
      </c>
      <c r="Y4241">
        <v>-0.44677240000000001</v>
      </c>
      <c r="Z4241">
        <v>-4.5222520000000002E-2</v>
      </c>
      <c r="AA4241">
        <v>0.89350399999999996</v>
      </c>
      <c r="AB4241">
        <v>23</v>
      </c>
      <c r="AC4241">
        <v>32.718199999999896</v>
      </c>
      <c r="AD4241">
        <v>1.5166489999999899</v>
      </c>
      <c r="AE4241">
        <v>-34.532281899999901</v>
      </c>
      <c r="AF4241">
        <v>-21.3482695480849</v>
      </c>
      <c r="AG4241">
        <v>1.5166489999999899</v>
      </c>
      <c r="AH4241">
        <v>42.457237877650599</v>
      </c>
      <c r="AI4241">
        <v>88.172054674422995</v>
      </c>
      <c r="AJ4241">
        <v>116.694079715127</v>
      </c>
      <c r="AK4241">
        <v>47.546460279250098</v>
      </c>
      <c r="AL4241">
        <v>79.125610814831703</v>
      </c>
      <c r="AM4241">
        <v>103.635400022051</v>
      </c>
      <c r="AN4241">
        <v>1.0000000243798199</v>
      </c>
    </row>
    <row r="4242" spans="1:40" x14ac:dyDescent="0.25">
      <c r="A4242" t="str">
        <f>"20190304155459204"</f>
        <v>20190304155459204</v>
      </c>
      <c r="B4242" t="str">
        <f>"1551686099192021"</f>
        <v>1551686099192021</v>
      </c>
      <c r="C4242" t="s">
        <v>40</v>
      </c>
      <c r="D4242">
        <v>4.1846050000000004</v>
      </c>
      <c r="E4242">
        <v>0.40657280000000001</v>
      </c>
      <c r="F4242" t="s">
        <v>84</v>
      </c>
      <c r="G4242">
        <v>-387.00130000000001</v>
      </c>
      <c r="H4242">
        <v>2.573261</v>
      </c>
      <c r="I4242">
        <v>0.812992099999999</v>
      </c>
      <c r="J4242">
        <v>-420.03930000000003</v>
      </c>
      <c r="K4242">
        <v>1.11616</v>
      </c>
      <c r="L4242">
        <v>35.13391</v>
      </c>
      <c r="M4242">
        <v>0.2966877</v>
      </c>
      <c r="N4242">
        <v>-1.429135E-2</v>
      </c>
      <c r="O4242">
        <v>-0.95486760000000004</v>
      </c>
      <c r="P4242">
        <v>0.50404729999999998</v>
      </c>
      <c r="Q4242">
        <v>0.17760960000000001</v>
      </c>
      <c r="R4242">
        <v>-0.845217</v>
      </c>
      <c r="S4242">
        <v>2.158569</v>
      </c>
      <c r="T4242">
        <v>9.4997529999999997E-2</v>
      </c>
      <c r="U4242">
        <v>-2.2509769999999998</v>
      </c>
      <c r="V4242">
        <v>-0.2330971</v>
      </c>
      <c r="W4242">
        <v>0.1881601</v>
      </c>
      <c r="X4242">
        <v>0.95407629999999999</v>
      </c>
      <c r="Y4242">
        <v>-0.44615890000000002</v>
      </c>
      <c r="Z4242">
        <v>-4.384412E-2</v>
      </c>
      <c r="AA4242">
        <v>0.89387909999999904</v>
      </c>
      <c r="AB4242">
        <v>23</v>
      </c>
      <c r="AC4242">
        <v>33.037999999999997</v>
      </c>
      <c r="AD4242">
        <v>1.457101</v>
      </c>
      <c r="AE4242">
        <v>-34.320917899999998</v>
      </c>
      <c r="AF4242">
        <v>-21.346533508768001</v>
      </c>
      <c r="AG4242">
        <v>1.457101</v>
      </c>
      <c r="AH4242">
        <v>42.538453444276399</v>
      </c>
      <c r="AI4242">
        <v>88.246426771479193</v>
      </c>
      <c r="AJ4242">
        <v>116.64829128788</v>
      </c>
      <c r="AK4242">
        <v>47.616359138388802</v>
      </c>
      <c r="AL4242">
        <v>79.154571198007503</v>
      </c>
      <c r="AM4242">
        <v>103.729380093253</v>
      </c>
      <c r="AN4242">
        <v>1.00000003374105</v>
      </c>
    </row>
    <row r="4243" spans="1:40" x14ac:dyDescent="0.25">
      <c r="A4243" t="str">
        <f>"20190304155459226"</f>
        <v>20190304155459226</v>
      </c>
      <c r="B4243" t="str">
        <f>"1551686099222278"</f>
        <v>1551686099222278</v>
      </c>
      <c r="C4243" t="s">
        <v>40</v>
      </c>
      <c r="D4243">
        <v>4.3321550000000002</v>
      </c>
      <c r="E4243">
        <v>0.40806219999999999</v>
      </c>
      <c r="F4243" t="s">
        <v>84</v>
      </c>
      <c r="G4243">
        <v>-386.55590000000001</v>
      </c>
      <c r="H4243">
        <v>2.5314359999999998</v>
      </c>
      <c r="I4243">
        <v>0.81752009999999997</v>
      </c>
      <c r="J4243">
        <v>-419.96570000000003</v>
      </c>
      <c r="K4243">
        <v>1.116249</v>
      </c>
      <c r="L4243">
        <v>34.930689999999998</v>
      </c>
      <c r="M4243">
        <v>0.30501850000000003</v>
      </c>
      <c r="N4243">
        <v>-1.431438E-2</v>
      </c>
      <c r="O4243">
        <v>-0.9522389</v>
      </c>
      <c r="P4243">
        <v>0.51283480000000004</v>
      </c>
      <c r="Q4243">
        <v>0.17727409999999999</v>
      </c>
      <c r="R4243">
        <v>-0.83998490000000003</v>
      </c>
      <c r="S4243">
        <v>2.1773989999999999</v>
      </c>
      <c r="T4243">
        <v>9.2032550000000005E-2</v>
      </c>
      <c r="U4243">
        <v>-2.2315670000000001</v>
      </c>
      <c r="V4243">
        <v>-0.23473150000000001</v>
      </c>
      <c r="W4243">
        <v>0.18776909999999999</v>
      </c>
      <c r="X4243">
        <v>0.9537525</v>
      </c>
      <c r="Y4243">
        <v>-0.44611869999999998</v>
      </c>
      <c r="Z4243">
        <v>-4.2814709999999999E-2</v>
      </c>
      <c r="AA4243">
        <v>0.89394910000000005</v>
      </c>
      <c r="AB4243">
        <v>23</v>
      </c>
      <c r="AC4243">
        <v>33.409799999999997</v>
      </c>
      <c r="AD4243">
        <v>1.415187</v>
      </c>
      <c r="AE4243">
        <v>-34.113169899999903</v>
      </c>
      <c r="AF4243">
        <v>-21.3923641093483</v>
      </c>
      <c r="AG4243">
        <v>1.415187</v>
      </c>
      <c r="AH4243">
        <v>42.641407313273199</v>
      </c>
      <c r="AI4243">
        <v>88.300855347403399</v>
      </c>
      <c r="AJ4243">
        <v>116.64202951593001</v>
      </c>
      <c r="AK4243">
        <v>47.7276189861633</v>
      </c>
      <c r="AL4243">
        <v>79.177379722629695</v>
      </c>
      <c r="AM4243">
        <v>103.826478948503</v>
      </c>
      <c r="AN4243">
        <v>0.99999997163165399</v>
      </c>
    </row>
    <row r="4244" spans="1:40" x14ac:dyDescent="0.25">
      <c r="A4244" t="str">
        <f>"20190304155459248"</f>
        <v>20190304155459248</v>
      </c>
      <c r="B4244" t="str">
        <f>"1551686099241796"</f>
        <v>1551686099241796</v>
      </c>
      <c r="C4244" t="s">
        <v>40</v>
      </c>
      <c r="D4244">
        <v>4.1499480000000002</v>
      </c>
      <c r="E4244">
        <v>0.40886519999999998</v>
      </c>
      <c r="F4244" t="s">
        <v>84</v>
      </c>
      <c r="G4244">
        <v>-386.24279999999999</v>
      </c>
      <c r="H4244">
        <v>2.4525869999999999</v>
      </c>
      <c r="I4244">
        <v>0.82070540000000003</v>
      </c>
      <c r="J4244">
        <v>-419.88810000000001</v>
      </c>
      <c r="K4244">
        <v>1.116325</v>
      </c>
      <c r="L4244">
        <v>34.72269</v>
      </c>
      <c r="M4244">
        <v>0.31370340000000002</v>
      </c>
      <c r="N4244">
        <v>-1.4336110000000001E-2</v>
      </c>
      <c r="O4244">
        <v>-0.9494129</v>
      </c>
      <c r="P4244">
        <v>0.52185630000000005</v>
      </c>
      <c r="Q4244">
        <v>0.1769328</v>
      </c>
      <c r="R4244">
        <v>-0.83448239999999996</v>
      </c>
      <c r="S4244">
        <v>2.1906129999999999</v>
      </c>
      <c r="T4244">
        <v>8.6805820000000006E-2</v>
      </c>
      <c r="U4244">
        <v>-2.2157589999999998</v>
      </c>
      <c r="V4244">
        <v>-0.23630809999999999</v>
      </c>
      <c r="W4244">
        <v>0.18737980000000001</v>
      </c>
      <c r="X4244">
        <v>0.9534397</v>
      </c>
      <c r="Y4244">
        <v>-0.4438742</v>
      </c>
      <c r="Z4244">
        <v>-4.104095E-2</v>
      </c>
      <c r="AA4244">
        <v>0.89514879999999997</v>
      </c>
      <c r="AB4244">
        <v>23</v>
      </c>
      <c r="AC4244">
        <v>33.645299999999999</v>
      </c>
      <c r="AD4244">
        <v>1.3362619999999901</v>
      </c>
      <c r="AE4244">
        <v>-33.901984599999999</v>
      </c>
      <c r="AF4244">
        <v>-21.2936354905877</v>
      </c>
      <c r="AG4244">
        <v>1.3362619999999901</v>
      </c>
      <c r="AH4244">
        <v>42.712584276583101</v>
      </c>
      <c r="AI4244">
        <v>88.396220866644995</v>
      </c>
      <c r="AJ4244">
        <v>116.497772315511</v>
      </c>
      <c r="AK4244">
        <v>47.744835994302903</v>
      </c>
      <c r="AL4244">
        <v>79.200088175365096</v>
      </c>
      <c r="AM4244">
        <v>103.92013600128</v>
      </c>
      <c r="AN4244">
        <v>0.99999998455486905</v>
      </c>
    </row>
    <row r="4245" spans="1:40" x14ac:dyDescent="0.25">
      <c r="A4245" t="str">
        <f>"20190304155459271"</f>
        <v>20190304155459271</v>
      </c>
      <c r="B4245" t="str">
        <f>"1551686099262292"</f>
        <v>1551686099262292</v>
      </c>
      <c r="C4245" t="s">
        <v>40</v>
      </c>
      <c r="D4245">
        <v>4.2269699999999997</v>
      </c>
      <c r="E4245">
        <v>0.40955000000000003</v>
      </c>
      <c r="F4245" t="s">
        <v>84</v>
      </c>
      <c r="G4245">
        <v>-385.7946</v>
      </c>
      <c r="H4245">
        <v>2.402463</v>
      </c>
      <c r="I4245">
        <v>0.825263999999999</v>
      </c>
      <c r="J4245">
        <v>-419.80829999999997</v>
      </c>
      <c r="K4245">
        <v>1.116385</v>
      </c>
      <c r="L4245">
        <v>34.515140000000002</v>
      </c>
      <c r="M4245">
        <v>0.32252740000000002</v>
      </c>
      <c r="N4245">
        <v>-1.4356570000000001E-2</v>
      </c>
      <c r="O4245">
        <v>-0.94645140000000005</v>
      </c>
      <c r="P4245">
        <v>0.531385</v>
      </c>
      <c r="Q4245">
        <v>0.1763718</v>
      </c>
      <c r="R4245">
        <v>-0.82856700000000005</v>
      </c>
      <c r="S4245">
        <v>2.2088009999999998</v>
      </c>
      <c r="T4245">
        <v>8.3323120000000001E-2</v>
      </c>
      <c r="U4245">
        <v>-2.1961059999999999</v>
      </c>
      <c r="V4245">
        <v>-0.23834810000000001</v>
      </c>
      <c r="W4245">
        <v>0.18676619999999999</v>
      </c>
      <c r="X4245">
        <v>0.95305220000000002</v>
      </c>
      <c r="Y4245">
        <v>-0.44325500000000001</v>
      </c>
      <c r="Z4245">
        <v>-3.9828969999999998E-2</v>
      </c>
      <c r="AA4245">
        <v>0.89551029999999998</v>
      </c>
      <c r="AB4245">
        <v>23</v>
      </c>
      <c r="AC4245">
        <v>34.013699999999901</v>
      </c>
      <c r="AD4245">
        <v>1.2860780000000001</v>
      </c>
      <c r="AE4245">
        <v>-33.689875999999998</v>
      </c>
      <c r="AF4245">
        <v>-21.313220093250401</v>
      </c>
      <c r="AG4245">
        <v>1.2860780000000001</v>
      </c>
      <c r="AH4245">
        <v>42.829683235057601</v>
      </c>
      <c r="AI4245">
        <v>88.460083848872998</v>
      </c>
      <c r="AJ4245">
        <v>116.456191933231</v>
      </c>
      <c r="AK4245">
        <v>47.856965150130399</v>
      </c>
      <c r="AL4245">
        <v>79.235876442631195</v>
      </c>
      <c r="AM4245">
        <v>104.04105565168901</v>
      </c>
      <c r="AN4245">
        <v>0.99999996308044403</v>
      </c>
    </row>
    <row r="4246" spans="1:40" x14ac:dyDescent="0.25">
      <c r="A4246" t="str">
        <f>"20190304155459292"</f>
        <v>20190304155459292</v>
      </c>
      <c r="B4246" t="str">
        <f>"1551686099281813"</f>
        <v>1551686099281813</v>
      </c>
      <c r="C4246" t="s">
        <v>40</v>
      </c>
      <c r="D4246">
        <v>4.1964370000000004</v>
      </c>
      <c r="E4246">
        <v>0.41010659999999999</v>
      </c>
      <c r="F4246" t="s">
        <v>84</v>
      </c>
      <c r="G4246">
        <v>-385.26209999999998</v>
      </c>
      <c r="H4246">
        <v>2.356128</v>
      </c>
      <c r="I4246">
        <v>0.830677</v>
      </c>
      <c r="J4246">
        <v>-419.72739999999999</v>
      </c>
      <c r="K4246">
        <v>1.116447</v>
      </c>
      <c r="L4246">
        <v>34.310969999999998</v>
      </c>
      <c r="M4246">
        <v>0.33135679999999901</v>
      </c>
      <c r="N4246">
        <v>-1.4376999999999999E-2</v>
      </c>
      <c r="O4246">
        <v>-0.94339600000000001</v>
      </c>
      <c r="P4246">
        <v>0.54082079999999999</v>
      </c>
      <c r="Q4246">
        <v>0.17645739999999999</v>
      </c>
      <c r="R4246">
        <v>-0.82242079999999995</v>
      </c>
      <c r="S4246">
        <v>2.2294619999999998</v>
      </c>
      <c r="T4246">
        <v>8.0006359999999999E-2</v>
      </c>
      <c r="U4246">
        <v>-2.1738590000000002</v>
      </c>
      <c r="V4246">
        <v>-0.24037700000000001</v>
      </c>
      <c r="W4246">
        <v>0.18679950000000001</v>
      </c>
      <c r="X4246">
        <v>0.95253600000000005</v>
      </c>
      <c r="Y4246">
        <v>-0.44363750000000002</v>
      </c>
      <c r="Z4246">
        <v>-3.8669290000000002E-2</v>
      </c>
      <c r="AA4246">
        <v>0.89537169999999899</v>
      </c>
      <c r="AB4246">
        <v>23</v>
      </c>
      <c r="AC4246">
        <v>34.465299999999999</v>
      </c>
      <c r="AD4246">
        <v>1.239681</v>
      </c>
      <c r="AE4246">
        <v>-33.480292999999897</v>
      </c>
      <c r="AF4246">
        <v>-21.408466891414001</v>
      </c>
      <c r="AG4246">
        <v>1.239681</v>
      </c>
      <c r="AH4246">
        <v>42.981320558946301</v>
      </c>
      <c r="AI4246">
        <v>88.521119185681499</v>
      </c>
      <c r="AJ4246">
        <v>116.477330548178</v>
      </c>
      <c r="AK4246">
        <v>48.033875344525697</v>
      </c>
      <c r="AL4246">
        <v>79.233934643383094</v>
      </c>
      <c r="AM4246">
        <v>104.163154769727</v>
      </c>
      <c r="AN4246">
        <v>0.99999999331262501</v>
      </c>
    </row>
    <row r="4247" spans="1:40" x14ac:dyDescent="0.25">
      <c r="A4247" t="str">
        <f>"20190304155459314"</f>
        <v>20190304155459314</v>
      </c>
      <c r="B4247" t="str">
        <f>"1551686099312069"</f>
        <v>1551686099312069</v>
      </c>
      <c r="C4247" t="s">
        <v>40</v>
      </c>
      <c r="D4247">
        <v>4.2080399999999996</v>
      </c>
      <c r="E4247">
        <v>0.41071790000000002</v>
      </c>
      <c r="F4247" t="s">
        <v>84</v>
      </c>
      <c r="G4247">
        <v>-384.77140000000003</v>
      </c>
      <c r="H4247">
        <v>2.3293680000000001</v>
      </c>
      <c r="I4247">
        <v>0.90299220000000002</v>
      </c>
      <c r="J4247">
        <v>-419.64400000000001</v>
      </c>
      <c r="K4247">
        <v>1.1165210000000001</v>
      </c>
      <c r="L4247">
        <v>34.106380000000001</v>
      </c>
      <c r="M4247">
        <v>0.34034809999999999</v>
      </c>
      <c r="N4247">
        <v>-1.4398299999999999E-2</v>
      </c>
      <c r="O4247">
        <v>-0.94018939999999995</v>
      </c>
      <c r="P4247">
        <v>0.55023100000000003</v>
      </c>
      <c r="Q4247">
        <v>0.1766239</v>
      </c>
      <c r="R4247">
        <v>-0.81611899999999904</v>
      </c>
      <c r="S4247">
        <v>2.2506710000000001</v>
      </c>
      <c r="T4247">
        <v>7.8093170000000003E-2</v>
      </c>
      <c r="U4247">
        <v>-2.1510009999999999</v>
      </c>
      <c r="V4247">
        <v>-0.2422734</v>
      </c>
      <c r="W4247">
        <v>0.1869133</v>
      </c>
      <c r="X4247">
        <v>0.95203309999999997</v>
      </c>
      <c r="Y4247">
        <v>-0.44406649999999998</v>
      </c>
      <c r="Z4247">
        <v>-3.7963089999999998E-2</v>
      </c>
      <c r="AA4247">
        <v>0.89518920000000002</v>
      </c>
      <c r="AB4247">
        <v>22</v>
      </c>
      <c r="AC4247">
        <v>34.872599999999899</v>
      </c>
      <c r="AD4247">
        <v>1.212847</v>
      </c>
      <c r="AE4247">
        <v>-33.203387800000002</v>
      </c>
      <c r="AF4247">
        <v>-21.474739243014501</v>
      </c>
      <c r="AG4247">
        <v>1.212847</v>
      </c>
      <c r="AH4247">
        <v>43.063436559805197</v>
      </c>
      <c r="AI4247">
        <v>88.5562144402831</v>
      </c>
      <c r="AJ4247">
        <v>116.504370727368</v>
      </c>
      <c r="AK4247">
        <v>48.136212893633903</v>
      </c>
      <c r="AL4247">
        <v>79.227297588143102</v>
      </c>
      <c r="AM4247">
        <v>104.27757456264101</v>
      </c>
      <c r="AN4247">
        <v>1.00000000278003</v>
      </c>
    </row>
    <row r="4248" spans="1:40" x14ac:dyDescent="0.25">
      <c r="A4248" t="str">
        <f>"20190304155459338"</f>
        <v>20190304155459338</v>
      </c>
      <c r="B4248" t="str">
        <f>"1551686099331592"</f>
        <v>1551686099331592</v>
      </c>
      <c r="C4248" t="s">
        <v>40</v>
      </c>
      <c r="D4248">
        <v>4.2413270000000001</v>
      </c>
      <c r="E4248">
        <v>0.41136279999999997</v>
      </c>
      <c r="F4248" t="s">
        <v>84</v>
      </c>
      <c r="G4248">
        <v>-384.46140000000003</v>
      </c>
      <c r="H4248">
        <v>2.2932519999999998</v>
      </c>
      <c r="I4248">
        <v>1.1567339999999999</v>
      </c>
      <c r="J4248">
        <v>-419.5575</v>
      </c>
      <c r="K4248">
        <v>1.1165909999999999</v>
      </c>
      <c r="L4248">
        <v>33.900089999999999</v>
      </c>
      <c r="M4248">
        <v>0.34955770000000003</v>
      </c>
      <c r="N4248">
        <v>-1.442007E-2</v>
      </c>
      <c r="O4248">
        <v>-0.93680390000000002</v>
      </c>
      <c r="P4248">
        <v>0.55962080000000003</v>
      </c>
      <c r="Q4248">
        <v>0.17678650000000001</v>
      </c>
      <c r="R4248">
        <v>-0.80967369999999905</v>
      </c>
      <c r="S4248">
        <v>2.2719420000000001</v>
      </c>
      <c r="T4248">
        <v>7.5986390000000001E-2</v>
      </c>
      <c r="U4248">
        <v>-2.1277469999999998</v>
      </c>
      <c r="V4248">
        <v>-0.24397820000000001</v>
      </c>
      <c r="W4248">
        <v>0.18702479999999999</v>
      </c>
      <c r="X4248">
        <v>0.95157579999999997</v>
      </c>
      <c r="Y4248">
        <v>-0.44435669999999999</v>
      </c>
      <c r="Z4248">
        <v>-3.7187379999999999E-2</v>
      </c>
      <c r="AA4248">
        <v>0.89507780000000003</v>
      </c>
      <c r="AB4248">
        <v>22</v>
      </c>
      <c r="AC4248">
        <v>35.0960999999999</v>
      </c>
      <c r="AD4248">
        <v>1.176661</v>
      </c>
      <c r="AE4248">
        <v>-32.743355999999999</v>
      </c>
      <c r="AF4248">
        <v>-21.421825371887302</v>
      </c>
      <c r="AG4248">
        <v>1.176661</v>
      </c>
      <c r="AH4248">
        <v>42.920885673740699</v>
      </c>
      <c r="AI4248">
        <v>88.594860488965907</v>
      </c>
      <c r="AJ4248">
        <v>116.523795477207</v>
      </c>
      <c r="AK4248">
        <v>47.984180313837598</v>
      </c>
      <c r="AL4248">
        <v>79.220795169694696</v>
      </c>
      <c r="AM4248">
        <v>104.380513524032</v>
      </c>
      <c r="AN4248">
        <v>1.0000000705179499</v>
      </c>
    </row>
    <row r="4249" spans="1:40" x14ac:dyDescent="0.25">
      <c r="A4249" t="str">
        <f>"20190304155459359"</f>
        <v>20190304155459359</v>
      </c>
      <c r="B4249" t="str">
        <f>"1551686099352088"</f>
        <v>1551686099352088</v>
      </c>
      <c r="C4249" t="s">
        <v>40</v>
      </c>
      <c r="D4249">
        <v>4.1991779999999999</v>
      </c>
      <c r="E4249">
        <v>0.41176439999999997</v>
      </c>
      <c r="F4249" t="s">
        <v>84</v>
      </c>
      <c r="G4249">
        <v>-384.16230000000002</v>
      </c>
      <c r="H4249">
        <v>2.258032</v>
      </c>
      <c r="I4249">
        <v>1.4015310000000001</v>
      </c>
      <c r="J4249">
        <v>-419.47250000000003</v>
      </c>
      <c r="K4249">
        <v>1.11666</v>
      </c>
      <c r="L4249">
        <v>33.70337</v>
      </c>
      <c r="M4249">
        <v>0.35847129999999999</v>
      </c>
      <c r="N4249">
        <v>-1.4440410000000001E-2</v>
      </c>
      <c r="O4249">
        <v>-0.93342939999999996</v>
      </c>
      <c r="P4249">
        <v>0.56965010000000005</v>
      </c>
      <c r="Q4249">
        <v>0.17625270000000001</v>
      </c>
      <c r="R4249">
        <v>-0.8027666</v>
      </c>
      <c r="S4249">
        <v>2.292297</v>
      </c>
      <c r="T4249">
        <v>7.3921440000000005E-2</v>
      </c>
      <c r="U4249">
        <v>-2.1047060000000002</v>
      </c>
      <c r="V4249">
        <v>-0.24673349999999999</v>
      </c>
      <c r="W4249">
        <v>0.18642139999999999</v>
      </c>
      <c r="X4249">
        <v>0.95098349999999998</v>
      </c>
      <c r="Y4249">
        <v>-0.44467719999999999</v>
      </c>
      <c r="Z4249">
        <v>-3.6426640000000003E-2</v>
      </c>
      <c r="AA4249">
        <v>0.89494989999999996</v>
      </c>
      <c r="AB4249">
        <v>22</v>
      </c>
      <c r="AC4249">
        <v>35.310200000000002</v>
      </c>
      <c r="AD4249">
        <v>1.1413719999999901</v>
      </c>
      <c r="AE4249">
        <v>-32.301839000000001</v>
      </c>
      <c r="AF4249">
        <v>-21.370363258764801</v>
      </c>
      <c r="AG4249">
        <v>1.1413719999999901</v>
      </c>
      <c r="AH4249">
        <v>42.789290275844799</v>
      </c>
      <c r="AI4249">
        <v>88.6329768000287</v>
      </c>
      <c r="AJ4249">
        <v>116.53903410670399</v>
      </c>
      <c r="AK4249">
        <v>47.842643302439498</v>
      </c>
      <c r="AL4249">
        <v>79.255985464419396</v>
      </c>
      <c r="AM4249">
        <v>104.544741842741</v>
      </c>
      <c r="AN4249">
        <v>0.99999998783622901</v>
      </c>
    </row>
    <row r="4250" spans="1:40" x14ac:dyDescent="0.25">
      <c r="A4250" t="str">
        <f>"20190304155459383"</f>
        <v>20190304155459383</v>
      </c>
      <c r="B4250" t="str">
        <f>"1551686099371604"</f>
        <v>1551686099371604</v>
      </c>
      <c r="C4250" t="s">
        <v>40</v>
      </c>
      <c r="D4250">
        <v>4.2665620000000004</v>
      </c>
      <c r="E4250">
        <v>0.41231380000000001</v>
      </c>
      <c r="F4250" t="s">
        <v>84</v>
      </c>
      <c r="G4250">
        <v>-383.81169999999997</v>
      </c>
      <c r="H4250">
        <v>2.1936010000000001</v>
      </c>
      <c r="I4250">
        <v>1.688477</v>
      </c>
      <c r="J4250">
        <v>-419.38080000000002</v>
      </c>
      <c r="K4250">
        <v>1.1167149999999999</v>
      </c>
      <c r="L4250">
        <v>33.497100000000003</v>
      </c>
      <c r="M4250">
        <v>0.36796289999999998</v>
      </c>
      <c r="N4250">
        <v>-1.446103E-2</v>
      </c>
      <c r="O4250">
        <v>-0.929728</v>
      </c>
      <c r="P4250">
        <v>0.58006389999999997</v>
      </c>
      <c r="Q4250">
        <v>0.17542369999999999</v>
      </c>
      <c r="R4250">
        <v>-0.79545759999999999</v>
      </c>
      <c r="S4250">
        <v>2.3154300000000001</v>
      </c>
      <c r="T4250">
        <v>6.9923399999999997E-2</v>
      </c>
      <c r="U4250">
        <v>-2.0787049999999998</v>
      </c>
      <c r="V4250">
        <v>-0.24939620000000001</v>
      </c>
      <c r="W4250">
        <v>0.18552469999999999</v>
      </c>
      <c r="X4250">
        <v>0.95046419999999998</v>
      </c>
      <c r="Y4250">
        <v>-0.44559599999999999</v>
      </c>
      <c r="Z4250">
        <v>-3.5023539999999999E-2</v>
      </c>
      <c r="AA4250">
        <v>0.89454880000000003</v>
      </c>
      <c r="AB4250">
        <v>22</v>
      </c>
      <c r="AC4250">
        <v>35.569099999999999</v>
      </c>
      <c r="AD4250">
        <v>1.07688599999999</v>
      </c>
      <c r="AE4250">
        <v>-31.808623000000001</v>
      </c>
      <c r="AF4250">
        <v>-21.356552456059902</v>
      </c>
      <c r="AG4250">
        <v>1.07688599999999</v>
      </c>
      <c r="AH4250">
        <v>42.644219338289702</v>
      </c>
      <c r="AI4250">
        <v>88.706510156934797</v>
      </c>
      <c r="AJ4250">
        <v>116.602060436106</v>
      </c>
      <c r="AK4250">
        <v>47.7052560965518</v>
      </c>
      <c r="AL4250">
        <v>79.308275321663203</v>
      </c>
      <c r="AM4250">
        <v>104.70262736740101</v>
      </c>
      <c r="AN4250">
        <v>1.0000000371830799</v>
      </c>
    </row>
    <row r="4251" spans="1:40" x14ac:dyDescent="0.25">
      <c r="A4251" t="str">
        <f>"20190304155459405"</f>
        <v>20190304155459405</v>
      </c>
      <c r="B4251" t="str">
        <f>"1551686099401860"</f>
        <v>1551686099401860</v>
      </c>
      <c r="C4251" t="s">
        <v>40</v>
      </c>
      <c r="D4251">
        <v>4.1767659999999998</v>
      </c>
      <c r="E4251">
        <v>0.41271140000000001</v>
      </c>
      <c r="F4251" t="s">
        <v>85</v>
      </c>
      <c r="G4251">
        <v>-333.1003</v>
      </c>
      <c r="H4251">
        <v>3.5012539999999999</v>
      </c>
      <c r="I4251">
        <v>-42.2</v>
      </c>
      <c r="J4251">
        <v>-419.28980000000001</v>
      </c>
      <c r="K4251">
        <v>1.1167689999999999</v>
      </c>
      <c r="L4251">
        <v>33.298459999999999</v>
      </c>
      <c r="M4251">
        <v>0.37724259999999998</v>
      </c>
      <c r="N4251">
        <v>-1.4480379999999999E-2</v>
      </c>
      <c r="O4251">
        <v>-0.92600139999999997</v>
      </c>
      <c r="P4251">
        <v>0.59059689999999998</v>
      </c>
      <c r="Q4251">
        <v>0.173654</v>
      </c>
      <c r="R4251">
        <v>-0.7880606</v>
      </c>
      <c r="S4251">
        <v>2.338654</v>
      </c>
      <c r="T4251">
        <v>6.4633850000000007E-2</v>
      </c>
      <c r="U4251">
        <v>-2.0517880000000002</v>
      </c>
      <c r="V4251">
        <v>-0.25239689999999998</v>
      </c>
      <c r="W4251">
        <v>0.18368709999999999</v>
      </c>
      <c r="X4251">
        <v>0.95002889999999995</v>
      </c>
      <c r="Y4251">
        <v>-0.44690800000000003</v>
      </c>
      <c r="Z4251">
        <v>-3.3201359999999999E-2</v>
      </c>
      <c r="AA4251">
        <v>0.89396359999999997</v>
      </c>
      <c r="AB4251">
        <v>22</v>
      </c>
      <c r="AC4251">
        <v>86.189499999999995</v>
      </c>
      <c r="AD4251">
        <v>2.3844850000000002</v>
      </c>
      <c r="AE4251">
        <v>-75.498459999999994</v>
      </c>
      <c r="AF4251">
        <v>-51.313515257071899</v>
      </c>
      <c r="AG4251">
        <v>2.3844850000000002</v>
      </c>
      <c r="AH4251">
        <v>102.392413635417</v>
      </c>
      <c r="AI4251">
        <v>88.807296367481896</v>
      </c>
      <c r="AJ4251">
        <v>116.617540986501</v>
      </c>
      <c r="AK4251">
        <v>114.55552796281501</v>
      </c>
      <c r="AL4251">
        <v>79.415403212825197</v>
      </c>
      <c r="AM4251">
        <v>104.878243704734</v>
      </c>
      <c r="AN4251">
        <v>1.0000000283356101</v>
      </c>
    </row>
    <row r="4252" spans="1:40" x14ac:dyDescent="0.25">
      <c r="A4252" t="str">
        <f>"20190304155459427"</f>
        <v>20190304155459427</v>
      </c>
      <c r="B4252" t="str">
        <f>"1551686099421380"</f>
        <v>1551686099421380</v>
      </c>
      <c r="C4252" t="s">
        <v>40</v>
      </c>
      <c r="D4252">
        <v>4.2657800000000003</v>
      </c>
      <c r="E4252">
        <v>0.41298099999999999</v>
      </c>
      <c r="F4252" t="s">
        <v>86</v>
      </c>
      <c r="G4252">
        <v>-334.60930000000002</v>
      </c>
      <c r="H4252">
        <v>3.0968490000000002</v>
      </c>
      <c r="I4252">
        <v>-39.240119999999997</v>
      </c>
      <c r="J4252">
        <v>-419.19830000000002</v>
      </c>
      <c r="K4252">
        <v>1.116808</v>
      </c>
      <c r="L4252">
        <v>33.104309999999998</v>
      </c>
      <c r="M4252">
        <v>0.3864166</v>
      </c>
      <c r="N4252">
        <v>-1.4497940000000001E-2</v>
      </c>
      <c r="O4252">
        <v>-0.92221039999999999</v>
      </c>
      <c r="P4252">
        <v>0.6009215</v>
      </c>
      <c r="Q4252">
        <v>0.17157140000000001</v>
      </c>
      <c r="R4252">
        <v>-0.78067710000000001</v>
      </c>
      <c r="S4252">
        <v>2.3627009999999999</v>
      </c>
      <c r="T4252">
        <v>5.5246950000000003E-2</v>
      </c>
      <c r="U4252">
        <v>-2.0239259999999999</v>
      </c>
      <c r="V4252">
        <v>-0.25529099999999999</v>
      </c>
      <c r="W4252">
        <v>0.18154600000000001</v>
      </c>
      <c r="X4252">
        <v>0.94966709999999999</v>
      </c>
      <c r="Y4252">
        <v>-0.4486753</v>
      </c>
      <c r="Z4252">
        <v>-3.0042329999999999E-2</v>
      </c>
      <c r="AA4252">
        <v>0.89318980000000003</v>
      </c>
      <c r="AB4252">
        <v>22</v>
      </c>
      <c r="AC4252">
        <v>84.588999999999999</v>
      </c>
      <c r="AD4252">
        <v>1.9800409999999999</v>
      </c>
      <c r="AE4252">
        <v>-72.344430000000003</v>
      </c>
      <c r="AF4252">
        <v>-50.043191666522297</v>
      </c>
      <c r="AG4252">
        <v>1.9800409999999999</v>
      </c>
      <c r="AH4252">
        <v>99.382377897697395</v>
      </c>
      <c r="AI4252">
        <v>88.980540454992195</v>
      </c>
      <c r="AJ4252">
        <v>116.727169923544</v>
      </c>
      <c r="AK4252">
        <v>111.28835802155901</v>
      </c>
      <c r="AL4252">
        <v>79.540177347361293</v>
      </c>
      <c r="AM4252">
        <v>105.046625065738</v>
      </c>
      <c r="AN4252">
        <v>1.0000000228096999</v>
      </c>
    </row>
    <row r="4253" spans="1:40" x14ac:dyDescent="0.25">
      <c r="A4253" t="str">
        <f>"20190304155459449"</f>
        <v>20190304155459449</v>
      </c>
      <c r="B4253" t="str">
        <f>"1551686099441880"</f>
        <v>1551686099441880</v>
      </c>
      <c r="C4253" t="s">
        <v>40</v>
      </c>
      <c r="D4253">
        <v>4.18201</v>
      </c>
      <c r="E4253">
        <v>0.41314200000000001</v>
      </c>
      <c r="F4253" t="s">
        <v>86</v>
      </c>
      <c r="G4253">
        <v>-334.60930000000002</v>
      </c>
      <c r="H4253">
        <v>2.7709609999999998</v>
      </c>
      <c r="I4253">
        <v>-37.60575</v>
      </c>
      <c r="J4253">
        <v>-419.10379999999998</v>
      </c>
      <c r="K4253">
        <v>1.116841</v>
      </c>
      <c r="L4253">
        <v>32.908839999999998</v>
      </c>
      <c r="M4253">
        <v>0.39575510000000003</v>
      </c>
      <c r="N4253">
        <v>-1.451391E-2</v>
      </c>
      <c r="O4253">
        <v>-0.91824159999999999</v>
      </c>
      <c r="P4253">
        <v>0.61112330000000004</v>
      </c>
      <c r="Q4253">
        <v>0.16968649999999999</v>
      </c>
      <c r="R4253">
        <v>-0.77313330000000002</v>
      </c>
      <c r="S4253">
        <v>2.3869020000000001</v>
      </c>
      <c r="T4253">
        <v>4.6676280000000001E-2</v>
      </c>
      <c r="U4253">
        <v>-1.9952700000000001</v>
      </c>
      <c r="V4253">
        <v>-0.2579554</v>
      </c>
      <c r="W4253">
        <v>0.17960950000000001</v>
      </c>
      <c r="X4253">
        <v>0.94931520000000003</v>
      </c>
      <c r="Y4253">
        <v>-0.45043480000000002</v>
      </c>
      <c r="Z4253">
        <v>-2.7148519999999999E-2</v>
      </c>
      <c r="AA4253">
        <v>0.89239650000000004</v>
      </c>
      <c r="AB4253">
        <v>22</v>
      </c>
      <c r="AC4253">
        <v>84.494499999999903</v>
      </c>
      <c r="AD4253">
        <v>1.65412</v>
      </c>
      <c r="AE4253">
        <v>-70.514589999999998</v>
      </c>
      <c r="AF4253">
        <v>-49.6738583226931</v>
      </c>
      <c r="AG4253">
        <v>1.65412</v>
      </c>
      <c r="AH4253">
        <v>98.176704773978202</v>
      </c>
      <c r="AI4253">
        <v>89.138701344874804</v>
      </c>
      <c r="AJ4253">
        <v>116.83775888104999</v>
      </c>
      <c r="AK4253">
        <v>110.040418364863</v>
      </c>
      <c r="AL4253">
        <v>79.6529844106242</v>
      </c>
      <c r="AM4253">
        <v>105.20180805150299</v>
      </c>
      <c r="AN4253">
        <v>0.99999995491522398</v>
      </c>
    </row>
    <row r="4254" spans="1:40" x14ac:dyDescent="0.25">
      <c r="A4254" t="str">
        <f>"20190304155459472"</f>
        <v>20190304155459472</v>
      </c>
      <c r="B4254" t="str">
        <f>"1551686099461396"</f>
        <v>1551686099461396</v>
      </c>
      <c r="C4254" t="s">
        <v>40</v>
      </c>
      <c r="D4254">
        <v>4.2024080000000001</v>
      </c>
      <c r="E4254">
        <v>0.41323549999999998</v>
      </c>
      <c r="F4254" t="s">
        <v>86</v>
      </c>
      <c r="G4254">
        <v>-334.8827</v>
      </c>
      <c r="H4254">
        <v>2.4893930000000002</v>
      </c>
      <c r="I4254">
        <v>-35.717209999999902</v>
      </c>
      <c r="J4254">
        <v>-419.00560000000002</v>
      </c>
      <c r="K4254">
        <v>1.1168640000000001</v>
      </c>
      <c r="L4254">
        <v>32.711399999999998</v>
      </c>
      <c r="M4254">
        <v>0.4052888</v>
      </c>
      <c r="N4254">
        <v>-1.452897E-2</v>
      </c>
      <c r="O4254">
        <v>-0.91407340000000004</v>
      </c>
      <c r="P4254">
        <v>0.62132609999999999</v>
      </c>
      <c r="Q4254">
        <v>0.16836950000000001</v>
      </c>
      <c r="R4254">
        <v>-0.76524910000000002</v>
      </c>
      <c r="S4254">
        <v>2.411835</v>
      </c>
      <c r="T4254">
        <v>3.9305689999999997E-2</v>
      </c>
      <c r="U4254">
        <v>-1.9652400000000001</v>
      </c>
      <c r="V4254">
        <v>-0.26055260000000002</v>
      </c>
      <c r="W4254">
        <v>0.17824200000000001</v>
      </c>
      <c r="X4254">
        <v>0.94886360000000003</v>
      </c>
      <c r="Y4254">
        <v>-0.45238669999999997</v>
      </c>
      <c r="Z4254">
        <v>-2.4644349999999999E-2</v>
      </c>
      <c r="AA4254">
        <v>0.89148130000000003</v>
      </c>
      <c r="AB4254">
        <v>22</v>
      </c>
      <c r="AC4254">
        <v>84.122900000000001</v>
      </c>
      <c r="AD4254">
        <v>1.3725290000000001</v>
      </c>
      <c r="AE4254">
        <v>-68.428609999999907</v>
      </c>
      <c r="AF4254">
        <v>-49.158463312099499</v>
      </c>
      <c r="AG4254">
        <v>1.3725290000000001</v>
      </c>
      <c r="AH4254">
        <v>96.637548029801295</v>
      </c>
      <c r="AI4254">
        <v>89.274724830792593</v>
      </c>
      <c r="AJ4254">
        <v>116.961942460922</v>
      </c>
      <c r="AK4254">
        <v>108.430872173357</v>
      </c>
      <c r="AL4254">
        <v>79.732622001942303</v>
      </c>
      <c r="AM4254">
        <v>105.354642003178</v>
      </c>
      <c r="AN4254">
        <v>0.99999999966786002</v>
      </c>
    </row>
    <row r="4255" spans="1:40" x14ac:dyDescent="0.25">
      <c r="A4255" t="str">
        <f>"20190304155459493"</f>
        <v>20190304155459493</v>
      </c>
      <c r="B4255" t="str">
        <f>"1551686099491652"</f>
        <v>1551686099491652</v>
      </c>
      <c r="C4255" t="s">
        <v>40</v>
      </c>
      <c r="D4255">
        <v>4.1441049999999997</v>
      </c>
      <c r="E4255">
        <v>0.4132982</v>
      </c>
      <c r="F4255" t="s">
        <v>86</v>
      </c>
      <c r="G4255">
        <v>-334.60930000000002</v>
      </c>
      <c r="H4255">
        <v>2.2935680000000001</v>
      </c>
      <c r="I4255">
        <v>-34.275530000000003</v>
      </c>
      <c r="J4255">
        <v>-418.9085</v>
      </c>
      <c r="K4255">
        <v>1.1168929999999999</v>
      </c>
      <c r="L4255">
        <v>32.521030000000003</v>
      </c>
      <c r="M4255">
        <v>0.4145779</v>
      </c>
      <c r="N4255">
        <v>-1.454372E-2</v>
      </c>
      <c r="O4255">
        <v>-0.90989759999999997</v>
      </c>
      <c r="P4255">
        <v>0.63099919999999998</v>
      </c>
      <c r="Q4255">
        <v>0.16713910000000001</v>
      </c>
      <c r="R4255">
        <v>-0.75756459999999903</v>
      </c>
      <c r="S4255">
        <v>2.43689</v>
      </c>
      <c r="T4255">
        <v>3.3976550000000001E-2</v>
      </c>
      <c r="U4255">
        <v>-1.934204</v>
      </c>
      <c r="V4255">
        <v>-0.26283220000000002</v>
      </c>
      <c r="W4255">
        <v>0.17696509999999999</v>
      </c>
      <c r="X4255">
        <v>0.94847380000000003</v>
      </c>
      <c r="Y4255">
        <v>-0.45476329999999998</v>
      </c>
      <c r="Z4255">
        <v>-2.2808410000000001E-2</v>
      </c>
      <c r="AA4255">
        <v>0.89032019999999901</v>
      </c>
      <c r="AB4255">
        <v>22</v>
      </c>
      <c r="AC4255">
        <v>84.2991999999999</v>
      </c>
      <c r="AD4255">
        <v>1.1766749999999999</v>
      </c>
      <c r="AE4255">
        <v>-66.796559999999999</v>
      </c>
      <c r="AF4255">
        <v>-49.010580535077104</v>
      </c>
      <c r="AG4255">
        <v>1.1766749999999999</v>
      </c>
      <c r="AH4255">
        <v>95.725283562096493</v>
      </c>
      <c r="AI4255">
        <v>89.373123309964498</v>
      </c>
      <c r="AJ4255">
        <v>117.112083809056</v>
      </c>
      <c r="AK4255">
        <v>107.54883300847401</v>
      </c>
      <c r="AL4255">
        <v>79.806964686673993</v>
      </c>
      <c r="AM4255">
        <v>105.488619862188</v>
      </c>
      <c r="AN4255">
        <v>0.99999998063064399</v>
      </c>
    </row>
    <row r="4256" spans="1:40" x14ac:dyDescent="0.25">
      <c r="A4256" t="str">
        <f>"20190304155459517"</f>
        <v>20190304155459517</v>
      </c>
      <c r="B4256" t="str">
        <f>"1551686099511173"</f>
        <v>1551686099511173</v>
      </c>
      <c r="C4256" t="s">
        <v>40</v>
      </c>
      <c r="D4256">
        <v>4.2016730000000004</v>
      </c>
      <c r="E4256">
        <v>0.41333880000000001</v>
      </c>
      <c r="F4256" t="s">
        <v>86</v>
      </c>
      <c r="G4256">
        <v>-334.7697</v>
      </c>
      <c r="H4256">
        <v>2.0958640000000002</v>
      </c>
      <c r="I4256">
        <v>-32.56109</v>
      </c>
      <c r="J4256">
        <v>-418.80799999999999</v>
      </c>
      <c r="K4256">
        <v>1.1169249999999999</v>
      </c>
      <c r="L4256">
        <v>32.329320000000003</v>
      </c>
      <c r="M4256">
        <v>0.42403730000000001</v>
      </c>
      <c r="N4256">
        <v>-1.4559330000000001E-2</v>
      </c>
      <c r="O4256">
        <v>-0.90552770000000005</v>
      </c>
      <c r="P4256">
        <v>0.64059960000000005</v>
      </c>
      <c r="Q4256">
        <v>0.165684</v>
      </c>
      <c r="R4256">
        <v>-0.74978739999999999</v>
      </c>
      <c r="S4256">
        <v>2.461182</v>
      </c>
      <c r="T4256">
        <v>2.863634E-2</v>
      </c>
      <c r="U4256">
        <v>-1.903748</v>
      </c>
      <c r="V4256">
        <v>-0.26489439999999997</v>
      </c>
      <c r="W4256">
        <v>0.1754636</v>
      </c>
      <c r="X4256">
        <v>0.94817910000000005</v>
      </c>
      <c r="Y4256">
        <v>-0.45665850000000002</v>
      </c>
      <c r="Z4256">
        <v>-2.0968879999999999E-2</v>
      </c>
      <c r="AA4256">
        <v>0.88939489999999999</v>
      </c>
      <c r="AB4256">
        <v>22</v>
      </c>
      <c r="AC4256">
        <v>84.038300000000007</v>
      </c>
      <c r="AD4256">
        <v>0.978938999999999</v>
      </c>
      <c r="AE4256">
        <v>-64.890410000000003</v>
      </c>
      <c r="AF4256">
        <v>-48.5840736580559</v>
      </c>
      <c r="AG4256">
        <v>0.978938999999999</v>
      </c>
      <c r="AH4256">
        <v>94.397418210907205</v>
      </c>
      <c r="AI4256">
        <v>89.471701662689597</v>
      </c>
      <c r="AJ4256">
        <v>117.233787397304</v>
      </c>
      <c r="AK4256">
        <v>106.17082037764401</v>
      </c>
      <c r="AL4256">
        <v>79.894362747867504</v>
      </c>
      <c r="AM4256">
        <v>105.608858813236</v>
      </c>
      <c r="AN4256">
        <v>1.0000000618765601</v>
      </c>
    </row>
    <row r="4257" spans="1:40" x14ac:dyDescent="0.25">
      <c r="A4257" t="str">
        <f>"20190304155459539"</f>
        <v>20190304155459539</v>
      </c>
      <c r="B4257" t="str">
        <f>"1551686099531672"</f>
        <v>1551686099531672</v>
      </c>
      <c r="C4257" t="s">
        <v>40</v>
      </c>
      <c r="D4257">
        <v>4.141438</v>
      </c>
      <c r="E4257">
        <v>0.41328579999999998</v>
      </c>
      <c r="F4257" t="s">
        <v>87</v>
      </c>
      <c r="G4257">
        <v>-364.55130000000003</v>
      </c>
      <c r="H4257">
        <v>1.6271929999999999</v>
      </c>
      <c r="I4257">
        <v>-8.5566029999999902</v>
      </c>
      <c r="J4257">
        <v>-418.70420000000001</v>
      </c>
      <c r="K4257">
        <v>1.116967</v>
      </c>
      <c r="L4257">
        <v>32.13617</v>
      </c>
      <c r="M4257">
        <v>0.43367280000000002</v>
      </c>
      <c r="N4257">
        <v>-1.4575650000000001E-2</v>
      </c>
      <c r="O4257">
        <v>-0.90095259999999999</v>
      </c>
      <c r="P4257">
        <v>0.64991779999999999</v>
      </c>
      <c r="Q4257">
        <v>0.16482849999999999</v>
      </c>
      <c r="R4257">
        <v>-0.74191549999999995</v>
      </c>
      <c r="S4257">
        <v>2.4851380000000001</v>
      </c>
      <c r="T4257">
        <v>2.3371929999999999E-2</v>
      </c>
      <c r="U4257">
        <v>-1.872711</v>
      </c>
      <c r="V4257">
        <v>-0.2665555</v>
      </c>
      <c r="W4257">
        <v>0.17456360000000001</v>
      </c>
      <c r="X4257">
        <v>0.94787960000000004</v>
      </c>
      <c r="Y4257">
        <v>-0.45840059999999999</v>
      </c>
      <c r="Z4257">
        <v>-1.9155640000000002E-2</v>
      </c>
      <c r="AA4257">
        <v>0.88853930000000003</v>
      </c>
      <c r="AB4257">
        <v>22</v>
      </c>
      <c r="AC4257">
        <v>54.152899999999903</v>
      </c>
      <c r="AD4257">
        <v>0.51022599999999996</v>
      </c>
      <c r="AE4257">
        <v>-40.692772999999903</v>
      </c>
      <c r="AF4257">
        <v>-31.143386756966599</v>
      </c>
      <c r="AG4257">
        <v>0.51022599999999996</v>
      </c>
      <c r="AH4257">
        <v>60.149872795464198</v>
      </c>
      <c r="AI4257">
        <v>89.5684121671475</v>
      </c>
      <c r="AJ4257">
        <v>117.373455400385</v>
      </c>
      <c r="AK4257">
        <v>67.736091314568796</v>
      </c>
      <c r="AL4257">
        <v>79.946736774790693</v>
      </c>
      <c r="AM4257">
        <v>105.706641562049</v>
      </c>
      <c r="AN4257">
        <v>1.0000000105606801</v>
      </c>
    </row>
    <row r="4258" spans="1:40" x14ac:dyDescent="0.25">
      <c r="A4258" t="str">
        <f>"20190304155459562"</f>
        <v>20190304155459562</v>
      </c>
      <c r="B4258" t="str">
        <f>"1551686099551188"</f>
        <v>1551686099551188</v>
      </c>
      <c r="C4258" t="s">
        <v>40</v>
      </c>
      <c r="D4258">
        <v>4.134137</v>
      </c>
      <c r="E4258">
        <v>0.4132226</v>
      </c>
      <c r="F4258" t="s">
        <v>87</v>
      </c>
      <c r="G4258">
        <v>-364.4</v>
      </c>
      <c r="H4258">
        <v>1.5593900000000001</v>
      </c>
      <c r="I4258">
        <v>-7.716221</v>
      </c>
      <c r="J4258">
        <v>-418.59559999999999</v>
      </c>
      <c r="K4258">
        <v>1.11702099999999</v>
      </c>
      <c r="L4258">
        <v>31.939789999999999</v>
      </c>
      <c r="M4258">
        <v>0.44358910000000001</v>
      </c>
      <c r="N4258">
        <v>-1.459266E-2</v>
      </c>
      <c r="O4258">
        <v>-0.89611160000000001</v>
      </c>
      <c r="P4258">
        <v>0.65885740000000004</v>
      </c>
      <c r="Q4258">
        <v>0.1636417</v>
      </c>
      <c r="R4258">
        <v>-0.73425399999999996</v>
      </c>
      <c r="S4258">
        <v>2.5089419999999998</v>
      </c>
      <c r="T4258">
        <v>2.0440699999999999E-2</v>
      </c>
      <c r="U4258">
        <v>-1.841248</v>
      </c>
      <c r="V4258">
        <v>-0.26746589999999998</v>
      </c>
      <c r="W4258">
        <v>0.17334269999999999</v>
      </c>
      <c r="X4258">
        <v>0.9478472</v>
      </c>
      <c r="Y4258">
        <v>-0.45987139999999999</v>
      </c>
      <c r="Z4258">
        <v>-1.809587E-2</v>
      </c>
      <c r="AA4258">
        <v>0.88780110000000001</v>
      </c>
      <c r="AB4258">
        <v>22</v>
      </c>
      <c r="AC4258">
        <v>54.195599999999999</v>
      </c>
      <c r="AD4258">
        <v>0.44236900000000001</v>
      </c>
      <c r="AE4258">
        <v>-39.656010999999999</v>
      </c>
      <c r="AF4258">
        <v>-30.9762822699244</v>
      </c>
      <c r="AG4258">
        <v>0.44236900000000001</v>
      </c>
      <c r="AH4258">
        <v>59.580540861382097</v>
      </c>
      <c r="AI4258">
        <v>89.622564230381499</v>
      </c>
      <c r="AJ4258">
        <v>117.470193214269</v>
      </c>
      <c r="AK4258">
        <v>67.153306716296697</v>
      </c>
      <c r="AL4258">
        <v>80.017772170706905</v>
      </c>
      <c r="AM4258">
        <v>105.75813805509</v>
      </c>
      <c r="AN4258">
        <v>1.0000000069269599</v>
      </c>
    </row>
    <row r="4259" spans="1:40" x14ac:dyDescent="0.25">
      <c r="A4259" t="str">
        <f>"20190304155459584"</f>
        <v>20190304155459584</v>
      </c>
      <c r="B4259" t="str">
        <f>"1551686099571685"</f>
        <v>1551686099571685</v>
      </c>
      <c r="C4259" t="s">
        <v>40</v>
      </c>
      <c r="D4259">
        <v>4.1270100000000003</v>
      </c>
      <c r="E4259">
        <v>0.41311029999999999</v>
      </c>
      <c r="F4259" t="s">
        <v>87</v>
      </c>
      <c r="G4259">
        <v>-364.55130000000003</v>
      </c>
      <c r="H4259">
        <v>1.468145</v>
      </c>
      <c r="I4259">
        <v>-6.7129570000000003</v>
      </c>
      <c r="J4259">
        <v>-418.49220000000003</v>
      </c>
      <c r="K4259">
        <v>1.11707</v>
      </c>
      <c r="L4259">
        <v>31.758030000000002</v>
      </c>
      <c r="M4259">
        <v>0.45289400000000002</v>
      </c>
      <c r="N4259">
        <v>-1.4608889999999999E-2</v>
      </c>
      <c r="O4259">
        <v>-0.89144489999999998</v>
      </c>
      <c r="P4259">
        <v>0.6668828</v>
      </c>
      <c r="Q4259">
        <v>0.162275</v>
      </c>
      <c r="R4259">
        <v>-0.7272788</v>
      </c>
      <c r="S4259">
        <v>2.5314640000000002</v>
      </c>
      <c r="T4259">
        <v>1.6446829999999999E-2</v>
      </c>
      <c r="U4259">
        <v>-1.810516</v>
      </c>
      <c r="V4259">
        <v>-0.2678738</v>
      </c>
      <c r="W4259">
        <v>0.17195250000000001</v>
      </c>
      <c r="X4259">
        <v>0.94798519999999997</v>
      </c>
      <c r="Y4259">
        <v>-0.46151300000000001</v>
      </c>
      <c r="Z4259">
        <v>-1.6701609999999999E-2</v>
      </c>
      <c r="AA4259">
        <v>0.88697619999999899</v>
      </c>
      <c r="AB4259">
        <v>22</v>
      </c>
      <c r="AC4259">
        <v>53.940899999999999</v>
      </c>
      <c r="AD4259">
        <v>0.35107500000000003</v>
      </c>
      <c r="AE4259">
        <v>-38.470987000000001</v>
      </c>
      <c r="AF4259">
        <v>-30.664466275002098</v>
      </c>
      <c r="AG4259">
        <v>0.35107500000000003</v>
      </c>
      <c r="AH4259">
        <v>58.728881691243302</v>
      </c>
      <c r="AI4259">
        <v>89.6963898154725</v>
      </c>
      <c r="AJ4259">
        <v>117.570684452856</v>
      </c>
      <c r="AK4259">
        <v>66.253409650299702</v>
      </c>
      <c r="AL4259">
        <v>80.098638898166101</v>
      </c>
      <c r="AM4259">
        <v>105.778790955218</v>
      </c>
      <c r="AN4259">
        <v>0.99999998720086403</v>
      </c>
    </row>
    <row r="4260" spans="1:40" x14ac:dyDescent="0.25">
      <c r="A4260" t="str">
        <f>"20190304155459606"</f>
        <v>20190304155459606</v>
      </c>
      <c r="B4260" t="str">
        <f>"1551686099601940"</f>
        <v>1551686099601940</v>
      </c>
      <c r="C4260" t="s">
        <v>40</v>
      </c>
      <c r="D4260">
        <v>4.228523</v>
      </c>
      <c r="E4260">
        <v>0.41263440000000001</v>
      </c>
      <c r="F4260" t="s">
        <v>87</v>
      </c>
      <c r="G4260">
        <v>-364.4</v>
      </c>
      <c r="H4260">
        <v>1.392827</v>
      </c>
      <c r="I4260">
        <v>-5.998138</v>
      </c>
      <c r="J4260">
        <v>-418.3802</v>
      </c>
      <c r="K4260">
        <v>1.117108</v>
      </c>
      <c r="L4260">
        <v>31.56607</v>
      </c>
      <c r="M4260">
        <v>0.46283049999999998</v>
      </c>
      <c r="N4260">
        <v>-1.462571E-2</v>
      </c>
      <c r="O4260">
        <v>-0.88632599999999995</v>
      </c>
      <c r="P4260">
        <v>0.67497249999999998</v>
      </c>
      <c r="Q4260">
        <v>0.160158299999999</v>
      </c>
      <c r="R4260">
        <v>-0.72025130000000004</v>
      </c>
      <c r="S4260">
        <v>2.5524290000000001</v>
      </c>
      <c r="T4260">
        <v>1.3012050000000001E-2</v>
      </c>
      <c r="U4260">
        <v>-1.7815859999999999</v>
      </c>
      <c r="V4260">
        <v>-0.26764339999999998</v>
      </c>
      <c r="W4260">
        <v>0.1698308</v>
      </c>
      <c r="X4260">
        <v>0.94843270000000002</v>
      </c>
      <c r="Y4260">
        <v>-0.46179179999999997</v>
      </c>
      <c r="Z4260">
        <v>-1.548572E-2</v>
      </c>
      <c r="AA4260">
        <v>0.88685319999999901</v>
      </c>
      <c r="AB4260">
        <v>22</v>
      </c>
      <c r="AC4260">
        <v>53.980200000000004</v>
      </c>
      <c r="AD4260">
        <v>0.27571899999999999</v>
      </c>
      <c r="AE4260">
        <v>-37.564208000000001</v>
      </c>
      <c r="AF4260">
        <v>-30.4609199861817</v>
      </c>
      <c r="AG4260">
        <v>0.27571899999999999</v>
      </c>
      <c r="AH4260">
        <v>58.283033812400497</v>
      </c>
      <c r="AI4260">
        <v>89.759782419332794</v>
      </c>
      <c r="AJ4260">
        <v>117.593272100024</v>
      </c>
      <c r="AK4260">
        <v>65.763635070979404</v>
      </c>
      <c r="AL4260">
        <v>80.222018817921594</v>
      </c>
      <c r="AM4260">
        <v>105.75882530552001</v>
      </c>
      <c r="AN4260">
        <v>1.0000000383107399</v>
      </c>
    </row>
    <row r="4261" spans="1:40" x14ac:dyDescent="0.25">
      <c r="A4261" t="str">
        <f>"20190304155459631"</f>
        <v>20190304155459631</v>
      </c>
      <c r="B4261" t="str">
        <f>"1551686099621461"</f>
        <v>1551686099621461</v>
      </c>
      <c r="C4261" t="s">
        <v>40</v>
      </c>
      <c r="D4261">
        <v>4.4341609999999996</v>
      </c>
      <c r="E4261">
        <v>0.4128906</v>
      </c>
      <c r="F4261" t="s">
        <v>87</v>
      </c>
      <c r="G4261">
        <v>-364.4</v>
      </c>
      <c r="H4261">
        <v>1.2679370000000001</v>
      </c>
      <c r="I4261">
        <v>-5.1155330000000001</v>
      </c>
      <c r="J4261">
        <v>-418.26510000000002</v>
      </c>
      <c r="K4261">
        <v>1.1171390000000001</v>
      </c>
      <c r="L4261">
        <v>31.374179999999999</v>
      </c>
      <c r="M4261">
        <v>0.47287040000000002</v>
      </c>
      <c r="N4261">
        <v>-1.4641329999999999E-2</v>
      </c>
      <c r="O4261">
        <v>-0.88101039999999997</v>
      </c>
      <c r="P4261">
        <v>0.68305019999999905</v>
      </c>
      <c r="Q4261">
        <v>0.15805429999999901</v>
      </c>
      <c r="R4261">
        <v>-0.71306519999999995</v>
      </c>
      <c r="S4261">
        <v>2.5754090000000001</v>
      </c>
      <c r="T4261">
        <v>7.1960690000000003E-3</v>
      </c>
      <c r="U4261">
        <v>-1.75009199999999</v>
      </c>
      <c r="V4261">
        <v>-0.26732129999999998</v>
      </c>
      <c r="W4261">
        <v>0.1677285</v>
      </c>
      <c r="X4261">
        <v>0.94889749999999995</v>
      </c>
      <c r="Y4261">
        <v>-0.4628372</v>
      </c>
      <c r="Z4261">
        <v>-1.350529E-2</v>
      </c>
      <c r="AA4261">
        <v>0.88634040000000003</v>
      </c>
      <c r="AB4261">
        <v>22</v>
      </c>
      <c r="AC4261">
        <v>53.865099999999998</v>
      </c>
      <c r="AD4261">
        <v>0.15079799999999999</v>
      </c>
      <c r="AE4261">
        <v>-36.489713000000002</v>
      </c>
      <c r="AF4261">
        <v>-30.203881786035002</v>
      </c>
      <c r="AG4261">
        <v>0.15079799999999999</v>
      </c>
      <c r="AH4261">
        <v>57.624892175000802</v>
      </c>
      <c r="AI4261">
        <v>89.867199932772607</v>
      </c>
      <c r="AJ4261">
        <v>117.661120732952</v>
      </c>
      <c r="AK4261">
        <v>65.060936153440494</v>
      </c>
      <c r="AL4261">
        <v>80.344224538577606</v>
      </c>
      <c r="AM4261">
        <v>105.733472120736</v>
      </c>
      <c r="AN4261">
        <v>0.99999999632609404</v>
      </c>
    </row>
    <row r="4262" spans="1:40" x14ac:dyDescent="0.25">
      <c r="A4262" t="str">
        <f>"20190304155459650"</f>
        <v>20190304155459650</v>
      </c>
      <c r="B4262" t="str">
        <f>"1551686099641961"</f>
        <v>1551686099641961</v>
      </c>
      <c r="C4262" t="s">
        <v>40</v>
      </c>
      <c r="D4262">
        <v>4.5379589999999999</v>
      </c>
      <c r="E4262">
        <v>0.41327799999999998</v>
      </c>
      <c r="F4262" t="s">
        <v>87</v>
      </c>
      <c r="G4262">
        <v>-364.55130000000003</v>
      </c>
      <c r="H4262">
        <v>1.0464310000000001</v>
      </c>
      <c r="I4262">
        <v>-4.3147060000000002</v>
      </c>
      <c r="J4262">
        <v>-418.16460000000001</v>
      </c>
      <c r="K4262">
        <v>1.117164</v>
      </c>
      <c r="L4262">
        <v>31.210660000000001</v>
      </c>
      <c r="M4262">
        <v>0.48151110000000003</v>
      </c>
      <c r="N4262">
        <v>-1.4653799999999899E-2</v>
      </c>
      <c r="O4262">
        <v>-0.87631740000000002</v>
      </c>
      <c r="P4262">
        <v>0.68930239999999998</v>
      </c>
      <c r="Q4262">
        <v>0.1564381</v>
      </c>
      <c r="R4262">
        <v>-0.70738190000000001</v>
      </c>
      <c r="S4262">
        <v>2.59375</v>
      </c>
      <c r="T4262">
        <v>-3.414392E-3</v>
      </c>
      <c r="U4262">
        <v>-1.7233579999999999</v>
      </c>
      <c r="V4262">
        <v>-0.266156</v>
      </c>
      <c r="W4262">
        <v>0.16613329999999901</v>
      </c>
      <c r="X4262">
        <v>0.9495055</v>
      </c>
      <c r="Y4262">
        <v>-0.46337699999999998</v>
      </c>
      <c r="Z4262">
        <v>-1.0017969999999999E-2</v>
      </c>
      <c r="AA4262">
        <v>0.88610460000000002</v>
      </c>
      <c r="AB4262">
        <v>22</v>
      </c>
      <c r="AC4262">
        <v>53.613299999999903</v>
      </c>
      <c r="AD4262">
        <v>-7.0733000000000101E-2</v>
      </c>
      <c r="AE4262">
        <v>-35.525365999999998</v>
      </c>
      <c r="AF4262">
        <v>-29.879583825162399</v>
      </c>
      <c r="AG4262">
        <v>-7.0733000000000101E-2</v>
      </c>
      <c r="AH4262">
        <v>56.952945757551603</v>
      </c>
      <c r="AI4262">
        <v>90.063013241937</v>
      </c>
      <c r="AJ4262">
        <v>117.683135327662</v>
      </c>
      <c r="AK4262">
        <v>64.315103694115393</v>
      </c>
      <c r="AL4262">
        <v>80.436923432697995</v>
      </c>
      <c r="AM4262">
        <v>105.65872188105401</v>
      </c>
      <c r="AN4262">
        <v>0.99999999211756996</v>
      </c>
    </row>
    <row r="4263" spans="1:40" x14ac:dyDescent="0.25">
      <c r="A4263" t="str">
        <f>"20190304155459673"</f>
        <v>20190304155459673</v>
      </c>
      <c r="B4263" t="str">
        <f>"1551686099661477"</f>
        <v>1551686099661477</v>
      </c>
      <c r="C4263" t="s">
        <v>40</v>
      </c>
      <c r="D4263">
        <v>4.5218879999999997</v>
      </c>
      <c r="E4263">
        <v>0.41366340000000001</v>
      </c>
      <c r="F4263" t="s">
        <v>87</v>
      </c>
      <c r="G4263">
        <v>-364.4</v>
      </c>
      <c r="H4263">
        <v>0.83829179999999903</v>
      </c>
      <c r="I4263">
        <v>-3.9358050000000002</v>
      </c>
      <c r="J4263">
        <v>-418.04930000000002</v>
      </c>
      <c r="K4263">
        <v>1.117181</v>
      </c>
      <c r="L4263">
        <v>31.027560000000001</v>
      </c>
      <c r="M4263">
        <v>0.49128090000000002</v>
      </c>
      <c r="N4263">
        <v>-1.466756E-2</v>
      </c>
      <c r="O4263">
        <v>-0.87087760000000003</v>
      </c>
      <c r="P4263">
        <v>0.69654399999999905</v>
      </c>
      <c r="Q4263">
        <v>0.1548262</v>
      </c>
      <c r="R4263">
        <v>-0.70061059999999997</v>
      </c>
      <c r="S4263">
        <v>2.6066280000000002</v>
      </c>
      <c r="T4263">
        <v>-1.352036E-2</v>
      </c>
      <c r="U4263">
        <v>-1.7039789999999999</v>
      </c>
      <c r="V4263">
        <v>-0.26511469999999998</v>
      </c>
      <c r="W4263">
        <v>0.16454089999999999</v>
      </c>
      <c r="X4263">
        <v>0.95007399999999997</v>
      </c>
      <c r="Y4263">
        <v>-0.46010240000000002</v>
      </c>
      <c r="Z4263">
        <v>-6.7171289999999996E-3</v>
      </c>
      <c r="AA4263">
        <v>0.88784039999999997</v>
      </c>
      <c r="AB4263">
        <v>22</v>
      </c>
      <c r="AC4263">
        <v>53.649299999999997</v>
      </c>
      <c r="AD4263">
        <v>-0.2788892</v>
      </c>
      <c r="AE4263">
        <v>-34.963365000000003</v>
      </c>
      <c r="AF4263">
        <v>-29.547760556690601</v>
      </c>
      <c r="AG4263">
        <v>-0.2788892</v>
      </c>
      <c r="AH4263">
        <v>56.810725877704101</v>
      </c>
      <c r="AI4263">
        <v>90.249535106180801</v>
      </c>
      <c r="AJ4263">
        <v>117.479340012759</v>
      </c>
      <c r="AK4263">
        <v>64.035978229843806</v>
      </c>
      <c r="AL4263">
        <v>80.529435098715794</v>
      </c>
      <c r="AM4263">
        <v>105.591567165339</v>
      </c>
      <c r="AN4263">
        <v>1.00000005870244</v>
      </c>
    </row>
    <row r="4264" spans="1:40" x14ac:dyDescent="0.25">
      <c r="A4264" t="str">
        <f>"20190304155459695"</f>
        <v>20190304155459695</v>
      </c>
      <c r="B4264" t="str">
        <f>"1551686099691733"</f>
        <v>1551686099691733</v>
      </c>
      <c r="C4264" t="s">
        <v>40</v>
      </c>
      <c r="D4264">
        <v>4.5083919999999997</v>
      </c>
      <c r="E4264">
        <v>0.41416170000000002</v>
      </c>
      <c r="F4264" t="s">
        <v>87</v>
      </c>
      <c r="G4264">
        <v>-364.4</v>
      </c>
      <c r="H4264">
        <v>0.64604839999999997</v>
      </c>
      <c r="I4264">
        <v>-3.3468749999999998</v>
      </c>
      <c r="J4264">
        <v>-417.93259999999998</v>
      </c>
      <c r="K4264">
        <v>1.117202</v>
      </c>
      <c r="L4264">
        <v>30.846920000000001</v>
      </c>
      <c r="M4264">
        <v>0.50100719999999999</v>
      </c>
      <c r="N4264">
        <v>-1.468127E-2</v>
      </c>
      <c r="O4264">
        <v>-0.8653187</v>
      </c>
      <c r="P4264">
        <v>0.70397379999999998</v>
      </c>
      <c r="Q4264">
        <v>0.15335109999999999</v>
      </c>
      <c r="R4264">
        <v>-0.69347309999999995</v>
      </c>
      <c r="S4264">
        <v>2.6221619999999999</v>
      </c>
      <c r="T4264">
        <v>-2.3027059999999999E-2</v>
      </c>
      <c r="U4264">
        <v>-1.6800839999999999</v>
      </c>
      <c r="V4264">
        <v>-0.2644203</v>
      </c>
      <c r="W4264">
        <v>0.1630789</v>
      </c>
      <c r="X4264">
        <v>0.95051940000000001</v>
      </c>
      <c r="Y4264">
        <v>-0.4582871</v>
      </c>
      <c r="Z4264">
        <v>-3.6225210000000001E-3</v>
      </c>
      <c r="AA4264">
        <v>0.88879680000000005</v>
      </c>
      <c r="AB4264">
        <v>22</v>
      </c>
      <c r="AC4264">
        <v>53.532600000000002</v>
      </c>
      <c r="AD4264">
        <v>-0.47115360000000001</v>
      </c>
      <c r="AE4264">
        <v>-34.193795000000001</v>
      </c>
      <c r="AF4264">
        <v>-29.192959724918801</v>
      </c>
      <c r="AG4264">
        <v>-0.47115360000000001</v>
      </c>
      <c r="AH4264">
        <v>56.411719057010501</v>
      </c>
      <c r="AI4264">
        <v>90.424992956313005</v>
      </c>
      <c r="AJ4264">
        <v>117.361480792517</v>
      </c>
      <c r="AK4264">
        <v>63.519547622622497</v>
      </c>
      <c r="AL4264">
        <v>80.614347767840101</v>
      </c>
      <c r="AM4264">
        <v>105.545772877711</v>
      </c>
      <c r="AN4264">
        <v>0.99999997622682901</v>
      </c>
    </row>
    <row r="4265" spans="1:40" x14ac:dyDescent="0.25">
      <c r="A4265" t="str">
        <f>"20190304155459718"</f>
        <v>20190304155459718</v>
      </c>
      <c r="B4265" t="str">
        <f>"1551686099711253"</f>
        <v>1551686099711253</v>
      </c>
      <c r="C4265" t="s">
        <v>40</v>
      </c>
      <c r="D4265">
        <v>4.5177809999999896</v>
      </c>
      <c r="E4265">
        <v>0.42983359999999898</v>
      </c>
      <c r="F4265" t="s">
        <v>87</v>
      </c>
      <c r="G4265">
        <v>-364.55130000000003</v>
      </c>
      <c r="H4265">
        <v>0.44326890000000002</v>
      </c>
      <c r="I4265">
        <v>-2.6623619999999999</v>
      </c>
      <c r="J4265">
        <v>-417.81259999999997</v>
      </c>
      <c r="K4265">
        <v>1.117224</v>
      </c>
      <c r="L4265">
        <v>30.665800000000001</v>
      </c>
      <c r="M4265">
        <v>0.51084070000000004</v>
      </c>
      <c r="N4265">
        <v>-1.4694459999999999E-2</v>
      </c>
      <c r="O4265">
        <v>-0.85954989999999998</v>
      </c>
      <c r="P4265">
        <v>0.71143140000000005</v>
      </c>
      <c r="Q4265">
        <v>0.15188599999999999</v>
      </c>
      <c r="R4265">
        <v>-0.68614580000000003</v>
      </c>
      <c r="S4265">
        <v>2.6377259999999998</v>
      </c>
      <c r="T4265">
        <v>-3.3300999999999997E-2</v>
      </c>
      <c r="U4265">
        <v>-1.6557919999999999</v>
      </c>
      <c r="V4265">
        <v>-0.26368000000000003</v>
      </c>
      <c r="W4265">
        <v>0.16162839999999901</v>
      </c>
      <c r="X4265">
        <v>0.9509727</v>
      </c>
      <c r="Y4265">
        <v>-0.45638420000000002</v>
      </c>
      <c r="Z4265">
        <v>-3.0803690000000001E-4</v>
      </c>
      <c r="AA4265">
        <v>0.88978269999999904</v>
      </c>
      <c r="AB4265">
        <v>22</v>
      </c>
      <c r="AC4265">
        <v>53.261299999999899</v>
      </c>
      <c r="AD4265">
        <v>-0.67395509999999903</v>
      </c>
      <c r="AE4265">
        <v>-33.328161999999999</v>
      </c>
      <c r="AF4265">
        <v>-28.7551572916237</v>
      </c>
      <c r="AG4265">
        <v>-0.67395509999999903</v>
      </c>
      <c r="AH4265">
        <v>55.854857576892101</v>
      </c>
      <c r="AI4265">
        <v>90.614644570898605</v>
      </c>
      <c r="AJ4265">
        <v>117.240282690665</v>
      </c>
      <c r="AK4265">
        <v>62.825778158951103</v>
      </c>
      <c r="AL4265">
        <v>80.698572776859393</v>
      </c>
      <c r="AM4265">
        <v>105.497310575396</v>
      </c>
      <c r="AN4265">
        <v>0.99999997911592398</v>
      </c>
    </row>
    <row r="4266" spans="1:40" x14ac:dyDescent="0.25">
      <c r="A4266" t="str">
        <f>"20190304155459740"</f>
        <v>20190304155459740</v>
      </c>
      <c r="B4266" t="str">
        <f>"1551686099731749"</f>
        <v>1551686099731749</v>
      </c>
      <c r="C4266" t="s">
        <v>40</v>
      </c>
      <c r="D4266">
        <v>4.5316140000000003</v>
      </c>
      <c r="E4266">
        <v>0.42759449999999999</v>
      </c>
      <c r="F4266" t="s">
        <v>74</v>
      </c>
      <c r="G4266">
        <v>-405.06029999999998</v>
      </c>
      <c r="H4266" s="1">
        <v>-4.2204740000000002E-6</v>
      </c>
      <c r="I4266">
        <v>22.084</v>
      </c>
      <c r="J4266">
        <v>-417.6925</v>
      </c>
      <c r="K4266">
        <v>1.117245</v>
      </c>
      <c r="L4266">
        <v>30.488980000000002</v>
      </c>
      <c r="M4266">
        <v>0.52051689999999995</v>
      </c>
      <c r="N4266">
        <v>-1.47064E-2</v>
      </c>
      <c r="O4266">
        <v>-0.853724699999999</v>
      </c>
      <c r="P4266">
        <v>0.71881930000000005</v>
      </c>
      <c r="Q4266">
        <v>0.15080189999999999</v>
      </c>
      <c r="R4266">
        <v>-0.67864389999999997</v>
      </c>
      <c r="S4266">
        <v>2.586487</v>
      </c>
      <c r="T4266">
        <v>-0.22660140000000001</v>
      </c>
      <c r="U4266">
        <v>-1.7406009999999901</v>
      </c>
      <c r="V4266">
        <v>-0.26310129999999998</v>
      </c>
      <c r="W4266">
        <v>0.16055440000000001</v>
      </c>
      <c r="X4266">
        <v>0.95131489999999996</v>
      </c>
      <c r="Y4266">
        <v>-0.41584989999999999</v>
      </c>
      <c r="Z4266">
        <v>5.9283660000000002E-2</v>
      </c>
      <c r="AA4266">
        <v>0.90749899999999994</v>
      </c>
      <c r="AB4266">
        <v>22</v>
      </c>
      <c r="AC4266">
        <v>12.632199999999999</v>
      </c>
      <c r="AD4266">
        <v>-1.1172492204739899</v>
      </c>
      <c r="AE4266">
        <v>-8.4049799999999895</v>
      </c>
      <c r="AF4266">
        <v>-6.3756113524764899</v>
      </c>
      <c r="AG4266">
        <v>-1.1172492204739899</v>
      </c>
      <c r="AH4266">
        <v>13.678136286528</v>
      </c>
      <c r="AI4266">
        <v>94.234104907054004</v>
      </c>
      <c r="AJ4266">
        <v>114.99102479760499</v>
      </c>
      <c r="AK4266">
        <v>15.1323520383089</v>
      </c>
      <c r="AL4266">
        <v>80.760923191360604</v>
      </c>
      <c r="AM4266">
        <v>105.459631432583</v>
      </c>
      <c r="AN4266">
        <v>1.0000000241915199</v>
      </c>
    </row>
    <row r="4267" spans="1:40" x14ac:dyDescent="0.25">
      <c r="A4267" t="str">
        <f>"20190304155459762"</f>
        <v>20190304155459762</v>
      </c>
      <c r="B4267" t="str">
        <f>"1551686099751269"</f>
        <v>1551686099751269</v>
      </c>
      <c r="C4267" t="s">
        <v>40</v>
      </c>
      <c r="D4267">
        <v>4.5192540000000001</v>
      </c>
      <c r="E4267">
        <v>0.42713879999999999</v>
      </c>
      <c r="F4267" t="s">
        <v>74</v>
      </c>
      <c r="G4267">
        <v>-404.11270000000002</v>
      </c>
      <c r="H4267" s="1">
        <v>-4.5937809999999996E-6</v>
      </c>
      <c r="I4267">
        <v>21.680019999999999</v>
      </c>
      <c r="J4267">
        <v>-417.57310000000001</v>
      </c>
      <c r="K4267">
        <v>1.117265</v>
      </c>
      <c r="L4267">
        <v>30.317689999999999</v>
      </c>
      <c r="M4267">
        <v>0.52996709999999903</v>
      </c>
      <c r="N4267">
        <v>-1.4717050000000001E-2</v>
      </c>
      <c r="O4267">
        <v>-0.84789049999999999</v>
      </c>
      <c r="P4267">
        <v>0.72573489999999996</v>
      </c>
      <c r="Q4267">
        <v>0.15043099999999901</v>
      </c>
      <c r="R4267">
        <v>-0.6713266</v>
      </c>
      <c r="S4267">
        <v>2.616333</v>
      </c>
      <c r="T4267">
        <v>-0.21525429999999901</v>
      </c>
      <c r="U4267">
        <v>-1.697174</v>
      </c>
      <c r="V4267">
        <v>-0.26223829999999998</v>
      </c>
      <c r="W4267">
        <v>0.1601986</v>
      </c>
      <c r="X4267">
        <v>0.95161309999999999</v>
      </c>
      <c r="Y4267">
        <v>-0.42127779999999998</v>
      </c>
      <c r="Z4267">
        <v>5.5749460000000001E-2</v>
      </c>
      <c r="AA4267">
        <v>0.90521660000000004</v>
      </c>
      <c r="AB4267">
        <v>22</v>
      </c>
      <c r="AC4267">
        <v>13.4603999999999</v>
      </c>
      <c r="AD4267">
        <v>-1.117269593781</v>
      </c>
      <c r="AE4267">
        <v>-8.63767</v>
      </c>
      <c r="AF4267">
        <v>-6.8028062188483496</v>
      </c>
      <c r="AG4267">
        <v>-1.117269593781</v>
      </c>
      <c r="AH4267">
        <v>14.3887147878528</v>
      </c>
      <c r="AI4267">
        <v>94.015501261017903</v>
      </c>
      <c r="AJ4267">
        <v>115.304204651513</v>
      </c>
      <c r="AK4267">
        <v>15.954985961841601</v>
      </c>
      <c r="AL4267">
        <v>80.781576185093201</v>
      </c>
      <c r="AM4267">
        <v>105.406736734848</v>
      </c>
      <c r="AN4267">
        <v>1.00000000476023</v>
      </c>
    </row>
    <row r="4268" spans="1:40" x14ac:dyDescent="0.25">
      <c r="A4268" t="str">
        <f>"20190304155459784"</f>
        <v>20190304155459784</v>
      </c>
      <c r="B4268" t="str">
        <f>"1551686099781525"</f>
        <v>1551686099781525</v>
      </c>
      <c r="C4268" t="s">
        <v>40</v>
      </c>
      <c r="D4268">
        <v>4.5193560000000002</v>
      </c>
      <c r="E4268">
        <v>0.42700260000000001</v>
      </c>
      <c r="F4268" t="s">
        <v>48</v>
      </c>
      <c r="G4268">
        <v>-416.71129999999999</v>
      </c>
      <c r="H4268">
        <v>1.0477959999999999</v>
      </c>
      <c r="I4268">
        <v>29.772760000000002</v>
      </c>
      <c r="J4268">
        <v>-417.45080000000002</v>
      </c>
      <c r="K4268">
        <v>1.117286</v>
      </c>
      <c r="L4268">
        <v>30.146730000000002</v>
      </c>
      <c r="M4268">
        <v>0.53947599999999996</v>
      </c>
      <c r="N4268">
        <v>-1.47273E-2</v>
      </c>
      <c r="O4268">
        <v>-0.84187230000000002</v>
      </c>
      <c r="P4268">
        <v>0.73262039999999995</v>
      </c>
      <c r="Q4268">
        <v>0.1510425</v>
      </c>
      <c r="R4268">
        <v>-0.66366709999999995</v>
      </c>
      <c r="S4268">
        <v>2.635742</v>
      </c>
      <c r="T4268">
        <v>-0.21249399999999999</v>
      </c>
      <c r="U4268">
        <v>-1.6670229999999999</v>
      </c>
      <c r="V4268">
        <v>-0.26143309999999997</v>
      </c>
      <c r="W4268">
        <v>0.1608231</v>
      </c>
      <c r="X4268">
        <v>0.9517293</v>
      </c>
      <c r="Y4268">
        <v>-0.42153420000000003</v>
      </c>
      <c r="Z4268">
        <v>5.4750710000000001E-2</v>
      </c>
      <c r="AA4268">
        <v>0.90515809999999997</v>
      </c>
      <c r="AB4268">
        <v>22</v>
      </c>
      <c r="AC4268">
        <v>0.73950000000002003</v>
      </c>
      <c r="AD4268">
        <v>-6.9489999999999996E-2</v>
      </c>
      <c r="AE4268">
        <v>-0.37396999999999903</v>
      </c>
      <c r="AF4268">
        <v>-0.417923553345389</v>
      </c>
      <c r="AG4268">
        <v>-6.9489999999999996E-2</v>
      </c>
      <c r="AH4268">
        <v>0.70887016778856204</v>
      </c>
      <c r="AI4268">
        <v>94.826931115528296</v>
      </c>
      <c r="AJ4268">
        <v>120.522024139937</v>
      </c>
      <c r="AK4268">
        <v>0.82582435863894199</v>
      </c>
      <c r="AL4268">
        <v>80.745324875127494</v>
      </c>
      <c r="AM4268">
        <v>105.359881380825</v>
      </c>
      <c r="AN4268">
        <v>0.99999999787385496</v>
      </c>
    </row>
    <row r="4269" spans="1:40" x14ac:dyDescent="0.25">
      <c r="A4269" t="str">
        <f>"20190304155459807"</f>
        <v>20190304155459807</v>
      </c>
      <c r="B4269" t="str">
        <f>"1551686099802021"</f>
        <v>1551686099802021</v>
      </c>
      <c r="C4269" t="s">
        <v>40</v>
      </c>
      <c r="D4269">
        <v>4.5281140000000004</v>
      </c>
      <c r="E4269">
        <v>0.42694209999999999</v>
      </c>
      <c r="F4269" t="s">
        <v>48</v>
      </c>
      <c r="G4269">
        <v>-416.57339999999999</v>
      </c>
      <c r="H4269">
        <v>1.048368</v>
      </c>
      <c r="I4269">
        <v>29.605149999999998</v>
      </c>
      <c r="J4269">
        <v>-417.32150000000001</v>
      </c>
      <c r="K4269">
        <v>1.1173040000000001</v>
      </c>
      <c r="L4269">
        <v>29.97034</v>
      </c>
      <c r="M4269">
        <v>0.54935019999999901</v>
      </c>
      <c r="N4269">
        <v>-1.473703E-2</v>
      </c>
      <c r="O4269">
        <v>-0.83546239999999905</v>
      </c>
      <c r="P4269">
        <v>0.73942750000000002</v>
      </c>
      <c r="Q4269">
        <v>0.15202570000000001</v>
      </c>
      <c r="R4269">
        <v>-0.65584719999999996</v>
      </c>
      <c r="S4269">
        <v>2.6542050000000001</v>
      </c>
      <c r="T4269">
        <v>-0.2084346</v>
      </c>
      <c r="U4269">
        <v>-1.637848</v>
      </c>
      <c r="V4269">
        <v>-0.26018819999999998</v>
      </c>
      <c r="W4269">
        <v>0.16183120000000001</v>
      </c>
      <c r="X4269">
        <v>0.95189959999999996</v>
      </c>
      <c r="Y4269">
        <v>-0.42095660000000001</v>
      </c>
      <c r="Z4269">
        <v>5.3324570000000002E-2</v>
      </c>
      <c r="AA4269">
        <v>0.90551199999999998</v>
      </c>
      <c r="AB4269">
        <v>22</v>
      </c>
      <c r="AC4269">
        <v>0.74810000000002197</v>
      </c>
      <c r="AD4269">
        <v>-6.8936000000000094E-2</v>
      </c>
      <c r="AE4269">
        <v>-0.36519000000000501</v>
      </c>
      <c r="AF4269">
        <v>-0.42154761779005101</v>
      </c>
      <c r="AG4269">
        <v>-6.8936000000000094E-2</v>
      </c>
      <c r="AH4269">
        <v>0.71127173547692601</v>
      </c>
      <c r="AI4269">
        <v>94.766078837652202</v>
      </c>
      <c r="AJ4269">
        <v>120.653842877684</v>
      </c>
      <c r="AK4269">
        <v>0.82967586914940705</v>
      </c>
      <c r="AL4269">
        <v>80.686798777337799</v>
      </c>
      <c r="AM4269">
        <v>105.287563762106</v>
      </c>
      <c r="AN4269">
        <v>1.00000004259641</v>
      </c>
    </row>
    <row r="4270" spans="1:40" x14ac:dyDescent="0.25">
      <c r="A4270" t="str">
        <f>"20190304155459831"</f>
        <v>20190304155459831</v>
      </c>
      <c r="B4270" t="str">
        <f>"1551686099821540"</f>
        <v>1551686099821540</v>
      </c>
      <c r="C4270" t="s">
        <v>40</v>
      </c>
      <c r="D4270">
        <v>4.3955380000000002</v>
      </c>
      <c r="E4270">
        <v>0.42648649999999999</v>
      </c>
      <c r="F4270" t="s">
        <v>48</v>
      </c>
      <c r="G4270">
        <v>-416.42329999999998</v>
      </c>
      <c r="H4270">
        <v>1.048794</v>
      </c>
      <c r="I4270">
        <v>29.42942</v>
      </c>
      <c r="J4270">
        <v>-417.19029999999998</v>
      </c>
      <c r="K4270">
        <v>1.117316</v>
      </c>
      <c r="L4270">
        <v>29.795870000000001</v>
      </c>
      <c r="M4270">
        <v>0.55917559999999999</v>
      </c>
      <c r="N4270">
        <v>-1.474554E-2</v>
      </c>
      <c r="O4270">
        <v>-0.82891809999999999</v>
      </c>
      <c r="P4270">
        <v>0.74659430000000004</v>
      </c>
      <c r="Q4270">
        <v>0.1531042</v>
      </c>
      <c r="R4270">
        <v>-0.64742290000000002</v>
      </c>
      <c r="S4270">
        <v>2.6719970000000002</v>
      </c>
      <c r="T4270">
        <v>-0.20379510000000001</v>
      </c>
      <c r="U4270">
        <v>-1.608948</v>
      </c>
      <c r="V4270">
        <v>-0.25957669999999999</v>
      </c>
      <c r="W4270">
        <v>0.1629237</v>
      </c>
      <c r="X4270">
        <v>0.95188019999999995</v>
      </c>
      <c r="Y4270">
        <v>-0.42018670000000002</v>
      </c>
      <c r="Z4270">
        <v>5.1722280000000002E-2</v>
      </c>
      <c r="AA4270">
        <v>0.9059625</v>
      </c>
      <c r="AB4270">
        <v>22</v>
      </c>
      <c r="AC4270">
        <v>0.76699999999999502</v>
      </c>
      <c r="AD4270">
        <v>-6.8521999999999902E-2</v>
      </c>
      <c r="AE4270">
        <v>-0.36645</v>
      </c>
      <c r="AF4270">
        <v>-0.42813512710776302</v>
      </c>
      <c r="AG4270">
        <v>-6.8521999999999902E-2</v>
      </c>
      <c r="AH4270">
        <v>0.727993907151535</v>
      </c>
      <c r="AI4270">
        <v>94.638461792778898</v>
      </c>
      <c r="AJ4270">
        <v>120.459897254615</v>
      </c>
      <c r="AK4270">
        <v>0.84733115155607197</v>
      </c>
      <c r="AL4270">
        <v>80.623361359121304</v>
      </c>
      <c r="AM4270">
        <v>105.25360652477799</v>
      </c>
      <c r="AN4270">
        <v>1.0000000551782999</v>
      </c>
    </row>
    <row r="4271" spans="1:40" x14ac:dyDescent="0.25">
      <c r="A4271" t="str">
        <f>"20190304155459851"</f>
        <v>20190304155459851</v>
      </c>
      <c r="B4271" t="str">
        <f>"1551686099842040"</f>
        <v>1551686099842040</v>
      </c>
      <c r="C4271" t="s">
        <v>40</v>
      </c>
      <c r="D4271">
        <v>4.4079790000000001</v>
      </c>
      <c r="E4271">
        <v>0.42585909999999899</v>
      </c>
      <c r="F4271" t="s">
        <v>74</v>
      </c>
      <c r="G4271">
        <v>-402.05579999999998</v>
      </c>
      <c r="H4271" s="1">
        <v>-5.4190400000000004E-6</v>
      </c>
      <c r="I4271">
        <v>20.93346</v>
      </c>
      <c r="J4271">
        <v>-417.06950000000001</v>
      </c>
      <c r="K4271">
        <v>1.117326</v>
      </c>
      <c r="L4271">
        <v>29.638950000000001</v>
      </c>
      <c r="M4271">
        <v>0.56806219999999996</v>
      </c>
      <c r="N4271">
        <v>-1.4752309999999999E-2</v>
      </c>
      <c r="O4271">
        <v>-0.82285339999999996</v>
      </c>
      <c r="P4271">
        <v>0.75244580000000005</v>
      </c>
      <c r="Q4271">
        <v>0.1540589</v>
      </c>
      <c r="R4271">
        <v>-0.64038379999999995</v>
      </c>
      <c r="S4271">
        <v>2.6920169999999999</v>
      </c>
      <c r="T4271">
        <v>-0.1987418</v>
      </c>
      <c r="U4271">
        <v>-1.5763849999999999</v>
      </c>
      <c r="V4271">
        <v>-0.25812659999999998</v>
      </c>
      <c r="W4271">
        <v>0.16391020000000001</v>
      </c>
      <c r="X4271">
        <v>0.95210510000000004</v>
      </c>
      <c r="Y4271">
        <v>-0.42161080000000001</v>
      </c>
      <c r="Z4271">
        <v>5.0064230000000001E-2</v>
      </c>
      <c r="AA4271">
        <v>0.90539380000000003</v>
      </c>
      <c r="AB4271">
        <v>22</v>
      </c>
      <c r="AC4271">
        <v>15.0137</v>
      </c>
      <c r="AD4271">
        <v>-1.1173314190399899</v>
      </c>
      <c r="AE4271">
        <v>-8.7054899999999993</v>
      </c>
      <c r="AF4271">
        <v>-7.3790352297479904</v>
      </c>
      <c r="AG4271">
        <v>-1.1173314190399899</v>
      </c>
      <c r="AH4271">
        <v>15.628984688487501</v>
      </c>
      <c r="AI4271">
        <v>93.698894683224395</v>
      </c>
      <c r="AJ4271">
        <v>115.273769374088</v>
      </c>
      <c r="AK4271">
        <v>17.3194616779741</v>
      </c>
      <c r="AL4271">
        <v>80.566068450481794</v>
      </c>
      <c r="AM4271">
        <v>105.168913283048</v>
      </c>
      <c r="AN4271">
        <v>1.0000000083688001</v>
      </c>
    </row>
    <row r="4272" spans="1:40" x14ac:dyDescent="0.25">
      <c r="A4272" t="str">
        <f>"20190304155459874"</f>
        <v>20190304155459874</v>
      </c>
      <c r="B4272" t="str">
        <f>"1551686099861557"</f>
        <v>1551686099861557</v>
      </c>
      <c r="C4272" t="s">
        <v>40</v>
      </c>
      <c r="D4272">
        <v>4.4109339999999904</v>
      </c>
      <c r="E4272">
        <v>0.42537959999999903</v>
      </c>
      <c r="F4272" t="s">
        <v>74</v>
      </c>
      <c r="G4272">
        <v>-401.35320000000002</v>
      </c>
      <c r="H4272" s="1">
        <v>-5.699117E-6</v>
      </c>
      <c r="I4272">
        <v>20.66817</v>
      </c>
      <c r="J4272">
        <v>-416.94200000000001</v>
      </c>
      <c r="K4272">
        <v>1.1173299999999999</v>
      </c>
      <c r="L4272">
        <v>29.477170000000001</v>
      </c>
      <c r="M4272">
        <v>0.57727790000000001</v>
      </c>
      <c r="N4272">
        <v>-1.475891E-2</v>
      </c>
      <c r="O4272">
        <v>-0.81641450000000004</v>
      </c>
      <c r="P4272">
        <v>0.75859869999999996</v>
      </c>
      <c r="Q4272">
        <v>0.15480369999999999</v>
      </c>
      <c r="R4272">
        <v>-0.63290139999999995</v>
      </c>
      <c r="S4272">
        <v>2.709991</v>
      </c>
      <c r="T4272">
        <v>-0.19266320000000001</v>
      </c>
      <c r="U4272">
        <v>-1.5468440000000001</v>
      </c>
      <c r="V4272">
        <v>-0.25673659999999998</v>
      </c>
      <c r="W4272">
        <v>0.16468579999999999</v>
      </c>
      <c r="X4272">
        <v>0.95234700000000005</v>
      </c>
      <c r="Y4272">
        <v>-0.42155239999999999</v>
      </c>
      <c r="Z4272">
        <v>4.8056840000000003E-2</v>
      </c>
      <c r="AA4272">
        <v>0.90552969999999999</v>
      </c>
      <c r="AB4272">
        <v>22</v>
      </c>
      <c r="AC4272">
        <v>15.5887999999999</v>
      </c>
      <c r="AD4272">
        <v>-1.117335699117</v>
      </c>
      <c r="AE4272">
        <v>-8.8089999999999993</v>
      </c>
      <c r="AF4272">
        <v>-7.6128686491691298</v>
      </c>
      <c r="AG4272">
        <v>-1.117335699117</v>
      </c>
      <c r="AH4272">
        <v>16.129817977935101</v>
      </c>
      <c r="AI4272">
        <v>93.584586274003996</v>
      </c>
      <c r="AJ4272">
        <v>115.266132703493</v>
      </c>
      <c r="AK4272">
        <v>17.8710726072987</v>
      </c>
      <c r="AL4272">
        <v>80.521017091784003</v>
      </c>
      <c r="AM4272">
        <v>105.087306022097</v>
      </c>
      <c r="AN4272">
        <v>0.99999995145509801</v>
      </c>
    </row>
    <row r="4273" spans="1:40" x14ac:dyDescent="0.25">
      <c r="A4273" t="str">
        <f>"20190304155459896"</f>
        <v>20190304155459896</v>
      </c>
      <c r="B4273" t="str">
        <f>"1551686099891814"</f>
        <v>1551686099891814</v>
      </c>
      <c r="C4273" t="s">
        <v>40</v>
      </c>
      <c r="D4273">
        <v>4.4132220000000002</v>
      </c>
      <c r="E4273">
        <v>0.42503220000000003</v>
      </c>
      <c r="F4273" t="s">
        <v>74</v>
      </c>
      <c r="G4273">
        <v>-400.7611</v>
      </c>
      <c r="H4273" s="1">
        <v>-5.940181E-6</v>
      </c>
      <c r="I4273">
        <v>20.473109999999998</v>
      </c>
      <c r="J4273">
        <v>-416.80889999999999</v>
      </c>
      <c r="K4273">
        <v>1.1173329999999999</v>
      </c>
      <c r="L4273">
        <v>29.312100000000001</v>
      </c>
      <c r="M4273">
        <v>0.58672599999999997</v>
      </c>
      <c r="N4273">
        <v>-1.4765459999999999E-2</v>
      </c>
      <c r="O4273">
        <v>-0.80965109999999996</v>
      </c>
      <c r="P4273">
        <v>0.76497320000000002</v>
      </c>
      <c r="Q4273">
        <v>0.15454870000000001</v>
      </c>
      <c r="R4273">
        <v>-0.62524480000000004</v>
      </c>
      <c r="S4273">
        <v>2.72702</v>
      </c>
      <c r="T4273">
        <v>-0.18830859999999999</v>
      </c>
      <c r="U4273">
        <v>-1.517487</v>
      </c>
      <c r="V4273">
        <v>-0.25527670000000002</v>
      </c>
      <c r="W4273">
        <v>0.16446569999999999</v>
      </c>
      <c r="X4273">
        <v>0.9527774</v>
      </c>
      <c r="Y4273">
        <v>-0.42093789999999998</v>
      </c>
      <c r="Z4273">
        <v>4.6565780000000001E-2</v>
      </c>
      <c r="AA4273">
        <v>0.90589339999999996</v>
      </c>
      <c r="AB4273">
        <v>22</v>
      </c>
      <c r="AC4273">
        <v>16.047799999999899</v>
      </c>
      <c r="AD4273">
        <v>-1.1173389401810001</v>
      </c>
      <c r="AE4273">
        <v>-8.8389899999999901</v>
      </c>
      <c r="AF4273">
        <v>-7.7789706398136298</v>
      </c>
      <c r="AG4273">
        <v>-1.1173389401810001</v>
      </c>
      <c r="AH4273">
        <v>16.512547163069101</v>
      </c>
      <c r="AI4273">
        <v>93.502908172766396</v>
      </c>
      <c r="AJ4273">
        <v>115.22486820744901</v>
      </c>
      <c r="AK4273">
        <v>18.287291880836499</v>
      </c>
      <c r="AL4273">
        <v>80.5338023743424</v>
      </c>
      <c r="AM4273">
        <v>104.998920777999</v>
      </c>
      <c r="AN4273">
        <v>0.99999996699506899</v>
      </c>
    </row>
    <row r="4274" spans="1:40" x14ac:dyDescent="0.25">
      <c r="A4274" t="str">
        <f>"20190304155459919"</f>
        <v>20190304155459919</v>
      </c>
      <c r="B4274" t="str">
        <f>"1551686099911333"</f>
        <v>1551686099911333</v>
      </c>
      <c r="C4274" t="s">
        <v>40</v>
      </c>
      <c r="D4274">
        <v>4.4315959999999999</v>
      </c>
      <c r="E4274">
        <v>0.42488900000000002</v>
      </c>
      <c r="F4274" t="s">
        <v>74</v>
      </c>
      <c r="G4274">
        <v>-400.54149999999998</v>
      </c>
      <c r="H4274" s="1">
        <v>-6.0450200000000003E-6</v>
      </c>
      <c r="I4274">
        <v>20.48723</v>
      </c>
      <c r="J4274">
        <v>-416.67140000000001</v>
      </c>
      <c r="K4274">
        <v>1.117321</v>
      </c>
      <c r="L4274">
        <v>29.145720000000001</v>
      </c>
      <c r="M4274">
        <v>0.59629379999999998</v>
      </c>
      <c r="N4274">
        <v>-1.4771289999999999E-2</v>
      </c>
      <c r="O4274">
        <v>-0.80263070000000003</v>
      </c>
      <c r="P4274">
        <v>0.77136000000000005</v>
      </c>
      <c r="Q4274">
        <v>0.154324499999999</v>
      </c>
      <c r="R4274">
        <v>-0.61740430000000002</v>
      </c>
      <c r="S4274">
        <v>2.7433779999999999</v>
      </c>
      <c r="T4274">
        <v>-0.18843099999999999</v>
      </c>
      <c r="U4274">
        <v>-1.488251</v>
      </c>
      <c r="V4274">
        <v>-0.25372250000000002</v>
      </c>
      <c r="W4274">
        <v>0.16427849999999999</v>
      </c>
      <c r="X4274">
        <v>0.95322479999999998</v>
      </c>
      <c r="Y4274">
        <v>-0.4199022</v>
      </c>
      <c r="Z4274">
        <v>4.640648E-2</v>
      </c>
      <c r="AA4274">
        <v>0.90638209999999997</v>
      </c>
      <c r="AB4274">
        <v>22</v>
      </c>
      <c r="AC4274">
        <v>16.129899999999999</v>
      </c>
      <c r="AD4274">
        <v>-1.1173270450199999</v>
      </c>
      <c r="AE4274">
        <v>-8.6584899999999898</v>
      </c>
      <c r="AF4274">
        <v>-7.7553074488778604</v>
      </c>
      <c r="AG4274">
        <v>-1.1173270450199999</v>
      </c>
      <c r="AH4274">
        <v>16.508039625039999</v>
      </c>
      <c r="AI4274">
        <v>93.505582127723201</v>
      </c>
      <c r="AJ4274">
        <v>115.16365585324201</v>
      </c>
      <c r="AK4274">
        <v>18.27316572502</v>
      </c>
      <c r="AL4274">
        <v>80.544676606472507</v>
      </c>
      <c r="AM4274">
        <v>104.904995271589</v>
      </c>
      <c r="AN4274">
        <v>1.0000000259517601</v>
      </c>
    </row>
    <row r="4275" spans="1:40" x14ac:dyDescent="0.25">
      <c r="A4275" t="str">
        <f>"20190304155459941"</f>
        <v>20190304155459941</v>
      </c>
      <c r="B4275" t="str">
        <f>"1551686099931832"</f>
        <v>1551686099931832</v>
      </c>
      <c r="C4275" t="s">
        <v>40</v>
      </c>
      <c r="D4275">
        <v>4.4274610000000001</v>
      </c>
      <c r="E4275">
        <v>0.42482769999999997</v>
      </c>
      <c r="F4275" t="s">
        <v>74</v>
      </c>
      <c r="G4275">
        <v>-400.36130000000003</v>
      </c>
      <c r="H4275" s="1">
        <v>-6.127892E-6</v>
      </c>
      <c r="I4275">
        <v>20.51512</v>
      </c>
      <c r="J4275">
        <v>-416.53500000000003</v>
      </c>
      <c r="K4275">
        <v>1.1173090000000001</v>
      </c>
      <c r="L4275">
        <v>28.984649999999998</v>
      </c>
      <c r="M4275">
        <v>0.60559640000000003</v>
      </c>
      <c r="N4275">
        <v>-1.477563E-2</v>
      </c>
      <c r="O4275">
        <v>-0.79563490000000003</v>
      </c>
      <c r="P4275">
        <v>0.77758340000000004</v>
      </c>
      <c r="Q4275">
        <v>0.15320929999999999</v>
      </c>
      <c r="R4275">
        <v>-0.60982879999999995</v>
      </c>
      <c r="S4275">
        <v>2.7586360000000001</v>
      </c>
      <c r="T4275">
        <v>-0.1889807</v>
      </c>
      <c r="U4275">
        <v>-1.4597469999999999</v>
      </c>
      <c r="V4275">
        <v>-0.25210310000000002</v>
      </c>
      <c r="W4275">
        <v>0.16320409999999999</v>
      </c>
      <c r="X4275">
        <v>0.95383879999999999</v>
      </c>
      <c r="Y4275">
        <v>-0.41872619999999999</v>
      </c>
      <c r="Z4275">
        <v>4.6371610000000001E-2</v>
      </c>
      <c r="AA4275">
        <v>0.90692779999999995</v>
      </c>
      <c r="AB4275">
        <v>21</v>
      </c>
      <c r="AC4275">
        <v>16.173699999999901</v>
      </c>
      <c r="AD4275">
        <v>-1.1173151278919999</v>
      </c>
      <c r="AE4275">
        <v>-8.46952999999999</v>
      </c>
      <c r="AF4275">
        <v>-7.7112065555816498</v>
      </c>
      <c r="AG4275">
        <v>-1.1173151278919999</v>
      </c>
      <c r="AH4275">
        <v>16.473493088086698</v>
      </c>
      <c r="AI4275">
        <v>93.515157620840796</v>
      </c>
      <c r="AJ4275">
        <v>115.084192529286</v>
      </c>
      <c r="AK4275">
        <v>18.223256409355098</v>
      </c>
      <c r="AL4275">
        <v>80.607077187962503</v>
      </c>
      <c r="AM4275">
        <v>104.80494202908901</v>
      </c>
      <c r="AN4275">
        <v>1.00000000383592</v>
      </c>
    </row>
    <row r="4276" spans="1:40" x14ac:dyDescent="0.25">
      <c r="A4276" t="str">
        <f>"20190304155459963"</f>
        <v>20190304155459963</v>
      </c>
      <c r="B4276" t="str">
        <f>"1551686099951349"</f>
        <v>1551686099951349</v>
      </c>
      <c r="C4276" t="s">
        <v>40</v>
      </c>
      <c r="D4276">
        <v>4.4585179999999998</v>
      </c>
      <c r="E4276">
        <v>0.42486400000000002</v>
      </c>
      <c r="F4276" t="s">
        <v>48</v>
      </c>
      <c r="G4276">
        <v>-415.60789999999997</v>
      </c>
      <c r="H4276">
        <v>1.0530120000000001</v>
      </c>
      <c r="I4276">
        <v>28.505369999999999</v>
      </c>
      <c r="J4276">
        <v>-416.40140000000002</v>
      </c>
      <c r="K4276">
        <v>1.1172979999999999</v>
      </c>
      <c r="L4276">
        <v>28.83081</v>
      </c>
      <c r="M4276">
        <v>0.6145275</v>
      </c>
      <c r="N4276">
        <v>-1.4778680000000001E-2</v>
      </c>
      <c r="O4276">
        <v>-0.78875699999999904</v>
      </c>
      <c r="P4276">
        <v>0.78385059999999995</v>
      </c>
      <c r="Q4276">
        <v>0.15225959999999999</v>
      </c>
      <c r="R4276">
        <v>-0.60199290000000005</v>
      </c>
      <c r="S4276">
        <v>2.7729189999999999</v>
      </c>
      <c r="T4276">
        <v>-0.19222040000000001</v>
      </c>
      <c r="U4276">
        <v>-1.432037</v>
      </c>
      <c r="V4276">
        <v>-0.25104900000000002</v>
      </c>
      <c r="W4276">
        <v>0.16228519999999999</v>
      </c>
      <c r="X4276">
        <v>0.9542735</v>
      </c>
      <c r="Y4276">
        <v>-0.4175045</v>
      </c>
      <c r="Z4276">
        <v>4.7128900000000001E-2</v>
      </c>
      <c r="AA4276">
        <v>0.90745189999999998</v>
      </c>
      <c r="AB4276">
        <v>21</v>
      </c>
      <c r="AC4276">
        <v>0.79350000000005105</v>
      </c>
      <c r="AD4276">
        <v>-6.4285999999999802E-2</v>
      </c>
      <c r="AE4276">
        <v>-0.32543999999999301</v>
      </c>
      <c r="AF4276">
        <v>-0.42355362687568299</v>
      </c>
      <c r="AG4276">
        <v>-6.4285999999999802E-2</v>
      </c>
      <c r="AH4276">
        <v>0.74024288530201598</v>
      </c>
      <c r="AI4276">
        <v>94.310668828553105</v>
      </c>
      <c r="AJ4276">
        <v>119.777411358476</v>
      </c>
      <c r="AK4276">
        <v>0.85527182455392503</v>
      </c>
      <c r="AL4276">
        <v>80.660437632524307</v>
      </c>
      <c r="AM4276">
        <v>104.739317323588</v>
      </c>
      <c r="AN4276">
        <v>0.99999999967114495</v>
      </c>
    </row>
    <row r="4277" spans="1:40" x14ac:dyDescent="0.25">
      <c r="A4277" t="str">
        <f>"20190304155459985"</f>
        <v>20190304155459985</v>
      </c>
      <c r="B4277" t="str">
        <f>"1551686099981605"</f>
        <v>1551686099981605</v>
      </c>
      <c r="C4277" t="s">
        <v>40</v>
      </c>
      <c r="D4277">
        <v>4.5691050000000004</v>
      </c>
      <c r="E4277">
        <v>0.42504059999999999</v>
      </c>
      <c r="F4277" t="s">
        <v>48</v>
      </c>
      <c r="G4277">
        <v>-415.4597</v>
      </c>
      <c r="H4277">
        <v>1.0513870000000001</v>
      </c>
      <c r="I4277">
        <v>28.356680000000001</v>
      </c>
      <c r="J4277">
        <v>-416.26299999999998</v>
      </c>
      <c r="K4277">
        <v>1.117286</v>
      </c>
      <c r="L4277">
        <v>28.675080000000001</v>
      </c>
      <c r="M4277">
        <v>0.62359370000000003</v>
      </c>
      <c r="N4277">
        <v>-1.4780629999999999E-2</v>
      </c>
      <c r="O4277">
        <v>-0.78160909999999995</v>
      </c>
      <c r="P4277">
        <v>0.79011759999999998</v>
      </c>
      <c r="Q4277">
        <v>0.1517946</v>
      </c>
      <c r="R4277">
        <v>-0.59386300000000003</v>
      </c>
      <c r="S4277">
        <v>2.787048</v>
      </c>
      <c r="T4277">
        <v>-0.19511510000000001</v>
      </c>
      <c r="U4277">
        <v>-1.40387</v>
      </c>
      <c r="V4277">
        <v>-0.24994430000000001</v>
      </c>
      <c r="W4277">
        <v>0.1618523</v>
      </c>
      <c r="X4277">
        <v>0.95463690000000001</v>
      </c>
      <c r="Y4277">
        <v>-0.41613840000000002</v>
      </c>
      <c r="Z4277">
        <v>4.7759790000000003E-2</v>
      </c>
      <c r="AA4277">
        <v>0.90804620000000003</v>
      </c>
      <c r="AB4277">
        <v>21</v>
      </c>
      <c r="AC4277">
        <v>0.80330000000003499</v>
      </c>
      <c r="AD4277">
        <v>-6.5898999999999902E-2</v>
      </c>
      <c r="AE4277">
        <v>-0.31840000000000002</v>
      </c>
      <c r="AF4277">
        <v>-0.42687843016139199</v>
      </c>
      <c r="AG4277">
        <v>-6.5898999999999902E-2</v>
      </c>
      <c r="AH4277">
        <v>0.74554281433694702</v>
      </c>
      <c r="AI4277">
        <v>94.386379604619407</v>
      </c>
      <c r="AJ4277">
        <v>119.794330398768</v>
      </c>
      <c r="AK4277">
        <v>0.861627506726376</v>
      </c>
      <c r="AL4277">
        <v>80.685572961029294</v>
      </c>
      <c r="AM4277">
        <v>104.67191944317599</v>
      </c>
      <c r="AN4277">
        <v>0.99999996547969405</v>
      </c>
    </row>
    <row r="4278" spans="1:40" x14ac:dyDescent="0.25">
      <c r="A4278" t="str">
        <f>"20190304155500010"</f>
        <v>20190304155500010</v>
      </c>
      <c r="B4278" t="str">
        <f>"1551686100002101"</f>
        <v>1551686100002101</v>
      </c>
      <c r="C4278" t="s">
        <v>40</v>
      </c>
      <c r="D4278">
        <v>4.5833709999999996</v>
      </c>
      <c r="E4278">
        <v>0.42514730000000001</v>
      </c>
      <c r="F4278" t="s">
        <v>48</v>
      </c>
      <c r="G4278">
        <v>-415.30070000000001</v>
      </c>
      <c r="H4278">
        <v>1.0504599999999999</v>
      </c>
      <c r="I4278">
        <v>28.20234</v>
      </c>
      <c r="J4278">
        <v>-416.10680000000002</v>
      </c>
      <c r="K4278">
        <v>1.117278</v>
      </c>
      <c r="L4278">
        <v>28.50357</v>
      </c>
      <c r="M4278">
        <v>0.63361590000000001</v>
      </c>
      <c r="N4278">
        <v>-1.478172E-2</v>
      </c>
      <c r="O4278">
        <v>-0.77350680000000005</v>
      </c>
      <c r="P4278">
        <v>0.79707349999999999</v>
      </c>
      <c r="Q4278">
        <v>0.15150239999999901</v>
      </c>
      <c r="R4278">
        <v>-0.58456949999999996</v>
      </c>
      <c r="S4278">
        <v>2.8008419999999998</v>
      </c>
      <c r="T4278">
        <v>-0.19442860000000001</v>
      </c>
      <c r="U4278">
        <v>-1.375</v>
      </c>
      <c r="V4278">
        <v>-0.24884819999999999</v>
      </c>
      <c r="W4278">
        <v>0.16159399999999999</v>
      </c>
      <c r="X4278">
        <v>0.95496700000000001</v>
      </c>
      <c r="Y4278">
        <v>-0.4137497</v>
      </c>
      <c r="Z4278">
        <v>4.7284329999999999E-2</v>
      </c>
      <c r="AA4278">
        <v>0.90916189999999997</v>
      </c>
      <c r="AB4278">
        <v>21</v>
      </c>
      <c r="AC4278">
        <v>0.80610000000001403</v>
      </c>
      <c r="AD4278">
        <v>-6.6818000000000002E-2</v>
      </c>
      <c r="AE4278">
        <v>-0.301229999999996</v>
      </c>
      <c r="AF4278">
        <v>-0.43011378136762601</v>
      </c>
      <c r="AG4278">
        <v>-6.6818000000000002E-2</v>
      </c>
      <c r="AH4278">
        <v>0.73938465941648202</v>
      </c>
      <c r="AI4278">
        <v>94.466550711751694</v>
      </c>
      <c r="AJ4278">
        <v>120.187358524206</v>
      </c>
      <c r="AK4278">
        <v>0.85799311455674498</v>
      </c>
      <c r="AL4278">
        <v>80.700570289317</v>
      </c>
      <c r="AM4278">
        <v>104.60550202400201</v>
      </c>
      <c r="AN4278">
        <v>1.0000000092841199</v>
      </c>
    </row>
    <row r="4279" spans="1:40" x14ac:dyDescent="0.25">
      <c r="A4279" t="str">
        <f>"20190304155500032"</f>
        <v>20190304155500032</v>
      </c>
      <c r="B4279" t="str">
        <f>"1551686100021621"</f>
        <v>1551686100021621</v>
      </c>
      <c r="C4279" t="s">
        <v>40</v>
      </c>
      <c r="D4279">
        <v>4.6238580000000002</v>
      </c>
      <c r="E4279">
        <v>0.42529460000000002</v>
      </c>
      <c r="F4279" t="s">
        <v>46</v>
      </c>
      <c r="G4279">
        <v>-399.83690000000001</v>
      </c>
      <c r="H4279" s="1">
        <v>-3.6108079999999999E-7</v>
      </c>
      <c r="I4279">
        <v>20.756920000000001</v>
      </c>
      <c r="J4279">
        <v>-415.96940000000001</v>
      </c>
      <c r="K4279">
        <v>1.1172679999999999</v>
      </c>
      <c r="L4279">
        <v>28.356349999999999</v>
      </c>
      <c r="M4279">
        <v>0.64223960000000002</v>
      </c>
      <c r="N4279">
        <v>-1.478195E-2</v>
      </c>
      <c r="O4279">
        <v>-0.76636169999999904</v>
      </c>
      <c r="P4279">
        <v>0.80306009999999906</v>
      </c>
      <c r="Q4279">
        <v>0.15176439999999999</v>
      </c>
      <c r="R4279">
        <v>-0.57624889999999995</v>
      </c>
      <c r="S4279">
        <v>2.8168950000000001</v>
      </c>
      <c r="T4279">
        <v>-0.19344</v>
      </c>
      <c r="U4279">
        <v>-1.3412170000000001</v>
      </c>
      <c r="V4279">
        <v>-0.2480417</v>
      </c>
      <c r="W4279">
        <v>0.161881</v>
      </c>
      <c r="X4279">
        <v>0.95512819999999998</v>
      </c>
      <c r="Y4279">
        <v>-0.41447400000000001</v>
      </c>
      <c r="Z4279">
        <v>4.6828729999999999E-2</v>
      </c>
      <c r="AA4279">
        <v>0.90885559999999999</v>
      </c>
      <c r="AB4279">
        <v>21</v>
      </c>
      <c r="AC4279">
        <v>16.132499999999901</v>
      </c>
      <c r="AD4279">
        <v>-1.1172683610808001</v>
      </c>
      <c r="AE4279">
        <v>-7.5994299999999901</v>
      </c>
      <c r="AF4279">
        <v>-7.45423085354967</v>
      </c>
      <c r="AG4279">
        <v>-1.1172683610808001</v>
      </c>
      <c r="AH4279">
        <v>16.123317928856899</v>
      </c>
      <c r="AI4279">
        <v>93.599068988649606</v>
      </c>
      <c r="AJ4279">
        <v>114.812333255014</v>
      </c>
      <c r="AK4279">
        <v>17.798180447553701</v>
      </c>
      <c r="AL4279">
        <v>80.683907022823504</v>
      </c>
      <c r="AM4279">
        <v>104.55782842807</v>
      </c>
      <c r="AN4279">
        <v>1.00000001076756</v>
      </c>
    </row>
    <row r="4280" spans="1:40" x14ac:dyDescent="0.25">
      <c r="A4280" t="str">
        <f>"20190304155500053"</f>
        <v>20190304155500053</v>
      </c>
      <c r="B4280" t="str">
        <f>"1551686100042118"</f>
        <v>1551686100042118</v>
      </c>
      <c r="C4280" t="s">
        <v>40</v>
      </c>
      <c r="D4280">
        <v>4.6096709999999996</v>
      </c>
      <c r="E4280">
        <v>0.42551309999999898</v>
      </c>
      <c r="F4280" t="s">
        <v>46</v>
      </c>
      <c r="G4280">
        <v>-399.36360000000002</v>
      </c>
      <c r="H4280" s="1">
        <v>-5.5990140000000003E-7</v>
      </c>
      <c r="I4280">
        <v>20.6633</v>
      </c>
      <c r="J4280">
        <v>-415.83510000000001</v>
      </c>
      <c r="K4280">
        <v>1.117264</v>
      </c>
      <c r="L4280">
        <v>28.215579999999999</v>
      </c>
      <c r="M4280">
        <v>0.65051029999999999</v>
      </c>
      <c r="N4280">
        <v>-1.4781839999999999E-2</v>
      </c>
      <c r="O4280">
        <v>-0.75935359999999996</v>
      </c>
      <c r="P4280">
        <v>0.80848560000000003</v>
      </c>
      <c r="Q4280">
        <v>0.15251870000000001</v>
      </c>
      <c r="R4280">
        <v>-0.56840939999999995</v>
      </c>
      <c r="S4280">
        <v>2.8307190000000002</v>
      </c>
      <c r="T4280">
        <v>-0.19045580000000001</v>
      </c>
      <c r="U4280">
        <v>-1.311401</v>
      </c>
      <c r="V4280">
        <v>-0.2468747</v>
      </c>
      <c r="W4280">
        <v>0.1626649</v>
      </c>
      <c r="X4280">
        <v>0.95529739999999996</v>
      </c>
      <c r="Y4280">
        <v>-0.41423650000000001</v>
      </c>
      <c r="Z4280">
        <v>4.5774280000000001E-2</v>
      </c>
      <c r="AA4280">
        <v>0.90901750000000003</v>
      </c>
      <c r="AB4280">
        <v>21</v>
      </c>
      <c r="AC4280">
        <v>16.471499999999899</v>
      </c>
      <c r="AD4280">
        <v>-1.1172645599013999</v>
      </c>
      <c r="AE4280">
        <v>-7.5522799999999997</v>
      </c>
      <c r="AF4280">
        <v>-7.5669194029753104</v>
      </c>
      <c r="AG4280">
        <v>-1.1172645599013999</v>
      </c>
      <c r="AH4280">
        <v>16.389221487489301</v>
      </c>
      <c r="AI4280">
        <v>93.5416551280546</v>
      </c>
      <c r="AJ4280">
        <v>114.78281587265199</v>
      </c>
      <c r="AK4280">
        <v>18.086269109850001</v>
      </c>
      <c r="AL4280">
        <v>80.638389984118405</v>
      </c>
      <c r="AM4280">
        <v>104.48976771073001</v>
      </c>
      <c r="AN4280">
        <v>1.0000000548194199</v>
      </c>
    </row>
    <row r="4281" spans="1:40" x14ac:dyDescent="0.25">
      <c r="A4281" t="str">
        <f>"20190304155500067"</f>
        <v>20190304155500067</v>
      </c>
      <c r="B4281" t="str">
        <f>"1551686100061637"</f>
        <v>1551686100061637</v>
      </c>
      <c r="C4281" t="s">
        <v>40</v>
      </c>
      <c r="D4281">
        <v>4.6998009999999999</v>
      </c>
      <c r="E4281">
        <v>0.4256646</v>
      </c>
      <c r="F4281" t="s">
        <v>46</v>
      </c>
      <c r="G4281">
        <v>-398.80239999999998</v>
      </c>
      <c r="H4281" s="1">
        <v>-7.8742920000000001E-7</v>
      </c>
      <c r="I4281">
        <v>20.521429999999999</v>
      </c>
      <c r="J4281">
        <v>-415.73880000000003</v>
      </c>
      <c r="K4281">
        <v>1.1172580000000001</v>
      </c>
      <c r="L4281">
        <v>28.11646</v>
      </c>
      <c r="M4281">
        <v>0.65634759999999903</v>
      </c>
      <c r="N4281">
        <v>-1.4781819999999999E-2</v>
      </c>
      <c r="O4281">
        <v>-0.75431380000000003</v>
      </c>
      <c r="P4281">
        <v>0.81260449999999995</v>
      </c>
      <c r="Q4281">
        <v>0.1531979</v>
      </c>
      <c r="R4281">
        <v>-0.5623205</v>
      </c>
      <c r="S4281">
        <v>2.8429570000000002</v>
      </c>
      <c r="T4281">
        <v>-0.18648429999999999</v>
      </c>
      <c r="U4281">
        <v>-1.284241</v>
      </c>
      <c r="V4281">
        <v>-0.24659349999999999</v>
      </c>
      <c r="W4281">
        <v>0.16335269999999999</v>
      </c>
      <c r="X4281">
        <v>0.95525260000000001</v>
      </c>
      <c r="Y4281">
        <v>-0.41596080000000002</v>
      </c>
      <c r="Z4281">
        <v>4.4551479999999997E-2</v>
      </c>
      <c r="AA4281">
        <v>0.90829059999999995</v>
      </c>
      <c r="AB4281">
        <v>21</v>
      </c>
      <c r="AC4281">
        <v>16.936399999999999</v>
      </c>
      <c r="AD4281">
        <v>-1.1172587874291999</v>
      </c>
      <c r="AE4281">
        <v>-7.5950299999999897</v>
      </c>
      <c r="AF4281">
        <v>-7.7631050083439401</v>
      </c>
      <c r="AG4281">
        <v>-1.1172587874291999</v>
      </c>
      <c r="AH4281">
        <v>16.786223357091401</v>
      </c>
      <c r="AI4281">
        <v>93.457072766358706</v>
      </c>
      <c r="AJ4281">
        <v>114.81906991886299</v>
      </c>
      <c r="AK4281">
        <v>18.528123519742199</v>
      </c>
      <c r="AL4281">
        <v>80.5984471310488</v>
      </c>
      <c r="AM4281">
        <v>104.474607213224</v>
      </c>
      <c r="AN4281">
        <v>0.99999999432315001</v>
      </c>
    </row>
    <row r="4282" spans="1:40" x14ac:dyDescent="0.25">
      <c r="A4282" t="str">
        <f>"20190304155500087"</f>
        <v>20190304155500087</v>
      </c>
      <c r="B4282" t="str">
        <f>"1551686100082134"</f>
        <v>1551686100082134</v>
      </c>
      <c r="C4282" t="s">
        <v>40</v>
      </c>
      <c r="D4282">
        <v>4.6197549999999996</v>
      </c>
      <c r="E4282">
        <v>0.4258769</v>
      </c>
      <c r="F4282" t="s">
        <v>46</v>
      </c>
      <c r="G4282">
        <v>-398.41629999999998</v>
      </c>
      <c r="H4282" s="1">
        <v>-9.4823630000000005E-7</v>
      </c>
      <c r="I4282">
        <v>20.43995</v>
      </c>
      <c r="J4282">
        <v>-415.6121</v>
      </c>
      <c r="K4282">
        <v>1.117251</v>
      </c>
      <c r="L4282">
        <v>27.988489999999999</v>
      </c>
      <c r="M4282">
        <v>0.66390419999999895</v>
      </c>
      <c r="N4282">
        <v>-1.4781860000000001E-2</v>
      </c>
      <c r="O4282">
        <v>-0.74767150000000004</v>
      </c>
      <c r="P4282">
        <v>0.81798909999999903</v>
      </c>
      <c r="Q4282">
        <v>0.15431230000000001</v>
      </c>
      <c r="R4282">
        <v>-0.55414940000000001</v>
      </c>
      <c r="S4282">
        <v>2.8519589999999999</v>
      </c>
      <c r="T4282">
        <v>-0.18394489999999999</v>
      </c>
      <c r="U4282">
        <v>-1.263855</v>
      </c>
      <c r="V4282">
        <v>-0.24641270000000001</v>
      </c>
      <c r="W4282">
        <v>0.1644727</v>
      </c>
      <c r="X4282">
        <v>0.95510709999999999</v>
      </c>
      <c r="Y4282">
        <v>-0.41334700000000002</v>
      </c>
      <c r="Z4282">
        <v>4.3580090000000002E-2</v>
      </c>
      <c r="AA4282">
        <v>0.90953010000000001</v>
      </c>
      <c r="AB4282">
        <v>21</v>
      </c>
      <c r="AC4282">
        <v>17.195799999999998</v>
      </c>
      <c r="AD4282">
        <v>-1.1172519482362999</v>
      </c>
      <c r="AE4282">
        <v>-7.54854</v>
      </c>
      <c r="AF4282">
        <v>-7.8184870292125099</v>
      </c>
      <c r="AG4282">
        <v>-1.1172519482362999</v>
      </c>
      <c r="AH4282">
        <v>17.001880552719999</v>
      </c>
      <c r="AI4282">
        <v>93.416685504748003</v>
      </c>
      <c r="AJ4282">
        <v>114.695815592671</v>
      </c>
      <c r="AK4282">
        <v>18.7467579509301</v>
      </c>
      <c r="AL4282">
        <v>80.533396369841597</v>
      </c>
      <c r="AM4282">
        <v>104.466550960782</v>
      </c>
      <c r="AN4282">
        <v>1.0000000301184899</v>
      </c>
    </row>
    <row r="4283" spans="1:40" x14ac:dyDescent="0.25">
      <c r="A4283" t="str">
        <f>"20190304155500110"</f>
        <v>20190304155500110</v>
      </c>
      <c r="B4283" t="str">
        <f>"1551686100101653"</f>
        <v>1551686100101653</v>
      </c>
      <c r="C4283" t="s">
        <v>40</v>
      </c>
      <c r="D4283">
        <v>4.6150120000000001</v>
      </c>
      <c r="E4283">
        <v>0.4316643</v>
      </c>
      <c r="F4283" t="s">
        <v>46</v>
      </c>
      <c r="G4283">
        <v>-397.88959999999997</v>
      </c>
      <c r="H4283" s="1">
        <v>-1.1692800000000001E-6</v>
      </c>
      <c r="I4283">
        <v>20.334890000000001</v>
      </c>
      <c r="J4283">
        <v>-415.46</v>
      </c>
      <c r="K4283">
        <v>1.117246</v>
      </c>
      <c r="L4283">
        <v>27.838290000000001</v>
      </c>
      <c r="M4283">
        <v>0.67280299999999904</v>
      </c>
      <c r="N4283">
        <v>-1.478163E-2</v>
      </c>
      <c r="O4283">
        <v>-0.73967399999999905</v>
      </c>
      <c r="P4283">
        <v>0.82423099999999905</v>
      </c>
      <c r="Q4283">
        <v>0.1552753</v>
      </c>
      <c r="R4283">
        <v>-0.54454829999999999</v>
      </c>
      <c r="S4283">
        <v>2.8637389999999998</v>
      </c>
      <c r="T4283">
        <v>-0.18053379999999999</v>
      </c>
      <c r="U4283">
        <v>-1.2367250000000001</v>
      </c>
      <c r="V4283">
        <v>-0.24602769999999999</v>
      </c>
      <c r="W4283">
        <v>0.1654467</v>
      </c>
      <c r="X4283">
        <v>0.9550381</v>
      </c>
      <c r="Y4283">
        <v>-0.4111361</v>
      </c>
      <c r="Z4283">
        <v>4.2343770000000003E-2</v>
      </c>
      <c r="AA4283">
        <v>0.91059000000000001</v>
      </c>
      <c r="AB4283">
        <v>21</v>
      </c>
      <c r="AC4283">
        <v>17.570399999999999</v>
      </c>
      <c r="AD4283">
        <v>-1.1172471692799999</v>
      </c>
      <c r="AE4283">
        <v>-7.5034000000000001</v>
      </c>
      <c r="AF4283">
        <v>-7.92183655114267</v>
      </c>
      <c r="AG4283">
        <v>-1.1172471692799999</v>
      </c>
      <c r="AH4283">
        <v>17.314177381985399</v>
      </c>
      <c r="AI4283">
        <v>93.358137634251193</v>
      </c>
      <c r="AJ4283">
        <v>114.585737623893</v>
      </c>
      <c r="AK4283">
        <v>19.073134875922701</v>
      </c>
      <c r="AL4283">
        <v>80.476814903305694</v>
      </c>
      <c r="AM4283">
        <v>104.44589443868</v>
      </c>
      <c r="AN4283">
        <v>1.0000000060798899</v>
      </c>
    </row>
    <row r="4284" spans="1:40" x14ac:dyDescent="0.25">
      <c r="A4284" t="str">
        <f>"20190304155500131"</f>
        <v>20190304155500131</v>
      </c>
      <c r="B4284" t="str">
        <f>"1551686100121916"</f>
        <v>1551686100121916</v>
      </c>
      <c r="C4284" t="s">
        <v>40</v>
      </c>
      <c r="D4284">
        <v>4.6313899999999997</v>
      </c>
      <c r="E4284">
        <v>0.43184440000000002</v>
      </c>
      <c r="F4284" t="s">
        <v>46</v>
      </c>
      <c r="G4284">
        <v>-399.55349999999999</v>
      </c>
      <c r="H4284" s="1">
        <v>-5.3578120000000001E-7</v>
      </c>
      <c r="I4284">
        <v>20.910080000000001</v>
      </c>
      <c r="J4284">
        <v>-415.31830000000002</v>
      </c>
      <c r="K4284">
        <v>1.1172390000000001</v>
      </c>
      <c r="L4284">
        <v>27.701540000000001</v>
      </c>
      <c r="M4284">
        <v>0.68092909999999995</v>
      </c>
      <c r="N4284">
        <v>-1.478076E-2</v>
      </c>
      <c r="O4284">
        <v>-0.73220019999999997</v>
      </c>
      <c r="P4284">
        <v>0.82950059999999903</v>
      </c>
      <c r="Q4284">
        <v>0.15580369999999999</v>
      </c>
      <c r="R4284">
        <v>-0.53633359999999997</v>
      </c>
      <c r="S4284">
        <v>2.855804</v>
      </c>
      <c r="T4284">
        <v>-0.20058670000000001</v>
      </c>
      <c r="U4284">
        <v>-1.2438659999999999</v>
      </c>
      <c r="V4284">
        <v>-0.24489910000000001</v>
      </c>
      <c r="W4284">
        <v>0.1660016</v>
      </c>
      <c r="X4284">
        <v>0.95523179999999996</v>
      </c>
      <c r="Y4284">
        <v>-0.3979027</v>
      </c>
      <c r="Z4284">
        <v>4.74527E-2</v>
      </c>
      <c r="AA4284">
        <v>0.9161996</v>
      </c>
      <c r="AB4284">
        <v>21</v>
      </c>
      <c r="AC4284">
        <v>15.764799999999999</v>
      </c>
      <c r="AD4284">
        <v>-1.1172395357811999</v>
      </c>
      <c r="AE4284">
        <v>-6.7914599999999998</v>
      </c>
      <c r="AF4284">
        <v>-6.8900546678331596</v>
      </c>
      <c r="AG4284">
        <v>-1.1172395357811999</v>
      </c>
      <c r="AH4284">
        <v>15.642868040675999</v>
      </c>
      <c r="AI4284">
        <v>93.739660496636503</v>
      </c>
      <c r="AJ4284">
        <v>113.77156272615601</v>
      </c>
      <c r="AK4284">
        <v>17.129518324928</v>
      </c>
      <c r="AL4284">
        <v>80.444575096821794</v>
      </c>
      <c r="AM4284">
        <v>104.379586231902</v>
      </c>
      <c r="AN4284">
        <v>0.99999994605730302</v>
      </c>
    </row>
    <row r="4285" spans="1:40" x14ac:dyDescent="0.25">
      <c r="A4285" t="str">
        <f>"20190304155500154"</f>
        <v>20190304155500154</v>
      </c>
      <c r="B4285" t="str">
        <f>"1551686100141382"</f>
        <v>1551686100141382</v>
      </c>
      <c r="C4285" t="s">
        <v>40</v>
      </c>
      <c r="D4285">
        <v>4.6423220000000001</v>
      </c>
      <c r="E4285">
        <v>0.43241459999999998</v>
      </c>
      <c r="F4285" t="s">
        <v>46</v>
      </c>
      <c r="G4285">
        <v>-399.13200000000001</v>
      </c>
      <c r="H4285" s="1">
        <v>-7.1622879999999999E-7</v>
      </c>
      <c r="I4285">
        <v>20.839359999999999</v>
      </c>
      <c r="J4285">
        <v>-415.16969999999998</v>
      </c>
      <c r="K4285">
        <v>1.1172260000000001</v>
      </c>
      <c r="L4285">
        <v>27.56128</v>
      </c>
      <c r="M4285">
        <v>0.68928159999999905</v>
      </c>
      <c r="N4285">
        <v>-1.477905E-2</v>
      </c>
      <c r="O4285">
        <v>-0.72434290000000001</v>
      </c>
      <c r="P4285">
        <v>0.83492169999999899</v>
      </c>
      <c r="Q4285">
        <v>0.15599299999999999</v>
      </c>
      <c r="R4285">
        <v>-0.52779940000000003</v>
      </c>
      <c r="S4285">
        <v>2.8677060000000001</v>
      </c>
      <c r="T4285">
        <v>-0.19793920000000001</v>
      </c>
      <c r="U4285">
        <v>-1.215759</v>
      </c>
      <c r="V4285">
        <v>-0.2437088</v>
      </c>
      <c r="W4285">
        <v>0.16622020000000001</v>
      </c>
      <c r="X4285">
        <v>0.95549819999999996</v>
      </c>
      <c r="Y4285">
        <v>-0.39641399999999999</v>
      </c>
      <c r="Z4285">
        <v>4.6424739999999999E-2</v>
      </c>
      <c r="AA4285">
        <v>0.91689730000000003</v>
      </c>
      <c r="AB4285">
        <v>21</v>
      </c>
      <c r="AC4285">
        <v>16.037700000000001</v>
      </c>
      <c r="AD4285">
        <v>-1.1172267162288001</v>
      </c>
      <c r="AE4285">
        <v>-6.7219199999999999</v>
      </c>
      <c r="AF4285">
        <v>-6.9555498177324999</v>
      </c>
      <c r="AG4285">
        <v>-1.1172267162288001</v>
      </c>
      <c r="AH4285">
        <v>15.859739515050901</v>
      </c>
      <c r="AI4285">
        <v>93.691189388595106</v>
      </c>
      <c r="AJ4285">
        <v>113.680644650189</v>
      </c>
      <c r="AK4285">
        <v>17.3539392152814</v>
      </c>
      <c r="AL4285">
        <v>80.4318740322461</v>
      </c>
      <c r="AM4285">
        <v>104.30874751359799</v>
      </c>
      <c r="AN4285">
        <v>0.99999997214435898</v>
      </c>
    </row>
    <row r="4286" spans="1:40" x14ac:dyDescent="0.25">
      <c r="A4286" t="str">
        <f>"20190304155500168"</f>
        <v>20190304155500168</v>
      </c>
      <c r="B4286" t="str">
        <f>"1551686100161878"</f>
        <v>1551686100161878</v>
      </c>
      <c r="C4286" t="s">
        <v>40</v>
      </c>
      <c r="D4286">
        <v>4.6544689999999997</v>
      </c>
      <c r="E4286">
        <v>0.43303320000000001</v>
      </c>
      <c r="F4286" t="s">
        <v>46</v>
      </c>
      <c r="G4286">
        <v>-399.10210000000001</v>
      </c>
      <c r="H4286" s="1">
        <v>-7.5135789999999998E-7</v>
      </c>
      <c r="I4286">
        <v>20.918379999999999</v>
      </c>
      <c r="J4286">
        <v>-415.0736</v>
      </c>
      <c r="K4286">
        <v>1.1172169999999999</v>
      </c>
      <c r="L4286">
        <v>27.472290000000001</v>
      </c>
      <c r="M4286">
        <v>0.69459380000000004</v>
      </c>
      <c r="N4286">
        <v>-1.477757E-2</v>
      </c>
      <c r="O4286">
        <v>-0.71925030000000001</v>
      </c>
      <c r="P4286">
        <v>0.83854779999999995</v>
      </c>
      <c r="Q4286">
        <v>0.15590999999999999</v>
      </c>
      <c r="R4286">
        <v>-0.52204390000000001</v>
      </c>
      <c r="S4286">
        <v>2.8782649999999999</v>
      </c>
      <c r="T4286">
        <v>-0.2001338</v>
      </c>
      <c r="U4286">
        <v>-1.189972</v>
      </c>
      <c r="V4286">
        <v>-0.24325330000000001</v>
      </c>
      <c r="W4286">
        <v>0.16615160000000001</v>
      </c>
      <c r="X4286">
        <v>0.95562619999999998</v>
      </c>
      <c r="Y4286">
        <v>-0.39782650000000003</v>
      </c>
      <c r="Z4286">
        <v>4.6917639999999997E-2</v>
      </c>
      <c r="AA4286">
        <v>0.91626019999999997</v>
      </c>
      <c r="AB4286">
        <v>21</v>
      </c>
      <c r="AC4286">
        <v>15.971499999999899</v>
      </c>
      <c r="AD4286">
        <v>-1.11721775135789</v>
      </c>
      <c r="AE4286">
        <v>-6.5539100000000001</v>
      </c>
      <c r="AF4286">
        <v>-6.9070325334570501</v>
      </c>
      <c r="AG4286">
        <v>-1.11721775135789</v>
      </c>
      <c r="AH4286">
        <v>15.7434015938363</v>
      </c>
      <c r="AI4286">
        <v>93.718142920708104</v>
      </c>
      <c r="AJ4286">
        <v>113.68828901173799</v>
      </c>
      <c r="AK4286">
        <v>17.228173660228499</v>
      </c>
      <c r="AL4286">
        <v>80.435860007070801</v>
      </c>
      <c r="AM4286">
        <v>104.281264352374</v>
      </c>
      <c r="AN4286">
        <v>0.99999997813494401</v>
      </c>
    </row>
    <row r="4287" spans="1:40" x14ac:dyDescent="0.25">
      <c r="A4287" t="str">
        <f>"20190304155500187"</f>
        <v>20190304155500187</v>
      </c>
      <c r="B4287" t="str">
        <f>"1551686100181398"</f>
        <v>1551686100181398</v>
      </c>
      <c r="C4287" t="s">
        <v>40</v>
      </c>
      <c r="D4287">
        <v>4.7813829999999999</v>
      </c>
      <c r="E4287">
        <v>0.43345050000000002</v>
      </c>
      <c r="F4287" t="s">
        <v>46</v>
      </c>
      <c r="G4287">
        <v>-399.21390000000002</v>
      </c>
      <c r="H4287" s="1">
        <v>-7.2419319999999999E-7</v>
      </c>
      <c r="I4287">
        <v>21.014859999999999</v>
      </c>
      <c r="J4287">
        <v>-414.94009999999997</v>
      </c>
      <c r="K4287">
        <v>1.1172</v>
      </c>
      <c r="L4287">
        <v>27.350860000000001</v>
      </c>
      <c r="M4287">
        <v>0.70185529999999996</v>
      </c>
      <c r="N4287">
        <v>-1.4775180000000001E-2</v>
      </c>
      <c r="O4287">
        <v>-0.71216639999999998</v>
      </c>
      <c r="P4287">
        <v>0.84291949999999904</v>
      </c>
      <c r="Q4287">
        <v>0.155891</v>
      </c>
      <c r="R4287">
        <v>-0.51496109999999995</v>
      </c>
      <c r="S4287">
        <v>2.8842469999999998</v>
      </c>
      <c r="T4287">
        <v>-0.203177</v>
      </c>
      <c r="U4287">
        <v>-1.174347</v>
      </c>
      <c r="V4287">
        <v>-0.24159919999999999</v>
      </c>
      <c r="W4287">
        <v>0.1661733</v>
      </c>
      <c r="X4287">
        <v>0.95604199999999995</v>
      </c>
      <c r="Y4287">
        <v>-0.39340019999999998</v>
      </c>
      <c r="Z4287">
        <v>4.7389590000000002E-2</v>
      </c>
      <c r="AA4287">
        <v>0.91814519999999999</v>
      </c>
      <c r="AB4287">
        <v>21</v>
      </c>
      <c r="AC4287">
        <v>15.726199999999899</v>
      </c>
      <c r="AD4287">
        <v>-1.1172007241932</v>
      </c>
      <c r="AE4287">
        <v>-6.3359999999999896</v>
      </c>
      <c r="AF4287">
        <v>-6.7242561815515796</v>
      </c>
      <c r="AG4287">
        <v>-1.1172007241932</v>
      </c>
      <c r="AH4287">
        <v>15.484267204799201</v>
      </c>
      <c r="AI4287">
        <v>93.786301749289805</v>
      </c>
      <c r="AJ4287">
        <v>113.473559562159</v>
      </c>
      <c r="AK4287">
        <v>16.918223592413401</v>
      </c>
      <c r="AL4287">
        <v>80.434599588410606</v>
      </c>
      <c r="AM4287">
        <v>104.182165510624</v>
      </c>
      <c r="AN4287">
        <v>1.00000002241876</v>
      </c>
    </row>
    <row r="4288" spans="1:40" x14ac:dyDescent="0.25">
      <c r="A4288" t="str">
        <f>"20190304155500200"</f>
        <v>20190304155500200</v>
      </c>
      <c r="B4288" t="str">
        <f>"1551686100192133"</f>
        <v>1551686100192133</v>
      </c>
      <c r="C4288" t="s">
        <v>40</v>
      </c>
      <c r="D4288">
        <v>4.660056</v>
      </c>
      <c r="E4288">
        <v>0.43371169999999998</v>
      </c>
      <c r="F4288" t="s">
        <v>46</v>
      </c>
      <c r="G4288">
        <v>-398.8503</v>
      </c>
      <c r="H4288" s="1">
        <v>-8.7617130000000005E-7</v>
      </c>
      <c r="I4288">
        <v>20.940149999999999</v>
      </c>
      <c r="J4288">
        <v>-414.84679999999997</v>
      </c>
      <c r="K4288">
        <v>1.1171850000000001</v>
      </c>
      <c r="L4288">
        <v>27.26718</v>
      </c>
      <c r="M4288">
        <v>0.70685739999999997</v>
      </c>
      <c r="N4288">
        <v>-1.4773379999999999E-2</v>
      </c>
      <c r="O4288">
        <v>-0.707202</v>
      </c>
      <c r="P4288">
        <v>0.84591510000000003</v>
      </c>
      <c r="Q4288">
        <v>0.15610089999999999</v>
      </c>
      <c r="R4288">
        <v>-0.50996109999999994</v>
      </c>
      <c r="S4288">
        <v>2.8921809999999999</v>
      </c>
      <c r="T4288">
        <v>-0.20082</v>
      </c>
      <c r="U4288">
        <v>-1.152344</v>
      </c>
      <c r="V4288">
        <v>-0.24048919999999999</v>
      </c>
      <c r="W4288">
        <v>0.16641110000000001</v>
      </c>
      <c r="X4288">
        <v>0.95628040000000003</v>
      </c>
      <c r="Y4288">
        <v>-0.3938566</v>
      </c>
      <c r="Z4288">
        <v>4.6609829999999998E-2</v>
      </c>
      <c r="AA4288">
        <v>0.91798939999999996</v>
      </c>
      <c r="AB4288">
        <v>21</v>
      </c>
      <c r="AC4288">
        <v>15.9964999999999</v>
      </c>
      <c r="AD4288">
        <v>-1.1171858761713001</v>
      </c>
      <c r="AE4288">
        <v>-6.3270299999999997</v>
      </c>
      <c r="AF4288">
        <v>-6.8124613263080303</v>
      </c>
      <c r="AG4288">
        <v>-1.1171858761713001</v>
      </c>
      <c r="AH4288">
        <v>15.7171621832883</v>
      </c>
      <c r="AI4288">
        <v>93.731424693100493</v>
      </c>
      <c r="AJ4288">
        <v>113.433882624047</v>
      </c>
      <c r="AK4288">
        <v>17.1664475270846</v>
      </c>
      <c r="AL4288">
        <v>80.420781629459697</v>
      </c>
      <c r="AM4288">
        <v>104.116239701578</v>
      </c>
      <c r="AN4288">
        <v>0.99999995647200401</v>
      </c>
    </row>
    <row r="4289" spans="1:40" x14ac:dyDescent="0.25">
      <c r="A4289" t="str">
        <f>"20190304155500224"</f>
        <v>20190304155500224</v>
      </c>
      <c r="B4289" t="str">
        <f>"1551686100211653"</f>
        <v>1551686100211653</v>
      </c>
      <c r="C4289" t="s">
        <v>40</v>
      </c>
      <c r="D4289">
        <v>5.0090180000000002</v>
      </c>
      <c r="E4289">
        <v>0.43387880000000001</v>
      </c>
      <c r="F4289" t="s">
        <v>46</v>
      </c>
      <c r="G4289">
        <v>-398.77010000000001</v>
      </c>
      <c r="H4289" s="1">
        <v>-9.1904750000000005E-7</v>
      </c>
      <c r="I4289">
        <v>20.958760000000002</v>
      </c>
      <c r="J4289">
        <v>-414.69830000000002</v>
      </c>
      <c r="K4289">
        <v>1.1171610000000001</v>
      </c>
      <c r="L4289">
        <v>27.13693</v>
      </c>
      <c r="M4289">
        <v>0.71467099999999995</v>
      </c>
      <c r="N4289">
        <v>-1.476981E-2</v>
      </c>
      <c r="O4289">
        <v>-0.69930499999999995</v>
      </c>
      <c r="P4289">
        <v>0.85035139999999998</v>
      </c>
      <c r="Q4289">
        <v>0.155727799999999</v>
      </c>
      <c r="R4289">
        <v>-0.5026448</v>
      </c>
      <c r="S4289">
        <v>2.8980410000000001</v>
      </c>
      <c r="T4289">
        <v>-0.20138780000000001</v>
      </c>
      <c r="U4289">
        <v>-1.1371770000000001</v>
      </c>
      <c r="V4289">
        <v>-0.23814080000000001</v>
      </c>
      <c r="W4289">
        <v>0.16609470000000001</v>
      </c>
      <c r="X4289">
        <v>0.95692290000000002</v>
      </c>
      <c r="Y4289">
        <v>-0.38844210000000001</v>
      </c>
      <c r="Z4289">
        <v>4.6329170000000003E-2</v>
      </c>
      <c r="AA4289">
        <v>0.92030780000000001</v>
      </c>
      <c r="AB4289">
        <v>21</v>
      </c>
      <c r="AC4289">
        <v>15.9282</v>
      </c>
      <c r="AD4289">
        <v>-1.1171619190475</v>
      </c>
      <c r="AE4289">
        <v>-6.1781699999999899</v>
      </c>
      <c r="AF4289">
        <v>-6.6954143145365999</v>
      </c>
      <c r="AG4289">
        <v>-1.1171619190475</v>
      </c>
      <c r="AH4289">
        <v>15.6386887055322</v>
      </c>
      <c r="AI4289">
        <v>93.757236026684893</v>
      </c>
      <c r="AJ4289">
        <v>113.177289448103</v>
      </c>
      <c r="AK4289">
        <v>17.048319800649299</v>
      </c>
      <c r="AL4289">
        <v>80.439165931293502</v>
      </c>
      <c r="AM4289">
        <v>103.974806524729</v>
      </c>
      <c r="AN4289">
        <v>0.99999996326856899</v>
      </c>
    </row>
    <row r="4290" spans="1:40" x14ac:dyDescent="0.25">
      <c r="A4290" t="str">
        <f>"20190304155500246"</f>
        <v>20190304155500246</v>
      </c>
      <c r="B4290" t="str">
        <f>"1551686100241683"</f>
        <v>1551686100241683</v>
      </c>
      <c r="C4290" t="s">
        <v>40</v>
      </c>
      <c r="D4290">
        <v>4.7500359999999997</v>
      </c>
      <c r="E4290">
        <v>0.43450509999999898</v>
      </c>
      <c r="F4290" t="s">
        <v>46</v>
      </c>
      <c r="G4290">
        <v>-398.58</v>
      </c>
      <c r="H4290" s="1">
        <v>-1.011853E-6</v>
      </c>
      <c r="I4290">
        <v>20.969889999999999</v>
      </c>
      <c r="J4290">
        <v>-414.5367</v>
      </c>
      <c r="K4290">
        <v>1.1171359999999999</v>
      </c>
      <c r="L4290">
        <v>26.998539999999998</v>
      </c>
      <c r="M4290">
        <v>0.72298819999999997</v>
      </c>
      <c r="N4290">
        <v>-1.4765449999999999E-2</v>
      </c>
      <c r="O4290">
        <v>-0.690702699999999</v>
      </c>
      <c r="P4290">
        <v>0.85477259999999999</v>
      </c>
      <c r="Q4290">
        <v>0.156247</v>
      </c>
      <c r="R4290">
        <v>-0.49492510000000001</v>
      </c>
      <c r="S4290">
        <v>2.9072879999999999</v>
      </c>
      <c r="T4290">
        <v>-0.2015053</v>
      </c>
      <c r="U4290">
        <v>-1.112366</v>
      </c>
      <c r="V4290">
        <v>-0.23527809999999999</v>
      </c>
      <c r="W4290">
        <v>0.16667870000000001</v>
      </c>
      <c r="X4290">
        <v>0.95752939999999998</v>
      </c>
      <c r="Y4290">
        <v>-0.38525429999999999</v>
      </c>
      <c r="Z4290">
        <v>4.5970879999999999E-2</v>
      </c>
      <c r="AA4290">
        <v>0.9216647</v>
      </c>
      <c r="AB4290">
        <v>21</v>
      </c>
      <c r="AC4290">
        <v>15.9567</v>
      </c>
      <c r="AD4290">
        <v>-1.117137011853</v>
      </c>
      <c r="AE4290">
        <v>-6.0286499999999998</v>
      </c>
      <c r="AF4290">
        <v>-6.6349599910759496</v>
      </c>
      <c r="AG4290">
        <v>-1.117137011853</v>
      </c>
      <c r="AH4290">
        <v>15.6351584209258</v>
      </c>
      <c r="AI4290">
        <v>93.763097459105197</v>
      </c>
      <c r="AJ4290">
        <v>112.994500664065</v>
      </c>
      <c r="AK4290">
        <v>17.021423795731</v>
      </c>
      <c r="AL4290">
        <v>80.405233139646</v>
      </c>
      <c r="AM4290">
        <v>103.80487123045801</v>
      </c>
      <c r="AN4290">
        <v>1.0000000626188199</v>
      </c>
    </row>
    <row r="4291" spans="1:40" x14ac:dyDescent="0.25">
      <c r="A4291" t="str">
        <f>"20190304155500266"</f>
        <v>20190304155500266</v>
      </c>
      <c r="B4291" t="str">
        <f>"1551686100262179"</f>
        <v>1551686100262179</v>
      </c>
      <c r="C4291" t="s">
        <v>40</v>
      </c>
      <c r="D4291">
        <v>4.7659840000000004</v>
      </c>
      <c r="E4291">
        <v>0.43470249999999999</v>
      </c>
      <c r="F4291" t="s">
        <v>46</v>
      </c>
      <c r="G4291">
        <v>-398.30040000000002</v>
      </c>
      <c r="H4291" s="1">
        <v>-1.1340719999999999E-6</v>
      </c>
      <c r="I4291">
        <v>20.93234</v>
      </c>
      <c r="J4291">
        <v>-414.4</v>
      </c>
      <c r="K4291">
        <v>1.1171150000000001</v>
      </c>
      <c r="L4291">
        <v>26.883880000000001</v>
      </c>
      <c r="M4291">
        <v>0.729882699999999</v>
      </c>
      <c r="N4291">
        <v>-1.4761399999999999E-2</v>
      </c>
      <c r="O4291">
        <v>-0.6834133</v>
      </c>
      <c r="P4291">
        <v>0.85822540000000003</v>
      </c>
      <c r="Q4291">
        <v>0.15716140000000001</v>
      </c>
      <c r="R4291">
        <v>-0.4886201</v>
      </c>
      <c r="S4291">
        <v>2.915619</v>
      </c>
      <c r="T4291">
        <v>-0.2006077</v>
      </c>
      <c r="U4291">
        <v>-1.0893250000000001</v>
      </c>
      <c r="V4291">
        <v>-0.23260330000000001</v>
      </c>
      <c r="W4291">
        <v>0.16765050000000001</v>
      </c>
      <c r="X4291">
        <v>0.95801309999999995</v>
      </c>
      <c r="Y4291">
        <v>-0.38327480000000003</v>
      </c>
      <c r="Z4291">
        <v>4.5422770000000001E-2</v>
      </c>
      <c r="AA4291">
        <v>0.92251680000000003</v>
      </c>
      <c r="AB4291">
        <v>21</v>
      </c>
      <c r="AC4291">
        <v>16.099599999999899</v>
      </c>
      <c r="AD4291">
        <v>-1.1171161340719999</v>
      </c>
      <c r="AE4291">
        <v>-5.9515399999999898</v>
      </c>
      <c r="AF4291">
        <v>-6.63138958731877</v>
      </c>
      <c r="AG4291">
        <v>-1.1171161340719999</v>
      </c>
      <c r="AH4291">
        <v>15.7531740585924</v>
      </c>
      <c r="AI4291">
        <v>93.7394678370554</v>
      </c>
      <c r="AJ4291">
        <v>112.828940204492</v>
      </c>
      <c r="AK4291">
        <v>17.128507501709301</v>
      </c>
      <c r="AL4291">
        <v>80.348758251374605</v>
      </c>
      <c r="AM4291">
        <v>103.647198589726</v>
      </c>
      <c r="AN4291">
        <v>1.00000004254637</v>
      </c>
    </row>
    <row r="4292" spans="1:40" x14ac:dyDescent="0.25">
      <c r="A4292" t="str">
        <f>"20190304155500279"</f>
        <v>20190304155500279</v>
      </c>
      <c r="B4292" t="str">
        <f>"1551686100271939"</f>
        <v>1551686100271939</v>
      </c>
      <c r="C4292" t="s">
        <v>40</v>
      </c>
      <c r="D4292">
        <v>4.7511970000000003</v>
      </c>
      <c r="E4292">
        <v>0.43479139999999999</v>
      </c>
      <c r="F4292" t="s">
        <v>46</v>
      </c>
      <c r="G4292">
        <v>-397.75659999999999</v>
      </c>
      <c r="H4292" s="1">
        <v>-1.35465E-6</v>
      </c>
      <c r="I4292">
        <v>20.795269999999999</v>
      </c>
      <c r="J4292">
        <v>-414.29919999999998</v>
      </c>
      <c r="K4292">
        <v>1.1171009999999999</v>
      </c>
      <c r="L4292">
        <v>26.800809999999998</v>
      </c>
      <c r="M4292">
        <v>0.73488319999999996</v>
      </c>
      <c r="N4292">
        <v>-1.475835E-2</v>
      </c>
      <c r="O4292">
        <v>-0.67803340000000001</v>
      </c>
      <c r="P4292">
        <v>0.86105599999999904</v>
      </c>
      <c r="Q4292">
        <v>0.15767439999999999</v>
      </c>
      <c r="R4292">
        <v>-0.48344759999999998</v>
      </c>
      <c r="S4292">
        <v>2.9227289999999999</v>
      </c>
      <c r="T4292">
        <v>-0.19617570000000001</v>
      </c>
      <c r="U4292">
        <v>-1.0692140000000001</v>
      </c>
      <c r="V4292">
        <v>-0.2312649</v>
      </c>
      <c r="W4292">
        <v>0.16819339999999999</v>
      </c>
      <c r="X4292">
        <v>0.95824189999999998</v>
      </c>
      <c r="Y4292">
        <v>-0.38289089999999998</v>
      </c>
      <c r="Z4292">
        <v>4.4059340000000002E-2</v>
      </c>
      <c r="AA4292">
        <v>0.92274219999999896</v>
      </c>
      <c r="AB4292">
        <v>21</v>
      </c>
      <c r="AC4292">
        <v>16.542599999999901</v>
      </c>
      <c r="AD4292">
        <v>-1.1171023546500001</v>
      </c>
      <c r="AE4292">
        <v>-6.0055399999999901</v>
      </c>
      <c r="AF4292">
        <v>-6.7765010726855097</v>
      </c>
      <c r="AG4292">
        <v>-1.1171023546500001</v>
      </c>
      <c r="AH4292">
        <v>16.165467105789901</v>
      </c>
      <c r="AI4292">
        <v>93.646594230669606</v>
      </c>
      <c r="AJ4292">
        <v>112.743242007433</v>
      </c>
      <c r="AK4292">
        <v>17.563917877491001</v>
      </c>
      <c r="AL4292">
        <v>80.317203963104902</v>
      </c>
      <c r="AM4292">
        <v>103.5684642495</v>
      </c>
      <c r="AN4292">
        <v>1.0000000063455801</v>
      </c>
    </row>
    <row r="4293" spans="1:40" x14ac:dyDescent="0.25">
      <c r="A4293" t="str">
        <f>"20190304155500300"</f>
        <v>20190304155500300</v>
      </c>
      <c r="B4293" t="str">
        <f>"1551686100291459"</f>
        <v>1551686100291459</v>
      </c>
      <c r="C4293" t="s">
        <v>40</v>
      </c>
      <c r="D4293">
        <v>4.721641</v>
      </c>
      <c r="E4293">
        <v>0.43507709999999999</v>
      </c>
      <c r="F4293" t="s">
        <v>46</v>
      </c>
      <c r="G4293">
        <v>-397.45100000000002</v>
      </c>
      <c r="H4293" s="1">
        <v>-1.4860630000000001E-6</v>
      </c>
      <c r="I4293">
        <v>20.746320000000001</v>
      </c>
      <c r="J4293">
        <v>-414.15879999999999</v>
      </c>
      <c r="K4293">
        <v>1.1170869999999999</v>
      </c>
      <c r="L4293">
        <v>26.687159999999999</v>
      </c>
      <c r="M4293">
        <v>0.74173299999999998</v>
      </c>
      <c r="N4293">
        <v>-1.475394E-2</v>
      </c>
      <c r="O4293">
        <v>-0.67053319999999905</v>
      </c>
      <c r="P4293">
        <v>0.86456100000000002</v>
      </c>
      <c r="Q4293">
        <v>0.158683399999999</v>
      </c>
      <c r="R4293">
        <v>-0.47681699999999999</v>
      </c>
      <c r="S4293">
        <v>2.928741</v>
      </c>
      <c r="T4293">
        <v>-0.19418730000000001</v>
      </c>
      <c r="U4293">
        <v>-1.05246</v>
      </c>
      <c r="V4293">
        <v>-0.22877140000000001</v>
      </c>
      <c r="W4293">
        <v>0.16925509999999999</v>
      </c>
      <c r="X4293">
        <v>0.95865339999999999</v>
      </c>
      <c r="Y4293">
        <v>-0.37882840000000001</v>
      </c>
      <c r="Z4293">
        <v>4.3155720000000002E-2</v>
      </c>
      <c r="AA4293">
        <v>0.92446019999999896</v>
      </c>
      <c r="AB4293">
        <v>21</v>
      </c>
      <c r="AC4293">
        <v>16.707799999999999</v>
      </c>
      <c r="AD4293">
        <v>-1.1170884860629999</v>
      </c>
      <c r="AE4293">
        <v>-5.9408399999999899</v>
      </c>
      <c r="AF4293">
        <v>-6.7704873801760304</v>
      </c>
      <c r="AG4293">
        <v>-1.1170884860629999</v>
      </c>
      <c r="AH4293">
        <v>16.313297234998601</v>
      </c>
      <c r="AI4293">
        <v>93.618932431262394</v>
      </c>
      <c r="AJ4293">
        <v>112.539855324274</v>
      </c>
      <c r="AK4293">
        <v>17.697769710566099</v>
      </c>
      <c r="AL4293">
        <v>80.255488088032294</v>
      </c>
      <c r="AM4293">
        <v>103.421939036758</v>
      </c>
      <c r="AN4293">
        <v>0.999999991832764</v>
      </c>
    </row>
    <row r="4294" spans="1:40" x14ac:dyDescent="0.25">
      <c r="A4294" t="str">
        <f>"20190304155500322"</f>
        <v>20190304155500322</v>
      </c>
      <c r="B4294" t="str">
        <f>"1551686100311958"</f>
        <v>1551686100311958</v>
      </c>
      <c r="C4294" t="s">
        <v>40</v>
      </c>
      <c r="D4294">
        <v>4.7212019999999999</v>
      </c>
      <c r="E4294">
        <v>0.43533240000000001</v>
      </c>
      <c r="F4294" t="s">
        <v>46</v>
      </c>
      <c r="G4294">
        <v>-396.92290000000003</v>
      </c>
      <c r="H4294" s="1">
        <v>-1.703796E-6</v>
      </c>
      <c r="I4294">
        <v>20.626480000000001</v>
      </c>
      <c r="J4294">
        <v>-413.99700000000001</v>
      </c>
      <c r="K4294">
        <v>1.1170739999999999</v>
      </c>
      <c r="L4294">
        <v>26.559170000000002</v>
      </c>
      <c r="M4294">
        <v>0.74945640000000002</v>
      </c>
      <c r="N4294">
        <v>-1.474866E-2</v>
      </c>
      <c r="O4294">
        <v>-0.66188950000000002</v>
      </c>
      <c r="P4294">
        <v>0.86875599999999997</v>
      </c>
      <c r="Q4294">
        <v>0.15969140000000001</v>
      </c>
      <c r="R4294">
        <v>-0.46878750000000002</v>
      </c>
      <c r="S4294">
        <v>2.9356080000000002</v>
      </c>
      <c r="T4294">
        <v>-0.19026280000000001</v>
      </c>
      <c r="U4294">
        <v>-1.032257</v>
      </c>
      <c r="V4294">
        <v>-0.22641720000000001</v>
      </c>
      <c r="W4294">
        <v>0.17031289999999999</v>
      </c>
      <c r="X4294">
        <v>0.95902489999999996</v>
      </c>
      <c r="Y4294">
        <v>-0.37451190000000001</v>
      </c>
      <c r="Z4294">
        <v>4.1714429999999997E-2</v>
      </c>
      <c r="AA4294">
        <v>0.92628330000000003</v>
      </c>
      <c r="AB4294">
        <v>21</v>
      </c>
      <c r="AC4294">
        <v>17.074099999999898</v>
      </c>
      <c r="AD4294">
        <v>-1.117075703796</v>
      </c>
      <c r="AE4294">
        <v>-5.93269</v>
      </c>
      <c r="AF4294">
        <v>-6.8295359946121996</v>
      </c>
      <c r="AG4294">
        <v>-1.117075703796</v>
      </c>
      <c r="AH4294">
        <v>16.661261920107201</v>
      </c>
      <c r="AI4294">
        <v>93.549895696703899</v>
      </c>
      <c r="AJ4294">
        <v>112.288973417804</v>
      </c>
      <c r="AK4294">
        <v>18.041287891947501</v>
      </c>
      <c r="AL4294">
        <v>80.193987740387698</v>
      </c>
      <c r="AM4294">
        <v>103.28377800563599</v>
      </c>
      <c r="AN4294">
        <v>0.99999999559112995</v>
      </c>
    </row>
    <row r="4295" spans="1:40" x14ac:dyDescent="0.25">
      <c r="A4295" t="str">
        <f>"20190304155500335"</f>
        <v>20190304155500335</v>
      </c>
      <c r="B4295" t="str">
        <f>"1551686100332064"</f>
        <v>1551686100332064</v>
      </c>
      <c r="C4295" t="s">
        <v>40</v>
      </c>
      <c r="D4295">
        <v>4.7136060000000004</v>
      </c>
      <c r="E4295">
        <v>0.4355868</v>
      </c>
      <c r="F4295" t="s">
        <v>46</v>
      </c>
      <c r="G4295">
        <v>-396.37049999999999</v>
      </c>
      <c r="H4295" s="1">
        <v>-1.9399339999999999E-6</v>
      </c>
      <c r="I4295">
        <v>20.532440000000001</v>
      </c>
      <c r="J4295">
        <v>-413.89580000000001</v>
      </c>
      <c r="K4295">
        <v>1.1170610000000001</v>
      </c>
      <c r="L4295">
        <v>26.480899999999998</v>
      </c>
      <c r="M4295">
        <v>0.75419619999999998</v>
      </c>
      <c r="N4295">
        <v>-1.4745299999999999E-2</v>
      </c>
      <c r="O4295">
        <v>-0.6564837</v>
      </c>
      <c r="P4295">
        <v>0.87133879999999997</v>
      </c>
      <c r="Q4295">
        <v>0.1602999</v>
      </c>
      <c r="R4295">
        <v>-0.46375929999999999</v>
      </c>
      <c r="S4295">
        <v>2.9442750000000002</v>
      </c>
      <c r="T4295">
        <v>-0.18659229999999999</v>
      </c>
      <c r="U4295">
        <v>-1.006683</v>
      </c>
      <c r="V4295">
        <v>-0.22499060000000001</v>
      </c>
      <c r="W4295">
        <v>0.1709514</v>
      </c>
      <c r="X4295">
        <v>0.95924710000000002</v>
      </c>
      <c r="Y4295">
        <v>-0.37594100000000003</v>
      </c>
      <c r="Z4295">
        <v>4.0639429999999997E-2</v>
      </c>
      <c r="AA4295">
        <v>0.92575200000000002</v>
      </c>
      <c r="AB4295">
        <v>21</v>
      </c>
      <c r="AC4295">
        <v>17.525300000000001</v>
      </c>
      <c r="AD4295">
        <v>-1.117062939934</v>
      </c>
      <c r="AE4295">
        <v>-5.9484599999999901</v>
      </c>
      <c r="AF4295">
        <v>-6.9940504753428696</v>
      </c>
      <c r="AG4295">
        <v>-1.117062939934</v>
      </c>
      <c r="AH4295">
        <v>17.0622825870011</v>
      </c>
      <c r="AI4295">
        <v>93.466618148853499</v>
      </c>
      <c r="AJ4295">
        <v>112.289358864696</v>
      </c>
      <c r="AK4295">
        <v>18.473929163610499</v>
      </c>
      <c r="AL4295">
        <v>80.156860687036001</v>
      </c>
      <c r="AM4295">
        <v>103.20006929186199</v>
      </c>
      <c r="AN4295">
        <v>1.0000000750543601</v>
      </c>
    </row>
    <row r="4296" spans="1:40" x14ac:dyDescent="0.25">
      <c r="A4296" t="str">
        <f>"20190304155500349"</f>
        <v>20190304155500349</v>
      </c>
      <c r="B4296" t="str">
        <f>"1551686100341824"</f>
        <v>1551686100341824</v>
      </c>
      <c r="C4296" t="s">
        <v>40</v>
      </c>
      <c r="D4296">
        <v>4.7331180000000002</v>
      </c>
      <c r="E4296">
        <v>0.4355868</v>
      </c>
      <c r="F4296" t="s">
        <v>46</v>
      </c>
      <c r="G4296">
        <v>-396.03829999999999</v>
      </c>
      <c r="H4296" s="1">
        <v>-2.0827520000000001E-6</v>
      </c>
      <c r="I4296">
        <v>20.479040000000001</v>
      </c>
      <c r="J4296">
        <v>-413.80009999999999</v>
      </c>
      <c r="K4296">
        <v>1.1170519999999999</v>
      </c>
      <c r="L4296">
        <v>26.407710000000002</v>
      </c>
      <c r="M4296">
        <v>0.75862769999999902</v>
      </c>
      <c r="N4296">
        <v>-1.4742079999999999E-2</v>
      </c>
      <c r="O4296">
        <v>-0.65135779999999999</v>
      </c>
      <c r="P4296">
        <v>0.87362569999999995</v>
      </c>
      <c r="Q4296">
        <v>0.16046589999999999</v>
      </c>
      <c r="R4296">
        <v>-0.45937889999999998</v>
      </c>
      <c r="S4296">
        <v>2.9493710000000002</v>
      </c>
      <c r="T4296">
        <v>-0.1844951</v>
      </c>
      <c r="U4296">
        <v>-0.99127200000000004</v>
      </c>
      <c r="V4296">
        <v>-0.2232789</v>
      </c>
      <c r="W4296">
        <v>0.17115339999999901</v>
      </c>
      <c r="X4296">
        <v>0.95961090000000004</v>
      </c>
      <c r="Y4296">
        <v>-0.37452920000000001</v>
      </c>
      <c r="Z4296">
        <v>3.9894499999999999E-2</v>
      </c>
      <c r="AA4296">
        <v>0.92635639999999997</v>
      </c>
      <c r="AB4296">
        <v>21</v>
      </c>
      <c r="AC4296">
        <v>17.761799999999901</v>
      </c>
      <c r="AD4296">
        <v>-1.1170540827519999</v>
      </c>
      <c r="AE4296">
        <v>-5.9286699999999897</v>
      </c>
      <c r="AF4296">
        <v>-7.0473214718959403</v>
      </c>
      <c r="AG4296">
        <v>-1.1170540827519999</v>
      </c>
      <c r="AH4296">
        <v>17.276676956556301</v>
      </c>
      <c r="AI4296">
        <v>93.426073192884303</v>
      </c>
      <c r="AJ4296">
        <v>112.191016411547</v>
      </c>
      <c r="AK4296">
        <v>18.692140498435201</v>
      </c>
      <c r="AL4296">
        <v>80.145113231022606</v>
      </c>
      <c r="AM4296">
        <v>103.098326185232</v>
      </c>
      <c r="AN4296">
        <v>1.00000001645778</v>
      </c>
    </row>
    <row r="4297" spans="1:40" x14ac:dyDescent="0.25">
      <c r="A4297" t="str">
        <f>"20190304155500367"</f>
        <v>20190304155500367</v>
      </c>
      <c r="B4297" t="str">
        <f>"1551686100362321"</f>
        <v>1551686100362321</v>
      </c>
      <c r="C4297" t="s">
        <v>40</v>
      </c>
      <c r="D4297">
        <v>4.7199390000000001</v>
      </c>
      <c r="E4297">
        <v>0.436718</v>
      </c>
      <c r="F4297" t="s">
        <v>46</v>
      </c>
      <c r="G4297">
        <v>-395.81</v>
      </c>
      <c r="H4297" s="1">
        <v>-2.1872259999999999E-6</v>
      </c>
      <c r="I4297">
        <v>20.466149999999999</v>
      </c>
      <c r="J4297">
        <v>-413.67540000000002</v>
      </c>
      <c r="K4297">
        <v>1.1170370000000001</v>
      </c>
      <c r="L4297">
        <v>26.3139</v>
      </c>
      <c r="M4297">
        <v>0.76431059999999995</v>
      </c>
      <c r="N4297">
        <v>-1.473788E-2</v>
      </c>
      <c r="O4297">
        <v>-0.64468000000000003</v>
      </c>
      <c r="P4297">
        <v>0.87626740000000003</v>
      </c>
      <c r="Q4297">
        <v>0.16103899999999999</v>
      </c>
      <c r="R4297">
        <v>-0.4541171</v>
      </c>
      <c r="S4297">
        <v>2.9545590000000002</v>
      </c>
      <c r="T4297">
        <v>-0.18345690000000001</v>
      </c>
      <c r="U4297">
        <v>-0.97579959999999999</v>
      </c>
      <c r="V4297">
        <v>-0.2205616</v>
      </c>
      <c r="W4297">
        <v>0.1717815</v>
      </c>
      <c r="X4297">
        <v>0.96012690000000001</v>
      </c>
      <c r="Y4297">
        <v>-0.37128169999999999</v>
      </c>
      <c r="Z4297">
        <v>3.9314750000000002E-2</v>
      </c>
      <c r="AA4297">
        <v>0.92768759999999995</v>
      </c>
      <c r="AB4297">
        <v>21</v>
      </c>
      <c r="AC4297">
        <v>17.865400000000001</v>
      </c>
      <c r="AD4297">
        <v>-1.1170391872259999</v>
      </c>
      <c r="AE4297">
        <v>-5.8477499999999996</v>
      </c>
      <c r="AF4297">
        <v>-7.0239314735372496</v>
      </c>
      <c r="AG4297">
        <v>-1.1170391872259999</v>
      </c>
      <c r="AH4297">
        <v>17.365214852108899</v>
      </c>
      <c r="AI4297">
        <v>93.412666371149896</v>
      </c>
      <c r="AJ4297">
        <v>112.022487322</v>
      </c>
      <c r="AK4297">
        <v>18.7652358565154</v>
      </c>
      <c r="AL4297">
        <v>80.108584429251593</v>
      </c>
      <c r="AM4297">
        <v>102.937597561442</v>
      </c>
      <c r="AN4297">
        <v>0.99999998362020903</v>
      </c>
    </row>
    <row r="4298" spans="1:40" x14ac:dyDescent="0.25">
      <c r="A4298" t="str">
        <f>"20190304155500379"</f>
        <v>20190304155500379</v>
      </c>
      <c r="B4298" t="str">
        <f>"1551686100372081"</f>
        <v>1551686100372081</v>
      </c>
      <c r="C4298" t="s">
        <v>40</v>
      </c>
      <c r="D4298">
        <v>4.6904729999999999</v>
      </c>
      <c r="E4298">
        <v>0.47091309999999897</v>
      </c>
      <c r="F4298" t="s">
        <v>46</v>
      </c>
      <c r="G4298">
        <v>-395.6112</v>
      </c>
      <c r="H4298" s="1">
        <v>-2.2662489999999999E-6</v>
      </c>
      <c r="I4298">
        <v>20.409970000000001</v>
      </c>
      <c r="J4298">
        <v>-413.57760000000002</v>
      </c>
      <c r="K4298">
        <v>1.1170260000000001</v>
      </c>
      <c r="L4298">
        <v>26.24127</v>
      </c>
      <c r="M4298">
        <v>0.76871</v>
      </c>
      <c r="N4298">
        <v>-1.473462E-2</v>
      </c>
      <c r="O4298">
        <v>-0.63942779999999999</v>
      </c>
      <c r="P4298">
        <v>0.87885609999999903</v>
      </c>
      <c r="Q4298">
        <v>0.16119020000000001</v>
      </c>
      <c r="R4298">
        <v>-0.44903189999999998</v>
      </c>
      <c r="S4298">
        <v>2.9564210000000002</v>
      </c>
      <c r="T4298">
        <v>-0.18281649999999999</v>
      </c>
      <c r="U4298">
        <v>-0.96624759999999998</v>
      </c>
      <c r="V4298">
        <v>-0.21952279999999999</v>
      </c>
      <c r="W4298">
        <v>0.17195529999999901</v>
      </c>
      <c r="X4298">
        <v>0.96033389999999996</v>
      </c>
      <c r="Y4298">
        <v>-0.36781560000000002</v>
      </c>
      <c r="Z4298">
        <v>3.8894049999999999E-2</v>
      </c>
      <c r="AA4298">
        <v>0.92908500000000005</v>
      </c>
      <c r="AB4298">
        <v>21</v>
      </c>
      <c r="AC4298">
        <v>17.9664</v>
      </c>
      <c r="AD4298">
        <v>-1.1170282662490001</v>
      </c>
      <c r="AE4298">
        <v>-5.8312999999999899</v>
      </c>
      <c r="AF4298">
        <v>-6.9819805948284897</v>
      </c>
      <c r="AG4298">
        <v>-1.1170282662490001</v>
      </c>
      <c r="AH4298">
        <v>17.4804193634284</v>
      </c>
      <c r="AI4298">
        <v>93.396128802810694</v>
      </c>
      <c r="AJ4298">
        <v>111.77261875039299</v>
      </c>
      <c r="AK4298">
        <v>18.856321653373499</v>
      </c>
      <c r="AL4298">
        <v>80.098476594369899</v>
      </c>
      <c r="AM4298">
        <v>102.876016972633</v>
      </c>
      <c r="AN4298">
        <v>1.00000004220356</v>
      </c>
    </row>
    <row r="4299" spans="1:40" x14ac:dyDescent="0.25">
      <c r="A4299" t="str">
        <f>"20190304155500400"</f>
        <v>20190304155500400</v>
      </c>
      <c r="B4299" t="str">
        <f>"1551686100391603"</f>
        <v>1551686100391603</v>
      </c>
      <c r="C4299" t="s">
        <v>40</v>
      </c>
      <c r="D4299">
        <v>4.6746119999999998</v>
      </c>
      <c r="E4299">
        <v>0.47378439999999999</v>
      </c>
      <c r="F4299" t="s">
        <v>46</v>
      </c>
      <c r="G4299">
        <v>-398.89330000000001</v>
      </c>
      <c r="H4299" s="1">
        <v>-6.2461399999999998E-7</v>
      </c>
      <c r="I4299">
        <v>20.07105</v>
      </c>
      <c r="J4299">
        <v>-413.42779999999999</v>
      </c>
      <c r="K4299">
        <v>1.117011</v>
      </c>
      <c r="L4299">
        <v>26.13242</v>
      </c>
      <c r="M4299">
        <v>0.77532579999999995</v>
      </c>
      <c r="N4299">
        <v>-1.472972E-2</v>
      </c>
      <c r="O4299">
        <v>-0.6313898</v>
      </c>
      <c r="P4299">
        <v>0.88244269999999903</v>
      </c>
      <c r="Q4299">
        <v>0.16190669999999999</v>
      </c>
      <c r="R4299">
        <v>-0.44168020000000002</v>
      </c>
      <c r="S4299">
        <v>2.8428650000000002</v>
      </c>
      <c r="T4299">
        <v>-0.21625530000000001</v>
      </c>
      <c r="U4299">
        <v>-1.19455</v>
      </c>
      <c r="V4299">
        <v>-0.2174557</v>
      </c>
      <c r="W4299">
        <v>0.17271439999999999</v>
      </c>
      <c r="X4299">
        <v>0.96066790000000002</v>
      </c>
      <c r="Y4299">
        <v>-0.280252099999999</v>
      </c>
      <c r="Z4299">
        <v>4.4319799999999999E-2</v>
      </c>
      <c r="AA4299">
        <v>0.95890280000000006</v>
      </c>
      <c r="AB4299">
        <v>21</v>
      </c>
      <c r="AC4299">
        <v>14.5344999999999</v>
      </c>
      <c r="AD4299">
        <v>-1.1170116246140001</v>
      </c>
      <c r="AE4299">
        <v>-6.0613700000000001</v>
      </c>
      <c r="AF4299">
        <v>-4.45546731407316</v>
      </c>
      <c r="AG4299">
        <v>-1.1170116246140001</v>
      </c>
      <c r="AH4299">
        <v>15.022116523251301</v>
      </c>
      <c r="AI4299">
        <v>94.077623018618894</v>
      </c>
      <c r="AJ4299">
        <v>106.52003254474501</v>
      </c>
      <c r="AK4299">
        <v>15.7086883218949</v>
      </c>
      <c r="AL4299">
        <v>80.054322632923103</v>
      </c>
      <c r="AM4299">
        <v>102.75446777909001</v>
      </c>
      <c r="AN4299">
        <v>1.0000000297601199</v>
      </c>
    </row>
    <row r="4300" spans="1:40" x14ac:dyDescent="0.25">
      <c r="A4300" t="str">
        <f>"20190304155500415"</f>
        <v>20190304155500415</v>
      </c>
      <c r="B4300" t="str">
        <f>"1551686100412096"</f>
        <v>1551686100412096</v>
      </c>
      <c r="C4300" t="s">
        <v>40</v>
      </c>
      <c r="D4300">
        <v>4.6578809999999997</v>
      </c>
      <c r="E4300">
        <v>0.4742653</v>
      </c>
      <c r="F4300" t="s">
        <v>46</v>
      </c>
      <c r="G4300">
        <v>-398.20479999999998</v>
      </c>
      <c r="H4300" s="1">
        <v>-8.6431539999999999E-7</v>
      </c>
      <c r="I4300">
        <v>19.748760000000001</v>
      </c>
      <c r="J4300">
        <v>-413.32490000000001</v>
      </c>
      <c r="K4300">
        <v>1.117</v>
      </c>
      <c r="L4300">
        <v>26.059170000000002</v>
      </c>
      <c r="M4300">
        <v>0.77979309999999902</v>
      </c>
      <c r="N4300">
        <v>-1.4726329999999999E-2</v>
      </c>
      <c r="O4300">
        <v>-0.62586430000000004</v>
      </c>
      <c r="P4300">
        <v>0.88528109999999904</v>
      </c>
      <c r="Q4300">
        <v>0.1618117</v>
      </c>
      <c r="R4300">
        <v>-0.43599860000000001</v>
      </c>
      <c r="S4300">
        <v>2.8414920000000001</v>
      </c>
      <c r="T4300">
        <v>-0.20849899999999999</v>
      </c>
      <c r="U4300">
        <v>-1.191559</v>
      </c>
      <c r="V4300">
        <v>-0.21680679999999999</v>
      </c>
      <c r="W4300">
        <v>0.1726355</v>
      </c>
      <c r="X4300">
        <v>0.96082869999999998</v>
      </c>
      <c r="Y4300">
        <v>-0.27425329999999998</v>
      </c>
      <c r="Z4300">
        <v>4.2057579999999997E-2</v>
      </c>
      <c r="AA4300">
        <v>0.96073730000000002</v>
      </c>
      <c r="AB4300">
        <v>21</v>
      </c>
      <c r="AC4300">
        <v>15.120100000000001</v>
      </c>
      <c r="AD4300">
        <v>-1.1170008643153999</v>
      </c>
      <c r="AE4300">
        <v>-6.3104100000000001</v>
      </c>
      <c r="AF4300">
        <v>-4.5217915545471596</v>
      </c>
      <c r="AG4300">
        <v>-1.1170008643153999</v>
      </c>
      <c r="AH4300">
        <v>15.668886625784699</v>
      </c>
      <c r="AI4300">
        <v>93.918228243156506</v>
      </c>
      <c r="AJ4300">
        <v>106.09729899260699</v>
      </c>
      <c r="AK4300">
        <v>16.346507207515302</v>
      </c>
      <c r="AL4300">
        <v>80.058911887155304</v>
      </c>
      <c r="AM4300">
        <v>102.71558816939999</v>
      </c>
      <c r="AN4300">
        <v>0.99999999756508995</v>
      </c>
    </row>
    <row r="4301" spans="1:40" x14ac:dyDescent="0.25">
      <c r="A4301" t="str">
        <f>"20190304155500435"</f>
        <v>20190304155500435</v>
      </c>
      <c r="B4301" t="str">
        <f>"1551686100431419"</f>
        <v>1551686100431419</v>
      </c>
      <c r="C4301" t="s">
        <v>40</v>
      </c>
      <c r="D4301">
        <v>4.6287269999999996</v>
      </c>
      <c r="E4301">
        <v>0.4748309</v>
      </c>
      <c r="F4301" t="s">
        <v>46</v>
      </c>
      <c r="G4301">
        <v>-398.23779999999999</v>
      </c>
      <c r="H4301" s="1">
        <v>-8.6871430000000004E-7</v>
      </c>
      <c r="I4301">
        <v>19.823920000000001</v>
      </c>
      <c r="J4301">
        <v>-413.17329999999998</v>
      </c>
      <c r="K4301">
        <v>1.116978</v>
      </c>
      <c r="L4301">
        <v>25.953029999999998</v>
      </c>
      <c r="M4301">
        <v>0.78626249999999998</v>
      </c>
      <c r="N4301">
        <v>-1.4721359999999999E-2</v>
      </c>
      <c r="O4301">
        <v>-0.61771739999999997</v>
      </c>
      <c r="P4301">
        <v>0.88908739999999997</v>
      </c>
      <c r="Q4301">
        <v>0.1617914</v>
      </c>
      <c r="R4301">
        <v>-0.42819089999999999</v>
      </c>
      <c r="S4301">
        <v>2.847626</v>
      </c>
      <c r="T4301">
        <v>-0.21082960000000001</v>
      </c>
      <c r="U4301">
        <v>-1.1768799999999999</v>
      </c>
      <c r="V4301">
        <v>-0.2152551</v>
      </c>
      <c r="W4301">
        <v>0.17264949999999901</v>
      </c>
      <c r="X4301">
        <v>0.961175</v>
      </c>
      <c r="Y4301">
        <v>-0.26919169999999998</v>
      </c>
      <c r="Z4301">
        <v>4.2077139999999999E-2</v>
      </c>
      <c r="AA4301">
        <v>0.96216699999999999</v>
      </c>
      <c r="AB4301">
        <v>21</v>
      </c>
      <c r="AC4301">
        <v>14.9354999999999</v>
      </c>
      <c r="AD4301">
        <v>-1.1169788687143001</v>
      </c>
      <c r="AE4301">
        <v>-6.1291099999999901</v>
      </c>
      <c r="AF4301">
        <v>-4.3863090344555404</v>
      </c>
      <c r="AG4301">
        <v>-1.1169788687143001</v>
      </c>
      <c r="AH4301">
        <v>15.456971325225499</v>
      </c>
      <c r="AI4301">
        <v>93.9767373223589</v>
      </c>
      <c r="AJ4301">
        <v>105.84264035460301</v>
      </c>
      <c r="AK4301">
        <v>16.106064425791502</v>
      </c>
      <c r="AL4301">
        <v>80.058097485088297</v>
      </c>
      <c r="AM4301">
        <v>102.62310659512799</v>
      </c>
      <c r="AN4301">
        <v>0.99999999427562902</v>
      </c>
    </row>
    <row r="4302" spans="1:40" x14ac:dyDescent="0.25">
      <c r="A4302" t="str">
        <f>"20190304155500456"</f>
        <v>20190304155500456</v>
      </c>
      <c r="B4302" t="str">
        <f>"1551686100451914"</f>
        <v>1551686100451914</v>
      </c>
      <c r="C4302" t="s">
        <v>40</v>
      </c>
      <c r="D4302">
        <v>4.6403150000000002</v>
      </c>
      <c r="E4302">
        <v>0.47527720000000001</v>
      </c>
      <c r="F4302" t="s">
        <v>46</v>
      </c>
      <c r="G4302">
        <v>-398.25889999999998</v>
      </c>
      <c r="H4302" s="1">
        <v>-8.8322550000000004E-7</v>
      </c>
      <c r="I4302">
        <v>19.915839999999999</v>
      </c>
      <c r="J4302">
        <v>-413.01369999999997</v>
      </c>
      <c r="K4302">
        <v>1.1169560000000001</v>
      </c>
      <c r="L4302">
        <v>25.843810000000001</v>
      </c>
      <c r="M4302">
        <v>0.79293290000000005</v>
      </c>
      <c r="N4302">
        <v>-1.471474E-2</v>
      </c>
      <c r="O4302">
        <v>-0.6091316</v>
      </c>
      <c r="P4302">
        <v>0.89326640000000002</v>
      </c>
      <c r="Q4302">
        <v>0.16179379999999999</v>
      </c>
      <c r="R4302">
        <v>-0.41940230000000001</v>
      </c>
      <c r="S4302">
        <v>2.8563540000000001</v>
      </c>
      <c r="T4302">
        <v>-0.21391930000000001</v>
      </c>
      <c r="U4302">
        <v>-1.1562190000000001</v>
      </c>
      <c r="V4302">
        <v>-0.21427189999999999</v>
      </c>
      <c r="W4302">
        <v>0.17267389999999999</v>
      </c>
      <c r="X4302">
        <v>0.96139030000000003</v>
      </c>
      <c r="Y4302">
        <v>-0.2656944</v>
      </c>
      <c r="Z4302">
        <v>4.2286150000000002E-2</v>
      </c>
      <c r="AA4302">
        <v>0.96312949999999997</v>
      </c>
      <c r="AB4302">
        <v>21</v>
      </c>
      <c r="AC4302">
        <v>14.7547999999999</v>
      </c>
      <c r="AD4302">
        <v>-1.1169568832254999</v>
      </c>
      <c r="AE4302">
        <v>-5.9279700000000002</v>
      </c>
      <c r="AF4302">
        <v>-4.2665437430882198</v>
      </c>
      <c r="AG4302">
        <v>-1.1169568832254999</v>
      </c>
      <c r="AH4302">
        <v>15.2369523668343</v>
      </c>
      <c r="AI4302">
        <v>94.037845691766606</v>
      </c>
      <c r="AJ4302">
        <v>105.642933662609</v>
      </c>
      <c r="AK4302">
        <v>15.8623991129919</v>
      </c>
      <c r="AL4302">
        <v>80.056678368578602</v>
      </c>
      <c r="AM4302">
        <v>102.564559770871</v>
      </c>
      <c r="AN4302">
        <v>1.00000001590245</v>
      </c>
    </row>
    <row r="4303" spans="1:40" x14ac:dyDescent="0.25">
      <c r="A4303" t="str">
        <f>"20190304155500479"</f>
        <v>20190304155500479</v>
      </c>
      <c r="B4303" t="str">
        <f>"1551686100472410"</f>
        <v>1551686100472410</v>
      </c>
      <c r="C4303" t="s">
        <v>40</v>
      </c>
      <c r="D4303">
        <v>4.6388439999999997</v>
      </c>
      <c r="E4303">
        <v>0.47571160000000001</v>
      </c>
      <c r="F4303" t="s">
        <v>46</v>
      </c>
      <c r="G4303">
        <v>-398.1284</v>
      </c>
      <c r="H4303" s="1">
        <v>-9.5823599999999993E-7</v>
      </c>
      <c r="I4303">
        <v>19.966090000000001</v>
      </c>
      <c r="J4303">
        <v>-412.84530000000001</v>
      </c>
      <c r="K4303">
        <v>1.116932</v>
      </c>
      <c r="L4303">
        <v>25.73114</v>
      </c>
      <c r="M4303">
        <v>0.79982509999999996</v>
      </c>
      <c r="N4303">
        <v>-1.4705640000000001E-2</v>
      </c>
      <c r="O4303">
        <v>-0.60005299999999995</v>
      </c>
      <c r="P4303">
        <v>0.89724289999999995</v>
      </c>
      <c r="Q4303">
        <v>0.16112360000000001</v>
      </c>
      <c r="R4303">
        <v>-0.41108929999999999</v>
      </c>
      <c r="S4303">
        <v>2.8660580000000002</v>
      </c>
      <c r="T4303">
        <v>-0.21506210000000001</v>
      </c>
      <c r="U4303">
        <v>-1.1317140000000001</v>
      </c>
      <c r="V4303">
        <v>-0.21228730000000001</v>
      </c>
      <c r="W4303">
        <v>0.17204459999999999</v>
      </c>
      <c r="X4303">
        <v>0.9619432</v>
      </c>
      <c r="Y4303">
        <v>-0.26294329999999999</v>
      </c>
      <c r="Z4303">
        <v>4.2038569999999997E-2</v>
      </c>
      <c r="AA4303">
        <v>0.96389499999999995</v>
      </c>
      <c r="AB4303">
        <v>21</v>
      </c>
      <c r="AC4303">
        <v>14.716900000000001</v>
      </c>
      <c r="AD4303">
        <v>-1.1169329582359999</v>
      </c>
      <c r="AE4303">
        <v>-5.7650499999999996</v>
      </c>
      <c r="AF4303">
        <v>-4.1993741731697902</v>
      </c>
      <c r="AG4303">
        <v>-1.1169329582359999</v>
      </c>
      <c r="AH4303">
        <v>15.1562426418395</v>
      </c>
      <c r="AI4303">
        <v>94.062265955483198</v>
      </c>
      <c r="AJ4303">
        <v>105.486575823217</v>
      </c>
      <c r="AK4303">
        <v>15.7668631533921</v>
      </c>
      <c r="AL4303">
        <v>80.093282064644399</v>
      </c>
      <c r="AM4303">
        <v>102.444897985536</v>
      </c>
      <c r="AN4303">
        <v>0.99999998107834398</v>
      </c>
    </row>
    <row r="4304" spans="1:40" x14ac:dyDescent="0.25">
      <c r="A4304" t="str">
        <f>"20190304155500512"</f>
        <v>20190304155500512</v>
      </c>
      <c r="B4304" t="str">
        <f>"1551686100501693"</f>
        <v>1551686100501693</v>
      </c>
      <c r="C4304" t="s">
        <v>40</v>
      </c>
      <c r="D4304">
        <v>4.6655850000000001</v>
      </c>
      <c r="E4304">
        <v>0.47620669999999998</v>
      </c>
      <c r="F4304" t="s">
        <v>46</v>
      </c>
      <c r="G4304">
        <v>-398.1585</v>
      </c>
      <c r="H4304" s="1">
        <v>-9.7138619999999899E-7</v>
      </c>
      <c r="I4304">
        <v>20.068940000000001</v>
      </c>
      <c r="J4304">
        <v>-412.59519999999998</v>
      </c>
      <c r="K4304">
        <v>1.1168929999999999</v>
      </c>
      <c r="L4304">
        <v>25.569240000000001</v>
      </c>
      <c r="M4304">
        <v>0.80976519999999996</v>
      </c>
      <c r="N4304">
        <v>-1.468877E-2</v>
      </c>
      <c r="O4304">
        <v>-0.58657029999999999</v>
      </c>
      <c r="P4304">
        <v>0.90367280000000005</v>
      </c>
      <c r="Q4304">
        <v>0.1609149</v>
      </c>
      <c r="R4304">
        <v>-0.39684019999999998</v>
      </c>
      <c r="S4304">
        <v>2.875</v>
      </c>
      <c r="T4304">
        <v>-0.21864410000000001</v>
      </c>
      <c r="U4304">
        <v>-1.108398</v>
      </c>
      <c r="V4304">
        <v>-0.21139759999999999</v>
      </c>
      <c r="W4304">
        <v>0.17185239999999999</v>
      </c>
      <c r="X4304">
        <v>0.96217350000000001</v>
      </c>
      <c r="Y4304">
        <v>-0.25456719999999999</v>
      </c>
      <c r="Z4304">
        <v>4.191922E-2</v>
      </c>
      <c r="AA4304">
        <v>0.96614610000000001</v>
      </c>
      <c r="AB4304">
        <v>21</v>
      </c>
      <c r="AC4304">
        <v>14.436699999999901</v>
      </c>
      <c r="AD4304">
        <v>-1.1168939713861901</v>
      </c>
      <c r="AE4304">
        <v>-5.5003000000000002</v>
      </c>
      <c r="AF4304">
        <v>-3.9937468247119901</v>
      </c>
      <c r="AG4304">
        <v>-1.1168939713861901</v>
      </c>
      <c r="AH4304">
        <v>14.840691140988699</v>
      </c>
      <c r="AI4304">
        <v>94.156572619874098</v>
      </c>
      <c r="AJ4304">
        <v>105.06192241800299</v>
      </c>
      <c r="AK4304">
        <v>15.4092043722392</v>
      </c>
      <c r="AL4304">
        <v>80.104461183515198</v>
      </c>
      <c r="AM4304">
        <v>102.39148140070699</v>
      </c>
      <c r="AN4304">
        <v>1.00000001838688</v>
      </c>
    </row>
    <row r="4305" spans="1:40" x14ac:dyDescent="0.25">
      <c r="A4305" t="str">
        <f>"20190304155500534"</f>
        <v>20190304155500534</v>
      </c>
      <c r="B4305" t="str">
        <f>"1551686100531478"</f>
        <v>1551686100531478</v>
      </c>
      <c r="C4305" t="s">
        <v>40</v>
      </c>
      <c r="D4305">
        <v>4.6590590000000001</v>
      </c>
      <c r="E4305">
        <v>0.47657860000000002</v>
      </c>
      <c r="F4305" t="s">
        <v>46</v>
      </c>
      <c r="G4305">
        <v>-398.14330000000001</v>
      </c>
      <c r="H4305" s="1">
        <v>-1.0229350000000001E-6</v>
      </c>
      <c r="I4305">
        <v>20.235710000000001</v>
      </c>
      <c r="J4305">
        <v>-412.42520000000002</v>
      </c>
      <c r="K4305">
        <v>1.1168739999999999</v>
      </c>
      <c r="L4305">
        <v>25.462430000000001</v>
      </c>
      <c r="M4305">
        <v>0.81633480000000003</v>
      </c>
      <c r="N4305">
        <v>-1.467156E-2</v>
      </c>
      <c r="O4305">
        <v>-0.57739280000000004</v>
      </c>
      <c r="P4305">
        <v>0.9081167</v>
      </c>
      <c r="Q4305">
        <v>0.1608842</v>
      </c>
      <c r="R4305">
        <v>-0.386575</v>
      </c>
      <c r="S4305">
        <v>2.8910520000000002</v>
      </c>
      <c r="T4305">
        <v>-0.22343109999999999</v>
      </c>
      <c r="U4305">
        <v>-1.066956</v>
      </c>
      <c r="V4305">
        <v>-0.21143300000000001</v>
      </c>
      <c r="W4305">
        <v>0.171815299999999</v>
      </c>
      <c r="X4305">
        <v>0.96217229999999998</v>
      </c>
      <c r="Y4305">
        <v>-0.25751849999999998</v>
      </c>
      <c r="Z4305">
        <v>4.2646000000000003E-2</v>
      </c>
      <c r="AA4305">
        <v>0.96533190000000002</v>
      </c>
      <c r="AB4305">
        <v>21</v>
      </c>
      <c r="AC4305">
        <v>14.2819</v>
      </c>
      <c r="AD4305">
        <v>-1.116875022935</v>
      </c>
      <c r="AE4305">
        <v>-5.2267199999999896</v>
      </c>
      <c r="AF4305">
        <v>-3.95859112784705</v>
      </c>
      <c r="AG4305">
        <v>-1.116875022935</v>
      </c>
      <c r="AH4305">
        <v>14.599522074537401</v>
      </c>
      <c r="AI4305">
        <v>94.222758210618395</v>
      </c>
      <c r="AJ4305">
        <v>105.170717181863</v>
      </c>
      <c r="AK4305">
        <v>15.1678574076641</v>
      </c>
      <c r="AL4305">
        <v>80.106618496563101</v>
      </c>
      <c r="AM4305">
        <v>102.393507302103</v>
      </c>
      <c r="AN4305">
        <v>0.99999997284518904</v>
      </c>
    </row>
    <row r="4306" spans="1:40" x14ac:dyDescent="0.25">
      <c r="A4306" t="str">
        <f>"20190304155500557"</f>
        <v>20190304155500557</v>
      </c>
      <c r="B4306" t="str">
        <f>"1551686100551975"</f>
        <v>1551686100551975</v>
      </c>
      <c r="C4306" t="s">
        <v>40</v>
      </c>
      <c r="D4306">
        <v>4.6574710000000001</v>
      </c>
      <c r="E4306">
        <v>0.47695340000000003</v>
      </c>
      <c r="F4306" t="s">
        <v>46</v>
      </c>
      <c r="G4306">
        <v>-398.0711</v>
      </c>
      <c r="H4306" s="1">
        <v>-1.083214E-6</v>
      </c>
      <c r="I4306">
        <v>20.333929999999999</v>
      </c>
      <c r="J4306">
        <v>-412.25119999999998</v>
      </c>
      <c r="K4306">
        <v>1.1168549999999999</v>
      </c>
      <c r="L4306">
        <v>25.355799999999999</v>
      </c>
      <c r="M4306">
        <v>0.8229071</v>
      </c>
      <c r="N4306">
        <v>-1.4651249999999999E-2</v>
      </c>
      <c r="O4306">
        <v>-0.56798700000000002</v>
      </c>
      <c r="P4306">
        <v>0.912717</v>
      </c>
      <c r="Q4306">
        <v>0.16091359999999999</v>
      </c>
      <c r="R4306">
        <v>-0.37557239999999997</v>
      </c>
      <c r="S4306">
        <v>2.902161</v>
      </c>
      <c r="T4306">
        <v>-0.22581300000000001</v>
      </c>
      <c r="U4306">
        <v>-1.03689599999999</v>
      </c>
      <c r="V4306">
        <v>-0.2120088</v>
      </c>
      <c r="W4306">
        <v>0.17182520000000001</v>
      </c>
      <c r="X4306">
        <v>0.9620438</v>
      </c>
      <c r="Y4306">
        <v>-0.25644909999999999</v>
      </c>
      <c r="Z4306">
        <v>4.2664359999999998E-2</v>
      </c>
      <c r="AA4306">
        <v>0.96561569999999997</v>
      </c>
      <c r="AB4306">
        <v>21</v>
      </c>
      <c r="AC4306">
        <v>14.1800999999999</v>
      </c>
      <c r="AD4306">
        <v>-1.116856083214</v>
      </c>
      <c r="AE4306">
        <v>-5.0218699999999998</v>
      </c>
      <c r="AF4306">
        <v>-3.9005008517855502</v>
      </c>
      <c r="AG4306">
        <v>-1.116856083214</v>
      </c>
      <c r="AH4306">
        <v>14.443207706036301</v>
      </c>
      <c r="AI4306">
        <v>94.269385841661006</v>
      </c>
      <c r="AJ4306">
        <v>105.112661583722</v>
      </c>
      <c r="AK4306">
        <v>15.0022506059957</v>
      </c>
      <c r="AL4306">
        <v>80.106042495785104</v>
      </c>
      <c r="AM4306">
        <v>102.427819906887</v>
      </c>
      <c r="AN4306">
        <v>0.99999995187545798</v>
      </c>
    </row>
    <row r="4307" spans="1:40" x14ac:dyDescent="0.25">
      <c r="A4307" t="str">
        <f>"20190304155500581"</f>
        <v>20190304155500581</v>
      </c>
      <c r="B4307" t="str">
        <f>"1551686100571495"</f>
        <v>1551686100571495</v>
      </c>
      <c r="C4307" t="s">
        <v>40</v>
      </c>
      <c r="D4307">
        <v>4.6599190000000004</v>
      </c>
      <c r="E4307">
        <v>0.47741689999999998</v>
      </c>
      <c r="F4307" t="s">
        <v>46</v>
      </c>
      <c r="G4307">
        <v>-397.89060000000001</v>
      </c>
      <c r="H4307" s="1">
        <v>-1.186463E-6</v>
      </c>
      <c r="I4307">
        <v>20.401240000000001</v>
      </c>
      <c r="J4307">
        <v>-412.07299999999998</v>
      </c>
      <c r="K4307">
        <v>1.116833</v>
      </c>
      <c r="L4307">
        <v>25.249359999999999</v>
      </c>
      <c r="M4307">
        <v>0.82947680000000001</v>
      </c>
      <c r="N4307">
        <v>-1.462724E-2</v>
      </c>
      <c r="O4307">
        <v>-0.55834980000000001</v>
      </c>
      <c r="P4307">
        <v>0.91751179999999999</v>
      </c>
      <c r="Q4307">
        <v>0.16146289999999999</v>
      </c>
      <c r="R4307">
        <v>-0.36345830000000001</v>
      </c>
      <c r="S4307">
        <v>2.9132389999999999</v>
      </c>
      <c r="T4307">
        <v>-0.2265682</v>
      </c>
      <c r="U4307">
        <v>-1.005096</v>
      </c>
      <c r="V4307">
        <v>-0.21346970000000001</v>
      </c>
      <c r="W4307">
        <v>0.17233389999999901</v>
      </c>
      <c r="X4307">
        <v>0.96162970000000003</v>
      </c>
      <c r="Y4307">
        <v>-0.25573109999999999</v>
      </c>
      <c r="Z4307">
        <v>4.2323350000000003E-2</v>
      </c>
      <c r="AA4307">
        <v>0.96582109999999999</v>
      </c>
      <c r="AB4307">
        <v>21</v>
      </c>
      <c r="AC4307">
        <v>14.182399999999999</v>
      </c>
      <c r="AD4307">
        <v>-1.116834186463</v>
      </c>
      <c r="AE4307">
        <v>-4.8481199999999998</v>
      </c>
      <c r="AF4307">
        <v>-3.8762313066187599</v>
      </c>
      <c r="AG4307">
        <v>-1.116834186463</v>
      </c>
      <c r="AH4307">
        <v>14.392552068752</v>
      </c>
      <c r="AI4307">
        <v>94.2850623265156</v>
      </c>
      <c r="AJ4307">
        <v>105.073363382056</v>
      </c>
      <c r="AK4307">
        <v>14.9471750773917</v>
      </c>
      <c r="AL4307">
        <v>80.076455083692807</v>
      </c>
      <c r="AM4307">
        <v>102.51598720773001</v>
      </c>
      <c r="AN4307">
        <v>0.99999998291469405</v>
      </c>
    </row>
    <row r="4308" spans="1:40" x14ac:dyDescent="0.25">
      <c r="A4308" t="str">
        <f>"20190304155500603"</f>
        <v>20190304155500603</v>
      </c>
      <c r="B4308" t="str">
        <f>"1551686100591991"</f>
        <v>1551686100591991</v>
      </c>
      <c r="C4308" t="s">
        <v>40</v>
      </c>
      <c r="D4308">
        <v>3.828783</v>
      </c>
      <c r="E4308">
        <v>0.47512579999999999</v>
      </c>
      <c r="F4308" t="s">
        <v>46</v>
      </c>
      <c r="G4308">
        <v>-397.58940000000001</v>
      </c>
      <c r="H4308" s="1">
        <v>-1.339446E-6</v>
      </c>
      <c r="I4308">
        <v>20.441179999999999</v>
      </c>
      <c r="J4308">
        <v>-411.90159999999997</v>
      </c>
      <c r="K4308">
        <v>1.1168070000000001</v>
      </c>
      <c r="L4308">
        <v>25.149660000000001</v>
      </c>
      <c r="M4308">
        <v>0.83564450000000001</v>
      </c>
      <c r="N4308">
        <v>-1.459471E-2</v>
      </c>
      <c r="O4308">
        <v>-0.54907669999999997</v>
      </c>
      <c r="P4308">
        <v>0.92199169999999997</v>
      </c>
      <c r="Q4308">
        <v>0.16137599999999999</v>
      </c>
      <c r="R4308">
        <v>-0.3519796</v>
      </c>
      <c r="S4308">
        <v>2.9247740000000002</v>
      </c>
      <c r="T4308">
        <v>-0.22553000000000001</v>
      </c>
      <c r="U4308">
        <v>-0.97094729999999996</v>
      </c>
      <c r="V4308">
        <v>-0.2147606</v>
      </c>
      <c r="W4308">
        <v>0.1722033</v>
      </c>
      <c r="X4308">
        <v>0.96136560000000004</v>
      </c>
      <c r="Y4308">
        <v>-0.25628899999999999</v>
      </c>
      <c r="Z4308">
        <v>4.1664890000000003E-2</v>
      </c>
      <c r="AA4308">
        <v>0.96570180000000005</v>
      </c>
      <c r="AB4308">
        <v>20</v>
      </c>
      <c r="AC4308">
        <v>14.312199999999899</v>
      </c>
      <c r="AD4308">
        <v>-1.11680833944599</v>
      </c>
      <c r="AE4308">
        <v>-4.7084799999999998</v>
      </c>
      <c r="AF4308">
        <v>-3.9028546233908301</v>
      </c>
      <c r="AG4308">
        <v>-1.11680833944599</v>
      </c>
      <c r="AH4308">
        <v>14.4672895112489</v>
      </c>
      <c r="AI4308">
        <v>94.262430276146304</v>
      </c>
      <c r="AJ4308">
        <v>105.097343218243</v>
      </c>
      <c r="AK4308">
        <v>15.0260440862082</v>
      </c>
      <c r="AL4308">
        <v>80.084051192560196</v>
      </c>
      <c r="AM4308">
        <v>102.592616644977</v>
      </c>
      <c r="AN4308">
        <v>0.99999995435330302</v>
      </c>
    </row>
    <row r="4309" spans="1:40" x14ac:dyDescent="0.25">
      <c r="A4309" t="str">
        <f>"20190304155500626"</f>
        <v>20190304155500626</v>
      </c>
      <c r="B4309" t="str">
        <f>"1551686100622246"</f>
        <v>1551686100622246</v>
      </c>
      <c r="C4309" t="s">
        <v>40</v>
      </c>
      <c r="D4309">
        <v>4.3329180000000003</v>
      </c>
      <c r="E4309">
        <v>0.41398889999999999</v>
      </c>
      <c r="F4309" t="s">
        <v>46</v>
      </c>
      <c r="G4309">
        <v>-397.13159999999999</v>
      </c>
      <c r="H4309" s="1">
        <v>-1.584651E-6</v>
      </c>
      <c r="I4309">
        <v>20.549340000000001</v>
      </c>
      <c r="J4309">
        <v>-411.72469999999998</v>
      </c>
      <c r="K4309">
        <v>1.116776</v>
      </c>
      <c r="L4309">
        <v>25.04956</v>
      </c>
      <c r="M4309">
        <v>0.84185599999999905</v>
      </c>
      <c r="N4309">
        <v>-1.4549350000000001E-2</v>
      </c>
      <c r="O4309">
        <v>-0.53950629999999999</v>
      </c>
      <c r="P4309">
        <v>0.9263034</v>
      </c>
      <c r="Q4309">
        <v>0.1609525</v>
      </c>
      <c r="R4309">
        <v>-0.34067120000000001</v>
      </c>
      <c r="S4309">
        <v>2.9428709999999998</v>
      </c>
      <c r="T4309">
        <v>-0.22251950000000001</v>
      </c>
      <c r="U4309">
        <v>-0.91659550000000001</v>
      </c>
      <c r="V4309">
        <v>-0.21557979999999999</v>
      </c>
      <c r="W4309">
        <v>0.17173450000000001</v>
      </c>
      <c r="X4309">
        <v>0.96126619999999996</v>
      </c>
      <c r="Y4309">
        <v>-0.2632447</v>
      </c>
      <c r="Z4309">
        <v>4.082326E-2</v>
      </c>
      <c r="AA4309">
        <v>0.96386499999999997</v>
      </c>
      <c r="AB4309">
        <v>20</v>
      </c>
      <c r="AC4309">
        <v>14.5930999999999</v>
      </c>
      <c r="AD4309">
        <v>-1.116777584651</v>
      </c>
      <c r="AE4309">
        <v>-4.5002199999999899</v>
      </c>
      <c r="AF4309">
        <v>-4.06323417234589</v>
      </c>
      <c r="AG4309">
        <v>-1.116777584651</v>
      </c>
      <c r="AH4309">
        <v>14.6364667630039</v>
      </c>
      <c r="AI4309">
        <v>94.204854228074197</v>
      </c>
      <c r="AJ4309">
        <v>105.51520310267099</v>
      </c>
      <c r="AK4309">
        <v>15.230995483467799</v>
      </c>
      <c r="AL4309">
        <v>80.111318595997204</v>
      </c>
      <c r="AM4309">
        <v>102.640375475265</v>
      </c>
      <c r="AN4309">
        <v>1.0000000479603599</v>
      </c>
    </row>
    <row r="4310" spans="1:40" x14ac:dyDescent="0.25">
      <c r="A4310" t="str">
        <f>"20190304155500647"</f>
        <v>20190304155500647</v>
      </c>
      <c r="B4310" t="str">
        <f>"1551686100641766"</f>
        <v>1551686100641766</v>
      </c>
      <c r="C4310" t="s">
        <v>40</v>
      </c>
      <c r="D4310">
        <v>4.24885</v>
      </c>
      <c r="E4310">
        <v>0.42012139999999998</v>
      </c>
      <c r="F4310" t="s">
        <v>88</v>
      </c>
      <c r="G4310">
        <v>-377.11750000000001</v>
      </c>
      <c r="H4310" s="1">
        <v>-1.5581E-6</v>
      </c>
      <c r="I4310">
        <v>20.424589999999998</v>
      </c>
      <c r="J4310">
        <v>-411.54950000000002</v>
      </c>
      <c r="K4310">
        <v>1.116746</v>
      </c>
      <c r="L4310">
        <v>24.952970000000001</v>
      </c>
      <c r="M4310">
        <v>0.84785200000000005</v>
      </c>
      <c r="N4310">
        <v>-1.4500030000000001E-2</v>
      </c>
      <c r="O4310">
        <v>-0.53003500000000003</v>
      </c>
      <c r="P4310">
        <v>0.93034879999999998</v>
      </c>
      <c r="Q4310">
        <v>0.1608192</v>
      </c>
      <c r="R4310">
        <v>-0.32952809999999999</v>
      </c>
      <c r="S4310">
        <v>3.1035460000000001</v>
      </c>
      <c r="T4310">
        <v>-0.1001518</v>
      </c>
      <c r="U4310">
        <v>-0.41476439999999998</v>
      </c>
      <c r="V4310">
        <v>-0.21634300000000001</v>
      </c>
      <c r="W4310">
        <v>0.1715527</v>
      </c>
      <c r="X4310">
        <v>0.96112719999999896</v>
      </c>
      <c r="Y4310">
        <v>-0.41274270000000002</v>
      </c>
      <c r="Z4310">
        <v>1.7778099999999901E-2</v>
      </c>
      <c r="AA4310">
        <v>0.91067419999999999</v>
      </c>
      <c r="AB4310">
        <v>20</v>
      </c>
      <c r="AC4310">
        <v>34.432000000000002</v>
      </c>
      <c r="AD4310">
        <v>-1.1167475580999999</v>
      </c>
      <c r="AE4310">
        <v>-4.5283800000000003</v>
      </c>
      <c r="AF4310">
        <v>-14.397394118128499</v>
      </c>
      <c r="AG4310">
        <v>-1.1167475580999999</v>
      </c>
      <c r="AH4310">
        <v>31.564117368058</v>
      </c>
      <c r="AI4310">
        <v>91.843701057693707</v>
      </c>
      <c r="AJ4310">
        <v>114.519231800085</v>
      </c>
      <c r="AK4310">
        <v>34.710597628473501</v>
      </c>
      <c r="AL4310">
        <v>80.121891990907699</v>
      </c>
      <c r="AM4310">
        <v>102.685454866916</v>
      </c>
      <c r="AN4310">
        <v>1.00000005855306</v>
      </c>
    </row>
    <row r="4311" spans="1:40" x14ac:dyDescent="0.25">
      <c r="A4311" t="str">
        <f>"20190304155500672"</f>
        <v>20190304155500672</v>
      </c>
      <c r="B4311" t="str">
        <f>"1551686100662262"</f>
        <v>1551686100662262</v>
      </c>
      <c r="C4311" t="s">
        <v>40</v>
      </c>
      <c r="D4311">
        <v>4.234718</v>
      </c>
      <c r="E4311">
        <v>0.42458099999999999</v>
      </c>
      <c r="F4311" t="s">
        <v>89</v>
      </c>
      <c r="G4311">
        <v>-380.19240000000002</v>
      </c>
      <c r="H4311" s="1">
        <v>-4.838127E-6</v>
      </c>
      <c r="I4311">
        <v>20.656569999999999</v>
      </c>
      <c r="J4311">
        <v>-411.35079999999999</v>
      </c>
      <c r="K4311">
        <v>1.1167</v>
      </c>
      <c r="L4311">
        <v>24.846440000000001</v>
      </c>
      <c r="M4311">
        <v>0.8544716</v>
      </c>
      <c r="N4311">
        <v>-1.443908E-2</v>
      </c>
      <c r="O4311">
        <v>-0.51929740000000002</v>
      </c>
      <c r="P4311">
        <v>0.93475439999999999</v>
      </c>
      <c r="Q4311">
        <v>0.1610251</v>
      </c>
      <c r="R4311">
        <v>-0.316710099999999</v>
      </c>
      <c r="S4311">
        <v>3.0935060000000001</v>
      </c>
      <c r="T4311">
        <v>-0.1101723</v>
      </c>
      <c r="U4311">
        <v>-0.42385859999999898</v>
      </c>
      <c r="V4311">
        <v>-0.2174015</v>
      </c>
      <c r="W4311">
        <v>0.1716955</v>
      </c>
      <c r="X4311">
        <v>0.96086280000000002</v>
      </c>
      <c r="Y4311">
        <v>-0.39811540000000001</v>
      </c>
      <c r="Z4311">
        <v>1.9642369999999999E-2</v>
      </c>
      <c r="AA4311">
        <v>0.91712499999999997</v>
      </c>
      <c r="AB4311">
        <v>20</v>
      </c>
      <c r="AC4311">
        <v>31.158399999999901</v>
      </c>
      <c r="AD4311">
        <v>-1.1167048381269999</v>
      </c>
      <c r="AE4311">
        <v>-4.1898699999999902</v>
      </c>
      <c r="AF4311">
        <v>-12.58578591571</v>
      </c>
      <c r="AG4311">
        <v>-1.1167048381269999</v>
      </c>
      <c r="AH4311">
        <v>28.766465662975499</v>
      </c>
      <c r="AI4311">
        <v>92.0368499965615</v>
      </c>
      <c r="AJ4311">
        <v>113.630142039158</v>
      </c>
      <c r="AK4311">
        <v>31.419079928456402</v>
      </c>
      <c r="AL4311">
        <v>80.113586729261101</v>
      </c>
      <c r="AM4311">
        <v>102.74889079037899</v>
      </c>
      <c r="AN4311">
        <v>1.00000003867316</v>
      </c>
    </row>
    <row r="4312" spans="1:40" x14ac:dyDescent="0.25">
      <c r="A4312" t="str">
        <f>"20190304155500693"</f>
        <v>20190304155500693</v>
      </c>
      <c r="B4312" t="str">
        <f>"1551686100681782"</f>
        <v>1551686100681782</v>
      </c>
      <c r="C4312" t="s">
        <v>40</v>
      </c>
      <c r="D4312">
        <v>4.2746339999999998</v>
      </c>
      <c r="E4312">
        <v>0.42810029999999999</v>
      </c>
      <c r="F4312" t="s">
        <v>89</v>
      </c>
      <c r="G4312">
        <v>-382.53829999999999</v>
      </c>
      <c r="H4312" s="1">
        <v>-3.887024E-6</v>
      </c>
      <c r="I4312">
        <v>20.96707</v>
      </c>
      <c r="J4312">
        <v>-411.19200000000001</v>
      </c>
      <c r="K4312">
        <v>1.1166659999999999</v>
      </c>
      <c r="L4312">
        <v>24.76352</v>
      </c>
      <c r="M4312">
        <v>0.85962499999999997</v>
      </c>
      <c r="N4312">
        <v>-1.438561E-2</v>
      </c>
      <c r="O4312">
        <v>-0.51072289999999998</v>
      </c>
      <c r="P4312">
        <v>0.93821940000000004</v>
      </c>
      <c r="Q4312">
        <v>0.16070129999999999</v>
      </c>
      <c r="R4312">
        <v>-0.30646289999999998</v>
      </c>
      <c r="S4312">
        <v>3.0891109999999999</v>
      </c>
      <c r="T4312">
        <v>-0.11972670000000001</v>
      </c>
      <c r="U4312">
        <v>-0.41592410000000002</v>
      </c>
      <c r="V4312">
        <v>-0.2183158</v>
      </c>
      <c r="W4312">
        <v>0.17131879999999999</v>
      </c>
      <c r="X4312">
        <v>0.96072270000000004</v>
      </c>
      <c r="Y4312">
        <v>-0.3909879</v>
      </c>
      <c r="Z4312">
        <v>2.1504430000000001E-2</v>
      </c>
      <c r="AA4312">
        <v>0.92014459999999998</v>
      </c>
      <c r="AB4312">
        <v>20</v>
      </c>
      <c r="AC4312">
        <v>28.653699999999901</v>
      </c>
      <c r="AD4312">
        <v>-1.1166698870239999</v>
      </c>
      <c r="AE4312">
        <v>-3.7964500000000001</v>
      </c>
      <c r="AF4312">
        <v>-11.354806669051699</v>
      </c>
      <c r="AG4312">
        <v>-1.1166698870239999</v>
      </c>
      <c r="AH4312">
        <v>26.533518252762299</v>
      </c>
      <c r="AI4312">
        <v>92.215740987007607</v>
      </c>
      <c r="AJ4312">
        <v>113.16811568347801</v>
      </c>
      <c r="AK4312">
        <v>28.8826275985721</v>
      </c>
      <c r="AL4312">
        <v>80.135494405755793</v>
      </c>
      <c r="AM4312">
        <v>102.802549574604</v>
      </c>
      <c r="AN4312">
        <v>1.00000001302918</v>
      </c>
    </row>
    <row r="4313" spans="1:40" x14ac:dyDescent="0.25">
      <c r="A4313" t="str">
        <f>"20190304155500714"</f>
        <v>20190304155500714</v>
      </c>
      <c r="B4313" t="str">
        <f>"1551686100712040"</f>
        <v>1551686100712040</v>
      </c>
      <c r="C4313" t="s">
        <v>40</v>
      </c>
      <c r="D4313">
        <v>4.2374589999999897</v>
      </c>
      <c r="E4313">
        <v>0.42978090000000002</v>
      </c>
      <c r="F4313" t="s">
        <v>89</v>
      </c>
      <c r="G4313">
        <v>-384.60750000000002</v>
      </c>
      <c r="H4313" s="1">
        <v>-2.979854E-6</v>
      </c>
      <c r="I4313">
        <v>21.233789999999999</v>
      </c>
      <c r="J4313">
        <v>-411.01600000000002</v>
      </c>
      <c r="K4313">
        <v>1.1166180000000001</v>
      </c>
      <c r="L4313">
        <v>24.673950000000001</v>
      </c>
      <c r="M4313">
        <v>0.86518980000000001</v>
      </c>
      <c r="N4313">
        <v>-1.432246E-2</v>
      </c>
      <c r="O4313">
        <v>-0.50124000000000002</v>
      </c>
      <c r="P4313">
        <v>0.94180520000000001</v>
      </c>
      <c r="Q4313">
        <v>0.159831</v>
      </c>
      <c r="R4313">
        <v>-0.29573159999999998</v>
      </c>
      <c r="S4313">
        <v>3.0859070000000002</v>
      </c>
      <c r="T4313">
        <v>-0.1296225</v>
      </c>
      <c r="U4313">
        <v>-0.40972900000000001</v>
      </c>
      <c r="V4313">
        <v>-0.21876760000000001</v>
      </c>
      <c r="W4313">
        <v>0.1703993</v>
      </c>
      <c r="X4313">
        <v>0.96078339999999995</v>
      </c>
      <c r="Y4313">
        <v>-0.3824572</v>
      </c>
      <c r="Z4313">
        <v>2.3308679999999998E-2</v>
      </c>
      <c r="AA4313">
        <v>0.92367920000000003</v>
      </c>
      <c r="AB4313">
        <v>20</v>
      </c>
      <c r="AC4313">
        <v>26.408499999999901</v>
      </c>
      <c r="AD4313">
        <v>-1.1166209798540001</v>
      </c>
      <c r="AE4313">
        <v>-3.4401600000000001</v>
      </c>
      <c r="AF4313">
        <v>-10.243649219983499</v>
      </c>
      <c r="AG4313">
        <v>-1.1166209798540001</v>
      </c>
      <c r="AH4313">
        <v>24.532103442922299</v>
      </c>
      <c r="AI4313">
        <v>92.405128753560703</v>
      </c>
      <c r="AJ4313">
        <v>112.66351165229101</v>
      </c>
      <c r="AK4313">
        <v>26.608331234576799</v>
      </c>
      <c r="AL4313">
        <v>80.188963627000405</v>
      </c>
      <c r="AM4313">
        <v>102.827384813451</v>
      </c>
      <c r="AN4313">
        <v>0.99999996298290394</v>
      </c>
    </row>
    <row r="4314" spans="1:40" x14ac:dyDescent="0.25">
      <c r="A4314" t="str">
        <f>"20190304155500736"</f>
        <v>20190304155500736</v>
      </c>
      <c r="B4314" t="str">
        <f>"1551686100731559"</f>
        <v>1551686100731559</v>
      </c>
      <c r="C4314" t="s">
        <v>40</v>
      </c>
      <c r="D4314">
        <v>4.2120139999999999</v>
      </c>
      <c r="E4314">
        <v>0.43040780000000001</v>
      </c>
      <c r="F4314" t="s">
        <v>89</v>
      </c>
      <c r="G4314">
        <v>-385.94569999999999</v>
      </c>
      <c r="H4314" s="1">
        <v>-2.4247120000000002E-6</v>
      </c>
      <c r="I4314">
        <v>21.524809999999999</v>
      </c>
      <c r="J4314">
        <v>-410.84500000000003</v>
      </c>
      <c r="K4314">
        <v>1.1165670000000001</v>
      </c>
      <c r="L4314">
        <v>24.58914</v>
      </c>
      <c r="M4314">
        <v>0.87044719999999998</v>
      </c>
      <c r="N4314">
        <v>-1.4258720000000001E-2</v>
      </c>
      <c r="O4314">
        <v>-0.49205579999999999</v>
      </c>
      <c r="P4314">
        <v>0.94508490000000001</v>
      </c>
      <c r="Q4314">
        <v>0.15853049999999999</v>
      </c>
      <c r="R4314">
        <v>-0.28580240000000001</v>
      </c>
      <c r="S4314">
        <v>3.0869140000000002</v>
      </c>
      <c r="T4314">
        <v>-0.13749029999999901</v>
      </c>
      <c r="U4314">
        <v>-0.3877563</v>
      </c>
      <c r="V4314">
        <v>-0.21878400000000001</v>
      </c>
      <c r="W4314">
        <v>0.1690596</v>
      </c>
      <c r="X4314">
        <v>0.96101639999999999</v>
      </c>
      <c r="Y4314">
        <v>-0.37911020000000001</v>
      </c>
      <c r="Z4314">
        <v>2.4737289999999999E-2</v>
      </c>
      <c r="AA4314">
        <v>0.92502090000000003</v>
      </c>
      <c r="AB4314">
        <v>20</v>
      </c>
      <c r="AC4314">
        <v>24.8993</v>
      </c>
      <c r="AD4314">
        <v>-1.1165694247119999</v>
      </c>
      <c r="AE4314">
        <v>-3.0643299999999898</v>
      </c>
      <c r="AF4314">
        <v>-9.5665287409655608</v>
      </c>
      <c r="AG4314">
        <v>-1.1165694247119999</v>
      </c>
      <c r="AH4314">
        <v>23.1378633766634</v>
      </c>
      <c r="AI4314">
        <v>92.553458345753</v>
      </c>
      <c r="AJ4314">
        <v>112.463026712953</v>
      </c>
      <c r="AK4314">
        <v>25.0624404451973</v>
      </c>
      <c r="AL4314">
        <v>80.266853806289703</v>
      </c>
      <c r="AM4314">
        <v>102.82530723303699</v>
      </c>
      <c r="AN4314">
        <v>1.0000000540385501</v>
      </c>
    </row>
    <row r="4315" spans="1:40" x14ac:dyDescent="0.25">
      <c r="A4315" t="str">
        <f>"20190304155500759"</f>
        <v>20190304155500759</v>
      </c>
      <c r="B4315" t="str">
        <f>"1551686100752056"</f>
        <v>1551686100752056</v>
      </c>
      <c r="C4315" t="s">
        <v>40</v>
      </c>
      <c r="D4315">
        <v>4.1591630000000004</v>
      </c>
      <c r="E4315">
        <v>0.43071809999999999</v>
      </c>
      <c r="F4315" t="s">
        <v>89</v>
      </c>
      <c r="G4315">
        <v>-386.64879999999999</v>
      </c>
      <c r="H4315" s="1">
        <v>-2.1587819999999999E-6</v>
      </c>
      <c r="I4315">
        <v>21.774429999999999</v>
      </c>
      <c r="J4315">
        <v>-410.65769999999998</v>
      </c>
      <c r="K4315">
        <v>1.1165099999999999</v>
      </c>
      <c r="L4315">
        <v>24.49869</v>
      </c>
      <c r="M4315">
        <v>0.87603960000000003</v>
      </c>
      <c r="N4315">
        <v>-1.419054E-2</v>
      </c>
      <c r="O4315">
        <v>-0.48203040000000003</v>
      </c>
      <c r="P4315">
        <v>0.94825029999999999</v>
      </c>
      <c r="Q4315">
        <v>0.15785070000000001</v>
      </c>
      <c r="R4315">
        <v>-0.27550789999999997</v>
      </c>
      <c r="S4315">
        <v>3.089569</v>
      </c>
      <c r="T4315">
        <v>-0.1425729</v>
      </c>
      <c r="U4315">
        <v>-0.35940549999999999</v>
      </c>
      <c r="V4315">
        <v>-0.21822469999999999</v>
      </c>
      <c r="W4315">
        <v>0.16835079999999999</v>
      </c>
      <c r="X4315">
        <v>0.96126789999999995</v>
      </c>
      <c r="Y4315">
        <v>-0.3769035</v>
      </c>
      <c r="Z4315">
        <v>2.5533170000000001E-2</v>
      </c>
      <c r="AA4315">
        <v>0.92590050000000002</v>
      </c>
      <c r="AB4315">
        <v>20</v>
      </c>
      <c r="AC4315">
        <v>24.008899999999901</v>
      </c>
      <c r="AD4315">
        <v>-1.1165121587819999</v>
      </c>
      <c r="AE4315">
        <v>-2.7242600000000001</v>
      </c>
      <c r="AF4315">
        <v>-9.1678102815906097</v>
      </c>
      <c r="AG4315">
        <v>-1.1165121587819999</v>
      </c>
      <c r="AH4315">
        <v>22.300558062975199</v>
      </c>
      <c r="AI4315">
        <v>92.651258240321994</v>
      </c>
      <c r="AJ4315">
        <v>112.347675551588</v>
      </c>
      <c r="AK4315">
        <v>24.137320370746998</v>
      </c>
      <c r="AL4315">
        <v>80.308055025635895</v>
      </c>
      <c r="AM4315">
        <v>102.790363753615</v>
      </c>
      <c r="AN4315">
        <v>0.99999999356057001</v>
      </c>
    </row>
    <row r="4316" spans="1:40" x14ac:dyDescent="0.25">
      <c r="A4316" t="str">
        <f>"20190304155500786"</f>
        <v>20190304155500786</v>
      </c>
      <c r="B4316" t="str">
        <f>"1551686100782311"</f>
        <v>1551686100782311</v>
      </c>
      <c r="C4316" t="s">
        <v>40</v>
      </c>
      <c r="D4316">
        <v>4.1970919999999996</v>
      </c>
      <c r="E4316">
        <v>0.43125609999999998</v>
      </c>
      <c r="F4316" t="s">
        <v>89</v>
      </c>
      <c r="G4316">
        <v>-386.67149999999998</v>
      </c>
      <c r="H4316" s="1">
        <v>-2.1975889999999998E-6</v>
      </c>
      <c r="I4316">
        <v>21.960609999999999</v>
      </c>
      <c r="J4316">
        <v>-410.45569999999998</v>
      </c>
      <c r="K4316">
        <v>1.1164459999999901</v>
      </c>
      <c r="L4316">
        <v>24.404170000000001</v>
      </c>
      <c r="M4316">
        <v>0.88186399999999998</v>
      </c>
      <c r="N4316">
        <v>-1.4122239999999999E-2</v>
      </c>
      <c r="O4316">
        <v>-0.47129280000000001</v>
      </c>
      <c r="P4316">
        <v>0.95142550000000004</v>
      </c>
      <c r="Q4316">
        <v>0.1585097</v>
      </c>
      <c r="R4316">
        <v>-0.26394109999999998</v>
      </c>
      <c r="S4316">
        <v>3.09259</v>
      </c>
      <c r="T4316">
        <v>-0.14395450000000001</v>
      </c>
      <c r="U4316">
        <v>-0.32723999999999998</v>
      </c>
      <c r="V4316">
        <v>-0.21811949999999999</v>
      </c>
      <c r="W4316">
        <v>0.1689745</v>
      </c>
      <c r="X4316">
        <v>0.96118239999999999</v>
      </c>
      <c r="Y4316">
        <v>-0.37519639999999999</v>
      </c>
      <c r="Z4316">
        <v>2.5522389999999999E-2</v>
      </c>
      <c r="AA4316">
        <v>0.92659389999999997</v>
      </c>
      <c r="AB4316">
        <v>20</v>
      </c>
      <c r="AC4316">
        <v>23.784199999999998</v>
      </c>
      <c r="AD4316">
        <v>-1.1164481975889999</v>
      </c>
      <c r="AE4316">
        <v>-2.4435600000000002</v>
      </c>
      <c r="AF4316">
        <v>-9.0356341181110391</v>
      </c>
      <c r="AG4316">
        <v>-1.1164481975889999</v>
      </c>
      <c r="AH4316">
        <v>22.080119741422202</v>
      </c>
      <c r="AI4316">
        <v>92.679302907487497</v>
      </c>
      <c r="AJ4316">
        <v>112.255376080229</v>
      </c>
      <c r="AK4316">
        <v>23.883484425221798</v>
      </c>
      <c r="AL4316">
        <v>80.2718008293119</v>
      </c>
      <c r="AM4316">
        <v>102.785500383753</v>
      </c>
      <c r="AN4316">
        <v>1.00000005200012</v>
      </c>
    </row>
    <row r="4317" spans="1:40" x14ac:dyDescent="0.25">
      <c r="A4317" t="str">
        <f>"20190304155500803"</f>
        <v>20190304155500803</v>
      </c>
      <c r="B4317" t="str">
        <f>"1551686100792070"</f>
        <v>1551686100792070</v>
      </c>
      <c r="C4317" t="s">
        <v>40</v>
      </c>
      <c r="D4317">
        <v>4.1934339999999999</v>
      </c>
      <c r="E4317">
        <v>0.43116339999999997</v>
      </c>
      <c r="F4317" t="s">
        <v>89</v>
      </c>
      <c r="G4317">
        <v>-386.31529999999998</v>
      </c>
      <c r="H4317" s="1">
        <v>-2.4048440000000002E-6</v>
      </c>
      <c r="I4317">
        <v>22.10669</v>
      </c>
      <c r="J4317">
        <v>-410.30549999999999</v>
      </c>
      <c r="K4317">
        <v>1.1163920000000001</v>
      </c>
      <c r="L4317">
        <v>24.33569</v>
      </c>
      <c r="M4317">
        <v>0.88606689999999999</v>
      </c>
      <c r="N4317">
        <v>-1.407479E-2</v>
      </c>
      <c r="O4317">
        <v>-0.46334360000000002</v>
      </c>
      <c r="P4317">
        <v>0.95369389999999998</v>
      </c>
      <c r="Q4317">
        <v>0.1586362</v>
      </c>
      <c r="R4317">
        <v>-0.25554329999999997</v>
      </c>
      <c r="S4317">
        <v>3.0953059999999999</v>
      </c>
      <c r="T4317">
        <v>-0.1431519</v>
      </c>
      <c r="U4317">
        <v>-0.29458620000000002</v>
      </c>
      <c r="V4317">
        <v>-0.21792110000000001</v>
      </c>
      <c r="W4317">
        <v>0.16908309999999999</v>
      </c>
      <c r="X4317">
        <v>0.96120830000000002</v>
      </c>
      <c r="Y4317">
        <v>-0.3766332</v>
      </c>
      <c r="Z4317">
        <v>2.5214440000000001E-2</v>
      </c>
      <c r="AA4317">
        <v>0.92601929999999999</v>
      </c>
      <c r="AB4317">
        <v>20</v>
      </c>
      <c r="AC4317">
        <v>23.990200000000002</v>
      </c>
      <c r="AD4317">
        <v>-1.116394404844</v>
      </c>
      <c r="AE4317">
        <v>-2.2289999999999899</v>
      </c>
      <c r="AF4317">
        <v>-9.1219832830699108</v>
      </c>
      <c r="AG4317">
        <v>-1.116394404844</v>
      </c>
      <c r="AH4317">
        <v>22.244165299419102</v>
      </c>
      <c r="AI4317">
        <v>92.658639468818606</v>
      </c>
      <c r="AJ4317">
        <v>112.29776470799</v>
      </c>
      <c r="AK4317">
        <v>24.0678167965367</v>
      </c>
      <c r="AL4317">
        <v>80.265487631862399</v>
      </c>
      <c r="AM4317">
        <v>102.77391960851401</v>
      </c>
      <c r="AN4317">
        <v>1.0000000482598499</v>
      </c>
    </row>
    <row r="4318" spans="1:40" x14ac:dyDescent="0.25">
      <c r="A4318" t="str">
        <f>"20190304155500827"</f>
        <v>20190304155500827</v>
      </c>
      <c r="B4318" t="str">
        <f>"1551686100822327"</f>
        <v>1551686100822327</v>
      </c>
      <c r="C4318" t="s">
        <v>40</v>
      </c>
      <c r="D4318">
        <v>4.1829400000000003</v>
      </c>
      <c r="E4318">
        <v>0.43125989999999997</v>
      </c>
      <c r="F4318" t="s">
        <v>89</v>
      </c>
      <c r="G4318">
        <v>-386.19380000000001</v>
      </c>
      <c r="H4318" s="1">
        <v>-2.5008490000000001E-6</v>
      </c>
      <c r="I4318">
        <v>22.251560000000001</v>
      </c>
      <c r="J4318">
        <v>-410.1173</v>
      </c>
      <c r="K4318">
        <v>1.116336</v>
      </c>
      <c r="L4318">
        <v>24.252199999999998</v>
      </c>
      <c r="M4318">
        <v>0.89117519999999995</v>
      </c>
      <c r="N4318">
        <v>-1.4017689999999999E-2</v>
      </c>
      <c r="O4318">
        <v>-0.45344299999999998</v>
      </c>
      <c r="P4318">
        <v>0.95638670000000003</v>
      </c>
      <c r="Q4318">
        <v>0.158720899999999</v>
      </c>
      <c r="R4318">
        <v>-0.24521879999999999</v>
      </c>
      <c r="S4318">
        <v>3.0977779999999999</v>
      </c>
      <c r="T4318">
        <v>-0.143429799999999</v>
      </c>
      <c r="U4318">
        <v>-0.26776119999999998</v>
      </c>
      <c r="V4318">
        <v>-0.21757299999999999</v>
      </c>
      <c r="W4318">
        <v>0.16914699999999999</v>
      </c>
      <c r="X4318">
        <v>0.96127589999999996</v>
      </c>
      <c r="Y4318">
        <v>-0.37433909999999998</v>
      </c>
      <c r="Z4318">
        <v>2.496104E-2</v>
      </c>
      <c r="AA4318">
        <v>0.92695590000000005</v>
      </c>
      <c r="AB4318">
        <v>20</v>
      </c>
      <c r="AC4318">
        <v>23.923499999999901</v>
      </c>
      <c r="AD4318">
        <v>-1.1163385008490001</v>
      </c>
      <c r="AE4318">
        <v>-2.00063999999999</v>
      </c>
      <c r="AF4318">
        <v>-9.0463513906766302</v>
      </c>
      <c r="AG4318">
        <v>-1.1163385008490001</v>
      </c>
      <c r="AH4318">
        <v>22.181424135560899</v>
      </c>
      <c r="AI4318">
        <v>92.668114617942805</v>
      </c>
      <c r="AJ4318">
        <v>112.18733286242301</v>
      </c>
      <c r="AK4318">
        <v>23.9812064294881</v>
      </c>
      <c r="AL4318">
        <v>80.261772814877403</v>
      </c>
      <c r="AM4318">
        <v>102.75331530437801</v>
      </c>
      <c r="AN4318">
        <v>1.0000000369294</v>
      </c>
    </row>
    <row r="4319" spans="1:40" x14ac:dyDescent="0.25">
      <c r="A4319" t="str">
        <f>"20190304155500854"</f>
        <v>20190304155500854</v>
      </c>
      <c r="B4319" t="str">
        <f>"1551686100851606"</f>
        <v>1551686100851606</v>
      </c>
      <c r="C4319" t="s">
        <v>40</v>
      </c>
      <c r="D4319">
        <v>4.2624760000000004</v>
      </c>
      <c r="E4319">
        <v>0.43086829999999998</v>
      </c>
      <c r="F4319" t="s">
        <v>89</v>
      </c>
      <c r="G4319">
        <v>-385.9461</v>
      </c>
      <c r="H4319" s="1">
        <v>-2.6617529999999998E-6</v>
      </c>
      <c r="I4319">
        <v>22.4163</v>
      </c>
      <c r="J4319">
        <v>-409.8954</v>
      </c>
      <c r="K4319">
        <v>1.116269</v>
      </c>
      <c r="L4319">
        <v>24.156680000000001</v>
      </c>
      <c r="M4319">
        <v>0.8969857</v>
      </c>
      <c r="N4319">
        <v>-1.394779E-2</v>
      </c>
      <c r="O4319">
        <v>-0.4418395</v>
      </c>
      <c r="P4319">
        <v>0.95932689999999998</v>
      </c>
      <c r="Q4319">
        <v>0.15877339999999901</v>
      </c>
      <c r="R4319">
        <v>-0.2334157</v>
      </c>
      <c r="S4319">
        <v>3.1002200000000002</v>
      </c>
      <c r="T4319">
        <v>-0.14318229999999901</v>
      </c>
      <c r="U4319">
        <v>-0.23547360000000001</v>
      </c>
      <c r="V4319">
        <v>-0.2169114</v>
      </c>
      <c r="W4319">
        <v>0.16917570000000001</v>
      </c>
      <c r="X4319">
        <v>0.96142030000000001</v>
      </c>
      <c r="Y4319">
        <v>-0.37196839999999998</v>
      </c>
      <c r="Z4319">
        <v>2.4556660000000001E-2</v>
      </c>
      <c r="AA4319">
        <v>0.92792050000000004</v>
      </c>
      <c r="AB4319">
        <v>20</v>
      </c>
      <c r="AC4319">
        <v>23.949299999999901</v>
      </c>
      <c r="AD4319">
        <v>-1.116271661753</v>
      </c>
      <c r="AE4319">
        <v>-1.74037999999999</v>
      </c>
      <c r="AF4319">
        <v>-9.0020741782488294</v>
      </c>
      <c r="AG4319">
        <v>-1.116271661753</v>
      </c>
      <c r="AH4319">
        <v>22.2053255753878</v>
      </c>
      <c r="AI4319">
        <v>92.667347667551894</v>
      </c>
      <c r="AJ4319">
        <v>112.06771155467599</v>
      </c>
      <c r="AK4319">
        <v>23.9866605813001</v>
      </c>
      <c r="AL4319">
        <v>80.260103851684306</v>
      </c>
      <c r="AM4319">
        <v>102.713949764974</v>
      </c>
      <c r="AN4319">
        <v>0.99999998308626903</v>
      </c>
    </row>
    <row r="4320" spans="1:40" x14ac:dyDescent="0.25">
      <c r="A4320" t="str">
        <f>"20190304155500874"</f>
        <v>20190304155500874</v>
      </c>
      <c r="B4320" t="str">
        <f>"1551686100862343"</f>
        <v>1551686100862343</v>
      </c>
      <c r="C4320" t="s">
        <v>40</v>
      </c>
      <c r="D4320">
        <v>4.217282</v>
      </c>
      <c r="E4320">
        <v>0.43088969999999999</v>
      </c>
      <c r="F4320" t="s">
        <v>89</v>
      </c>
      <c r="G4320">
        <v>-385.46010000000001</v>
      </c>
      <c r="H4320" s="1">
        <v>-2.9476649999999998E-6</v>
      </c>
      <c r="I4320">
        <v>22.627479999999998</v>
      </c>
      <c r="J4320">
        <v>-409.73840000000001</v>
      </c>
      <c r="K4320">
        <v>1.11622</v>
      </c>
      <c r="L4320">
        <v>24.09113</v>
      </c>
      <c r="M4320">
        <v>0.900949</v>
      </c>
      <c r="N4320">
        <v>-1.389867E-2</v>
      </c>
      <c r="O4320">
        <v>-0.43370239999999999</v>
      </c>
      <c r="P4320">
        <v>0.96103899999999998</v>
      </c>
      <c r="Q4320">
        <v>0.15873709999999999</v>
      </c>
      <c r="R4320">
        <v>-0.22628909999999999</v>
      </c>
      <c r="S4320">
        <v>3.1033629999999999</v>
      </c>
      <c r="T4320">
        <v>-0.1417706</v>
      </c>
      <c r="U4320">
        <v>-0.19421389999999999</v>
      </c>
      <c r="V4320">
        <v>-0.21532290000000001</v>
      </c>
      <c r="W4320">
        <v>0.16914370000000001</v>
      </c>
      <c r="X4320">
        <v>0.9617829</v>
      </c>
      <c r="Y4320">
        <v>-0.37592540000000002</v>
      </c>
      <c r="Z4320">
        <v>2.4194960000000001E-2</v>
      </c>
      <c r="AA4320">
        <v>0.92633399999999999</v>
      </c>
      <c r="AB4320">
        <v>20</v>
      </c>
      <c r="AC4320">
        <v>24.278300000000002</v>
      </c>
      <c r="AD4320">
        <v>-1.1162229476649901</v>
      </c>
      <c r="AE4320">
        <v>-1.4636499999999999</v>
      </c>
      <c r="AF4320">
        <v>-9.1924119207097199</v>
      </c>
      <c r="AG4320">
        <v>-1.1162229476649901</v>
      </c>
      <c r="AH4320">
        <v>22.463161585360499</v>
      </c>
      <c r="AI4320">
        <v>92.633148503837603</v>
      </c>
      <c r="AJ4320">
        <v>112.255440070033</v>
      </c>
      <c r="AK4320">
        <v>24.2969137751879</v>
      </c>
      <c r="AL4320">
        <v>80.261963747509498</v>
      </c>
      <c r="AM4320">
        <v>102.619229833492</v>
      </c>
      <c r="AN4320">
        <v>0.99999994462325303</v>
      </c>
    </row>
    <row r="4321" spans="1:40" x14ac:dyDescent="0.25">
      <c r="A4321" t="str">
        <f>"20190304155500892"</f>
        <v>20190304155500892</v>
      </c>
      <c r="B4321" t="str">
        <f>"1551686100881866"</f>
        <v>1551686100881866</v>
      </c>
      <c r="C4321" t="s">
        <v>40</v>
      </c>
      <c r="D4321">
        <v>4.1810879999999999</v>
      </c>
      <c r="E4321">
        <v>0.43123790000000001</v>
      </c>
      <c r="F4321" t="s">
        <v>89</v>
      </c>
      <c r="G4321">
        <v>-385.35890000000001</v>
      </c>
      <c r="H4321" s="1">
        <v>-3.0264610000000001E-6</v>
      </c>
      <c r="I4321">
        <v>22.74389</v>
      </c>
      <c r="J4321">
        <v>-409.58049999999997</v>
      </c>
      <c r="K4321">
        <v>1.1161650000000001</v>
      </c>
      <c r="L4321">
        <v>24.026730000000001</v>
      </c>
      <c r="M4321">
        <v>0.90481389999999995</v>
      </c>
      <c r="N4321">
        <v>-1.385138E-2</v>
      </c>
      <c r="O4321">
        <v>-0.42558180000000001</v>
      </c>
      <c r="P4321">
        <v>0.96288910000000005</v>
      </c>
      <c r="Q4321">
        <v>0.15884809999999999</v>
      </c>
      <c r="R4321">
        <v>-0.2182017</v>
      </c>
      <c r="S4321">
        <v>3.1047060000000002</v>
      </c>
      <c r="T4321">
        <v>-0.1421502</v>
      </c>
      <c r="U4321">
        <v>-0.17156979999999999</v>
      </c>
      <c r="V4321">
        <v>-0.21472740000000001</v>
      </c>
      <c r="W4321">
        <v>0.1692476</v>
      </c>
      <c r="X4321">
        <v>0.96189789999999997</v>
      </c>
      <c r="Y4321">
        <v>-0.37435069999999998</v>
      </c>
      <c r="Z4321">
        <v>2.4020240000000002E-2</v>
      </c>
      <c r="AA4321">
        <v>0.92697600000000002</v>
      </c>
      <c r="AB4321">
        <v>20</v>
      </c>
      <c r="AC4321">
        <v>24.221599999999899</v>
      </c>
      <c r="AD4321">
        <v>-1.1161680264609899</v>
      </c>
      <c r="AE4321">
        <v>-1.28284</v>
      </c>
      <c r="AF4321">
        <v>-9.12908722325915</v>
      </c>
      <c r="AG4321">
        <v>-1.1161680264609899</v>
      </c>
      <c r="AH4321">
        <v>22.416680875447</v>
      </c>
      <c r="AI4321">
        <v>92.640293687341895</v>
      </c>
      <c r="AJ4321">
        <v>112.15837793944</v>
      </c>
      <c r="AK4321">
        <v>24.2300153954717</v>
      </c>
      <c r="AL4321">
        <v>80.255925045084197</v>
      </c>
      <c r="AM4321">
        <v>102.583986465706</v>
      </c>
      <c r="AN4321">
        <v>1.00000008822046</v>
      </c>
    </row>
    <row r="4322" spans="1:40" x14ac:dyDescent="0.25">
      <c r="A4322" t="str">
        <f>"20190304155500918"</f>
        <v>20190304155500918</v>
      </c>
      <c r="B4322" t="str">
        <f>"1551686100912119"</f>
        <v>1551686100912119</v>
      </c>
      <c r="C4322" t="s">
        <v>40</v>
      </c>
      <c r="D4322">
        <v>4.2156719999999996</v>
      </c>
      <c r="E4322">
        <v>0.43049460000000001</v>
      </c>
      <c r="F4322" t="s">
        <v>89</v>
      </c>
      <c r="G4322">
        <v>-385.24149999999997</v>
      </c>
      <c r="H4322" s="1">
        <v>-3.1130760000000001E-6</v>
      </c>
      <c r="I4322">
        <v>22.860720000000001</v>
      </c>
      <c r="J4322">
        <v>-409.36619999999999</v>
      </c>
      <c r="K4322">
        <v>1.1160760000000001</v>
      </c>
      <c r="L4322">
        <v>23.941739999999999</v>
      </c>
      <c r="M4322">
        <v>0.9098697</v>
      </c>
      <c r="N4322">
        <v>-1.3790510000000001E-2</v>
      </c>
      <c r="O4322">
        <v>-0.4146649</v>
      </c>
      <c r="P4322">
        <v>0.96537819999999996</v>
      </c>
      <c r="Q4322">
        <v>0.15888720000000001</v>
      </c>
      <c r="R4322">
        <v>-0.2068816</v>
      </c>
      <c r="S4322">
        <v>3.1054379999999999</v>
      </c>
      <c r="T4322">
        <v>-0.14241289999999901</v>
      </c>
      <c r="U4322">
        <v>-0.14877319999999999</v>
      </c>
      <c r="V4322">
        <v>-0.21440690000000001</v>
      </c>
      <c r="W4322">
        <v>0.1692796</v>
      </c>
      <c r="X4322">
        <v>0.96196369999999998</v>
      </c>
      <c r="Y4322">
        <v>-0.36999739999999998</v>
      </c>
      <c r="Z4322">
        <v>2.3667480000000001E-2</v>
      </c>
      <c r="AA4322">
        <v>0.92873130000000004</v>
      </c>
      <c r="AB4322">
        <v>20</v>
      </c>
      <c r="AC4322">
        <v>24.124700000000001</v>
      </c>
      <c r="AD4322">
        <v>-1.1160791130759999</v>
      </c>
      <c r="AE4322">
        <v>-1.0810199999999901</v>
      </c>
      <c r="AF4322">
        <v>-9.0017093019559393</v>
      </c>
      <c r="AG4322">
        <v>-1.1160791130759999</v>
      </c>
      <c r="AH4322">
        <v>22.352979175645199</v>
      </c>
      <c r="AI4322">
        <v>92.651774073975602</v>
      </c>
      <c r="AJ4322">
        <v>111.93500907158401</v>
      </c>
      <c r="AK4322">
        <v>24.1232684553813</v>
      </c>
      <c r="AL4322">
        <v>80.254064173797303</v>
      </c>
      <c r="AM4322">
        <v>102.56496844536601</v>
      </c>
      <c r="AN4322">
        <v>1.00000003093072</v>
      </c>
    </row>
    <row r="4323" spans="1:40" x14ac:dyDescent="0.25">
      <c r="A4323" t="str">
        <f>"20190304155500937"</f>
        <v>20190304155500937</v>
      </c>
      <c r="B4323" t="str">
        <f>"1551686100931639"</f>
        <v>1551686100931639</v>
      </c>
      <c r="C4323" t="s">
        <v>40</v>
      </c>
      <c r="D4323">
        <v>4.7496419999999997</v>
      </c>
      <c r="E4323">
        <v>0.43131520000000001</v>
      </c>
      <c r="F4323" t="s">
        <v>89</v>
      </c>
      <c r="G4323">
        <v>-385.0607</v>
      </c>
      <c r="H4323" s="1">
        <v>-3.261514E-6</v>
      </c>
      <c r="I4323">
        <v>23.097349999999999</v>
      </c>
      <c r="J4323">
        <v>-409.21140000000003</v>
      </c>
      <c r="K4323">
        <v>1.1160000000000001</v>
      </c>
      <c r="L4323">
        <v>23.88214</v>
      </c>
      <c r="M4323">
        <v>0.913381</v>
      </c>
      <c r="N4323">
        <v>-1.3748130000000001E-2</v>
      </c>
      <c r="O4323">
        <v>-0.40687410000000002</v>
      </c>
      <c r="P4323">
        <v>0.96693859999999998</v>
      </c>
      <c r="Q4323">
        <v>0.15848400000000001</v>
      </c>
      <c r="R4323">
        <v>-0.19978170000000001</v>
      </c>
      <c r="S4323">
        <v>3.10791</v>
      </c>
      <c r="T4323">
        <v>-0.14271120000000001</v>
      </c>
      <c r="U4323">
        <v>-0.1079712</v>
      </c>
      <c r="V4323">
        <v>-0.21324270000000001</v>
      </c>
      <c r="W4323">
        <v>0.16889370000000001</v>
      </c>
      <c r="X4323">
        <v>0.96229019999999998</v>
      </c>
      <c r="Y4323">
        <v>-0.37425659999999999</v>
      </c>
      <c r="Z4323">
        <v>2.364691E-2</v>
      </c>
      <c r="AA4323">
        <v>0.92702359999999995</v>
      </c>
      <c r="AB4323">
        <v>20</v>
      </c>
      <c r="AC4323">
        <v>24.150700000000001</v>
      </c>
      <c r="AD4323">
        <v>-1.1160032615140001</v>
      </c>
      <c r="AE4323">
        <v>-0.78479000000000099</v>
      </c>
      <c r="AF4323">
        <v>-9.0909492793935804</v>
      </c>
      <c r="AG4323">
        <v>-1.1160032615140001</v>
      </c>
      <c r="AH4323">
        <v>22.332574146176501</v>
      </c>
      <c r="AI4323">
        <v>92.649993298888305</v>
      </c>
      <c r="AJ4323">
        <v>112.149826149604</v>
      </c>
      <c r="AK4323">
        <v>24.137826954278399</v>
      </c>
      <c r="AL4323">
        <v>80.276497129698797</v>
      </c>
      <c r="AM4323">
        <v>102.494784333734</v>
      </c>
      <c r="AN4323">
        <v>0.99999998000950896</v>
      </c>
    </row>
    <row r="4324" spans="1:40" x14ac:dyDescent="0.25">
      <c r="A4324" t="str">
        <f>"20190304155500959"</f>
        <v>20190304155500959</v>
      </c>
      <c r="B4324" t="str">
        <f>"1551686100952135"</f>
        <v>1551686100952135</v>
      </c>
      <c r="C4324" t="s">
        <v>40</v>
      </c>
      <c r="D4324">
        <v>4.5284250000000004</v>
      </c>
      <c r="E4324">
        <v>0.51805869999999998</v>
      </c>
      <c r="F4324" t="s">
        <v>89</v>
      </c>
      <c r="G4324">
        <v>-384.6995</v>
      </c>
      <c r="H4324" s="1">
        <v>-3.447914E-6</v>
      </c>
      <c r="I4324">
        <v>23.156179999999999</v>
      </c>
      <c r="J4324">
        <v>-409.03039999999999</v>
      </c>
      <c r="K4324">
        <v>1.115904</v>
      </c>
      <c r="L4324">
        <v>23.814119999999999</v>
      </c>
      <c r="M4324">
        <v>0.91733960000000003</v>
      </c>
      <c r="N4324">
        <v>-1.3699920000000001E-2</v>
      </c>
      <c r="O4324">
        <v>-0.39786959999999999</v>
      </c>
      <c r="P4324">
        <v>0.96856730000000002</v>
      </c>
      <c r="Q4324">
        <v>0.1586777</v>
      </c>
      <c r="R4324">
        <v>-0.19156899999999999</v>
      </c>
      <c r="S4324">
        <v>3.1066889999999998</v>
      </c>
      <c r="T4324">
        <v>-0.1414443</v>
      </c>
      <c r="U4324">
        <v>-9.2010499999999995E-2</v>
      </c>
      <c r="V4324">
        <v>-0.21188960000000001</v>
      </c>
      <c r="W4324">
        <v>0.16911180000000001</v>
      </c>
      <c r="X4324">
        <v>0.96255080000000004</v>
      </c>
      <c r="Y4324">
        <v>-0.36989840000000002</v>
      </c>
      <c r="Z4324">
        <v>2.306209E-2</v>
      </c>
      <c r="AA4324">
        <v>0.92878590000000005</v>
      </c>
      <c r="AB4324">
        <v>20</v>
      </c>
      <c r="AC4324">
        <v>24.3308999999999</v>
      </c>
      <c r="AD4324">
        <v>-1.1159074479140001</v>
      </c>
      <c r="AE4324">
        <v>-0.65794000000000297</v>
      </c>
      <c r="AF4324">
        <v>-9.0587825465613001</v>
      </c>
      <c r="AG4324">
        <v>-1.1159074479140001</v>
      </c>
      <c r="AH4324">
        <v>22.536223511780499</v>
      </c>
      <c r="AI4324">
        <v>92.630513440203103</v>
      </c>
      <c r="AJ4324">
        <v>111.89842145974001</v>
      </c>
      <c r="AK4324">
        <v>24.314361205491799</v>
      </c>
      <c r="AL4324">
        <v>80.263818968793302</v>
      </c>
      <c r="AM4324">
        <v>102.414709844602</v>
      </c>
      <c r="AN4324">
        <v>1.00000002303401</v>
      </c>
    </row>
    <row r="4325" spans="1:40" x14ac:dyDescent="0.25">
      <c r="A4325" t="str">
        <f>"20190304155500993"</f>
        <v>20190304155500993</v>
      </c>
      <c r="B4325" t="str">
        <f>"1551686100981414"</f>
        <v>1551686100981414</v>
      </c>
      <c r="C4325" t="s">
        <v>40</v>
      </c>
      <c r="D4325">
        <v>4.6305680000000002</v>
      </c>
      <c r="E4325">
        <v>0.51654960000000005</v>
      </c>
      <c r="F4325" t="s">
        <v>89</v>
      </c>
      <c r="G4325">
        <v>-381.803</v>
      </c>
      <c r="H4325" s="1">
        <v>-4.3402899999999999E-6</v>
      </c>
      <c r="I4325">
        <v>16.994540000000001</v>
      </c>
      <c r="J4325">
        <v>-408.75009999999997</v>
      </c>
      <c r="K4325">
        <v>1.1157459999999999</v>
      </c>
      <c r="L4325">
        <v>23.712620000000001</v>
      </c>
      <c r="M4325">
        <v>0.92314980000000002</v>
      </c>
      <c r="N4325">
        <v>-1.361859E-2</v>
      </c>
      <c r="O4325">
        <v>-0.38419940000000002</v>
      </c>
      <c r="P4325">
        <v>0.97078790000000004</v>
      </c>
      <c r="Q4325">
        <v>0.15944759999999999</v>
      </c>
      <c r="R4325">
        <v>-0.17929690000000001</v>
      </c>
      <c r="S4325">
        <v>2.970154</v>
      </c>
      <c r="T4325">
        <v>-0.12173100000000001</v>
      </c>
      <c r="U4325">
        <v>-0.743927</v>
      </c>
      <c r="V4325">
        <v>-0.2096615</v>
      </c>
      <c r="W4325">
        <v>0.16991629999999899</v>
      </c>
      <c r="X4325">
        <v>0.96289689999999994</v>
      </c>
      <c r="Y4325">
        <v>-0.14813809999999999</v>
      </c>
      <c r="Z4325">
        <v>1.370645E-2</v>
      </c>
      <c r="AA4325">
        <v>0.98887170000000002</v>
      </c>
      <c r="AB4325">
        <v>20</v>
      </c>
      <c r="AC4325">
        <v>26.947099999999899</v>
      </c>
      <c r="AD4325">
        <v>-1.11575034029</v>
      </c>
      <c r="AE4325">
        <v>-6.7180799999999996</v>
      </c>
      <c r="AF4325">
        <v>-4.1449597848777699</v>
      </c>
      <c r="AG4325">
        <v>-1.11575034029</v>
      </c>
      <c r="AH4325">
        <v>27.415585405991902</v>
      </c>
      <c r="AI4325">
        <v>92.304358948691004</v>
      </c>
      <c r="AJ4325">
        <v>98.597430325407203</v>
      </c>
      <c r="AK4325">
        <v>27.749593034733799</v>
      </c>
      <c r="AL4325">
        <v>80.217047072854101</v>
      </c>
      <c r="AM4325">
        <v>102.283868255914</v>
      </c>
      <c r="AN4325">
        <v>0.99999996680877401</v>
      </c>
    </row>
    <row r="4326" spans="1:40" x14ac:dyDescent="0.25">
      <c r="A4326" t="str">
        <f>"20190304155501016"</f>
        <v>20190304155501016</v>
      </c>
      <c r="B4326" t="str">
        <f>"1551686101011671"</f>
        <v>1551686101011671</v>
      </c>
      <c r="C4326" t="s">
        <v>40</v>
      </c>
      <c r="D4326">
        <v>4.6355700000000004</v>
      </c>
      <c r="E4326">
        <v>0.51592499999999997</v>
      </c>
      <c r="F4326" t="s">
        <v>89</v>
      </c>
      <c r="G4326">
        <v>-387.6327</v>
      </c>
      <c r="H4326" s="1">
        <v>-1.2670530000000001E-6</v>
      </c>
      <c r="I4326">
        <v>18.784410000000001</v>
      </c>
      <c r="J4326">
        <v>-408.56040000000002</v>
      </c>
      <c r="K4326">
        <v>1.115634</v>
      </c>
      <c r="L4326">
        <v>23.646239999999999</v>
      </c>
      <c r="M4326">
        <v>0.9268748</v>
      </c>
      <c r="N4326">
        <v>-1.3562009999999999E-2</v>
      </c>
      <c r="O4326">
        <v>-0.3751254</v>
      </c>
      <c r="P4326">
        <v>0.97231789999999996</v>
      </c>
      <c r="Q4326">
        <v>0.15958</v>
      </c>
      <c r="R4326">
        <v>-0.17068169999999999</v>
      </c>
      <c r="S4326">
        <v>2.9873959999999999</v>
      </c>
      <c r="T4326">
        <v>-0.1578406</v>
      </c>
      <c r="U4326">
        <v>-0.69717410000000002</v>
      </c>
      <c r="V4326">
        <v>-0.2087029</v>
      </c>
      <c r="W4326">
        <v>0.17006099999999999</v>
      </c>
      <c r="X4326">
        <v>0.96307960000000004</v>
      </c>
      <c r="Y4326">
        <v>-0.15417809999999901</v>
      </c>
      <c r="Z4326">
        <v>1.8874370000000001E-2</v>
      </c>
      <c r="AA4326">
        <v>0.98786280000000004</v>
      </c>
      <c r="AB4326">
        <v>20</v>
      </c>
      <c r="AC4326">
        <v>20.927700000000002</v>
      </c>
      <c r="AD4326">
        <v>-1.1156352670530001</v>
      </c>
      <c r="AE4326">
        <v>-4.8618299999999897</v>
      </c>
      <c r="AF4326">
        <v>-3.33551824270176</v>
      </c>
      <c r="AG4326">
        <v>-1.1156352670530001</v>
      </c>
      <c r="AH4326">
        <v>21.166036095972</v>
      </c>
      <c r="AI4326">
        <v>92.980482524925094</v>
      </c>
      <c r="AJ4326">
        <v>98.955491637274804</v>
      </c>
      <c r="AK4326">
        <v>21.456267336432902</v>
      </c>
      <c r="AL4326">
        <v>80.208634059588306</v>
      </c>
      <c r="AM4326">
        <v>102.227148648599</v>
      </c>
      <c r="AN4326">
        <v>0.99999998006278401</v>
      </c>
    </row>
    <row r="4327" spans="1:40" x14ac:dyDescent="0.25">
      <c r="A4327" t="str">
        <f>"20190304155501040"</f>
        <v>20190304155501040</v>
      </c>
      <c r="B4327" t="str">
        <f>"1551686101032167"</f>
        <v>1551686101032167</v>
      </c>
      <c r="C4327" t="s">
        <v>40</v>
      </c>
      <c r="D4327">
        <v>4.5812970000000002</v>
      </c>
      <c r="E4327">
        <v>0.51580979999999998</v>
      </c>
      <c r="F4327" t="s">
        <v>89</v>
      </c>
      <c r="G4327">
        <v>-388.65100000000001</v>
      </c>
      <c r="H4327" s="1">
        <v>-7.0989919999999897E-7</v>
      </c>
      <c r="I4327">
        <v>19.21152</v>
      </c>
      <c r="J4327">
        <v>-408.35829999999999</v>
      </c>
      <c r="K4327">
        <v>1.1155299999999999</v>
      </c>
      <c r="L4327">
        <v>23.577480000000001</v>
      </c>
      <c r="M4327">
        <v>0.93066930000000003</v>
      </c>
      <c r="N4327">
        <v>-1.3505659999999999E-2</v>
      </c>
      <c r="O4327">
        <v>-0.3656122</v>
      </c>
      <c r="P4327">
        <v>0.97396490000000002</v>
      </c>
      <c r="Q4327">
        <v>0.15976670000000001</v>
      </c>
      <c r="R4327">
        <v>-0.160832</v>
      </c>
      <c r="S4327">
        <v>2.9957889999999998</v>
      </c>
      <c r="T4327">
        <v>-0.16787089999999999</v>
      </c>
      <c r="U4327">
        <v>-0.66729740000000004</v>
      </c>
      <c r="V4327">
        <v>-0.20853260000000001</v>
      </c>
      <c r="W4327">
        <v>0.17024710000000001</v>
      </c>
      <c r="X4327">
        <v>0.96308360000000004</v>
      </c>
      <c r="Y4327">
        <v>-0.15396969999999999</v>
      </c>
      <c r="Z4327">
        <v>1.995984E-2</v>
      </c>
      <c r="AA4327">
        <v>0.98787400000000003</v>
      </c>
      <c r="AB4327">
        <v>20</v>
      </c>
      <c r="AC4327">
        <v>19.707299999999901</v>
      </c>
      <c r="AD4327">
        <v>-1.1155307098992</v>
      </c>
      <c r="AE4327">
        <v>-4.3659599999999896</v>
      </c>
      <c r="AF4327">
        <v>-3.1326830165578801</v>
      </c>
      <c r="AG4327">
        <v>-1.1155307098992</v>
      </c>
      <c r="AH4327">
        <v>19.8783328132501</v>
      </c>
      <c r="AI4327">
        <v>93.172874300104098</v>
      </c>
      <c r="AJ4327">
        <v>98.955749427990199</v>
      </c>
      <c r="AK4327">
        <v>20.154558469023701</v>
      </c>
      <c r="AL4327">
        <v>80.197813428944201</v>
      </c>
      <c r="AM4327">
        <v>102.217421985031</v>
      </c>
      <c r="AN4327">
        <v>0.99999997045506395</v>
      </c>
    </row>
    <row r="4328" spans="1:40" x14ac:dyDescent="0.25">
      <c r="A4328" t="str">
        <f>"20190304155501063"</f>
        <v>20190304155501063</v>
      </c>
      <c r="B4328" t="str">
        <f>"1551686101051687"</f>
        <v>1551686101051687</v>
      </c>
      <c r="C4328" t="s">
        <v>40</v>
      </c>
      <c r="D4328">
        <v>4.5916459999999999</v>
      </c>
      <c r="E4328">
        <v>0.51594640000000003</v>
      </c>
      <c r="F4328" t="s">
        <v>89</v>
      </c>
      <c r="G4328">
        <v>-388.64909999999998</v>
      </c>
      <c r="H4328" s="1">
        <v>-6.7767409999999995E-7</v>
      </c>
      <c r="I4328">
        <v>19.398289999999999</v>
      </c>
      <c r="J4328">
        <v>-408.16919999999999</v>
      </c>
      <c r="K4328">
        <v>1.1154219999999999</v>
      </c>
      <c r="L4328">
        <v>23.515080000000001</v>
      </c>
      <c r="M4328">
        <v>0.93405139999999998</v>
      </c>
      <c r="N4328">
        <v>-1.34565E-2</v>
      </c>
      <c r="O4328">
        <v>-0.35688550000000002</v>
      </c>
      <c r="P4328">
        <v>0.97532660000000004</v>
      </c>
      <c r="Q4328">
        <v>0.15988139999999901</v>
      </c>
      <c r="R4328">
        <v>-0.15223809999999999</v>
      </c>
      <c r="S4328">
        <v>3.0029300000000001</v>
      </c>
      <c r="T4328">
        <v>-0.16996429999999901</v>
      </c>
      <c r="U4328">
        <v>-0.63674929999999996</v>
      </c>
      <c r="V4328">
        <v>-0.2079598</v>
      </c>
      <c r="W4328">
        <v>0.1703749</v>
      </c>
      <c r="X4328">
        <v>0.96318490000000001</v>
      </c>
      <c r="Y4328">
        <v>-0.15480629999999901</v>
      </c>
      <c r="Z4328">
        <v>1.9948380000000002E-2</v>
      </c>
      <c r="AA4328">
        <v>0.98774340000000005</v>
      </c>
      <c r="AB4328">
        <v>20</v>
      </c>
      <c r="AC4328">
        <v>19.520099999999999</v>
      </c>
      <c r="AD4328">
        <v>-1.1154226776741001</v>
      </c>
      <c r="AE4328">
        <v>-4.1167899999999902</v>
      </c>
      <c r="AF4328">
        <v>-3.1117014870733</v>
      </c>
      <c r="AG4328">
        <v>-1.1154226776741001</v>
      </c>
      <c r="AH4328">
        <v>19.6423741521265</v>
      </c>
      <c r="AI4328">
        <v>93.210192201756996</v>
      </c>
      <c r="AJ4328">
        <v>99.001863978711995</v>
      </c>
      <c r="AK4328">
        <v>19.9185771637095</v>
      </c>
      <c r="AL4328">
        <v>80.190382938136594</v>
      </c>
      <c r="AM4328">
        <v>102.18362384056201</v>
      </c>
      <c r="AN4328">
        <v>1.0000000182770299</v>
      </c>
    </row>
    <row r="4329" spans="1:40" x14ac:dyDescent="0.25">
      <c r="A4329" t="str">
        <f>"20190304155501083"</f>
        <v>20190304155501083</v>
      </c>
      <c r="B4329" t="str">
        <f>"1551686101072186"</f>
        <v>1551686101072186</v>
      </c>
      <c r="C4329" t="s">
        <v>40</v>
      </c>
      <c r="D4329">
        <v>4.5551789999999999</v>
      </c>
      <c r="E4329">
        <v>0.51649460000000003</v>
      </c>
      <c r="F4329" t="s">
        <v>89</v>
      </c>
      <c r="G4329">
        <v>-388.43689999999998</v>
      </c>
      <c r="H4329" s="1">
        <v>-7.5933429999999999E-7</v>
      </c>
      <c r="I4329">
        <v>19.503640000000001</v>
      </c>
      <c r="J4329">
        <v>-407.99040000000002</v>
      </c>
      <c r="K4329">
        <v>1.1153109999999999</v>
      </c>
      <c r="L4329">
        <v>23.457730000000002</v>
      </c>
      <c r="M4329">
        <v>0.93709640000000005</v>
      </c>
      <c r="N4329">
        <v>-1.3410200000000001E-2</v>
      </c>
      <c r="O4329">
        <v>-0.34881299999999998</v>
      </c>
      <c r="P4329">
        <v>0.97661580000000003</v>
      </c>
      <c r="Q4329">
        <v>0.15906719999999999</v>
      </c>
      <c r="R4329">
        <v>-0.14463389999999901</v>
      </c>
      <c r="S4329">
        <v>3.0083310000000001</v>
      </c>
      <c r="T4329">
        <v>-0.17005419999999999</v>
      </c>
      <c r="U4329">
        <v>-0.61157229999999996</v>
      </c>
      <c r="V4329">
        <v>-0.20714389999999999</v>
      </c>
      <c r="W4329">
        <v>0.1695836</v>
      </c>
      <c r="X4329">
        <v>0.96350029999999998</v>
      </c>
      <c r="Y4329">
        <v>-0.1545734</v>
      </c>
      <c r="Z4329">
        <v>1.9642900000000001E-2</v>
      </c>
      <c r="AA4329">
        <v>0.98778600000000005</v>
      </c>
      <c r="AB4329">
        <v>20</v>
      </c>
      <c r="AC4329">
        <v>19.5535</v>
      </c>
      <c r="AD4329">
        <v>-1.1153117593343</v>
      </c>
      <c r="AE4329">
        <v>-3.9540899999999901</v>
      </c>
      <c r="AF4329">
        <v>-3.1057242780026</v>
      </c>
      <c r="AG4329">
        <v>-1.1153117593343</v>
      </c>
      <c r="AH4329">
        <v>19.643127086374399</v>
      </c>
      <c r="AI4329">
        <v>93.209904355030105</v>
      </c>
      <c r="AJ4329">
        <v>98.984516040313295</v>
      </c>
      <c r="AK4329">
        <v>19.918380590372799</v>
      </c>
      <c r="AL4329">
        <v>80.236390531369693</v>
      </c>
      <c r="AM4329">
        <v>102.13338768905101</v>
      </c>
      <c r="AN4329">
        <v>1.0000000103981299</v>
      </c>
    </row>
    <row r="4330" spans="1:40" x14ac:dyDescent="0.25">
      <c r="A4330" t="str">
        <f>"20190304155501105"</f>
        <v>20190304155501105</v>
      </c>
      <c r="B4330" t="str">
        <f>"1551686101101462"</f>
        <v>1551686101101462</v>
      </c>
      <c r="C4330" t="s">
        <v>40</v>
      </c>
      <c r="D4330">
        <v>4.5472789999999996</v>
      </c>
      <c r="E4330">
        <v>0.51731099999999997</v>
      </c>
      <c r="F4330" t="s">
        <v>89</v>
      </c>
      <c r="G4330">
        <v>-388.57380000000001</v>
      </c>
      <c r="H4330" s="1">
        <v>-6.7969959999999996E-7</v>
      </c>
      <c r="I4330">
        <v>19.635400000000001</v>
      </c>
      <c r="J4330">
        <v>-407.80759999999998</v>
      </c>
      <c r="K4330">
        <v>1.1152029999999999</v>
      </c>
      <c r="L4330">
        <v>23.400670000000002</v>
      </c>
      <c r="M4330">
        <v>0.94007759999999996</v>
      </c>
      <c r="N4330">
        <v>-1.33639E-2</v>
      </c>
      <c r="O4330">
        <v>-0.34069880000000002</v>
      </c>
      <c r="P4330">
        <v>0.97781530000000005</v>
      </c>
      <c r="Q4330">
        <v>0.15903129999999999</v>
      </c>
      <c r="R4330">
        <v>-0.13633239999999999</v>
      </c>
      <c r="S4330">
        <v>3.012238</v>
      </c>
      <c r="T4330">
        <v>-0.17302619999999999</v>
      </c>
      <c r="U4330">
        <v>-0.59298709999999999</v>
      </c>
      <c r="V4330">
        <v>-0.2069559</v>
      </c>
      <c r="W4330">
        <v>0.16955919999999999</v>
      </c>
      <c r="X4330">
        <v>0.96354499999999998</v>
      </c>
      <c r="Y4330">
        <v>-0.1521306</v>
      </c>
      <c r="Z4330">
        <v>1.96478E-2</v>
      </c>
      <c r="AA4330">
        <v>0.98816510000000002</v>
      </c>
      <c r="AB4330">
        <v>20</v>
      </c>
      <c r="AC4330">
        <v>19.233799999999899</v>
      </c>
      <c r="AD4330">
        <v>-1.1152036796996001</v>
      </c>
      <c r="AE4330">
        <v>-3.7652700000000001</v>
      </c>
      <c r="AF4330">
        <v>-3.0038297646743302</v>
      </c>
      <c r="AG4330">
        <v>-1.1152036796996001</v>
      </c>
      <c r="AH4330">
        <v>19.30331570365</v>
      </c>
      <c r="AI4330">
        <v>93.2672188720625</v>
      </c>
      <c r="AJ4330">
        <v>98.844978534580093</v>
      </c>
      <c r="AK4330">
        <v>19.567439016313301</v>
      </c>
      <c r="AL4330">
        <v>80.237809156567707</v>
      </c>
      <c r="AM4330">
        <v>102.12215575426499</v>
      </c>
      <c r="AN4330">
        <v>1.0000000169372201</v>
      </c>
    </row>
    <row r="4331" spans="1:40" x14ac:dyDescent="0.25">
      <c r="A4331" t="str">
        <f>"20190304155501127"</f>
        <v>20190304155501127</v>
      </c>
      <c r="B4331" t="str">
        <f>"1551686101121958"</f>
        <v>1551686101121958</v>
      </c>
      <c r="C4331" t="s">
        <v>40</v>
      </c>
      <c r="D4331">
        <v>4.5252869999999996</v>
      </c>
      <c r="E4331">
        <v>0.51821209999999995</v>
      </c>
      <c r="F4331" t="s">
        <v>89</v>
      </c>
      <c r="G4331">
        <v>-388.25740000000002</v>
      </c>
      <c r="H4331" s="1">
        <v>-8.3971639999999997E-7</v>
      </c>
      <c r="I4331">
        <v>19.674630000000001</v>
      </c>
      <c r="J4331">
        <v>-407.61880000000002</v>
      </c>
      <c r="K4331">
        <v>1.1150910000000001</v>
      </c>
      <c r="L4331">
        <v>23.34329</v>
      </c>
      <c r="M4331">
        <v>0.94302039999999998</v>
      </c>
      <c r="N4331">
        <v>-1.331924E-2</v>
      </c>
      <c r="O4331">
        <v>-0.33246870000000001</v>
      </c>
      <c r="P4331">
        <v>0.97898470000000004</v>
      </c>
      <c r="Q4331">
        <v>0.15859479999999901</v>
      </c>
      <c r="R4331">
        <v>-0.12820699999999999</v>
      </c>
      <c r="S4331">
        <v>3.01593</v>
      </c>
      <c r="T4331">
        <v>-0.17203740000000001</v>
      </c>
      <c r="U4331">
        <v>-0.57479859999999905</v>
      </c>
      <c r="V4331">
        <v>-0.20650879999999999</v>
      </c>
      <c r="W4331">
        <v>0.1691395</v>
      </c>
      <c r="X4331">
        <v>0.96371470000000004</v>
      </c>
      <c r="Y4331">
        <v>-0.14948339999999999</v>
      </c>
      <c r="Z4331">
        <v>1.9102330000000001E-2</v>
      </c>
      <c r="AA4331">
        <v>0.98857969999999895</v>
      </c>
      <c r="AB4331">
        <v>20</v>
      </c>
      <c r="AC4331">
        <v>19.3614</v>
      </c>
      <c r="AD4331">
        <v>-1.11509183971639</v>
      </c>
      <c r="AE4331">
        <v>-3.6686599999999898</v>
      </c>
      <c r="AF4331">
        <v>-2.96819761653162</v>
      </c>
      <c r="AG4331">
        <v>-1.11509183971639</v>
      </c>
      <c r="AH4331">
        <v>19.417458979703198</v>
      </c>
      <c r="AI4331">
        <v>93.249071930598703</v>
      </c>
      <c r="AJ4331">
        <v>98.691087340650199</v>
      </c>
      <c r="AK4331">
        <v>19.674636975818402</v>
      </c>
      <c r="AL4331">
        <v>80.262208835363495</v>
      </c>
      <c r="AM4331">
        <v>102.094672218629</v>
      </c>
      <c r="AN4331">
        <v>1.0000000389668799</v>
      </c>
    </row>
    <row r="4332" spans="1:40" x14ac:dyDescent="0.25">
      <c r="A4332" t="str">
        <f>"20190304155501150"</f>
        <v>20190304155501150</v>
      </c>
      <c r="B4332" t="str">
        <f>"1551686101141479"</f>
        <v>1551686101141479</v>
      </c>
      <c r="C4332" t="s">
        <v>40</v>
      </c>
      <c r="D4332">
        <v>4.7128839999999999</v>
      </c>
      <c r="E4332">
        <v>0.51901039999999998</v>
      </c>
      <c r="F4332" t="s">
        <v>89</v>
      </c>
      <c r="G4332">
        <v>-388.16419999999999</v>
      </c>
      <c r="H4332" s="1">
        <v>-9.0452780000000003E-7</v>
      </c>
      <c r="I4332">
        <v>19.752690000000001</v>
      </c>
      <c r="J4332">
        <v>-407.42950000000002</v>
      </c>
      <c r="K4332">
        <v>1.1149789999999999</v>
      </c>
      <c r="L4332">
        <v>23.287320000000001</v>
      </c>
      <c r="M4332">
        <v>0.94583479999999998</v>
      </c>
      <c r="N4332">
        <v>-1.3277499999999999E-2</v>
      </c>
      <c r="O4332">
        <v>-0.32437719999999998</v>
      </c>
      <c r="P4332">
        <v>0.98004539999999996</v>
      </c>
      <c r="Q4332">
        <v>0.1580136</v>
      </c>
      <c r="R4332">
        <v>-0.1205946</v>
      </c>
      <c r="S4332">
        <v>3.0194700000000001</v>
      </c>
      <c r="T4332">
        <v>-0.17306839999999901</v>
      </c>
      <c r="U4332">
        <v>-0.55728149999999999</v>
      </c>
      <c r="V4332">
        <v>-0.20572029999999999</v>
      </c>
      <c r="W4332">
        <v>0.16858299999999901</v>
      </c>
      <c r="X4332">
        <v>0.96398079999999997</v>
      </c>
      <c r="Y4332">
        <v>-0.14676939999999999</v>
      </c>
      <c r="Z4332">
        <v>1.8822160000000001E-2</v>
      </c>
      <c r="AA4332">
        <v>0.98899170000000003</v>
      </c>
      <c r="AB4332">
        <v>20</v>
      </c>
      <c r="AC4332">
        <v>19.2653</v>
      </c>
      <c r="AD4332">
        <v>-1.1149799045277999</v>
      </c>
      <c r="AE4332">
        <v>-3.5346299999999999</v>
      </c>
      <c r="AF4332">
        <v>-2.8969164383417398</v>
      </c>
      <c r="AG4332">
        <v>-1.1149799045277999</v>
      </c>
      <c r="AH4332">
        <v>19.307484078756499</v>
      </c>
      <c r="AI4332">
        <v>93.268573293917996</v>
      </c>
      <c r="AJ4332">
        <v>98.533069472782401</v>
      </c>
      <c r="AK4332">
        <v>19.555414761381801</v>
      </c>
      <c r="AL4332">
        <v>80.294558357543295</v>
      </c>
      <c r="AM4332">
        <v>102.04661494938</v>
      </c>
      <c r="AN4332">
        <v>1.0000000262448601</v>
      </c>
    </row>
    <row r="4333" spans="1:40" x14ac:dyDescent="0.25">
      <c r="A4333" t="str">
        <f>"20190304155501172"</f>
        <v>20190304155501172</v>
      </c>
      <c r="B4333" t="str">
        <f>"1551686101161978"</f>
        <v>1551686101161978</v>
      </c>
      <c r="C4333" t="s">
        <v>40</v>
      </c>
      <c r="D4333">
        <v>4.520861</v>
      </c>
      <c r="E4333">
        <v>0.53317990000000004</v>
      </c>
      <c r="F4333" t="s">
        <v>89</v>
      </c>
      <c r="G4333">
        <v>-387.9923</v>
      </c>
      <c r="H4333" s="1">
        <v>-1.0022149999999999E-6</v>
      </c>
      <c r="I4333">
        <v>19.814489999999999</v>
      </c>
      <c r="J4333">
        <v>-407.23590000000002</v>
      </c>
      <c r="K4333">
        <v>1.114859</v>
      </c>
      <c r="L4333">
        <v>23.231660000000002</v>
      </c>
      <c r="M4333">
        <v>0.94856759999999996</v>
      </c>
      <c r="N4333">
        <v>-1.323626E-2</v>
      </c>
      <c r="O4333">
        <v>-0.31629829999999998</v>
      </c>
      <c r="P4333">
        <v>0.98100160000000003</v>
      </c>
      <c r="Q4333">
        <v>0.15735550000000001</v>
      </c>
      <c r="R4333">
        <v>-0.1134696</v>
      </c>
      <c r="S4333">
        <v>3.0225520000000001</v>
      </c>
      <c r="T4333">
        <v>-0.1733835</v>
      </c>
      <c r="U4333">
        <v>-0.54003909999999999</v>
      </c>
      <c r="V4333">
        <v>-0.20448</v>
      </c>
      <c r="W4333">
        <v>0.16795879999999999</v>
      </c>
      <c r="X4333">
        <v>0.96435360000000003</v>
      </c>
      <c r="Y4333">
        <v>-0.14398359999999999</v>
      </c>
      <c r="Z4333">
        <v>1.8444970000000002E-2</v>
      </c>
      <c r="AA4333">
        <v>0.98940810000000001</v>
      </c>
      <c r="AB4333">
        <v>20</v>
      </c>
      <c r="AC4333">
        <v>19.243600000000001</v>
      </c>
      <c r="AD4333">
        <v>-1.1148600022149999</v>
      </c>
      <c r="AE4333">
        <v>-3.41717</v>
      </c>
      <c r="AF4333">
        <v>-2.8363213663473701</v>
      </c>
      <c r="AG4333">
        <v>-1.1148600022149999</v>
      </c>
      <c r="AH4333">
        <v>19.2736796490011</v>
      </c>
      <c r="AI4333">
        <v>93.275310835721498</v>
      </c>
      <c r="AJ4333">
        <v>98.371579718244803</v>
      </c>
      <c r="AK4333">
        <v>19.513132986018899</v>
      </c>
      <c r="AL4333">
        <v>80.330839932650406</v>
      </c>
      <c r="AM4333">
        <v>101.971592203424</v>
      </c>
      <c r="AN4333">
        <v>1.00000004736519</v>
      </c>
    </row>
    <row r="4334" spans="1:40" x14ac:dyDescent="0.25">
      <c r="A4334" t="str">
        <f>"20190304155501195"</f>
        <v>20190304155501195</v>
      </c>
      <c r="B4334" t="str">
        <f>"1551686101192230"</f>
        <v>1551686101192230</v>
      </c>
      <c r="C4334" t="s">
        <v>40</v>
      </c>
      <c r="D4334">
        <v>4.4623879999999998</v>
      </c>
      <c r="E4334">
        <v>0.53558779999999995</v>
      </c>
      <c r="F4334" t="s">
        <v>89</v>
      </c>
      <c r="G4334">
        <v>-385.86099999999999</v>
      </c>
      <c r="H4334" s="1">
        <v>-2.108462E-6</v>
      </c>
      <c r="I4334">
        <v>18.76219</v>
      </c>
      <c r="J4334">
        <v>-407.04750000000001</v>
      </c>
      <c r="K4334">
        <v>1.114738</v>
      </c>
      <c r="L4334">
        <v>23.17896</v>
      </c>
      <c r="M4334">
        <v>0.95109449999999995</v>
      </c>
      <c r="N4334">
        <v>-1.319641E-2</v>
      </c>
      <c r="O4334">
        <v>-0.30861840000000001</v>
      </c>
      <c r="P4334">
        <v>0.98185279999999997</v>
      </c>
      <c r="Q4334">
        <v>0.15669179999999999</v>
      </c>
      <c r="R4334">
        <v>-0.106831</v>
      </c>
      <c r="S4334">
        <v>3.0104679999999999</v>
      </c>
      <c r="T4334">
        <v>-0.15701870000000001</v>
      </c>
      <c r="U4334">
        <v>-0.62948609999999905</v>
      </c>
      <c r="V4334">
        <v>-0.203181</v>
      </c>
      <c r="W4334">
        <v>0.16733310000000001</v>
      </c>
      <c r="X4334">
        <v>0.96473679999999995</v>
      </c>
      <c r="Y4334">
        <v>-0.10704959999999999</v>
      </c>
      <c r="Z4334">
        <v>1.4953579999999999E-2</v>
      </c>
      <c r="AA4334">
        <v>0.99414119999999995</v>
      </c>
      <c r="AB4334">
        <v>20</v>
      </c>
      <c r="AC4334">
        <v>21.186499999999999</v>
      </c>
      <c r="AD4334">
        <v>-1.1147401084619999</v>
      </c>
      <c r="AE4334">
        <v>-4.4167699999999996</v>
      </c>
      <c r="AF4334">
        <v>-2.3317949386753698</v>
      </c>
      <c r="AG4334">
        <v>-1.1147401084619999</v>
      </c>
      <c r="AH4334">
        <v>21.4584001390939</v>
      </c>
      <c r="AI4334">
        <v>92.956406437542299</v>
      </c>
      <c r="AJ4334">
        <v>96.201759366958598</v>
      </c>
      <c r="AK4334">
        <v>21.613487679569701</v>
      </c>
      <c r="AL4334">
        <v>80.367203993947896</v>
      </c>
      <c r="AM4334">
        <v>101.893123122407</v>
      </c>
      <c r="AN4334">
        <v>0.99999998919542399</v>
      </c>
    </row>
    <row r="4335" spans="1:40" x14ac:dyDescent="0.25">
      <c r="A4335" t="str">
        <f>"20190304155501216"</f>
        <v>20190304155501216</v>
      </c>
      <c r="B4335" t="str">
        <f>"1551686101211751"</f>
        <v>1551686101211751</v>
      </c>
      <c r="C4335" t="s">
        <v>40</v>
      </c>
      <c r="D4335">
        <v>4.629683</v>
      </c>
      <c r="E4335">
        <v>0.53647539999999905</v>
      </c>
      <c r="F4335" t="s">
        <v>89</v>
      </c>
      <c r="G4335">
        <v>-384.67079999999999</v>
      </c>
      <c r="H4335" s="1">
        <v>-2.715526E-6</v>
      </c>
      <c r="I4335">
        <v>18.511749999999999</v>
      </c>
      <c r="J4335">
        <v>-406.8605</v>
      </c>
      <c r="K4335">
        <v>1.1146130000000001</v>
      </c>
      <c r="L4335">
        <v>23.128019999999999</v>
      </c>
      <c r="M4335">
        <v>0.95347570000000004</v>
      </c>
      <c r="N4335">
        <v>-1.315765E-2</v>
      </c>
      <c r="O4335">
        <v>-0.30118270000000003</v>
      </c>
      <c r="P4335">
        <v>0.98253869999999999</v>
      </c>
      <c r="Q4335">
        <v>0.15651409999999999</v>
      </c>
      <c r="R4335">
        <v>-0.10060429999999999</v>
      </c>
      <c r="S4335">
        <v>3.0110169999999998</v>
      </c>
      <c r="T4335">
        <v>-0.14999989999999999</v>
      </c>
      <c r="U4335">
        <v>-0.62802119999999995</v>
      </c>
      <c r="V4335">
        <v>-0.2017176</v>
      </c>
      <c r="W4335">
        <v>0.16719629999999999</v>
      </c>
      <c r="X4335">
        <v>0.96506760000000003</v>
      </c>
      <c r="Y4335">
        <v>-9.9835919999999995E-2</v>
      </c>
      <c r="Z4335">
        <v>1.367146E-2</v>
      </c>
      <c r="AA4335">
        <v>0.99490999999999996</v>
      </c>
      <c r="AB4335">
        <v>20</v>
      </c>
      <c r="AC4335">
        <v>22.189699999999998</v>
      </c>
      <c r="AD4335">
        <v>-1.1146157155259999</v>
      </c>
      <c r="AE4335">
        <v>-4.6162700000000001</v>
      </c>
      <c r="AF4335">
        <v>-2.2763446081249801</v>
      </c>
      <c r="AG4335">
        <v>-1.1146157155259999</v>
      </c>
      <c r="AH4335">
        <v>22.495227019991098</v>
      </c>
      <c r="AI4335">
        <v>92.822238537471094</v>
      </c>
      <c r="AJ4335">
        <v>95.778224641879504</v>
      </c>
      <c r="AK4335">
        <v>22.637565055658602</v>
      </c>
      <c r="AL4335">
        <v>80.375154479938999</v>
      </c>
      <c r="AM4335">
        <v>101.805943091169</v>
      </c>
      <c r="AN4335">
        <v>1.0000000327266001</v>
      </c>
    </row>
    <row r="4336" spans="1:40" x14ac:dyDescent="0.25">
      <c r="A4336" t="str">
        <f>"20190304155501241"</f>
        <v>20190304155501241</v>
      </c>
      <c r="B4336" t="str">
        <f>"1551686101232247"</f>
        <v>1551686101232247</v>
      </c>
      <c r="C4336" t="s">
        <v>40</v>
      </c>
      <c r="D4336">
        <v>4.441287</v>
      </c>
      <c r="E4336">
        <v>0.53811339999999996</v>
      </c>
      <c r="F4336" t="s">
        <v>89</v>
      </c>
      <c r="G4336">
        <v>-384.06509999999997</v>
      </c>
      <c r="H4336" s="1">
        <v>-3.0097830000000001E-6</v>
      </c>
      <c r="I4336">
        <v>18.46687</v>
      </c>
      <c r="J4336">
        <v>-406.65629999999999</v>
      </c>
      <c r="K4336">
        <v>1.1144700000000001</v>
      </c>
      <c r="L4336">
        <v>23.073820000000001</v>
      </c>
      <c r="M4336">
        <v>0.95594009999999996</v>
      </c>
      <c r="N4336">
        <v>-1.311731E-2</v>
      </c>
      <c r="O4336">
        <v>-0.2932689</v>
      </c>
      <c r="P4336">
        <v>0.98312330000000003</v>
      </c>
      <c r="Q4336">
        <v>0.1564035</v>
      </c>
      <c r="R4336">
        <v>-9.4904150000000007E-2</v>
      </c>
      <c r="S4336">
        <v>3.0137330000000002</v>
      </c>
      <c r="T4336">
        <v>-0.147361299999999</v>
      </c>
      <c r="U4336">
        <v>-0.6162415</v>
      </c>
      <c r="V4336">
        <v>-0.1992582</v>
      </c>
      <c r="W4336">
        <v>0.16714319999999999</v>
      </c>
      <c r="X4336">
        <v>0.96558759999999999</v>
      </c>
      <c r="Y4336">
        <v>-9.551983E-2</v>
      </c>
      <c r="Z4336">
        <v>1.298701E-2</v>
      </c>
      <c r="AA4336">
        <v>0.99534279999999997</v>
      </c>
      <c r="AB4336">
        <v>20</v>
      </c>
      <c r="AC4336">
        <v>22.591200000000001</v>
      </c>
      <c r="AD4336">
        <v>-1.114473009783</v>
      </c>
      <c r="AE4336">
        <v>-4.6069500000000003</v>
      </c>
      <c r="AF4336">
        <v>-2.2163405784811299</v>
      </c>
      <c r="AG4336">
        <v>-1.114473009783</v>
      </c>
      <c r="AH4336">
        <v>22.8953864151927</v>
      </c>
      <c r="AI4336">
        <v>92.773826927402993</v>
      </c>
      <c r="AJ4336">
        <v>95.529171571117601</v>
      </c>
      <c r="AK4336">
        <v>23.0293928437193</v>
      </c>
      <c r="AL4336">
        <v>80.378240442163005</v>
      </c>
      <c r="AM4336">
        <v>101.65985980809801</v>
      </c>
      <c r="AN4336">
        <v>1.0000000464236101</v>
      </c>
    </row>
    <row r="4337" spans="1:40" x14ac:dyDescent="0.25">
      <c r="A4337" t="str">
        <f>"20190304155501264"</f>
        <v>20190304155501264</v>
      </c>
      <c r="B4337" t="str">
        <f>"1551686101251768"</f>
        <v>1551686101251768</v>
      </c>
      <c r="C4337" t="s">
        <v>40</v>
      </c>
      <c r="D4337">
        <v>4.4206440000000002</v>
      </c>
      <c r="E4337">
        <v>0.55047389999999996</v>
      </c>
      <c r="F4337" t="s">
        <v>89</v>
      </c>
      <c r="G4337">
        <v>-383.64449999999999</v>
      </c>
      <c r="H4337" s="1">
        <v>-3.2198390000000001E-6</v>
      </c>
      <c r="I4337">
        <v>18.403510000000001</v>
      </c>
      <c r="J4337">
        <v>-406.45670000000001</v>
      </c>
      <c r="K4337">
        <v>1.1143430000000001</v>
      </c>
      <c r="L4337">
        <v>23.022400000000001</v>
      </c>
      <c r="M4337">
        <v>0.9582138</v>
      </c>
      <c r="N4337">
        <v>-1.308031E-2</v>
      </c>
      <c r="O4337">
        <v>-0.2857538</v>
      </c>
      <c r="P4337">
        <v>0.98353029999999997</v>
      </c>
      <c r="Q4337">
        <v>0.15701979999999999</v>
      </c>
      <c r="R4337">
        <v>-8.9515739999999996E-2</v>
      </c>
      <c r="S4337">
        <v>3.015625</v>
      </c>
      <c r="T4337">
        <v>-0.14604829999999999</v>
      </c>
      <c r="U4337">
        <v>-0.61202999999999996</v>
      </c>
      <c r="V4337">
        <v>-0.1968877</v>
      </c>
      <c r="W4337">
        <v>0.16781170000000001</v>
      </c>
      <c r="X4337">
        <v>0.96595779999999998</v>
      </c>
      <c r="Y4337">
        <v>-8.9178069999999998E-2</v>
      </c>
      <c r="Z4337">
        <v>1.2409679999999999E-2</v>
      </c>
      <c r="AA4337">
        <v>0.9959384</v>
      </c>
      <c r="AB4337">
        <v>20</v>
      </c>
      <c r="AC4337">
        <v>22.812200000000001</v>
      </c>
      <c r="AD4337">
        <v>-1.114346219839</v>
      </c>
      <c r="AE4337">
        <v>-4.6188900000000004</v>
      </c>
      <c r="AF4337">
        <v>-2.08818115967247</v>
      </c>
      <c r="AG4337">
        <v>-1.114346219839</v>
      </c>
      <c r="AH4337">
        <v>23.127799102427101</v>
      </c>
      <c r="AI4337">
        <v>92.747340091542497</v>
      </c>
      <c r="AJ4337">
        <v>95.159178034500897</v>
      </c>
      <c r="AK4337">
        <v>23.248599084149301</v>
      </c>
      <c r="AL4337">
        <v>80.339389048899307</v>
      </c>
      <c r="AM4337">
        <v>101.520580861581</v>
      </c>
      <c r="AN4337">
        <v>1.0000000022245099</v>
      </c>
    </row>
    <row r="4338" spans="1:40" x14ac:dyDescent="0.25">
      <c r="A4338" t="str">
        <f>"20190304155501284"</f>
        <v>20190304155501284</v>
      </c>
      <c r="B4338" t="str">
        <f>"1551686101282023"</f>
        <v>1551686101282023</v>
      </c>
      <c r="C4338" t="s">
        <v>40</v>
      </c>
      <c r="D4338">
        <v>4.4152930000000001</v>
      </c>
      <c r="E4338">
        <v>0.55160640000000005</v>
      </c>
      <c r="F4338" t="s">
        <v>89</v>
      </c>
      <c r="G4338">
        <v>-383.61649999999997</v>
      </c>
      <c r="H4338" s="1">
        <v>-3.3472700000000001E-6</v>
      </c>
      <c r="I4338">
        <v>17.759689999999999</v>
      </c>
      <c r="J4338">
        <v>-406.28039999999999</v>
      </c>
      <c r="K4338">
        <v>1.1142369999999999</v>
      </c>
      <c r="L4338">
        <v>22.978149999999999</v>
      </c>
      <c r="M4338">
        <v>0.96012010000000003</v>
      </c>
      <c r="N4338">
        <v>-1.3049379999999999E-2</v>
      </c>
      <c r="O4338">
        <v>-0.27928350000000002</v>
      </c>
      <c r="P4338">
        <v>0.9839194</v>
      </c>
      <c r="Q4338">
        <v>0.1571622</v>
      </c>
      <c r="R4338">
        <v>-8.4870249999999994E-2</v>
      </c>
      <c r="S4338">
        <v>3.0104980000000001</v>
      </c>
      <c r="T4338">
        <v>-0.14687919999999999</v>
      </c>
      <c r="U4338">
        <v>-0.69366459999999996</v>
      </c>
      <c r="V4338">
        <v>-0.19488159999999999</v>
      </c>
      <c r="W4338">
        <v>0.16799549999999999</v>
      </c>
      <c r="X4338">
        <v>0.96633259999999999</v>
      </c>
      <c r="Y4338">
        <v>-5.6340800000000003E-2</v>
      </c>
      <c r="Z4338">
        <v>1.126682E-2</v>
      </c>
      <c r="AA4338">
        <v>0.99834800000000001</v>
      </c>
      <c r="AB4338">
        <v>20</v>
      </c>
      <c r="AC4338">
        <v>22.663900000000002</v>
      </c>
      <c r="AD4338">
        <v>-1.11424034727</v>
      </c>
      <c r="AE4338">
        <v>-5.2184599999999897</v>
      </c>
      <c r="AF4338">
        <v>-1.3163955955893101</v>
      </c>
      <c r="AG4338">
        <v>-1.11424034727</v>
      </c>
      <c r="AH4338">
        <v>23.166295576858801</v>
      </c>
      <c r="AI4338">
        <v>92.749232131873995</v>
      </c>
      <c r="AJ4338">
        <v>93.252263131908606</v>
      </c>
      <c r="AK4338">
        <v>23.2304042080623</v>
      </c>
      <c r="AL4338">
        <v>80.328706503185302</v>
      </c>
      <c r="AM4338">
        <v>101.401980983808</v>
      </c>
      <c r="AN4338">
        <v>1.00000000993078</v>
      </c>
    </row>
    <row r="4339" spans="1:40" x14ac:dyDescent="0.25">
      <c r="A4339" t="str">
        <f>"20190304155501308"</f>
        <v>20190304155501308</v>
      </c>
      <c r="B4339" t="str">
        <f>"1551686101301543"</f>
        <v>1551686101301543</v>
      </c>
      <c r="C4339" t="s">
        <v>40</v>
      </c>
      <c r="D4339">
        <v>4.4215739999999997</v>
      </c>
      <c r="E4339">
        <v>0.55346859999999998</v>
      </c>
      <c r="F4339" t="s">
        <v>89</v>
      </c>
      <c r="G4339">
        <v>-380.79719999999998</v>
      </c>
      <c r="H4339" s="1">
        <v>-4.7882909999999999E-6</v>
      </c>
      <c r="I4339">
        <v>17.14911</v>
      </c>
      <c r="J4339">
        <v>-406.08179999999999</v>
      </c>
      <c r="K4339">
        <v>1.1141490000000001</v>
      </c>
      <c r="L4339">
        <v>22.929659999999998</v>
      </c>
      <c r="M4339">
        <v>0.96216740000000001</v>
      </c>
      <c r="N4339">
        <v>-1.3017569999999999E-2</v>
      </c>
      <c r="O4339">
        <v>-0.272148</v>
      </c>
      <c r="P4339">
        <v>0.9844157</v>
      </c>
      <c r="Q4339">
        <v>0.1564836</v>
      </c>
      <c r="R4339">
        <v>-8.0240499999999895E-2</v>
      </c>
      <c r="S4339">
        <v>3.0106510000000002</v>
      </c>
      <c r="T4339">
        <v>-0.1316397</v>
      </c>
      <c r="U4339">
        <v>-0.68865969999999999</v>
      </c>
      <c r="V4339">
        <v>-0.1922335</v>
      </c>
      <c r="W4339">
        <v>0.1673608</v>
      </c>
      <c r="X4339">
        <v>0.96697290000000002</v>
      </c>
      <c r="Y4339">
        <v>-5.058087E-2</v>
      </c>
      <c r="Z4339">
        <v>9.4073790000000004E-3</v>
      </c>
      <c r="AA4339">
        <v>0.9986756</v>
      </c>
      <c r="AB4339">
        <v>20</v>
      </c>
      <c r="AC4339">
        <v>25.284600000000001</v>
      </c>
      <c r="AD4339">
        <v>-1.114153788291</v>
      </c>
      <c r="AE4339">
        <v>-5.7805499999999999</v>
      </c>
      <c r="AF4339">
        <v>-1.3169781520433399</v>
      </c>
      <c r="AG4339">
        <v>-1.114153788291</v>
      </c>
      <c r="AH4339">
        <v>25.8556667194493</v>
      </c>
      <c r="AI4339">
        <v>92.464231397948694</v>
      </c>
      <c r="AJ4339">
        <v>92.915884369242306</v>
      </c>
      <c r="AK4339">
        <v>25.913148624282599</v>
      </c>
      <c r="AL4339">
        <v>80.365594038376599</v>
      </c>
      <c r="AM4339">
        <v>101.243766115114</v>
      </c>
      <c r="AN4339">
        <v>0.99999997261664897</v>
      </c>
    </row>
    <row r="4340" spans="1:40" x14ac:dyDescent="0.25">
      <c r="A4340" t="str">
        <f>"20190304155501328"</f>
        <v>20190304155501328</v>
      </c>
      <c r="B4340" t="str">
        <f>"1551686101322040"</f>
        <v>1551686101322040</v>
      </c>
      <c r="C4340" t="s">
        <v>40</v>
      </c>
      <c r="D4340">
        <v>4.4379739999999996</v>
      </c>
      <c r="E4340">
        <v>0.55489140000000003</v>
      </c>
      <c r="F4340" t="s">
        <v>47</v>
      </c>
      <c r="G4340">
        <v>-378.79930000000002</v>
      </c>
      <c r="H4340">
        <v>-0.05</v>
      </c>
      <c r="I4340">
        <v>16.689710000000002</v>
      </c>
      <c r="J4340">
        <v>-405.89819999999997</v>
      </c>
      <c r="K4340">
        <v>1.1140920000000001</v>
      </c>
      <c r="L4340">
        <v>22.88599</v>
      </c>
      <c r="M4340">
        <v>0.9639761</v>
      </c>
      <c r="N4340">
        <v>-1.299137E-2</v>
      </c>
      <c r="O4340">
        <v>-0.26567180000000001</v>
      </c>
      <c r="P4340">
        <v>0.98477329999999996</v>
      </c>
      <c r="Q4340">
        <v>0.15544169999999999</v>
      </c>
      <c r="R4340">
        <v>-7.7842789999999995E-2</v>
      </c>
      <c r="S4340">
        <v>3.0117799999999999</v>
      </c>
      <c r="T4340">
        <v>-0.12851319999999999</v>
      </c>
      <c r="U4340">
        <v>-0.68884279999999998</v>
      </c>
      <c r="V4340">
        <v>-0.18808430000000001</v>
      </c>
      <c r="W4340">
        <v>0.16637260000000001</v>
      </c>
      <c r="X4340">
        <v>0.96795889999999996</v>
      </c>
      <c r="Y4340">
        <v>-4.3907469999999997E-2</v>
      </c>
      <c r="Z4340">
        <v>8.7510130000000002E-3</v>
      </c>
      <c r="AA4340">
        <v>0.99899729999999998</v>
      </c>
      <c r="AB4340">
        <v>20</v>
      </c>
      <c r="AC4340">
        <v>27.098899999999901</v>
      </c>
      <c r="AD4340">
        <v>-1.1640919999999999</v>
      </c>
      <c r="AE4340">
        <v>-6.19627999999999</v>
      </c>
      <c r="AF4340">
        <v>-1.22430410930855</v>
      </c>
      <c r="AG4340">
        <v>-1.1640919999999999</v>
      </c>
      <c r="AH4340">
        <v>27.722594369833899</v>
      </c>
      <c r="AI4340">
        <v>92.402140502742895</v>
      </c>
      <c r="AJ4340">
        <v>92.528692185339494</v>
      </c>
      <c r="AK4340">
        <v>27.774021482869198</v>
      </c>
      <c r="AL4340">
        <v>80.423019017098298</v>
      </c>
      <c r="AM4340">
        <v>100.996129956959</v>
      </c>
      <c r="AN4340">
        <v>0.99999998901322995</v>
      </c>
    </row>
    <row r="4341" spans="1:40" x14ac:dyDescent="0.25">
      <c r="A4341" t="str">
        <f>"20190304155501351"</f>
        <v>20190304155501351</v>
      </c>
      <c r="B4341" t="str">
        <f>"1551686101341563"</f>
        <v>1551686101341563</v>
      </c>
      <c r="C4341" t="s">
        <v>40</v>
      </c>
      <c r="D4341">
        <v>4.5430279999999996</v>
      </c>
      <c r="E4341">
        <v>0.55543940000000003</v>
      </c>
      <c r="F4341" t="s">
        <v>88</v>
      </c>
      <c r="G4341">
        <v>-379.7013</v>
      </c>
      <c r="H4341" s="1">
        <v>-8.3087559999999996E-7</v>
      </c>
      <c r="I4341">
        <v>16.86542</v>
      </c>
      <c r="J4341">
        <v>-405.70740000000001</v>
      </c>
      <c r="K4341">
        <v>1.114034</v>
      </c>
      <c r="L4341">
        <v>22.841830000000002</v>
      </c>
      <c r="M4341">
        <v>0.96577519999999994</v>
      </c>
      <c r="N4341">
        <v>-1.296664E-2</v>
      </c>
      <c r="O4341">
        <v>-0.25905630000000002</v>
      </c>
      <c r="P4341">
        <v>0.98497460000000003</v>
      </c>
      <c r="Q4341">
        <v>0.1556678</v>
      </c>
      <c r="R4341">
        <v>-7.4783349999999998E-2</v>
      </c>
      <c r="S4341">
        <v>3.0119319999999998</v>
      </c>
      <c r="T4341">
        <v>-0.12809010000000001</v>
      </c>
      <c r="U4341">
        <v>-0.69219969999999997</v>
      </c>
      <c r="V4341">
        <v>-0.1844162</v>
      </c>
      <c r="W4341">
        <v>0.1666397</v>
      </c>
      <c r="X4341">
        <v>0.9686186</v>
      </c>
      <c r="Y4341">
        <v>-3.6021879999999999E-2</v>
      </c>
      <c r="Z4341">
        <v>8.3207919999999901E-3</v>
      </c>
      <c r="AA4341">
        <v>0.99931630000000005</v>
      </c>
      <c r="AB4341">
        <v>20</v>
      </c>
      <c r="AC4341">
        <v>26.0061</v>
      </c>
      <c r="AD4341">
        <v>-1.1140348308756001</v>
      </c>
      <c r="AE4341">
        <v>-5.9764099999999898</v>
      </c>
      <c r="AF4341">
        <v>-0.96357710097399996</v>
      </c>
      <c r="AG4341">
        <v>-1.1140348308756001</v>
      </c>
      <c r="AH4341">
        <v>26.6201157054128</v>
      </c>
      <c r="AI4341">
        <v>92.394826855684798</v>
      </c>
      <c r="AJ4341">
        <v>92.073049127356995</v>
      </c>
      <c r="AK4341">
        <v>26.660834844458499</v>
      </c>
      <c r="AL4341">
        <v>80.407499327807301</v>
      </c>
      <c r="AM4341">
        <v>100.77958398336401</v>
      </c>
      <c r="AN4341">
        <v>1.0000000583522399</v>
      </c>
    </row>
    <row r="4342" spans="1:40" x14ac:dyDescent="0.25">
      <c r="A4342" t="str">
        <f>"20190304155501373"</f>
        <v>20190304155501373</v>
      </c>
      <c r="B4342" t="str">
        <f>"1551686101362059"</f>
        <v>1551686101362059</v>
      </c>
      <c r="C4342" t="s">
        <v>40</v>
      </c>
      <c r="D4342">
        <v>4.410539</v>
      </c>
      <c r="E4342">
        <v>0.55695869999999903</v>
      </c>
      <c r="F4342" t="s">
        <v>88</v>
      </c>
      <c r="G4342">
        <v>-379.1823</v>
      </c>
      <c r="H4342" s="1">
        <v>-1.0476130000000001E-6</v>
      </c>
      <c r="I4342">
        <v>16.79982</v>
      </c>
      <c r="J4342">
        <v>-405.51729999999998</v>
      </c>
      <c r="K4342">
        <v>1.113985</v>
      </c>
      <c r="L4342">
        <v>22.799099999999999</v>
      </c>
      <c r="M4342">
        <v>0.96749039999999997</v>
      </c>
      <c r="N4342">
        <v>-1.294085E-2</v>
      </c>
      <c r="O4342">
        <v>-0.2525772</v>
      </c>
      <c r="P4342">
        <v>0.98489139999999997</v>
      </c>
      <c r="Q4342">
        <v>0.15771019999999999</v>
      </c>
      <c r="R4342">
        <v>-7.1531410000000004E-2</v>
      </c>
      <c r="S4342">
        <v>3.0136409999999998</v>
      </c>
      <c r="T4342">
        <v>-0.12657109999999999</v>
      </c>
      <c r="U4342">
        <v>-0.68646240000000003</v>
      </c>
      <c r="V4342">
        <v>-0.18102770000000001</v>
      </c>
      <c r="W4342">
        <v>0.1687128</v>
      </c>
      <c r="X4342">
        <v>0.96889879999999995</v>
      </c>
      <c r="Y4342">
        <v>-3.1266250000000002E-2</v>
      </c>
      <c r="Z4342">
        <v>7.8860879999999994E-3</v>
      </c>
      <c r="AA4342">
        <v>0.99948000000000004</v>
      </c>
      <c r="AB4342">
        <v>20</v>
      </c>
      <c r="AC4342">
        <v>26.334999999999901</v>
      </c>
      <c r="AD4342">
        <v>-1.1139860476129999</v>
      </c>
      <c r="AE4342">
        <v>-5.99927999999999</v>
      </c>
      <c r="AF4342">
        <v>-0.84600644582810902</v>
      </c>
      <c r="AG4342">
        <v>-1.1139860476129999</v>
      </c>
      <c r="AH4342">
        <v>26.950551892782499</v>
      </c>
      <c r="AI4342">
        <v>92.365777731737396</v>
      </c>
      <c r="AJ4342">
        <v>91.797984945662805</v>
      </c>
      <c r="AK4342">
        <v>26.986828993904101</v>
      </c>
      <c r="AL4342">
        <v>80.287012651391294</v>
      </c>
      <c r="AM4342">
        <v>100.583042747517</v>
      </c>
      <c r="AN4342">
        <v>0.99999996084628395</v>
      </c>
    </row>
    <row r="4343" spans="1:40" x14ac:dyDescent="0.25">
      <c r="A4343" t="str">
        <f>"20190304155501397"</f>
        <v>20190304155501397</v>
      </c>
      <c r="B4343" t="str">
        <f>"1551686101392312"</f>
        <v>1551686101392312</v>
      </c>
      <c r="C4343" t="s">
        <v>40</v>
      </c>
      <c r="D4343">
        <v>4.4931700000000001</v>
      </c>
      <c r="E4343">
        <v>0.56817479999999998</v>
      </c>
      <c r="F4343" t="s">
        <v>88</v>
      </c>
      <c r="G4343">
        <v>-376.98110000000003</v>
      </c>
      <c r="H4343" s="1">
        <v>-2.0302449999999998E-6</v>
      </c>
      <c r="I4343">
        <v>16.2837</v>
      </c>
      <c r="J4343">
        <v>-405.31700000000001</v>
      </c>
      <c r="K4343">
        <v>1.1139349999999999</v>
      </c>
      <c r="L4343">
        <v>22.75534</v>
      </c>
      <c r="M4343">
        <v>0.96922269999999999</v>
      </c>
      <c r="N4343">
        <v>-1.2909240000000001E-2</v>
      </c>
      <c r="O4343">
        <v>-0.2458468</v>
      </c>
      <c r="P4343">
        <v>0.98493140000000001</v>
      </c>
      <c r="Q4343">
        <v>0.15879219999999999</v>
      </c>
      <c r="R4343">
        <v>-6.8524299999999996E-2</v>
      </c>
      <c r="S4343">
        <v>3.0148619999999999</v>
      </c>
      <c r="T4343">
        <v>-0.11769309999999999</v>
      </c>
      <c r="U4343">
        <v>-0.68835449999999998</v>
      </c>
      <c r="V4343">
        <v>-0.17718539999999999</v>
      </c>
      <c r="W4343">
        <v>0.1698279</v>
      </c>
      <c r="X4343">
        <v>0.9694142</v>
      </c>
      <c r="Y4343">
        <v>-2.3841500000000002E-2</v>
      </c>
      <c r="Z4343">
        <v>6.7688369999999998E-3</v>
      </c>
      <c r="AA4343">
        <v>0.9996929</v>
      </c>
      <c r="AB4343">
        <v>20</v>
      </c>
      <c r="AC4343">
        <v>28.335899999999899</v>
      </c>
      <c r="AD4343">
        <v>-1.113937030245</v>
      </c>
      <c r="AE4343">
        <v>-6.4716399999999998</v>
      </c>
      <c r="AF4343">
        <v>-0.69287009468832905</v>
      </c>
      <c r="AG4343">
        <v>-1.113937030245</v>
      </c>
      <c r="AH4343">
        <v>29.014634751442799</v>
      </c>
      <c r="AI4343">
        <v>92.198007910754498</v>
      </c>
      <c r="AJ4343">
        <v>91.367964442646795</v>
      </c>
      <c r="AK4343">
        <v>29.044275760209601</v>
      </c>
      <c r="AL4343">
        <v>80.222187405850505</v>
      </c>
      <c r="AM4343">
        <v>100.357946025253</v>
      </c>
      <c r="AN4343">
        <v>1.0000000363766</v>
      </c>
    </row>
    <row r="4344" spans="1:40" x14ac:dyDescent="0.25">
      <c r="A4344" t="str">
        <f>"20190304155501417"</f>
        <v>20190304155501417</v>
      </c>
      <c r="B4344" t="str">
        <f>"1551686101411831"</f>
        <v>1551686101411831</v>
      </c>
      <c r="C4344" t="s">
        <v>40</v>
      </c>
      <c r="D4344">
        <v>4.4811170000000002</v>
      </c>
      <c r="E4344">
        <v>0.56915119999999997</v>
      </c>
      <c r="F4344" t="s">
        <v>88</v>
      </c>
      <c r="G4344">
        <v>-372.67200000000003</v>
      </c>
      <c r="H4344" s="1">
        <v>-4.3648519999999999E-6</v>
      </c>
      <c r="I4344">
        <v>14.42755</v>
      </c>
      <c r="J4344">
        <v>-405.13209999999998</v>
      </c>
      <c r="K4344">
        <v>1.113883</v>
      </c>
      <c r="L4344">
        <v>22.71613</v>
      </c>
      <c r="M4344">
        <v>0.97075719999999999</v>
      </c>
      <c r="N4344">
        <v>-1.2879120000000001E-2</v>
      </c>
      <c r="O4344">
        <v>-0.23971809999999999</v>
      </c>
      <c r="P4344">
        <v>0.98508640000000003</v>
      </c>
      <c r="Q4344">
        <v>0.15877649999999999</v>
      </c>
      <c r="R4344">
        <v>-6.629322E-2</v>
      </c>
      <c r="S4344">
        <v>3.0090330000000001</v>
      </c>
      <c r="T4344">
        <v>-0.10267660000000001</v>
      </c>
      <c r="U4344">
        <v>-0.76760859999999997</v>
      </c>
      <c r="V4344">
        <v>-0.17322409999999999</v>
      </c>
      <c r="W4344">
        <v>0.16984769999999999</v>
      </c>
      <c r="X4344">
        <v>0.97012640000000006</v>
      </c>
      <c r="Y4344">
        <v>7.7198709999999997E-3</v>
      </c>
      <c r="Z4344">
        <v>4.6646639999999998E-3</v>
      </c>
      <c r="AA4344">
        <v>0.9999593</v>
      </c>
      <c r="AB4344">
        <v>20</v>
      </c>
      <c r="AC4344">
        <v>32.460099999999997</v>
      </c>
      <c r="AD4344">
        <v>-1.113887364852</v>
      </c>
      <c r="AE4344">
        <v>-8.2885799999999996</v>
      </c>
      <c r="AF4344">
        <v>0.26465459521281498</v>
      </c>
      <c r="AG4344">
        <v>-1.113887364852</v>
      </c>
      <c r="AH4344">
        <v>33.463580607106003</v>
      </c>
      <c r="AI4344">
        <v>91.906415708957596</v>
      </c>
      <c r="AJ4344">
        <v>89.546872303561798</v>
      </c>
      <c r="AK4344">
        <v>33.483160157975298</v>
      </c>
      <c r="AL4344">
        <v>80.221036172011196</v>
      </c>
      <c r="AM4344">
        <v>100.12394149839</v>
      </c>
      <c r="AN4344">
        <v>1.00000003099652</v>
      </c>
    </row>
    <row r="4345" spans="1:40" x14ac:dyDescent="0.25">
      <c r="A4345" t="str">
        <f>"20190304155501444"</f>
        <v>20190304155501444</v>
      </c>
      <c r="B4345" t="str">
        <f>"1551686101431351"</f>
        <v>1551686101431351</v>
      </c>
      <c r="C4345" t="s">
        <v>40</v>
      </c>
      <c r="D4345">
        <v>4.4701839999999997</v>
      </c>
      <c r="E4345">
        <v>0.5704302</v>
      </c>
      <c r="F4345" t="s">
        <v>88</v>
      </c>
      <c r="G4345">
        <v>-372.14</v>
      </c>
      <c r="H4345" s="1">
        <v>-4.6399250000000003E-6</v>
      </c>
      <c r="I4345">
        <v>14.29467</v>
      </c>
      <c r="J4345">
        <v>-404.91820000000001</v>
      </c>
      <c r="K4345">
        <v>1.1138239999999999</v>
      </c>
      <c r="L4345">
        <v>22.672090000000001</v>
      </c>
      <c r="M4345">
        <v>0.97245619999999999</v>
      </c>
      <c r="N4345">
        <v>-1.2842660000000001E-2</v>
      </c>
      <c r="O4345">
        <v>-0.23273170000000001</v>
      </c>
      <c r="P4345">
        <v>0.98528249999999995</v>
      </c>
      <c r="Q4345">
        <v>0.15840779999999999</v>
      </c>
      <c r="R4345">
        <v>-6.4229670000000003E-2</v>
      </c>
      <c r="S4345">
        <v>3.0100709999999999</v>
      </c>
      <c r="T4345">
        <v>-0.1016268</v>
      </c>
      <c r="U4345">
        <v>-0.7683411</v>
      </c>
      <c r="V4345">
        <v>-0.16825209999999999</v>
      </c>
      <c r="W4345">
        <v>0.16952210000000001</v>
      </c>
      <c r="X4345">
        <v>0.97105799999999998</v>
      </c>
      <c r="Y4345">
        <v>1.5047909999999999E-2</v>
      </c>
      <c r="Z4345">
        <v>4.2894689999999997E-3</v>
      </c>
      <c r="AA4345">
        <v>0.99987760000000003</v>
      </c>
      <c r="AB4345">
        <v>20</v>
      </c>
      <c r="AC4345">
        <v>32.778199999999998</v>
      </c>
      <c r="AD4345">
        <v>-1.1138286399249999</v>
      </c>
      <c r="AE4345">
        <v>-8.3774199999999901</v>
      </c>
      <c r="AF4345">
        <v>0.51762948058717195</v>
      </c>
      <c r="AG4345">
        <v>-1.1138286399249999</v>
      </c>
      <c r="AH4345">
        <v>33.791218098706899</v>
      </c>
      <c r="AI4345">
        <v>91.887682897386796</v>
      </c>
      <c r="AJ4345">
        <v>89.122385436703098</v>
      </c>
      <c r="AK4345">
        <v>33.813532425830203</v>
      </c>
      <c r="AL4345">
        <v>80.239966631656699</v>
      </c>
      <c r="AM4345">
        <v>99.829862331582206</v>
      </c>
      <c r="AN4345">
        <v>1.0000000754534</v>
      </c>
    </row>
    <row r="4346" spans="1:40" x14ac:dyDescent="0.25">
      <c r="A4346" t="str">
        <f>"20190304155501465"</f>
        <v>20190304155501465</v>
      </c>
      <c r="B4346" t="str">
        <f>"1551686101461607"</f>
        <v>1551686101461607</v>
      </c>
      <c r="C4346" t="s">
        <v>40</v>
      </c>
      <c r="D4346">
        <v>4.629537</v>
      </c>
      <c r="E4346">
        <v>0.56859349999999997</v>
      </c>
      <c r="F4346" t="s">
        <v>88</v>
      </c>
      <c r="G4346">
        <v>-372.09530000000001</v>
      </c>
      <c r="H4346" s="1">
        <v>-4.6672110000000001E-6</v>
      </c>
      <c r="I4346">
        <v>14.25994</v>
      </c>
      <c r="J4346">
        <v>-404.72519999999997</v>
      </c>
      <c r="K4346">
        <v>1.113772</v>
      </c>
      <c r="L4346">
        <v>22.63373</v>
      </c>
      <c r="M4346">
        <v>0.97391899999999998</v>
      </c>
      <c r="N4346">
        <v>-1.280746E-2</v>
      </c>
      <c r="O4346">
        <v>-0.22653480000000001</v>
      </c>
      <c r="P4346">
        <v>0.9851316</v>
      </c>
      <c r="Q4346">
        <v>0.15983069999999999</v>
      </c>
      <c r="R4346">
        <v>-6.3010579999999997E-2</v>
      </c>
      <c r="S4346">
        <v>3.0109249999999999</v>
      </c>
      <c r="T4346">
        <v>-0.102174399999999</v>
      </c>
      <c r="U4346">
        <v>-0.77166749999999995</v>
      </c>
      <c r="V4346">
        <v>-0.163194799999999</v>
      </c>
      <c r="W4346">
        <v>0.17098099999999999</v>
      </c>
      <c r="X4346">
        <v>0.971665</v>
      </c>
      <c r="Y4346">
        <v>2.2377569999999999E-2</v>
      </c>
      <c r="Z4346">
        <v>4.0458159999999998E-3</v>
      </c>
      <c r="AA4346">
        <v>0.9997414</v>
      </c>
      <c r="AB4346">
        <v>20</v>
      </c>
      <c r="AC4346">
        <v>32.6298999999999</v>
      </c>
      <c r="AD4346">
        <v>-1.1137766672110001</v>
      </c>
      <c r="AE4346">
        <v>-8.3737899999999996</v>
      </c>
      <c r="AF4346">
        <v>0.76281400269854405</v>
      </c>
      <c r="AG4346">
        <v>-1.1137766672110001</v>
      </c>
      <c r="AH4346">
        <v>33.641817919626902</v>
      </c>
      <c r="AI4346">
        <v>91.895706774521997</v>
      </c>
      <c r="AJ4346">
        <v>88.701064994891993</v>
      </c>
      <c r="AK4346">
        <v>33.668892120241601</v>
      </c>
      <c r="AL4346">
        <v>80.155138232010898</v>
      </c>
      <c r="AM4346">
        <v>99.534059666488105</v>
      </c>
      <c r="AN4346">
        <v>0.99999995866651903</v>
      </c>
    </row>
    <row r="4347" spans="1:40" x14ac:dyDescent="0.25">
      <c r="A4347" t="str">
        <f>"20190304155501486"</f>
        <v>20190304155501486</v>
      </c>
      <c r="B4347" t="str">
        <f>"1551686101482103"</f>
        <v>1551686101482103</v>
      </c>
      <c r="C4347" t="s">
        <v>40</v>
      </c>
      <c r="D4347">
        <v>4.6151920000000004</v>
      </c>
      <c r="E4347">
        <v>0.56721759999999999</v>
      </c>
      <c r="F4347" t="s">
        <v>88</v>
      </c>
      <c r="G4347">
        <v>-375.32619999999997</v>
      </c>
      <c r="H4347" s="1">
        <v>-2.956256E-6</v>
      </c>
      <c r="I4347">
        <v>15.295500000000001</v>
      </c>
      <c r="J4347">
        <v>-404.54160000000002</v>
      </c>
      <c r="K4347">
        <v>1.1137379999999999</v>
      </c>
      <c r="L4347">
        <v>22.598210000000002</v>
      </c>
      <c r="M4347">
        <v>0.97525649999999997</v>
      </c>
      <c r="N4347">
        <v>-1.277492E-2</v>
      </c>
      <c r="O4347">
        <v>-0.2207073</v>
      </c>
      <c r="P4347">
        <v>0.98464750000000001</v>
      </c>
      <c r="Q4347">
        <v>0.16298170000000001</v>
      </c>
      <c r="R4347">
        <v>-6.2504099999999896E-2</v>
      </c>
      <c r="S4347">
        <v>3.015717</v>
      </c>
      <c r="T4347">
        <v>-0.11424960000000001</v>
      </c>
      <c r="U4347">
        <v>-0.75274659999999904</v>
      </c>
      <c r="V4347">
        <v>-0.15776409999999999</v>
      </c>
      <c r="W4347">
        <v>0.1741645</v>
      </c>
      <c r="X4347">
        <v>0.97199650000000004</v>
      </c>
      <c r="Y4347">
        <v>2.209187E-2</v>
      </c>
      <c r="Z4347">
        <v>4.7570829999999996E-3</v>
      </c>
      <c r="AA4347">
        <v>0.99974470000000004</v>
      </c>
      <c r="AB4347">
        <v>20</v>
      </c>
      <c r="AC4347">
        <v>29.215399999999999</v>
      </c>
      <c r="AD4347">
        <v>-1.1137409562559999</v>
      </c>
      <c r="AE4347">
        <v>-7.3027100000000003</v>
      </c>
      <c r="AF4347">
        <v>0.67309762788352101</v>
      </c>
      <c r="AG4347">
        <v>-1.1137409562559999</v>
      </c>
      <c r="AH4347">
        <v>30.065600824424799</v>
      </c>
      <c r="AI4347">
        <v>92.120946401416901</v>
      </c>
      <c r="AJ4347">
        <v>88.717497370947399</v>
      </c>
      <c r="AK4347">
        <v>30.093750717847701</v>
      </c>
      <c r="AL4347">
        <v>79.969959052861697</v>
      </c>
      <c r="AM4347">
        <v>99.219242353093406</v>
      </c>
      <c r="AN4347">
        <v>0.99999999016065499</v>
      </c>
    </row>
    <row r="4348" spans="1:40" x14ac:dyDescent="0.25">
      <c r="A4348" t="str">
        <f>"20190304155501507"</f>
        <v>20190304155501507</v>
      </c>
      <c r="B4348" t="str">
        <f>"1551686101501623"</f>
        <v>1551686101501623</v>
      </c>
      <c r="C4348" t="s">
        <v>40</v>
      </c>
      <c r="D4348">
        <v>4.6010780000000002</v>
      </c>
      <c r="E4348">
        <v>0.56667959999999995</v>
      </c>
      <c r="F4348" t="s">
        <v>88</v>
      </c>
      <c r="G4348">
        <v>-373.53859999999997</v>
      </c>
      <c r="H4348" s="1">
        <v>-3.8552869999999996E-6</v>
      </c>
      <c r="I4348">
        <v>14.990830000000001</v>
      </c>
      <c r="J4348">
        <v>-404.35950000000003</v>
      </c>
      <c r="K4348">
        <v>1.1137079999999999</v>
      </c>
      <c r="L4348">
        <v>22.564060000000001</v>
      </c>
      <c r="M4348">
        <v>0.97652859999999997</v>
      </c>
      <c r="N4348">
        <v>-1.274542E-2</v>
      </c>
      <c r="O4348">
        <v>-0.21501049999999999</v>
      </c>
      <c r="P4348">
        <v>0.98442580000000002</v>
      </c>
      <c r="Q4348">
        <v>0.16458929999999999</v>
      </c>
      <c r="R4348">
        <v>-6.1778180000000002E-2</v>
      </c>
      <c r="S4348">
        <v>3.0177309999999999</v>
      </c>
      <c r="T4348">
        <v>-0.108408199999999</v>
      </c>
      <c r="U4348">
        <v>-0.74047850000000004</v>
      </c>
      <c r="V4348">
        <v>-0.1527316</v>
      </c>
      <c r="W4348">
        <v>0.1758044</v>
      </c>
      <c r="X4348">
        <v>0.97250499999999995</v>
      </c>
      <c r="Y4348">
        <v>2.3931089999999999E-2</v>
      </c>
      <c r="Z4348">
        <v>4.2024819999999996E-3</v>
      </c>
      <c r="AA4348">
        <v>0.99970479999999995</v>
      </c>
      <c r="AB4348">
        <v>20</v>
      </c>
      <c r="AC4348">
        <v>30.820900000000002</v>
      </c>
      <c r="AD4348">
        <v>-1.113711855287</v>
      </c>
      <c r="AE4348">
        <v>-7.5732299999999997</v>
      </c>
      <c r="AF4348">
        <v>0.76777555502135097</v>
      </c>
      <c r="AG4348">
        <v>-1.113711855287</v>
      </c>
      <c r="AH4348">
        <v>31.6893685090905</v>
      </c>
      <c r="AI4348">
        <v>92.012221828325707</v>
      </c>
      <c r="AJ4348">
        <v>88.612099372274699</v>
      </c>
      <c r="AK4348">
        <v>31.718226777429301</v>
      </c>
      <c r="AL4348">
        <v>79.874527924727801</v>
      </c>
      <c r="AM4348">
        <v>98.925380078815607</v>
      </c>
      <c r="AN4348">
        <v>1.00000005186145</v>
      </c>
    </row>
    <row r="4349" spans="1:40" x14ac:dyDescent="0.25">
      <c r="A4349" t="str">
        <f>"20190304155501530"</f>
        <v>20190304155501530</v>
      </c>
      <c r="B4349" t="str">
        <f>"1551686101522120"</f>
        <v>1551686101522120</v>
      </c>
      <c r="C4349" t="s">
        <v>40</v>
      </c>
      <c r="D4349">
        <v>4.5760870000000002</v>
      </c>
      <c r="E4349">
        <v>0.56651019999999996</v>
      </c>
      <c r="F4349" t="s">
        <v>88</v>
      </c>
      <c r="G4349">
        <v>-372.72789999999998</v>
      </c>
      <c r="H4349" s="1">
        <v>-4.2602450000000001E-6</v>
      </c>
      <c r="I4349">
        <v>14.868309999999999</v>
      </c>
      <c r="J4349">
        <v>-404.15550000000002</v>
      </c>
      <c r="K4349">
        <v>1.1136569999999999</v>
      </c>
      <c r="L4349">
        <v>22.526979999999998</v>
      </c>
      <c r="M4349">
        <v>0.97788649999999999</v>
      </c>
      <c r="N4349">
        <v>-1.2712009999999999E-2</v>
      </c>
      <c r="O4349">
        <v>-0.2087504</v>
      </c>
      <c r="P4349">
        <v>0.98434949999999999</v>
      </c>
      <c r="Q4349">
        <v>0.16521259999999999</v>
      </c>
      <c r="R4349">
        <v>-6.1331150000000001E-2</v>
      </c>
      <c r="S4349">
        <v>3.019104</v>
      </c>
      <c r="T4349">
        <v>-0.1062993</v>
      </c>
      <c r="U4349">
        <v>-0.73452759999999995</v>
      </c>
      <c r="V4349">
        <v>-0.14688809999999999</v>
      </c>
      <c r="W4349">
        <v>0.17646999999999999</v>
      </c>
      <c r="X4349">
        <v>0.97328419999999904</v>
      </c>
      <c r="Y4349">
        <v>2.836321E-2</v>
      </c>
      <c r="Z4349">
        <v>3.8353129999999999E-3</v>
      </c>
      <c r="AA4349">
        <v>0.99959030000000004</v>
      </c>
      <c r="AB4349">
        <v>20</v>
      </c>
      <c r="AC4349">
        <v>31.427600000000002</v>
      </c>
      <c r="AD4349">
        <v>-1.113661260245</v>
      </c>
      <c r="AE4349">
        <v>-7.6586699999999901</v>
      </c>
      <c r="AF4349">
        <v>0.92776115016660898</v>
      </c>
      <c r="AG4349">
        <v>-1.113661260245</v>
      </c>
      <c r="AH4349">
        <v>32.295703237422899</v>
      </c>
      <c r="AI4349">
        <v>91.974149166092801</v>
      </c>
      <c r="AJ4349">
        <v>88.354512280276197</v>
      </c>
      <c r="AK4349">
        <v>32.328214144211898</v>
      </c>
      <c r="AL4349">
        <v>79.835785150594901</v>
      </c>
      <c r="AM4349">
        <v>98.582313625751198</v>
      </c>
      <c r="AN4349">
        <v>0.99999995439562295</v>
      </c>
    </row>
    <row r="4350" spans="1:40" x14ac:dyDescent="0.25">
      <c r="A4350" t="str">
        <f>"20190304155501554"</f>
        <v>20190304155501554</v>
      </c>
      <c r="B4350" t="str">
        <f>"1551686101541642"</f>
        <v>1551686101541642</v>
      </c>
      <c r="C4350" t="s">
        <v>40</v>
      </c>
      <c r="D4350">
        <v>4.7028780000000001</v>
      </c>
      <c r="E4350">
        <v>0.56716730000000004</v>
      </c>
      <c r="F4350" t="s">
        <v>88</v>
      </c>
      <c r="G4350">
        <v>-372.75240000000002</v>
      </c>
      <c r="H4350" s="1">
        <v>-4.2404559999999999E-6</v>
      </c>
      <c r="I4350">
        <v>14.9146</v>
      </c>
      <c r="J4350">
        <v>-403.95760000000001</v>
      </c>
      <c r="K4350">
        <v>1.1135839999999999</v>
      </c>
      <c r="L4350">
        <v>22.492100000000001</v>
      </c>
      <c r="M4350">
        <v>0.97913399999999995</v>
      </c>
      <c r="N4350">
        <v>-1.26734E-2</v>
      </c>
      <c r="O4350">
        <v>-0.20282030000000001</v>
      </c>
      <c r="P4350">
        <v>0.98403110000000005</v>
      </c>
      <c r="Q4350">
        <v>0.1671591</v>
      </c>
      <c r="R4350">
        <v>-6.116166E-2</v>
      </c>
      <c r="S4350">
        <v>3.0200499999999999</v>
      </c>
      <c r="T4350">
        <v>-0.1071013</v>
      </c>
      <c r="U4350">
        <v>-0.73208619999999902</v>
      </c>
      <c r="V4350">
        <v>-0.14105760000000001</v>
      </c>
      <c r="W4350">
        <v>0.17845549999999999</v>
      </c>
      <c r="X4350">
        <v>0.9737846</v>
      </c>
      <c r="Y4350">
        <v>3.358125E-2</v>
      </c>
      <c r="Z4350">
        <v>3.6429230000000002E-3</v>
      </c>
      <c r="AA4350">
        <v>0.99942929999999996</v>
      </c>
      <c r="AB4350">
        <v>20</v>
      </c>
      <c r="AC4350">
        <v>31.205199999999898</v>
      </c>
      <c r="AD4350">
        <v>-1.11358824045599</v>
      </c>
      <c r="AE4350">
        <v>-7.5774999999999997</v>
      </c>
      <c r="AF4350">
        <v>1.08911763963327</v>
      </c>
      <c r="AG4350">
        <v>-1.11358824045599</v>
      </c>
      <c r="AH4350">
        <v>32.054970679018702</v>
      </c>
      <c r="AI4350">
        <v>91.988506129154203</v>
      </c>
      <c r="AJ4350">
        <v>88.054035081815201</v>
      </c>
      <c r="AK4350">
        <v>32.092793602847799</v>
      </c>
      <c r="AL4350">
        <v>79.7201903464927</v>
      </c>
      <c r="AM4350">
        <v>98.242252080537895</v>
      </c>
      <c r="AN4350">
        <v>1.0000000295975799</v>
      </c>
    </row>
    <row r="4351" spans="1:40" x14ac:dyDescent="0.25">
      <c r="A4351" t="str">
        <f>"20190304155501576"</f>
        <v>20190304155501576</v>
      </c>
      <c r="B4351" t="str">
        <f>"1551686101571896"</f>
        <v>1551686101571896</v>
      </c>
      <c r="C4351" t="s">
        <v>40</v>
      </c>
      <c r="D4351">
        <v>4.67591</v>
      </c>
      <c r="E4351">
        <v>0.58853859999999902</v>
      </c>
      <c r="F4351" t="s">
        <v>88</v>
      </c>
      <c r="G4351">
        <v>-370.63670000000002</v>
      </c>
      <c r="H4351" s="1">
        <v>-5.3378230000000004E-6</v>
      </c>
      <c r="I4351">
        <v>14.36627</v>
      </c>
      <c r="J4351">
        <v>-403.76710000000003</v>
      </c>
      <c r="K4351">
        <v>1.1134930000000001</v>
      </c>
      <c r="L4351">
        <v>22.459499999999998</v>
      </c>
      <c r="M4351">
        <v>0.98026449999999998</v>
      </c>
      <c r="N4351">
        <v>-1.263238E-2</v>
      </c>
      <c r="O4351">
        <v>-0.1972865</v>
      </c>
      <c r="P4351">
        <v>0.98336679999999999</v>
      </c>
      <c r="Q4351">
        <v>0.1712263</v>
      </c>
      <c r="R4351">
        <v>-6.0592989999999999E-2</v>
      </c>
      <c r="S4351">
        <v>3.0200200000000001</v>
      </c>
      <c r="T4351">
        <v>-0.10092959999999999</v>
      </c>
      <c r="U4351">
        <v>-0.73648069999999999</v>
      </c>
      <c r="V4351">
        <v>-0.1359532</v>
      </c>
      <c r="W4351">
        <v>0.182555</v>
      </c>
      <c r="X4351">
        <v>0.97375069999999997</v>
      </c>
      <c r="Y4351">
        <v>4.0589680000000003E-2</v>
      </c>
      <c r="Z4351">
        <v>3.014395E-3</v>
      </c>
      <c r="AA4351">
        <v>0.99917140000000004</v>
      </c>
      <c r="AB4351">
        <v>20</v>
      </c>
      <c r="AC4351">
        <v>33.130400000000002</v>
      </c>
      <c r="AD4351">
        <v>-1.1134983378229999</v>
      </c>
      <c r="AE4351">
        <v>-8.0932299999999895</v>
      </c>
      <c r="AF4351">
        <v>1.3959488148249199</v>
      </c>
      <c r="AG4351">
        <v>-1.1134983378229999</v>
      </c>
      <c r="AH4351">
        <v>34.039672520011102</v>
      </c>
      <c r="AI4351">
        <v>91.872006577402701</v>
      </c>
      <c r="AJ4351">
        <v>87.651646519713907</v>
      </c>
      <c r="AK4351">
        <v>34.0864761586108</v>
      </c>
      <c r="AL4351">
        <v>79.481383307192004</v>
      </c>
      <c r="AM4351">
        <v>97.948147335250894</v>
      </c>
      <c r="AN4351">
        <v>1.0000000131828599</v>
      </c>
    </row>
    <row r="4352" spans="1:40" x14ac:dyDescent="0.25">
      <c r="A4352" t="str">
        <f>"20190304155501601"</f>
        <v>20190304155501601</v>
      </c>
      <c r="B4352" t="str">
        <f>"1551686101591416"</f>
        <v>1551686101591416</v>
      </c>
      <c r="C4352" t="s">
        <v>40</v>
      </c>
      <c r="D4352">
        <v>4.6399549999999996</v>
      </c>
      <c r="E4352">
        <v>0.58960709999999905</v>
      </c>
      <c r="F4352" t="s">
        <v>47</v>
      </c>
      <c r="G4352">
        <v>-321.46300000000002</v>
      </c>
      <c r="H4352">
        <v>-0.05</v>
      </c>
      <c r="I4352">
        <v>-2.29657</v>
      </c>
      <c r="J4352">
        <v>-403.55360000000002</v>
      </c>
      <c r="K4352">
        <v>1.1133439999999999</v>
      </c>
      <c r="L4352">
        <v>22.423950000000001</v>
      </c>
      <c r="M4352">
        <v>0.98144469999999995</v>
      </c>
      <c r="N4352">
        <v>-1.2587350000000001E-2</v>
      </c>
      <c r="O4352">
        <v>-0.19133269999999999</v>
      </c>
      <c r="P4352">
        <v>0.98229429999999995</v>
      </c>
      <c r="Q4352">
        <v>0.17707989999999901</v>
      </c>
      <c r="R4352">
        <v>-6.1162059999999997E-2</v>
      </c>
      <c r="S4352">
        <v>3.002472</v>
      </c>
      <c r="T4352">
        <v>-4.2444469999999998E-2</v>
      </c>
      <c r="U4352">
        <v>-0.90310670000000004</v>
      </c>
      <c r="V4352">
        <v>-0.12923280000000001</v>
      </c>
      <c r="W4352">
        <v>0.1884612</v>
      </c>
      <c r="X4352">
        <v>0.97354059999999998</v>
      </c>
      <c r="Y4352">
        <v>9.9461729999999998E-2</v>
      </c>
      <c r="Z4352">
        <v>-1.096851E-3</v>
      </c>
      <c r="AA4352">
        <v>0.99504079999999995</v>
      </c>
      <c r="AB4352">
        <v>20</v>
      </c>
      <c r="AC4352">
        <v>82.090599999999995</v>
      </c>
      <c r="AD4352">
        <v>-1.1633439999999999</v>
      </c>
      <c r="AE4352">
        <v>-24.72052</v>
      </c>
      <c r="AF4352">
        <v>8.5543084295132701</v>
      </c>
      <c r="AG4352">
        <v>-1.1633439999999999</v>
      </c>
      <c r="AH4352">
        <v>85.288267268207605</v>
      </c>
      <c r="AI4352">
        <v>90.777573191740103</v>
      </c>
      <c r="AJ4352">
        <v>84.272458507501398</v>
      </c>
      <c r="AK4352">
        <v>85.724081188326494</v>
      </c>
      <c r="AL4352">
        <v>79.137005025482395</v>
      </c>
      <c r="AM4352">
        <v>97.561529457862207</v>
      </c>
      <c r="AN4352">
        <v>1.00000002017481</v>
      </c>
    </row>
    <row r="4353" spans="1:40" x14ac:dyDescent="0.25">
      <c r="A4353" t="str">
        <f>"20190304155501631"</f>
        <v>20190304155501631</v>
      </c>
      <c r="B4353" t="str">
        <f>"1551686101621675"</f>
        <v>1551686101621675</v>
      </c>
      <c r="C4353" t="s">
        <v>40</v>
      </c>
      <c r="D4353">
        <v>4.6836690000000001</v>
      </c>
      <c r="E4353">
        <v>0.5908909</v>
      </c>
      <c r="F4353" t="s">
        <v>46</v>
      </c>
      <c r="G4353">
        <v>-289.95780000000002</v>
      </c>
      <c r="H4353">
        <v>3.4656409999999999E-2</v>
      </c>
      <c r="I4353">
        <v>-12.1782</v>
      </c>
      <c r="J4353">
        <v>-403.28320000000002</v>
      </c>
      <c r="K4353">
        <v>1.113054</v>
      </c>
      <c r="L4353">
        <v>22.380369999999999</v>
      </c>
      <c r="M4353">
        <v>0.9827766</v>
      </c>
      <c r="N4353">
        <v>-1.2531280000000001E-2</v>
      </c>
      <c r="O4353">
        <v>-0.18437210000000001</v>
      </c>
      <c r="P4353">
        <v>0.98243729999999996</v>
      </c>
      <c r="Q4353">
        <v>0.176888299999999</v>
      </c>
      <c r="R4353">
        <v>-5.9392180000000003E-2</v>
      </c>
      <c r="S4353">
        <v>3.0022890000000002</v>
      </c>
      <c r="T4353">
        <v>-2.8509260000000002E-2</v>
      </c>
      <c r="U4353">
        <v>-0.91452029999999995</v>
      </c>
      <c r="V4353">
        <v>-0.12394769999999899</v>
      </c>
      <c r="W4353">
        <v>0.1883446</v>
      </c>
      <c r="X4353">
        <v>0.97425010000000001</v>
      </c>
      <c r="Y4353">
        <v>0.1099977</v>
      </c>
      <c r="Z4353">
        <v>-1.807798E-3</v>
      </c>
      <c r="AA4353">
        <v>0.99393019999999999</v>
      </c>
      <c r="AB4353">
        <v>20</v>
      </c>
      <c r="AC4353">
        <v>113.3254</v>
      </c>
      <c r="AD4353">
        <v>-1.07839759</v>
      </c>
      <c r="AE4353">
        <v>-34.558570000000003</v>
      </c>
      <c r="AF4353">
        <v>13.0692557800021</v>
      </c>
      <c r="AG4353">
        <v>-1.07839759</v>
      </c>
      <c r="AH4353">
        <v>117.74468143083899</v>
      </c>
      <c r="AI4353">
        <v>90.521541998904695</v>
      </c>
      <c r="AJ4353">
        <v>83.666291021997196</v>
      </c>
      <c r="AK4353">
        <v>118.472690495553</v>
      </c>
      <c r="AL4353">
        <v>79.143807191406296</v>
      </c>
      <c r="AM4353">
        <v>97.250430175059293</v>
      </c>
      <c r="AN4353">
        <v>0.99999998901722997</v>
      </c>
    </row>
    <row r="4354" spans="1:40" x14ac:dyDescent="0.25">
      <c r="A4354" t="str">
        <f>"20190304155501654"</f>
        <v>20190304155501654</v>
      </c>
      <c r="B4354" t="str">
        <f>"1551686101651927"</f>
        <v>1551686101651927</v>
      </c>
      <c r="C4354" t="s">
        <v>40</v>
      </c>
      <c r="D4354">
        <v>4.6776970000000002</v>
      </c>
      <c r="E4354">
        <v>0.59169050000000001</v>
      </c>
      <c r="F4354" t="s">
        <v>90</v>
      </c>
      <c r="G4354">
        <v>-279.02</v>
      </c>
      <c r="H4354">
        <v>0.22722619999999999</v>
      </c>
      <c r="I4354">
        <v>-15.734640000000001</v>
      </c>
      <c r="J4354">
        <v>-403.07479999999998</v>
      </c>
      <c r="K4354">
        <v>1.112798</v>
      </c>
      <c r="L4354">
        <v>22.3475</v>
      </c>
      <c r="M4354">
        <v>0.98368849999999997</v>
      </c>
      <c r="N4354">
        <v>-1.2488010000000001E-2</v>
      </c>
      <c r="O4354">
        <v>-0.17944660000000001</v>
      </c>
      <c r="P4354">
        <v>0.98297820000000002</v>
      </c>
      <c r="Q4354">
        <v>0.1743191</v>
      </c>
      <c r="R4354">
        <v>-5.8024630000000001E-2</v>
      </c>
      <c r="S4354">
        <v>3.0018310000000001</v>
      </c>
      <c r="T4354">
        <v>-2.1399020000000001E-2</v>
      </c>
      <c r="U4354">
        <v>-0.92074579999999995</v>
      </c>
      <c r="V4354">
        <v>-0.12036819999999999</v>
      </c>
      <c r="W4354">
        <v>0.18583949999999999</v>
      </c>
      <c r="X4354">
        <v>0.97517960000000004</v>
      </c>
      <c r="Y4354">
        <v>0.1169063</v>
      </c>
      <c r="Z4354">
        <v>-2.1319690000000001E-3</v>
      </c>
      <c r="AA4354">
        <v>0.99314060000000004</v>
      </c>
      <c r="AB4354">
        <v>20</v>
      </c>
      <c r="AC4354">
        <v>124.0548</v>
      </c>
      <c r="AD4354">
        <v>-0.88557179999999902</v>
      </c>
      <c r="AE4354">
        <v>-38.082140000000003</v>
      </c>
      <c r="AF4354">
        <v>15.200227819460199</v>
      </c>
      <c r="AG4354">
        <v>-0.88557179999999902</v>
      </c>
      <c r="AH4354">
        <v>128.86903235063801</v>
      </c>
      <c r="AI4354">
        <v>90.391012712276407</v>
      </c>
      <c r="AJ4354">
        <v>83.272988490810604</v>
      </c>
      <c r="AK4354">
        <v>129.76539855510899</v>
      </c>
      <c r="AL4354">
        <v>79.289919405629306</v>
      </c>
      <c r="AM4354">
        <v>97.036531968220501</v>
      </c>
      <c r="AN4354">
        <v>1.0000000377938201</v>
      </c>
    </row>
    <row r="4355" spans="1:40" x14ac:dyDescent="0.25">
      <c r="A4355" t="str">
        <f>"20190304155501678"</f>
        <v>20190304155501678</v>
      </c>
      <c r="B4355" t="str">
        <f>"1551686101671447"</f>
        <v>1551686101671447</v>
      </c>
      <c r="C4355" t="s">
        <v>40</v>
      </c>
      <c r="D4355">
        <v>4.6605569999999998</v>
      </c>
      <c r="E4355">
        <v>0.59213700000000002</v>
      </c>
      <c r="F4355" t="s">
        <v>46</v>
      </c>
      <c r="G4355">
        <v>-312.47660000000002</v>
      </c>
      <c r="H4355">
        <v>7.9985719999999996E-2</v>
      </c>
      <c r="I4355">
        <v>-5.5057669999999996</v>
      </c>
      <c r="J4355">
        <v>-402.8766</v>
      </c>
      <c r="K4355">
        <v>1.11254599999999</v>
      </c>
      <c r="L4355">
        <v>22.316739999999999</v>
      </c>
      <c r="M4355">
        <v>0.98446140000000004</v>
      </c>
      <c r="N4355">
        <v>-1.244813E-2</v>
      </c>
      <c r="O4355">
        <v>-0.17516019999999999</v>
      </c>
      <c r="P4355">
        <v>0.98296039999999996</v>
      </c>
      <c r="Q4355">
        <v>0.1749762</v>
      </c>
      <c r="R4355">
        <v>-5.6326420000000002E-2</v>
      </c>
      <c r="S4355">
        <v>3.0035400000000001</v>
      </c>
      <c r="T4355">
        <v>-3.4240130000000001E-2</v>
      </c>
      <c r="U4355">
        <v>-0.92340089999999997</v>
      </c>
      <c r="V4355">
        <v>-0.1176706</v>
      </c>
      <c r="W4355">
        <v>0.1865446</v>
      </c>
      <c r="X4355">
        <v>0.97537419999999997</v>
      </c>
      <c r="Y4355">
        <v>0.1218645</v>
      </c>
      <c r="Z4355">
        <v>-1.6776670000000001E-3</v>
      </c>
      <c r="AA4355">
        <v>0.99254529999999996</v>
      </c>
      <c r="AB4355">
        <v>20</v>
      </c>
      <c r="AC4355">
        <v>90.399999999999906</v>
      </c>
      <c r="AD4355">
        <v>-1.03256027999999</v>
      </c>
      <c r="AE4355">
        <v>-27.822507000000002</v>
      </c>
      <c r="AF4355">
        <v>11.555218689541199</v>
      </c>
      <c r="AG4355">
        <v>-1.03256027999999</v>
      </c>
      <c r="AH4355">
        <v>93.864779531344695</v>
      </c>
      <c r="AI4355">
        <v>90.625535533578798</v>
      </c>
      <c r="AJ4355">
        <v>82.981916579433801</v>
      </c>
      <c r="AK4355">
        <v>94.578993947720207</v>
      </c>
      <c r="AL4355">
        <v>79.248801199122099</v>
      </c>
      <c r="AM4355">
        <v>96.879003759589295</v>
      </c>
      <c r="AN4355">
        <v>1.00000004395957</v>
      </c>
    </row>
    <row r="4356" spans="1:40" x14ac:dyDescent="0.25">
      <c r="A4356" t="str">
        <f>"20190304155501698"</f>
        <v>20190304155501698</v>
      </c>
      <c r="B4356" t="str">
        <f>"1551686101691943"</f>
        <v>1551686101691943</v>
      </c>
      <c r="C4356" t="s">
        <v>40</v>
      </c>
      <c r="D4356">
        <v>4.6755630000000004</v>
      </c>
      <c r="E4356">
        <v>0.59259600000000001</v>
      </c>
      <c r="F4356" t="s">
        <v>46</v>
      </c>
      <c r="G4356">
        <v>-297.17410000000001</v>
      </c>
      <c r="H4356" s="1">
        <v>-3.8222469999999999E-7</v>
      </c>
      <c r="I4356">
        <v>-10.154120000000001</v>
      </c>
      <c r="J4356">
        <v>-402.69729999999998</v>
      </c>
      <c r="K4356">
        <v>1.1122970000000001</v>
      </c>
      <c r="L4356">
        <v>22.28922</v>
      </c>
      <c r="M4356">
        <v>0.98507089999999997</v>
      </c>
      <c r="N4356">
        <v>-1.241299E-2</v>
      </c>
      <c r="O4356">
        <v>-0.17170089999999999</v>
      </c>
      <c r="P4356">
        <v>0.98296600000000001</v>
      </c>
      <c r="Q4356">
        <v>0.175844</v>
      </c>
      <c r="R4356">
        <v>-5.344956E-2</v>
      </c>
      <c r="S4356">
        <v>3.0047609999999998</v>
      </c>
      <c r="T4356">
        <v>-3.162587E-2</v>
      </c>
      <c r="U4356">
        <v>-0.92303469999999999</v>
      </c>
      <c r="V4356">
        <v>-0.1169645</v>
      </c>
      <c r="W4356">
        <v>0.18744859999999999</v>
      </c>
      <c r="X4356">
        <v>0.97528579999999998</v>
      </c>
      <c r="Y4356">
        <v>0.12512819999999999</v>
      </c>
      <c r="Z4356">
        <v>-1.7946570000000001E-3</v>
      </c>
      <c r="AA4356">
        <v>0.99213899999999999</v>
      </c>
      <c r="AB4356">
        <v>20</v>
      </c>
      <c r="AC4356">
        <v>105.52319999999899</v>
      </c>
      <c r="AD4356">
        <v>-1.11229738222469</v>
      </c>
      <c r="AE4356">
        <v>-32.443339999999999</v>
      </c>
      <c r="AF4356">
        <v>13.8402234634527</v>
      </c>
      <c r="AG4356">
        <v>-1.11229738222469</v>
      </c>
      <c r="AH4356">
        <v>109.515707680993</v>
      </c>
      <c r="AI4356">
        <v>90.577313575626803</v>
      </c>
      <c r="AJ4356">
        <v>82.797336570296196</v>
      </c>
      <c r="AK4356">
        <v>110.39238750862</v>
      </c>
      <c r="AL4356">
        <v>79.196075634699994</v>
      </c>
      <c r="AM4356">
        <v>96.838731232148007</v>
      </c>
      <c r="AN4356">
        <v>1.00000003179192</v>
      </c>
    </row>
    <row r="4357" spans="1:40" x14ac:dyDescent="0.25">
      <c r="A4357" t="str">
        <f>"20190304155501732"</f>
        <v>20190304155501732</v>
      </c>
      <c r="B4357" t="str">
        <f>"1551686101722200"</f>
        <v>1551686101722200</v>
      </c>
      <c r="C4357" t="s">
        <v>40</v>
      </c>
      <c r="D4357">
        <v>4.7641239999999998</v>
      </c>
      <c r="E4357">
        <v>0.59314789999999995</v>
      </c>
      <c r="F4357" t="s">
        <v>90</v>
      </c>
      <c r="G4357">
        <v>-279.02</v>
      </c>
      <c r="H4357">
        <v>0.1661542</v>
      </c>
      <c r="I4357">
        <v>-15.61591</v>
      </c>
      <c r="J4357">
        <v>-402.40190000000001</v>
      </c>
      <c r="K4357">
        <v>1.111829</v>
      </c>
      <c r="L4357">
        <v>22.244260000000001</v>
      </c>
      <c r="M4357">
        <v>0.98588249999999999</v>
      </c>
      <c r="N4357">
        <v>-1.2357389999999999E-2</v>
      </c>
      <c r="O4357">
        <v>-0.16698180000000001</v>
      </c>
      <c r="P4357">
        <v>0.98381969999999996</v>
      </c>
      <c r="Q4357">
        <v>0.1716356</v>
      </c>
      <c r="R4357">
        <v>-5.1381620000000003E-2</v>
      </c>
      <c r="S4357">
        <v>3.0060120000000001</v>
      </c>
      <c r="T4357">
        <v>-2.2996309999999999E-2</v>
      </c>
      <c r="U4357">
        <v>-0.92129519999999998</v>
      </c>
      <c r="V4357">
        <v>-0.1142425</v>
      </c>
      <c r="W4357">
        <v>0.18333650000000001</v>
      </c>
      <c r="X4357">
        <v>0.97638950000000002</v>
      </c>
      <c r="Y4357">
        <v>0.12924389999999999</v>
      </c>
      <c r="Z4357">
        <v>-2.1009280000000002E-3</v>
      </c>
      <c r="AA4357">
        <v>0.99161060000000001</v>
      </c>
      <c r="AB4357">
        <v>20</v>
      </c>
      <c r="AC4357">
        <v>123.3819</v>
      </c>
      <c r="AD4357">
        <v>-0.94567480000000004</v>
      </c>
      <c r="AE4357">
        <v>-37.860169999999997</v>
      </c>
      <c r="AF4357">
        <v>16.723526983256399</v>
      </c>
      <c r="AG4357">
        <v>-0.94567480000000004</v>
      </c>
      <c r="AH4357">
        <v>127.96492061366401</v>
      </c>
      <c r="AI4357">
        <v>90.419844341280097</v>
      </c>
      <c r="AJ4357">
        <v>82.554306024732995</v>
      </c>
      <c r="AK4357">
        <v>129.05654405433501</v>
      </c>
      <c r="AL4357">
        <v>79.435838256075698</v>
      </c>
      <c r="AM4357">
        <v>96.673551758229493</v>
      </c>
      <c r="AN4357">
        <v>1.0000000383743699</v>
      </c>
    </row>
    <row r="4358" spans="1:40" x14ac:dyDescent="0.25">
      <c r="A4358" t="str">
        <f>"20190304155501753"</f>
        <v>20190304155501753</v>
      </c>
      <c r="B4358" t="str">
        <f>"1551686101741723"</f>
        <v>1551686101741723</v>
      </c>
      <c r="C4358" t="s">
        <v>40</v>
      </c>
      <c r="D4358">
        <v>4.6604559999999999</v>
      </c>
      <c r="E4358">
        <v>0.59333899999999995</v>
      </c>
      <c r="F4358" t="s">
        <v>46</v>
      </c>
      <c r="G4358">
        <v>-314.81009999999998</v>
      </c>
      <c r="H4358">
        <v>7.9986989999999994E-2</v>
      </c>
      <c r="I4358">
        <v>-4.5967209999999996</v>
      </c>
      <c r="J4358">
        <v>-402.21370000000002</v>
      </c>
      <c r="K4358">
        <v>1.111531</v>
      </c>
      <c r="L4358">
        <v>22.215669999999999</v>
      </c>
      <c r="M4358">
        <v>0.98629420000000001</v>
      </c>
      <c r="N4358">
        <v>-1.232536E-2</v>
      </c>
      <c r="O4358">
        <v>-0.16453599999999999</v>
      </c>
      <c r="P4358">
        <v>0.9837496</v>
      </c>
      <c r="Q4358">
        <v>0.1719252</v>
      </c>
      <c r="R4358">
        <v>-5.1753149999999998E-2</v>
      </c>
      <c r="S4358">
        <v>3.0074160000000001</v>
      </c>
      <c r="T4358">
        <v>-3.5427689999999998E-2</v>
      </c>
      <c r="U4358">
        <v>-0.92156979999999999</v>
      </c>
      <c r="V4358">
        <v>-0.1113065</v>
      </c>
      <c r="W4358">
        <v>0.18368709999999999</v>
      </c>
      <c r="X4358">
        <v>0.97666260000000005</v>
      </c>
      <c r="Y4358">
        <v>0.13164629999999999</v>
      </c>
      <c r="Z4358">
        <v>-1.7131749999999999E-3</v>
      </c>
      <c r="AA4358">
        <v>0.99129529999999999</v>
      </c>
      <c r="AB4358">
        <v>20</v>
      </c>
      <c r="AC4358">
        <v>87.403599999999997</v>
      </c>
      <c r="AD4358">
        <v>-1.03154401</v>
      </c>
      <c r="AE4358">
        <v>-26.812390999999899</v>
      </c>
      <c r="AF4358">
        <v>12.0632461277598</v>
      </c>
      <c r="AG4358">
        <v>-1.03154401</v>
      </c>
      <c r="AH4358">
        <v>90.612603633273693</v>
      </c>
      <c r="AI4358">
        <v>90.646529632918401</v>
      </c>
      <c r="AJ4358">
        <v>82.416809667095393</v>
      </c>
      <c r="AK4358">
        <v>91.417886255285097</v>
      </c>
      <c r="AL4358">
        <v>79.415402491282094</v>
      </c>
      <c r="AM4358">
        <v>96.501728847854096</v>
      </c>
      <c r="AN4358">
        <v>0.99999996094370902</v>
      </c>
    </row>
    <row r="4359" spans="1:40" x14ac:dyDescent="0.25">
      <c r="A4359" t="str">
        <f>"20190304155501775"</f>
        <v>20190304155501775</v>
      </c>
      <c r="B4359" t="str">
        <f>"1551686101771976"</f>
        <v>1551686101771976</v>
      </c>
      <c r="C4359" t="s">
        <v>40</v>
      </c>
      <c r="D4359">
        <v>4.7602690000000001</v>
      </c>
      <c r="E4359">
        <v>0.59355880000000005</v>
      </c>
      <c r="F4359" t="s">
        <v>46</v>
      </c>
      <c r="G4359">
        <v>-309.48689999999999</v>
      </c>
      <c r="H4359" s="1">
        <v>-3.7100169999999999E-6</v>
      </c>
      <c r="I4359">
        <v>-6.2708459999999997</v>
      </c>
      <c r="J4359">
        <v>-402.01510000000002</v>
      </c>
      <c r="K4359">
        <v>1.111253</v>
      </c>
      <c r="L4359">
        <v>22.185420000000001</v>
      </c>
      <c r="M4359">
        <v>0.98664960000000002</v>
      </c>
      <c r="N4359">
        <v>-1.229508E-2</v>
      </c>
      <c r="O4359">
        <v>-0.16239379999999901</v>
      </c>
      <c r="P4359">
        <v>0.98345570000000004</v>
      </c>
      <c r="Q4359">
        <v>0.17370829999999901</v>
      </c>
      <c r="R4359">
        <v>-5.138831E-2</v>
      </c>
      <c r="S4359">
        <v>3.007263</v>
      </c>
      <c r="T4359">
        <v>-3.6048650000000002E-2</v>
      </c>
      <c r="U4359">
        <v>-0.92385859999999997</v>
      </c>
      <c r="V4359">
        <v>-0.1093684</v>
      </c>
      <c r="W4359">
        <v>0.18551999999999999</v>
      </c>
      <c r="X4359">
        <v>0.97653509999999999</v>
      </c>
      <c r="Y4359">
        <v>0.13450119999999999</v>
      </c>
      <c r="Z4359">
        <v>-1.71947299999999E-3</v>
      </c>
      <c r="AA4359">
        <v>0.99091200000000002</v>
      </c>
      <c r="AB4359">
        <v>20</v>
      </c>
      <c r="AC4359">
        <v>92.528199999999998</v>
      </c>
      <c r="AD4359">
        <v>-1.1112567100169899</v>
      </c>
      <c r="AE4359">
        <v>-28.4562659999999</v>
      </c>
      <c r="AF4359">
        <v>13.0496220923143</v>
      </c>
      <c r="AG4359">
        <v>-1.1112567100169899</v>
      </c>
      <c r="AH4359">
        <v>95.908628070139599</v>
      </c>
      <c r="AI4359">
        <v>90.657774370743297</v>
      </c>
      <c r="AJ4359">
        <v>82.251741628474804</v>
      </c>
      <c r="AK4359">
        <v>96.7987214095524</v>
      </c>
      <c r="AL4359">
        <v>79.3085485281416</v>
      </c>
      <c r="AM4359">
        <v>96.390290696871205</v>
      </c>
      <c r="AN4359">
        <v>0.99999995942528397</v>
      </c>
    </row>
    <row r="4360" spans="1:40" x14ac:dyDescent="0.25">
      <c r="A4360" t="str">
        <f>"20190304155501796"</f>
        <v>20190304155501796</v>
      </c>
      <c r="B4360" t="str">
        <f>"1551686101791496"</f>
        <v>1551686101791496</v>
      </c>
      <c r="C4360" t="s">
        <v>40</v>
      </c>
      <c r="D4360">
        <v>4.6926670000000001</v>
      </c>
      <c r="E4360">
        <v>0.59384019999999904</v>
      </c>
      <c r="F4360" t="s">
        <v>46</v>
      </c>
      <c r="G4360">
        <v>-302.39710000000002</v>
      </c>
      <c r="H4360" s="1">
        <v>-1.1359720000000001E-6</v>
      </c>
      <c r="I4360">
        <v>-8.4088289999999901</v>
      </c>
      <c r="J4360">
        <v>-401.83530000000002</v>
      </c>
      <c r="K4360">
        <v>1.111008</v>
      </c>
      <c r="L4360">
        <v>22.157900000000001</v>
      </c>
      <c r="M4360">
        <v>0.9868962</v>
      </c>
      <c r="N4360">
        <v>-1.227021E-2</v>
      </c>
      <c r="O4360">
        <v>-0.16089020000000001</v>
      </c>
      <c r="P4360">
        <v>0.98336049999999997</v>
      </c>
      <c r="Q4360">
        <v>0.17422379999999901</v>
      </c>
      <c r="R4360">
        <v>-5.1464950000000002E-2</v>
      </c>
      <c r="S4360">
        <v>3.0081790000000002</v>
      </c>
      <c r="T4360">
        <v>-3.3556699999999898E-2</v>
      </c>
      <c r="U4360">
        <v>-0.92385859999999997</v>
      </c>
      <c r="V4360">
        <v>-0.1076742</v>
      </c>
      <c r="W4360">
        <v>0.1860803</v>
      </c>
      <c r="X4360">
        <v>0.97661679999999995</v>
      </c>
      <c r="Y4360">
        <v>0.1359282</v>
      </c>
      <c r="Z4360">
        <v>-1.8042220000000001E-3</v>
      </c>
      <c r="AA4360">
        <v>0.99071710000000002</v>
      </c>
      <c r="AB4360">
        <v>20</v>
      </c>
      <c r="AC4360">
        <v>99.438199999999995</v>
      </c>
      <c r="AD4360">
        <v>-1.111009135972</v>
      </c>
      <c r="AE4360">
        <v>-30.566728999999999</v>
      </c>
      <c r="AF4360">
        <v>14.1670053291967</v>
      </c>
      <c r="AG4360">
        <v>-1.111009135972</v>
      </c>
      <c r="AH4360">
        <v>103.049057446867</v>
      </c>
      <c r="AI4360">
        <v>90.611947106230602</v>
      </c>
      <c r="AJ4360">
        <v>82.172145872646993</v>
      </c>
      <c r="AK4360">
        <v>104.024259776195</v>
      </c>
      <c r="AL4360">
        <v>79.275877167774397</v>
      </c>
      <c r="AM4360">
        <v>96.291578193222605</v>
      </c>
      <c r="AN4360">
        <v>0.99999999271798401</v>
      </c>
    </row>
    <row r="4361" spans="1:40" x14ac:dyDescent="0.25">
      <c r="A4361" t="str">
        <f>"20190304155501822"</f>
        <v>20190304155501822</v>
      </c>
      <c r="B4361" t="str">
        <f>"1551686101811991"</f>
        <v>1551686101811991</v>
      </c>
      <c r="C4361" t="s">
        <v>40</v>
      </c>
      <c r="D4361">
        <v>4.6706300000000001</v>
      </c>
      <c r="E4361">
        <v>0.59377930000000001</v>
      </c>
      <c r="F4361" t="s">
        <v>46</v>
      </c>
      <c r="G4361">
        <v>-291.70389999999998</v>
      </c>
      <c r="H4361" s="1">
        <v>-5.1322800000000003E-6</v>
      </c>
      <c r="I4361">
        <v>-11.834070000000001</v>
      </c>
      <c r="J4361">
        <v>-401.61110000000002</v>
      </c>
      <c r="K4361">
        <v>1.110689</v>
      </c>
      <c r="L4361">
        <v>22.123380000000001</v>
      </c>
      <c r="M4361">
        <v>0.98710810000000004</v>
      </c>
      <c r="N4361">
        <v>-1.2242650000000001E-2</v>
      </c>
      <c r="O4361">
        <v>-0.15958649999999999</v>
      </c>
      <c r="P4361">
        <v>0.98354640000000004</v>
      </c>
      <c r="Q4361">
        <v>0.1732243</v>
      </c>
      <c r="R4361">
        <v>-5.1283200000000001E-2</v>
      </c>
      <c r="S4361">
        <v>3.007568</v>
      </c>
      <c r="T4361">
        <v>-3.0340550000000001E-2</v>
      </c>
      <c r="U4361">
        <v>-0.92828370000000004</v>
      </c>
      <c r="V4361">
        <v>-0.1064486</v>
      </c>
      <c r="W4361">
        <v>0.18514</v>
      </c>
      <c r="X4361">
        <v>0.97692979999999996</v>
      </c>
      <c r="Y4361">
        <v>0.13862639999999901</v>
      </c>
      <c r="Z4361">
        <v>-1.920169E-3</v>
      </c>
      <c r="AA4361">
        <v>0.99034290000000003</v>
      </c>
      <c r="AB4361">
        <v>20</v>
      </c>
      <c r="AC4361">
        <v>109.9072</v>
      </c>
      <c r="AD4361">
        <v>-1.1106941322799999</v>
      </c>
      <c r="AE4361">
        <v>-33.957449999999902</v>
      </c>
      <c r="AF4361">
        <v>15.979675462663</v>
      </c>
      <c r="AG4361">
        <v>-1.1106941322799999</v>
      </c>
      <c r="AH4361">
        <v>113.907348562424</v>
      </c>
      <c r="AI4361">
        <v>90.553247993944893</v>
      </c>
      <c r="AJ4361">
        <v>82.014284530032498</v>
      </c>
      <c r="AK4361">
        <v>115.028117109988</v>
      </c>
      <c r="AL4361">
        <v>79.330704964508101</v>
      </c>
      <c r="AM4361">
        <v>96.218551624204395</v>
      </c>
      <c r="AN4361">
        <v>0.99999997908499905</v>
      </c>
    </row>
    <row r="4362" spans="1:40" x14ac:dyDescent="0.25">
      <c r="A4362" t="str">
        <f>"20190304155501845"</f>
        <v>20190304155501845</v>
      </c>
      <c r="B4362" t="str">
        <f>"1551686101842248"</f>
        <v>1551686101842248</v>
      </c>
      <c r="C4362" t="s">
        <v>40</v>
      </c>
      <c r="D4362">
        <v>4.6982309999999998</v>
      </c>
      <c r="E4362">
        <v>0.59449079999999999</v>
      </c>
      <c r="F4362" t="s">
        <v>46</v>
      </c>
      <c r="G4362">
        <v>-297.33</v>
      </c>
      <c r="H4362" s="1">
        <v>-3.7176949999999999E-7</v>
      </c>
      <c r="I4362">
        <v>-10.073320000000001</v>
      </c>
      <c r="J4362">
        <v>-401.41300000000001</v>
      </c>
      <c r="K4362">
        <v>1.110412</v>
      </c>
      <c r="L4362">
        <v>22.092500000000001</v>
      </c>
      <c r="M4362">
        <v>0.98720169999999996</v>
      </c>
      <c r="N4362">
        <v>-1.222298E-2</v>
      </c>
      <c r="O4362">
        <v>-0.15900810000000001</v>
      </c>
      <c r="P4362">
        <v>0.98360530000000002</v>
      </c>
      <c r="Q4362">
        <v>0.172493799999999</v>
      </c>
      <c r="R4362">
        <v>-5.2595099999999999E-2</v>
      </c>
      <c r="S4362">
        <v>3.0073850000000002</v>
      </c>
      <c r="T4362">
        <v>-3.2031419999999998E-2</v>
      </c>
      <c r="U4362">
        <v>-0.92852780000000001</v>
      </c>
      <c r="V4362">
        <v>-0.1044634</v>
      </c>
      <c r="W4362">
        <v>0.18446609999999999</v>
      </c>
      <c r="X4362">
        <v>0.97727160000000002</v>
      </c>
      <c r="Y4362">
        <v>0.13929559999999999</v>
      </c>
      <c r="Z4362">
        <v>-1.8733280000000001E-3</v>
      </c>
      <c r="AA4362">
        <v>0.99024909999999999</v>
      </c>
      <c r="AB4362">
        <v>20</v>
      </c>
      <c r="AC4362">
        <v>104.083</v>
      </c>
      <c r="AD4362">
        <v>-1.1104123717695</v>
      </c>
      <c r="AE4362">
        <v>-32.165819999999997</v>
      </c>
      <c r="AF4362">
        <v>15.2036670937909</v>
      </c>
      <c r="AG4362">
        <v>-1.1104123717695</v>
      </c>
      <c r="AH4362">
        <v>107.86238327221299</v>
      </c>
      <c r="AI4362">
        <v>90.584049776695593</v>
      </c>
      <c r="AJ4362">
        <v>81.976770170866999</v>
      </c>
      <c r="AK4362">
        <v>108.934284015161</v>
      </c>
      <c r="AL4362">
        <v>79.369994203612805</v>
      </c>
      <c r="AM4362">
        <v>96.101344507269701</v>
      </c>
      <c r="AN4362">
        <v>1.0000000620776599</v>
      </c>
    </row>
    <row r="4363" spans="1:40" x14ac:dyDescent="0.25">
      <c r="A4363" t="str">
        <f>"20190304155501866"</f>
        <v>20190304155501866</v>
      </c>
      <c r="B4363" t="str">
        <f>"1551686101861768"</f>
        <v>1551686101861768</v>
      </c>
      <c r="C4363" t="s">
        <v>40</v>
      </c>
      <c r="D4363">
        <v>4.7506089999999999</v>
      </c>
      <c r="E4363">
        <v>0.59500549999999996</v>
      </c>
      <c r="F4363" t="s">
        <v>46</v>
      </c>
      <c r="G4363">
        <v>-310.26170000000002</v>
      </c>
      <c r="H4363">
        <v>7.9985929999999997E-2</v>
      </c>
      <c r="I4363">
        <v>-6.3954890000000004</v>
      </c>
      <c r="J4363">
        <v>-401.221</v>
      </c>
      <c r="K4363">
        <v>1.110174</v>
      </c>
      <c r="L4363">
        <v>22.06213</v>
      </c>
      <c r="M4363">
        <v>0.9872358</v>
      </c>
      <c r="N4363">
        <v>-1.22077E-2</v>
      </c>
      <c r="O4363">
        <v>-0.15879660000000001</v>
      </c>
      <c r="P4363">
        <v>0.98359989999999997</v>
      </c>
      <c r="Q4363">
        <v>0.17222399999999999</v>
      </c>
      <c r="R4363">
        <v>-5.3575820000000003E-2</v>
      </c>
      <c r="S4363">
        <v>3.0057070000000001</v>
      </c>
      <c r="T4363">
        <v>-3.3978220000000003E-2</v>
      </c>
      <c r="U4363">
        <v>-0.93939209999999995</v>
      </c>
      <c r="V4363">
        <v>-0.103179199999999</v>
      </c>
      <c r="W4363">
        <v>0.1842425</v>
      </c>
      <c r="X4363">
        <v>0.97745009999999999</v>
      </c>
      <c r="Y4363">
        <v>0.14292479999999999</v>
      </c>
      <c r="Z4363">
        <v>-1.8563200000000001E-3</v>
      </c>
      <c r="AA4363">
        <v>0.98973180000000005</v>
      </c>
      <c r="AB4363">
        <v>20</v>
      </c>
      <c r="AC4363">
        <v>90.959299999999899</v>
      </c>
      <c r="AD4363">
        <v>-1.0301880699999999</v>
      </c>
      <c r="AE4363">
        <v>-28.457619000000001</v>
      </c>
      <c r="AF4363">
        <v>13.6497757224386</v>
      </c>
      <c r="AG4363">
        <v>-1.0301880699999999</v>
      </c>
      <c r="AH4363">
        <v>94.313263941952897</v>
      </c>
      <c r="AI4363">
        <v>90.619366947779596</v>
      </c>
      <c r="AJ4363">
        <v>81.764873529404795</v>
      </c>
      <c r="AK4363">
        <v>95.301465991436402</v>
      </c>
      <c r="AL4363">
        <v>79.383027989828093</v>
      </c>
      <c r="AM4363">
        <v>96.025801774165998</v>
      </c>
      <c r="AN4363">
        <v>0.99999997205444902</v>
      </c>
    </row>
    <row r="4364" spans="1:40" x14ac:dyDescent="0.25">
      <c r="A4364" t="str">
        <f>"20190304155501888"</f>
        <v>20190304155501888</v>
      </c>
      <c r="B4364" t="str">
        <f>"1551686101882264"</f>
        <v>1551686101882264</v>
      </c>
      <c r="C4364" t="s">
        <v>40</v>
      </c>
      <c r="D4364">
        <v>4.6630859999999998</v>
      </c>
      <c r="E4364">
        <v>0.59486669999999997</v>
      </c>
      <c r="F4364" t="s">
        <v>44</v>
      </c>
      <c r="G4364">
        <v>-350.85680000000002</v>
      </c>
      <c r="H4364">
        <v>0.50008090000000005</v>
      </c>
      <c r="I4364">
        <v>6.2077249999999999</v>
      </c>
      <c r="J4364">
        <v>-401.02960000000002</v>
      </c>
      <c r="K4364">
        <v>1.1099829999999999</v>
      </c>
      <c r="L4364">
        <v>22.031459999999999</v>
      </c>
      <c r="M4364">
        <v>0.98721899999999996</v>
      </c>
      <c r="N4364">
        <v>-1.2194679999999999E-2</v>
      </c>
      <c r="O4364">
        <v>-0.1589024</v>
      </c>
      <c r="P4364">
        <v>0.98359090000000005</v>
      </c>
      <c r="Q4364">
        <v>0.1722023</v>
      </c>
      <c r="R4364">
        <v>-5.3813529999999998E-2</v>
      </c>
      <c r="S4364">
        <v>3.004883</v>
      </c>
      <c r="T4364">
        <v>-3.6399960000000002E-2</v>
      </c>
      <c r="U4364">
        <v>-0.94592290000000001</v>
      </c>
      <c r="V4364">
        <v>-0.10296130000000001</v>
      </c>
      <c r="W4364">
        <v>0.18425659999999999</v>
      </c>
      <c r="X4364">
        <v>0.97747050000000002</v>
      </c>
      <c r="Y4364">
        <v>0.14485190000000001</v>
      </c>
      <c r="Z4364">
        <v>-1.8091229999999999E-3</v>
      </c>
      <c r="AA4364">
        <v>0.98945170000000005</v>
      </c>
      <c r="AB4364">
        <v>20</v>
      </c>
      <c r="AC4364">
        <v>50.172800000000002</v>
      </c>
      <c r="AD4364">
        <v>-0.609902099999999</v>
      </c>
      <c r="AE4364">
        <v>-15.823734999999999</v>
      </c>
      <c r="AF4364">
        <v>7.6484542095574</v>
      </c>
      <c r="AG4364">
        <v>-0.609902099999999</v>
      </c>
      <c r="AH4364">
        <v>52.042845677457997</v>
      </c>
      <c r="AI4364">
        <v>90.664296744242804</v>
      </c>
      <c r="AJ4364">
        <v>81.639400204865296</v>
      </c>
      <c r="AK4364">
        <v>52.6054048418505</v>
      </c>
      <c r="AL4364">
        <v>79.382206896871594</v>
      </c>
      <c r="AM4364">
        <v>96.013044884972601</v>
      </c>
      <c r="AN4364">
        <v>1.0000000511557401</v>
      </c>
    </row>
    <row r="4365" spans="1:40" x14ac:dyDescent="0.25">
      <c r="A4365" t="str">
        <f>"20190304155501910"</f>
        <v>20190304155501910</v>
      </c>
      <c r="B4365" t="str">
        <f>"1551686101901784"</f>
        <v>1551686101901784</v>
      </c>
      <c r="C4365" t="s">
        <v>40</v>
      </c>
      <c r="D4365">
        <v>4.7563769999999996</v>
      </c>
      <c r="E4365">
        <v>0.54452319999999999</v>
      </c>
      <c r="F4365" t="s">
        <v>44</v>
      </c>
      <c r="G4365">
        <v>-350.76220000000001</v>
      </c>
      <c r="H4365">
        <v>0.48926510000000001</v>
      </c>
      <c r="I4365">
        <v>6.2101459999999999</v>
      </c>
      <c r="J4365">
        <v>-400.83269999999999</v>
      </c>
      <c r="K4365">
        <v>1.10981</v>
      </c>
      <c r="L4365">
        <v>21.99945</v>
      </c>
      <c r="M4365">
        <v>0.98714599999999997</v>
      </c>
      <c r="N4365">
        <v>-1.2183100000000001E-2</v>
      </c>
      <c r="O4365">
        <v>-0.159356</v>
      </c>
      <c r="P4365">
        <v>0.98378929999999998</v>
      </c>
      <c r="Q4365">
        <v>0.17108770000000001</v>
      </c>
      <c r="R4365">
        <v>-5.3738080000000001E-2</v>
      </c>
      <c r="S4365">
        <v>3.004791</v>
      </c>
      <c r="T4365">
        <v>-3.7104129999999999E-2</v>
      </c>
      <c r="U4365">
        <v>-0.94573969999999896</v>
      </c>
      <c r="V4365">
        <v>-0.10344299999999999</v>
      </c>
      <c r="W4365">
        <v>0.18317620000000001</v>
      </c>
      <c r="X4365">
        <v>0.97762260000000001</v>
      </c>
      <c r="Y4365">
        <v>0.1443506</v>
      </c>
      <c r="Z4365">
        <v>-1.7809869999999999E-3</v>
      </c>
      <c r="AA4365">
        <v>0.98952499999999999</v>
      </c>
      <c r="AB4365">
        <v>20</v>
      </c>
      <c r="AC4365">
        <v>50.070499999999903</v>
      </c>
      <c r="AD4365">
        <v>-0.62054489999999995</v>
      </c>
      <c r="AE4365">
        <v>-15.789304</v>
      </c>
      <c r="AF4365">
        <v>7.6068156581614899</v>
      </c>
      <c r="AG4365">
        <v>-0.62054489999999995</v>
      </c>
      <c r="AH4365">
        <v>51.939613552778901</v>
      </c>
      <c r="AI4365">
        <v>90.677280454878897</v>
      </c>
      <c r="AJ4365">
        <v>81.6679814788599</v>
      </c>
      <c r="AK4365">
        <v>52.497353994674597</v>
      </c>
      <c r="AL4365">
        <v>79.445180163592994</v>
      </c>
      <c r="AM4365">
        <v>96.040036198378203</v>
      </c>
      <c r="AN4365">
        <v>0.99999996126309898</v>
      </c>
    </row>
    <row r="4366" spans="1:40" x14ac:dyDescent="0.25">
      <c r="A4366" t="str">
        <f>"20190304155501933"</f>
        <v>20190304155501933</v>
      </c>
      <c r="B4366" t="str">
        <f>"1551686101921303"</f>
        <v>1551686101921303</v>
      </c>
      <c r="C4366" t="s">
        <v>40</v>
      </c>
      <c r="D4366">
        <v>4.7239680000000002</v>
      </c>
      <c r="E4366">
        <v>0.53871630000000004</v>
      </c>
      <c r="F4366" t="s">
        <v>46</v>
      </c>
      <c r="G4366">
        <v>-346.25889999999998</v>
      </c>
      <c r="H4366" s="1">
        <v>-3.239581E-6</v>
      </c>
      <c r="I4366">
        <v>12.173220000000001</v>
      </c>
      <c r="J4366">
        <v>-400.63720000000001</v>
      </c>
      <c r="K4366">
        <v>1.109656</v>
      </c>
      <c r="L4366">
        <v>21.967220000000001</v>
      </c>
      <c r="M4366">
        <v>0.98701930000000004</v>
      </c>
      <c r="N4366">
        <v>-1.2174219999999999E-2</v>
      </c>
      <c r="O4366">
        <v>-0.1601398</v>
      </c>
      <c r="P4366">
        <v>0.98391320000000004</v>
      </c>
      <c r="Q4366">
        <v>0.1704437</v>
      </c>
      <c r="R4366">
        <v>-5.3515269999999997E-2</v>
      </c>
      <c r="S4366">
        <v>3.0303650000000002</v>
      </c>
      <c r="T4366">
        <v>-6.1625480000000003E-2</v>
      </c>
      <c r="U4366">
        <v>-0.54562379999999999</v>
      </c>
      <c r="V4366">
        <v>-0.1043934</v>
      </c>
      <c r="W4366">
        <v>0.18256439999999999</v>
      </c>
      <c r="X4366">
        <v>0.97763599999999995</v>
      </c>
      <c r="Y4366">
        <v>1.7297610000000001E-2</v>
      </c>
      <c r="Z4366">
        <v>9.8034760000000011E-4</v>
      </c>
      <c r="AA4366">
        <v>0.99984989999999996</v>
      </c>
      <c r="AB4366">
        <v>20</v>
      </c>
      <c r="AC4366">
        <v>54.378300000000003</v>
      </c>
      <c r="AD4366">
        <v>-1.1096592395810001</v>
      </c>
      <c r="AE4366">
        <v>-9.7940000000000005</v>
      </c>
      <c r="AF4366">
        <v>0.95842139940802595</v>
      </c>
      <c r="AG4366">
        <v>-1.1096592395810001</v>
      </c>
      <c r="AH4366">
        <v>55.222659997307701</v>
      </c>
      <c r="AI4366">
        <v>91.150988859787503</v>
      </c>
      <c r="AJ4366">
        <v>89.005698230263505</v>
      </c>
      <c r="AK4366">
        <v>55.2421224464183</v>
      </c>
      <c r="AL4366">
        <v>79.480834799035506</v>
      </c>
      <c r="AM4366">
        <v>96.095031290306807</v>
      </c>
      <c r="AN4366">
        <v>0.99999994530345804</v>
      </c>
    </row>
    <row r="4367" spans="1:40" x14ac:dyDescent="0.25">
      <c r="A4367" t="str">
        <f>"20190304155501954"</f>
        <v>20190304155501954</v>
      </c>
      <c r="B4367" t="str">
        <f>"1551686101951560"</f>
        <v>1551686101951560</v>
      </c>
      <c r="C4367" t="s">
        <v>40</v>
      </c>
      <c r="D4367">
        <v>4.6153899999999997</v>
      </c>
      <c r="E4367">
        <v>0.53647880000000003</v>
      </c>
      <c r="F4367" t="s">
        <v>46</v>
      </c>
      <c r="G4367">
        <v>-359.31540000000001</v>
      </c>
      <c r="H4367" s="1">
        <v>-1.4042569999999999E-6</v>
      </c>
      <c r="I4367">
        <v>15.16173</v>
      </c>
      <c r="J4367">
        <v>-400.44299999999998</v>
      </c>
      <c r="K4367">
        <v>1.1095090000000001</v>
      </c>
      <c r="L4367">
        <v>21.934660000000001</v>
      </c>
      <c r="M4367">
        <v>0.98684550000000004</v>
      </c>
      <c r="N4367">
        <v>-1.216856E-2</v>
      </c>
      <c r="O4367">
        <v>-0.1612083</v>
      </c>
      <c r="P4367">
        <v>0.98383949999999998</v>
      </c>
      <c r="Q4367">
        <v>0.1707465</v>
      </c>
      <c r="R4367">
        <v>-5.3905340000000003E-2</v>
      </c>
      <c r="S4367">
        <v>3.0359500000000001</v>
      </c>
      <c r="T4367">
        <v>-8.1527589999999997E-2</v>
      </c>
      <c r="U4367">
        <v>-0.5</v>
      </c>
      <c r="V4367">
        <v>-0.1049905</v>
      </c>
      <c r="W4367">
        <v>0.18289910000000001</v>
      </c>
      <c r="X4367">
        <v>0.97750959999999998</v>
      </c>
      <c r="Y4367">
        <v>1.316546E-3</v>
      </c>
      <c r="Z4367">
        <v>2.2841200000000002E-3</v>
      </c>
      <c r="AA4367">
        <v>0.99999649999999995</v>
      </c>
      <c r="AB4367">
        <v>20</v>
      </c>
      <c r="AC4367">
        <v>41.127600000000001</v>
      </c>
      <c r="AD4367">
        <v>-1.1095104042569901</v>
      </c>
      <c r="AE4367">
        <v>-6.7729299999999997</v>
      </c>
      <c r="AF4367">
        <v>5.36909420084761E-2</v>
      </c>
      <c r="AG4367">
        <v>-1.1095104042569901</v>
      </c>
      <c r="AH4367">
        <v>41.652007963764802</v>
      </c>
      <c r="AI4367">
        <v>91.525861165367004</v>
      </c>
      <c r="AJ4367">
        <v>89.926143712591397</v>
      </c>
      <c r="AK4367">
        <v>41.666817294676299</v>
      </c>
      <c r="AL4367">
        <v>79.461330622843505</v>
      </c>
      <c r="AM4367">
        <v>96.130415033072495</v>
      </c>
      <c r="AN4367">
        <v>1.0000000519815999</v>
      </c>
    </row>
    <row r="4368" spans="1:40" x14ac:dyDescent="0.25">
      <c r="A4368" t="str">
        <f>"20190304155501977"</f>
        <v>20190304155501977</v>
      </c>
      <c r="B4368" t="str">
        <f>"1551686101972056"</f>
        <v>1551686101972056</v>
      </c>
      <c r="C4368" t="s">
        <v>40</v>
      </c>
      <c r="D4368">
        <v>4.6906369999999997</v>
      </c>
      <c r="E4368">
        <v>0.53506509999999996</v>
      </c>
      <c r="F4368" t="s">
        <v>91</v>
      </c>
      <c r="G4368">
        <v>-363.77850000000001</v>
      </c>
      <c r="H4368" s="1">
        <v>-3.5646979999999999E-6</v>
      </c>
      <c r="I4368">
        <v>16.10247</v>
      </c>
      <c r="J4368">
        <v>-400.24610000000001</v>
      </c>
      <c r="K4368">
        <v>1.1093710000000001</v>
      </c>
      <c r="L4368">
        <v>21.90109</v>
      </c>
      <c r="M4368">
        <v>0.98662640000000001</v>
      </c>
      <c r="N4368">
        <v>-1.216545E-2</v>
      </c>
      <c r="O4368">
        <v>-0.16254440000000001</v>
      </c>
      <c r="P4368">
        <v>0.98359669999999999</v>
      </c>
      <c r="Q4368">
        <v>0.1719212</v>
      </c>
      <c r="R4368">
        <v>-5.459468E-2</v>
      </c>
      <c r="S4368">
        <v>3.0387270000000002</v>
      </c>
      <c r="T4368">
        <v>-9.1955540000000002E-2</v>
      </c>
      <c r="U4368">
        <v>-0.48336790000000002</v>
      </c>
      <c r="V4368">
        <v>-0.10552880000000001</v>
      </c>
      <c r="W4368">
        <v>0.18410660000000001</v>
      </c>
      <c r="X4368">
        <v>0.97722489999999995</v>
      </c>
      <c r="Y4368">
        <v>-5.5047269999999896E-3</v>
      </c>
      <c r="Z4368">
        <v>2.9935750000000001E-3</v>
      </c>
      <c r="AA4368">
        <v>0.99998039999999999</v>
      </c>
      <c r="AB4368">
        <v>20</v>
      </c>
      <c r="AC4368">
        <v>36.467599999999997</v>
      </c>
      <c r="AD4368">
        <v>-1.10937456469799</v>
      </c>
      <c r="AE4368">
        <v>-5.7986199999999997</v>
      </c>
      <c r="AF4368">
        <v>-0.20636157320517501</v>
      </c>
      <c r="AG4368">
        <v>-1.10937456469799</v>
      </c>
      <c r="AH4368">
        <v>36.891857682326602</v>
      </c>
      <c r="AI4368">
        <v>91.722394648871003</v>
      </c>
      <c r="AJ4368">
        <v>90.320491420745597</v>
      </c>
      <c r="AK4368">
        <v>36.909110803116597</v>
      </c>
      <c r="AL4368">
        <v>79.390950695501004</v>
      </c>
      <c r="AM4368">
        <v>96.163386584024295</v>
      </c>
      <c r="AN4368">
        <v>1.0000000364865</v>
      </c>
    </row>
    <row r="4369" spans="1:40" x14ac:dyDescent="0.25">
      <c r="A4369" t="str">
        <f>"20190304155501999"</f>
        <v>20190304155501999</v>
      </c>
      <c r="B4369" t="str">
        <f>"1551686101991576"</f>
        <v>1551686101991576</v>
      </c>
      <c r="C4369" t="s">
        <v>40</v>
      </c>
      <c r="D4369">
        <v>4.7182899999999997</v>
      </c>
      <c r="E4369">
        <v>0.5337518</v>
      </c>
      <c r="F4369" t="s">
        <v>91</v>
      </c>
      <c r="G4369">
        <v>-362.5059</v>
      </c>
      <c r="H4369" s="1">
        <v>-4.1788090000000002E-6</v>
      </c>
      <c r="I4369">
        <v>16.031739999999999</v>
      </c>
      <c r="J4369">
        <v>-400.05169999999998</v>
      </c>
      <c r="K4369">
        <v>1.109248</v>
      </c>
      <c r="L4369">
        <v>21.867339999999999</v>
      </c>
      <c r="M4369">
        <v>0.98637220000000003</v>
      </c>
      <c r="N4369">
        <v>-1.2163419999999999E-2</v>
      </c>
      <c r="O4369">
        <v>-0.16408</v>
      </c>
      <c r="P4369">
        <v>0.98341959999999995</v>
      </c>
      <c r="Q4369">
        <v>0.17259530000000001</v>
      </c>
      <c r="R4369">
        <v>-5.5655259999999998E-2</v>
      </c>
      <c r="S4369">
        <v>3.0393979999999998</v>
      </c>
      <c r="T4369">
        <v>-8.9343309999999995E-2</v>
      </c>
      <c r="U4369">
        <v>-0.47268680000000002</v>
      </c>
      <c r="V4369">
        <v>-0.10592</v>
      </c>
      <c r="W4369">
        <v>0.1848101</v>
      </c>
      <c r="X4369">
        <v>0.97704979999999997</v>
      </c>
      <c r="Y4369">
        <v>-1.0524210000000001E-2</v>
      </c>
      <c r="Z4369">
        <v>2.9831359999999999E-3</v>
      </c>
      <c r="AA4369">
        <v>0.99994019999999995</v>
      </c>
      <c r="AB4369">
        <v>20</v>
      </c>
      <c r="AC4369">
        <v>37.5457999999999</v>
      </c>
      <c r="AD4369">
        <v>-1.109252178809</v>
      </c>
      <c r="AE4369">
        <v>-5.8356000000000003</v>
      </c>
      <c r="AF4369">
        <v>-0.404126691874864</v>
      </c>
      <c r="AG4369">
        <v>-1.109252178809</v>
      </c>
      <c r="AH4369">
        <v>37.962089882041802</v>
      </c>
      <c r="AI4369">
        <v>91.673611535839498</v>
      </c>
      <c r="AJ4369">
        <v>90.6099210890454</v>
      </c>
      <c r="AK4369">
        <v>37.980442690831097</v>
      </c>
      <c r="AL4369">
        <v>79.349939687878702</v>
      </c>
      <c r="AM4369">
        <v>96.187157738252196</v>
      </c>
      <c r="AN4369">
        <v>1.0000000655710199</v>
      </c>
    </row>
    <row r="4370" spans="1:40" x14ac:dyDescent="0.25">
      <c r="A4370" t="str">
        <f>"20190304155502023"</f>
        <v>20190304155502023</v>
      </c>
      <c r="B4370" t="str">
        <f>"1551686102012075"</f>
        <v>1551686102012075</v>
      </c>
      <c r="C4370" t="s">
        <v>40</v>
      </c>
      <c r="D4370">
        <v>4.7054729999999996</v>
      </c>
      <c r="E4370">
        <v>0.53325219999999995</v>
      </c>
      <c r="F4370" t="s">
        <v>91</v>
      </c>
      <c r="G4370">
        <v>-363.73480000000001</v>
      </c>
      <c r="H4370" s="1">
        <v>-3.548744E-6</v>
      </c>
      <c r="I4370">
        <v>16.308729999999901</v>
      </c>
      <c r="J4370">
        <v>-399.84550000000002</v>
      </c>
      <c r="K4370">
        <v>1.1091390000000001</v>
      </c>
      <c r="L4370">
        <v>21.830870000000001</v>
      </c>
      <c r="M4370">
        <v>0.98606439999999995</v>
      </c>
      <c r="N4370">
        <v>-1.215575E-2</v>
      </c>
      <c r="O4370">
        <v>-0.16591989999999901</v>
      </c>
      <c r="P4370">
        <v>0.98326369999999996</v>
      </c>
      <c r="Q4370">
        <v>0.172730299999999</v>
      </c>
      <c r="R4370">
        <v>-5.793732E-2</v>
      </c>
      <c r="S4370">
        <v>3.040619</v>
      </c>
      <c r="T4370">
        <v>-9.2871670000000003E-2</v>
      </c>
      <c r="U4370">
        <v>-0.4653931</v>
      </c>
      <c r="V4370">
        <v>-0.1054249</v>
      </c>
      <c r="W4370">
        <v>0.18496190000000001</v>
      </c>
      <c r="X4370">
        <v>0.97707460000000002</v>
      </c>
      <c r="Y4370">
        <v>-1.478671E-2</v>
      </c>
      <c r="Z4370">
        <v>3.3003759999999998E-3</v>
      </c>
      <c r="AA4370">
        <v>0.99988520000000003</v>
      </c>
      <c r="AB4370">
        <v>20</v>
      </c>
      <c r="AC4370">
        <v>36.110700000000001</v>
      </c>
      <c r="AD4370">
        <v>-1.1091425487440001</v>
      </c>
      <c r="AE4370">
        <v>-5.5221400000000003</v>
      </c>
      <c r="AF4370">
        <v>-0.54583520229049298</v>
      </c>
      <c r="AG4370">
        <v>-1.1091425487440001</v>
      </c>
      <c r="AH4370">
        <v>36.492763011819399</v>
      </c>
      <c r="AI4370">
        <v>91.740688383641199</v>
      </c>
      <c r="AJ4370">
        <v>90.856929399062807</v>
      </c>
      <c r="AK4370">
        <v>36.513694492591497</v>
      </c>
      <c r="AL4370">
        <v>79.341089380775301</v>
      </c>
      <c r="AM4370">
        <v>96.158304852314998</v>
      </c>
      <c r="AN4370">
        <v>1.00000004397838</v>
      </c>
    </row>
    <row r="4371" spans="1:40" x14ac:dyDescent="0.25">
      <c r="A4371" t="str">
        <f>"20190304155502045"</f>
        <v>20190304155502045</v>
      </c>
      <c r="B4371" t="str">
        <f>"1551686102041352"</f>
        <v>1551686102041352</v>
      </c>
      <c r="C4371" t="s">
        <v>40</v>
      </c>
      <c r="D4371">
        <v>4.7045430000000001</v>
      </c>
      <c r="E4371">
        <v>0.53299300000000005</v>
      </c>
      <c r="F4371" t="s">
        <v>91</v>
      </c>
      <c r="G4371">
        <v>-363.61610000000002</v>
      </c>
      <c r="H4371" s="1">
        <v>-3.614552E-6</v>
      </c>
      <c r="I4371">
        <v>16.254069999999999</v>
      </c>
      <c r="J4371">
        <v>-399.65190000000001</v>
      </c>
      <c r="K4371">
        <v>1.10907</v>
      </c>
      <c r="L4371">
        <v>21.796019999999999</v>
      </c>
      <c r="M4371">
        <v>0.98574349999999999</v>
      </c>
      <c r="N4371">
        <v>-1.2132469999999999E-2</v>
      </c>
      <c r="O4371">
        <v>-0.1678172</v>
      </c>
      <c r="P4371">
        <v>0.98320200000000002</v>
      </c>
      <c r="Q4371">
        <v>0.17167669999999999</v>
      </c>
      <c r="R4371">
        <v>-6.1977009999999999E-2</v>
      </c>
      <c r="S4371">
        <v>3.0398559999999999</v>
      </c>
      <c r="T4371">
        <v>-9.3063590000000002E-2</v>
      </c>
      <c r="U4371">
        <v>-0.46792600000000001</v>
      </c>
      <c r="V4371">
        <v>-0.1032951</v>
      </c>
      <c r="W4371">
        <v>0.18389800000000001</v>
      </c>
      <c r="X4371">
        <v>0.97750280000000001</v>
      </c>
      <c r="Y4371">
        <v>-1.5858150000000001E-2</v>
      </c>
      <c r="Z4371">
        <v>3.372168E-3</v>
      </c>
      <c r="AA4371">
        <v>0.9998686</v>
      </c>
      <c r="AB4371">
        <v>20</v>
      </c>
      <c r="AC4371">
        <v>36.035800000000002</v>
      </c>
      <c r="AD4371">
        <v>-1.1090736145519999</v>
      </c>
      <c r="AE4371">
        <v>-5.5419499999999999</v>
      </c>
      <c r="AF4371">
        <v>-0.58398848453957897</v>
      </c>
      <c r="AG4371">
        <v>-1.1090736145519999</v>
      </c>
      <c r="AH4371">
        <v>36.421070422750901</v>
      </c>
      <c r="AI4371">
        <v>91.743975293318201</v>
      </c>
      <c r="AJ4371">
        <v>90.918622324019694</v>
      </c>
      <c r="AK4371">
        <v>36.442632418248202</v>
      </c>
      <c r="AL4371">
        <v>79.403110225218498</v>
      </c>
      <c r="AM4371">
        <v>96.032197770653895</v>
      </c>
      <c r="AN4371">
        <v>1.0000000380479199</v>
      </c>
    </row>
    <row r="4372" spans="1:40" x14ac:dyDescent="0.25">
      <c r="A4372" t="str">
        <f>"20190304155502067"</f>
        <v>20190304155502067</v>
      </c>
      <c r="B4372" t="str">
        <f>"1551686102061848"</f>
        <v>1551686102061848</v>
      </c>
      <c r="C4372" t="s">
        <v>40</v>
      </c>
      <c r="D4372">
        <v>4.7375369999999997</v>
      </c>
      <c r="E4372">
        <v>0.53286409999999995</v>
      </c>
      <c r="F4372" t="s">
        <v>91</v>
      </c>
      <c r="G4372">
        <v>-365.11099999999999</v>
      </c>
      <c r="H4372" s="1">
        <v>-2.8870110000000001E-6</v>
      </c>
      <c r="I4372">
        <v>16.37181</v>
      </c>
      <c r="J4372">
        <v>-399.4502</v>
      </c>
      <c r="K4372">
        <v>1.1090359999999999</v>
      </c>
      <c r="L4372">
        <v>21.759119999999999</v>
      </c>
      <c r="M4372">
        <v>0.9853866</v>
      </c>
      <c r="N4372">
        <v>-1.20959E-2</v>
      </c>
      <c r="O4372">
        <v>-0.16990369999999999</v>
      </c>
      <c r="P4372">
        <v>0.98310730000000002</v>
      </c>
      <c r="Q4372">
        <v>0.17055039999999999</v>
      </c>
      <c r="R4372">
        <v>-6.6429829999999995E-2</v>
      </c>
      <c r="S4372">
        <v>3.038208</v>
      </c>
      <c r="T4372">
        <v>-9.7553730000000005E-2</v>
      </c>
      <c r="U4372">
        <v>-0.47711179999999997</v>
      </c>
      <c r="V4372">
        <v>-0.1009608</v>
      </c>
      <c r="W4372">
        <v>0.18273790000000001</v>
      </c>
      <c r="X4372">
        <v>0.9779641</v>
      </c>
      <c r="Y4372">
        <v>-1.49363E-2</v>
      </c>
      <c r="Z4372">
        <v>3.655574E-3</v>
      </c>
      <c r="AA4372">
        <v>0.99988169999999998</v>
      </c>
      <c r="AB4372">
        <v>20</v>
      </c>
      <c r="AC4372">
        <v>34.339199999999998</v>
      </c>
      <c r="AD4372">
        <v>-1.109038887011</v>
      </c>
      <c r="AE4372">
        <v>-5.3873100000000003</v>
      </c>
      <c r="AF4372">
        <v>-0.52527769220888298</v>
      </c>
      <c r="AG4372">
        <v>-1.109038887011</v>
      </c>
      <c r="AH4372">
        <v>34.719903021069001</v>
      </c>
      <c r="AI4372">
        <v>91.829336498577803</v>
      </c>
      <c r="AJ4372">
        <v>90.866762183203093</v>
      </c>
      <c r="AK4372">
        <v>34.741582429406797</v>
      </c>
      <c r="AL4372">
        <v>79.470724497313199</v>
      </c>
      <c r="AM4372">
        <v>95.894089624385202</v>
      </c>
      <c r="AN4372">
        <v>1.0000000020609201</v>
      </c>
    </row>
    <row r="4373" spans="1:40" x14ac:dyDescent="0.25">
      <c r="A4373" t="str">
        <f>"20190304155502089"</f>
        <v>20190304155502089</v>
      </c>
      <c r="B4373" t="str">
        <f>"1551686102081368"</f>
        <v>1551686102081368</v>
      </c>
      <c r="C4373" t="s">
        <v>40</v>
      </c>
      <c r="D4373">
        <v>4.7316339999999997</v>
      </c>
      <c r="E4373">
        <v>0.53279069999999995</v>
      </c>
      <c r="F4373" t="s">
        <v>91</v>
      </c>
      <c r="G4373">
        <v>-366.69069999999999</v>
      </c>
      <c r="H4373" s="1">
        <v>-2.1191709999999998E-6</v>
      </c>
      <c r="I4373">
        <v>16.490729999999999</v>
      </c>
      <c r="J4373">
        <v>-399.26119999999997</v>
      </c>
      <c r="K4373">
        <v>1.1090310000000001</v>
      </c>
      <c r="L4373">
        <v>21.724119999999999</v>
      </c>
      <c r="M4373">
        <v>0.98503770000000002</v>
      </c>
      <c r="N4373">
        <v>-1.204761E-2</v>
      </c>
      <c r="O4373">
        <v>-0.17191809999999999</v>
      </c>
      <c r="P4373">
        <v>0.98315509999999995</v>
      </c>
      <c r="Q4373">
        <v>0.16864899999999999</v>
      </c>
      <c r="R4373">
        <v>-7.0453940000000007E-2</v>
      </c>
      <c r="S4373">
        <v>3.0363769999999999</v>
      </c>
      <c r="T4373">
        <v>-0.1027935</v>
      </c>
      <c r="U4373">
        <v>-0.48831180000000002</v>
      </c>
      <c r="V4373">
        <v>-9.9020120000000003E-2</v>
      </c>
      <c r="W4373">
        <v>0.18078630000000001</v>
      </c>
      <c r="X4373">
        <v>0.97852510000000004</v>
      </c>
      <c r="Y4373">
        <v>-1.328475E-2</v>
      </c>
      <c r="Z4373">
        <v>3.971268E-3</v>
      </c>
      <c r="AA4373">
        <v>0.99990389999999996</v>
      </c>
      <c r="AB4373">
        <v>20</v>
      </c>
      <c r="AC4373">
        <v>32.570499999999903</v>
      </c>
      <c r="AD4373">
        <v>-1.1090331191709999</v>
      </c>
      <c r="AE4373">
        <v>-5.23339</v>
      </c>
      <c r="AF4373">
        <v>-0.443902509124663</v>
      </c>
      <c r="AG4373">
        <v>-1.1090331191709999</v>
      </c>
      <c r="AH4373">
        <v>32.948035555013703</v>
      </c>
      <c r="AI4373">
        <v>91.927677159493896</v>
      </c>
      <c r="AJ4373">
        <v>90.771888252090505</v>
      </c>
      <c r="AK4373">
        <v>32.969683814551097</v>
      </c>
      <c r="AL4373">
        <v>79.584437323054402</v>
      </c>
      <c r="AM4373">
        <v>95.7782755120395</v>
      </c>
      <c r="AN4373">
        <v>1.0000000208812501</v>
      </c>
    </row>
    <row r="4374" spans="1:40" x14ac:dyDescent="0.25">
      <c r="A4374" t="str">
        <f>"20190304155502111"</f>
        <v>20190304155502111</v>
      </c>
      <c r="B4374" t="str">
        <f>"1551686102101867"</f>
        <v>1551686102101867</v>
      </c>
      <c r="C4374" t="s">
        <v>40</v>
      </c>
      <c r="D4374">
        <v>4.7705460000000004</v>
      </c>
      <c r="E4374">
        <v>0.53260059999999998</v>
      </c>
      <c r="F4374" t="s">
        <v>91</v>
      </c>
      <c r="G4374">
        <v>-368.4873</v>
      </c>
      <c r="H4374" s="1">
        <v>-1.3699269999999999E-6</v>
      </c>
      <c r="I4374">
        <v>16.65249</v>
      </c>
      <c r="J4374">
        <v>-399.06670000000003</v>
      </c>
      <c r="K4374">
        <v>1.10904</v>
      </c>
      <c r="L4374">
        <v>21.687650000000001</v>
      </c>
      <c r="M4374">
        <v>0.98466929999999997</v>
      </c>
      <c r="N4374">
        <v>-1.197408E-2</v>
      </c>
      <c r="O4374">
        <v>-0.17402049999999999</v>
      </c>
      <c r="P4374">
        <v>0.98319089999999998</v>
      </c>
      <c r="Q4374">
        <v>0.16686599999999999</v>
      </c>
      <c r="R4374">
        <v>-7.4105649999999995E-2</v>
      </c>
      <c r="S4374">
        <v>3.0343019999999998</v>
      </c>
      <c r="T4374">
        <v>-0.1093503</v>
      </c>
      <c r="U4374">
        <v>-0.50006099999999998</v>
      </c>
      <c r="V4374">
        <v>-9.7541509999999998E-2</v>
      </c>
      <c r="W4374">
        <v>0.1789251</v>
      </c>
      <c r="X4374">
        <v>0.97901559999999999</v>
      </c>
      <c r="Y4374">
        <v>-1.1531609999999999E-2</v>
      </c>
      <c r="Z4374">
        <v>4.372384E-3</v>
      </c>
      <c r="AA4374">
        <v>0.99992389999999998</v>
      </c>
      <c r="AB4374">
        <v>20</v>
      </c>
      <c r="AC4374">
        <v>30.5794</v>
      </c>
      <c r="AD4374">
        <v>-1.1090413699269901</v>
      </c>
      <c r="AE4374">
        <v>-5.0351600000000003</v>
      </c>
      <c r="AF4374">
        <v>-0.36303612853801398</v>
      </c>
      <c r="AG4374">
        <v>-1.1090413699269901</v>
      </c>
      <c r="AH4374">
        <v>30.949402533077901</v>
      </c>
      <c r="AI4374">
        <v>92.052118679208206</v>
      </c>
      <c r="AJ4374">
        <v>90.672047999534001</v>
      </c>
      <c r="AK4374">
        <v>30.971394627063901</v>
      </c>
      <c r="AL4374">
        <v>79.692844243672397</v>
      </c>
      <c r="AM4374">
        <v>95.689729489030398</v>
      </c>
      <c r="AN4374">
        <v>1.00000004131322</v>
      </c>
    </row>
    <row r="4375" spans="1:40" x14ac:dyDescent="0.25">
      <c r="A4375" t="str">
        <f>"20190304155502133"</f>
        <v>20190304155502133</v>
      </c>
      <c r="B4375" t="str">
        <f>"1551686102121384"</f>
        <v>1551686102121384</v>
      </c>
      <c r="C4375" t="s">
        <v>40</v>
      </c>
      <c r="D4375">
        <v>4.7560909999999996</v>
      </c>
      <c r="E4375">
        <v>0.53261759999999903</v>
      </c>
      <c r="F4375" t="s">
        <v>91</v>
      </c>
      <c r="G4375">
        <v>-369.93509999999998</v>
      </c>
      <c r="H4375" s="1">
        <v>-7.7597649999999995E-7</v>
      </c>
      <c r="I4375">
        <v>16.79524</v>
      </c>
      <c r="J4375">
        <v>-398.87139999999999</v>
      </c>
      <c r="K4375">
        <v>1.1090530000000001</v>
      </c>
      <c r="L4375">
        <v>21.650539999999999</v>
      </c>
      <c r="M4375">
        <v>0.98429540000000004</v>
      </c>
      <c r="N4375">
        <v>-1.187917E-2</v>
      </c>
      <c r="O4375">
        <v>-0.17613000000000001</v>
      </c>
      <c r="P4375">
        <v>0.98320059999999998</v>
      </c>
      <c r="Q4375">
        <v>0.1657564</v>
      </c>
      <c r="R4375">
        <v>-7.6431959999999993E-2</v>
      </c>
      <c r="S4375">
        <v>3.0324710000000001</v>
      </c>
      <c r="T4375">
        <v>-0.1154461</v>
      </c>
      <c r="U4375">
        <v>-0.50927730000000004</v>
      </c>
      <c r="V4375">
        <v>-9.7375059999999999E-2</v>
      </c>
      <c r="W4375">
        <v>0.17771600000000001</v>
      </c>
      <c r="X4375">
        <v>0.97925229999999996</v>
      </c>
      <c r="Y4375">
        <v>-1.061046E-2</v>
      </c>
      <c r="Z4375">
        <v>4.7765079999999996E-3</v>
      </c>
      <c r="AA4375">
        <v>0.9999323</v>
      </c>
      <c r="AB4375">
        <v>20</v>
      </c>
      <c r="AC4375">
        <v>28.936299999999999</v>
      </c>
      <c r="AD4375">
        <v>-1.1090537759765</v>
      </c>
      <c r="AE4375">
        <v>-4.8552999999999997</v>
      </c>
      <c r="AF4375">
        <v>-0.31707039684753302</v>
      </c>
      <c r="AG4375">
        <v>-1.1090537759765</v>
      </c>
      <c r="AH4375">
        <v>29.297237475686099</v>
      </c>
      <c r="AI4375">
        <v>92.167783147563597</v>
      </c>
      <c r="AJ4375">
        <v>90.620061408078101</v>
      </c>
      <c r="AK4375">
        <v>29.319936180375802</v>
      </c>
      <c r="AL4375">
        <v>79.763248281375397</v>
      </c>
      <c r="AM4375">
        <v>95.678719789997103</v>
      </c>
      <c r="AN4375">
        <v>0.99999997301064603</v>
      </c>
    </row>
    <row r="4376" spans="1:40" x14ac:dyDescent="0.25">
      <c r="A4376" t="str">
        <f>"20190304155502156"</f>
        <v>20190304155502156</v>
      </c>
      <c r="B4376" t="str">
        <f>"1551686102151304"</f>
        <v>1551686102151304</v>
      </c>
      <c r="C4376" t="s">
        <v>40</v>
      </c>
      <c r="D4376">
        <v>4.7568320000000002</v>
      </c>
      <c r="E4376">
        <v>0.53228929999999997</v>
      </c>
      <c r="F4376" t="s">
        <v>88</v>
      </c>
      <c r="G4376">
        <v>-370.52170000000001</v>
      </c>
      <c r="H4376" s="1">
        <v>-4.9573820000000001E-6</v>
      </c>
      <c r="I4376">
        <v>16.81756</v>
      </c>
      <c r="J4376">
        <v>-398.67739999999998</v>
      </c>
      <c r="K4376">
        <v>1.109075</v>
      </c>
      <c r="L4376">
        <v>21.613309999999998</v>
      </c>
      <c r="M4376">
        <v>0.98392369999999996</v>
      </c>
      <c r="N4376">
        <v>-1.177338E-2</v>
      </c>
      <c r="O4376">
        <v>-0.17820139999999901</v>
      </c>
      <c r="P4376">
        <v>0.98326979999999997</v>
      </c>
      <c r="Q4376">
        <v>0.16432550000000001</v>
      </c>
      <c r="R4376">
        <v>-7.8599649999999993E-2</v>
      </c>
      <c r="S4376">
        <v>3.0310359999999998</v>
      </c>
      <c r="T4376">
        <v>-0.11857620000000001</v>
      </c>
      <c r="U4376">
        <v>-0.51672359999999995</v>
      </c>
      <c r="V4376">
        <v>-9.7341269999999994E-2</v>
      </c>
      <c r="W4376">
        <v>0.17617479999999999</v>
      </c>
      <c r="X4376">
        <v>0.97953409999999996</v>
      </c>
      <c r="Y4376">
        <v>-1.024366E-2</v>
      </c>
      <c r="Z4376">
        <v>5.0256989999999998E-3</v>
      </c>
      <c r="AA4376">
        <v>0.99993489999999996</v>
      </c>
      <c r="AB4376">
        <v>20</v>
      </c>
      <c r="AC4376">
        <v>28.1556999999999</v>
      </c>
      <c r="AD4376">
        <v>-1.109079957382</v>
      </c>
      <c r="AE4376">
        <v>-4.79575</v>
      </c>
      <c r="AF4376">
        <v>-0.29830393770849201</v>
      </c>
      <c r="AG4376">
        <v>-1.109079957382</v>
      </c>
      <c r="AH4376">
        <v>28.516646223882201</v>
      </c>
      <c r="AI4376">
        <v>92.227124394981601</v>
      </c>
      <c r="AJ4376">
        <v>90.5993318123232</v>
      </c>
      <c r="AK4376">
        <v>28.539764460295999</v>
      </c>
      <c r="AL4376">
        <v>79.852968219459896</v>
      </c>
      <c r="AM4376">
        <v>95.675139624450694</v>
      </c>
      <c r="AN4376">
        <v>0.99999996803153002</v>
      </c>
    </row>
    <row r="4377" spans="1:40" x14ac:dyDescent="0.25">
      <c r="A4377" t="str">
        <f>"20190304155502177"</f>
        <v>20190304155502177</v>
      </c>
      <c r="B4377" t="str">
        <f>"1551686102171801"</f>
        <v>1551686102171801</v>
      </c>
      <c r="C4377" t="s">
        <v>40</v>
      </c>
      <c r="D4377">
        <v>4.8491179999999998</v>
      </c>
      <c r="E4377">
        <v>0.53193519999999905</v>
      </c>
      <c r="F4377" t="s">
        <v>88</v>
      </c>
      <c r="G4377">
        <v>-371.33319999999998</v>
      </c>
      <c r="H4377" s="1">
        <v>-4.5560820000000002E-6</v>
      </c>
      <c r="I4377">
        <v>16.917369999999998</v>
      </c>
      <c r="J4377">
        <v>-398.48989999999998</v>
      </c>
      <c r="K4377">
        <v>1.109091</v>
      </c>
      <c r="L4377">
        <v>21.576969999999999</v>
      </c>
      <c r="M4377">
        <v>0.98356549999999998</v>
      </c>
      <c r="N4377">
        <v>-1.166409E-2</v>
      </c>
      <c r="O4377">
        <v>-0.1801749</v>
      </c>
      <c r="P4377">
        <v>0.98311809999999999</v>
      </c>
      <c r="Q4377">
        <v>0.16436889999999901</v>
      </c>
      <c r="R4377">
        <v>-8.0385289999999998E-2</v>
      </c>
      <c r="S4377">
        <v>3.0299990000000001</v>
      </c>
      <c r="T4377">
        <v>-0.12289659999999999</v>
      </c>
      <c r="U4377">
        <v>-0.52035520000000002</v>
      </c>
      <c r="V4377">
        <v>-9.7542000000000004E-2</v>
      </c>
      <c r="W4377">
        <v>0.17610290000000001</v>
      </c>
      <c r="X4377">
        <v>0.97952709999999998</v>
      </c>
      <c r="Y4377">
        <v>-1.101881E-2</v>
      </c>
      <c r="Z4377">
        <v>5.3782530000000004E-3</v>
      </c>
      <c r="AA4377">
        <v>0.99992479999999995</v>
      </c>
      <c r="AB4377">
        <v>20</v>
      </c>
      <c r="AC4377">
        <v>27.156700000000001</v>
      </c>
      <c r="AD4377">
        <v>-1.1090955560819999</v>
      </c>
      <c r="AE4377">
        <v>-4.6596000000000002</v>
      </c>
      <c r="AF4377">
        <v>-0.30945357416253899</v>
      </c>
      <c r="AG4377">
        <v>-1.1090955560819999</v>
      </c>
      <c r="AH4377">
        <v>27.507239881958601</v>
      </c>
      <c r="AI4377">
        <v>92.308776810096504</v>
      </c>
      <c r="AJ4377">
        <v>90.644544341815404</v>
      </c>
      <c r="AK4377">
        <v>27.5313294337687</v>
      </c>
      <c r="AL4377">
        <v>79.857153610411601</v>
      </c>
      <c r="AM4377">
        <v>95.686806224462998</v>
      </c>
      <c r="AN4377">
        <v>1.0000000063934</v>
      </c>
    </row>
    <row r="4378" spans="1:40" x14ac:dyDescent="0.25">
      <c r="A4378" t="str">
        <f>"20190304155502201"</f>
        <v>20190304155502201</v>
      </c>
      <c r="B4378" t="str">
        <f>"1551686102192296"</f>
        <v>1551686102192296</v>
      </c>
      <c r="C4378" t="s">
        <v>40</v>
      </c>
      <c r="D4378">
        <v>4.7732960000000002</v>
      </c>
      <c r="E4378">
        <v>0.5318176</v>
      </c>
      <c r="F4378" t="s">
        <v>88</v>
      </c>
      <c r="G4378">
        <v>-371.61149999999998</v>
      </c>
      <c r="H4378" s="1">
        <v>-4.4206950000000004E-6</v>
      </c>
      <c r="I4378">
        <v>16.939109999999999</v>
      </c>
      <c r="J4378">
        <v>-398.27940000000001</v>
      </c>
      <c r="K4378">
        <v>1.1091070000000001</v>
      </c>
      <c r="L4378">
        <v>21.535740000000001</v>
      </c>
      <c r="M4378">
        <v>0.98316440000000005</v>
      </c>
      <c r="N4378">
        <v>-1.153554E-2</v>
      </c>
      <c r="O4378">
        <v>-0.1823591</v>
      </c>
      <c r="P4378">
        <v>0.98294930000000003</v>
      </c>
      <c r="Q4378">
        <v>0.1643232</v>
      </c>
      <c r="R4378">
        <v>-8.2514260000000006E-2</v>
      </c>
      <c r="S4378">
        <v>3.0296630000000002</v>
      </c>
      <c r="T4378">
        <v>-0.12501409999999999</v>
      </c>
      <c r="U4378">
        <v>-0.52276610000000001</v>
      </c>
      <c r="V4378">
        <v>-9.7612900000000002E-2</v>
      </c>
      <c r="W4378">
        <v>0.1759232</v>
      </c>
      <c r="X4378">
        <v>0.97955230000000004</v>
      </c>
      <c r="Y4378">
        <v>-1.244141E-2</v>
      </c>
      <c r="Z4378">
        <v>5.6281930000000001E-3</v>
      </c>
      <c r="AA4378">
        <v>0.99990679999999998</v>
      </c>
      <c r="AB4378">
        <v>20</v>
      </c>
      <c r="AC4378">
        <v>26.667899999999999</v>
      </c>
      <c r="AD4378">
        <v>-1.1091114206949999</v>
      </c>
      <c r="AE4378">
        <v>-4.5966300000000002</v>
      </c>
      <c r="AF4378">
        <v>-0.34333738595261198</v>
      </c>
      <c r="AG4378">
        <v>-1.1091114206949999</v>
      </c>
      <c r="AH4378">
        <v>27.013588176606302</v>
      </c>
      <c r="AI4378">
        <v>92.350913469770006</v>
      </c>
      <c r="AJ4378">
        <v>90.728178866286896</v>
      </c>
      <c r="AK4378">
        <v>27.038527232069999</v>
      </c>
      <c r="AL4378">
        <v>79.867612679495494</v>
      </c>
      <c r="AM4378">
        <v>95.6907672060496</v>
      </c>
      <c r="AN4378">
        <v>0.99999997948996999</v>
      </c>
    </row>
    <row r="4379" spans="1:40" x14ac:dyDescent="0.25">
      <c r="A4379" t="str">
        <f>"20190304155502223"</f>
        <v>20190304155502223</v>
      </c>
      <c r="B4379" t="str">
        <f>"1551686102211816"</f>
        <v>1551686102211816</v>
      </c>
      <c r="C4379" t="s">
        <v>40</v>
      </c>
      <c r="D4379">
        <v>4.7667289999999998</v>
      </c>
      <c r="E4379">
        <v>0.53148619999999902</v>
      </c>
      <c r="F4379" t="s">
        <v>88</v>
      </c>
      <c r="G4379">
        <v>-371.23869999999999</v>
      </c>
      <c r="H4379" s="1">
        <v>-4.61694E-6</v>
      </c>
      <c r="I4379">
        <v>16.826129999999999</v>
      </c>
      <c r="J4379">
        <v>-398.08109999999999</v>
      </c>
      <c r="K4379">
        <v>1.1091150000000001</v>
      </c>
      <c r="L4379">
        <v>21.496400000000001</v>
      </c>
      <c r="M4379">
        <v>0.98278650000000001</v>
      </c>
      <c r="N4379">
        <v>-1.1399350000000001E-2</v>
      </c>
      <c r="O4379">
        <v>-0.18439330000000001</v>
      </c>
      <c r="P4379">
        <v>0.98281819999999998</v>
      </c>
      <c r="Q4379">
        <v>0.16419710000000001</v>
      </c>
      <c r="R4379">
        <v>-8.4308480000000005E-2</v>
      </c>
      <c r="S4379">
        <v>3.0285030000000002</v>
      </c>
      <c r="T4379">
        <v>-0.124218</v>
      </c>
      <c r="U4379">
        <v>-0.52746579999999998</v>
      </c>
      <c r="V4379">
        <v>-9.7867969999999999E-2</v>
      </c>
      <c r="W4379">
        <v>0.17565790000000001</v>
      </c>
      <c r="X4379">
        <v>0.97957450000000001</v>
      </c>
      <c r="Y4379">
        <v>-1.2939350000000001E-2</v>
      </c>
      <c r="Z4379">
        <v>5.6758169999999997E-3</v>
      </c>
      <c r="AA4379">
        <v>0.99990020000000002</v>
      </c>
      <c r="AB4379">
        <v>20</v>
      </c>
      <c r="AC4379">
        <v>26.842400000000001</v>
      </c>
      <c r="AD4379">
        <v>-1.1091196169399999</v>
      </c>
      <c r="AE4379">
        <v>-4.6702700000000004</v>
      </c>
      <c r="AF4379">
        <v>-0.35910865782650597</v>
      </c>
      <c r="AG4379">
        <v>-1.1091196169399999</v>
      </c>
      <c r="AH4379">
        <v>27.198211523677902</v>
      </c>
      <c r="AI4379">
        <v>92.334975351747005</v>
      </c>
      <c r="AJ4379">
        <v>90.756454701186897</v>
      </c>
      <c r="AK4379">
        <v>27.2231852552109</v>
      </c>
      <c r="AL4379">
        <v>79.883054110267494</v>
      </c>
      <c r="AM4379">
        <v>95.705411181875903</v>
      </c>
      <c r="AN4379">
        <v>1.00000001921729</v>
      </c>
    </row>
    <row r="4380" spans="1:40" x14ac:dyDescent="0.25">
      <c r="A4380" t="str">
        <f>"20190304155502244"</f>
        <v>20190304155502244</v>
      </c>
      <c r="B4380" t="str">
        <f>"1551686102241702"</f>
        <v>1551686102241702</v>
      </c>
      <c r="C4380" t="s">
        <v>40</v>
      </c>
      <c r="D4380">
        <v>4.8182790000000004</v>
      </c>
      <c r="E4380">
        <v>0.5308754</v>
      </c>
      <c r="F4380" t="s">
        <v>88</v>
      </c>
      <c r="G4380">
        <v>-371.0652</v>
      </c>
      <c r="H4380" s="1">
        <v>-4.7095210000000003E-6</v>
      </c>
      <c r="I4380">
        <v>16.76652</v>
      </c>
      <c r="J4380">
        <v>-397.88830000000002</v>
      </c>
      <c r="K4380">
        <v>1.109105</v>
      </c>
      <c r="L4380">
        <v>21.457820000000002</v>
      </c>
      <c r="M4380">
        <v>0.98241820000000002</v>
      </c>
      <c r="N4380">
        <v>-1.125107E-2</v>
      </c>
      <c r="O4380">
        <v>-0.18635499999999999</v>
      </c>
      <c r="P4380">
        <v>0.98275630000000003</v>
      </c>
      <c r="Q4380">
        <v>0.1637168</v>
      </c>
      <c r="R4380">
        <v>-8.5948999999999998E-2</v>
      </c>
      <c r="S4380">
        <v>3.0277400000000001</v>
      </c>
      <c r="T4380">
        <v>-0.124302</v>
      </c>
      <c r="U4380">
        <v>-0.53009030000000001</v>
      </c>
      <c r="V4380">
        <v>-9.821357E-2</v>
      </c>
      <c r="W4380">
        <v>0.17502980000000001</v>
      </c>
      <c r="X4380">
        <v>0.97965230000000003</v>
      </c>
      <c r="Y4380">
        <v>-1.404862E-2</v>
      </c>
      <c r="Z4380">
        <v>5.7934419999999898E-3</v>
      </c>
      <c r="AA4380">
        <v>0.99988449999999995</v>
      </c>
      <c r="AB4380">
        <v>20</v>
      </c>
      <c r="AC4380">
        <v>26.8231</v>
      </c>
      <c r="AD4380">
        <v>-1.1091097095209901</v>
      </c>
      <c r="AE4380">
        <v>-4.6913</v>
      </c>
      <c r="AF4380">
        <v>-0.38917926888704901</v>
      </c>
      <c r="AG4380">
        <v>-1.1091097095209901</v>
      </c>
      <c r="AH4380">
        <v>27.182372760720401</v>
      </c>
      <c r="AI4380">
        <v>92.336277788156394</v>
      </c>
      <c r="AJ4380">
        <v>90.820267102805303</v>
      </c>
      <c r="AK4380">
        <v>27.2077741418485</v>
      </c>
      <c r="AL4380">
        <v>79.919607534614798</v>
      </c>
      <c r="AM4380">
        <v>95.724973342050603</v>
      </c>
      <c r="AN4380">
        <v>0.99999998255773703</v>
      </c>
    </row>
    <row r="4381" spans="1:40" x14ac:dyDescent="0.25">
      <c r="A4381" t="str">
        <f>"20190304155502269"</f>
        <v>20190304155502269</v>
      </c>
      <c r="B4381" t="str">
        <f>"1551686102262197"</f>
        <v>1551686102262197</v>
      </c>
      <c r="C4381" t="s">
        <v>40</v>
      </c>
      <c r="D4381">
        <v>4.7924369999999996</v>
      </c>
      <c r="E4381">
        <v>0.53046019999999905</v>
      </c>
      <c r="F4381" t="s">
        <v>88</v>
      </c>
      <c r="G4381">
        <v>-371.12799999999999</v>
      </c>
      <c r="H4381" s="1">
        <v>-4.6793960000000004E-6</v>
      </c>
      <c r="I4381">
        <v>16.76905</v>
      </c>
      <c r="J4381">
        <v>-397.68239999999997</v>
      </c>
      <c r="K4381">
        <v>1.1090979999999999</v>
      </c>
      <c r="L4381">
        <v>21.416170000000001</v>
      </c>
      <c r="M4381">
        <v>0.98202160000000005</v>
      </c>
      <c r="N4381">
        <v>-1.109132E-2</v>
      </c>
      <c r="O4381">
        <v>-0.18844240000000001</v>
      </c>
      <c r="P4381">
        <v>0.98261670000000001</v>
      </c>
      <c r="Q4381">
        <v>0.163735299999999</v>
      </c>
      <c r="R4381">
        <v>-8.7494630000000004E-2</v>
      </c>
      <c r="S4381">
        <v>3.0271300000000001</v>
      </c>
      <c r="T4381">
        <v>-0.12546280000000001</v>
      </c>
      <c r="U4381">
        <v>-0.53039550000000002</v>
      </c>
      <c r="V4381">
        <v>-9.8760749999999994E-2</v>
      </c>
      <c r="W4381">
        <v>0.17488899999999999</v>
      </c>
      <c r="X4381">
        <v>0.97962249999999995</v>
      </c>
      <c r="Y4381">
        <v>-1.603512E-2</v>
      </c>
      <c r="Z4381">
        <v>6.0089389999999996E-3</v>
      </c>
      <c r="AA4381">
        <v>0.9998534</v>
      </c>
      <c r="AB4381">
        <v>20</v>
      </c>
      <c r="AC4381">
        <v>26.554399999999902</v>
      </c>
      <c r="AD4381">
        <v>-1.1091026793959999</v>
      </c>
      <c r="AE4381">
        <v>-4.6471200000000001</v>
      </c>
      <c r="AF4381">
        <v>-0.439685507300064</v>
      </c>
      <c r="AG4381">
        <v>-1.1091026793959999</v>
      </c>
      <c r="AH4381">
        <v>26.908819654451801</v>
      </c>
      <c r="AI4381">
        <v>92.359913494176894</v>
      </c>
      <c r="AJ4381">
        <v>90.936119924575607</v>
      </c>
      <c r="AK4381">
        <v>26.935255842382201</v>
      </c>
      <c r="AL4381">
        <v>79.927801800287298</v>
      </c>
      <c r="AM4381">
        <v>95.756829353666106</v>
      </c>
      <c r="AN4381">
        <v>1.0000000452839</v>
      </c>
    </row>
    <row r="4382" spans="1:40" x14ac:dyDescent="0.25">
      <c r="A4382" t="str">
        <f>"20190304155502290"</f>
        <v>20190304155502290</v>
      </c>
      <c r="B4382" t="str">
        <f>"1551686102281718"</f>
        <v>1551686102281718</v>
      </c>
      <c r="C4382" t="s">
        <v>40</v>
      </c>
      <c r="D4382">
        <v>4.8079280000000004</v>
      </c>
      <c r="E4382">
        <v>0.53003869999999997</v>
      </c>
      <c r="F4382" t="s">
        <v>88</v>
      </c>
      <c r="G4382">
        <v>-370.89060000000001</v>
      </c>
      <c r="H4382" s="1">
        <v>-4.8025589999999999E-6</v>
      </c>
      <c r="I4382">
        <v>16.707239999999999</v>
      </c>
      <c r="J4382">
        <v>-397.48390000000001</v>
      </c>
      <c r="K4382">
        <v>1.109089</v>
      </c>
      <c r="L4382">
        <v>21.375610000000002</v>
      </c>
      <c r="M4382">
        <v>0.98163520000000004</v>
      </c>
      <c r="N4382">
        <v>-1.093944E-2</v>
      </c>
      <c r="O4382">
        <v>-0.19045400000000001</v>
      </c>
      <c r="P4382">
        <v>0.98253380000000001</v>
      </c>
      <c r="Q4382">
        <v>0.16343089999999999</v>
      </c>
      <c r="R4382">
        <v>-8.8981450000000004E-2</v>
      </c>
      <c r="S4382">
        <v>3.0265810000000002</v>
      </c>
      <c r="T4382">
        <v>-0.12529169999999901</v>
      </c>
      <c r="U4382">
        <v>-0.53195190000000003</v>
      </c>
      <c r="V4382">
        <v>-9.9301360000000005E-2</v>
      </c>
      <c r="W4382">
        <v>0.17443539999999999</v>
      </c>
      <c r="X4382">
        <v>0.97964859999999998</v>
      </c>
      <c r="Y4382">
        <v>-1.7550820000000002E-2</v>
      </c>
      <c r="Z4382">
        <v>6.1244460000000004E-3</v>
      </c>
      <c r="AA4382">
        <v>0.99982720000000003</v>
      </c>
      <c r="AB4382">
        <v>20</v>
      </c>
      <c r="AC4382">
        <v>26.593299999999999</v>
      </c>
      <c r="AD4382">
        <v>-1.109093802559</v>
      </c>
      <c r="AE4382">
        <v>-4.6683700000000004</v>
      </c>
      <c r="AF4382">
        <v>-0.48138060969754898</v>
      </c>
      <c r="AG4382">
        <v>-1.109093802559</v>
      </c>
      <c r="AH4382">
        <v>26.9501686599673</v>
      </c>
      <c r="AI4382">
        <v>92.356216739248893</v>
      </c>
      <c r="AJ4382">
        <v>91.023301374010501</v>
      </c>
      <c r="AK4382">
        <v>26.9772757548822</v>
      </c>
      <c r="AL4382">
        <v>79.954195670174798</v>
      </c>
      <c r="AM4382">
        <v>95.787975320416507</v>
      </c>
      <c r="AN4382">
        <v>0.99999992417648198</v>
      </c>
    </row>
    <row r="4383" spans="1:40" x14ac:dyDescent="0.25">
      <c r="A4383" t="str">
        <f>"20190304155502312"</f>
        <v>20190304155502312</v>
      </c>
      <c r="B4383" t="str">
        <f>"1551686102302217"</f>
        <v>1551686102302217</v>
      </c>
      <c r="C4383" t="s">
        <v>40</v>
      </c>
      <c r="D4383">
        <v>4.868099</v>
      </c>
      <c r="E4383">
        <v>0.52957219999999905</v>
      </c>
      <c r="F4383" t="s">
        <v>88</v>
      </c>
      <c r="G4383">
        <v>-370.85550000000001</v>
      </c>
      <c r="H4383" s="1">
        <v>-4.8233799999999997E-6</v>
      </c>
      <c r="I4383">
        <v>16.683489999999999</v>
      </c>
      <c r="J4383">
        <v>-397.28730000000002</v>
      </c>
      <c r="K4383">
        <v>1.10907</v>
      </c>
      <c r="L4383">
        <v>21.335049999999999</v>
      </c>
      <c r="M4383">
        <v>0.98124750000000005</v>
      </c>
      <c r="N4383">
        <v>-1.07866E-2</v>
      </c>
      <c r="O4383">
        <v>-0.1924495</v>
      </c>
      <c r="P4383">
        <v>0.98247779999999996</v>
      </c>
      <c r="Q4383">
        <v>0.16307720000000001</v>
      </c>
      <c r="R4383">
        <v>-9.0240200000000007E-2</v>
      </c>
      <c r="S4383">
        <v>3.0260009999999999</v>
      </c>
      <c r="T4383">
        <v>-0.12603510000000001</v>
      </c>
      <c r="U4383">
        <v>-0.53320310000000004</v>
      </c>
      <c r="V4383">
        <v>-0.10005310000000001</v>
      </c>
      <c r="W4383">
        <v>0.173933</v>
      </c>
      <c r="X4383">
        <v>0.97966149999999996</v>
      </c>
      <c r="Y4383">
        <v>-1.9144810000000002E-2</v>
      </c>
      <c r="Z4383">
        <v>6.3019149999999999E-3</v>
      </c>
      <c r="AA4383">
        <v>0.99979689999999999</v>
      </c>
      <c r="AB4383">
        <v>20</v>
      </c>
      <c r="AC4383">
        <v>26.431799999999999</v>
      </c>
      <c r="AD4383">
        <v>-1.1090748233800001</v>
      </c>
      <c r="AE4383">
        <v>-4.6515599999999999</v>
      </c>
      <c r="AF4383">
        <v>-0.52159476848592301</v>
      </c>
      <c r="AG4383">
        <v>-1.1090748233800001</v>
      </c>
      <c r="AH4383">
        <v>26.7871460617067</v>
      </c>
      <c r="AI4383">
        <v>92.370428363606194</v>
      </c>
      <c r="AJ4383">
        <v>91.115512739962597</v>
      </c>
      <c r="AK4383">
        <v>26.815169255434</v>
      </c>
      <c r="AL4383">
        <v>79.9834285383387</v>
      </c>
      <c r="AM4383">
        <v>95.831414861142306</v>
      </c>
      <c r="AN4383">
        <v>0.99999998294542902</v>
      </c>
    </row>
    <row r="4384" spans="1:40" x14ac:dyDescent="0.25">
      <c r="A4384" t="str">
        <f>"20190304155502334"</f>
        <v>20190304155502334</v>
      </c>
      <c r="B4384" t="str">
        <f>"1551686102331495"</f>
        <v>1551686102331495</v>
      </c>
      <c r="C4384" t="s">
        <v>40</v>
      </c>
      <c r="D4384">
        <v>4.8710649999999998</v>
      </c>
      <c r="E4384">
        <v>0.52879980000000004</v>
      </c>
      <c r="F4384" t="s">
        <v>88</v>
      </c>
      <c r="G4384">
        <v>-370.89339999999999</v>
      </c>
      <c r="H4384" s="1">
        <v>-4.8054410000000003E-6</v>
      </c>
      <c r="I4384">
        <v>16.683689999999999</v>
      </c>
      <c r="J4384">
        <v>-397.09370000000001</v>
      </c>
      <c r="K4384">
        <v>1.109051</v>
      </c>
      <c r="L4384">
        <v>21.294709999999998</v>
      </c>
      <c r="M4384">
        <v>0.98086119999999999</v>
      </c>
      <c r="N4384">
        <v>-1.0630799999999999E-2</v>
      </c>
      <c r="O4384">
        <v>-0.19441849999999999</v>
      </c>
      <c r="P4384">
        <v>0.98234279999999996</v>
      </c>
      <c r="Q4384">
        <v>0.16335539999999901</v>
      </c>
      <c r="R4384">
        <v>-9.1201470000000007E-2</v>
      </c>
      <c r="S4384">
        <v>3.0256349999999999</v>
      </c>
      <c r="T4384">
        <v>-0.12713740000000001</v>
      </c>
      <c r="U4384">
        <v>-0.53320310000000004</v>
      </c>
      <c r="V4384">
        <v>-0.1010528</v>
      </c>
      <c r="W4384">
        <v>0.17405979999999999</v>
      </c>
      <c r="X4384">
        <v>0.97953639999999997</v>
      </c>
      <c r="Y4384">
        <v>-2.112414E-2</v>
      </c>
      <c r="Z4384">
        <v>6.5145630000000001E-3</v>
      </c>
      <c r="AA4384">
        <v>0.99975559999999997</v>
      </c>
      <c r="AB4384">
        <v>20</v>
      </c>
      <c r="AC4384">
        <v>26.200299999999999</v>
      </c>
      <c r="AD4384">
        <v>-1.109055805441</v>
      </c>
      <c r="AE4384">
        <v>-4.6110199999999999</v>
      </c>
      <c r="AF4384">
        <v>-0.57009379507397795</v>
      </c>
      <c r="AG4384">
        <v>-1.109055805441</v>
      </c>
      <c r="AH4384">
        <v>26.5506799802058</v>
      </c>
      <c r="AI4384">
        <v>92.391376781701396</v>
      </c>
      <c r="AJ4384">
        <v>91.230060773082798</v>
      </c>
      <c r="AK4384">
        <v>26.579947688550199</v>
      </c>
      <c r="AL4384">
        <v>79.976051278746198</v>
      </c>
      <c r="AM4384">
        <v>95.890019904945703</v>
      </c>
      <c r="AN4384">
        <v>1.00000002064441</v>
      </c>
    </row>
    <row r="4385" spans="1:40" x14ac:dyDescent="0.25">
      <c r="A4385" t="str">
        <f>"20190304155502356"</f>
        <v>20190304155502356</v>
      </c>
      <c r="B4385" t="str">
        <f>"1551686102351990"</f>
        <v>1551686102351990</v>
      </c>
      <c r="C4385" t="s">
        <v>40</v>
      </c>
      <c r="D4385">
        <v>4.848846</v>
      </c>
      <c r="E4385">
        <v>0.52825940000000005</v>
      </c>
      <c r="F4385" t="s">
        <v>88</v>
      </c>
      <c r="G4385">
        <v>-370.51479999999998</v>
      </c>
      <c r="H4385" s="1">
        <v>-4.9931030000000004E-6</v>
      </c>
      <c r="I4385">
        <v>16.634650000000001</v>
      </c>
      <c r="J4385">
        <v>-396.89659999999998</v>
      </c>
      <c r="K4385">
        <v>1.109027</v>
      </c>
      <c r="L4385">
        <v>21.2532</v>
      </c>
      <c r="M4385">
        <v>0.98046259999999996</v>
      </c>
      <c r="N4385">
        <v>-1.0468180000000001E-2</v>
      </c>
      <c r="O4385">
        <v>-0.1964274</v>
      </c>
      <c r="P4385">
        <v>0.98220289999999999</v>
      </c>
      <c r="Q4385">
        <v>0.16407430000000001</v>
      </c>
      <c r="R4385">
        <v>-9.1419029999999998E-2</v>
      </c>
      <c r="S4385">
        <v>3.025665</v>
      </c>
      <c r="T4385">
        <v>-0.12625149999999999</v>
      </c>
      <c r="U4385">
        <v>-0.53048709999999999</v>
      </c>
      <c r="V4385">
        <v>-0.10281849999999999</v>
      </c>
      <c r="W4385">
        <v>0.17462179999999999</v>
      </c>
      <c r="X4385">
        <v>0.97925260000000003</v>
      </c>
      <c r="Y4385">
        <v>-2.404121E-2</v>
      </c>
      <c r="Z4385">
        <v>6.6217539999999997E-3</v>
      </c>
      <c r="AA4385">
        <v>0.99968900000000005</v>
      </c>
      <c r="AB4385">
        <v>20</v>
      </c>
      <c r="AC4385">
        <v>26.381799999999998</v>
      </c>
      <c r="AD4385">
        <v>-1.1090319931029999</v>
      </c>
      <c r="AE4385">
        <v>-4.6185499999999902</v>
      </c>
      <c r="AF4385">
        <v>-0.65270944319709201</v>
      </c>
      <c r="AG4385">
        <v>-1.1090319931029999</v>
      </c>
      <c r="AH4385">
        <v>26.729211624825599</v>
      </c>
      <c r="AI4385">
        <v>92.3752111695688</v>
      </c>
      <c r="AJ4385">
        <v>91.398846554291495</v>
      </c>
      <c r="AK4385">
        <v>26.760170695712699</v>
      </c>
      <c r="AL4385">
        <v>79.943350400706905</v>
      </c>
      <c r="AM4385">
        <v>95.9939180029982</v>
      </c>
      <c r="AN4385">
        <v>1.0000000357921199</v>
      </c>
    </row>
    <row r="4386" spans="1:40" x14ac:dyDescent="0.25">
      <c r="A4386" t="str">
        <f>"20190304155502378"</f>
        <v>20190304155502378</v>
      </c>
      <c r="B4386" t="str">
        <f>"1551686102371510"</f>
        <v>1551686102371510</v>
      </c>
      <c r="C4386" t="s">
        <v>40</v>
      </c>
      <c r="D4386">
        <v>4.8461089999999896</v>
      </c>
      <c r="E4386">
        <v>0.52778150000000001</v>
      </c>
      <c r="F4386" t="s">
        <v>91</v>
      </c>
      <c r="G4386">
        <v>-369.86799999999999</v>
      </c>
      <c r="H4386" s="1">
        <v>-8.6952949999999996E-7</v>
      </c>
      <c r="I4386">
        <v>16.540420000000001</v>
      </c>
      <c r="J4386">
        <v>-396.70030000000003</v>
      </c>
      <c r="K4386">
        <v>1.109005</v>
      </c>
      <c r="L4386">
        <v>21.21152</v>
      </c>
      <c r="M4386">
        <v>0.98006090000000001</v>
      </c>
      <c r="N4386">
        <v>-1.03052E-2</v>
      </c>
      <c r="O4386">
        <v>-0.1984301</v>
      </c>
      <c r="P4386">
        <v>0.98211000000000004</v>
      </c>
      <c r="Q4386">
        <v>0.16428570000000001</v>
      </c>
      <c r="R4386">
        <v>-9.2034749999999999E-2</v>
      </c>
      <c r="S4386">
        <v>3.02597</v>
      </c>
      <c r="T4386">
        <v>-0.1241608</v>
      </c>
      <c r="U4386">
        <v>-0.52761840000000004</v>
      </c>
      <c r="V4386">
        <v>-0.1041986</v>
      </c>
      <c r="W4386">
        <v>0.17467629999999901</v>
      </c>
      <c r="X4386">
        <v>0.97909690000000005</v>
      </c>
      <c r="Y4386">
        <v>-2.7019899999999999E-2</v>
      </c>
      <c r="Z4386">
        <v>6.6449179999999997E-3</v>
      </c>
      <c r="AA4386">
        <v>0.99961279999999997</v>
      </c>
      <c r="AB4386">
        <v>20</v>
      </c>
      <c r="AC4386">
        <v>26.832299999999901</v>
      </c>
      <c r="AD4386">
        <v>-1.1090058695295</v>
      </c>
      <c r="AE4386">
        <v>-4.6710999999999903</v>
      </c>
      <c r="AF4386">
        <v>-0.74517760264991495</v>
      </c>
      <c r="AG4386">
        <v>-1.1090058695295</v>
      </c>
      <c r="AH4386">
        <v>27.180554166879698</v>
      </c>
      <c r="AI4386">
        <v>92.335577987673503</v>
      </c>
      <c r="AJ4386">
        <v>91.570418289711597</v>
      </c>
      <c r="AK4386">
        <v>27.213373706632201</v>
      </c>
      <c r="AL4386">
        <v>79.940178155223293</v>
      </c>
      <c r="AM4386">
        <v>96.074733659280596</v>
      </c>
      <c r="AN4386">
        <v>0.99999994880662801</v>
      </c>
    </row>
    <row r="4387" spans="1:40" x14ac:dyDescent="0.25">
      <c r="A4387" t="str">
        <f>"20190304155502401"</f>
        <v>20190304155502401</v>
      </c>
      <c r="B4387" t="str">
        <f>"1551686102392009"</f>
        <v>1551686102392009</v>
      </c>
      <c r="C4387" t="s">
        <v>40</v>
      </c>
      <c r="D4387">
        <v>4.7991409999999997</v>
      </c>
      <c r="E4387">
        <v>0.52736899999999998</v>
      </c>
      <c r="F4387" t="s">
        <v>91</v>
      </c>
      <c r="G4387">
        <v>-369.5994</v>
      </c>
      <c r="H4387" s="1">
        <v>-9.8302129999999992E-7</v>
      </c>
      <c r="I4387">
        <v>16.501650000000001</v>
      </c>
      <c r="J4387">
        <v>-396.49169999999998</v>
      </c>
      <c r="K4387">
        <v>1.1089800000000001</v>
      </c>
      <c r="L4387">
        <v>21.166720000000002</v>
      </c>
      <c r="M4387">
        <v>0.97962879999999997</v>
      </c>
      <c r="N4387">
        <v>-1.013465E-2</v>
      </c>
      <c r="O4387">
        <v>-0.2005613</v>
      </c>
      <c r="P4387">
        <v>0.98207710000000004</v>
      </c>
      <c r="Q4387">
        <v>0.16391410000000001</v>
      </c>
      <c r="R4387">
        <v>-9.304482E-2</v>
      </c>
      <c r="S4387">
        <v>3.0261230000000001</v>
      </c>
      <c r="T4387">
        <v>-0.12383280000000001</v>
      </c>
      <c r="U4387">
        <v>-0.52590939999999997</v>
      </c>
      <c r="V4387">
        <v>-0.1053347</v>
      </c>
      <c r="W4387">
        <v>0.17414199999999999</v>
      </c>
      <c r="X4387">
        <v>0.97907049999999995</v>
      </c>
      <c r="Y4387">
        <v>-2.974626E-2</v>
      </c>
      <c r="Z4387">
        <v>6.7857150000000003E-3</v>
      </c>
      <c r="AA4387">
        <v>0.99953440000000005</v>
      </c>
      <c r="AB4387">
        <v>20</v>
      </c>
      <c r="AC4387">
        <v>26.892299999999899</v>
      </c>
      <c r="AD4387">
        <v>-1.10898098302129</v>
      </c>
      <c r="AE4387">
        <v>-4.6650700000000001</v>
      </c>
      <c r="AF4387">
        <v>-0.82220260367599496</v>
      </c>
      <c r="AG4387">
        <v>-1.10898098302129</v>
      </c>
      <c r="AH4387">
        <v>27.236539064433501</v>
      </c>
      <c r="AI4387">
        <v>92.330544554044494</v>
      </c>
      <c r="AJ4387">
        <v>91.729090358581402</v>
      </c>
      <c r="AK4387">
        <v>27.2715037383457</v>
      </c>
      <c r="AL4387">
        <v>79.971267701262903</v>
      </c>
      <c r="AM4387">
        <v>96.140628806604198</v>
      </c>
      <c r="AN4387">
        <v>0.999999939579168</v>
      </c>
    </row>
    <row r="4388" spans="1:40" x14ac:dyDescent="0.25">
      <c r="A4388" t="str">
        <f>"20190304155502423"</f>
        <v>20190304155502423</v>
      </c>
      <c r="B4388" t="str">
        <f>"1551686102411526"</f>
        <v>1551686102411526</v>
      </c>
      <c r="C4388" t="s">
        <v>40</v>
      </c>
      <c r="D4388">
        <v>4.8340239999999897</v>
      </c>
      <c r="E4388">
        <v>0.52695349999999996</v>
      </c>
      <c r="F4388" t="s">
        <v>91</v>
      </c>
      <c r="G4388">
        <v>-369.9298</v>
      </c>
      <c r="H4388" s="1">
        <v>-8.4379509999999999E-7</v>
      </c>
      <c r="I4388">
        <v>16.547940000000001</v>
      </c>
      <c r="J4388">
        <v>-396.29629999999997</v>
      </c>
      <c r="K4388">
        <v>1.1089549999999999</v>
      </c>
      <c r="L4388">
        <v>21.12433</v>
      </c>
      <c r="M4388">
        <v>0.97922030000000004</v>
      </c>
      <c r="N4388">
        <v>-9.9854469999999997E-3</v>
      </c>
      <c r="O4388">
        <v>-0.20255329999999999</v>
      </c>
      <c r="P4388">
        <v>0.98203419999999997</v>
      </c>
      <c r="Q4388">
        <v>0.16369420000000001</v>
      </c>
      <c r="R4388">
        <v>-9.3878989999999995E-2</v>
      </c>
      <c r="S4388">
        <v>3.0260009999999999</v>
      </c>
      <c r="T4388">
        <v>-0.12633810000000001</v>
      </c>
      <c r="U4388">
        <v>-0.52618409999999904</v>
      </c>
      <c r="V4388">
        <v>-0.10650220000000001</v>
      </c>
      <c r="W4388">
        <v>0.1737795</v>
      </c>
      <c r="X4388">
        <v>0.97900869999999995</v>
      </c>
      <c r="Y4388">
        <v>-3.1674269999999997E-2</v>
      </c>
      <c r="Z4388">
        <v>7.0989410000000001E-3</v>
      </c>
      <c r="AA4388">
        <v>0.99947299999999994</v>
      </c>
      <c r="AB4388">
        <v>20</v>
      </c>
      <c r="AC4388">
        <v>26.366499999999899</v>
      </c>
      <c r="AD4388">
        <v>-1.1089558437950999</v>
      </c>
      <c r="AE4388">
        <v>-4.57639</v>
      </c>
      <c r="AF4388">
        <v>-0.85789724128683797</v>
      </c>
      <c r="AG4388">
        <v>-1.1089558437950999</v>
      </c>
      <c r="AH4388">
        <v>26.701056813046701</v>
      </c>
      <c r="AI4388">
        <v>92.377032503281796</v>
      </c>
      <c r="AJ4388">
        <v>91.840263770834397</v>
      </c>
      <c r="AK4388">
        <v>26.737842203020801</v>
      </c>
      <c r="AL4388">
        <v>79.992359964821702</v>
      </c>
      <c r="AM4388">
        <v>96.208550048793597</v>
      </c>
      <c r="AN4388">
        <v>1.0000000339503801</v>
      </c>
    </row>
    <row r="4389" spans="1:40" x14ac:dyDescent="0.25">
      <c r="A4389" t="str">
        <f>"20190304155502446"</f>
        <v>20190304155502446</v>
      </c>
      <c r="B4389" t="str">
        <f>"1551686102441782"</f>
        <v>1551686102441782</v>
      </c>
      <c r="C4389" t="s">
        <v>40</v>
      </c>
      <c r="D4389">
        <v>4.8598470000000002</v>
      </c>
      <c r="E4389">
        <v>0.51461769999999996</v>
      </c>
      <c r="F4389" t="s">
        <v>91</v>
      </c>
      <c r="G4389">
        <v>-369.97480000000002</v>
      </c>
      <c r="H4389" s="1">
        <v>-8.2562100000000003E-7</v>
      </c>
      <c r="I4389">
        <v>16.551410000000001</v>
      </c>
      <c r="J4389">
        <v>-396.089</v>
      </c>
      <c r="K4389">
        <v>1.108935</v>
      </c>
      <c r="L4389">
        <v>21.07892</v>
      </c>
      <c r="M4389">
        <v>0.97878419999999999</v>
      </c>
      <c r="N4389">
        <v>-9.8415180000000005E-3</v>
      </c>
      <c r="O4389">
        <v>-0.20465729999999999</v>
      </c>
      <c r="P4389">
        <v>0.98203050000000003</v>
      </c>
      <c r="Q4389">
        <v>0.16359029999999899</v>
      </c>
      <c r="R4389">
        <v>-9.4097710000000001E-2</v>
      </c>
      <c r="S4389">
        <v>3.0258790000000002</v>
      </c>
      <c r="T4389">
        <v>-0.12748370000000001</v>
      </c>
      <c r="U4389">
        <v>-0.52569580000000005</v>
      </c>
      <c r="V4389">
        <v>-0.1083945</v>
      </c>
      <c r="W4389">
        <v>0.17353859999999999</v>
      </c>
      <c r="X4389">
        <v>0.97884369999999998</v>
      </c>
      <c r="Y4389">
        <v>-3.3964590000000003E-2</v>
      </c>
      <c r="Z4389">
        <v>7.3315300000000002E-3</v>
      </c>
      <c r="AA4389">
        <v>0.99939610000000001</v>
      </c>
      <c r="AB4389">
        <v>21</v>
      </c>
      <c r="AC4389">
        <v>26.114199999999901</v>
      </c>
      <c r="AD4389">
        <v>-1.108935825621</v>
      </c>
      <c r="AE4389">
        <v>-4.5275100000000004</v>
      </c>
      <c r="AF4389">
        <v>-0.91145500713551897</v>
      </c>
      <c r="AG4389">
        <v>-1.108935825621</v>
      </c>
      <c r="AH4389">
        <v>26.441747376759199</v>
      </c>
      <c r="AI4389">
        <v>92.400086571726803</v>
      </c>
      <c r="AJ4389">
        <v>91.974221124023899</v>
      </c>
      <c r="AK4389">
        <v>26.480681509956099</v>
      </c>
      <c r="AL4389">
        <v>80.006375140662897</v>
      </c>
      <c r="AM4389">
        <v>96.319033783290095</v>
      </c>
      <c r="AN4389">
        <v>1.0000000011749499</v>
      </c>
    </row>
    <row r="4390" spans="1:40" x14ac:dyDescent="0.25">
      <c r="A4390" t="str">
        <f>"20190304155502468"</f>
        <v>20190304155502468</v>
      </c>
      <c r="B4390" t="str">
        <f>"1551686102462278"</f>
        <v>1551686102462278</v>
      </c>
      <c r="C4390" t="s">
        <v>40</v>
      </c>
      <c r="D4390">
        <v>4.8473110000000004</v>
      </c>
      <c r="E4390">
        <v>0.51487950000000005</v>
      </c>
      <c r="F4390" t="s">
        <v>88</v>
      </c>
      <c r="G4390">
        <v>-372.43939999999998</v>
      </c>
      <c r="H4390" s="1">
        <v>-3.8879259999999999E-6</v>
      </c>
      <c r="I4390">
        <v>17.736319999999999</v>
      </c>
      <c r="J4390">
        <v>-395.8888</v>
      </c>
      <c r="K4390">
        <v>1.1089199999999999</v>
      </c>
      <c r="L4390">
        <v>21.034610000000001</v>
      </c>
      <c r="M4390">
        <v>0.97836199999999995</v>
      </c>
      <c r="N4390">
        <v>-9.7114590000000004E-3</v>
      </c>
      <c r="O4390">
        <v>-0.20667260000000001</v>
      </c>
      <c r="P4390">
        <v>0.98202219999999996</v>
      </c>
      <c r="Q4390">
        <v>0.16347900000000001</v>
      </c>
      <c r="R4390">
        <v>-9.4378020000000007E-2</v>
      </c>
      <c r="S4390">
        <v>3.0375369999999999</v>
      </c>
      <c r="T4390">
        <v>-0.1424311</v>
      </c>
      <c r="U4390">
        <v>-0.42932130000000002</v>
      </c>
      <c r="V4390">
        <v>-0.1101381</v>
      </c>
      <c r="W4390">
        <v>0.17330329999999999</v>
      </c>
      <c r="X4390">
        <v>0.97869070000000002</v>
      </c>
      <c r="Y4390">
        <v>-6.7498970000000005E-2</v>
      </c>
      <c r="Z4390">
        <v>9.4392669999999994E-3</v>
      </c>
      <c r="AA4390">
        <v>0.99767470000000003</v>
      </c>
      <c r="AB4390">
        <v>21</v>
      </c>
      <c r="AC4390">
        <v>23.449400000000001</v>
      </c>
      <c r="AD4390">
        <v>-1.1089238879259999</v>
      </c>
      <c r="AE4390">
        <v>-3.29828999999999</v>
      </c>
      <c r="AF4390">
        <v>-1.6159594294906601</v>
      </c>
      <c r="AG4390">
        <v>-1.1089238879259999</v>
      </c>
      <c r="AH4390">
        <v>23.5730862338138</v>
      </c>
      <c r="AI4390">
        <v>92.687022693964394</v>
      </c>
      <c r="AJ4390">
        <v>93.921549819248696</v>
      </c>
      <c r="AK4390">
        <v>23.654416747275601</v>
      </c>
      <c r="AL4390">
        <v>80.020063848509693</v>
      </c>
      <c r="AM4390">
        <v>96.420833036495495</v>
      </c>
      <c r="AN4390">
        <v>0.99999996056449403</v>
      </c>
    </row>
    <row r="4391" spans="1:40" x14ac:dyDescent="0.25">
      <c r="A4391" t="str">
        <f>"20190304155502491"</f>
        <v>20190304155502491</v>
      </c>
      <c r="B4391" t="str">
        <f>"1551686102481799"</f>
        <v>1551686102481799</v>
      </c>
      <c r="C4391" t="s">
        <v>40</v>
      </c>
      <c r="D4391">
        <v>4.8456029999999997</v>
      </c>
      <c r="E4391">
        <v>0.51620650000000001</v>
      </c>
      <c r="F4391" t="s">
        <v>88</v>
      </c>
      <c r="G4391">
        <v>-372.51440000000002</v>
      </c>
      <c r="H4391" s="1">
        <v>-3.8581219999999997E-6</v>
      </c>
      <c r="I4391">
        <v>17.704360000000001</v>
      </c>
      <c r="J4391">
        <v>-395.67880000000002</v>
      </c>
      <c r="K4391">
        <v>1.108911</v>
      </c>
      <c r="L4391">
        <v>20.987729999999999</v>
      </c>
      <c r="M4391">
        <v>0.97792049999999997</v>
      </c>
      <c r="N4391">
        <v>-9.5844490000000001E-3</v>
      </c>
      <c r="O4391">
        <v>-0.20875779999999999</v>
      </c>
      <c r="P4391">
        <v>0.98206380000000004</v>
      </c>
      <c r="Q4391">
        <v>0.16331879999999999</v>
      </c>
      <c r="R4391">
        <v>-9.4223909999999994E-2</v>
      </c>
      <c r="S4391">
        <v>3.0373230000000002</v>
      </c>
      <c r="T4391">
        <v>-0.144095899999999</v>
      </c>
      <c r="U4391">
        <v>-0.43273929999999999</v>
      </c>
      <c r="V4391">
        <v>-0.1123924</v>
      </c>
      <c r="W4391">
        <v>0.1730196</v>
      </c>
      <c r="X4391">
        <v>0.97848460000000004</v>
      </c>
      <c r="Y4391">
        <v>-6.850589E-2</v>
      </c>
      <c r="Z4391">
        <v>9.6952099999999992E-3</v>
      </c>
      <c r="AA4391">
        <v>0.99760360000000003</v>
      </c>
      <c r="AB4391">
        <v>21</v>
      </c>
      <c r="AC4391">
        <v>23.164400000000001</v>
      </c>
      <c r="AD4391">
        <v>-1.1089148581219901</v>
      </c>
      <c r="AE4391">
        <v>-3.2833699999999899</v>
      </c>
      <c r="AF4391">
        <v>-1.6213064960414501</v>
      </c>
      <c r="AG4391">
        <v>-1.1089148581219901</v>
      </c>
      <c r="AH4391">
        <v>23.287124978516001</v>
      </c>
      <c r="AI4391">
        <v>92.719747364407596</v>
      </c>
      <c r="AJ4391">
        <v>93.982645348229099</v>
      </c>
      <c r="AK4391">
        <v>23.369820638629101</v>
      </c>
      <c r="AL4391">
        <v>80.036568107526307</v>
      </c>
      <c r="AM4391">
        <v>96.552491020302796</v>
      </c>
      <c r="AN4391">
        <v>0.99999997299953902</v>
      </c>
    </row>
    <row r="4392" spans="1:40" x14ac:dyDescent="0.25">
      <c r="A4392" t="str">
        <f>"20190304155502514"</f>
        <v>20190304155502514</v>
      </c>
      <c r="B4392" t="str">
        <f>"1551686102502294"</f>
        <v>1551686102502294</v>
      </c>
      <c r="C4392" t="s">
        <v>40</v>
      </c>
      <c r="D4392">
        <v>4.8454309999999996</v>
      </c>
      <c r="E4392">
        <v>0.51555340000000005</v>
      </c>
      <c r="F4392" t="s">
        <v>88</v>
      </c>
      <c r="G4392">
        <v>-372.09710000000001</v>
      </c>
      <c r="H4392" s="1">
        <v>-4.083355E-6</v>
      </c>
      <c r="I4392">
        <v>17.54665</v>
      </c>
      <c r="J4392">
        <v>-395.48059999999998</v>
      </c>
      <c r="K4392">
        <v>1.108924</v>
      </c>
      <c r="L4392">
        <v>20.943079999999998</v>
      </c>
      <c r="M4392">
        <v>0.97750820000000005</v>
      </c>
      <c r="N4392">
        <v>-9.4739549999999992E-3</v>
      </c>
      <c r="O4392">
        <v>-0.21068419999999999</v>
      </c>
      <c r="P4392">
        <v>0.98197869999999998</v>
      </c>
      <c r="Q4392">
        <v>0.16365289999999999</v>
      </c>
      <c r="R4392">
        <v>-9.4528269999999998E-2</v>
      </c>
      <c r="S4392">
        <v>3.036041</v>
      </c>
      <c r="T4392">
        <v>-0.1427678</v>
      </c>
      <c r="U4392">
        <v>-0.44302370000000002</v>
      </c>
      <c r="V4392">
        <v>-0.1140147</v>
      </c>
      <c r="W4392">
        <v>0.1732427</v>
      </c>
      <c r="X4392">
        <v>0.97825740000000005</v>
      </c>
      <c r="Y4392">
        <v>-6.7106739999999998E-2</v>
      </c>
      <c r="Z4392">
        <v>9.6412300000000006E-3</v>
      </c>
      <c r="AA4392">
        <v>0.99769920000000001</v>
      </c>
      <c r="AB4392">
        <v>21</v>
      </c>
      <c r="AC4392">
        <v>23.383499999999898</v>
      </c>
      <c r="AD4392">
        <v>-1.1089280833549999</v>
      </c>
      <c r="AE4392">
        <v>-3.3964299999999898</v>
      </c>
      <c r="AF4392">
        <v>-1.60303729338959</v>
      </c>
      <c r="AG4392">
        <v>-1.1089280833549999</v>
      </c>
      <c r="AH4392">
        <v>23.5223880403103</v>
      </c>
      <c r="AI4392">
        <v>92.692889202449607</v>
      </c>
      <c r="AJ4392">
        <v>93.898646512827099</v>
      </c>
      <c r="AK4392">
        <v>23.6030122903198</v>
      </c>
      <c r="AL4392">
        <v>80.023589321848803</v>
      </c>
      <c r="AM4392">
        <v>96.647760872260903</v>
      </c>
      <c r="AN4392">
        <v>0.99999996278706904</v>
      </c>
    </row>
    <row r="4393" spans="1:40" x14ac:dyDescent="0.25">
      <c r="A4393" t="str">
        <f>"20190304155502536"</f>
        <v>20190304155502536</v>
      </c>
      <c r="B4393" t="str">
        <f>"1551686102531574"</f>
        <v>1551686102531574</v>
      </c>
      <c r="C4393" t="s">
        <v>40</v>
      </c>
      <c r="D4393">
        <v>4.838991</v>
      </c>
      <c r="E4393">
        <v>0.51508350000000003</v>
      </c>
      <c r="F4393" t="s">
        <v>88</v>
      </c>
      <c r="G4393">
        <v>-372.0994</v>
      </c>
      <c r="H4393" s="1">
        <v>-4.0788849999999998E-6</v>
      </c>
      <c r="I4393">
        <v>17.565750000000001</v>
      </c>
      <c r="J4393">
        <v>-395.27589999999998</v>
      </c>
      <c r="K4393">
        <v>1.1089420000000001</v>
      </c>
      <c r="L4393">
        <v>20.896609999999999</v>
      </c>
      <c r="M4393">
        <v>0.97709069999999998</v>
      </c>
      <c r="N4393">
        <v>-9.3676899999999997E-3</v>
      </c>
      <c r="O4393">
        <v>-0.21261740000000001</v>
      </c>
      <c r="P4393">
        <v>0.98195120000000002</v>
      </c>
      <c r="Q4393">
        <v>0.16356870000000001</v>
      </c>
      <c r="R4393">
        <v>-9.4958039999999994E-2</v>
      </c>
      <c r="S4393">
        <v>3.036835</v>
      </c>
      <c r="T4393">
        <v>-0.14403150000000001</v>
      </c>
      <c r="U4393">
        <v>-0.43865969999999999</v>
      </c>
      <c r="V4393">
        <v>-0.1155402</v>
      </c>
      <c r="W4393">
        <v>0.17304829999999999</v>
      </c>
      <c r="X4393">
        <v>0.97811289999999995</v>
      </c>
      <c r="Y4393">
        <v>-7.0510110000000001E-2</v>
      </c>
      <c r="Z4393">
        <v>9.9254070000000007E-3</v>
      </c>
      <c r="AA4393">
        <v>0.99746170000000001</v>
      </c>
      <c r="AB4393">
        <v>21</v>
      </c>
      <c r="AC4393">
        <v>23.176499999999901</v>
      </c>
      <c r="AD4393">
        <v>-1.1089460788850001</v>
      </c>
      <c r="AE4393">
        <v>-3.3308599999999902</v>
      </c>
      <c r="AF4393">
        <v>-1.6695032931537901</v>
      </c>
      <c r="AG4393">
        <v>-1.1089460788850001</v>
      </c>
      <c r="AH4393">
        <v>23.302494871606498</v>
      </c>
      <c r="AI4393">
        <v>92.717646835059995</v>
      </c>
      <c r="AJ4393">
        <v>94.097944420023893</v>
      </c>
      <c r="AK4393">
        <v>23.388528596151001</v>
      </c>
      <c r="AL4393">
        <v>80.034899295065301</v>
      </c>
      <c r="AM4393">
        <v>96.736880930736106</v>
      </c>
      <c r="AN4393">
        <v>1.0000000485476599</v>
      </c>
    </row>
    <row r="4394" spans="1:40" x14ac:dyDescent="0.25">
      <c r="A4394" t="str">
        <f>"20190304155502558"</f>
        <v>20190304155502558</v>
      </c>
      <c r="B4394" t="str">
        <f>"1551686102552070"</f>
        <v>1551686102552070</v>
      </c>
      <c r="C4394" t="s">
        <v>40</v>
      </c>
      <c r="D4394">
        <v>4.8334650000000003</v>
      </c>
      <c r="E4394">
        <v>0.5148954</v>
      </c>
      <c r="F4394" t="s">
        <v>88</v>
      </c>
      <c r="G4394">
        <v>-372.23520000000002</v>
      </c>
      <c r="H4394" s="1">
        <v>-4.0112109999999999E-6</v>
      </c>
      <c r="I4394">
        <v>17.585419999999999</v>
      </c>
      <c r="J4394">
        <v>-395.07600000000002</v>
      </c>
      <c r="K4394">
        <v>1.108976</v>
      </c>
      <c r="L4394">
        <v>20.850919999999999</v>
      </c>
      <c r="M4394">
        <v>0.97669450000000002</v>
      </c>
      <c r="N4394">
        <v>-9.2726690000000007E-3</v>
      </c>
      <c r="O4394">
        <v>-0.21443519999999999</v>
      </c>
      <c r="P4394">
        <v>0.98191669999999998</v>
      </c>
      <c r="Q4394">
        <v>0.16352820000000001</v>
      </c>
      <c r="R4394">
        <v>-9.5385960000000006E-2</v>
      </c>
      <c r="S4394">
        <v>3.0373230000000002</v>
      </c>
      <c r="T4394">
        <v>-0.1461858</v>
      </c>
      <c r="U4394">
        <v>-0.43649290000000002</v>
      </c>
      <c r="V4394">
        <v>-0.1169553</v>
      </c>
      <c r="W4394">
        <v>0.17290549999999999</v>
      </c>
      <c r="X4394">
        <v>0.97796989999999995</v>
      </c>
      <c r="Y4394">
        <v>-7.3072319999999996E-2</v>
      </c>
      <c r="Z4394">
        <v>1.025525E-2</v>
      </c>
      <c r="AA4394">
        <v>0.99727390000000005</v>
      </c>
      <c r="AB4394">
        <v>21</v>
      </c>
      <c r="AC4394">
        <v>22.840799999999899</v>
      </c>
      <c r="AD4394">
        <v>-1.108980011211</v>
      </c>
      <c r="AE4394">
        <v>-3.2654999999999901</v>
      </c>
      <c r="AF4394">
        <v>-1.70461070044185</v>
      </c>
      <c r="AG4394">
        <v>-1.108980011211</v>
      </c>
      <c r="AH4394">
        <v>22.956671383482799</v>
      </c>
      <c r="AI4394">
        <v>92.758086167365605</v>
      </c>
      <c r="AJ4394">
        <v>94.246612711263495</v>
      </c>
      <c r="AK4394">
        <v>23.046567972575598</v>
      </c>
      <c r="AL4394">
        <v>80.043205761830507</v>
      </c>
      <c r="AM4394">
        <v>96.819607542388297</v>
      </c>
      <c r="AN4394">
        <v>0.99999998971717396</v>
      </c>
    </row>
    <row r="4395" spans="1:40" x14ac:dyDescent="0.25">
      <c r="A4395" t="str">
        <f>"20190304155502581"</f>
        <v>20190304155502581</v>
      </c>
      <c r="B4395" t="str">
        <f>"1551686102572566"</f>
        <v>1551686102572566</v>
      </c>
      <c r="C4395" t="s">
        <v>40</v>
      </c>
      <c r="D4395">
        <v>4.8560030000000003</v>
      </c>
      <c r="E4395">
        <v>0.51474819999999999</v>
      </c>
      <c r="F4395" t="s">
        <v>88</v>
      </c>
      <c r="G4395">
        <v>-372.22230000000002</v>
      </c>
      <c r="H4395" s="1">
        <v>-4.0205739999999998E-6</v>
      </c>
      <c r="I4395">
        <v>17.56691</v>
      </c>
      <c r="J4395">
        <v>-394.87119999999999</v>
      </c>
      <c r="K4395">
        <v>1.109027</v>
      </c>
      <c r="L4395">
        <v>20.80377</v>
      </c>
      <c r="M4395">
        <v>0.97630349999999999</v>
      </c>
      <c r="N4395">
        <v>-9.1861709999999999E-3</v>
      </c>
      <c r="O4395">
        <v>-0.21621080000000001</v>
      </c>
      <c r="P4395">
        <v>0.98179720000000004</v>
      </c>
      <c r="Q4395">
        <v>0.1639465</v>
      </c>
      <c r="R4395">
        <v>-9.5895019999999997E-2</v>
      </c>
      <c r="S4395">
        <v>3.0373839999999999</v>
      </c>
      <c r="T4395">
        <v>-0.147389299999999</v>
      </c>
      <c r="U4395">
        <v>-0.43646239999999997</v>
      </c>
      <c r="V4395">
        <v>-0.1182351</v>
      </c>
      <c r="W4395">
        <v>0.17322489999999999</v>
      </c>
      <c r="X4395">
        <v>0.9777595</v>
      </c>
      <c r="Y4395">
        <v>-7.488918E-2</v>
      </c>
      <c r="Z4395">
        <v>1.04875E-2</v>
      </c>
      <c r="AA4395">
        <v>0.99713669999999999</v>
      </c>
      <c r="AB4395">
        <v>21</v>
      </c>
      <c r="AC4395">
        <v>22.648899999999902</v>
      </c>
      <c r="AD4395">
        <v>-1.1090310205739999</v>
      </c>
      <c r="AE4395">
        <v>-3.2368600000000001</v>
      </c>
      <c r="AF4395">
        <v>-1.7327807948051599</v>
      </c>
      <c r="AG4395">
        <v>-1.1090310205739999</v>
      </c>
      <c r="AH4395">
        <v>22.759528728207201</v>
      </c>
      <c r="AI4395">
        <v>92.781676432054397</v>
      </c>
      <c r="AJ4395">
        <v>94.353774926952099</v>
      </c>
      <c r="AK4395">
        <v>22.8523221362192</v>
      </c>
      <c r="AL4395">
        <v>80.024625443290205</v>
      </c>
      <c r="AM4395">
        <v>96.894986929416802</v>
      </c>
      <c r="AN4395">
        <v>1.0000000223461301</v>
      </c>
    </row>
    <row r="4396" spans="1:40" x14ac:dyDescent="0.25">
      <c r="A4396" t="str">
        <f>"20190304155502603"</f>
        <v>20190304155502603</v>
      </c>
      <c r="B4396" t="str">
        <f>"1551686102592086"</f>
        <v>1551686102592086</v>
      </c>
      <c r="C4396" t="s">
        <v>40</v>
      </c>
      <c r="D4396">
        <v>4.7586810000000002</v>
      </c>
      <c r="E4396">
        <v>0.51540549999999996</v>
      </c>
      <c r="F4396" t="s">
        <v>88</v>
      </c>
      <c r="G4396">
        <v>-372.08539999999999</v>
      </c>
      <c r="H4396" s="1">
        <v>-4.0925659999999999E-6</v>
      </c>
      <c r="I4396">
        <v>17.525829999999999</v>
      </c>
      <c r="J4396">
        <v>-394.65839999999997</v>
      </c>
      <c r="K4396">
        <v>1.109086</v>
      </c>
      <c r="L4396">
        <v>20.754490000000001</v>
      </c>
      <c r="M4396">
        <v>0.97592100000000004</v>
      </c>
      <c r="N4396">
        <v>-9.1077450000000004E-3</v>
      </c>
      <c r="O4396">
        <v>-0.21793470000000001</v>
      </c>
      <c r="P4396">
        <v>0.98167959999999999</v>
      </c>
      <c r="Q4396">
        <v>0.164077</v>
      </c>
      <c r="R4396">
        <v>-9.6871269999999995E-2</v>
      </c>
      <c r="S4396">
        <v>3.0375670000000001</v>
      </c>
      <c r="T4396">
        <v>-0.1478447</v>
      </c>
      <c r="U4396">
        <v>-0.43698120000000001</v>
      </c>
      <c r="V4396">
        <v>-0.1190148</v>
      </c>
      <c r="W4396">
        <v>0.17325960000000001</v>
      </c>
      <c r="X4396">
        <v>0.97765869999999999</v>
      </c>
      <c r="Y4396">
        <v>-7.6485949999999997E-2</v>
      </c>
      <c r="Z4396">
        <v>1.064932E-2</v>
      </c>
      <c r="AA4396">
        <v>0.99701379999999995</v>
      </c>
      <c r="AB4396">
        <v>21</v>
      </c>
      <c r="AC4396">
        <v>22.572999999999901</v>
      </c>
      <c r="AD4396">
        <v>-1.1090900925660001</v>
      </c>
      <c r="AE4396">
        <v>-3.2286600000000001</v>
      </c>
      <c r="AF4396">
        <v>-1.76442189710543</v>
      </c>
      <c r="AG4396">
        <v>-1.1090900925660001</v>
      </c>
      <c r="AH4396">
        <v>22.6803864749563</v>
      </c>
      <c r="AI4396">
        <v>92.791161970325106</v>
      </c>
      <c r="AJ4396">
        <v>94.448368767827503</v>
      </c>
      <c r="AK4396">
        <v>22.775934582751901</v>
      </c>
      <c r="AL4396">
        <v>80.022606254774701</v>
      </c>
      <c r="AM4396">
        <v>96.940722402096497</v>
      </c>
      <c r="AN4396">
        <v>0.99999997264844398</v>
      </c>
    </row>
    <row r="4397" spans="1:40" x14ac:dyDescent="0.25">
      <c r="A4397" t="str">
        <f>"20190304155502625"</f>
        <v>20190304155502625</v>
      </c>
      <c r="B4397" t="str">
        <f>"1551686102622342"</f>
        <v>1551686102622342</v>
      </c>
      <c r="C4397" t="s">
        <v>40</v>
      </c>
      <c r="D4397">
        <v>4.7288779999999999</v>
      </c>
      <c r="E4397">
        <v>0.51692389999999999</v>
      </c>
      <c r="F4397" t="s">
        <v>88</v>
      </c>
      <c r="G4397">
        <v>-371.42110000000002</v>
      </c>
      <c r="H4397" s="1">
        <v>-4.4379539999999997E-6</v>
      </c>
      <c r="I4397">
        <v>17.348960000000002</v>
      </c>
      <c r="J4397">
        <v>-394.46249999999998</v>
      </c>
      <c r="K4397">
        <v>1.109148</v>
      </c>
      <c r="L4397">
        <v>20.70889</v>
      </c>
      <c r="M4397">
        <v>0.97559260000000003</v>
      </c>
      <c r="N4397">
        <v>-9.0440759999999999E-3</v>
      </c>
      <c r="O4397">
        <v>-0.2194026</v>
      </c>
      <c r="P4397">
        <v>0.98171620000000004</v>
      </c>
      <c r="Q4397">
        <v>0.1634852</v>
      </c>
      <c r="R4397">
        <v>-9.7501089999999999E-2</v>
      </c>
      <c r="S4397">
        <v>3.0362550000000001</v>
      </c>
      <c r="T4397">
        <v>-0.14491760000000001</v>
      </c>
      <c r="U4397">
        <v>-0.44497680000000001</v>
      </c>
      <c r="V4397">
        <v>-0.11991250000000001</v>
      </c>
      <c r="W4397">
        <v>0.17258660000000001</v>
      </c>
      <c r="X4397">
        <v>0.97766799999999998</v>
      </c>
      <c r="Y4397">
        <v>-7.5365249999999995E-2</v>
      </c>
      <c r="Z4397">
        <v>1.0442659999999999E-2</v>
      </c>
      <c r="AA4397">
        <v>0.99710129999999997</v>
      </c>
      <c r="AB4397">
        <v>21</v>
      </c>
      <c r="AC4397">
        <v>23.0413999999999</v>
      </c>
      <c r="AD4397">
        <v>-1.1091524379539901</v>
      </c>
      <c r="AE4397">
        <v>-3.3599299999999901</v>
      </c>
      <c r="AF4397">
        <v>-1.77346879755287</v>
      </c>
      <c r="AG4397">
        <v>-1.1091524379539901</v>
      </c>
      <c r="AH4397">
        <v>23.164584227190002</v>
      </c>
      <c r="AI4397">
        <v>92.733321181814404</v>
      </c>
      <c r="AJ4397">
        <v>94.3779954309353</v>
      </c>
      <c r="AK4397">
        <v>23.258834302799698</v>
      </c>
      <c r="AL4397">
        <v>80.061755669537902</v>
      </c>
      <c r="AM4397">
        <v>96.992492358353999</v>
      </c>
      <c r="AN4397">
        <v>0.99999993018990196</v>
      </c>
    </row>
    <row r="4398" spans="1:40" x14ac:dyDescent="0.25">
      <c r="A4398" t="str">
        <f>"20190304155502646"</f>
        <v>20190304155502646</v>
      </c>
      <c r="B4398" t="str">
        <f>"1551686102641862"</f>
        <v>1551686102641862</v>
      </c>
      <c r="C4398" t="s">
        <v>40</v>
      </c>
      <c r="D4398">
        <v>4.7830599999999999</v>
      </c>
      <c r="E4398">
        <v>0.51706090000000005</v>
      </c>
      <c r="F4398" t="s">
        <v>88</v>
      </c>
      <c r="G4398">
        <v>-370.76049999999998</v>
      </c>
      <c r="H4398" s="1">
        <v>-4.7899279999999996E-6</v>
      </c>
      <c r="I4398">
        <v>17.125309999999999</v>
      </c>
      <c r="J4398">
        <v>-394.2604</v>
      </c>
      <c r="K4398">
        <v>1.10921</v>
      </c>
      <c r="L4398">
        <v>20.66168</v>
      </c>
      <c r="M4398">
        <v>0.97527520000000001</v>
      </c>
      <c r="N4398">
        <v>-8.9858519999999904E-3</v>
      </c>
      <c r="O4398">
        <v>-0.2208117</v>
      </c>
      <c r="P4398">
        <v>0.98174539999999999</v>
      </c>
      <c r="Q4398">
        <v>0.16259799999999999</v>
      </c>
      <c r="R4398">
        <v>-9.8683209999999993E-2</v>
      </c>
      <c r="S4398">
        <v>3.0339360000000002</v>
      </c>
      <c r="T4398">
        <v>-0.1419753</v>
      </c>
      <c r="U4398">
        <v>-0.4587097</v>
      </c>
      <c r="V4398">
        <v>-0.12021129999999999</v>
      </c>
      <c r="W4398">
        <v>0.1716242</v>
      </c>
      <c r="X4398">
        <v>0.97780080000000003</v>
      </c>
      <c r="Y4398">
        <v>-7.2294330000000004E-2</v>
      </c>
      <c r="Z4398">
        <v>1.0177820000000001E-2</v>
      </c>
      <c r="AA4398">
        <v>0.99733139999999998</v>
      </c>
      <c r="AB4398">
        <v>21</v>
      </c>
      <c r="AC4398">
        <v>23.4999</v>
      </c>
      <c r="AD4398">
        <v>-1.109214789928</v>
      </c>
      <c r="AE4398">
        <v>-3.5363699999999998</v>
      </c>
      <c r="AF4398">
        <v>-1.7364060293250201</v>
      </c>
      <c r="AG4398">
        <v>-1.109214789928</v>
      </c>
      <c r="AH4398">
        <v>23.649173558518399</v>
      </c>
      <c r="AI4398">
        <v>92.678171335895499</v>
      </c>
      <c r="AJ4398">
        <v>94.199323542165303</v>
      </c>
      <c r="AK4398">
        <v>23.7387630964589</v>
      </c>
      <c r="AL4398">
        <v>80.117733220759803</v>
      </c>
      <c r="AM4398">
        <v>97.008800676027406</v>
      </c>
      <c r="AN4398">
        <v>1.00000001357698</v>
      </c>
    </row>
    <row r="4399" spans="1:40" x14ac:dyDescent="0.25">
      <c r="A4399" t="str">
        <f>"20190304155502671"</f>
        <v>20190304155502671</v>
      </c>
      <c r="B4399" t="str">
        <f>"1551686102662359"</f>
        <v>1551686102662359</v>
      </c>
      <c r="C4399" t="s">
        <v>40</v>
      </c>
      <c r="D4399">
        <v>4.7408700000000001</v>
      </c>
      <c r="E4399">
        <v>0.51779269999999999</v>
      </c>
      <c r="F4399" t="s">
        <v>88</v>
      </c>
      <c r="G4399">
        <v>-371.0822</v>
      </c>
      <c r="H4399" s="1">
        <v>-4.6384229999999999E-6</v>
      </c>
      <c r="I4399">
        <v>17.122050000000002</v>
      </c>
      <c r="J4399">
        <v>-394.04109999999997</v>
      </c>
      <c r="K4399">
        <v>1.1092649999999999</v>
      </c>
      <c r="L4399">
        <v>20.61026</v>
      </c>
      <c r="M4399">
        <v>0.97495750000000003</v>
      </c>
      <c r="N4399">
        <v>-8.9289130000000001E-3</v>
      </c>
      <c r="O4399">
        <v>-0.22221260000000001</v>
      </c>
      <c r="P4399">
        <v>0.98171529999999996</v>
      </c>
      <c r="Q4399">
        <v>0.1622432</v>
      </c>
      <c r="R4399">
        <v>-9.9561579999999997E-2</v>
      </c>
      <c r="S4399">
        <v>3.0332949999999999</v>
      </c>
      <c r="T4399">
        <v>-0.14516129999999999</v>
      </c>
      <c r="U4399">
        <v>-0.46322629999999998</v>
      </c>
      <c r="V4399">
        <v>-0.12078609999999999</v>
      </c>
      <c r="W4399">
        <v>0.17119289999999901</v>
      </c>
      <c r="X4399">
        <v>0.97780560000000005</v>
      </c>
      <c r="Y4399">
        <v>-7.2230829999999996E-2</v>
      </c>
      <c r="Z4399">
        <v>1.050506E-2</v>
      </c>
      <c r="AA4399">
        <v>0.99733260000000001</v>
      </c>
      <c r="AB4399">
        <v>21</v>
      </c>
      <c r="AC4399">
        <v>22.9588999999999</v>
      </c>
      <c r="AD4399">
        <v>-1.1092696384230001</v>
      </c>
      <c r="AE4399">
        <v>-3.4882099999999898</v>
      </c>
      <c r="AF4399">
        <v>-1.69709563450294</v>
      </c>
      <c r="AG4399">
        <v>-1.1092696384230001</v>
      </c>
      <c r="AH4399">
        <v>23.107271660852401</v>
      </c>
      <c r="AI4399">
        <v>92.741015178531995</v>
      </c>
      <c r="AJ4399">
        <v>94.200502315712995</v>
      </c>
      <c r="AK4399">
        <v>23.196047429073101</v>
      </c>
      <c r="AL4399">
        <v>80.1428163910889</v>
      </c>
      <c r="AM4399">
        <v>97.041943909056997</v>
      </c>
      <c r="AN4399">
        <v>1.0000000411774801</v>
      </c>
    </row>
    <row r="4400" spans="1:40" x14ac:dyDescent="0.25">
      <c r="A4400" t="str">
        <f>"20190304155502694"</f>
        <v>20190304155502694</v>
      </c>
      <c r="B4400" t="str">
        <f>"1551686102681877"</f>
        <v>1551686102681877</v>
      </c>
      <c r="C4400" t="s">
        <v>40</v>
      </c>
      <c r="D4400">
        <v>4.8116580000000004</v>
      </c>
      <c r="E4400">
        <v>0.51868979999999998</v>
      </c>
      <c r="F4400" t="s">
        <v>88</v>
      </c>
      <c r="G4400">
        <v>-370.73039999999997</v>
      </c>
      <c r="H4400" s="1">
        <v>-4.8294319999999999E-6</v>
      </c>
      <c r="I4400">
        <v>16.982810000000001</v>
      </c>
      <c r="J4400">
        <v>-393.82429999999999</v>
      </c>
      <c r="K4400">
        <v>1.109334</v>
      </c>
      <c r="L4400">
        <v>20.559229999999999</v>
      </c>
      <c r="M4400">
        <v>0.97467519999999996</v>
      </c>
      <c r="N4400">
        <v>-8.8737090000000005E-3</v>
      </c>
      <c r="O4400">
        <v>-0.22344990000000001</v>
      </c>
      <c r="P4400">
        <v>0.98174039999999996</v>
      </c>
      <c r="Q4400">
        <v>0.1619815</v>
      </c>
      <c r="R4400">
        <v>-9.974015E-2</v>
      </c>
      <c r="S4400">
        <v>3.0318909999999999</v>
      </c>
      <c r="T4400">
        <v>-0.1442764</v>
      </c>
      <c r="U4400">
        <v>-0.47180179999999999</v>
      </c>
      <c r="V4400">
        <v>-0.1218931</v>
      </c>
      <c r="W4400">
        <v>0.17085549999999999</v>
      </c>
      <c r="X4400">
        <v>0.97772720000000002</v>
      </c>
      <c r="Y4400">
        <v>-7.0676530000000001E-2</v>
      </c>
      <c r="Z4400">
        <v>1.0445670000000001E-2</v>
      </c>
      <c r="AA4400">
        <v>0.99744460000000001</v>
      </c>
      <c r="AB4400">
        <v>21</v>
      </c>
      <c r="AC4400">
        <v>23.093900000000001</v>
      </c>
      <c r="AD4400">
        <v>-1.1093388294319999</v>
      </c>
      <c r="AE4400">
        <v>-3.5764199999999899</v>
      </c>
      <c r="AF4400">
        <v>-1.6707824416988</v>
      </c>
      <c r="AG4400">
        <v>-1.1093388294319999</v>
      </c>
      <c r="AH4400">
        <v>23.256708976843601</v>
      </c>
      <c r="AI4400">
        <v>92.723913947622606</v>
      </c>
      <c r="AJ4400">
        <v>94.109119721646493</v>
      </c>
      <c r="AK4400">
        <v>23.343021634732199</v>
      </c>
      <c r="AL4400">
        <v>80.162436688366199</v>
      </c>
      <c r="AM4400">
        <v>97.106390215424597</v>
      </c>
      <c r="AN4400">
        <v>1.0000000036638499</v>
      </c>
    </row>
    <row r="4401" spans="1:40" x14ac:dyDescent="0.25">
      <c r="A4401" t="str">
        <f>"20190304155502725"</f>
        <v>20190304155502725</v>
      </c>
      <c r="B4401" t="str">
        <f>"1551686102721894"</f>
        <v>1551686102721894</v>
      </c>
      <c r="C4401" t="s">
        <v>40</v>
      </c>
      <c r="D4401">
        <v>4.7842469999999997</v>
      </c>
      <c r="E4401">
        <v>0.52000409999999997</v>
      </c>
      <c r="F4401" t="s">
        <v>88</v>
      </c>
      <c r="G4401">
        <v>-370.13580000000002</v>
      </c>
      <c r="H4401" s="1">
        <v>-5.1408259999999901E-6</v>
      </c>
      <c r="I4401">
        <v>16.811689999999999</v>
      </c>
      <c r="J4401">
        <v>-393.53309999999999</v>
      </c>
      <c r="K4401">
        <v>1.1094550000000001</v>
      </c>
      <c r="L4401">
        <v>20.490570000000002</v>
      </c>
      <c r="M4401">
        <v>0.97435419999999995</v>
      </c>
      <c r="N4401">
        <v>-8.7983539999999996E-3</v>
      </c>
      <c r="O4401">
        <v>-0.22484779999999999</v>
      </c>
      <c r="P4401">
        <v>0.98174969999999995</v>
      </c>
      <c r="Q4401">
        <v>0.16176889999999999</v>
      </c>
      <c r="R4401">
        <v>-9.9993009999999993E-2</v>
      </c>
      <c r="S4401">
        <v>3.0305179999999998</v>
      </c>
      <c r="T4401">
        <v>-0.1419203</v>
      </c>
      <c r="U4401">
        <v>-0.4794312</v>
      </c>
      <c r="V4401">
        <v>-0.1231061</v>
      </c>
      <c r="W4401">
        <v>0.1705323</v>
      </c>
      <c r="X4401">
        <v>0.97763160000000005</v>
      </c>
      <c r="Y4401">
        <v>-6.9596770000000002E-2</v>
      </c>
      <c r="Z4401">
        <v>1.028546E-2</v>
      </c>
      <c r="AA4401">
        <v>0.99752220000000003</v>
      </c>
      <c r="AB4401">
        <v>21</v>
      </c>
      <c r="AC4401">
        <v>23.397299999999898</v>
      </c>
      <c r="AD4401">
        <v>-1.1094601408260001</v>
      </c>
      <c r="AE4401">
        <v>-3.6788799999999999</v>
      </c>
      <c r="AF4401">
        <v>-1.67269379149834</v>
      </c>
      <c r="AG4401">
        <v>-1.1094601408260001</v>
      </c>
      <c r="AH4401">
        <v>23.573633073460801</v>
      </c>
      <c r="AI4401">
        <v>92.687809794382602</v>
      </c>
      <c r="AJ4401">
        <v>94.058684428272898</v>
      </c>
      <c r="AK4401">
        <v>23.658930292943602</v>
      </c>
      <c r="AL4401">
        <v>80.181230079848106</v>
      </c>
      <c r="AM4401">
        <v>97.177069057230199</v>
      </c>
      <c r="AN4401">
        <v>0.99999996125952895</v>
      </c>
    </row>
    <row r="4402" spans="1:40" x14ac:dyDescent="0.25">
      <c r="A4402" t="str">
        <f>"20190304155502747"</f>
        <v>20190304155502747</v>
      </c>
      <c r="B4402" t="str">
        <f>"1551686102742390"</f>
        <v>1551686102742390</v>
      </c>
      <c r="C4402" t="s">
        <v>40</v>
      </c>
      <c r="D4402">
        <v>4.8275110000000003</v>
      </c>
      <c r="E4402">
        <v>0.51998169999999999</v>
      </c>
      <c r="F4402" t="s">
        <v>91</v>
      </c>
      <c r="G4402">
        <v>-369.1918</v>
      </c>
      <c r="H4402" s="1">
        <v>-1.1268120000000001E-6</v>
      </c>
      <c r="I4402">
        <v>16.54946</v>
      </c>
      <c r="J4402">
        <v>-393.33280000000002</v>
      </c>
      <c r="K4402">
        <v>1.1095520000000001</v>
      </c>
      <c r="L4402">
        <v>20.44333</v>
      </c>
      <c r="M4402">
        <v>0.97417739999999997</v>
      </c>
      <c r="N4402">
        <v>-8.7432269999999992E-3</v>
      </c>
      <c r="O4402">
        <v>-0.22561539999999999</v>
      </c>
      <c r="P4402">
        <v>0.98172369999999998</v>
      </c>
      <c r="Q4402">
        <v>0.1620345</v>
      </c>
      <c r="R4402">
        <v>-9.9819350000000001E-2</v>
      </c>
      <c r="S4402">
        <v>3.0285639999999998</v>
      </c>
      <c r="T4402">
        <v>-0.13803969999999999</v>
      </c>
      <c r="U4402">
        <v>-0.49035640000000003</v>
      </c>
      <c r="V4402">
        <v>-0.124083</v>
      </c>
      <c r="W4402">
        <v>0.1707128</v>
      </c>
      <c r="X4402">
        <v>0.97747669999999998</v>
      </c>
      <c r="Y4402">
        <v>-6.6791390000000006E-2</v>
      </c>
      <c r="Z4402">
        <v>9.9236940000000003E-3</v>
      </c>
      <c r="AA4402">
        <v>0.99771759999999998</v>
      </c>
      <c r="AB4402">
        <v>21</v>
      </c>
      <c r="AC4402">
        <v>24.140999999999998</v>
      </c>
      <c r="AD4402">
        <v>-1.109553126812</v>
      </c>
      <c r="AE4402">
        <v>-3.8938700000000002</v>
      </c>
      <c r="AF4402">
        <v>-1.6499271126486199</v>
      </c>
      <c r="AG4402">
        <v>-1.109553126812</v>
      </c>
      <c r="AH4402">
        <v>24.346934347306501</v>
      </c>
      <c r="AI4402">
        <v>92.603349571572394</v>
      </c>
      <c r="AJ4402">
        <v>93.876855431218701</v>
      </c>
      <c r="AK4402">
        <v>24.427987631614801</v>
      </c>
      <c r="AL4402">
        <v>80.170735414914702</v>
      </c>
      <c r="AM4402">
        <v>97.2345554297642</v>
      </c>
      <c r="AN4402">
        <v>1.0000000750078599</v>
      </c>
    </row>
    <row r="4403" spans="1:40" x14ac:dyDescent="0.25">
      <c r="A4403" t="str">
        <f>"20190304155502769"</f>
        <v>20190304155502769</v>
      </c>
      <c r="B4403" t="str">
        <f>"1551686102761910"</f>
        <v>1551686102761910</v>
      </c>
      <c r="C4403" t="s">
        <v>40</v>
      </c>
      <c r="D4403">
        <v>4.8440120000000002</v>
      </c>
      <c r="E4403">
        <v>0.52022709999999905</v>
      </c>
      <c r="F4403" t="s">
        <v>91</v>
      </c>
      <c r="G4403">
        <v>-368.84710000000001</v>
      </c>
      <c r="H4403" s="1">
        <v>-1.276195E-6</v>
      </c>
      <c r="I4403">
        <v>16.485489999999999</v>
      </c>
      <c r="J4403">
        <v>-393.11930000000001</v>
      </c>
      <c r="K4403">
        <v>1.1096509999999999</v>
      </c>
      <c r="L4403">
        <v>20.392969999999998</v>
      </c>
      <c r="M4403">
        <v>0.97402350000000004</v>
      </c>
      <c r="N4403">
        <v>-8.6857900000000005E-3</v>
      </c>
      <c r="O4403">
        <v>-0.22628100000000001</v>
      </c>
      <c r="P4403">
        <v>0.98184229999999995</v>
      </c>
      <c r="Q4403">
        <v>0.1619514</v>
      </c>
      <c r="R4403">
        <v>-9.8780919999999994E-2</v>
      </c>
      <c r="S4403">
        <v>3.0287480000000002</v>
      </c>
      <c r="T4403">
        <v>-0.137245799999999</v>
      </c>
      <c r="U4403">
        <v>-0.48956300000000003</v>
      </c>
      <c r="V4403">
        <v>-0.1258349</v>
      </c>
      <c r="W4403">
        <v>0.17053979999999999</v>
      </c>
      <c r="X4403">
        <v>0.97728280000000001</v>
      </c>
      <c r="Y4403">
        <v>-6.7738259999999995E-2</v>
      </c>
      <c r="Z4403">
        <v>9.9162669999999994E-3</v>
      </c>
      <c r="AA4403">
        <v>0.99765380000000004</v>
      </c>
      <c r="AB4403">
        <v>21</v>
      </c>
      <c r="AC4403">
        <v>24.272200000000002</v>
      </c>
      <c r="AD4403">
        <v>-1.1096522761949901</v>
      </c>
      <c r="AE4403">
        <v>-3.9074800000000001</v>
      </c>
      <c r="AF4403">
        <v>-1.68299501908592</v>
      </c>
      <c r="AG4403">
        <v>-1.1096522761949901</v>
      </c>
      <c r="AH4403">
        <v>24.476937499909798</v>
      </c>
      <c r="AI4403">
        <v>92.589598339237199</v>
      </c>
      <c r="AJ4403">
        <v>93.933375198474096</v>
      </c>
      <c r="AK4403">
        <v>24.5598100518474</v>
      </c>
      <c r="AL4403">
        <v>80.180793943889</v>
      </c>
      <c r="AM4403">
        <v>97.337033133398094</v>
      </c>
      <c r="AN4403">
        <v>0.99999995830894395</v>
      </c>
    </row>
    <row r="4404" spans="1:40" x14ac:dyDescent="0.25">
      <c r="A4404" t="str">
        <f>"20190304155502791"</f>
        <v>20190304155502791</v>
      </c>
      <c r="B4404" t="str">
        <f>"1551686102782406"</f>
        <v>1551686102782406</v>
      </c>
      <c r="C4404" t="s">
        <v>40</v>
      </c>
      <c r="D4404">
        <v>4.8201419999999997</v>
      </c>
      <c r="E4404">
        <v>0.52027699999999999</v>
      </c>
      <c r="F4404" t="s">
        <v>91</v>
      </c>
      <c r="G4404">
        <v>-368.48919999999998</v>
      </c>
      <c r="H4404" s="1">
        <v>-1.4306319999999999E-6</v>
      </c>
      <c r="I4404">
        <v>16.42163</v>
      </c>
      <c r="J4404">
        <v>-392.91180000000003</v>
      </c>
      <c r="K4404">
        <v>1.1097509999999999</v>
      </c>
      <c r="L4404">
        <v>20.34412</v>
      </c>
      <c r="M4404">
        <v>0.97391430000000001</v>
      </c>
      <c r="N4404">
        <v>-8.6334269999999904E-3</v>
      </c>
      <c r="O4404">
        <v>-0.2267527</v>
      </c>
      <c r="P4404">
        <v>0.98188839999999999</v>
      </c>
      <c r="Q4404">
        <v>0.16220570000000001</v>
      </c>
      <c r="R4404">
        <v>-9.7901219999999997E-2</v>
      </c>
      <c r="S4404">
        <v>3.02887</v>
      </c>
      <c r="T4404">
        <v>-0.13645860000000001</v>
      </c>
      <c r="U4404">
        <v>-0.4883728</v>
      </c>
      <c r="V4404">
        <v>-0.12722159999999999</v>
      </c>
      <c r="W4404">
        <v>0.17070850000000001</v>
      </c>
      <c r="X4404">
        <v>0.97707379999999999</v>
      </c>
      <c r="Y4404">
        <v>-6.8610969999999993E-2</v>
      </c>
      <c r="Z4404">
        <v>9.8995490000000005E-3</v>
      </c>
      <c r="AA4404">
        <v>0.99759439999999999</v>
      </c>
      <c r="AB4404">
        <v>21</v>
      </c>
      <c r="AC4404">
        <v>24.422599999999999</v>
      </c>
      <c r="AD4404">
        <v>-1.1097524306319999</v>
      </c>
      <c r="AE4404">
        <v>-3.9224899999999998</v>
      </c>
      <c r="AF4404">
        <v>-1.7143344071229101</v>
      </c>
      <c r="AG4404">
        <v>-1.1097524306319999</v>
      </c>
      <c r="AH4404">
        <v>24.6263008183045</v>
      </c>
      <c r="AI4404">
        <v>92.573993672046299</v>
      </c>
      <c r="AJ4404">
        <v>93.982161940618298</v>
      </c>
      <c r="AK4404">
        <v>24.710831327787499</v>
      </c>
      <c r="AL4404">
        <v>80.170984405391295</v>
      </c>
      <c r="AM4404">
        <v>97.418560623073105</v>
      </c>
      <c r="AN4404">
        <v>0.99999996906262401</v>
      </c>
    </row>
    <row r="4405" spans="1:40" x14ac:dyDescent="0.25">
      <c r="A4405" t="str">
        <f>"20190304155502815"</f>
        <v>20190304155502815</v>
      </c>
      <c r="B4405" t="str">
        <f>"1551686102811686"</f>
        <v>1551686102811686</v>
      </c>
      <c r="C4405" t="s">
        <v>40</v>
      </c>
      <c r="D4405">
        <v>5.0847040000000003</v>
      </c>
      <c r="E4405">
        <v>0.52015900000000004</v>
      </c>
      <c r="F4405" t="s">
        <v>91</v>
      </c>
      <c r="G4405">
        <v>-368.1207</v>
      </c>
      <c r="H4405" s="1">
        <v>-1.586378E-6</v>
      </c>
      <c r="I4405">
        <v>16.368110000000001</v>
      </c>
      <c r="J4405">
        <v>-392.69130000000001</v>
      </c>
      <c r="K4405">
        <v>1.1098600000000001</v>
      </c>
      <c r="L4405">
        <v>20.292300000000001</v>
      </c>
      <c r="M4405">
        <v>0.97384590000000004</v>
      </c>
      <c r="N4405">
        <v>-8.5784109999999993E-3</v>
      </c>
      <c r="O4405">
        <v>-0.22704750000000001</v>
      </c>
      <c r="P4405">
        <v>0.98200770000000004</v>
      </c>
      <c r="Q4405">
        <v>0.16209000000000001</v>
      </c>
      <c r="R4405">
        <v>-9.6891359999999996E-2</v>
      </c>
      <c r="S4405">
        <v>3.0292970000000001</v>
      </c>
      <c r="T4405">
        <v>-0.13560410000000001</v>
      </c>
      <c r="U4405">
        <v>-0.48583979999999999</v>
      </c>
      <c r="V4405">
        <v>-0.12857869999999999</v>
      </c>
      <c r="W4405">
        <v>0.17050079999999901</v>
      </c>
      <c r="X4405">
        <v>0.97693249999999998</v>
      </c>
      <c r="Y4405">
        <v>-6.9749420000000006E-2</v>
      </c>
      <c r="Z4405">
        <v>9.8774589999999999E-3</v>
      </c>
      <c r="AA4405">
        <v>0.99751559999999995</v>
      </c>
      <c r="AB4405">
        <v>22</v>
      </c>
      <c r="AC4405">
        <v>24.570599999999999</v>
      </c>
      <c r="AD4405">
        <v>-1.1098615863779999</v>
      </c>
      <c r="AE4405">
        <v>-3.9241899999999998</v>
      </c>
      <c r="AF4405">
        <v>-1.75371242550065</v>
      </c>
      <c r="AG4405">
        <v>-1.1098615863779999</v>
      </c>
      <c r="AH4405">
        <v>24.770585210217</v>
      </c>
      <c r="AI4405">
        <v>92.559060520859504</v>
      </c>
      <c r="AJ4405">
        <v>94.049679923236994</v>
      </c>
      <c r="AK4405">
        <v>24.857377007015302</v>
      </c>
      <c r="AL4405">
        <v>80.183062673132099</v>
      </c>
      <c r="AM4405">
        <v>97.497872517208293</v>
      </c>
      <c r="AN4405">
        <v>1.0000000572252801</v>
      </c>
    </row>
    <row r="4406" spans="1:40" x14ac:dyDescent="0.25">
      <c r="A4406" t="str">
        <f>"20190304155502837"</f>
        <v>20190304155502837</v>
      </c>
      <c r="B4406" t="str">
        <f>"1551686102832182"</f>
        <v>1551686102832182</v>
      </c>
      <c r="C4406" t="s">
        <v>40</v>
      </c>
      <c r="D4406">
        <v>4.8484480000000003</v>
      </c>
      <c r="E4406">
        <v>0.4921276</v>
      </c>
      <c r="F4406" t="s">
        <v>91</v>
      </c>
      <c r="G4406">
        <v>-368.18740000000003</v>
      </c>
      <c r="H4406" s="1">
        <v>-1.554181E-6</v>
      </c>
      <c r="I4406">
        <v>16.392910000000001</v>
      </c>
      <c r="J4406">
        <v>-392.48840000000001</v>
      </c>
      <c r="K4406">
        <v>1.109966</v>
      </c>
      <c r="L4406">
        <v>20.244779999999999</v>
      </c>
      <c r="M4406">
        <v>0.97382740000000001</v>
      </c>
      <c r="N4406">
        <v>-8.5299629999999998E-3</v>
      </c>
      <c r="O4406">
        <v>-0.22712860000000001</v>
      </c>
      <c r="P4406">
        <v>0.98207469999999997</v>
      </c>
      <c r="Q4406">
        <v>0.16230720000000001</v>
      </c>
      <c r="R4406">
        <v>-9.5840369999999994E-2</v>
      </c>
      <c r="S4406">
        <v>3.0300289999999999</v>
      </c>
      <c r="T4406">
        <v>-0.13723959999999999</v>
      </c>
      <c r="U4406">
        <v>-0.48217769999999999</v>
      </c>
      <c r="V4406">
        <v>-0.12974620000000001</v>
      </c>
      <c r="W4406">
        <v>0.1706328</v>
      </c>
      <c r="X4406">
        <v>0.97675500000000004</v>
      </c>
      <c r="Y4406">
        <v>-7.1037749999999997E-2</v>
      </c>
      <c r="Z4406">
        <v>1.006164E-2</v>
      </c>
      <c r="AA4406">
        <v>0.9974229</v>
      </c>
      <c r="AB4406">
        <v>22</v>
      </c>
      <c r="AC4406">
        <v>24.300999999999899</v>
      </c>
      <c r="AD4406">
        <v>-1.1099675541809999</v>
      </c>
      <c r="AE4406">
        <v>-3.8518699999999901</v>
      </c>
      <c r="AF4406">
        <v>-1.76486816357517</v>
      </c>
      <c r="AG4406">
        <v>-1.1099675541809999</v>
      </c>
      <c r="AH4406">
        <v>24.4909001392951</v>
      </c>
      <c r="AI4406">
        <v>92.588259955293594</v>
      </c>
      <c r="AJ4406">
        <v>94.121735151744303</v>
      </c>
      <c r="AK4406">
        <v>24.579482851334799</v>
      </c>
      <c r="AL4406">
        <v>80.175386382697397</v>
      </c>
      <c r="AM4406">
        <v>97.566527325466495</v>
      </c>
      <c r="AN4406">
        <v>0.99999997943763896</v>
      </c>
    </row>
    <row r="4407" spans="1:40" x14ac:dyDescent="0.25">
      <c r="A4407" t="str">
        <f>"20190304155502860"</f>
        <v>20190304155502860</v>
      </c>
      <c r="B4407" t="str">
        <f>"1551686102851703"</f>
        <v>1551686102851703</v>
      </c>
      <c r="C4407" t="s">
        <v>40</v>
      </c>
      <c r="D4407">
        <v>4.9023870000000001</v>
      </c>
      <c r="E4407">
        <v>0.48825489999999999</v>
      </c>
      <c r="F4407" t="s">
        <v>91</v>
      </c>
      <c r="G4407">
        <v>-366.4135</v>
      </c>
      <c r="H4407" s="1">
        <v>-1.9729639999999999E-6</v>
      </c>
      <c r="I4407">
        <v>18.053850000000001</v>
      </c>
      <c r="J4407">
        <v>-392.26920000000001</v>
      </c>
      <c r="K4407">
        <v>1.1100840000000001</v>
      </c>
      <c r="L4407">
        <v>20.193629999999999</v>
      </c>
      <c r="M4407">
        <v>0.97385540000000004</v>
      </c>
      <c r="N4407">
        <v>-8.4787419999999992E-3</v>
      </c>
      <c r="O4407">
        <v>-0.22701070000000001</v>
      </c>
      <c r="P4407">
        <v>0.98222319999999996</v>
      </c>
      <c r="Q4407">
        <v>0.16183359999999999</v>
      </c>
      <c r="R4407">
        <v>-9.5119839999999997E-2</v>
      </c>
      <c r="S4407">
        <v>3.0512389999999998</v>
      </c>
      <c r="T4407">
        <v>-0.12988640000000001</v>
      </c>
      <c r="U4407">
        <v>-0.2563782</v>
      </c>
      <c r="V4407">
        <v>-0.1304168</v>
      </c>
      <c r="W4407">
        <v>0.1700681</v>
      </c>
      <c r="X4407">
        <v>0.97676419999999997</v>
      </c>
      <c r="Y4407">
        <v>-0.14439630000000001</v>
      </c>
      <c r="Z4407">
        <v>1.1297629999999999E-2</v>
      </c>
      <c r="AA4407">
        <v>0.98945550000000004</v>
      </c>
      <c r="AB4407">
        <v>22</v>
      </c>
      <c r="AC4407">
        <v>25.855699999999999</v>
      </c>
      <c r="AD4407">
        <v>-1.110085972964</v>
      </c>
      <c r="AE4407">
        <v>-2.1397799999999898</v>
      </c>
      <c r="AF4407">
        <v>-3.7789018252270599</v>
      </c>
      <c r="AG4407">
        <v>-1.110085972964</v>
      </c>
      <c r="AH4407">
        <v>25.619483833166601</v>
      </c>
      <c r="AI4407">
        <v>92.454535736283901</v>
      </c>
      <c r="AJ4407">
        <v>98.390688211571003</v>
      </c>
      <c r="AK4407">
        <v>25.920461835198001</v>
      </c>
      <c r="AL4407">
        <v>80.208221456856506</v>
      </c>
      <c r="AM4407">
        <v>97.605107939377007</v>
      </c>
      <c r="AN4407">
        <v>1.00000000138074</v>
      </c>
    </row>
    <row r="4408" spans="1:40" x14ac:dyDescent="0.25">
      <c r="A4408" t="str">
        <f>"20190304155502883"</f>
        <v>20190304155502883</v>
      </c>
      <c r="B4408" t="str">
        <f>"1551686102872198"</f>
        <v>1551686102872198</v>
      </c>
      <c r="C4408" t="s">
        <v>40</v>
      </c>
      <c r="D4408">
        <v>4.8927990000000001</v>
      </c>
      <c r="E4408">
        <v>0.48885919999999999</v>
      </c>
      <c r="F4408" t="s">
        <v>91</v>
      </c>
      <c r="G4408">
        <v>-365.6275</v>
      </c>
      <c r="H4408" s="1">
        <v>-2.310255E-6</v>
      </c>
      <c r="I4408">
        <v>18.247029999999999</v>
      </c>
      <c r="J4408">
        <v>-392.04509999999999</v>
      </c>
      <c r="K4408">
        <v>1.1102129999999999</v>
      </c>
      <c r="L4408">
        <v>20.141719999999999</v>
      </c>
      <c r="M4408">
        <v>0.97394080000000005</v>
      </c>
      <c r="N4408">
        <v>-8.4276409999999996E-3</v>
      </c>
      <c r="O4408">
        <v>-0.22664580000000001</v>
      </c>
      <c r="P4408">
        <v>0.9824039</v>
      </c>
      <c r="Q4408">
        <v>0.16140689999999999</v>
      </c>
      <c r="R4408">
        <v>-9.3970570000000003E-2</v>
      </c>
      <c r="S4408">
        <v>3.0535890000000001</v>
      </c>
      <c r="T4408">
        <v>-0.1272345</v>
      </c>
      <c r="U4408">
        <v>-0.22311400000000001</v>
      </c>
      <c r="V4408">
        <v>-0.131268</v>
      </c>
      <c r="W4408">
        <v>0.169546</v>
      </c>
      <c r="X4408">
        <v>0.97674099999999997</v>
      </c>
      <c r="Y4408">
        <v>-0.15479470000000001</v>
      </c>
      <c r="Z4408">
        <v>1.1294770000000001E-2</v>
      </c>
      <c r="AA4408">
        <v>0.98788209999999999</v>
      </c>
      <c r="AB4408">
        <v>22</v>
      </c>
      <c r="AC4408">
        <v>26.4176</v>
      </c>
      <c r="AD4408">
        <v>-1.1102153102550001</v>
      </c>
      <c r="AE4408">
        <v>-1.89469</v>
      </c>
      <c r="AF4408">
        <v>-4.1350035787727704</v>
      </c>
      <c r="AG4408">
        <v>-1.1102153102550001</v>
      </c>
      <c r="AH4408">
        <v>26.113646076987301</v>
      </c>
      <c r="AI4408">
        <v>92.404527441513295</v>
      </c>
      <c r="AJ4408">
        <v>98.997877481219703</v>
      </c>
      <c r="AK4408">
        <v>26.462300430343198</v>
      </c>
      <c r="AL4408">
        <v>80.238576972077198</v>
      </c>
      <c r="AM4408">
        <v>97.654337772058</v>
      </c>
      <c r="AN4408">
        <v>1.0000000575104899</v>
      </c>
    </row>
    <row r="4409" spans="1:40" x14ac:dyDescent="0.25">
      <c r="A4409" t="str">
        <f>"20190304155502904"</f>
        <v>20190304155502904</v>
      </c>
      <c r="B4409" t="str">
        <f>"1551686102891719"</f>
        <v>1551686102891719</v>
      </c>
      <c r="C4409" t="s">
        <v>40</v>
      </c>
      <c r="D4409">
        <v>4.8822530000000004</v>
      </c>
      <c r="E4409">
        <v>0.48879210000000001</v>
      </c>
      <c r="F4409" t="s">
        <v>91</v>
      </c>
      <c r="G4409">
        <v>-363.25020000000001</v>
      </c>
      <c r="H4409" s="1">
        <v>-3.4723650000000001E-6</v>
      </c>
      <c r="I4409">
        <v>18.030709999999999</v>
      </c>
      <c r="J4409">
        <v>-391.85070000000002</v>
      </c>
      <c r="K4409">
        <v>1.1103229999999999</v>
      </c>
      <c r="L4409">
        <v>20.096920000000001</v>
      </c>
      <c r="M4409">
        <v>0.97405949999999997</v>
      </c>
      <c r="N4409">
        <v>-8.3871929999999994E-3</v>
      </c>
      <c r="O4409">
        <v>-0.2261367</v>
      </c>
      <c r="P4409">
        <v>0.98262550000000004</v>
      </c>
      <c r="Q4409">
        <v>0.16081619999999999</v>
      </c>
      <c r="R4409">
        <v>-9.2655940000000006E-2</v>
      </c>
      <c r="S4409">
        <v>3.051666</v>
      </c>
      <c r="T4409">
        <v>-0.11766020000000001</v>
      </c>
      <c r="U4409">
        <v>-0.22372439999999999</v>
      </c>
      <c r="V4409">
        <v>-0.13213800000000001</v>
      </c>
      <c r="W4409">
        <v>0.16887489999999999</v>
      </c>
      <c r="X4409">
        <v>0.97673989999999999</v>
      </c>
      <c r="Y4409">
        <v>-0.15407999999999999</v>
      </c>
      <c r="Z4409">
        <v>1.03316E-2</v>
      </c>
      <c r="AA4409">
        <v>0.98800429999999995</v>
      </c>
      <c r="AB4409">
        <v>22</v>
      </c>
      <c r="AC4409">
        <v>28.6005</v>
      </c>
      <c r="AD4409">
        <v>-1.1103264723649999</v>
      </c>
      <c r="AE4409">
        <v>-2.0662099999999999</v>
      </c>
      <c r="AF4409">
        <v>-4.4484980663391402</v>
      </c>
      <c r="AG4409">
        <v>-1.1103264723649999</v>
      </c>
      <c r="AH4409">
        <v>28.2844228036837</v>
      </c>
      <c r="AI4409">
        <v>92.2207640522943</v>
      </c>
      <c r="AJ4409">
        <v>98.938108142337995</v>
      </c>
      <c r="AK4409">
        <v>28.653630367878399</v>
      </c>
      <c r="AL4409">
        <v>80.277590258911005</v>
      </c>
      <c r="AM4409">
        <v>97.704469359832302</v>
      </c>
      <c r="AN4409">
        <v>1.00000000757301</v>
      </c>
    </row>
    <row r="4410" spans="1:40" x14ac:dyDescent="0.25">
      <c r="A4410" t="str">
        <f>"20190304155502926"</f>
        <v>20190304155502926</v>
      </c>
      <c r="B4410" t="str">
        <f>"1551686102921974"</f>
        <v>1551686102921974</v>
      </c>
      <c r="C4410" t="s">
        <v>40</v>
      </c>
      <c r="D4410">
        <v>4.9151020000000001</v>
      </c>
      <c r="E4410">
        <v>0.48833799999999999</v>
      </c>
      <c r="F4410" t="s">
        <v>91</v>
      </c>
      <c r="G4410">
        <v>-363.05070000000001</v>
      </c>
      <c r="H4410" s="1">
        <v>-3.5666120000000002E-6</v>
      </c>
      <c r="I4410">
        <v>18.031040000000001</v>
      </c>
      <c r="J4410">
        <v>-391.6343</v>
      </c>
      <c r="K4410">
        <v>1.110433</v>
      </c>
      <c r="L4410">
        <v>20.047450000000001</v>
      </c>
      <c r="M4410">
        <v>0.97423139999999997</v>
      </c>
      <c r="N4410">
        <v>-8.3463809999999999E-3</v>
      </c>
      <c r="O4410">
        <v>-0.22539590000000001</v>
      </c>
      <c r="P4410">
        <v>0.98279649999999996</v>
      </c>
      <c r="Q4410">
        <v>0.16060099999999999</v>
      </c>
      <c r="R4410">
        <v>-9.1202909999999998E-2</v>
      </c>
      <c r="S4410">
        <v>3.051666</v>
      </c>
      <c r="T4410">
        <v>-0.11765100000000001</v>
      </c>
      <c r="U4410">
        <v>-0.2189026</v>
      </c>
      <c r="V4410">
        <v>-0.13289699999999999</v>
      </c>
      <c r="W4410">
        <v>0.168579799999999</v>
      </c>
      <c r="X4410">
        <v>0.97668790000000005</v>
      </c>
      <c r="Y4410">
        <v>-0.15488099999999999</v>
      </c>
      <c r="Z4410">
        <v>1.033508E-2</v>
      </c>
      <c r="AA4410">
        <v>0.98787910000000001</v>
      </c>
      <c r="AB4410">
        <v>22</v>
      </c>
      <c r="AC4410">
        <v>28.583599999999901</v>
      </c>
      <c r="AD4410">
        <v>-1.110436566612</v>
      </c>
      <c r="AE4410">
        <v>-2.01641</v>
      </c>
      <c r="AF4410">
        <v>-4.4716175043810802</v>
      </c>
      <c r="AG4410">
        <v>-1.110436566612</v>
      </c>
      <c r="AH4410">
        <v>28.2600803358762</v>
      </c>
      <c r="AI4410">
        <v>92.222569290271693</v>
      </c>
      <c r="AJ4410">
        <v>98.991416994268803</v>
      </c>
      <c r="AK4410">
        <v>28.633207523156202</v>
      </c>
      <c r="AL4410">
        <v>80.294744185413194</v>
      </c>
      <c r="AM4410">
        <v>97.748595243104404</v>
      </c>
      <c r="AN4410">
        <v>1.0000000077917199</v>
      </c>
    </row>
    <row r="4411" spans="1:40" x14ac:dyDescent="0.25">
      <c r="A4411" t="str">
        <f>"20190304155502947"</f>
        <v>20190304155502947</v>
      </c>
      <c r="B4411" t="str">
        <f>"1551686102942470"</f>
        <v>1551686102942470</v>
      </c>
      <c r="C4411" t="s">
        <v>40</v>
      </c>
      <c r="D4411">
        <v>4.9293500000000003</v>
      </c>
      <c r="E4411">
        <v>0.48856450000000001</v>
      </c>
      <c r="F4411" t="s">
        <v>91</v>
      </c>
      <c r="G4411">
        <v>-363.4606</v>
      </c>
      <c r="H4411" s="1">
        <v>-3.3606180000000001E-6</v>
      </c>
      <c r="I4411">
        <v>18.10005</v>
      </c>
      <c r="J4411">
        <v>-391.43439999999998</v>
      </c>
      <c r="K4411">
        <v>1.1105259999999999</v>
      </c>
      <c r="L4411">
        <v>20.002109999999998</v>
      </c>
      <c r="M4411">
        <v>0.97442470000000003</v>
      </c>
      <c r="N4411">
        <v>-8.3083210000000005E-3</v>
      </c>
      <c r="O4411">
        <v>-0.22456100000000001</v>
      </c>
      <c r="P4411">
        <v>0.98289260000000001</v>
      </c>
      <c r="Q4411">
        <v>0.16074079999999999</v>
      </c>
      <c r="R4411">
        <v>-8.991681E-2</v>
      </c>
      <c r="S4411">
        <v>3.0525820000000001</v>
      </c>
      <c r="T4411">
        <v>-0.1203144</v>
      </c>
      <c r="U4411">
        <v>-0.21099850000000001</v>
      </c>
      <c r="V4411">
        <v>-0.13337460000000001</v>
      </c>
      <c r="W4411">
        <v>0.16864970000000001</v>
      </c>
      <c r="X4411">
        <v>0.97661070000000005</v>
      </c>
      <c r="Y4411">
        <v>-0.15658759999999999</v>
      </c>
      <c r="Z4411">
        <v>1.061658E-2</v>
      </c>
      <c r="AA4411">
        <v>0.98760700000000001</v>
      </c>
      <c r="AB4411">
        <v>22</v>
      </c>
      <c r="AC4411">
        <v>27.973799999999901</v>
      </c>
      <c r="AD4411">
        <v>-1.110529360618</v>
      </c>
      <c r="AE4411">
        <v>-1.9020600000000001</v>
      </c>
      <c r="AF4411">
        <v>-4.4216263083252603</v>
      </c>
      <c r="AG4411">
        <v>-1.110529360618</v>
      </c>
      <c r="AH4411">
        <v>27.643078347760099</v>
      </c>
      <c r="AI4411">
        <v>92.271709070114099</v>
      </c>
      <c r="AJ4411">
        <v>99.087717904846699</v>
      </c>
      <c r="AK4411">
        <v>28.016492200339201</v>
      </c>
      <c r="AL4411">
        <v>80.290680784431402</v>
      </c>
      <c r="AM4411">
        <v>97.776708918276498</v>
      </c>
      <c r="AN4411">
        <v>0.99999998229486897</v>
      </c>
    </row>
    <row r="4412" spans="1:40" x14ac:dyDescent="0.25">
      <c r="A4412" t="str">
        <f>"20190304155502970"</f>
        <v>20190304155502970</v>
      </c>
      <c r="B4412" t="str">
        <f>"1551686102961994"</f>
        <v>1551686102961994</v>
      </c>
      <c r="C4412" t="s">
        <v>40</v>
      </c>
      <c r="D4412">
        <v>4.8628390000000001</v>
      </c>
      <c r="E4412">
        <v>0.4892667</v>
      </c>
      <c r="F4412" t="s">
        <v>91</v>
      </c>
      <c r="G4412">
        <v>-362.75900000000001</v>
      </c>
      <c r="H4412" s="1">
        <v>-3.7025729999999998E-6</v>
      </c>
      <c r="I4412">
        <v>18.04203</v>
      </c>
      <c r="J4412">
        <v>-391.21609999999998</v>
      </c>
      <c r="K4412">
        <v>1.1106149999999999</v>
      </c>
      <c r="L4412">
        <v>19.952940000000002</v>
      </c>
      <c r="M4412">
        <v>0.97467440000000005</v>
      </c>
      <c r="N4412">
        <v>-8.2654540000000002E-3</v>
      </c>
      <c r="O4412">
        <v>-0.22347600000000001</v>
      </c>
      <c r="P4412">
        <v>0.98301950000000005</v>
      </c>
      <c r="Q4412">
        <v>0.16075629999999999</v>
      </c>
      <c r="R4412">
        <v>-8.8487759999999999E-2</v>
      </c>
      <c r="S4412">
        <v>3.0524900000000001</v>
      </c>
      <c r="T4412">
        <v>-0.1182154</v>
      </c>
      <c r="U4412">
        <v>-0.20864869999999999</v>
      </c>
      <c r="V4412">
        <v>-0.13374659999999999</v>
      </c>
      <c r="W4412">
        <v>0.1685905</v>
      </c>
      <c r="X4412">
        <v>0.9765701</v>
      </c>
      <c r="Y4412">
        <v>-0.15625240000000001</v>
      </c>
      <c r="Z4412">
        <v>1.0377559999999999E-2</v>
      </c>
      <c r="AA4412">
        <v>0.9876627</v>
      </c>
      <c r="AB4412">
        <v>22</v>
      </c>
      <c r="AC4412">
        <v>28.457099999999901</v>
      </c>
      <c r="AD4412">
        <v>-1.1106187025730001</v>
      </c>
      <c r="AE4412">
        <v>-1.9109099999999899</v>
      </c>
      <c r="AF4412">
        <v>-4.4903085758420698</v>
      </c>
      <c r="AG4412">
        <v>-1.1106187025730001</v>
      </c>
      <c r="AH4412">
        <v>28.121769117141501</v>
      </c>
      <c r="AI4412">
        <v>92.233356330140893</v>
      </c>
      <c r="AJ4412">
        <v>99.072050320636095</v>
      </c>
      <c r="AK4412">
        <v>28.4996533888852</v>
      </c>
      <c r="AL4412">
        <v>80.2941224846453</v>
      </c>
      <c r="AM4412">
        <v>97.798452927020506</v>
      </c>
      <c r="AN4412">
        <v>1.0000000349578999</v>
      </c>
    </row>
    <row r="4413" spans="1:40" x14ac:dyDescent="0.25">
      <c r="A4413" t="str">
        <f>"20190304155502993"</f>
        <v>20190304155502993</v>
      </c>
      <c r="B4413" t="str">
        <f>"1551686102982486"</f>
        <v>1551686102982486</v>
      </c>
      <c r="C4413" t="s">
        <v>40</v>
      </c>
      <c r="D4413">
        <v>4.9511710000000004</v>
      </c>
      <c r="E4413">
        <v>0.48931669999999999</v>
      </c>
      <c r="F4413" t="s">
        <v>91</v>
      </c>
      <c r="G4413">
        <v>-362.62549999999999</v>
      </c>
      <c r="H4413" s="1">
        <v>-3.7751359999999998E-6</v>
      </c>
      <c r="I4413">
        <v>17.988579999999999</v>
      </c>
      <c r="J4413">
        <v>-390.99220000000003</v>
      </c>
      <c r="K4413">
        <v>1.1107049999999901</v>
      </c>
      <c r="L4413">
        <v>19.90305</v>
      </c>
      <c r="M4413">
        <v>0.97496989999999994</v>
      </c>
      <c r="N4413">
        <v>-8.2203269999999995E-3</v>
      </c>
      <c r="O4413">
        <v>-0.22218550000000001</v>
      </c>
      <c r="P4413">
        <v>0.98302239999999996</v>
      </c>
      <c r="Q4413">
        <v>0.16148219999999999</v>
      </c>
      <c r="R4413">
        <v>-8.7124499999999994E-2</v>
      </c>
      <c r="S4413">
        <v>3.0523380000000002</v>
      </c>
      <c r="T4413">
        <v>-0.1185701</v>
      </c>
      <c r="U4413">
        <v>-0.20971679999999901</v>
      </c>
      <c r="V4413">
        <v>-0.13382369999999999</v>
      </c>
      <c r="W4413">
        <v>0.16923869999999999</v>
      </c>
      <c r="X4413">
        <v>0.97644739999999997</v>
      </c>
      <c r="Y4413">
        <v>-0.1545975</v>
      </c>
      <c r="Z4413">
        <v>1.034234E-2</v>
      </c>
      <c r="AA4413">
        <v>0.98792340000000001</v>
      </c>
      <c r="AB4413">
        <v>22</v>
      </c>
      <c r="AC4413">
        <v>28.366700000000002</v>
      </c>
      <c r="AD4413">
        <v>-1.1107087751360001</v>
      </c>
      <c r="AE4413">
        <v>-1.9144699999999999</v>
      </c>
      <c r="AF4413">
        <v>-4.4295077980318496</v>
      </c>
      <c r="AG4413">
        <v>-1.1107087751360001</v>
      </c>
      <c r="AH4413">
        <v>28.040196396753799</v>
      </c>
      <c r="AI4413">
        <v>92.240619052239893</v>
      </c>
      <c r="AJ4413">
        <v>98.976829894018607</v>
      </c>
      <c r="AK4413">
        <v>28.409625609720901</v>
      </c>
      <c r="AL4413">
        <v>80.256441795779295</v>
      </c>
      <c r="AM4413">
        <v>97.803861513070402</v>
      </c>
      <c r="AN4413">
        <v>1.0000000226130601</v>
      </c>
    </row>
    <row r="4414" spans="1:40" x14ac:dyDescent="0.25">
      <c r="A4414" t="str">
        <f>"20190304155503015"</f>
        <v>20190304155503015</v>
      </c>
      <c r="B4414" t="str">
        <f>"1551686103011766"</f>
        <v>1551686103011766</v>
      </c>
      <c r="C4414" t="s">
        <v>40</v>
      </c>
      <c r="D4414">
        <v>4.9149640000000003</v>
      </c>
      <c r="E4414">
        <v>0.48941620000000002</v>
      </c>
      <c r="F4414" t="s">
        <v>91</v>
      </c>
      <c r="G4414">
        <v>-362.23439999999999</v>
      </c>
      <c r="H4414" s="1">
        <v>-3.9648709999999998E-6</v>
      </c>
      <c r="I4414">
        <v>17.961220000000001</v>
      </c>
      <c r="J4414">
        <v>-390.78039999999999</v>
      </c>
      <c r="K4414">
        <v>1.110798</v>
      </c>
      <c r="L4414">
        <v>19.856259999999999</v>
      </c>
      <c r="M4414">
        <v>0.97528210000000004</v>
      </c>
      <c r="N4414">
        <v>-8.1773519999999902E-3</v>
      </c>
      <c r="O4414">
        <v>-0.22081149999999999</v>
      </c>
      <c r="P4414">
        <v>0.9830624</v>
      </c>
      <c r="Q4414">
        <v>0.16197819999999999</v>
      </c>
      <c r="R4414">
        <v>-8.5737480000000005E-2</v>
      </c>
      <c r="S4414">
        <v>3.0529480000000002</v>
      </c>
      <c r="T4414">
        <v>-0.1179137</v>
      </c>
      <c r="U4414">
        <v>-0.2061462</v>
      </c>
      <c r="V4414">
        <v>-0.13384839999999901</v>
      </c>
      <c r="W4414">
        <v>0.1696607</v>
      </c>
      <c r="X4414">
        <v>0.97637079999999998</v>
      </c>
      <c r="Y4414">
        <v>-0.1543725</v>
      </c>
      <c r="Z4414">
        <v>1.0237609999999999E-2</v>
      </c>
      <c r="AA4414">
        <v>0.9879597</v>
      </c>
      <c r="AB4414">
        <v>22</v>
      </c>
      <c r="AC4414">
        <v>28.5459999999999</v>
      </c>
      <c r="AD4414">
        <v>-1.1108019648709999</v>
      </c>
      <c r="AE4414">
        <v>-1.8950399999999901</v>
      </c>
      <c r="AF4414">
        <v>-4.4485295786107901</v>
      </c>
      <c r="AG4414">
        <v>-1.1108019648709999</v>
      </c>
      <c r="AH4414">
        <v>28.2172586268047</v>
      </c>
      <c r="AI4414">
        <v>92.226868701576393</v>
      </c>
      <c r="AJ4414">
        <v>98.959100834154299</v>
      </c>
      <c r="AK4414">
        <v>28.587357010205</v>
      </c>
      <c r="AL4414">
        <v>80.231908395818095</v>
      </c>
      <c r="AM4414">
        <v>97.805888933794193</v>
      </c>
      <c r="AN4414">
        <v>1.0000000431998399</v>
      </c>
    </row>
    <row r="4415" spans="1:40" x14ac:dyDescent="0.25">
      <c r="A4415" t="str">
        <f>"20190304155503037"</f>
        <v>20190304155503037</v>
      </c>
      <c r="B4415" t="str">
        <f>"1551686103032264"</f>
        <v>1551686103032264</v>
      </c>
      <c r="C4415" t="s">
        <v>40</v>
      </c>
      <c r="D4415">
        <v>4.9121430000000004</v>
      </c>
      <c r="E4415">
        <v>0.4894577</v>
      </c>
      <c r="F4415" t="s">
        <v>91</v>
      </c>
      <c r="G4415">
        <v>-362.0179</v>
      </c>
      <c r="H4415" s="1">
        <v>-4.0702380000000002E-6</v>
      </c>
      <c r="I4415">
        <v>17.944320000000001</v>
      </c>
      <c r="J4415">
        <v>-390.56470000000002</v>
      </c>
      <c r="K4415">
        <v>1.1108830000000001</v>
      </c>
      <c r="L4415">
        <v>19.80911</v>
      </c>
      <c r="M4415">
        <v>0.97562969999999904</v>
      </c>
      <c r="N4415">
        <v>-8.1333619999999999E-3</v>
      </c>
      <c r="O4415">
        <v>-0.21927240000000001</v>
      </c>
      <c r="P4415">
        <v>0.98322220000000005</v>
      </c>
      <c r="Q4415">
        <v>0.1618414</v>
      </c>
      <c r="R4415">
        <v>-8.4152210000000005E-2</v>
      </c>
      <c r="S4415">
        <v>3.053436</v>
      </c>
      <c r="T4415">
        <v>-0.1179229</v>
      </c>
      <c r="U4415">
        <v>-0.2029724</v>
      </c>
      <c r="V4415">
        <v>-0.13392689999999999</v>
      </c>
      <c r="W4415">
        <v>0.16944919999999999</v>
      </c>
      <c r="X4415">
        <v>0.97639670000000001</v>
      </c>
      <c r="Y4415">
        <v>-0.1538475</v>
      </c>
      <c r="Z4415">
        <v>1.018618E-2</v>
      </c>
      <c r="AA4415">
        <v>0.98804210000000003</v>
      </c>
      <c r="AB4415">
        <v>22</v>
      </c>
      <c r="AC4415">
        <v>28.546800000000001</v>
      </c>
      <c r="AD4415">
        <v>-1.110887070238</v>
      </c>
      <c r="AE4415">
        <v>-1.86478999999999</v>
      </c>
      <c r="AF4415">
        <v>-4.4336425084651996</v>
      </c>
      <c r="AG4415">
        <v>-1.110887070238</v>
      </c>
      <c r="AH4415">
        <v>28.2183889923874</v>
      </c>
      <c r="AI4415">
        <v>92.227132444458405</v>
      </c>
      <c r="AJ4415">
        <v>98.929251066781802</v>
      </c>
      <c r="AK4415">
        <v>28.586163319014702</v>
      </c>
      <c r="AL4415">
        <v>80.244203876851003</v>
      </c>
      <c r="AM4415">
        <v>97.810205855857703</v>
      </c>
      <c r="AN4415">
        <v>0.99999998084756903</v>
      </c>
    </row>
    <row r="4416" spans="1:40" x14ac:dyDescent="0.25">
      <c r="A4416" t="str">
        <f>"20190304155503060"</f>
        <v>20190304155503060</v>
      </c>
      <c r="B4416" t="str">
        <f>"1551686103051782"</f>
        <v>1551686103051782</v>
      </c>
      <c r="C4416" t="s">
        <v>40</v>
      </c>
      <c r="D4416">
        <v>4.920363</v>
      </c>
      <c r="E4416">
        <v>0.48955609999999999</v>
      </c>
      <c r="F4416" t="s">
        <v>91</v>
      </c>
      <c r="G4416">
        <v>-361.95760000000001</v>
      </c>
      <c r="H4416" s="1">
        <v>-4.0980810000000003E-6</v>
      </c>
      <c r="I4416">
        <v>17.947979999999902</v>
      </c>
      <c r="J4416">
        <v>-390.33609999999999</v>
      </c>
      <c r="K4416">
        <v>1.1109719999999901</v>
      </c>
      <c r="L4416">
        <v>19.759740000000001</v>
      </c>
      <c r="M4416">
        <v>0.97602690000000003</v>
      </c>
      <c r="N4416">
        <v>-8.08503E-3</v>
      </c>
      <c r="O4416">
        <v>-0.21750040000000001</v>
      </c>
      <c r="P4416">
        <v>0.98343170000000002</v>
      </c>
      <c r="Q4416">
        <v>0.161542299999999</v>
      </c>
      <c r="R4416">
        <v>-8.225971E-2</v>
      </c>
      <c r="S4416">
        <v>3.0537109999999998</v>
      </c>
      <c r="T4416">
        <v>-0.1185832</v>
      </c>
      <c r="U4416">
        <v>-0.1986694</v>
      </c>
      <c r="V4416">
        <v>-0.1340838</v>
      </c>
      <c r="W4416">
        <v>0.1690709</v>
      </c>
      <c r="X4416">
        <v>0.9764408</v>
      </c>
      <c r="Y4416">
        <v>-0.15344349999999901</v>
      </c>
      <c r="Z4416">
        <v>1.0194409999999999E-2</v>
      </c>
      <c r="AA4416">
        <v>0.98810480000000001</v>
      </c>
      <c r="AB4416">
        <v>22</v>
      </c>
      <c r="AC4416">
        <v>28.378499999999899</v>
      </c>
      <c r="AD4416">
        <v>-1.110976098081</v>
      </c>
      <c r="AE4416">
        <v>-1.81176</v>
      </c>
      <c r="AF4416">
        <v>-4.3974397037878798</v>
      </c>
      <c r="AG4416">
        <v>-1.110976098081</v>
      </c>
      <c r="AH4416">
        <v>28.050336276780499</v>
      </c>
      <c r="AI4416">
        <v>92.240761026778401</v>
      </c>
      <c r="AJ4416">
        <v>98.909717639194497</v>
      </c>
      <c r="AK4416">
        <v>28.414663627772001</v>
      </c>
      <c r="AL4416">
        <v>80.266196723473598</v>
      </c>
      <c r="AM4416">
        <v>97.818893881066103</v>
      </c>
      <c r="AN4416">
        <v>1.00000003527694</v>
      </c>
    </row>
    <row r="4417" spans="1:40" x14ac:dyDescent="0.25">
      <c r="A4417" t="str">
        <f>"20190304155503083"</f>
        <v>20190304155503083</v>
      </c>
      <c r="B4417" t="str">
        <f>"1551686103072279"</f>
        <v>1551686103072279</v>
      </c>
      <c r="C4417" t="s">
        <v>40</v>
      </c>
      <c r="D4417">
        <v>4.9157729999999997</v>
      </c>
      <c r="E4417">
        <v>0.48962830000000002</v>
      </c>
      <c r="F4417" t="s">
        <v>91</v>
      </c>
      <c r="G4417">
        <v>-361.98880000000003</v>
      </c>
      <c r="H4417" s="1">
        <v>-4.0807340000000003E-6</v>
      </c>
      <c r="I4417">
        <v>17.962689999999998</v>
      </c>
      <c r="J4417">
        <v>-390.10930000000002</v>
      </c>
      <c r="K4417">
        <v>1.1110450000000001</v>
      </c>
      <c r="L4417">
        <v>19.711400000000001</v>
      </c>
      <c r="M4417">
        <v>0.97644850000000005</v>
      </c>
      <c r="N4417">
        <v>-8.0362890000000003E-3</v>
      </c>
      <c r="O4417">
        <v>-0.21560080000000001</v>
      </c>
      <c r="P4417">
        <v>0.98371960000000003</v>
      </c>
      <c r="Q4417">
        <v>0.1609332</v>
      </c>
      <c r="R4417">
        <v>-7.9976969999999994E-2</v>
      </c>
      <c r="S4417">
        <v>3.0539860000000001</v>
      </c>
      <c r="T4417">
        <v>-0.1196904</v>
      </c>
      <c r="U4417">
        <v>-0.19360350000000001</v>
      </c>
      <c r="V4417">
        <v>-0.13450479999999901</v>
      </c>
      <c r="W4417">
        <v>0.1683856</v>
      </c>
      <c r="X4417">
        <v>0.97650130000000002</v>
      </c>
      <c r="Y4417">
        <v>-0.15315490000000001</v>
      </c>
      <c r="Z4417">
        <v>1.024314E-2</v>
      </c>
      <c r="AA4417">
        <v>0.9881491</v>
      </c>
      <c r="AB4417">
        <v>22</v>
      </c>
      <c r="AC4417">
        <v>28.1205</v>
      </c>
      <c r="AD4417">
        <v>-1.1110490807340001</v>
      </c>
      <c r="AE4417">
        <v>-1.74871</v>
      </c>
      <c r="AF4417">
        <v>-4.3486553961682599</v>
      </c>
      <c r="AG4417">
        <v>-1.1110490807340001</v>
      </c>
      <c r="AH4417">
        <v>27.792923378473901</v>
      </c>
      <c r="AI4417">
        <v>92.261746255518901</v>
      </c>
      <c r="AJ4417">
        <v>98.892755485676204</v>
      </c>
      <c r="AK4417">
        <v>28.153007365752998</v>
      </c>
      <c r="AL4417">
        <v>80.3060325165808</v>
      </c>
      <c r="AM4417">
        <v>97.842658907193993</v>
      </c>
      <c r="AN4417">
        <v>1.00000002020604</v>
      </c>
    </row>
    <row r="4418" spans="1:40" x14ac:dyDescent="0.25">
      <c r="A4418" t="str">
        <f>"20190304155503105"</f>
        <v>20190304155503105</v>
      </c>
      <c r="B4418" t="str">
        <f>"1551686103101559"</f>
        <v>1551686103101559</v>
      </c>
      <c r="C4418" t="s">
        <v>40</v>
      </c>
      <c r="D4418">
        <v>4.8993539999999998</v>
      </c>
      <c r="E4418">
        <v>0.48968630000000002</v>
      </c>
      <c r="F4418" t="s">
        <v>91</v>
      </c>
      <c r="G4418">
        <v>-362.2765</v>
      </c>
      <c r="H4418" s="1">
        <v>-3.9368019999999998E-6</v>
      </c>
      <c r="I4418">
        <v>18.007269999999998</v>
      </c>
      <c r="J4418">
        <v>-389.8974</v>
      </c>
      <c r="K4418">
        <v>1.111094</v>
      </c>
      <c r="L4418">
        <v>19.66675</v>
      </c>
      <c r="M4418">
        <v>0.97686229999999996</v>
      </c>
      <c r="N4418">
        <v>-7.9890769999999903E-3</v>
      </c>
      <c r="O4418">
        <v>-0.2137201</v>
      </c>
      <c r="P4418">
        <v>0.98382709999999995</v>
      </c>
      <c r="Q4418">
        <v>0.16128719999999999</v>
      </c>
      <c r="R4418">
        <v>-7.7914860000000002E-2</v>
      </c>
      <c r="S4418">
        <v>3.0543819999999999</v>
      </c>
      <c r="T4418">
        <v>-0.1219268</v>
      </c>
      <c r="U4418">
        <v>-0.1870117</v>
      </c>
      <c r="V4418">
        <v>-0.13468620000000001</v>
      </c>
      <c r="W4418">
        <v>0.1686714</v>
      </c>
      <c r="X4418">
        <v>0.97642700000000004</v>
      </c>
      <c r="Y4418">
        <v>-0.15337519999999999</v>
      </c>
      <c r="Z4418">
        <v>1.040901E-2</v>
      </c>
      <c r="AA4418">
        <v>0.98811320000000002</v>
      </c>
      <c r="AB4418">
        <v>23</v>
      </c>
      <c r="AC4418">
        <v>27.620899999999999</v>
      </c>
      <c r="AD4418">
        <v>-1.111097936802</v>
      </c>
      <c r="AE4418">
        <v>-1.6594799999999901</v>
      </c>
      <c r="AF4418">
        <v>-4.2753012319962602</v>
      </c>
      <c r="AG4418">
        <v>-1.111097936802</v>
      </c>
      <c r="AH4418">
        <v>27.2933448222404</v>
      </c>
      <c r="AI4418">
        <v>92.303140344229504</v>
      </c>
      <c r="AJ4418">
        <v>98.902617576737001</v>
      </c>
      <c r="AK4418">
        <v>27.648497442631299</v>
      </c>
      <c r="AL4418">
        <v>80.289420059296106</v>
      </c>
      <c r="AM4418">
        <v>97.853694146956101</v>
      </c>
      <c r="AN4418">
        <v>1.0000000499886901</v>
      </c>
    </row>
    <row r="4419" spans="1:40" x14ac:dyDescent="0.25">
      <c r="A4419" t="str">
        <f>"20190304155503126"</f>
        <v>20190304155503126</v>
      </c>
      <c r="B4419" t="str">
        <f>"1551686103122055"</f>
        <v>1551686103122055</v>
      </c>
      <c r="C4419" t="s">
        <v>40</v>
      </c>
      <c r="D4419">
        <v>4.8932609999999999</v>
      </c>
      <c r="E4419">
        <v>0.48978909999999998</v>
      </c>
      <c r="F4419" t="s">
        <v>91</v>
      </c>
      <c r="G4419">
        <v>-361.94349999999997</v>
      </c>
      <c r="H4419" s="1">
        <v>-4.0951729999999997E-6</v>
      </c>
      <c r="I4419">
        <v>18.001809999999999</v>
      </c>
      <c r="J4419">
        <v>-389.68490000000003</v>
      </c>
      <c r="K4419">
        <v>1.1111310000000001</v>
      </c>
      <c r="L4419">
        <v>19.622530000000001</v>
      </c>
      <c r="M4419">
        <v>0.97728870000000001</v>
      </c>
      <c r="N4419">
        <v>-7.9414269999999992E-3</v>
      </c>
      <c r="O4419">
        <v>-0.21176329999999999</v>
      </c>
      <c r="P4419">
        <v>0.98404309999999995</v>
      </c>
      <c r="Q4419">
        <v>0.16115260000000001</v>
      </c>
      <c r="R4419">
        <v>-7.5427209999999995E-2</v>
      </c>
      <c r="S4419">
        <v>3.0548099999999998</v>
      </c>
      <c r="T4419">
        <v>-0.1214213</v>
      </c>
      <c r="U4419">
        <v>-0.18194579999999999</v>
      </c>
      <c r="V4419">
        <v>-0.13522310000000001</v>
      </c>
      <c r="W4419">
        <v>0.16847300000000001</v>
      </c>
      <c r="X4419">
        <v>0.976387</v>
      </c>
      <c r="Y4419">
        <v>-0.1530405</v>
      </c>
      <c r="Z4419">
        <v>1.0299020000000001E-2</v>
      </c>
      <c r="AA4419">
        <v>0.98816630000000005</v>
      </c>
      <c r="AB4419">
        <v>23</v>
      </c>
      <c r="AC4419">
        <v>27.741399999999999</v>
      </c>
      <c r="AD4419">
        <v>-1.1111350951729999</v>
      </c>
      <c r="AE4419">
        <v>-1.6207199999999899</v>
      </c>
      <c r="AF4419">
        <v>-4.2839851667754498</v>
      </c>
      <c r="AG4419">
        <v>-1.1111350951729999</v>
      </c>
      <c r="AH4419">
        <v>27.411606030107301</v>
      </c>
      <c r="AI4419">
        <v>92.293416810800295</v>
      </c>
      <c r="AJ4419">
        <v>98.882539816017101</v>
      </c>
      <c r="AK4419">
        <v>27.766585948918699</v>
      </c>
      <c r="AL4419">
        <v>80.300952150285497</v>
      </c>
      <c r="AM4419">
        <v>97.884927314003207</v>
      </c>
      <c r="AN4419">
        <v>1.0000000061358001</v>
      </c>
    </row>
    <row r="4420" spans="1:40" x14ac:dyDescent="0.25">
      <c r="A4420" t="str">
        <f>"20190304155503149"</f>
        <v>20190304155503149</v>
      </c>
      <c r="B4420" t="str">
        <f>"1551686103141574"</f>
        <v>1551686103141574</v>
      </c>
      <c r="C4420" t="s">
        <v>40</v>
      </c>
      <c r="D4420">
        <v>4.8853559999999998</v>
      </c>
      <c r="E4420">
        <v>0.48987900000000001</v>
      </c>
      <c r="F4420" t="s">
        <v>91</v>
      </c>
      <c r="G4420">
        <v>-361.81630000000001</v>
      </c>
      <c r="H4420" s="1">
        <v>-4.152176E-6</v>
      </c>
      <c r="I4420">
        <v>18.019359999999999</v>
      </c>
      <c r="J4420">
        <v>-389.45940000000002</v>
      </c>
      <c r="K4420">
        <v>1.1111599999999999</v>
      </c>
      <c r="L4420">
        <v>19.576139999999999</v>
      </c>
      <c r="M4420">
        <v>0.97775029999999996</v>
      </c>
      <c r="N4420">
        <v>-7.8861079999999993E-3</v>
      </c>
      <c r="O4420">
        <v>-0.20962410000000001</v>
      </c>
      <c r="P4420">
        <v>0.98438239999999999</v>
      </c>
      <c r="Q4420">
        <v>0.160109</v>
      </c>
      <c r="R4420">
        <v>-7.3188580000000003E-2</v>
      </c>
      <c r="S4420">
        <v>3.055145</v>
      </c>
      <c r="T4420">
        <v>-0.1218103</v>
      </c>
      <c r="U4420">
        <v>-0.17575070000000001</v>
      </c>
      <c r="V4420">
        <v>-0.13535329999999901</v>
      </c>
      <c r="W4420">
        <v>0.16736509999999999</v>
      </c>
      <c r="X4420">
        <v>0.97655950000000002</v>
      </c>
      <c r="Y4420">
        <v>-0.1528805</v>
      </c>
      <c r="Z4420">
        <v>1.0272750000000001E-2</v>
      </c>
      <c r="AA4420">
        <v>0.98819129999999999</v>
      </c>
      <c r="AB4420">
        <v>23</v>
      </c>
      <c r="AC4420">
        <v>27.6431</v>
      </c>
      <c r="AD4420">
        <v>-1.1111641521759901</v>
      </c>
      <c r="AE4420">
        <v>-1.5567799999999901</v>
      </c>
      <c r="AF4420">
        <v>-4.2657797063763097</v>
      </c>
      <c r="AG4420">
        <v>-1.1111641521759901</v>
      </c>
      <c r="AH4420">
        <v>27.311247623863299</v>
      </c>
      <c r="AI4420">
        <v>92.301927696027207</v>
      </c>
      <c r="AJ4420">
        <v>98.877376904512104</v>
      </c>
      <c r="AK4420">
        <v>27.6647033067118</v>
      </c>
      <c r="AL4420">
        <v>80.365344649177402</v>
      </c>
      <c r="AM4420">
        <v>97.891047154934995</v>
      </c>
      <c r="AN4420">
        <v>1.00000002477957</v>
      </c>
    </row>
    <row r="4421" spans="1:40" x14ac:dyDescent="0.25">
      <c r="A4421" t="str">
        <f>"20190304155503171"</f>
        <v>20190304155503171</v>
      </c>
      <c r="B4421" t="str">
        <f>"1551686103162070"</f>
        <v>1551686103162070</v>
      </c>
      <c r="C4421" t="s">
        <v>40</v>
      </c>
      <c r="D4421">
        <v>4.8690189999999998</v>
      </c>
      <c r="E4421">
        <v>0.49001610000000001</v>
      </c>
      <c r="F4421" t="s">
        <v>91</v>
      </c>
      <c r="G4421">
        <v>-362.28399999999999</v>
      </c>
      <c r="H4421" s="1">
        <v>-3.9230210000000003E-6</v>
      </c>
      <c r="I4421">
        <v>18.065010000000001</v>
      </c>
      <c r="J4421">
        <v>-389.23559999999998</v>
      </c>
      <c r="K4421">
        <v>1.111165</v>
      </c>
      <c r="L4421">
        <v>19.530670000000001</v>
      </c>
      <c r="M4421">
        <v>0.97821369999999996</v>
      </c>
      <c r="N4421">
        <v>-7.8177819999999901E-3</v>
      </c>
      <c r="O4421">
        <v>-0.20745359999999999</v>
      </c>
      <c r="P4421">
        <v>0.98464430000000003</v>
      </c>
      <c r="Q4421">
        <v>0.15942329999999999</v>
      </c>
      <c r="R4421">
        <v>-7.1133840000000004E-2</v>
      </c>
      <c r="S4421">
        <v>3.055237</v>
      </c>
      <c r="T4421">
        <v>-0.1249243</v>
      </c>
      <c r="U4421">
        <v>-0.1698914</v>
      </c>
      <c r="V4421">
        <v>-0.13525400000000001</v>
      </c>
      <c r="W4421">
        <v>0.16660629999999901</v>
      </c>
      <c r="X4421">
        <v>0.97670299999999999</v>
      </c>
      <c r="Y4421">
        <v>-0.15256549999999999</v>
      </c>
      <c r="Z4421">
        <v>1.049484E-2</v>
      </c>
      <c r="AA4421">
        <v>0.98823760000000005</v>
      </c>
      <c r="AB4421">
        <v>23</v>
      </c>
      <c r="AC4421">
        <v>26.9515999999999</v>
      </c>
      <c r="AD4421">
        <v>-1.111168923021</v>
      </c>
      <c r="AE4421">
        <v>-1.46565999999999</v>
      </c>
      <c r="AF4421">
        <v>-4.1505702548261096</v>
      </c>
      <c r="AG4421">
        <v>-1.111168923021</v>
      </c>
      <c r="AH4421">
        <v>26.624172080971199</v>
      </c>
      <c r="AI4421">
        <v>92.361382560102598</v>
      </c>
      <c r="AJ4421">
        <v>98.860792208348798</v>
      </c>
      <c r="AK4421">
        <v>26.968657156278699</v>
      </c>
      <c r="AL4421">
        <v>80.409439834049394</v>
      </c>
      <c r="AM4421">
        <v>97.884186886812401</v>
      </c>
      <c r="AN4421">
        <v>1.0000000269623399</v>
      </c>
    </row>
    <row r="4422" spans="1:40" x14ac:dyDescent="0.25">
      <c r="A4422" t="str">
        <f>"20190304155503194"</f>
        <v>20190304155503194</v>
      </c>
      <c r="B4422" t="str">
        <f>"1551686103192327"</f>
        <v>1551686103192327</v>
      </c>
      <c r="C4422" t="s">
        <v>40</v>
      </c>
      <c r="D4422">
        <v>4.8611389999999997</v>
      </c>
      <c r="E4422">
        <v>0.49028100000000002</v>
      </c>
      <c r="F4422" t="s">
        <v>91</v>
      </c>
      <c r="G4422">
        <v>-362.46769999999998</v>
      </c>
      <c r="H4422" s="1">
        <v>-3.831774E-6</v>
      </c>
      <c r="I4422">
        <v>18.089880000000001</v>
      </c>
      <c r="J4422">
        <v>-389.0104</v>
      </c>
      <c r="K4422">
        <v>1.111162</v>
      </c>
      <c r="L4422">
        <v>19.485440000000001</v>
      </c>
      <c r="M4422">
        <v>0.97868180000000005</v>
      </c>
      <c r="N4422">
        <v>-7.7317050000000002E-3</v>
      </c>
      <c r="O4422">
        <v>-0.205236</v>
      </c>
      <c r="P4422">
        <v>0.98493989999999998</v>
      </c>
      <c r="Q4422">
        <v>0.15867339999999999</v>
      </c>
      <c r="R4422">
        <v>-6.8673419999999999E-2</v>
      </c>
      <c r="S4422">
        <v>3.0554199999999998</v>
      </c>
      <c r="T4422">
        <v>-0.12683430000000001</v>
      </c>
      <c r="U4422">
        <v>-0.1644592</v>
      </c>
      <c r="V4422">
        <v>-0.13551050000000001</v>
      </c>
      <c r="W4422">
        <v>0.16576560000000001</v>
      </c>
      <c r="X4422">
        <v>0.97681050000000003</v>
      </c>
      <c r="Y4422">
        <v>-0.1520734</v>
      </c>
      <c r="Z4422">
        <v>1.0597779999999999E-2</v>
      </c>
      <c r="AA4422">
        <v>0.98831239999999998</v>
      </c>
      <c r="AB4422">
        <v>23</v>
      </c>
      <c r="AC4422">
        <v>26.5427</v>
      </c>
      <c r="AD4422">
        <v>-1.1111658317739901</v>
      </c>
      <c r="AE4422">
        <v>-1.3955599999999999</v>
      </c>
      <c r="AF4422">
        <v>-4.0747097044830802</v>
      </c>
      <c r="AG4422">
        <v>-1.1111658317739901</v>
      </c>
      <c r="AH4422">
        <v>26.2182442469088</v>
      </c>
      <c r="AI4422">
        <v>92.398068633885501</v>
      </c>
      <c r="AJ4422">
        <v>98.833954137129197</v>
      </c>
      <c r="AK4422">
        <v>26.5562474772337</v>
      </c>
      <c r="AL4422">
        <v>80.458287791160799</v>
      </c>
      <c r="AM4422">
        <v>97.898091828792403</v>
      </c>
      <c r="AN4422">
        <v>1.0000000413319201</v>
      </c>
    </row>
    <row r="4423" spans="1:40" x14ac:dyDescent="0.25">
      <c r="A4423" t="str">
        <f>"20190304155503215"</f>
        <v>20190304155503215</v>
      </c>
      <c r="B4423" t="str">
        <f>"1551686103211846"</f>
        <v>1551686103211846</v>
      </c>
      <c r="C4423" t="s">
        <v>40</v>
      </c>
      <c r="D4423">
        <v>4.8600629999999896</v>
      </c>
      <c r="E4423">
        <v>0.49048140000000001</v>
      </c>
      <c r="F4423" t="s">
        <v>91</v>
      </c>
      <c r="G4423">
        <v>-362.59570000000002</v>
      </c>
      <c r="H4423" s="1">
        <v>-3.7676979999999999E-6</v>
      </c>
      <c r="I4423">
        <v>18.109870000000001</v>
      </c>
      <c r="J4423">
        <v>-388.7955</v>
      </c>
      <c r="K4423">
        <v>1.1111549999999999</v>
      </c>
      <c r="L4423">
        <v>19.442810000000001</v>
      </c>
      <c r="M4423">
        <v>0.97912840000000001</v>
      </c>
      <c r="N4423">
        <v>-7.6374800000000003E-3</v>
      </c>
      <c r="O4423">
        <v>-0.2030991</v>
      </c>
      <c r="P4423">
        <v>0.98514679999999999</v>
      </c>
      <c r="Q4423">
        <v>0.15841329999999901</v>
      </c>
      <c r="R4423">
        <v>-6.6264790000000004E-2</v>
      </c>
      <c r="S4423">
        <v>3.0555110000000001</v>
      </c>
      <c r="T4423">
        <v>-0.12853399999999901</v>
      </c>
      <c r="U4423">
        <v>-0.1591187</v>
      </c>
      <c r="V4423">
        <v>-0.1357806</v>
      </c>
      <c r="W4423">
        <v>0.16540769999999999</v>
      </c>
      <c r="X4423">
        <v>0.97683359999999997</v>
      </c>
      <c r="Y4423">
        <v>-0.1516335</v>
      </c>
      <c r="Z4423">
        <v>1.06836E-2</v>
      </c>
      <c r="AA4423">
        <v>0.98837909999999995</v>
      </c>
      <c r="AB4423">
        <v>23</v>
      </c>
      <c r="AC4423">
        <v>26.1997999999999</v>
      </c>
      <c r="AD4423">
        <v>-1.1111587676979999</v>
      </c>
      <c r="AE4423">
        <v>-1.33294</v>
      </c>
      <c r="AF4423">
        <v>-4.0089612655798197</v>
      </c>
      <c r="AG4423">
        <v>-1.1111587676979999</v>
      </c>
      <c r="AH4423">
        <v>25.878016932641</v>
      </c>
      <c r="AI4423">
        <v>92.429726810529203</v>
      </c>
      <c r="AJ4423">
        <v>98.806124661020206</v>
      </c>
      <c r="AK4423">
        <v>26.210269067714702</v>
      </c>
      <c r="AL4423">
        <v>80.479080408708796</v>
      </c>
      <c r="AM4423">
        <v>97.913450308675394</v>
      </c>
      <c r="AN4423">
        <v>0.99999998032230397</v>
      </c>
    </row>
    <row r="4424" spans="1:40" x14ac:dyDescent="0.25">
      <c r="A4424" t="str">
        <f>"20190304155503239"</f>
        <v>20190304155503239</v>
      </c>
      <c r="B4424" t="str">
        <f>"1551686103232343"</f>
        <v>1551686103232343</v>
      </c>
      <c r="C4424" t="s">
        <v>40</v>
      </c>
      <c r="D4424">
        <v>4.8365119999999999</v>
      </c>
      <c r="E4424">
        <v>0.49061510000000003</v>
      </c>
      <c r="F4424" t="s">
        <v>91</v>
      </c>
      <c r="G4424">
        <v>-362.40109999999999</v>
      </c>
      <c r="H4424" s="1">
        <v>-3.8580140000000001E-6</v>
      </c>
      <c r="I4424">
        <v>18.119450000000001</v>
      </c>
      <c r="J4424">
        <v>-388.5652</v>
      </c>
      <c r="K4424">
        <v>1.1111489999999999</v>
      </c>
      <c r="L4424">
        <v>19.397670000000002</v>
      </c>
      <c r="M4424">
        <v>0.97960429999999998</v>
      </c>
      <c r="N4424">
        <v>-7.5312280000000001E-3</v>
      </c>
      <c r="O4424">
        <v>-0.20079549999999999</v>
      </c>
      <c r="P4424">
        <v>0.98551270000000002</v>
      </c>
      <c r="Q4424">
        <v>0.15742159999999999</v>
      </c>
      <c r="R4424">
        <v>-6.3112989999999994E-2</v>
      </c>
      <c r="S4424">
        <v>3.055542</v>
      </c>
      <c r="T4424">
        <v>-0.128633</v>
      </c>
      <c r="U4424">
        <v>-0.15319820000000001</v>
      </c>
      <c r="V4424">
        <v>-0.13664399999999999</v>
      </c>
      <c r="W4424">
        <v>0.1643039</v>
      </c>
      <c r="X4424">
        <v>0.97689950000000003</v>
      </c>
      <c r="Y4424">
        <v>-0.15121989999999999</v>
      </c>
      <c r="Z4424">
        <v>1.061936E-2</v>
      </c>
      <c r="AA4424">
        <v>0.98844310000000002</v>
      </c>
      <c r="AB4424">
        <v>23</v>
      </c>
      <c r="AC4424">
        <v>26.164100000000001</v>
      </c>
      <c r="AD4424">
        <v>-1.111152858014</v>
      </c>
      <c r="AE4424">
        <v>-1.2782199999999999</v>
      </c>
      <c r="AF4424">
        <v>-3.99440985095963</v>
      </c>
      <c r="AG4424">
        <v>-1.111152858014</v>
      </c>
      <c r="AH4424">
        <v>25.841362045206299</v>
      </c>
      <c r="AI4424">
        <v>92.433282322455497</v>
      </c>
      <c r="AJ4424">
        <v>98.786911584916396</v>
      </c>
      <c r="AK4424">
        <v>26.171854406647299</v>
      </c>
      <c r="AL4424">
        <v>80.543200938505294</v>
      </c>
      <c r="AM4424">
        <v>97.962596472305094</v>
      </c>
      <c r="AN4424">
        <v>0.99999999369573001</v>
      </c>
    </row>
    <row r="4425" spans="1:40" x14ac:dyDescent="0.25">
      <c r="A4425" t="str">
        <f>"20190304155503263"</f>
        <v>20190304155503263</v>
      </c>
      <c r="B4425" t="str">
        <f>"1551686103252371"</f>
        <v>1551686103252371</v>
      </c>
      <c r="C4425" t="s">
        <v>40</v>
      </c>
      <c r="D4425">
        <v>4.8377150000000002</v>
      </c>
      <c r="E4425">
        <v>0.49062030000000001</v>
      </c>
      <c r="F4425" t="s">
        <v>91</v>
      </c>
      <c r="G4425">
        <v>-362.84789999999998</v>
      </c>
      <c r="H4425" s="1">
        <v>-3.6361039999999999E-6</v>
      </c>
      <c r="I4425">
        <v>18.179839999999999</v>
      </c>
      <c r="J4425">
        <v>-388.32249999999999</v>
      </c>
      <c r="K4425">
        <v>1.111145</v>
      </c>
      <c r="L4425">
        <v>19.350770000000001</v>
      </c>
      <c r="M4425">
        <v>0.98010140000000001</v>
      </c>
      <c r="N4425">
        <v>-7.4164130000000002E-3</v>
      </c>
      <c r="O4425">
        <v>-0.19835949999999999</v>
      </c>
      <c r="P4425">
        <v>0.98580769999999995</v>
      </c>
      <c r="Q4425">
        <v>0.15687309999999999</v>
      </c>
      <c r="R4425">
        <v>-5.9784329999999997E-2</v>
      </c>
      <c r="S4425">
        <v>3.0559690000000002</v>
      </c>
      <c r="T4425">
        <v>-0.1320375</v>
      </c>
      <c r="U4425">
        <v>-0.14471439999999999</v>
      </c>
      <c r="V4425">
        <v>-0.1375362</v>
      </c>
      <c r="W4425">
        <v>0.163635</v>
      </c>
      <c r="X4425">
        <v>0.97688660000000005</v>
      </c>
      <c r="Y4425">
        <v>-0.15149199999999999</v>
      </c>
      <c r="Z4425">
        <v>1.086152E-2</v>
      </c>
      <c r="AA4425">
        <v>0.98839880000000002</v>
      </c>
      <c r="AB4425">
        <v>23</v>
      </c>
      <c r="AC4425">
        <v>25.474599999999999</v>
      </c>
      <c r="AD4425">
        <v>-1.1111486361039999</v>
      </c>
      <c r="AE4425">
        <v>-1.17093</v>
      </c>
      <c r="AF4425">
        <v>-3.8982049299292698</v>
      </c>
      <c r="AG4425">
        <v>-1.1111486361039999</v>
      </c>
      <c r="AH4425">
        <v>25.1528931179467</v>
      </c>
      <c r="AI4425">
        <v>92.499638470424202</v>
      </c>
      <c r="AJ4425">
        <v>98.809635205453205</v>
      </c>
      <c r="AK4425">
        <v>25.477415197976601</v>
      </c>
      <c r="AL4425">
        <v>80.582052210045006</v>
      </c>
      <c r="AM4425">
        <v>98.014018422643304</v>
      </c>
      <c r="AN4425">
        <v>1.00000002439749</v>
      </c>
    </row>
    <row r="4426" spans="1:40" x14ac:dyDescent="0.25">
      <c r="A4426" t="str">
        <f>"20190304155503285"</f>
        <v>20190304155503285</v>
      </c>
      <c r="B4426" t="str">
        <f>"1551686103281651"</f>
        <v>1551686103281651</v>
      </c>
      <c r="C4426" t="s">
        <v>40</v>
      </c>
      <c r="D4426">
        <v>4.8490729999999997</v>
      </c>
      <c r="E4426">
        <v>0.49012470000000002</v>
      </c>
      <c r="F4426" t="s">
        <v>91</v>
      </c>
      <c r="G4426">
        <v>-362.7509</v>
      </c>
      <c r="H4426" s="1">
        <v>-3.674388E-6</v>
      </c>
      <c r="I4426">
        <v>18.222380000000001</v>
      </c>
      <c r="J4426">
        <v>-388.09269999999998</v>
      </c>
      <c r="K4426">
        <v>1.1111359999999999</v>
      </c>
      <c r="L4426">
        <v>19.306920000000002</v>
      </c>
      <c r="M4426">
        <v>0.98056719999999997</v>
      </c>
      <c r="N4426">
        <v>-7.3058330000000003E-3</v>
      </c>
      <c r="O4426">
        <v>-0.19604769999999999</v>
      </c>
      <c r="P4426">
        <v>0.98606870000000002</v>
      </c>
      <c r="Q4426">
        <v>0.15638189999999999</v>
      </c>
      <c r="R4426">
        <v>-5.6685529999999998E-2</v>
      </c>
      <c r="S4426">
        <v>3.0561219999999998</v>
      </c>
      <c r="T4426">
        <v>-0.13279630000000001</v>
      </c>
      <c r="U4426">
        <v>-0.13485720000000001</v>
      </c>
      <c r="V4426">
        <v>-0.13832059999999999</v>
      </c>
      <c r="W4426">
        <v>0.16302910000000001</v>
      </c>
      <c r="X4426">
        <v>0.9768772</v>
      </c>
      <c r="Y4426">
        <v>-0.15234120000000001</v>
      </c>
      <c r="Z4426">
        <v>1.0883830000000001E-2</v>
      </c>
      <c r="AA4426">
        <v>0.98826800000000004</v>
      </c>
      <c r="AB4426">
        <v>23</v>
      </c>
      <c r="AC4426">
        <v>25.3417999999999</v>
      </c>
      <c r="AD4426">
        <v>-1.111139674388</v>
      </c>
      <c r="AE4426">
        <v>-1.0845400000000001</v>
      </c>
      <c r="AF4426">
        <v>-3.8973623381268498</v>
      </c>
      <c r="AG4426">
        <v>-1.111139674388</v>
      </c>
      <c r="AH4426">
        <v>25.014624678701299</v>
      </c>
      <c r="AI4426">
        <v>92.513103893341395</v>
      </c>
      <c r="AJ4426">
        <v>98.855676216118894</v>
      </c>
      <c r="AK4426">
        <v>25.340787524995001</v>
      </c>
      <c r="AL4426">
        <v>80.6172406878256</v>
      </c>
      <c r="AM4426">
        <v>98.059201905911095</v>
      </c>
      <c r="AN4426">
        <v>1.0000000698555001</v>
      </c>
    </row>
    <row r="4427" spans="1:40" x14ac:dyDescent="0.25">
      <c r="A4427" t="str">
        <f>"20190304155503308"</f>
        <v>20190304155503308</v>
      </c>
      <c r="B4427" t="str">
        <f>"1551686103302147"</f>
        <v>1551686103302147</v>
      </c>
      <c r="C4427" t="s">
        <v>40</v>
      </c>
      <c r="D4427">
        <v>4.8695709999999996</v>
      </c>
      <c r="E4427">
        <v>0.48941230000000002</v>
      </c>
      <c r="F4427" t="s">
        <v>91</v>
      </c>
      <c r="G4427">
        <v>-362.54640000000001</v>
      </c>
      <c r="H4427" s="1">
        <v>-3.7578350000000002E-6</v>
      </c>
      <c r="I4427">
        <v>18.296849999999999</v>
      </c>
      <c r="J4427">
        <v>-387.8546</v>
      </c>
      <c r="K4427">
        <v>1.11112099999999</v>
      </c>
      <c r="L4427">
        <v>19.262119999999999</v>
      </c>
      <c r="M4427">
        <v>0.98104389999999997</v>
      </c>
      <c r="N4427">
        <v>-7.1943739999999999E-3</v>
      </c>
      <c r="O4427">
        <v>-0.19365270000000001</v>
      </c>
      <c r="P4427">
        <v>0.98641590000000001</v>
      </c>
      <c r="Q4427">
        <v>0.15533749999999999</v>
      </c>
      <c r="R4427">
        <v>-5.34274E-2</v>
      </c>
      <c r="S4427">
        <v>3.0564879999999999</v>
      </c>
      <c r="T4427">
        <v>-0.1329427</v>
      </c>
      <c r="U4427">
        <v>-0.1208496</v>
      </c>
      <c r="V4427">
        <v>-0.13919479999999901</v>
      </c>
      <c r="W4427">
        <v>0.16187070000000001</v>
      </c>
      <c r="X4427">
        <v>0.97694559999999997</v>
      </c>
      <c r="Y4427">
        <v>-0.154451799999999</v>
      </c>
      <c r="Z4427">
        <v>1.087951E-2</v>
      </c>
      <c r="AA4427">
        <v>0.98794040000000005</v>
      </c>
      <c r="AB4427">
        <v>23</v>
      </c>
      <c r="AC4427">
        <v>25.308199999999999</v>
      </c>
      <c r="AD4427">
        <v>-1.1111247578350001</v>
      </c>
      <c r="AE4427">
        <v>-0.96526999999999996</v>
      </c>
      <c r="AF4427">
        <v>-3.94653478413526</v>
      </c>
      <c r="AG4427">
        <v>-1.1111247578350001</v>
      </c>
      <c r="AH4427">
        <v>24.9679696960382</v>
      </c>
      <c r="AI4427">
        <v>92.516889617321496</v>
      </c>
      <c r="AJ4427">
        <v>98.9820832100649</v>
      </c>
      <c r="AK4427">
        <v>25.3023565260658</v>
      </c>
      <c r="AL4427">
        <v>80.684505055278706</v>
      </c>
      <c r="AM4427">
        <v>98.108901202054298</v>
      </c>
      <c r="AN4427">
        <v>1.00000001061244</v>
      </c>
    </row>
    <row r="4428" spans="1:40" x14ac:dyDescent="0.25">
      <c r="A4428" t="str">
        <f>"20190304155503328"</f>
        <v>20190304155503328</v>
      </c>
      <c r="B4428" t="str">
        <f>"1551686103321668"</f>
        <v>1551686103321668</v>
      </c>
      <c r="C4428" t="s">
        <v>40</v>
      </c>
      <c r="D4428">
        <v>4.8258859999999997</v>
      </c>
      <c r="E4428">
        <v>0.48899500000000001</v>
      </c>
      <c r="F4428" t="s">
        <v>91</v>
      </c>
      <c r="G4428">
        <v>-363.24040000000002</v>
      </c>
      <c r="H4428" s="1">
        <v>-3.4089460000000001E-6</v>
      </c>
      <c r="I4428">
        <v>18.414470000000001</v>
      </c>
      <c r="J4428">
        <v>-387.64929999999998</v>
      </c>
      <c r="K4428">
        <v>1.111105</v>
      </c>
      <c r="L4428">
        <v>19.223939999999999</v>
      </c>
      <c r="M4428">
        <v>0.98144980000000004</v>
      </c>
      <c r="N4428">
        <v>-7.1003129999999996E-3</v>
      </c>
      <c r="O4428">
        <v>-0.19158720000000001</v>
      </c>
      <c r="P4428">
        <v>0.98676710000000001</v>
      </c>
      <c r="Q4428">
        <v>0.15420699999999901</v>
      </c>
      <c r="R4428">
        <v>-5.0106310000000001E-2</v>
      </c>
      <c r="S4428">
        <v>3.0573429999999999</v>
      </c>
      <c r="T4428">
        <v>-0.138013</v>
      </c>
      <c r="U4428">
        <v>-0.10528559999999999</v>
      </c>
      <c r="V4428">
        <v>-0.1404591</v>
      </c>
      <c r="W4428">
        <v>0.16064239999999999</v>
      </c>
      <c r="X4428">
        <v>0.97696740000000004</v>
      </c>
      <c r="Y4428">
        <v>-0.1573784</v>
      </c>
      <c r="Z4428">
        <v>1.1335720000000001E-2</v>
      </c>
      <c r="AA4428">
        <v>0.9874733</v>
      </c>
      <c r="AB4428">
        <v>23</v>
      </c>
      <c r="AC4428">
        <v>24.4088999999999</v>
      </c>
      <c r="AD4428">
        <v>-1.1111084089459999</v>
      </c>
      <c r="AE4428">
        <v>-0.80946999999999703</v>
      </c>
      <c r="AF4428">
        <v>-3.8740581986536098</v>
      </c>
      <c r="AG4428">
        <v>-1.1111084089459999</v>
      </c>
      <c r="AH4428">
        <v>24.061999816034099</v>
      </c>
      <c r="AI4428">
        <v>92.610294806015503</v>
      </c>
      <c r="AJ4428">
        <v>99.146310735237506</v>
      </c>
      <c r="AK4428">
        <v>24.397186804421001</v>
      </c>
      <c r="AL4428">
        <v>80.755814817288396</v>
      </c>
      <c r="AM4428">
        <v>98.181381146496406</v>
      </c>
      <c r="AN4428">
        <v>1.0000000200566601</v>
      </c>
    </row>
    <row r="4429" spans="1:40" x14ac:dyDescent="0.25">
      <c r="A4429" t="str">
        <f>"20190304155503350"</f>
        <v>20190304155503350</v>
      </c>
      <c r="B4429" t="str">
        <f>"1551686103342167"</f>
        <v>1551686103342167</v>
      </c>
      <c r="C4429" t="s">
        <v>40</v>
      </c>
      <c r="D4429">
        <v>4.8126439999999997</v>
      </c>
      <c r="E4429">
        <v>0.4886375</v>
      </c>
      <c r="F4429" t="s">
        <v>91</v>
      </c>
      <c r="G4429">
        <v>-363.58839999999998</v>
      </c>
      <c r="H4429" s="1">
        <v>-3.2280950000000001E-6</v>
      </c>
      <c r="I4429">
        <v>18.506630000000001</v>
      </c>
      <c r="J4429">
        <v>-387.41199999999998</v>
      </c>
      <c r="K4429">
        <v>1.1110910000000001</v>
      </c>
      <c r="L4429">
        <v>19.18036</v>
      </c>
      <c r="M4429">
        <v>0.98191329999999999</v>
      </c>
      <c r="N4429">
        <v>-6.9938680000000003E-3</v>
      </c>
      <c r="O4429">
        <v>-0.1892027</v>
      </c>
      <c r="P4429">
        <v>0.98715679999999995</v>
      </c>
      <c r="Q4429">
        <v>0.15273310000000001</v>
      </c>
      <c r="R4429">
        <v>-4.6844509999999999E-2</v>
      </c>
      <c r="S4429">
        <v>3.057709</v>
      </c>
      <c r="T4429">
        <v>-0.14120170000000001</v>
      </c>
      <c r="U4429">
        <v>-9.1156009999999996E-2</v>
      </c>
      <c r="V4429">
        <v>-0.1413557</v>
      </c>
      <c r="W4429">
        <v>0.1590599</v>
      </c>
      <c r="X4429">
        <v>0.97709699999999999</v>
      </c>
      <c r="Y4429">
        <v>-0.1595249</v>
      </c>
      <c r="Z4429">
        <v>1.1594190000000001E-2</v>
      </c>
      <c r="AA4429">
        <v>0.98712580000000005</v>
      </c>
      <c r="AB4429">
        <v>24</v>
      </c>
      <c r="AC4429">
        <v>23.823599999999999</v>
      </c>
      <c r="AD4429">
        <v>-1.111094228095</v>
      </c>
      <c r="AE4429">
        <v>-0.67373000000000205</v>
      </c>
      <c r="AF4429">
        <v>-3.8376976194964301</v>
      </c>
      <c r="AG4429">
        <v>-1.111094228095</v>
      </c>
      <c r="AH4429">
        <v>23.4697437440587</v>
      </c>
      <c r="AI4429">
        <v>92.674974887291299</v>
      </c>
      <c r="AJ4429">
        <v>99.286637168011893</v>
      </c>
      <c r="AK4429">
        <v>23.8073796293119</v>
      </c>
      <c r="AL4429">
        <v>80.847666473650506</v>
      </c>
      <c r="AM4429">
        <v>98.231815087374301</v>
      </c>
      <c r="AN4429">
        <v>1.00000001655974</v>
      </c>
    </row>
    <row r="4430" spans="1:40" x14ac:dyDescent="0.25">
      <c r="A4430" t="str">
        <f>"20190304155503373"</f>
        <v>20190304155503373</v>
      </c>
      <c r="B4430" t="str">
        <f>"1551686103361687"</f>
        <v>1551686103361687</v>
      </c>
      <c r="C4430" t="s">
        <v>40</v>
      </c>
      <c r="D4430">
        <v>4.873481</v>
      </c>
      <c r="E4430">
        <v>0.48836109999999999</v>
      </c>
      <c r="F4430" t="s">
        <v>91</v>
      </c>
      <c r="G4430">
        <v>-364.0104</v>
      </c>
      <c r="H4430" s="1">
        <v>-3.0143410000000002E-6</v>
      </c>
      <c r="I4430">
        <v>18.587140000000002</v>
      </c>
      <c r="J4430">
        <v>-387.18279999999999</v>
      </c>
      <c r="K4430">
        <v>1.11107</v>
      </c>
      <c r="L4430">
        <v>19.13879</v>
      </c>
      <c r="M4430">
        <v>0.98235399999999995</v>
      </c>
      <c r="N4430">
        <v>-6.8951790000000004E-3</v>
      </c>
      <c r="O4430">
        <v>-0.18690370000000001</v>
      </c>
      <c r="P4430">
        <v>0.98754850000000005</v>
      </c>
      <c r="Q4430">
        <v>0.15110079999999901</v>
      </c>
      <c r="R4430">
        <v>-4.3781630000000002E-2</v>
      </c>
      <c r="S4430">
        <v>3.0578609999999999</v>
      </c>
      <c r="T4430">
        <v>-0.14518490000000001</v>
      </c>
      <c r="U4430">
        <v>-7.7514650000000004E-2</v>
      </c>
      <c r="V4430">
        <v>-0.14214299999999999</v>
      </c>
      <c r="W4430">
        <v>0.15732769999999999</v>
      </c>
      <c r="X4430">
        <v>0.9772632</v>
      </c>
      <c r="Y4430">
        <v>-0.16159399999999999</v>
      </c>
      <c r="Z4430">
        <v>1.19195E-2</v>
      </c>
      <c r="AA4430">
        <v>0.98678540000000003</v>
      </c>
      <c r="AB4430">
        <v>24</v>
      </c>
      <c r="AC4430">
        <v>23.1723999999999</v>
      </c>
      <c r="AD4430">
        <v>-1.1110730143409999</v>
      </c>
      <c r="AE4430">
        <v>-0.55165000000000197</v>
      </c>
      <c r="AF4430">
        <v>-3.7804954259885202</v>
      </c>
      <c r="AG4430">
        <v>-1.1110730143409999</v>
      </c>
      <c r="AH4430">
        <v>22.814727936695501</v>
      </c>
      <c r="AI4430">
        <v>92.750642194082502</v>
      </c>
      <c r="AJ4430">
        <v>99.408656991182895</v>
      </c>
      <c r="AK4430">
        <v>23.152503962520999</v>
      </c>
      <c r="AL4430">
        <v>80.948179739120704</v>
      </c>
      <c r="AM4430">
        <v>98.275641666326905</v>
      </c>
      <c r="AN4430">
        <v>0.999999999855265</v>
      </c>
    </row>
    <row r="4431" spans="1:40" x14ac:dyDescent="0.25">
      <c r="A4431" t="str">
        <f>"20190304155503395"</f>
        <v>20190304155503395</v>
      </c>
      <c r="B4431" t="str">
        <f>"1551686103391939"</f>
        <v>1551686103391939</v>
      </c>
      <c r="C4431" t="s">
        <v>40</v>
      </c>
      <c r="D4431">
        <v>4.8515280000000001</v>
      </c>
      <c r="E4431">
        <v>0.48805320000000002</v>
      </c>
      <c r="F4431" t="s">
        <v>91</v>
      </c>
      <c r="G4431">
        <v>-364.63490000000002</v>
      </c>
      <c r="H4431" s="1">
        <v>-2.706697E-6</v>
      </c>
      <c r="I4431">
        <v>18.657029999999999</v>
      </c>
      <c r="J4431">
        <v>-386.95179999999999</v>
      </c>
      <c r="K4431">
        <v>1.1110599999999999</v>
      </c>
      <c r="L4431">
        <v>19.097470000000001</v>
      </c>
      <c r="M4431">
        <v>0.982792</v>
      </c>
      <c r="N4431">
        <v>-6.8008599999999997E-3</v>
      </c>
      <c r="O4431">
        <v>-0.18459100000000001</v>
      </c>
      <c r="P4431">
        <v>0.98787950000000002</v>
      </c>
      <c r="Q4431">
        <v>0.14980099999999999</v>
      </c>
      <c r="R4431">
        <v>-4.0668280000000001E-2</v>
      </c>
      <c r="S4431">
        <v>3.0579830000000001</v>
      </c>
      <c r="T4431">
        <v>-0.15068570000000001</v>
      </c>
      <c r="U4431">
        <v>-6.5338129999999994E-2</v>
      </c>
      <c r="V4431">
        <v>-0.14295829999999901</v>
      </c>
      <c r="W4431">
        <v>0.15593089999999901</v>
      </c>
      <c r="X4431">
        <v>0.97736809999999996</v>
      </c>
      <c r="Y4431">
        <v>-0.163169799999999</v>
      </c>
      <c r="Z4431">
        <v>1.2357440000000001E-2</v>
      </c>
      <c r="AA4431">
        <v>0.98652059999999997</v>
      </c>
      <c r="AB4431">
        <v>24</v>
      </c>
      <c r="AC4431">
        <v>22.316899999999901</v>
      </c>
      <c r="AD4431">
        <v>-1.111062706697</v>
      </c>
      <c r="AE4431">
        <v>-0.440440000000002</v>
      </c>
      <c r="AF4431">
        <v>-3.6776110227194598</v>
      </c>
      <c r="AG4431">
        <v>-1.111062706697</v>
      </c>
      <c r="AH4431">
        <v>21.960269009348998</v>
      </c>
      <c r="AI4431">
        <v>92.856652445380902</v>
      </c>
      <c r="AJ4431">
        <v>99.506909064791401</v>
      </c>
      <c r="AK4431">
        <v>22.293781602402401</v>
      </c>
      <c r="AL4431">
        <v>81.029210275480395</v>
      </c>
      <c r="AM4431">
        <v>98.321565138173199</v>
      </c>
      <c r="AN4431">
        <v>0.999999962005654</v>
      </c>
    </row>
    <row r="4432" spans="1:40" x14ac:dyDescent="0.25">
      <c r="A4432" t="str">
        <f>"20190304155503417"</f>
        <v>20190304155503417</v>
      </c>
      <c r="B4432" t="str">
        <f>"1551686103412435"</f>
        <v>1551686103412435</v>
      </c>
      <c r="C4432" t="s">
        <v>40</v>
      </c>
      <c r="D4432">
        <v>4.859146</v>
      </c>
      <c r="E4432">
        <v>0.48793110000000001</v>
      </c>
      <c r="F4432" t="s">
        <v>91</v>
      </c>
      <c r="G4432">
        <v>-364.95589999999999</v>
      </c>
      <c r="H4432" s="1">
        <v>-2.5445770000000002E-6</v>
      </c>
      <c r="I4432">
        <v>18.71575</v>
      </c>
      <c r="J4432">
        <v>-386.71559999999999</v>
      </c>
      <c r="K4432">
        <v>1.111051</v>
      </c>
      <c r="L4432">
        <v>19.055789999999998</v>
      </c>
      <c r="M4432">
        <v>0.98323289999999997</v>
      </c>
      <c r="N4432">
        <v>-6.7123130000000001E-3</v>
      </c>
      <c r="O4432">
        <v>-0.18223139999999999</v>
      </c>
      <c r="P4432">
        <v>0.98815730000000002</v>
      </c>
      <c r="Q4432">
        <v>0.14881420000000001</v>
      </c>
      <c r="R4432">
        <v>-3.7413729999999999E-2</v>
      </c>
      <c r="S4432">
        <v>3.0580440000000002</v>
      </c>
      <c r="T4432">
        <v>-0.15446869999999999</v>
      </c>
      <c r="U4432">
        <v>-5.3070069999999997E-2</v>
      </c>
      <c r="V4432">
        <v>-0.1438596</v>
      </c>
      <c r="W4432">
        <v>0.15485119999999999</v>
      </c>
      <c r="X4432">
        <v>0.97740749999999998</v>
      </c>
      <c r="Y4432">
        <v>-0.16473699999999999</v>
      </c>
      <c r="Z4432">
        <v>1.2638770000000001E-2</v>
      </c>
      <c r="AA4432">
        <v>0.98625649999999998</v>
      </c>
      <c r="AB4432">
        <v>24</v>
      </c>
      <c r="AC4432">
        <v>21.759699999999999</v>
      </c>
      <c r="AD4432">
        <v>-1.111053544577</v>
      </c>
      <c r="AE4432">
        <v>-0.34003999999999801</v>
      </c>
      <c r="AF4432">
        <v>-3.6216036628283299</v>
      </c>
      <c r="AG4432">
        <v>-1.111053544577</v>
      </c>
      <c r="AH4432">
        <v>21.401516243433701</v>
      </c>
      <c r="AI4432">
        <v>92.930241019769397</v>
      </c>
      <c r="AJ4432">
        <v>99.604706024118798</v>
      </c>
      <c r="AK4432">
        <v>21.734197721275201</v>
      </c>
      <c r="AL4432">
        <v>81.091833103754894</v>
      </c>
      <c r="AM4432">
        <v>98.372955288652193</v>
      </c>
      <c r="AN4432">
        <v>0.99999994985492302</v>
      </c>
    </row>
    <row r="4433" spans="1:40" x14ac:dyDescent="0.25">
      <c r="A4433" t="str">
        <f>"20190304155503440"</f>
        <v>20190304155503440</v>
      </c>
      <c r="B4433" t="str">
        <f>"1551686103431955"</f>
        <v>1551686103431955</v>
      </c>
      <c r="C4433" t="s">
        <v>40</v>
      </c>
      <c r="D4433">
        <v>4.8466420000000001</v>
      </c>
      <c r="E4433">
        <v>0.48787779999999997</v>
      </c>
      <c r="F4433" t="s">
        <v>91</v>
      </c>
      <c r="G4433">
        <v>-365.15359999999998</v>
      </c>
      <c r="H4433" s="1">
        <v>-2.4428760000000001E-6</v>
      </c>
      <c r="I4433">
        <v>18.762080000000001</v>
      </c>
      <c r="J4433">
        <v>-386.4769</v>
      </c>
      <c r="K4433">
        <v>1.1110519999999999</v>
      </c>
      <c r="L4433">
        <v>19.014189999999999</v>
      </c>
      <c r="M4433">
        <v>0.98367179999999999</v>
      </c>
      <c r="N4433">
        <v>-6.6328910000000001E-3</v>
      </c>
      <c r="O4433">
        <v>-0.17984929999999999</v>
      </c>
      <c r="P4433">
        <v>0.9882938</v>
      </c>
      <c r="Q4433">
        <v>0.14869160000000001</v>
      </c>
      <c r="R4433">
        <v>-3.415431E-2</v>
      </c>
      <c r="S4433">
        <v>3.0581049999999999</v>
      </c>
      <c r="T4433">
        <v>-0.15757889999999999</v>
      </c>
      <c r="U4433">
        <v>-4.1656489999999997E-2</v>
      </c>
      <c r="V4433">
        <v>-0.14472279999999901</v>
      </c>
      <c r="W4433">
        <v>0.154644</v>
      </c>
      <c r="X4433">
        <v>0.97731290000000004</v>
      </c>
      <c r="Y4433">
        <v>-0.16601109999999999</v>
      </c>
      <c r="Z4433">
        <v>1.284749E-2</v>
      </c>
      <c r="AA4433">
        <v>0.98604020000000003</v>
      </c>
      <c r="AB4433">
        <v>24</v>
      </c>
      <c r="AC4433">
        <v>21.3233</v>
      </c>
      <c r="AD4433">
        <v>-1.1110544428759901</v>
      </c>
      <c r="AE4433">
        <v>-0.252110000000001</v>
      </c>
      <c r="AF4433">
        <v>-3.5773550490557899</v>
      </c>
      <c r="AG4433">
        <v>-1.1110544428759901</v>
      </c>
      <c r="AH4433">
        <v>20.9640250410528</v>
      </c>
      <c r="AI4433">
        <v>92.990583168344401</v>
      </c>
      <c r="AJ4433">
        <v>99.683823786191596</v>
      </c>
      <c r="AK4433">
        <v>21.296062007890701</v>
      </c>
      <c r="AL4433">
        <v>81.103849810156404</v>
      </c>
      <c r="AM4433">
        <v>98.423280516665301</v>
      </c>
      <c r="AN4433">
        <v>0.999999980041124</v>
      </c>
    </row>
    <row r="4434" spans="1:40" x14ac:dyDescent="0.25">
      <c r="A4434" t="str">
        <f>"20190304155503463"</f>
        <v>20190304155503463</v>
      </c>
      <c r="B4434" t="str">
        <f>"1551686103452451"</f>
        <v>1551686103452451</v>
      </c>
      <c r="C4434" t="s">
        <v>40</v>
      </c>
      <c r="D4434">
        <v>4.871289</v>
      </c>
      <c r="E4434">
        <v>0.48781330000000001</v>
      </c>
      <c r="F4434" t="s">
        <v>91</v>
      </c>
      <c r="G4434">
        <v>-364.95139999999998</v>
      </c>
      <c r="H4434" s="1">
        <v>-2.5323450000000001E-6</v>
      </c>
      <c r="I4434">
        <v>18.796600000000002</v>
      </c>
      <c r="J4434">
        <v>-386.23239999999998</v>
      </c>
      <c r="K4434">
        <v>1.111056</v>
      </c>
      <c r="L4434">
        <v>18.972290000000001</v>
      </c>
      <c r="M4434">
        <v>0.98411459999999995</v>
      </c>
      <c r="N4434">
        <v>-6.5622859999999996E-3</v>
      </c>
      <c r="O4434">
        <v>-0.17741379999999901</v>
      </c>
      <c r="P4434">
        <v>0.98833919999999997</v>
      </c>
      <c r="Q4434">
        <v>0.1491325</v>
      </c>
      <c r="R4434">
        <v>-3.0752660000000001E-2</v>
      </c>
      <c r="S4434">
        <v>3.0582280000000002</v>
      </c>
      <c r="T4434">
        <v>-0.15785279999999999</v>
      </c>
      <c r="U4434">
        <v>-3.091431E-2</v>
      </c>
      <c r="V4434">
        <v>-0.14566219999999999</v>
      </c>
      <c r="W4434">
        <v>0.1550067</v>
      </c>
      <c r="X4434">
        <v>0.97711590000000004</v>
      </c>
      <c r="Y4434">
        <v>-0.1670326</v>
      </c>
      <c r="Z4434">
        <v>1.280018E-2</v>
      </c>
      <c r="AA4434">
        <v>0.98586830000000003</v>
      </c>
      <c r="AB4434">
        <v>24</v>
      </c>
      <c r="AC4434">
        <v>21.280999999999999</v>
      </c>
      <c r="AD4434">
        <v>-1.111058532345</v>
      </c>
      <c r="AE4434">
        <v>-0.17568999999999901</v>
      </c>
      <c r="AF4434">
        <v>-3.5929282362885799</v>
      </c>
      <c r="AG4434">
        <v>-1.111058532345</v>
      </c>
      <c r="AH4434">
        <v>20.917548847749899</v>
      </c>
      <c r="AI4434">
        <v>92.996667686771502</v>
      </c>
      <c r="AJ4434">
        <v>99.746370870049205</v>
      </c>
      <c r="AK4434">
        <v>21.252939424263701</v>
      </c>
      <c r="AL4434">
        <v>81.082815328869202</v>
      </c>
      <c r="AM4434">
        <v>98.478848621821996</v>
      </c>
      <c r="AN4434">
        <v>1.00000001779327</v>
      </c>
    </row>
    <row r="4435" spans="1:40" x14ac:dyDescent="0.25">
      <c r="A4435" t="str">
        <f>"20190304155503485"</f>
        <v>20190304155503485</v>
      </c>
      <c r="B4435" t="str">
        <f>"1551686103481730"</f>
        <v>1551686103481730</v>
      </c>
      <c r="C4435" t="s">
        <v>40</v>
      </c>
      <c r="D4435">
        <v>4.8551929999999999</v>
      </c>
      <c r="E4435">
        <v>0.48777229999999999</v>
      </c>
      <c r="F4435" t="s">
        <v>91</v>
      </c>
      <c r="G4435">
        <v>-364.46539999999999</v>
      </c>
      <c r="H4435" s="1">
        <v>-2.7557539999999999E-6</v>
      </c>
      <c r="I4435">
        <v>18.832409999999999</v>
      </c>
      <c r="J4435">
        <v>-385.99520000000001</v>
      </c>
      <c r="K4435">
        <v>1.111059</v>
      </c>
      <c r="L4435">
        <v>18.932189999999999</v>
      </c>
      <c r="M4435">
        <v>0.98453809999999997</v>
      </c>
      <c r="N4435">
        <v>-6.5030969999999898E-3</v>
      </c>
      <c r="O4435">
        <v>-0.1750505</v>
      </c>
      <c r="P4435">
        <v>0.98840620000000001</v>
      </c>
      <c r="Q4435">
        <v>0.1493292</v>
      </c>
      <c r="R4435">
        <v>-2.745999E-2</v>
      </c>
      <c r="S4435">
        <v>3.0583499999999999</v>
      </c>
      <c r="T4435">
        <v>-0.15610769999999999</v>
      </c>
      <c r="U4435">
        <v>-1.9653319999999998E-2</v>
      </c>
      <c r="V4435">
        <v>-0.14657139999999999</v>
      </c>
      <c r="W4435">
        <v>0.15513669999999999</v>
      </c>
      <c r="X4435">
        <v>0.97695929999999997</v>
      </c>
      <c r="Y4435">
        <v>-0.16830539999999999</v>
      </c>
      <c r="Z4435">
        <v>1.2591130000000001E-2</v>
      </c>
      <c r="AA4435">
        <v>0.98565449999999999</v>
      </c>
      <c r="AB4435">
        <v>24</v>
      </c>
      <c r="AC4435">
        <v>21.529800000000002</v>
      </c>
      <c r="AD4435">
        <v>-1.1110617557539999</v>
      </c>
      <c r="AE4435">
        <v>-9.9779999999998994E-2</v>
      </c>
      <c r="AF4435">
        <v>-3.66089290817904</v>
      </c>
      <c r="AG4435">
        <v>-1.1110617557539999</v>
      </c>
      <c r="AH4435">
        <v>21.158473912307802</v>
      </c>
      <c r="AI4435">
        <v>92.961993308269399</v>
      </c>
      <c r="AJ4435">
        <v>99.816275339531998</v>
      </c>
      <c r="AK4435">
        <v>21.501572347343899</v>
      </c>
      <c r="AL4435">
        <v>81.0752757137125</v>
      </c>
      <c r="AM4435">
        <v>98.532343194699294</v>
      </c>
      <c r="AN4435">
        <v>1.00000002242066</v>
      </c>
    </row>
    <row r="4436" spans="1:40" x14ac:dyDescent="0.25">
      <c r="A4436" t="str">
        <f>"20190304155503508"</f>
        <v>20190304155503508</v>
      </c>
      <c r="B4436" t="str">
        <f>"1551686103502227"</f>
        <v>1551686103502227</v>
      </c>
      <c r="C4436" t="s">
        <v>40</v>
      </c>
      <c r="D4436">
        <v>4.888916</v>
      </c>
      <c r="E4436">
        <v>0.48777670000000001</v>
      </c>
      <c r="F4436" t="s">
        <v>91</v>
      </c>
      <c r="G4436">
        <v>-364.06880000000001</v>
      </c>
      <c r="H4436" s="1">
        <v>-2.9372800000000001E-6</v>
      </c>
      <c r="I4436">
        <v>18.8659</v>
      </c>
      <c r="J4436">
        <v>-385.74889999999999</v>
      </c>
      <c r="K4436">
        <v>1.111065</v>
      </c>
      <c r="L4436">
        <v>18.891169999999999</v>
      </c>
      <c r="M4436">
        <v>0.98497129999999999</v>
      </c>
      <c r="N4436">
        <v>-6.4498259999999996E-3</v>
      </c>
      <c r="O4436">
        <v>-0.1725981</v>
      </c>
      <c r="P4436">
        <v>0.98848619999999998</v>
      </c>
      <c r="Q4436">
        <v>0.1493922</v>
      </c>
      <c r="R4436">
        <v>-2.4026599999999999E-2</v>
      </c>
      <c r="S4436">
        <v>3.058319</v>
      </c>
      <c r="T4436">
        <v>-0.1549722</v>
      </c>
      <c r="U4436">
        <v>-9.2468259999999997E-3</v>
      </c>
      <c r="V4436">
        <v>-0.14753649999999999</v>
      </c>
      <c r="W4436">
        <v>0.15513859999999999</v>
      </c>
      <c r="X4436">
        <v>0.97681370000000001</v>
      </c>
      <c r="Y4436">
        <v>-0.16921129999999901</v>
      </c>
      <c r="Z4436">
        <v>1.24203E-2</v>
      </c>
      <c r="AA4436">
        <v>0.98550150000000003</v>
      </c>
      <c r="AB4436">
        <v>24</v>
      </c>
      <c r="AC4436">
        <v>21.6800999999999</v>
      </c>
      <c r="AD4436">
        <v>-1.1110679372800001</v>
      </c>
      <c r="AE4436">
        <v>-2.5270000000002499E-2</v>
      </c>
      <c r="AF4436">
        <v>-3.7073938152291701</v>
      </c>
      <c r="AG4436">
        <v>-1.1110679372800001</v>
      </c>
      <c r="AH4436">
        <v>21.303130154947201</v>
      </c>
      <c r="AI4436">
        <v>92.941433462688494</v>
      </c>
      <c r="AJ4436">
        <v>99.872337498714998</v>
      </c>
      <c r="AK4436">
        <v>21.6518496960669</v>
      </c>
      <c r="AL4436">
        <v>81.075165354304005</v>
      </c>
      <c r="AM4436">
        <v>98.588950440014003</v>
      </c>
      <c r="AN4436">
        <v>1.0000000042749499</v>
      </c>
    </row>
    <row r="4437" spans="1:40" x14ac:dyDescent="0.25">
      <c r="A4437" t="str">
        <f>"20190304155503529"</f>
        <v>20190304155503529</v>
      </c>
      <c r="B4437" t="str">
        <f>"1551686103521747"</f>
        <v>1551686103521747</v>
      </c>
      <c r="C4437" t="s">
        <v>40</v>
      </c>
      <c r="D4437">
        <v>4.8571669999999996</v>
      </c>
      <c r="E4437">
        <v>0.4878285</v>
      </c>
      <c r="F4437" t="s">
        <v>91</v>
      </c>
      <c r="G4437">
        <v>-363.79450000000003</v>
      </c>
      <c r="H4437" s="1">
        <v>-3.0610239999999998E-6</v>
      </c>
      <c r="I4437">
        <v>18.899280000000001</v>
      </c>
      <c r="J4437">
        <v>-385.5231</v>
      </c>
      <c r="K4437">
        <v>1.111075</v>
      </c>
      <c r="L4437">
        <v>18.854130000000001</v>
      </c>
      <c r="M4437">
        <v>0.98536270000000004</v>
      </c>
      <c r="N4437">
        <v>-6.4077789999999997E-3</v>
      </c>
      <c r="O4437">
        <v>-0.17035059999999999</v>
      </c>
      <c r="P4437">
        <v>0.98847790000000002</v>
      </c>
      <c r="Q4437">
        <v>0.14991849999999901</v>
      </c>
      <c r="R4437">
        <v>-2.0879769999999999E-2</v>
      </c>
      <c r="S4437">
        <v>3.0583499999999999</v>
      </c>
      <c r="T4437">
        <v>-0.15477679999999999</v>
      </c>
      <c r="U4437">
        <v>1.12915E-3</v>
      </c>
      <c r="V4437">
        <v>-0.1484116</v>
      </c>
      <c r="W4437">
        <v>0.1556148</v>
      </c>
      <c r="X4437">
        <v>0.97660539999999996</v>
      </c>
      <c r="Y4437">
        <v>-0.17030780000000001</v>
      </c>
      <c r="Z4437">
        <v>1.2341690000000001E-2</v>
      </c>
      <c r="AA4437">
        <v>0.98531360000000001</v>
      </c>
      <c r="AB4437">
        <v>24</v>
      </c>
      <c r="AC4437">
        <v>21.728599999999901</v>
      </c>
      <c r="AD4437">
        <v>-1.1110780610240001</v>
      </c>
      <c r="AE4437">
        <v>4.5149999999999503E-2</v>
      </c>
      <c r="AF4437">
        <v>-3.7362767242262498</v>
      </c>
      <c r="AG4437">
        <v>-1.1110780610240001</v>
      </c>
      <c r="AH4437">
        <v>21.347482139544699</v>
      </c>
      <c r="AI4437">
        <v>92.934867690361997</v>
      </c>
      <c r="AJ4437">
        <v>99.927462577198895</v>
      </c>
      <c r="AK4437">
        <v>21.700443587997501</v>
      </c>
      <c r="AL4437">
        <v>81.047545976760603</v>
      </c>
      <c r="AM4437">
        <v>98.640943450696199</v>
      </c>
      <c r="AN4437">
        <v>1.0000000381513701</v>
      </c>
    </row>
    <row r="4438" spans="1:40" x14ac:dyDescent="0.25">
      <c r="A4438" t="str">
        <f>"20190304155503552"</f>
        <v>20190304155503552</v>
      </c>
      <c r="B4438" t="str">
        <f>"1551686103542246"</f>
        <v>1551686103542246</v>
      </c>
      <c r="C4438" t="s">
        <v>40</v>
      </c>
      <c r="D4438">
        <v>4.8661960000000004</v>
      </c>
      <c r="E4438">
        <v>0.48788930000000003</v>
      </c>
      <c r="F4438" t="s">
        <v>91</v>
      </c>
      <c r="G4438">
        <v>-363.26479999999998</v>
      </c>
      <c r="H4438" s="1">
        <v>-3.3058109999999998E-6</v>
      </c>
      <c r="I4438">
        <v>18.93075</v>
      </c>
      <c r="J4438">
        <v>-385.27379999999999</v>
      </c>
      <c r="K4438">
        <v>1.1110880000000001</v>
      </c>
      <c r="L4438">
        <v>18.81381</v>
      </c>
      <c r="M4438">
        <v>0.98578860000000001</v>
      </c>
      <c r="N4438">
        <v>-6.368299E-3</v>
      </c>
      <c r="O4438">
        <v>-0.16786999999999999</v>
      </c>
      <c r="P4438">
        <v>0.98849739999999997</v>
      </c>
      <c r="Q4438">
        <v>0.15012639999999999</v>
      </c>
      <c r="R4438">
        <v>-1.829486E-2</v>
      </c>
      <c r="S4438">
        <v>3.058319</v>
      </c>
      <c r="T4438">
        <v>-0.15266389999999999</v>
      </c>
      <c r="U4438">
        <v>1.0528559999999999E-2</v>
      </c>
      <c r="V4438">
        <v>-0.14850739999999901</v>
      </c>
      <c r="W4438">
        <v>0.15577829999999901</v>
      </c>
      <c r="X4438">
        <v>0.97656480000000001</v>
      </c>
      <c r="Y4438">
        <v>-0.17086879999999999</v>
      </c>
      <c r="Z4438">
        <v>1.2079350000000001E-2</v>
      </c>
      <c r="AA4438">
        <v>0.98521979999999998</v>
      </c>
      <c r="AB4438">
        <v>25</v>
      </c>
      <c r="AC4438">
        <v>22.009</v>
      </c>
      <c r="AD4438">
        <v>-1.1110913058109999</v>
      </c>
      <c r="AE4438">
        <v>0.116939999999999</v>
      </c>
      <c r="AF4438">
        <v>-3.8003209387279502</v>
      </c>
      <c r="AG4438">
        <v>-1.1110913058109999</v>
      </c>
      <c r="AH4438">
        <v>21.621925806258599</v>
      </c>
      <c r="AI4438">
        <v>92.897349798225804</v>
      </c>
      <c r="AJ4438">
        <v>99.968622667709298</v>
      </c>
      <c r="AK4438">
        <v>21.9814612503022</v>
      </c>
      <c r="AL4438">
        <v>81.038062731209806</v>
      </c>
      <c r="AM4438">
        <v>98.646790962667296</v>
      </c>
      <c r="AN4438">
        <v>1.0000000676023399</v>
      </c>
    </row>
    <row r="4439" spans="1:40" x14ac:dyDescent="0.25">
      <c r="A4439" t="str">
        <f>"20190304155503575"</f>
        <v>20190304155503575</v>
      </c>
      <c r="B4439" t="str">
        <f>"1551686103571524"</f>
        <v>1551686103571524</v>
      </c>
      <c r="C4439" t="s">
        <v>40</v>
      </c>
      <c r="D4439">
        <v>4.8699199999999996</v>
      </c>
      <c r="E4439">
        <v>0.4880253</v>
      </c>
      <c r="F4439" t="s">
        <v>91</v>
      </c>
      <c r="G4439">
        <v>-362.8535</v>
      </c>
      <c r="H4439" s="1">
        <v>-3.497139E-6</v>
      </c>
      <c r="I4439">
        <v>18.948270000000001</v>
      </c>
      <c r="J4439">
        <v>-385.02850000000001</v>
      </c>
      <c r="K4439">
        <v>1.1110990000000001</v>
      </c>
      <c r="L4439">
        <v>18.77478</v>
      </c>
      <c r="M4439">
        <v>0.98620129999999995</v>
      </c>
      <c r="N4439">
        <v>-6.3357450000000003E-3</v>
      </c>
      <c r="O4439">
        <v>-0.1654293</v>
      </c>
      <c r="P4439">
        <v>0.98857499999999998</v>
      </c>
      <c r="Q4439">
        <v>0.14990870000000001</v>
      </c>
      <c r="R4439">
        <v>-1.5726199999999999E-2</v>
      </c>
      <c r="S4439">
        <v>3.0582889999999998</v>
      </c>
      <c r="T4439">
        <v>-0.1515608</v>
      </c>
      <c r="U4439">
        <v>1.8341059999999999E-2</v>
      </c>
      <c r="V4439">
        <v>-0.148637299999999</v>
      </c>
      <c r="W4439">
        <v>0.15552389999999999</v>
      </c>
      <c r="X4439">
        <v>0.9765855</v>
      </c>
      <c r="Y4439">
        <v>-0.17095450000000001</v>
      </c>
      <c r="Z4439">
        <v>1.189E-2</v>
      </c>
      <c r="AA4439">
        <v>0.98520719999999995</v>
      </c>
      <c r="AB4439">
        <v>25</v>
      </c>
      <c r="AC4439">
        <v>22.175000000000001</v>
      </c>
      <c r="AD4439">
        <v>-1.111102497139</v>
      </c>
      <c r="AE4439">
        <v>0.173490000000001</v>
      </c>
      <c r="AF4439">
        <v>-3.8299528889634802</v>
      </c>
      <c r="AG4439">
        <v>-1.111102497139</v>
      </c>
      <c r="AH4439">
        <v>21.786058706985902</v>
      </c>
      <c r="AI4439">
        <v>92.875569683448404</v>
      </c>
      <c r="AJ4439">
        <v>99.970621616171698</v>
      </c>
      <c r="AK4439">
        <v>22.1480347181203</v>
      </c>
      <c r="AL4439">
        <v>81.052817871335606</v>
      </c>
      <c r="AM4439">
        <v>98.654059219358402</v>
      </c>
      <c r="AN4439">
        <v>0.99999998461637396</v>
      </c>
    </row>
    <row r="4440" spans="1:40" x14ac:dyDescent="0.25">
      <c r="A4440" t="str">
        <f>"20190304155503597"</f>
        <v>20190304155503597</v>
      </c>
      <c r="B4440" t="str">
        <f>"1551686103592020"</f>
        <v>1551686103592020</v>
      </c>
      <c r="C4440" t="s">
        <v>40</v>
      </c>
      <c r="D4440">
        <v>4.8577269999999997</v>
      </c>
      <c r="E4440">
        <v>0.48814659999999899</v>
      </c>
      <c r="F4440" t="s">
        <v>91</v>
      </c>
      <c r="G4440">
        <v>-362.62650000000002</v>
      </c>
      <c r="H4440" s="1">
        <v>-3.6026940000000001E-6</v>
      </c>
      <c r="I4440">
        <v>18.958100000000002</v>
      </c>
      <c r="J4440">
        <v>-384.7824</v>
      </c>
      <c r="K4440">
        <v>1.111102</v>
      </c>
      <c r="L4440">
        <v>18.73621</v>
      </c>
      <c r="M4440">
        <v>0.98660899999999996</v>
      </c>
      <c r="N4440">
        <v>-6.3086210000000004E-3</v>
      </c>
      <c r="O4440">
        <v>-0.16298199999999999</v>
      </c>
      <c r="P4440">
        <v>0.98866299999999996</v>
      </c>
      <c r="Q4440">
        <v>0.14957619999999999</v>
      </c>
      <c r="R4440">
        <v>-1.3148079999999999E-2</v>
      </c>
      <c r="S4440">
        <v>3.0580440000000002</v>
      </c>
      <c r="T4440">
        <v>-0.151674</v>
      </c>
      <c r="U4440">
        <v>2.502441E-2</v>
      </c>
      <c r="V4440">
        <v>-0.1487735</v>
      </c>
      <c r="W4440">
        <v>0.15515979999999999</v>
      </c>
      <c r="X4440">
        <v>0.97662269999999896</v>
      </c>
      <c r="Y4440">
        <v>-0.1706655</v>
      </c>
      <c r="Z4440">
        <v>1.1790180000000001E-2</v>
      </c>
      <c r="AA4440">
        <v>0.98525850000000004</v>
      </c>
      <c r="AB4440">
        <v>25</v>
      </c>
      <c r="AC4440">
        <v>22.1558999999999</v>
      </c>
      <c r="AD4440">
        <v>-1.111105602694</v>
      </c>
      <c r="AE4440">
        <v>0.221890000000001</v>
      </c>
      <c r="AF4440">
        <v>-3.82040009411201</v>
      </c>
      <c r="AG4440">
        <v>-1.111105602694</v>
      </c>
      <c r="AH4440">
        <v>21.7687357076449</v>
      </c>
      <c r="AI4440">
        <v>92.878008517058404</v>
      </c>
      <c r="AJ4440">
        <v>99.954006511504701</v>
      </c>
      <c r="AK4440">
        <v>22.1293440221061</v>
      </c>
      <c r="AL4440">
        <v>81.073935828605102</v>
      </c>
      <c r="AM4440">
        <v>98.661543995295801</v>
      </c>
      <c r="AN4440">
        <v>1.0000000079967799</v>
      </c>
    </row>
    <row r="4441" spans="1:40" x14ac:dyDescent="0.25">
      <c r="A4441" t="str">
        <f>"20190304155503620"</f>
        <v>20190304155503620</v>
      </c>
      <c r="B4441" t="str">
        <f>"1551686103611541"</f>
        <v>1551686103611541</v>
      </c>
      <c r="C4441" t="s">
        <v>40</v>
      </c>
      <c r="D4441">
        <v>4.883413</v>
      </c>
      <c r="E4441">
        <v>0.48823610000000001</v>
      </c>
      <c r="F4441" t="s">
        <v>91</v>
      </c>
      <c r="G4441">
        <v>-362.48250000000002</v>
      </c>
      <c r="H4441" s="1">
        <v>-3.6689059999999999E-6</v>
      </c>
      <c r="I4441">
        <v>18.968769999999999</v>
      </c>
      <c r="J4441">
        <v>-384.53489999999999</v>
      </c>
      <c r="K4441">
        <v>1.1111120000000001</v>
      </c>
      <c r="L4441">
        <v>18.698029999999999</v>
      </c>
      <c r="M4441">
        <v>0.98701229999999995</v>
      </c>
      <c r="N4441">
        <v>-6.2861840000000002E-3</v>
      </c>
      <c r="O4441">
        <v>-0.16052089999999999</v>
      </c>
      <c r="P4441">
        <v>0.98873730000000004</v>
      </c>
      <c r="Q4441">
        <v>0.1492791</v>
      </c>
      <c r="R4441">
        <v>-1.069031E-2</v>
      </c>
      <c r="S4441">
        <v>3.0578919999999998</v>
      </c>
      <c r="T4441">
        <v>-0.152361</v>
      </c>
      <c r="U4441">
        <v>3.1890870000000002E-2</v>
      </c>
      <c r="V4441">
        <v>-0.14877650000000001</v>
      </c>
      <c r="W4441">
        <v>0.1548361</v>
      </c>
      <c r="X4441">
        <v>0.97667360000000003</v>
      </c>
      <c r="Y4441">
        <v>-0.17041979999999901</v>
      </c>
      <c r="Z4441">
        <v>1.173577E-2</v>
      </c>
      <c r="AA4441">
        <v>0.98530169999999995</v>
      </c>
      <c r="AB4441">
        <v>25</v>
      </c>
      <c r="AC4441">
        <v>22.052399999999899</v>
      </c>
      <c r="AD4441">
        <v>-1.111115668906</v>
      </c>
      <c r="AE4441">
        <v>0.27074000000000298</v>
      </c>
      <c r="AF4441">
        <v>-3.7975312547248898</v>
      </c>
      <c r="AG4441">
        <v>-1.111115668906</v>
      </c>
      <c r="AH4441">
        <v>21.6679628865996</v>
      </c>
      <c r="AI4441">
        <v>92.8915144637308</v>
      </c>
      <c r="AJ4441">
        <v>99.940709574854594</v>
      </c>
      <c r="AK4441">
        <v>22.026266985473502</v>
      </c>
      <c r="AL4441">
        <v>81.092709218562106</v>
      </c>
      <c r="AM4441">
        <v>98.6612714400312</v>
      </c>
      <c r="AN4441">
        <v>0.999999992876209</v>
      </c>
    </row>
    <row r="4442" spans="1:40" x14ac:dyDescent="0.25">
      <c r="A4442" t="str">
        <f>"20190304155503642"</f>
        <v>20190304155503642</v>
      </c>
      <c r="B4442" t="str">
        <f>"1551686103632038"</f>
        <v>1551686103632038</v>
      </c>
      <c r="C4442" t="s">
        <v>40</v>
      </c>
      <c r="D4442">
        <v>4.874911</v>
      </c>
      <c r="E4442">
        <v>0.48835840000000003</v>
      </c>
      <c r="F4442" t="s">
        <v>91</v>
      </c>
      <c r="G4442">
        <v>-362.30700000000002</v>
      </c>
      <c r="H4442" s="1">
        <v>-3.7497650000000002E-6</v>
      </c>
      <c r="I4442">
        <v>18.980440000000002</v>
      </c>
      <c r="J4442">
        <v>-384.29</v>
      </c>
      <c r="K4442">
        <v>1.1111200000000001</v>
      </c>
      <c r="L4442">
        <v>18.660889999999998</v>
      </c>
      <c r="M4442">
        <v>0.98740510000000004</v>
      </c>
      <c r="N4442">
        <v>-6.2682759999999997E-3</v>
      </c>
      <c r="O4442">
        <v>-0.15808910000000001</v>
      </c>
      <c r="P4442">
        <v>0.98884380000000005</v>
      </c>
      <c r="Q4442">
        <v>0.14871039999999999</v>
      </c>
      <c r="R4442">
        <v>-8.5593149999999996E-3</v>
      </c>
      <c r="S4442">
        <v>3.0576479999999999</v>
      </c>
      <c r="T4442">
        <v>-0.15284439999999999</v>
      </c>
      <c r="U4442">
        <v>3.8848880000000002E-2</v>
      </c>
      <c r="V4442">
        <v>-0.14849129999999899</v>
      </c>
      <c r="W4442">
        <v>0.1542473</v>
      </c>
      <c r="X4442">
        <v>0.97681019999999996</v>
      </c>
      <c r="Y4442">
        <v>-0.1702352</v>
      </c>
      <c r="Z4442">
        <v>1.1666910000000001E-2</v>
      </c>
      <c r="AA4442">
        <v>0.98533440000000005</v>
      </c>
      <c r="AB4442">
        <v>25</v>
      </c>
      <c r="AC4442">
        <v>21.983000000000001</v>
      </c>
      <c r="AD4442">
        <v>-1.1111237497649999</v>
      </c>
      <c r="AE4442">
        <v>0.319549999999999</v>
      </c>
      <c r="AF4442">
        <v>-3.7812138454673399</v>
      </c>
      <c r="AG4442">
        <v>-1.1111237497649999</v>
      </c>
      <c r="AH4442">
        <v>21.600857836564799</v>
      </c>
      <c r="AI4442">
        <v>92.900606764031707</v>
      </c>
      <c r="AJ4442">
        <v>99.928983146507903</v>
      </c>
      <c r="AK4442">
        <v>21.9574414130592</v>
      </c>
      <c r="AL4442">
        <v>81.126855538479106</v>
      </c>
      <c r="AM4442">
        <v>98.643728457156499</v>
      </c>
      <c r="AN4442">
        <v>1.0000000312785</v>
      </c>
    </row>
    <row r="4443" spans="1:40" x14ac:dyDescent="0.25">
      <c r="A4443" t="str">
        <f>"20190304155503664"</f>
        <v>20190304155503664</v>
      </c>
      <c r="B4443" t="str">
        <f>"1551686103651560"</f>
        <v>1551686103651560</v>
      </c>
      <c r="C4443" t="s">
        <v>40</v>
      </c>
      <c r="D4443">
        <v>4.9237469999999997</v>
      </c>
      <c r="E4443">
        <v>0.48843039999999999</v>
      </c>
      <c r="F4443" t="s">
        <v>91</v>
      </c>
      <c r="G4443">
        <v>-362.24650000000003</v>
      </c>
      <c r="H4443" s="1">
        <v>-3.777906E-6</v>
      </c>
      <c r="I4443">
        <v>18.98301</v>
      </c>
      <c r="J4443">
        <v>-384.04930000000002</v>
      </c>
      <c r="K4443">
        <v>1.111129</v>
      </c>
      <c r="L4443">
        <v>18.625</v>
      </c>
      <c r="M4443">
        <v>0.98778460000000001</v>
      </c>
      <c r="N4443">
        <v>-6.2592979999999999E-3</v>
      </c>
      <c r="O4443">
        <v>-0.15569939999999999</v>
      </c>
      <c r="P4443">
        <v>0.98886430000000003</v>
      </c>
      <c r="Q4443">
        <v>0.14868480000000001</v>
      </c>
      <c r="R4443">
        <v>-6.3312610000000004E-3</v>
      </c>
      <c r="S4443">
        <v>3.0574340000000002</v>
      </c>
      <c r="T4443">
        <v>-0.15411269999999999</v>
      </c>
      <c r="U4443">
        <v>4.4677729999999999E-2</v>
      </c>
      <c r="V4443">
        <v>-0.14833389999999999</v>
      </c>
      <c r="W4443">
        <v>0.1542086</v>
      </c>
      <c r="X4443">
        <v>0.97684020000000005</v>
      </c>
      <c r="Y4443">
        <v>-0.16972619999999999</v>
      </c>
      <c r="Z4443">
        <v>1.1650489999999999E-2</v>
      </c>
      <c r="AA4443">
        <v>0.98542240000000003</v>
      </c>
      <c r="AB4443">
        <v>25</v>
      </c>
      <c r="AC4443">
        <v>21.802799999999898</v>
      </c>
      <c r="AD4443">
        <v>-1.1111327779060001</v>
      </c>
      <c r="AE4443">
        <v>0.35800999999999999</v>
      </c>
      <c r="AF4443">
        <v>-3.7386857222599499</v>
      </c>
      <c r="AG4443">
        <v>-1.1111327779060001</v>
      </c>
      <c r="AH4443">
        <v>21.4255184270651</v>
      </c>
      <c r="AI4443">
        <v>92.924600550298905</v>
      </c>
      <c r="AJ4443">
        <v>99.898272023211504</v>
      </c>
      <c r="AK4443">
        <v>21.7776313415503</v>
      </c>
      <c r="AL4443">
        <v>81.129099521546095</v>
      </c>
      <c r="AM4443">
        <v>98.634443134800193</v>
      </c>
      <c r="AN4443">
        <v>1.0000000072696</v>
      </c>
    </row>
    <row r="4444" spans="1:40" x14ac:dyDescent="0.25">
      <c r="A4444" t="str">
        <f>"20190304155503686"</f>
        <v>20190304155503686</v>
      </c>
      <c r="B4444" t="str">
        <f>"1551686103681813"</f>
        <v>1551686103681813</v>
      </c>
      <c r="C4444" t="s">
        <v>40</v>
      </c>
      <c r="D4444">
        <v>4.9261619999999997</v>
      </c>
      <c r="E4444">
        <v>0.48846289999999998</v>
      </c>
      <c r="F4444" t="s">
        <v>91</v>
      </c>
      <c r="G4444">
        <v>-361.9674</v>
      </c>
      <c r="H4444" s="1">
        <v>-3.9080749999999998E-6</v>
      </c>
      <c r="I4444">
        <v>18.99288</v>
      </c>
      <c r="J4444">
        <v>-383.79129999999998</v>
      </c>
      <c r="K4444">
        <v>1.1111409999999999</v>
      </c>
      <c r="L4444">
        <v>18.58719</v>
      </c>
      <c r="M4444">
        <v>0.98818499999999998</v>
      </c>
      <c r="N4444">
        <v>-6.2572299999999999E-3</v>
      </c>
      <c r="O4444">
        <v>-0.15313829999999901</v>
      </c>
      <c r="P4444">
        <v>0.9888422</v>
      </c>
      <c r="Q4444">
        <v>0.1489249</v>
      </c>
      <c r="R4444">
        <v>-3.5508359999999999E-3</v>
      </c>
      <c r="S4444">
        <v>3.0572509999999999</v>
      </c>
      <c r="T4444">
        <v>-0.153837</v>
      </c>
      <c r="U4444">
        <v>5.0933840000000001E-2</v>
      </c>
      <c r="V4444">
        <v>-0.14854879999999901</v>
      </c>
      <c r="W4444">
        <v>0.15444089999999999</v>
      </c>
      <c r="X4444">
        <v>0.97677080000000005</v>
      </c>
      <c r="Y4444">
        <v>-0.16919319999999999</v>
      </c>
      <c r="Z4444">
        <v>1.1503309999999999E-2</v>
      </c>
      <c r="AA4444">
        <v>0.98551580000000005</v>
      </c>
      <c r="AB4444">
        <v>25</v>
      </c>
      <c r="AC4444">
        <v>21.823899999999899</v>
      </c>
      <c r="AD4444">
        <v>-1.111144908075</v>
      </c>
      <c r="AE4444">
        <v>0.405689999999999</v>
      </c>
      <c r="AF4444">
        <v>-3.7333703516807102</v>
      </c>
      <c r="AG4444">
        <v>-1.111144908075</v>
      </c>
      <c r="AH4444">
        <v>21.448762680454902</v>
      </c>
      <c r="AI4444">
        <v>92.921683995072399</v>
      </c>
      <c r="AJ4444">
        <v>99.873976216491698</v>
      </c>
      <c r="AK4444">
        <v>21.7995898519221</v>
      </c>
      <c r="AL4444">
        <v>81.115627965775701</v>
      </c>
      <c r="AM4444">
        <v>98.647368491050599</v>
      </c>
      <c r="AN4444">
        <v>0.99999996665344404</v>
      </c>
    </row>
    <row r="4445" spans="1:40" x14ac:dyDescent="0.25">
      <c r="A4445" t="str">
        <f>"20190304155503709"</f>
        <v>20190304155503709</v>
      </c>
      <c r="B4445" t="str">
        <f>"1551686103702309"</f>
        <v>1551686103702309</v>
      </c>
      <c r="C4445" t="s">
        <v>40</v>
      </c>
      <c r="D4445">
        <v>4.6365930000000004</v>
      </c>
      <c r="E4445">
        <v>0.49263499999999999</v>
      </c>
      <c r="F4445" t="s">
        <v>91</v>
      </c>
      <c r="G4445">
        <v>-361.60599999999999</v>
      </c>
      <c r="H4445" s="1">
        <v>-4.074494E-6</v>
      </c>
      <c r="I4445">
        <v>19.01793</v>
      </c>
      <c r="J4445">
        <v>-383.5444</v>
      </c>
      <c r="K4445">
        <v>1.1111530000000001</v>
      </c>
      <c r="L4445">
        <v>18.551670000000001</v>
      </c>
      <c r="M4445">
        <v>0.98856129999999998</v>
      </c>
      <c r="N4445">
        <v>-6.2601480000000001E-3</v>
      </c>
      <c r="O4445">
        <v>-0.15068999999999999</v>
      </c>
      <c r="P4445">
        <v>0.98892029999999997</v>
      </c>
      <c r="Q4445">
        <v>0.1484405</v>
      </c>
      <c r="R4445">
        <v>-1.4897090000000001E-3</v>
      </c>
      <c r="S4445">
        <v>3.0571290000000002</v>
      </c>
      <c r="T4445">
        <v>-0.15311559999999999</v>
      </c>
      <c r="U4445">
        <v>5.9356689999999997E-2</v>
      </c>
      <c r="V4445">
        <v>-0.14817910000000001</v>
      </c>
      <c r="W4445">
        <v>0.1539566</v>
      </c>
      <c r="X4445">
        <v>0.97690339999999998</v>
      </c>
      <c r="Y4445">
        <v>-0.1694725</v>
      </c>
      <c r="Z4445">
        <v>1.1349649999999999E-2</v>
      </c>
      <c r="AA4445">
        <v>0.98546959999999995</v>
      </c>
      <c r="AB4445">
        <v>25</v>
      </c>
      <c r="AC4445">
        <v>21.938400000000001</v>
      </c>
      <c r="AD4445">
        <v>-1.111157074494</v>
      </c>
      <c r="AE4445">
        <v>0.46625999999999801</v>
      </c>
      <c r="AF4445">
        <v>-3.7572634742407498</v>
      </c>
      <c r="AG4445">
        <v>-1.111157074494</v>
      </c>
      <c r="AH4445">
        <v>21.562325694279501</v>
      </c>
      <c r="AI4445">
        <v>92.9062606360758</v>
      </c>
      <c r="AJ4445">
        <v>99.884618058121006</v>
      </c>
      <c r="AK4445">
        <v>21.915418960294701</v>
      </c>
      <c r="AL4445">
        <v>81.143712204679403</v>
      </c>
      <c r="AM4445">
        <v>98.625018270090493</v>
      </c>
      <c r="AN4445">
        <v>0.99999996664596402</v>
      </c>
    </row>
    <row r="4446" spans="1:40" x14ac:dyDescent="0.25">
      <c r="A4446" t="str">
        <f>"20190304155503764"</f>
        <v>20190304155503764</v>
      </c>
      <c r="B4446" t="str">
        <f>"1551686103762197"</f>
        <v>1551686103762197</v>
      </c>
      <c r="C4446" t="s">
        <v>40</v>
      </c>
      <c r="D4446">
        <v>4.7694769999999904</v>
      </c>
      <c r="E4446">
        <v>0.50289680000000003</v>
      </c>
      <c r="F4446" t="s">
        <v>88</v>
      </c>
      <c r="G4446">
        <v>-375.88650000000001</v>
      </c>
      <c r="H4446" s="1">
        <v>-2.104249E-6</v>
      </c>
      <c r="I4446">
        <v>18.605619999999998</v>
      </c>
      <c r="J4446">
        <v>-382.92579999999998</v>
      </c>
      <c r="K4446">
        <v>1.111191</v>
      </c>
      <c r="L4446">
        <v>18.46518</v>
      </c>
      <c r="M4446">
        <v>0.98947629999999998</v>
      </c>
      <c r="N4446">
        <v>-6.2909029999999996E-3</v>
      </c>
      <c r="O4446">
        <v>-0.14455879999999999</v>
      </c>
      <c r="P4446">
        <v>0.98868199999999995</v>
      </c>
      <c r="Q4446">
        <v>0.14998049999999999</v>
      </c>
      <c r="R4446">
        <v>3.7552330000000002E-3</v>
      </c>
      <c r="S4446">
        <v>3.1011959999999998</v>
      </c>
      <c r="T4446">
        <v>-0.4499804</v>
      </c>
      <c r="U4446">
        <v>2.185059E-2</v>
      </c>
      <c r="V4446">
        <v>-0.14728920000000001</v>
      </c>
      <c r="W4446">
        <v>0.15551779999999901</v>
      </c>
      <c r="X4446">
        <v>0.97679070000000001</v>
      </c>
      <c r="Y4446">
        <v>-0.14852850000000001</v>
      </c>
      <c r="Z4446">
        <v>3.1095089999999999E-2</v>
      </c>
      <c r="AA4446">
        <v>0.98841909999999999</v>
      </c>
      <c r="AB4446">
        <v>25</v>
      </c>
      <c r="AC4446">
        <v>7.0392999999999599</v>
      </c>
      <c r="AD4446">
        <v>-1.111193104249</v>
      </c>
      <c r="AE4446">
        <v>0.14044000000000101</v>
      </c>
      <c r="AF4446">
        <v>-1.12846914451602</v>
      </c>
      <c r="AG4446">
        <v>-1.111193104249</v>
      </c>
      <c r="AH4446">
        <v>6.7762689310148803</v>
      </c>
      <c r="AI4446">
        <v>99.188315408872299</v>
      </c>
      <c r="AJ4446">
        <v>99.454843764928199</v>
      </c>
      <c r="AK4446">
        <v>6.9588801793458703</v>
      </c>
      <c r="AL4446">
        <v>81.053171666672</v>
      </c>
      <c r="AM4446">
        <v>98.574966767358703</v>
      </c>
      <c r="AN4446">
        <v>0.99999998307998395</v>
      </c>
    </row>
    <row r="4447" spans="1:40" x14ac:dyDescent="0.25">
      <c r="A4447" t="str">
        <f>"20190304155503786"</f>
        <v>20190304155503786</v>
      </c>
      <c r="B4447" t="str">
        <f>"1551686103781717"</f>
        <v>1551686103781717</v>
      </c>
      <c r="C4447" t="s">
        <v>40</v>
      </c>
      <c r="D4447">
        <v>4.7604649999999999</v>
      </c>
      <c r="E4447">
        <v>0.51240090000000005</v>
      </c>
      <c r="F4447" t="s">
        <v>88</v>
      </c>
      <c r="G4447">
        <v>-375.52530000000002</v>
      </c>
      <c r="H4447" s="1">
        <v>-2.3185560000000002E-6</v>
      </c>
      <c r="I4447">
        <v>18.359940000000002</v>
      </c>
      <c r="J4447">
        <v>-382.6687</v>
      </c>
      <c r="K4447">
        <v>1.1112089999999999</v>
      </c>
      <c r="L4447">
        <v>18.43045</v>
      </c>
      <c r="M4447">
        <v>0.98984470000000002</v>
      </c>
      <c r="N4447">
        <v>-6.3122689999999997E-3</v>
      </c>
      <c r="O4447">
        <v>-0.14201320000000001</v>
      </c>
      <c r="P4447">
        <v>0.9886431</v>
      </c>
      <c r="Q4447">
        <v>0.1501593</v>
      </c>
      <c r="R4447">
        <v>6.1174940000000002E-3</v>
      </c>
      <c r="S4447">
        <v>3.1052550000000001</v>
      </c>
      <c r="T4447">
        <v>-0.46626040000000002</v>
      </c>
      <c r="U4447">
        <v>-4.4158940000000001E-2</v>
      </c>
      <c r="V4447">
        <v>-0.147112299999999</v>
      </c>
      <c r="W4447">
        <v>0.15571370000000001</v>
      </c>
      <c r="X4447">
        <v>0.97678620000000005</v>
      </c>
      <c r="Y4447">
        <v>-0.12501519999999999</v>
      </c>
      <c r="Z4447">
        <v>2.9979680000000002E-2</v>
      </c>
      <c r="AA4447">
        <v>0.99170179999999997</v>
      </c>
      <c r="AB4447">
        <v>26</v>
      </c>
      <c r="AC4447">
        <v>7.1433999999999802</v>
      </c>
      <c r="AD4447">
        <v>-1.111211318556</v>
      </c>
      <c r="AE4447">
        <v>-7.0510000000002293E-2</v>
      </c>
      <c r="AF4447">
        <v>-0.92236450271591097</v>
      </c>
      <c r="AG4447">
        <v>-1.111211318556</v>
      </c>
      <c r="AH4447">
        <v>6.91372704267941</v>
      </c>
      <c r="AI4447">
        <v>99.051940922907306</v>
      </c>
      <c r="AJ4447">
        <v>97.598993291955097</v>
      </c>
      <c r="AK4447">
        <v>7.0629433305834901</v>
      </c>
      <c r="AL4447">
        <v>81.041809448897197</v>
      </c>
      <c r="AM4447">
        <v>98.564859602673195</v>
      </c>
      <c r="AN4447">
        <v>1.0000000328447001</v>
      </c>
    </row>
    <row r="4448" spans="1:40" x14ac:dyDescent="0.25">
      <c r="A4448" t="str">
        <f>"20190304155503808"</f>
        <v>20190304155503808</v>
      </c>
      <c r="B4448" t="str">
        <f>"1551686103802213"</f>
        <v>1551686103802213</v>
      </c>
      <c r="C4448" t="s">
        <v>40</v>
      </c>
      <c r="D4448">
        <v>5.3260969999999999</v>
      </c>
      <c r="E4448">
        <v>0.51410959999999895</v>
      </c>
      <c r="F4448" t="s">
        <v>88</v>
      </c>
      <c r="G4448">
        <v>-373.13330000000002</v>
      </c>
      <c r="H4448" s="1">
        <v>-3.4964990000000001E-6</v>
      </c>
      <c r="I4448">
        <v>18.093669999999999</v>
      </c>
      <c r="J4448">
        <v>-382.42180000000002</v>
      </c>
      <c r="K4448">
        <v>1.1112249999999999</v>
      </c>
      <c r="L4448">
        <v>18.39771</v>
      </c>
      <c r="M4448">
        <v>0.99019190000000001</v>
      </c>
      <c r="N4448">
        <v>-6.3377669999999898E-3</v>
      </c>
      <c r="O4448">
        <v>-0.1395701</v>
      </c>
      <c r="P4448">
        <v>0.98858590000000002</v>
      </c>
      <c r="Q4448">
        <v>0.150427799999999</v>
      </c>
      <c r="R4448">
        <v>8.3484790000000007E-3</v>
      </c>
      <c r="S4448">
        <v>3.0898439999999998</v>
      </c>
      <c r="T4448">
        <v>-0.3600777</v>
      </c>
      <c r="U4448">
        <v>-0.1091309</v>
      </c>
      <c r="V4448">
        <v>-0.14690610000000001</v>
      </c>
      <c r="W4448">
        <v>0.156003</v>
      </c>
      <c r="X4448">
        <v>0.9767711</v>
      </c>
      <c r="Y4448">
        <v>-0.1029635</v>
      </c>
      <c r="Z4448">
        <v>2.157591E-2</v>
      </c>
      <c r="AA4448">
        <v>0.99445110000000003</v>
      </c>
      <c r="AB4448">
        <v>26</v>
      </c>
      <c r="AC4448">
        <v>9.2885000000000009</v>
      </c>
      <c r="AD4448">
        <v>-1.111228496499</v>
      </c>
      <c r="AE4448">
        <v>-0.30403999999999998</v>
      </c>
      <c r="AF4448">
        <v>-0.981328693171303</v>
      </c>
      <c r="AG4448">
        <v>-1.111228496499</v>
      </c>
      <c r="AH4448">
        <v>9.1097739182906494</v>
      </c>
      <c r="AI4448">
        <v>96.915080107922293</v>
      </c>
      <c r="AJ4448">
        <v>96.148342379906495</v>
      </c>
      <c r="AK4448">
        <v>9.2296162226736893</v>
      </c>
      <c r="AL4448">
        <v>81.025028955776904</v>
      </c>
      <c r="AM4448">
        <v>98.553162605762907</v>
      </c>
      <c r="AN4448">
        <v>1.0000000600107</v>
      </c>
    </row>
    <row r="4449" spans="1:40" x14ac:dyDescent="0.25">
      <c r="A4449" t="str">
        <f>"20190304155503831"</f>
        <v>20190304155503831</v>
      </c>
      <c r="B4449" t="str">
        <f>"1551686103821736"</f>
        <v>1551686103821736</v>
      </c>
      <c r="C4449" t="s">
        <v>40</v>
      </c>
      <c r="D4449">
        <v>4.8627760000000002</v>
      </c>
      <c r="E4449">
        <v>0.51557909999999996</v>
      </c>
      <c r="F4449" t="s">
        <v>88</v>
      </c>
      <c r="G4449">
        <v>-372.22969999999998</v>
      </c>
      <c r="H4449" s="1">
        <v>-3.9370240000000004E-6</v>
      </c>
      <c r="I4449">
        <v>18.018129999999999</v>
      </c>
      <c r="J4449">
        <v>-382.15129999999999</v>
      </c>
      <c r="K4449">
        <v>1.1112409999999999</v>
      </c>
      <c r="L4449">
        <v>18.36252</v>
      </c>
      <c r="M4449">
        <v>0.99056540000000004</v>
      </c>
      <c r="N4449">
        <v>-6.3714870000000003E-3</v>
      </c>
      <c r="O4449">
        <v>-0.13689319999999999</v>
      </c>
      <c r="P4449">
        <v>0.98848349999999996</v>
      </c>
      <c r="Q4449">
        <v>0.15093090000000001</v>
      </c>
      <c r="R4449">
        <v>1.0969090000000001E-2</v>
      </c>
      <c r="S4449">
        <v>3.0868229999999999</v>
      </c>
      <c r="T4449">
        <v>-0.33655119999999999</v>
      </c>
      <c r="U4449">
        <v>-0.1149597</v>
      </c>
      <c r="V4449">
        <v>-0.1468526</v>
      </c>
      <c r="W4449">
        <v>0.1565337</v>
      </c>
      <c r="X4449">
        <v>0.97669419999999996</v>
      </c>
      <c r="Y4449">
        <v>-9.8604890000000001E-2</v>
      </c>
      <c r="Z4449">
        <v>1.9632070000000001E-2</v>
      </c>
      <c r="AA4449">
        <v>0.99493299999999996</v>
      </c>
      <c r="AB4449">
        <v>26</v>
      </c>
      <c r="AC4449">
        <v>9.9216000000000104</v>
      </c>
      <c r="AD4449">
        <v>-1.1112449370239901</v>
      </c>
      <c r="AE4449">
        <v>-0.34438999999999997</v>
      </c>
      <c r="AF4449">
        <v>-1.00449353419674</v>
      </c>
      <c r="AG4449">
        <v>-1.1112449370239901</v>
      </c>
      <c r="AH4449">
        <v>9.7531362319357893</v>
      </c>
      <c r="AI4449">
        <v>96.466177488972207</v>
      </c>
      <c r="AJ4449">
        <v>95.880265471021303</v>
      </c>
      <c r="AK4449">
        <v>9.8674991223208703</v>
      </c>
      <c r="AL4449">
        <v>80.9942435436773</v>
      </c>
      <c r="AM4449">
        <v>98.550757016643303</v>
      </c>
      <c r="AN4449">
        <v>1.0000000228380399</v>
      </c>
    </row>
    <row r="4450" spans="1:40" x14ac:dyDescent="0.25">
      <c r="A4450" t="str">
        <f>"20190304155503853"</f>
        <v>20190304155503853</v>
      </c>
      <c r="B4450" t="str">
        <f>"1551686103842229"</f>
        <v>1551686103842229</v>
      </c>
      <c r="C4450" t="s">
        <v>40</v>
      </c>
      <c r="D4450">
        <v>4.9873180000000001</v>
      </c>
      <c r="E4450">
        <v>0.51494629999999997</v>
      </c>
      <c r="F4450" t="s">
        <v>88</v>
      </c>
      <c r="G4450">
        <v>-370.00740000000002</v>
      </c>
      <c r="H4450" s="1">
        <v>-5.008247E-6</v>
      </c>
      <c r="I4450">
        <v>17.901319999999998</v>
      </c>
      <c r="J4450">
        <v>-381.90019999999998</v>
      </c>
      <c r="K4450">
        <v>1.1112489999999999</v>
      </c>
      <c r="L4450">
        <v>18.330539999999999</v>
      </c>
      <c r="M4450">
        <v>0.99090529999999999</v>
      </c>
      <c r="N4450">
        <v>-6.4072349999999998E-3</v>
      </c>
      <c r="O4450">
        <v>-0.13440940000000001</v>
      </c>
      <c r="P4450">
        <v>0.98846089999999998</v>
      </c>
      <c r="Q4450">
        <v>0.15090990000000001</v>
      </c>
      <c r="R4450">
        <v>1.309077E-2</v>
      </c>
      <c r="S4450">
        <v>3.0792540000000002</v>
      </c>
      <c r="T4450">
        <v>-0.28177170000000001</v>
      </c>
      <c r="U4450">
        <v>-0.1169434</v>
      </c>
      <c r="V4450">
        <v>-0.14650539999999901</v>
      </c>
      <c r="W4450">
        <v>0.15654499999999999</v>
      </c>
      <c r="X4450">
        <v>0.97674450000000002</v>
      </c>
      <c r="Y4450">
        <v>-9.5800389999999999E-2</v>
      </c>
      <c r="Z4450">
        <v>1.6051920000000001E-2</v>
      </c>
      <c r="AA4450">
        <v>0.99527109999999996</v>
      </c>
      <c r="AB4450">
        <v>26</v>
      </c>
      <c r="AC4450">
        <v>11.8927999999999</v>
      </c>
      <c r="AD4450">
        <v>-1.1112540082469999</v>
      </c>
      <c r="AE4450">
        <v>-0.42921999999999699</v>
      </c>
      <c r="AF4450">
        <v>-1.16307024580692</v>
      </c>
      <c r="AG4450">
        <v>-1.1112540082469999</v>
      </c>
      <c r="AH4450">
        <v>11.740202284173501</v>
      </c>
      <c r="AI4450">
        <v>95.380964772798905</v>
      </c>
      <c r="AJ4450">
        <v>95.657678102002293</v>
      </c>
      <c r="AK4450">
        <v>11.8498931447013</v>
      </c>
      <c r="AL4450">
        <v>80.993587755903107</v>
      </c>
      <c r="AM4450">
        <v>98.530405618253894</v>
      </c>
      <c r="AN4450">
        <v>0.99999999376720505</v>
      </c>
    </row>
    <row r="4451" spans="1:40" x14ac:dyDescent="0.25">
      <c r="A4451" t="str">
        <f>"20190304155503875"</f>
        <v>20190304155503875</v>
      </c>
      <c r="B4451" t="str">
        <f>"1551686103871508"</f>
        <v>1551686103871508</v>
      </c>
      <c r="C4451" t="s">
        <v>40</v>
      </c>
      <c r="D4451">
        <v>4.9967100000000002</v>
      </c>
      <c r="E4451">
        <v>0.5141751</v>
      </c>
      <c r="F4451" t="s">
        <v>91</v>
      </c>
      <c r="G4451">
        <v>-368.58210000000003</v>
      </c>
      <c r="H4451" s="1">
        <v>-1.007828E-6</v>
      </c>
      <c r="I4451">
        <v>17.8766</v>
      </c>
      <c r="J4451">
        <v>-381.65199999999999</v>
      </c>
      <c r="K4451">
        <v>1.1112649999999999</v>
      </c>
      <c r="L4451">
        <v>18.299499999999998</v>
      </c>
      <c r="M4451">
        <v>0.99123479999999997</v>
      </c>
      <c r="N4451">
        <v>-6.4463150000000002E-3</v>
      </c>
      <c r="O4451">
        <v>-0.131955399999999</v>
      </c>
      <c r="P4451">
        <v>0.98848259999999999</v>
      </c>
      <c r="Q4451">
        <v>0.1505087</v>
      </c>
      <c r="R4451">
        <v>1.5797329999999998E-2</v>
      </c>
      <c r="S4451">
        <v>3.0755919999999999</v>
      </c>
      <c r="T4451">
        <v>-0.25662489999999999</v>
      </c>
      <c r="U4451">
        <v>-0.1048279</v>
      </c>
      <c r="V4451">
        <v>-0.1467725</v>
      </c>
      <c r="W4451">
        <v>0.1561767</v>
      </c>
      <c r="X4451">
        <v>0.97676339999999995</v>
      </c>
      <c r="Y4451">
        <v>-9.7364259999999994E-2</v>
      </c>
      <c r="Z4451">
        <v>1.4474559999999999E-2</v>
      </c>
      <c r="AA4451">
        <v>0.99514349999999996</v>
      </c>
      <c r="AB4451">
        <v>26</v>
      </c>
      <c r="AC4451">
        <v>13.069899999999899</v>
      </c>
      <c r="AD4451">
        <v>-1.1112660078279999</v>
      </c>
      <c r="AE4451">
        <v>-0.422899999999998</v>
      </c>
      <c r="AF4451">
        <v>-1.29611755128483</v>
      </c>
      <c r="AG4451">
        <v>-1.1112660078279999</v>
      </c>
      <c r="AH4451">
        <v>12.9181223276978</v>
      </c>
      <c r="AI4451">
        <v>94.892253854583501</v>
      </c>
      <c r="AJ4451">
        <v>95.7294988394287</v>
      </c>
      <c r="AK4451">
        <v>13.0304534579678</v>
      </c>
      <c r="AL4451">
        <v>81.014952943447696</v>
      </c>
      <c r="AM4451">
        <v>98.545565414267102</v>
      </c>
      <c r="AN4451">
        <v>1.00000003397934</v>
      </c>
    </row>
    <row r="4452" spans="1:40" x14ac:dyDescent="0.25">
      <c r="A4452" t="str">
        <f>"20190304155503898"</f>
        <v>20190304155503898</v>
      </c>
      <c r="B4452" t="str">
        <f>"1551686103892005"</f>
        <v>1551686103892005</v>
      </c>
      <c r="C4452" t="s">
        <v>40</v>
      </c>
      <c r="D4452">
        <v>4.9479170000000003</v>
      </c>
      <c r="E4452">
        <v>0.51425140000000003</v>
      </c>
      <c r="F4452" t="s">
        <v>91</v>
      </c>
      <c r="G4452">
        <v>-366.86680000000001</v>
      </c>
      <c r="H4452" s="1">
        <v>-1.7916130000000001E-6</v>
      </c>
      <c r="I4452">
        <v>17.868189999999998</v>
      </c>
      <c r="J4452">
        <v>-381.37729999999999</v>
      </c>
      <c r="K4452">
        <v>1.1112789999999999</v>
      </c>
      <c r="L4452">
        <v>18.265899999999998</v>
      </c>
      <c r="M4452">
        <v>0.99159200000000003</v>
      </c>
      <c r="N4452">
        <v>-6.4936380000000004E-3</v>
      </c>
      <c r="O4452">
        <v>-0.12924059999999901</v>
      </c>
      <c r="P4452">
        <v>0.98839270000000001</v>
      </c>
      <c r="Q4452">
        <v>0.1508177</v>
      </c>
      <c r="R4452">
        <v>1.8274329999999998E-2</v>
      </c>
      <c r="S4452">
        <v>3.071472</v>
      </c>
      <c r="T4452">
        <v>-0.2308539</v>
      </c>
      <c r="U4452">
        <v>-8.9599609999999996E-2</v>
      </c>
      <c r="V4452">
        <v>-0.146545799999999</v>
      </c>
      <c r="W4452">
        <v>0.1565281</v>
      </c>
      <c r="X4452">
        <v>0.97674110000000003</v>
      </c>
      <c r="Y4452">
        <v>-9.9666740000000004E-2</v>
      </c>
      <c r="Z4452">
        <v>1.289652E-2</v>
      </c>
      <c r="AA4452">
        <v>0.99493730000000002</v>
      </c>
      <c r="AB4452">
        <v>26</v>
      </c>
      <c r="AC4452">
        <v>14.510499999999899</v>
      </c>
      <c r="AD4452">
        <v>-1.1112807916130001</v>
      </c>
      <c r="AE4452">
        <v>-0.39771000000000001</v>
      </c>
      <c r="AF4452">
        <v>-1.4723815710013599</v>
      </c>
      <c r="AG4452">
        <v>-1.1112807916130001</v>
      </c>
      <c r="AH4452">
        <v>14.356062512206901</v>
      </c>
      <c r="AI4452">
        <v>94.403344523286705</v>
      </c>
      <c r="AJ4452">
        <v>95.855874969953703</v>
      </c>
      <c r="AK4452">
        <v>14.4740935240458</v>
      </c>
      <c r="AL4452">
        <v>80.994567716015595</v>
      </c>
      <c r="AM4452">
        <v>98.532752586699701</v>
      </c>
      <c r="AN4452">
        <v>0.99999994700822803</v>
      </c>
    </row>
    <row r="4453" spans="1:40" x14ac:dyDescent="0.25">
      <c r="A4453" t="str">
        <f>"20190304155503922"</f>
        <v>20190304155503922</v>
      </c>
      <c r="B4453" t="str">
        <f>"1551686103912501"</f>
        <v>1551686103912501</v>
      </c>
      <c r="C4453" t="s">
        <v>40</v>
      </c>
      <c r="D4453">
        <v>4.955095</v>
      </c>
      <c r="E4453">
        <v>0.51440269999999999</v>
      </c>
      <c r="F4453" t="s">
        <v>91</v>
      </c>
      <c r="G4453">
        <v>-366.05130000000003</v>
      </c>
      <c r="H4453" s="1">
        <v>-2.1797530000000001E-6</v>
      </c>
      <c r="I4453">
        <v>17.85314</v>
      </c>
      <c r="J4453">
        <v>-381.11200000000002</v>
      </c>
      <c r="K4453">
        <v>1.1112899999999999</v>
      </c>
      <c r="L4453">
        <v>18.23413</v>
      </c>
      <c r="M4453">
        <v>0.99192970000000003</v>
      </c>
      <c r="N4453">
        <v>-6.5466700000000001E-3</v>
      </c>
      <c r="O4453">
        <v>-0.12662010000000001</v>
      </c>
      <c r="P4453">
        <v>0.98834270000000002</v>
      </c>
      <c r="Q4453">
        <v>0.15087010000000001</v>
      </c>
      <c r="R4453">
        <v>2.0414939999999999E-2</v>
      </c>
      <c r="S4453">
        <v>3.07077</v>
      </c>
      <c r="T4453">
        <v>-0.22266140000000001</v>
      </c>
      <c r="U4453">
        <v>-8.2702639999999994E-2</v>
      </c>
      <c r="V4453">
        <v>-0.14608470000000001</v>
      </c>
      <c r="W4453">
        <v>0.1566303</v>
      </c>
      <c r="X4453">
        <v>0.97679380000000005</v>
      </c>
      <c r="Y4453">
        <v>-9.9314070000000004E-2</v>
      </c>
      <c r="Z4453">
        <v>1.223612E-2</v>
      </c>
      <c r="AA4453">
        <v>0.99498089999999995</v>
      </c>
      <c r="AB4453">
        <v>26</v>
      </c>
      <c r="AC4453">
        <v>15.060699999999899</v>
      </c>
      <c r="AD4453">
        <v>-1.111292179753</v>
      </c>
      <c r="AE4453">
        <v>-0.38099</v>
      </c>
      <c r="AF4453">
        <v>-1.52082976407656</v>
      </c>
      <c r="AG4453">
        <v>-1.111292179753</v>
      </c>
      <c r="AH4453">
        <v>14.9066088594394</v>
      </c>
      <c r="AI4453">
        <v>94.241593781155501</v>
      </c>
      <c r="AJ4453">
        <v>95.8253804706804</v>
      </c>
      <c r="AK4453">
        <v>15.025141635552</v>
      </c>
      <c r="AL4453">
        <v>80.988639067944902</v>
      </c>
      <c r="AM4453">
        <v>98.505845810133806</v>
      </c>
      <c r="AN4453">
        <v>0.99999995908530903</v>
      </c>
    </row>
    <row r="4454" spans="1:40" x14ac:dyDescent="0.25">
      <c r="A4454" t="str">
        <f>"20190304155503944"</f>
        <v>20190304155503944</v>
      </c>
      <c r="B4454" t="str">
        <f>"1551686103932024"</f>
        <v>1551686103932024</v>
      </c>
      <c r="C4454" t="s">
        <v>40</v>
      </c>
      <c r="D4454">
        <v>4.9702479999999998</v>
      </c>
      <c r="E4454">
        <v>0.51444279999999998</v>
      </c>
      <c r="F4454" t="s">
        <v>91</v>
      </c>
      <c r="G4454">
        <v>-365.02760000000001</v>
      </c>
      <c r="H4454" s="1">
        <v>-2.6674300000000001E-6</v>
      </c>
      <c r="I4454">
        <v>17.832079999999898</v>
      </c>
      <c r="J4454">
        <v>-380.8519</v>
      </c>
      <c r="K4454">
        <v>1.1113170000000001</v>
      </c>
      <c r="L4454">
        <v>18.203700000000001</v>
      </c>
      <c r="M4454">
        <v>0.99225370000000002</v>
      </c>
      <c r="N4454">
        <v>-6.6074100000000002E-3</v>
      </c>
      <c r="O4454">
        <v>-0.12405289999999999</v>
      </c>
      <c r="P4454">
        <v>0.98836489999999999</v>
      </c>
      <c r="Q4454">
        <v>0.15056849999999999</v>
      </c>
      <c r="R4454">
        <v>2.154737E-2</v>
      </c>
      <c r="S4454">
        <v>3.0693359999999998</v>
      </c>
      <c r="T4454">
        <v>-0.21206449999999999</v>
      </c>
      <c r="U4454">
        <v>-7.6721189999999995E-2</v>
      </c>
      <c r="V4454">
        <v>-0.1446839</v>
      </c>
      <c r="W4454">
        <v>0.15639149999999999</v>
      </c>
      <c r="X4454">
        <v>0.97704060000000004</v>
      </c>
      <c r="Y4454">
        <v>-9.8723779999999997E-2</v>
      </c>
      <c r="Z4454">
        <v>1.145147E-2</v>
      </c>
      <c r="AA4454">
        <v>0.99504899999999996</v>
      </c>
      <c r="AB4454">
        <v>26</v>
      </c>
      <c r="AC4454">
        <v>15.8242999999999</v>
      </c>
      <c r="AD4454">
        <v>-1.1113196674299901</v>
      </c>
      <c r="AE4454">
        <v>-0.371620000000003</v>
      </c>
      <c r="AF4454">
        <v>-1.5865231156136399</v>
      </c>
      <c r="AG4454">
        <v>-1.1113196674299901</v>
      </c>
      <c r="AH4454">
        <v>15.6709156691764</v>
      </c>
      <c r="AI4454">
        <v>94.035838984624505</v>
      </c>
      <c r="AJ4454">
        <v>95.780926400657194</v>
      </c>
      <c r="AK4454">
        <v>15.790176848599</v>
      </c>
      <c r="AL4454">
        <v>81.002492692950199</v>
      </c>
      <c r="AM4454">
        <v>98.423362163883695</v>
      </c>
      <c r="AN4454">
        <v>1.0000000331198999</v>
      </c>
    </row>
    <row r="4455" spans="1:40" x14ac:dyDescent="0.25">
      <c r="A4455" t="str">
        <f>"20190304155503965"</f>
        <v>20190304155503965</v>
      </c>
      <c r="B4455" t="str">
        <f>"1551686103962276"</f>
        <v>1551686103962276</v>
      </c>
      <c r="C4455" t="s">
        <v>40</v>
      </c>
      <c r="D4455">
        <v>5.1444710000000002</v>
      </c>
      <c r="E4455">
        <v>0.51498219999999995</v>
      </c>
      <c r="F4455" t="s">
        <v>91</v>
      </c>
      <c r="G4455">
        <v>-364.1277</v>
      </c>
      <c r="H4455" s="1">
        <v>-3.0969520000000001E-6</v>
      </c>
      <c r="I4455">
        <v>17.808769999999999</v>
      </c>
      <c r="J4455">
        <v>-380.60059999999999</v>
      </c>
      <c r="K4455">
        <v>1.111337</v>
      </c>
      <c r="L4455">
        <v>18.17502</v>
      </c>
      <c r="M4455">
        <v>0.99256029999999995</v>
      </c>
      <c r="N4455">
        <v>-6.6674730000000001E-3</v>
      </c>
      <c r="O4455">
        <v>-0.1215725</v>
      </c>
      <c r="P4455">
        <v>0.98826720000000001</v>
      </c>
      <c r="Q4455">
        <v>0.15104129999999999</v>
      </c>
      <c r="R4455">
        <v>2.2679709999999999E-2</v>
      </c>
      <c r="S4455">
        <v>3.067993</v>
      </c>
      <c r="T4455">
        <v>-0.2038673</v>
      </c>
      <c r="U4455">
        <v>-7.2448730000000003E-2</v>
      </c>
      <c r="V4455">
        <v>-0.1433576</v>
      </c>
      <c r="W4455">
        <v>0.1569256</v>
      </c>
      <c r="X4455">
        <v>0.97715039999999997</v>
      </c>
      <c r="Y4455">
        <v>-9.7656270000000003E-2</v>
      </c>
      <c r="Z4455">
        <v>1.080564E-2</v>
      </c>
      <c r="AA4455">
        <v>0.99516150000000003</v>
      </c>
      <c r="AB4455">
        <v>26</v>
      </c>
      <c r="AC4455">
        <v>16.4728999999999</v>
      </c>
      <c r="AD4455">
        <v>-1.111340096952</v>
      </c>
      <c r="AE4455">
        <v>-0.36624999999999702</v>
      </c>
      <c r="AF4455">
        <v>-1.63173945272022</v>
      </c>
      <c r="AG4455">
        <v>-1.111340096952</v>
      </c>
      <c r="AH4455">
        <v>16.3209865063635</v>
      </c>
      <c r="AI4455">
        <v>93.876146760565405</v>
      </c>
      <c r="AJ4455">
        <v>95.709344634449593</v>
      </c>
      <c r="AK4455">
        <v>16.439958971772299</v>
      </c>
      <c r="AL4455">
        <v>80.971507919023793</v>
      </c>
      <c r="AM4455">
        <v>98.346314342966295</v>
      </c>
      <c r="AN4455">
        <v>0.99999997481663905</v>
      </c>
    </row>
    <row r="4456" spans="1:40" x14ac:dyDescent="0.25">
      <c r="A4456" t="str">
        <f>"20190304155503986"</f>
        <v>20190304155503986</v>
      </c>
      <c r="B4456" t="str">
        <f>"1551686103981797"</f>
        <v>1551686103981797</v>
      </c>
      <c r="C4456" t="s">
        <v>40</v>
      </c>
      <c r="D4456">
        <v>4.9386060000000001</v>
      </c>
      <c r="E4456">
        <v>0.5150827</v>
      </c>
      <c r="F4456" t="s">
        <v>91</v>
      </c>
      <c r="G4456">
        <v>-362.99009999999998</v>
      </c>
      <c r="H4456" s="1">
        <v>-3.643601E-6</v>
      </c>
      <c r="I4456">
        <v>17.758649999999999</v>
      </c>
      <c r="J4456">
        <v>-380.34589999999997</v>
      </c>
      <c r="K4456">
        <v>1.1113519999999999</v>
      </c>
      <c r="L4456">
        <v>18.146550000000001</v>
      </c>
      <c r="M4456">
        <v>0.99286450000000004</v>
      </c>
      <c r="N4456">
        <v>-6.7262950000000002E-3</v>
      </c>
      <c r="O4456">
        <v>-0.1190597</v>
      </c>
      <c r="P4456">
        <v>0.98822829999999995</v>
      </c>
      <c r="Q4456">
        <v>0.15109520000000001</v>
      </c>
      <c r="R4456">
        <v>2.3987560000000002E-2</v>
      </c>
      <c r="S4456">
        <v>3.0668639999999998</v>
      </c>
      <c r="T4456">
        <v>-0.19353970000000001</v>
      </c>
      <c r="U4456">
        <v>-7.2509770000000001E-2</v>
      </c>
      <c r="V4456">
        <v>-0.1421808</v>
      </c>
      <c r="W4456">
        <v>0.15703900000000001</v>
      </c>
      <c r="X4456">
        <v>0.97730410000000001</v>
      </c>
      <c r="Y4456">
        <v>-9.516376E-2</v>
      </c>
      <c r="Z4456">
        <v>1.000697E-2</v>
      </c>
      <c r="AA4456">
        <v>0.9954113</v>
      </c>
      <c r="AB4456">
        <v>27</v>
      </c>
      <c r="AC4456">
        <v>17.355799999999899</v>
      </c>
      <c r="AD4456">
        <v>-1.1113556436009999</v>
      </c>
      <c r="AE4456">
        <v>-0.38790000000000102</v>
      </c>
      <c r="AF4456">
        <v>-1.6744197092806099</v>
      </c>
      <c r="AG4456">
        <v>-1.1113556436009999</v>
      </c>
      <c r="AH4456">
        <v>17.208005661228398</v>
      </c>
      <c r="AI4456">
        <v>93.677915443077197</v>
      </c>
      <c r="AJ4456">
        <v>95.557651982148997</v>
      </c>
      <c r="AK4456">
        <v>17.324960362617301</v>
      </c>
      <c r="AL4456">
        <v>80.964928924703599</v>
      </c>
      <c r="AM4456">
        <v>98.277470285415006</v>
      </c>
      <c r="AN4456">
        <v>0.99999996564322402</v>
      </c>
    </row>
    <row r="4457" spans="1:40" x14ac:dyDescent="0.25">
      <c r="A4457" t="str">
        <f>"20190304155504010"</f>
        <v>20190304155504010</v>
      </c>
      <c r="B4457" t="str">
        <f>"1551686104002292"</f>
        <v>1551686104002292</v>
      </c>
      <c r="C4457" t="s">
        <v>40</v>
      </c>
      <c r="D4457">
        <v>4.9349420000000004</v>
      </c>
      <c r="E4457">
        <v>0.51517679999999999</v>
      </c>
      <c r="F4457" t="s">
        <v>91</v>
      </c>
      <c r="G4457">
        <v>-362.08909999999997</v>
      </c>
      <c r="H4457" s="1">
        <v>-4.0735860000000003E-6</v>
      </c>
      <c r="I4457">
        <v>17.735489999999999</v>
      </c>
      <c r="J4457">
        <v>-380.07479999999998</v>
      </c>
      <c r="K4457">
        <v>1.1113770000000001</v>
      </c>
      <c r="L4457">
        <v>18.11694</v>
      </c>
      <c r="M4457">
        <v>0.99318079999999997</v>
      </c>
      <c r="N4457">
        <v>-6.7930630000000002E-3</v>
      </c>
      <c r="O4457">
        <v>-0.11638660000000001</v>
      </c>
      <c r="P4457">
        <v>0.98809610000000003</v>
      </c>
      <c r="Q4457">
        <v>0.15159589999999901</v>
      </c>
      <c r="R4457">
        <v>2.616713E-2</v>
      </c>
      <c r="S4457">
        <v>3.0659179999999999</v>
      </c>
      <c r="T4457">
        <v>-0.1866331</v>
      </c>
      <c r="U4457">
        <v>-6.9030759999999997E-2</v>
      </c>
      <c r="V4457">
        <v>-0.14170279999999999</v>
      </c>
      <c r="W4457">
        <v>0.15760270000000001</v>
      </c>
      <c r="X4457">
        <v>0.97728280000000001</v>
      </c>
      <c r="Y4457">
        <v>-9.3641440000000006E-2</v>
      </c>
      <c r="Z4457">
        <v>9.4371060000000007E-3</v>
      </c>
      <c r="AA4457">
        <v>0.99556120000000004</v>
      </c>
      <c r="AB4457">
        <v>27</v>
      </c>
      <c r="AC4457">
        <v>17.985700000000001</v>
      </c>
      <c r="AD4457">
        <v>-1.1113810735859999</v>
      </c>
      <c r="AE4457">
        <v>-0.38145000000000001</v>
      </c>
      <c r="AF4457">
        <v>-1.7079665233172401</v>
      </c>
      <c r="AG4457">
        <v>-1.1113810735859999</v>
      </c>
      <c r="AH4457">
        <v>17.839772810901898</v>
      </c>
      <c r="AI4457">
        <v>93.548617542728294</v>
      </c>
      <c r="AJ4457">
        <v>95.468786804249902</v>
      </c>
      <c r="AK4457">
        <v>17.9557737644495</v>
      </c>
      <c r="AL4457">
        <v>80.932224193545593</v>
      </c>
      <c r="AM4457">
        <v>98.250203139107299</v>
      </c>
      <c r="AN4457">
        <v>0.99999998287548397</v>
      </c>
    </row>
    <row r="4458" spans="1:40" x14ac:dyDescent="0.25">
      <c r="A4458" t="str">
        <f>"20190304155504032"</f>
        <v>20190304155504032</v>
      </c>
      <c r="B4458" t="str">
        <f>"1551686104021815"</f>
        <v>1551686104021815</v>
      </c>
      <c r="C4458" t="s">
        <v>40</v>
      </c>
      <c r="D4458">
        <v>4.9429919999999896</v>
      </c>
      <c r="E4458">
        <v>0.51524559999999997</v>
      </c>
      <c r="F4458" t="s">
        <v>91</v>
      </c>
      <c r="G4458">
        <v>-361.15289999999999</v>
      </c>
      <c r="H4458" s="1">
        <v>-4.5169209999999998E-6</v>
      </c>
      <c r="I4458">
        <v>17.73115</v>
      </c>
      <c r="J4458">
        <v>-379.80619999999999</v>
      </c>
      <c r="K4458">
        <v>1.1114010000000001</v>
      </c>
      <c r="L4458">
        <v>18.08832</v>
      </c>
      <c r="M4458">
        <v>0.99348689999999995</v>
      </c>
      <c r="N4458">
        <v>-6.8685009999999999E-3</v>
      </c>
      <c r="O4458">
        <v>-0.11373850000000001</v>
      </c>
      <c r="P4458">
        <v>0.98808940000000001</v>
      </c>
      <c r="Q4458">
        <v>0.1513544</v>
      </c>
      <c r="R4458">
        <v>2.7769329999999998E-2</v>
      </c>
      <c r="S4458">
        <v>3.0653990000000002</v>
      </c>
      <c r="T4458">
        <v>-0.1800466</v>
      </c>
      <c r="U4458">
        <v>-6.25E-2</v>
      </c>
      <c r="V4458">
        <v>-0.1406897</v>
      </c>
      <c r="W4458">
        <v>0.15743699999999999</v>
      </c>
      <c r="X4458">
        <v>0.97745590000000004</v>
      </c>
      <c r="Y4458">
        <v>-9.3134140000000004E-2</v>
      </c>
      <c r="Z4458">
        <v>8.93183E-3</v>
      </c>
      <c r="AA4458">
        <v>0.99561350000000004</v>
      </c>
      <c r="AB4458">
        <v>27</v>
      </c>
      <c r="AC4458">
        <v>18.653300000000002</v>
      </c>
      <c r="AD4458">
        <v>-1.111405516921</v>
      </c>
      <c r="AE4458">
        <v>-0.35716999999999999</v>
      </c>
      <c r="AF4458">
        <v>-1.76054872555922</v>
      </c>
      <c r="AG4458">
        <v>-1.111405516921</v>
      </c>
      <c r="AH4458">
        <v>18.507195453328599</v>
      </c>
      <c r="AI4458">
        <v>93.421226210599698</v>
      </c>
      <c r="AJ4458">
        <v>95.434069127766804</v>
      </c>
      <c r="AK4458">
        <v>18.623937220303802</v>
      </c>
      <c r="AL4458">
        <v>80.941838452312695</v>
      </c>
      <c r="AM4458">
        <v>98.190590901740705</v>
      </c>
      <c r="AN4458">
        <v>1.00000001854995</v>
      </c>
    </row>
    <row r="4459" spans="1:40" x14ac:dyDescent="0.25">
      <c r="A4459" t="str">
        <f>"20190304155504054"</f>
        <v>20190304155504054</v>
      </c>
      <c r="B4459" t="str">
        <f>"1551686104052069"</f>
        <v>1551686104052069</v>
      </c>
      <c r="C4459" t="s">
        <v>40</v>
      </c>
      <c r="D4459">
        <v>4.9303480000000004</v>
      </c>
      <c r="E4459">
        <v>0.51549650000000002</v>
      </c>
      <c r="F4459" t="s">
        <v>91</v>
      </c>
      <c r="G4459">
        <v>-360.49869999999999</v>
      </c>
      <c r="H4459" s="1">
        <v>-4.8266950000000004E-6</v>
      </c>
      <c r="I4459">
        <v>17.72804</v>
      </c>
      <c r="J4459">
        <v>-379.54430000000002</v>
      </c>
      <c r="K4459">
        <v>1.111416</v>
      </c>
      <c r="L4459">
        <v>18.0611</v>
      </c>
      <c r="M4459">
        <v>0.99377859999999996</v>
      </c>
      <c r="N4459">
        <v>-6.9464940000000001E-3</v>
      </c>
      <c r="O4459">
        <v>-0.111157199999999</v>
      </c>
      <c r="P4459">
        <v>0.98803890000000005</v>
      </c>
      <c r="Q4459">
        <v>0.15120910000000001</v>
      </c>
      <c r="R4459">
        <v>3.025688E-2</v>
      </c>
      <c r="S4459">
        <v>3.064819</v>
      </c>
      <c r="T4459">
        <v>-0.17642189999999999</v>
      </c>
      <c r="U4459">
        <v>-5.7189940000000002E-2</v>
      </c>
      <c r="V4459">
        <v>-0.14061770000000001</v>
      </c>
      <c r="W4459">
        <v>0.15736439999999999</v>
      </c>
      <c r="X4459">
        <v>0.97747790000000001</v>
      </c>
      <c r="Y4459">
        <v>-9.2286679999999996E-2</v>
      </c>
      <c r="Z4459">
        <v>8.5828359999999999E-3</v>
      </c>
      <c r="AA4459">
        <v>0.99569549999999996</v>
      </c>
      <c r="AB4459">
        <v>27</v>
      </c>
      <c r="AC4459">
        <v>19.0456</v>
      </c>
      <c r="AD4459">
        <v>-1.1114208266950001</v>
      </c>
      <c r="AE4459">
        <v>-0.33305999999999902</v>
      </c>
      <c r="AF4459">
        <v>-1.7800507615118699</v>
      </c>
      <c r="AG4459">
        <v>-1.1114208266950001</v>
      </c>
      <c r="AH4459">
        <v>18.900245337974301</v>
      </c>
      <c r="AI4459">
        <v>93.350584947571406</v>
      </c>
      <c r="AJ4459">
        <v>95.380323690146696</v>
      </c>
      <c r="AK4459">
        <v>19.016390582946901</v>
      </c>
      <c r="AL4459">
        <v>80.946050174116607</v>
      </c>
      <c r="AM4459">
        <v>98.186274323114702</v>
      </c>
      <c r="AN4459">
        <v>0.99999996846452899</v>
      </c>
    </row>
    <row r="4460" spans="1:40" x14ac:dyDescent="0.25">
      <c r="A4460" t="str">
        <f>"20190304155504077"</f>
        <v>20190304155504077</v>
      </c>
      <c r="B4460" t="str">
        <f>"1551686104071589"</f>
        <v>1551686104071589</v>
      </c>
      <c r="C4460" t="s">
        <v>40</v>
      </c>
      <c r="D4460">
        <v>4.8642649999999996</v>
      </c>
      <c r="E4460">
        <v>0.51572359999999995</v>
      </c>
      <c r="F4460" t="s">
        <v>46</v>
      </c>
      <c r="G4460">
        <v>-359.4</v>
      </c>
      <c r="H4460" s="1">
        <v>-6.9401940000000001E-7</v>
      </c>
      <c r="I4460">
        <v>17.722899999999999</v>
      </c>
      <c r="J4460">
        <v>-379.27539999999999</v>
      </c>
      <c r="K4460">
        <v>1.1114379999999999</v>
      </c>
      <c r="L4460">
        <v>18.033840000000001</v>
      </c>
      <c r="M4460">
        <v>0.99407080000000003</v>
      </c>
      <c r="N4460">
        <v>-7.0297010000000002E-3</v>
      </c>
      <c r="O4460">
        <v>-0.1085083</v>
      </c>
      <c r="P4460">
        <v>0.98804270000000005</v>
      </c>
      <c r="Q4460">
        <v>0.15073110000000001</v>
      </c>
      <c r="R4460">
        <v>3.2434490000000003E-2</v>
      </c>
      <c r="S4460">
        <v>3.0637210000000001</v>
      </c>
      <c r="T4460">
        <v>-0.16903379999999901</v>
      </c>
      <c r="U4460">
        <v>-5.1422120000000002E-2</v>
      </c>
      <c r="V4460">
        <v>-0.14017679999999999</v>
      </c>
      <c r="W4460">
        <v>0.156967</v>
      </c>
      <c r="X4460">
        <v>0.97760519999999995</v>
      </c>
      <c r="Y4460">
        <v>-9.1531109999999999E-2</v>
      </c>
      <c r="Z4460">
        <v>8.0529060000000003E-3</v>
      </c>
      <c r="AA4460">
        <v>0.99576969999999998</v>
      </c>
      <c r="AB4460">
        <v>27</v>
      </c>
      <c r="AC4460">
        <v>19.875399999999999</v>
      </c>
      <c r="AD4460">
        <v>-1.1114386940194001</v>
      </c>
      <c r="AE4460">
        <v>-0.310939999999998</v>
      </c>
      <c r="AF4460">
        <v>-1.8418367712803601</v>
      </c>
      <c r="AG4460">
        <v>-1.1114386940194001</v>
      </c>
      <c r="AH4460">
        <v>19.730098628334101</v>
      </c>
      <c r="AI4460">
        <v>93.210258139511396</v>
      </c>
      <c r="AJ4460">
        <v>95.333197872883304</v>
      </c>
      <c r="AK4460">
        <v>19.8470262393739</v>
      </c>
      <c r="AL4460">
        <v>80.969106799474204</v>
      </c>
      <c r="AM4460">
        <v>98.159904567597096</v>
      </c>
      <c r="AN4460">
        <v>1.0000000507071301</v>
      </c>
    </row>
    <row r="4461" spans="1:40" x14ac:dyDescent="0.25">
      <c r="A4461" t="str">
        <f>"20190304155504100"</f>
        <v>20190304155504100</v>
      </c>
      <c r="B4461" t="str">
        <f>"1551686104092085"</f>
        <v>1551686104092085</v>
      </c>
      <c r="C4461" t="s">
        <v>40</v>
      </c>
      <c r="D4461">
        <v>5.0362169999999997</v>
      </c>
      <c r="E4461">
        <v>0.51607740000000002</v>
      </c>
      <c r="F4461" t="s">
        <v>46</v>
      </c>
      <c r="G4461">
        <v>-359.03219999999999</v>
      </c>
      <c r="H4461" s="1">
        <v>-8.1791030000000003E-7</v>
      </c>
      <c r="I4461">
        <v>17.727629999999898</v>
      </c>
      <c r="J4461">
        <v>-378.99270000000001</v>
      </c>
      <c r="K4461">
        <v>1.1114599999999999</v>
      </c>
      <c r="L4461">
        <v>18.005949999999999</v>
      </c>
      <c r="M4461">
        <v>0.99436990000000003</v>
      </c>
      <c r="N4461">
        <v>-7.1263569999999998E-3</v>
      </c>
      <c r="O4461">
        <v>-0.1057255</v>
      </c>
      <c r="P4461">
        <v>0.98789859999999896</v>
      </c>
      <c r="Q4461">
        <v>0.15109539999999999</v>
      </c>
      <c r="R4461">
        <v>3.5022770000000002E-2</v>
      </c>
      <c r="S4461">
        <v>3.0634160000000001</v>
      </c>
      <c r="T4461">
        <v>-0.1681947</v>
      </c>
      <c r="U4461">
        <v>-4.6325680000000001E-2</v>
      </c>
      <c r="V4461">
        <v>-0.14000199999999999</v>
      </c>
      <c r="W4461">
        <v>0.15742239999999999</v>
      </c>
      <c r="X4461">
        <v>0.97755689999999995</v>
      </c>
      <c r="Y4461">
        <v>-9.0406520000000004E-2</v>
      </c>
      <c r="Z4461">
        <v>7.8389229999999994E-3</v>
      </c>
      <c r="AA4461">
        <v>0.99587409999999998</v>
      </c>
      <c r="AB4461">
        <v>27</v>
      </c>
      <c r="AC4461">
        <v>19.9605</v>
      </c>
      <c r="AD4461">
        <v>-1.1114608179103</v>
      </c>
      <c r="AE4461">
        <v>-0.27832000000000001</v>
      </c>
      <c r="AF4461">
        <v>-1.82796055307696</v>
      </c>
      <c r="AG4461">
        <v>-1.1114608179103</v>
      </c>
      <c r="AH4461">
        <v>19.816617611970699</v>
      </c>
      <c r="AI4461">
        <v>93.196659951765</v>
      </c>
      <c r="AJ4461">
        <v>95.270267370748897</v>
      </c>
      <c r="AK4461">
        <v>19.931761550661399</v>
      </c>
      <c r="AL4461">
        <v>80.942684746595106</v>
      </c>
      <c r="AM4461">
        <v>98.150263239745499</v>
      </c>
      <c r="AN4461">
        <v>0.99999993238168206</v>
      </c>
    </row>
    <row r="4462" spans="1:40" x14ac:dyDescent="0.25">
      <c r="A4462" t="str">
        <f>"20190304155504124"</f>
        <v>20190304155504124</v>
      </c>
      <c r="B4462" t="str">
        <f>"1551686104111605"</f>
        <v>1551686104111605</v>
      </c>
      <c r="C4462" t="s">
        <v>40</v>
      </c>
      <c r="D4462">
        <v>4.8889829999999996</v>
      </c>
      <c r="E4462">
        <v>0.51645359999999996</v>
      </c>
      <c r="F4462" t="s">
        <v>46</v>
      </c>
      <c r="G4462">
        <v>-358.15550000000002</v>
      </c>
      <c r="H4462" s="1">
        <v>-1.114879E-6</v>
      </c>
      <c r="I4462">
        <v>17.732869999999998</v>
      </c>
      <c r="J4462">
        <v>-378.72629999999998</v>
      </c>
      <c r="K4462">
        <v>1.111478</v>
      </c>
      <c r="L4462">
        <v>17.980439999999899</v>
      </c>
      <c r="M4462">
        <v>0.99464430000000004</v>
      </c>
      <c r="N4462">
        <v>-7.2337069999999998E-3</v>
      </c>
      <c r="O4462">
        <v>-0.1031049</v>
      </c>
      <c r="P4462">
        <v>0.98781090000000005</v>
      </c>
      <c r="Q4462">
        <v>0.1511651</v>
      </c>
      <c r="R4462">
        <v>3.7134470000000003E-2</v>
      </c>
      <c r="S4462">
        <v>3.0631409999999999</v>
      </c>
      <c r="T4462">
        <v>-0.16338829999999999</v>
      </c>
      <c r="U4462">
        <v>-4.0130619999999999E-2</v>
      </c>
      <c r="V4462">
        <v>-0.13951939999999999</v>
      </c>
      <c r="W4462">
        <v>0.15759609999999999</v>
      </c>
      <c r="X4462">
        <v>0.97759799999999997</v>
      </c>
      <c r="Y4462">
        <v>-8.9814569999999996E-2</v>
      </c>
      <c r="Z4462">
        <v>7.4594179999999998E-3</v>
      </c>
      <c r="AA4462">
        <v>0.9959306</v>
      </c>
      <c r="AB4462">
        <v>27</v>
      </c>
      <c r="AC4462">
        <v>20.570799999999899</v>
      </c>
      <c r="AD4462">
        <v>-1.111479114879</v>
      </c>
      <c r="AE4462">
        <v>-0.24756999999999599</v>
      </c>
      <c r="AF4462">
        <v>-1.8692984986769201</v>
      </c>
      <c r="AG4462">
        <v>-1.111479114879</v>
      </c>
      <c r="AH4462">
        <v>20.427061252774401</v>
      </c>
      <c r="AI4462">
        <v>93.101577756935896</v>
      </c>
      <c r="AJ4462">
        <v>95.228624811182499</v>
      </c>
      <c r="AK4462">
        <v>20.542504572825699</v>
      </c>
      <c r="AL4462">
        <v>80.932607485839696</v>
      </c>
      <c r="AM4462">
        <v>98.122207133673299</v>
      </c>
      <c r="AN4462">
        <v>1.00000002165778</v>
      </c>
    </row>
    <row r="4463" spans="1:40" x14ac:dyDescent="0.25">
      <c r="A4463" t="str">
        <f>"20190304155504145"</f>
        <v>20190304155504145</v>
      </c>
      <c r="B4463" t="str">
        <f>"1551686104141861"</f>
        <v>1551686104141861</v>
      </c>
      <c r="C4463" t="s">
        <v>40</v>
      </c>
      <c r="D4463">
        <v>4.8776089999999996</v>
      </c>
      <c r="E4463">
        <v>0.51696799999999998</v>
      </c>
      <c r="F4463" t="s">
        <v>46</v>
      </c>
      <c r="G4463">
        <v>-357.53660000000002</v>
      </c>
      <c r="H4463" s="1">
        <v>-1.3730349999999999E-6</v>
      </c>
      <c r="I4463">
        <v>17.73377</v>
      </c>
      <c r="J4463">
        <v>-378.45960000000002</v>
      </c>
      <c r="K4463">
        <v>1.1115109999999999</v>
      </c>
      <c r="L4463">
        <v>17.955629999999999</v>
      </c>
      <c r="M4463">
        <v>0.99491180000000001</v>
      </c>
      <c r="N4463">
        <v>-7.3661439999999998E-3</v>
      </c>
      <c r="O4463">
        <v>-0.1004824</v>
      </c>
      <c r="P4463">
        <v>0.98773880000000003</v>
      </c>
      <c r="Q4463">
        <v>0.1511566</v>
      </c>
      <c r="R4463">
        <v>3.9041300000000001E-2</v>
      </c>
      <c r="S4463">
        <v>3.0629580000000001</v>
      </c>
      <c r="T4463">
        <v>-0.160663</v>
      </c>
      <c r="U4463">
        <v>-3.5644530000000001E-2</v>
      </c>
      <c r="V4463">
        <v>-0.13883319999999999</v>
      </c>
      <c r="W4463">
        <v>0.1577171</v>
      </c>
      <c r="X4463">
        <v>0.9776762</v>
      </c>
      <c r="Y4463">
        <v>-8.8660080000000002E-2</v>
      </c>
      <c r="Z4463">
        <v>7.1690460000000001E-3</v>
      </c>
      <c r="AA4463">
        <v>0.99603620000000004</v>
      </c>
      <c r="AB4463">
        <v>27</v>
      </c>
      <c r="AC4463">
        <v>20.922999999999998</v>
      </c>
      <c r="AD4463">
        <v>-1.1115123730350001</v>
      </c>
      <c r="AE4463">
        <v>-0.221859999999999</v>
      </c>
      <c r="AF4463">
        <v>-1.8764177952194001</v>
      </c>
      <c r="AG4463">
        <v>-1.1115123730350001</v>
      </c>
      <c r="AH4463">
        <v>20.7807532873796</v>
      </c>
      <c r="AI4463">
        <v>93.0493132432876</v>
      </c>
      <c r="AJ4463">
        <v>95.159584376753998</v>
      </c>
      <c r="AK4463">
        <v>20.894882404276998</v>
      </c>
      <c r="AL4463">
        <v>80.925587124968402</v>
      </c>
      <c r="AM4463">
        <v>98.082150788875396</v>
      </c>
      <c r="AN4463">
        <v>1.0000000465505401</v>
      </c>
    </row>
    <row r="4464" spans="1:40" x14ac:dyDescent="0.25">
      <c r="A4464" t="str">
        <f>"20190304155504176"</f>
        <v>20190304155504176</v>
      </c>
      <c r="B4464" t="str">
        <f>"1551686104172118"</f>
        <v>1551686104172118</v>
      </c>
      <c r="C4464" t="s">
        <v>40</v>
      </c>
      <c r="D4464">
        <v>4.9986480000000002</v>
      </c>
      <c r="E4464">
        <v>0.51743260000000002</v>
      </c>
      <c r="F4464" t="s">
        <v>46</v>
      </c>
      <c r="G4464">
        <v>-356.87029999999999</v>
      </c>
      <c r="H4464" s="1">
        <v>-1.6607010000000001E-6</v>
      </c>
      <c r="I4464">
        <v>17.72343</v>
      </c>
      <c r="J4464">
        <v>-378.077</v>
      </c>
      <c r="K4464">
        <v>1.1115699999999999</v>
      </c>
      <c r="L4464">
        <v>17.92126</v>
      </c>
      <c r="M4464">
        <v>0.99528249999999996</v>
      </c>
      <c r="N4464">
        <v>-7.5870039999999996E-3</v>
      </c>
      <c r="O4464">
        <v>-9.672248E-2</v>
      </c>
      <c r="P4464">
        <v>0.98769340000000005</v>
      </c>
      <c r="Q4464">
        <v>0.15103269999999999</v>
      </c>
      <c r="R4464">
        <v>4.0634900000000002E-2</v>
      </c>
      <c r="S4464">
        <v>3.0626829999999998</v>
      </c>
      <c r="T4464">
        <v>-0.1576804</v>
      </c>
      <c r="U4464">
        <v>-3.2928470000000001E-2</v>
      </c>
      <c r="V4464">
        <v>-0.13672210000000001</v>
      </c>
      <c r="W4464">
        <v>0.1578165</v>
      </c>
      <c r="X4464">
        <v>0.97795750000000004</v>
      </c>
      <c r="Y4464">
        <v>-8.57961E-2</v>
      </c>
      <c r="Z4464">
        <v>6.768179E-3</v>
      </c>
      <c r="AA4464">
        <v>0.99628969999999994</v>
      </c>
      <c r="AB4464">
        <v>27</v>
      </c>
      <c r="AC4464">
        <v>21.206700000000001</v>
      </c>
      <c r="AD4464">
        <v>-1.111571660701</v>
      </c>
      <c r="AE4464">
        <v>-0.19782999999999901</v>
      </c>
      <c r="AF4464">
        <v>-1.8492409560168701</v>
      </c>
      <c r="AG4464">
        <v>-1.111571660701</v>
      </c>
      <c r="AH4464">
        <v>21.0685199400898</v>
      </c>
      <c r="AI4464">
        <v>93.008570276672202</v>
      </c>
      <c r="AJ4464">
        <v>95.016150277232299</v>
      </c>
      <c r="AK4464">
        <v>21.178711389889699</v>
      </c>
      <c r="AL4464">
        <v>80.919818592378505</v>
      </c>
      <c r="AM4464">
        <v>97.958580467283198</v>
      </c>
      <c r="AN4464">
        <v>0.999999926053452</v>
      </c>
    </row>
    <row r="4465" spans="1:40" x14ac:dyDescent="0.25">
      <c r="A4465" t="str">
        <f>"20190304155504200"</f>
        <v>20190304155504200</v>
      </c>
      <c r="B4465" t="str">
        <f>"1551686104191638"</f>
        <v>1551686104191638</v>
      </c>
      <c r="C4465" t="s">
        <v>40</v>
      </c>
      <c r="D4465">
        <v>4.8630599999999999</v>
      </c>
      <c r="E4465">
        <v>0.51740149999999996</v>
      </c>
      <c r="F4465" t="s">
        <v>46</v>
      </c>
      <c r="G4465">
        <v>-355.8999</v>
      </c>
      <c r="H4465" s="1">
        <v>-2.08155E-6</v>
      </c>
      <c r="I4465">
        <v>17.69773</v>
      </c>
      <c r="J4465">
        <v>-377.79689999999999</v>
      </c>
      <c r="K4465">
        <v>1.1116189999999999</v>
      </c>
      <c r="L4465">
        <v>17.897029999999901</v>
      </c>
      <c r="M4465">
        <v>0.99554430000000005</v>
      </c>
      <c r="N4465">
        <v>-7.7913959999999999E-3</v>
      </c>
      <c r="O4465">
        <v>-9.3973379999999995E-2</v>
      </c>
      <c r="P4465">
        <v>0.98758729999999995</v>
      </c>
      <c r="Q4465">
        <v>0.1514308</v>
      </c>
      <c r="R4465">
        <v>4.1713880000000002E-2</v>
      </c>
      <c r="S4465">
        <v>3.0621339999999999</v>
      </c>
      <c r="T4465">
        <v>-0.15348200000000001</v>
      </c>
      <c r="U4465">
        <v>-3.0853269999999999E-2</v>
      </c>
      <c r="V4465">
        <v>-0.13508870000000001</v>
      </c>
      <c r="W4465">
        <v>0.15842010000000001</v>
      </c>
      <c r="X4465">
        <v>0.97808689999999998</v>
      </c>
      <c r="Y4465">
        <v>-8.3735580000000004E-2</v>
      </c>
      <c r="Z4465">
        <v>6.3922550000000003E-3</v>
      </c>
      <c r="AA4465">
        <v>0.99646749999999995</v>
      </c>
      <c r="AB4465">
        <v>27</v>
      </c>
      <c r="AC4465">
        <v>21.896999999999899</v>
      </c>
      <c r="AD4465">
        <v>-1.1116210815500001</v>
      </c>
      <c r="AE4465">
        <v>-0.19929999999999701</v>
      </c>
      <c r="AF4465">
        <v>-1.85460017925337</v>
      </c>
      <c r="AG4465">
        <v>-1.1116210815500001</v>
      </c>
      <c r="AH4465">
        <v>21.762741214347901</v>
      </c>
      <c r="AI4465">
        <v>92.913533147880003</v>
      </c>
      <c r="AJ4465">
        <v>94.870923425414404</v>
      </c>
      <c r="AK4465">
        <v>21.869891367277301</v>
      </c>
      <c r="AL4465">
        <v>80.884794333872804</v>
      </c>
      <c r="AM4465">
        <v>97.863669799177998</v>
      </c>
      <c r="AN4465">
        <v>0.99999993445165203</v>
      </c>
    </row>
    <row r="4466" spans="1:40" x14ac:dyDescent="0.25">
      <c r="A4466" t="str">
        <f>"20190304155504221"</f>
        <v>20190304155504221</v>
      </c>
      <c r="B4466" t="str">
        <f>"1551686104212133"</f>
        <v>1551686104212133</v>
      </c>
      <c r="C4466" t="s">
        <v>40</v>
      </c>
      <c r="D4466">
        <v>4.8584509999999996</v>
      </c>
      <c r="E4466">
        <v>0.51747159999999903</v>
      </c>
      <c r="F4466" t="s">
        <v>46</v>
      </c>
      <c r="G4466">
        <v>-355.19720000000001</v>
      </c>
      <c r="H4466" s="1">
        <v>-2.3826650000000002E-6</v>
      </c>
      <c r="I4466">
        <v>17.699629999999999</v>
      </c>
      <c r="J4466">
        <v>-377.5299</v>
      </c>
      <c r="K4466">
        <v>1.1116740000000001</v>
      </c>
      <c r="L4466">
        <v>17.874600000000001</v>
      </c>
      <c r="M4466">
        <v>0.99578580000000005</v>
      </c>
      <c r="N4466">
        <v>-8.0386850000000003E-3</v>
      </c>
      <c r="O4466">
        <v>-9.1355839999999994E-2</v>
      </c>
      <c r="P4466">
        <v>0.98749600000000004</v>
      </c>
      <c r="Q4466">
        <v>0.1519876</v>
      </c>
      <c r="R4466">
        <v>4.1852159999999999E-2</v>
      </c>
      <c r="S4466">
        <v>3.0619200000000002</v>
      </c>
      <c r="T4466">
        <v>-0.150608299999999</v>
      </c>
      <c r="U4466">
        <v>-2.6733400000000001E-2</v>
      </c>
      <c r="V4466">
        <v>-0.1326512</v>
      </c>
      <c r="W4466">
        <v>0.15922890000000001</v>
      </c>
      <c r="X4466">
        <v>0.97828919999999997</v>
      </c>
      <c r="Y4466">
        <v>-8.2468250000000007E-2</v>
      </c>
      <c r="Z4466">
        <v>6.1094169999999998E-3</v>
      </c>
      <c r="AA4466">
        <v>0.99657490000000004</v>
      </c>
      <c r="AB4466">
        <v>27</v>
      </c>
      <c r="AC4466">
        <v>22.3326999999999</v>
      </c>
      <c r="AD4466">
        <v>-1.111676382665</v>
      </c>
      <c r="AE4466">
        <v>-0.17497000000000101</v>
      </c>
      <c r="AF4466">
        <v>-1.8614382677591199</v>
      </c>
      <c r="AG4466">
        <v>-1.111676382665</v>
      </c>
      <c r="AH4466">
        <v>22.2002850958477</v>
      </c>
      <c r="AI4466">
        <v>92.856676714428005</v>
      </c>
      <c r="AJ4466">
        <v>94.792896503140497</v>
      </c>
      <c r="AK4466">
        <v>22.3059058354816</v>
      </c>
      <c r="AL4466">
        <v>80.837858067719296</v>
      </c>
      <c r="AM4466">
        <v>97.721930292800195</v>
      </c>
      <c r="AN4466">
        <v>0.99999997114664396</v>
      </c>
    </row>
    <row r="4467" spans="1:40" x14ac:dyDescent="0.25">
      <c r="A4467" t="str">
        <f>"20190304155504244"</f>
        <v>20190304155504244</v>
      </c>
      <c r="B4467" t="str">
        <f>"1551686104231657"</f>
        <v>1551686104231657</v>
      </c>
      <c r="C4467" t="s">
        <v>40</v>
      </c>
      <c r="D4467">
        <v>4.849024</v>
      </c>
      <c r="E4467">
        <v>0.51760349999999999</v>
      </c>
      <c r="F4467" t="s">
        <v>46</v>
      </c>
      <c r="G4467">
        <v>-354.68079999999998</v>
      </c>
      <c r="H4467" s="1">
        <v>-2.6075999999999998E-6</v>
      </c>
      <c r="I4467">
        <v>17.680489999999999</v>
      </c>
      <c r="J4467">
        <v>-377.26499999999999</v>
      </c>
      <c r="K4467">
        <v>1.111726</v>
      </c>
      <c r="L4467">
        <v>17.853179999999998</v>
      </c>
      <c r="M4467">
        <v>0.99601819999999996</v>
      </c>
      <c r="N4467">
        <v>-8.3273010000000005E-3</v>
      </c>
      <c r="O4467">
        <v>-8.8759729999999995E-2</v>
      </c>
      <c r="P4467">
        <v>0.98734679999999997</v>
      </c>
      <c r="Q4467">
        <v>0.15272729999999901</v>
      </c>
      <c r="R4467">
        <v>4.266967E-2</v>
      </c>
      <c r="S4467">
        <v>3.0620120000000002</v>
      </c>
      <c r="T4467">
        <v>-0.1489761</v>
      </c>
      <c r="U4467">
        <v>-2.600098E-2</v>
      </c>
      <c r="V4467">
        <v>-0.13090660000000001</v>
      </c>
      <c r="W4467">
        <v>0.16025739999999999</v>
      </c>
      <c r="X4467">
        <v>0.97835629999999996</v>
      </c>
      <c r="Y4467">
        <v>-8.0119129999999997E-2</v>
      </c>
      <c r="Z4467">
        <v>5.8532180000000003E-3</v>
      </c>
      <c r="AA4467">
        <v>0.99676810000000005</v>
      </c>
      <c r="AB4467">
        <v>27</v>
      </c>
      <c r="AC4467">
        <v>22.584199999999999</v>
      </c>
      <c r="AD4467">
        <v>-1.1117286075999999</v>
      </c>
      <c r="AE4467">
        <v>-0.17268999999999901</v>
      </c>
      <c r="AF4467">
        <v>-1.8281989343513301</v>
      </c>
      <c r="AG4467">
        <v>-1.1117286075999999</v>
      </c>
      <c r="AH4467">
        <v>22.455971910499098</v>
      </c>
      <c r="AI4467">
        <v>92.824899153814698</v>
      </c>
      <c r="AJ4467">
        <v>94.654333184005495</v>
      </c>
      <c r="AK4467">
        <v>22.557679984556099</v>
      </c>
      <c r="AL4467">
        <v>80.778163153982106</v>
      </c>
      <c r="AM4467">
        <v>97.621058141469206</v>
      </c>
      <c r="AN4467">
        <v>1.0000000109639999</v>
      </c>
    </row>
    <row r="4468" spans="1:40" x14ac:dyDescent="0.25">
      <c r="A4468" t="str">
        <f>"20190304155504267"</f>
        <v>20190304155504267</v>
      </c>
      <c r="B4468" t="str">
        <f>"1551686104261909"</f>
        <v>1551686104261909</v>
      </c>
      <c r="C4468" t="s">
        <v>40</v>
      </c>
      <c r="D4468">
        <v>4.8260519999999998</v>
      </c>
      <c r="E4468">
        <v>0.51778329999999995</v>
      </c>
      <c r="F4468" t="s">
        <v>46</v>
      </c>
      <c r="G4468">
        <v>-354.06139999999999</v>
      </c>
      <c r="H4468" s="1">
        <v>-2.8751459999999998E-6</v>
      </c>
      <c r="I4468">
        <v>17.670169999999999</v>
      </c>
      <c r="J4468">
        <v>-376.97469999999998</v>
      </c>
      <c r="K4468">
        <v>1.1117900000000001</v>
      </c>
      <c r="L4468">
        <v>17.83051</v>
      </c>
      <c r="M4468">
        <v>0.99626510000000001</v>
      </c>
      <c r="N4468">
        <v>-8.6509209999999902E-3</v>
      </c>
      <c r="O4468">
        <v>-8.5913489999999995E-2</v>
      </c>
      <c r="P4468">
        <v>0.98718110000000003</v>
      </c>
      <c r="Q4468">
        <v>0.15322810000000001</v>
      </c>
      <c r="R4468">
        <v>4.4662140000000003E-2</v>
      </c>
      <c r="S4468">
        <v>3.0621640000000001</v>
      </c>
      <c r="T4468">
        <v>-0.14671409999999999</v>
      </c>
      <c r="U4468">
        <v>-2.4139399999999998E-2</v>
      </c>
      <c r="V4468">
        <v>-0.1300857</v>
      </c>
      <c r="W4468">
        <v>0.16107639999999901</v>
      </c>
      <c r="X4468">
        <v>0.97833130000000001</v>
      </c>
      <c r="Y4468">
        <v>-7.78888999999999E-2</v>
      </c>
      <c r="Z4468">
        <v>5.5680080000000002E-3</v>
      </c>
      <c r="AA4468">
        <v>0.99694649999999996</v>
      </c>
      <c r="AB4468">
        <v>27</v>
      </c>
      <c r="AC4468">
        <v>22.9132999999999</v>
      </c>
      <c r="AD4468">
        <v>-1.111792875146</v>
      </c>
      <c r="AE4468">
        <v>-0.16033999999999701</v>
      </c>
      <c r="AF4468">
        <v>-1.80463944892266</v>
      </c>
      <c r="AG4468">
        <v>-1.111792875146</v>
      </c>
      <c r="AH4468">
        <v>22.788699793274301</v>
      </c>
      <c r="AI4468">
        <v>92.784372976255497</v>
      </c>
      <c r="AJ4468">
        <v>94.527809628904294</v>
      </c>
      <c r="AK4468">
        <v>22.887062834837799</v>
      </c>
      <c r="AL4468">
        <v>80.730620295981495</v>
      </c>
      <c r="AM4468">
        <v>97.574015165297496</v>
      </c>
      <c r="AN4468">
        <v>1.0000000142705701</v>
      </c>
    </row>
    <row r="4469" spans="1:40" x14ac:dyDescent="0.25">
      <c r="A4469" t="str">
        <f>"20190304155504289"</f>
        <v>20190304155504289</v>
      </c>
      <c r="B4469" t="str">
        <f>"1551686104281429"</f>
        <v>1551686104281429</v>
      </c>
      <c r="C4469" t="s">
        <v>40</v>
      </c>
      <c r="D4469">
        <v>4.8000999999999996</v>
      </c>
      <c r="E4469">
        <v>0.51792079999999996</v>
      </c>
      <c r="F4469" t="s">
        <v>46</v>
      </c>
      <c r="G4469">
        <v>-353.19600000000003</v>
      </c>
      <c r="H4469" s="1">
        <v>-3.244307E-6</v>
      </c>
      <c r="I4469">
        <v>17.68206</v>
      </c>
      <c r="J4469">
        <v>-376.7183</v>
      </c>
      <c r="K4469">
        <v>1.1118429999999999</v>
      </c>
      <c r="L4469">
        <v>17.811129999999999</v>
      </c>
      <c r="M4469">
        <v>0.99647600000000003</v>
      </c>
      <c r="N4469">
        <v>-8.9421020000000004E-3</v>
      </c>
      <c r="O4469">
        <v>-8.3401520000000007E-2</v>
      </c>
      <c r="P4469">
        <v>0.98695129999999998</v>
      </c>
      <c r="Q4469">
        <v>0.1543852</v>
      </c>
      <c r="R4469">
        <v>4.574661E-2</v>
      </c>
      <c r="S4469">
        <v>3.0620419999999999</v>
      </c>
      <c r="T4469">
        <v>-0.1431682</v>
      </c>
      <c r="U4469">
        <v>-1.9103999999999999E-2</v>
      </c>
      <c r="V4469">
        <v>-0.12868640000000001</v>
      </c>
      <c r="W4469">
        <v>0.16252329999999901</v>
      </c>
      <c r="X4469">
        <v>0.97827710000000001</v>
      </c>
      <c r="Y4469">
        <v>-7.7026490000000003E-2</v>
      </c>
      <c r="Z4469">
        <v>5.2918599999999998E-3</v>
      </c>
      <c r="AA4469">
        <v>0.99701499999999998</v>
      </c>
      <c r="AB4469">
        <v>27</v>
      </c>
      <c r="AC4469">
        <v>23.522300000000001</v>
      </c>
      <c r="AD4469">
        <v>-1.1118462443070001</v>
      </c>
      <c r="AE4469">
        <v>-0.12906999999999799</v>
      </c>
      <c r="AF4469">
        <v>-1.82916685998828</v>
      </c>
      <c r="AG4469">
        <v>-1.1118462443070001</v>
      </c>
      <c r="AH4469">
        <v>23.398830352522999</v>
      </c>
      <c r="AI4469">
        <v>92.712224839596402</v>
      </c>
      <c r="AJ4469">
        <v>94.469917133265199</v>
      </c>
      <c r="AK4469">
        <v>23.496538369275001</v>
      </c>
      <c r="AL4469">
        <v>80.646612422721006</v>
      </c>
      <c r="AM4469">
        <v>97.493884601256099</v>
      </c>
      <c r="AN4469">
        <v>1.00000004848612</v>
      </c>
    </row>
    <row r="4470" spans="1:40" x14ac:dyDescent="0.25">
      <c r="A4470" t="str">
        <f>"20190304155504313"</f>
        <v>20190304155504313</v>
      </c>
      <c r="B4470" t="str">
        <f>"1551686104301925"</f>
        <v>1551686104301925</v>
      </c>
      <c r="C4470" t="s">
        <v>40</v>
      </c>
      <c r="D4470">
        <v>4.8387669999999998</v>
      </c>
      <c r="E4470">
        <v>0.51807420000000004</v>
      </c>
      <c r="F4470" t="s">
        <v>46</v>
      </c>
      <c r="G4470">
        <v>-352.2423</v>
      </c>
      <c r="H4470" s="1">
        <v>-3.6536859999999999E-6</v>
      </c>
      <c r="I4470">
        <v>17.680540000000001</v>
      </c>
      <c r="J4470">
        <v>-376.4178</v>
      </c>
      <c r="K4470">
        <v>1.1118939999999999</v>
      </c>
      <c r="L4470">
        <v>17.789279999999899</v>
      </c>
      <c r="M4470">
        <v>0.99671489999999996</v>
      </c>
      <c r="N4470">
        <v>-9.2904119999999996E-3</v>
      </c>
      <c r="O4470">
        <v>-8.0457340000000002E-2</v>
      </c>
      <c r="P4470">
        <v>0.98675420000000003</v>
      </c>
      <c r="Q4470">
        <v>0.15473689999999901</v>
      </c>
      <c r="R4470">
        <v>4.871383E-2</v>
      </c>
      <c r="S4470">
        <v>3.0621339999999999</v>
      </c>
      <c r="T4470">
        <v>-0.13910059999999999</v>
      </c>
      <c r="U4470">
        <v>-1.6326899999999998E-2</v>
      </c>
      <c r="V4470">
        <v>-0.12873769999999901</v>
      </c>
      <c r="W4470">
        <v>0.1632139</v>
      </c>
      <c r="X4470">
        <v>0.97815529999999995</v>
      </c>
      <c r="Y4470">
        <v>-7.4999650000000001E-2</v>
      </c>
      <c r="Z4470">
        <v>4.9531439999999996E-3</v>
      </c>
      <c r="AA4470">
        <v>0.99717129999999998</v>
      </c>
      <c r="AB4470">
        <v>27</v>
      </c>
      <c r="AC4470">
        <v>24.1755</v>
      </c>
      <c r="AD4470">
        <v>-1.1118976536859999</v>
      </c>
      <c r="AE4470">
        <v>-0.10873999999999701</v>
      </c>
      <c r="AF4470">
        <v>-1.83291550349026</v>
      </c>
      <c r="AG4470">
        <v>-1.1118976536859999</v>
      </c>
      <c r="AH4470">
        <v>24.054983600995001</v>
      </c>
      <c r="AI4470">
        <v>92.638870285356404</v>
      </c>
      <c r="AJ4470">
        <v>94.357341704795203</v>
      </c>
      <c r="AK4470">
        <v>24.150323635085002</v>
      </c>
      <c r="AL4470">
        <v>80.606507848685595</v>
      </c>
      <c r="AM4470">
        <v>97.497760903313406</v>
      </c>
      <c r="AN4470">
        <v>0.99999998173629401</v>
      </c>
    </row>
    <row r="4471" spans="1:40" x14ac:dyDescent="0.25">
      <c r="A4471" t="str">
        <f>"20190304155504336"</f>
        <v>20190304155504336</v>
      </c>
      <c r="B4471" t="str">
        <f>"1551686104332182"</f>
        <v>1551686104332182</v>
      </c>
      <c r="C4471" t="s">
        <v>40</v>
      </c>
      <c r="D4471">
        <v>4.8103350000000002</v>
      </c>
      <c r="E4471">
        <v>0.51836199999999999</v>
      </c>
      <c r="F4471" t="s">
        <v>46</v>
      </c>
      <c r="G4471">
        <v>-351.42230000000001</v>
      </c>
      <c r="H4471" s="1">
        <v>-3.9984800000000002E-6</v>
      </c>
      <c r="I4471">
        <v>17.719940000000001</v>
      </c>
      <c r="J4471">
        <v>-376.15069999999997</v>
      </c>
      <c r="K4471">
        <v>1.1119399999999999</v>
      </c>
      <c r="L4471">
        <v>17.770630000000001</v>
      </c>
      <c r="M4471">
        <v>0.99691960000000002</v>
      </c>
      <c r="N4471">
        <v>-9.6039139999999999E-3</v>
      </c>
      <c r="O4471">
        <v>-7.7841579999999994E-2</v>
      </c>
      <c r="P4471">
        <v>0.98653020000000002</v>
      </c>
      <c r="Q4471">
        <v>0.15570899999999999</v>
      </c>
      <c r="R4471">
        <v>5.0130389999999997E-2</v>
      </c>
      <c r="S4471">
        <v>3.0620120000000002</v>
      </c>
      <c r="T4471">
        <v>-0.13621069999999999</v>
      </c>
      <c r="U4471">
        <v>-8.4838869999999903E-3</v>
      </c>
      <c r="V4471">
        <v>-0.12756780000000001</v>
      </c>
      <c r="W4471">
        <v>0.16449859999999999</v>
      </c>
      <c r="X4471">
        <v>0.9780934</v>
      </c>
      <c r="Y4471">
        <v>-7.4945280000000003E-2</v>
      </c>
      <c r="Z4471">
        <v>4.7365849999999998E-3</v>
      </c>
      <c r="AA4471">
        <v>0.99717639999999996</v>
      </c>
      <c r="AB4471">
        <v>27</v>
      </c>
      <c r="AC4471">
        <v>24.728399999999901</v>
      </c>
      <c r="AD4471">
        <v>-1.1119439984799999</v>
      </c>
      <c r="AE4471">
        <v>-5.0689999999999402E-2</v>
      </c>
      <c r="AF4471">
        <v>-1.87066768850966</v>
      </c>
      <c r="AG4471">
        <v>-1.1119439984799999</v>
      </c>
      <c r="AH4471">
        <v>24.6075512661692</v>
      </c>
      <c r="AI4471">
        <v>92.579836728076998</v>
      </c>
      <c r="AJ4471">
        <v>94.347267487185107</v>
      </c>
      <c r="AK4471">
        <v>24.703590758708199</v>
      </c>
      <c r="AL4471">
        <v>80.531891783451698</v>
      </c>
      <c r="AM4471">
        <v>97.430855019112798</v>
      </c>
      <c r="AN4471">
        <v>1.0000000160611699</v>
      </c>
    </row>
    <row r="4472" spans="1:40" x14ac:dyDescent="0.25">
      <c r="A4472" t="str">
        <f>"20190304155504356"</f>
        <v>20190304155504356</v>
      </c>
      <c r="B4472" t="str">
        <f>"1551686104351701"</f>
        <v>1551686104351701</v>
      </c>
      <c r="C4472" t="s">
        <v>40</v>
      </c>
      <c r="D4472">
        <v>4.8268940000000002</v>
      </c>
      <c r="E4472">
        <v>0.51837319999999998</v>
      </c>
      <c r="F4472" t="s">
        <v>46</v>
      </c>
      <c r="G4472">
        <v>-350.32310000000001</v>
      </c>
      <c r="H4472" s="1">
        <v>-4.4706869999999997E-6</v>
      </c>
      <c r="I4472">
        <v>17.716229999999999</v>
      </c>
      <c r="J4472">
        <v>-375.90260000000001</v>
      </c>
      <c r="K4472">
        <v>1.111972</v>
      </c>
      <c r="L4472">
        <v>17.753910000000001</v>
      </c>
      <c r="M4472">
        <v>0.99710330000000003</v>
      </c>
      <c r="N4472">
        <v>-9.900285E-3</v>
      </c>
      <c r="O4472">
        <v>-7.5413850000000004E-2</v>
      </c>
      <c r="P4472">
        <v>0.98639520000000003</v>
      </c>
      <c r="Q4472">
        <v>0.15621109999999999</v>
      </c>
      <c r="R4472">
        <v>5.1211920000000001E-2</v>
      </c>
      <c r="S4472">
        <v>3.0621339999999999</v>
      </c>
      <c r="T4472">
        <v>-0.1318327</v>
      </c>
      <c r="U4472">
        <v>-6.4392090000000004E-3</v>
      </c>
      <c r="V4472">
        <v>-0.12625259999999999</v>
      </c>
      <c r="W4472">
        <v>0.16529859999999999</v>
      </c>
      <c r="X4472">
        <v>0.97812909999999997</v>
      </c>
      <c r="Y4472">
        <v>-7.3195819999999995E-2</v>
      </c>
      <c r="Z4472">
        <v>4.433406E-3</v>
      </c>
      <c r="AA4472">
        <v>0.99730770000000002</v>
      </c>
      <c r="AB4472">
        <v>27</v>
      </c>
      <c r="AC4472">
        <v>25.579499999999999</v>
      </c>
      <c r="AD4472">
        <v>-1.1119764706869999</v>
      </c>
      <c r="AE4472">
        <v>-3.7680000000001698E-2</v>
      </c>
      <c r="AF4472">
        <v>-1.88800231913547</v>
      </c>
      <c r="AG4472">
        <v>-1.1119764706869999</v>
      </c>
      <c r="AH4472">
        <v>25.461376559814902</v>
      </c>
      <c r="AI4472">
        <v>92.493855379267401</v>
      </c>
      <c r="AJ4472">
        <v>94.240813581759696</v>
      </c>
      <c r="AK4472">
        <v>25.5554835749417</v>
      </c>
      <c r="AL4472">
        <v>80.485418252106896</v>
      </c>
      <c r="AM4472">
        <v>97.354821961600507</v>
      </c>
      <c r="AN4472">
        <v>0.99999994121776303</v>
      </c>
    </row>
    <row r="4473" spans="1:40" x14ac:dyDescent="0.25">
      <c r="A4473" t="str">
        <f>"20190304155504378"</f>
        <v>20190304155504378</v>
      </c>
      <c r="B4473" t="str">
        <f>"1551686104372198"</f>
        <v>1551686104372198</v>
      </c>
      <c r="C4473" t="s">
        <v>40</v>
      </c>
      <c r="D4473">
        <v>4.8202160000000003</v>
      </c>
      <c r="E4473">
        <v>0.51855090000000004</v>
      </c>
      <c r="F4473" t="s">
        <v>46</v>
      </c>
      <c r="G4473">
        <v>-349.56630000000001</v>
      </c>
      <c r="H4473" s="1">
        <v>-6.3477099999999999E-7</v>
      </c>
      <c r="I4473">
        <v>17.73282</v>
      </c>
      <c r="J4473">
        <v>-375.63189999999997</v>
      </c>
      <c r="K4473">
        <v>1.112007</v>
      </c>
      <c r="L4473">
        <v>17.736360000000001</v>
      </c>
      <c r="M4473">
        <v>0.99729619999999997</v>
      </c>
      <c r="N4473">
        <v>-1.0230380000000001E-2</v>
      </c>
      <c r="O4473">
        <v>-7.277206E-2</v>
      </c>
      <c r="P4473">
        <v>0.98629169999999999</v>
      </c>
      <c r="Q4473">
        <v>0.15629019999999999</v>
      </c>
      <c r="R4473">
        <v>5.2932680000000003E-2</v>
      </c>
      <c r="S4473">
        <v>3.0619809999999998</v>
      </c>
      <c r="T4473">
        <v>-0.12928329999999999</v>
      </c>
      <c r="U4473">
        <v>-2.4414060000000001E-3</v>
      </c>
      <c r="V4473">
        <v>-0.12536459999999999</v>
      </c>
      <c r="W4473">
        <v>0.16570869999999999</v>
      </c>
      <c r="X4473">
        <v>0.97817399999999999</v>
      </c>
      <c r="Y4473">
        <v>-7.1863979999999994E-2</v>
      </c>
      <c r="Z4473">
        <v>4.2086659999999998E-3</v>
      </c>
      <c r="AA4473">
        <v>0.9974056</v>
      </c>
      <c r="AB4473">
        <v>27</v>
      </c>
      <c r="AC4473">
        <v>26.0655999999999</v>
      </c>
      <c r="AD4473">
        <v>-1.112007634771</v>
      </c>
      <c r="AE4473">
        <v>-3.5400000000009799E-3</v>
      </c>
      <c r="AF4473">
        <v>-1.88997610268188</v>
      </c>
      <c r="AG4473">
        <v>-1.112007634771</v>
      </c>
      <c r="AH4473">
        <v>25.949510971768799</v>
      </c>
      <c r="AI4473">
        <v>92.4473053313625</v>
      </c>
      <c r="AJ4473">
        <v>94.165657933019702</v>
      </c>
      <c r="AK4473">
        <v>26.041998585409001</v>
      </c>
      <c r="AL4473">
        <v>80.461593389626003</v>
      </c>
      <c r="AM4473">
        <v>97.303320566753101</v>
      </c>
      <c r="AN4473">
        <v>1.00000001523242</v>
      </c>
    </row>
    <row r="4474" spans="1:40" x14ac:dyDescent="0.25">
      <c r="A4474" t="str">
        <f>"20190304155504401"</f>
        <v>20190304155504401</v>
      </c>
      <c r="B4474" t="str">
        <f>"1551686104391721"</f>
        <v>1551686104391721</v>
      </c>
      <c r="C4474" t="s">
        <v>40</v>
      </c>
      <c r="D4474">
        <v>4.8113149999999996</v>
      </c>
      <c r="E4474">
        <v>0.5187136</v>
      </c>
      <c r="F4474" t="s">
        <v>46</v>
      </c>
      <c r="G4474">
        <v>-349.00049999999999</v>
      </c>
      <c r="H4474" s="1">
        <v>-8.2217259999999996E-7</v>
      </c>
      <c r="I4474">
        <v>17.752199999999998</v>
      </c>
      <c r="J4474">
        <v>-375.3605</v>
      </c>
      <c r="K4474">
        <v>1.112033</v>
      </c>
      <c r="L4474">
        <v>17.719479999999901</v>
      </c>
      <c r="M4474">
        <v>0.99748159999999997</v>
      </c>
      <c r="N4474">
        <v>-1.056269E-2</v>
      </c>
      <c r="O4474">
        <v>-7.0135729999999993E-2</v>
      </c>
      <c r="P4474">
        <v>0.98623660000000002</v>
      </c>
      <c r="Q4474">
        <v>0.15601809999999999</v>
      </c>
      <c r="R4474">
        <v>5.4735789999999999E-2</v>
      </c>
      <c r="S4474">
        <v>3.0618289999999999</v>
      </c>
      <c r="T4474">
        <v>-0.12784809999999999</v>
      </c>
      <c r="U4474">
        <v>1.8310550000000001E-3</v>
      </c>
      <c r="V4474">
        <v>-0.1245652</v>
      </c>
      <c r="W4474">
        <v>0.16576979999999999</v>
      </c>
      <c r="X4474">
        <v>0.97826579999999996</v>
      </c>
      <c r="Y4474">
        <v>-7.0625069999999998E-2</v>
      </c>
      <c r="Z4474">
        <v>4.0314909999999999E-3</v>
      </c>
      <c r="AA4474">
        <v>0.99749480000000001</v>
      </c>
      <c r="AB4474">
        <v>27</v>
      </c>
      <c r="AC4474">
        <v>26.36</v>
      </c>
      <c r="AD4474">
        <v>-1.1120338221726001</v>
      </c>
      <c r="AE4474">
        <v>3.2720000000001102E-2</v>
      </c>
      <c r="AF4474">
        <v>-1.8781777039521601</v>
      </c>
      <c r="AG4474">
        <v>-1.1120338221726001</v>
      </c>
      <c r="AH4474">
        <v>26.2460752767755</v>
      </c>
      <c r="AI4474">
        <v>92.419963171113594</v>
      </c>
      <c r="AJ4474">
        <v>94.093127372792907</v>
      </c>
      <c r="AK4474">
        <v>26.336678570834302</v>
      </c>
      <c r="AL4474">
        <v>80.458043813452093</v>
      </c>
      <c r="AM4474">
        <v>97.256574520952498</v>
      </c>
      <c r="AN4474">
        <v>1.00000004554635</v>
      </c>
    </row>
    <row r="4475" spans="1:40" x14ac:dyDescent="0.25">
      <c r="A4475" t="str">
        <f>"20190304155504423"</f>
        <v>20190304155504423</v>
      </c>
      <c r="B4475" t="str">
        <f>"1551686104412216"</f>
        <v>1551686104412216</v>
      </c>
      <c r="C4475" t="s">
        <v>40</v>
      </c>
      <c r="D4475">
        <v>4.8262199999999904</v>
      </c>
      <c r="E4475">
        <v>0.51889019999999997</v>
      </c>
      <c r="F4475" t="s">
        <v>46</v>
      </c>
      <c r="G4475">
        <v>-348.7022</v>
      </c>
      <c r="H4475" s="1">
        <v>-9.1742890000000001E-7</v>
      </c>
      <c r="I4475">
        <v>17.77572</v>
      </c>
      <c r="J4475">
        <v>-375.08949999999999</v>
      </c>
      <c r="K4475">
        <v>1.1120559999999999</v>
      </c>
      <c r="L4475">
        <v>17.70337</v>
      </c>
      <c r="M4475">
        <v>0.99765839999999995</v>
      </c>
      <c r="N4475">
        <v>-1.0889329999999999E-2</v>
      </c>
      <c r="O4475">
        <v>-6.7522380000000007E-2</v>
      </c>
      <c r="P4475">
        <v>0.98615220000000003</v>
      </c>
      <c r="Q4475">
        <v>0.1559547</v>
      </c>
      <c r="R4475">
        <v>5.6408449999999999E-2</v>
      </c>
      <c r="S4475">
        <v>3.0617679999999998</v>
      </c>
      <c r="T4475">
        <v>-0.12771950000000001</v>
      </c>
      <c r="U4475">
        <v>6.4697269999999998E-3</v>
      </c>
      <c r="V4475">
        <v>-0.1236545</v>
      </c>
      <c r="W4475">
        <v>0.1660374</v>
      </c>
      <c r="X4475">
        <v>0.97833590000000004</v>
      </c>
      <c r="Y4475">
        <v>-6.9526240000000003E-2</v>
      </c>
      <c r="Z4475">
        <v>3.906652E-3</v>
      </c>
      <c r="AA4475">
        <v>0.99757249999999997</v>
      </c>
      <c r="AB4475">
        <v>27</v>
      </c>
      <c r="AC4475">
        <v>26.3872999999999</v>
      </c>
      <c r="AD4475">
        <v>-1.1120569174288999</v>
      </c>
      <c r="AE4475">
        <v>7.2350000000000095E-2</v>
      </c>
      <c r="AF4475">
        <v>-1.8507366425582801</v>
      </c>
      <c r="AG4475">
        <v>-1.1120569174288999</v>
      </c>
      <c r="AH4475">
        <v>26.275517924489598</v>
      </c>
      <c r="AI4475">
        <v>92.417496688744905</v>
      </c>
      <c r="AJ4475">
        <v>94.029018883886593</v>
      </c>
      <c r="AK4475">
        <v>26.364080467709901</v>
      </c>
      <c r="AL4475">
        <v>80.442495498486394</v>
      </c>
      <c r="AM4475">
        <v>97.203570121623301</v>
      </c>
      <c r="AN4475">
        <v>0.99999999339890999</v>
      </c>
    </row>
    <row r="4476" spans="1:40" x14ac:dyDescent="0.25">
      <c r="A4476" t="str">
        <f>"20190304155504446"</f>
        <v>20190304155504446</v>
      </c>
      <c r="B4476" t="str">
        <f>"1551686104441493"</f>
        <v>1551686104441493</v>
      </c>
      <c r="C4476" t="s">
        <v>40</v>
      </c>
      <c r="D4476">
        <v>4.9518690000000003</v>
      </c>
      <c r="E4476">
        <v>0.51921090000000003</v>
      </c>
      <c r="F4476" t="s">
        <v>46</v>
      </c>
      <c r="G4476">
        <v>-348.27300000000002</v>
      </c>
      <c r="H4476" s="1">
        <v>-1.0584929999999999E-6</v>
      </c>
      <c r="I4476">
        <v>17.794429999999998</v>
      </c>
      <c r="J4476">
        <v>-374.81349999999998</v>
      </c>
      <c r="K4476">
        <v>1.1120749999999999</v>
      </c>
      <c r="L4476">
        <v>17.68768</v>
      </c>
      <c r="M4476">
        <v>0.99782969999999904</v>
      </c>
      <c r="N4476">
        <v>-1.121306E-2</v>
      </c>
      <c r="O4476">
        <v>-6.4887449999999999E-2</v>
      </c>
      <c r="P4476">
        <v>0.98597140000000005</v>
      </c>
      <c r="Q4476">
        <v>0.15636120000000001</v>
      </c>
      <c r="R4476">
        <v>5.8411890000000001E-2</v>
      </c>
      <c r="S4476">
        <v>3.0616150000000002</v>
      </c>
      <c r="T4476">
        <v>-0.12696250000000001</v>
      </c>
      <c r="U4476">
        <v>1.0406489999999999E-2</v>
      </c>
      <c r="V4476">
        <v>-0.12304850000000001</v>
      </c>
      <c r="W4476">
        <v>0.166769899999999</v>
      </c>
      <c r="X4476">
        <v>0.97828769999999998</v>
      </c>
      <c r="Y4476">
        <v>-6.8178909999999995E-2</v>
      </c>
      <c r="Z4476">
        <v>3.7560919999999999E-3</v>
      </c>
      <c r="AA4476">
        <v>0.9976661</v>
      </c>
      <c r="AB4476">
        <v>27</v>
      </c>
      <c r="AC4476">
        <v>26.540499999999899</v>
      </c>
      <c r="AD4476">
        <v>-1.1120760584929901</v>
      </c>
      <c r="AE4476">
        <v>0.106749999999998</v>
      </c>
      <c r="AF4476">
        <v>-1.82557334378658</v>
      </c>
      <c r="AG4476">
        <v>-1.1120760584929901</v>
      </c>
      <c r="AH4476">
        <v>26.4312294462074</v>
      </c>
      <c r="AI4476">
        <v>92.403540599920404</v>
      </c>
      <c r="AJ4476">
        <v>93.951075934467994</v>
      </c>
      <c r="AK4476">
        <v>26.517528565676699</v>
      </c>
      <c r="AL4476">
        <v>80.399932774205595</v>
      </c>
      <c r="AM4476">
        <v>97.1689848961108</v>
      </c>
      <c r="AN4476">
        <v>0.99999997843477395</v>
      </c>
    </row>
    <row r="4477" spans="1:40" x14ac:dyDescent="0.25">
      <c r="A4477" t="str">
        <f>"20190304155504466"</f>
        <v>20190304155504466</v>
      </c>
      <c r="B4477" t="str">
        <f>"1551686104461990"</f>
        <v>1551686104461990</v>
      </c>
      <c r="C4477" t="s">
        <v>40</v>
      </c>
      <c r="D4477">
        <v>4.7869260000000002</v>
      </c>
      <c r="E4477">
        <v>0.51934460000000005</v>
      </c>
      <c r="F4477" t="s">
        <v>46</v>
      </c>
      <c r="G4477">
        <v>-347.7765</v>
      </c>
      <c r="H4477" s="1">
        <v>-1.2561999999999999E-6</v>
      </c>
      <c r="I4477">
        <v>17.812100000000001</v>
      </c>
      <c r="J4477">
        <v>-374.55950000000001</v>
      </c>
      <c r="K4477">
        <v>1.112085</v>
      </c>
      <c r="L4477">
        <v>17.673860000000001</v>
      </c>
      <c r="M4477">
        <v>0.99797979999999997</v>
      </c>
      <c r="N4477">
        <v>-1.149379E-2</v>
      </c>
      <c r="O4477">
        <v>-6.248372E-2</v>
      </c>
      <c r="P4477">
        <v>0.98577040000000005</v>
      </c>
      <c r="Q4477">
        <v>0.15700239999999999</v>
      </c>
      <c r="R4477">
        <v>6.0059479999999998E-2</v>
      </c>
      <c r="S4477">
        <v>3.0618289999999999</v>
      </c>
      <c r="T4477">
        <v>-0.1259382</v>
      </c>
      <c r="U4477">
        <v>1.409912E-2</v>
      </c>
      <c r="V4477">
        <v>-0.1223143</v>
      </c>
      <c r="W4477">
        <v>0.16769510000000001</v>
      </c>
      <c r="X4477">
        <v>0.97822169999999997</v>
      </c>
      <c r="Y4477">
        <v>-6.6983100000000004E-2</v>
      </c>
      <c r="Z4477">
        <v>3.6116379999999999E-3</v>
      </c>
      <c r="AA4477">
        <v>0.99774759999999996</v>
      </c>
      <c r="AB4477">
        <v>27</v>
      </c>
      <c r="AC4477">
        <v>26.783000000000001</v>
      </c>
      <c r="AD4477">
        <v>-1.1120862562</v>
      </c>
      <c r="AE4477">
        <v>0.138239999999999</v>
      </c>
      <c r="AF4477">
        <v>-1.8084640010592401</v>
      </c>
      <c r="AG4477">
        <v>-1.1120862562</v>
      </c>
      <c r="AH4477">
        <v>26.676029829043799</v>
      </c>
      <c r="AI4477">
        <v>92.381737757120703</v>
      </c>
      <c r="AJ4477">
        <v>93.878352619320097</v>
      </c>
      <c r="AK4477">
        <v>26.760378273193201</v>
      </c>
      <c r="AL4477">
        <v>80.346166376222499</v>
      </c>
      <c r="AM4477">
        <v>97.127126350057594</v>
      </c>
      <c r="AN4477">
        <v>1.00000006444969</v>
      </c>
    </row>
    <row r="4478" spans="1:40" x14ac:dyDescent="0.25">
      <c r="A4478" t="str">
        <f>"20190304155504490"</f>
        <v>20190304155504490</v>
      </c>
      <c r="B4478" t="str">
        <f>"1551686104482485"</f>
        <v>1551686104482485</v>
      </c>
      <c r="C4478" t="s">
        <v>40</v>
      </c>
      <c r="D4478">
        <v>4.7777810000000001</v>
      </c>
      <c r="E4478">
        <v>0.51952240000000005</v>
      </c>
      <c r="F4478" t="s">
        <v>46</v>
      </c>
      <c r="G4478">
        <v>-346.9203</v>
      </c>
      <c r="H4478" s="1">
        <v>-1.618645E-6</v>
      </c>
      <c r="I4478">
        <v>17.83962</v>
      </c>
      <c r="J4478">
        <v>-374.2792</v>
      </c>
      <c r="K4478">
        <v>1.112093</v>
      </c>
      <c r="L4478">
        <v>17.659300000000002</v>
      </c>
      <c r="M4478">
        <v>0.99813719999999995</v>
      </c>
      <c r="N4478">
        <v>-1.178243E-2</v>
      </c>
      <c r="O4478">
        <v>-5.986064E-2</v>
      </c>
      <c r="P4478">
        <v>0.98564459999999998</v>
      </c>
      <c r="Q4478">
        <v>0.15739239999999999</v>
      </c>
      <c r="R4478">
        <v>6.1093000000000001E-2</v>
      </c>
      <c r="S4478">
        <v>3.0617679999999998</v>
      </c>
      <c r="T4478">
        <v>-0.12319280000000001</v>
      </c>
      <c r="U4478">
        <v>1.8371579999999998E-2</v>
      </c>
      <c r="V4478">
        <v>-0.1207558</v>
      </c>
      <c r="W4478">
        <v>0.16838420000000001</v>
      </c>
      <c r="X4478">
        <v>0.97829690000000002</v>
      </c>
      <c r="Y4478">
        <v>-6.5760199999999894E-2</v>
      </c>
      <c r="Z4478">
        <v>3.4112080000000002E-3</v>
      </c>
      <c r="AA4478">
        <v>0.99782959999999998</v>
      </c>
      <c r="AB4478">
        <v>27</v>
      </c>
      <c r="AC4478">
        <v>27.358899999999998</v>
      </c>
      <c r="AD4478">
        <v>-1.112094618645</v>
      </c>
      <c r="AE4478">
        <v>0.18031999999999801</v>
      </c>
      <c r="AF4478">
        <v>-1.81483305632933</v>
      </c>
      <c r="AG4478">
        <v>-1.112094618645</v>
      </c>
      <c r="AH4478">
        <v>27.2540072887567</v>
      </c>
      <c r="AI4478">
        <v>92.331489490198805</v>
      </c>
      <c r="AJ4478">
        <v>93.809677944215807</v>
      </c>
      <c r="AK4478">
        <v>27.336994837742601</v>
      </c>
      <c r="AL4478">
        <v>80.306113824985204</v>
      </c>
      <c r="AM4478">
        <v>97.036694992305598</v>
      </c>
      <c r="AN4478">
        <v>1.0000000132964399</v>
      </c>
    </row>
    <row r="4479" spans="1:40" x14ac:dyDescent="0.25">
      <c r="A4479" t="str">
        <f>"20190304155504514"</f>
        <v>20190304155504514</v>
      </c>
      <c r="B4479" t="str">
        <f>"1551686104502005"</f>
        <v>1551686104502005</v>
      </c>
      <c r="C4479" t="s">
        <v>40</v>
      </c>
      <c r="D4479">
        <v>4.7738149999999999</v>
      </c>
      <c r="E4479">
        <v>0.51973659999999999</v>
      </c>
      <c r="F4479" t="s">
        <v>46</v>
      </c>
      <c r="G4479">
        <v>-346.15219999999999</v>
      </c>
      <c r="H4479" s="1">
        <v>-1.9474280000000001E-6</v>
      </c>
      <c r="I4479">
        <v>17.843689999999999</v>
      </c>
      <c r="J4479">
        <v>-373.99110000000002</v>
      </c>
      <c r="K4479">
        <v>1.11209</v>
      </c>
      <c r="L4479">
        <v>17.645050000000001</v>
      </c>
      <c r="M4479">
        <v>0.99828989999999995</v>
      </c>
      <c r="N4479">
        <v>-1.205735E-2</v>
      </c>
      <c r="O4479">
        <v>-5.7201019999999998E-2</v>
      </c>
      <c r="P4479">
        <v>0.98545000000000005</v>
      </c>
      <c r="Q4479">
        <v>0.15830949999999999</v>
      </c>
      <c r="R4479">
        <v>6.1858360000000001E-2</v>
      </c>
      <c r="S4479">
        <v>3.0617369999999999</v>
      </c>
      <c r="T4479">
        <v>-0.1210557</v>
      </c>
      <c r="U4479">
        <v>2.0080569999999999E-2</v>
      </c>
      <c r="V4479">
        <v>-0.1188895</v>
      </c>
      <c r="W4479">
        <v>0.16958790000000001</v>
      </c>
      <c r="X4479">
        <v>0.97831760000000001</v>
      </c>
      <c r="Y4479">
        <v>-6.3665159999999998E-2</v>
      </c>
      <c r="Z4479">
        <v>3.2122560000000001E-3</v>
      </c>
      <c r="AA4479">
        <v>0.99796620000000003</v>
      </c>
      <c r="AB4479">
        <v>27</v>
      </c>
      <c r="AC4479">
        <v>27.838899999999999</v>
      </c>
      <c r="AD4479">
        <v>-1.112091947428</v>
      </c>
      <c r="AE4479">
        <v>0.19863999999999701</v>
      </c>
      <c r="AF4479">
        <v>-1.7879907853663399</v>
      </c>
      <c r="AG4479">
        <v>-1.112091947428</v>
      </c>
      <c r="AH4479">
        <v>27.737687555604499</v>
      </c>
      <c r="AI4479">
        <v>92.291189863214498</v>
      </c>
      <c r="AJ4479">
        <v>93.688223349689494</v>
      </c>
      <c r="AK4479">
        <v>27.817493964777299</v>
      </c>
      <c r="AL4479">
        <v>80.236140906784101</v>
      </c>
      <c r="AM4479">
        <v>96.928861989962797</v>
      </c>
      <c r="AN4479">
        <v>1.0000000477532001</v>
      </c>
    </row>
    <row r="4480" spans="1:40" x14ac:dyDescent="0.25">
      <c r="A4480" t="str">
        <f>"20190304155504536"</f>
        <v>20190304155504536</v>
      </c>
      <c r="B4480" t="str">
        <f>"1551686104532263"</f>
        <v>1551686104532263</v>
      </c>
      <c r="C4480" t="s">
        <v>40</v>
      </c>
      <c r="D4480">
        <v>4.7749470000000001</v>
      </c>
      <c r="E4480">
        <v>0.52011039999999997</v>
      </c>
      <c r="F4480" t="s">
        <v>46</v>
      </c>
      <c r="G4480">
        <v>-344.93360000000001</v>
      </c>
      <c r="H4480" s="1">
        <v>-2.470465E-6</v>
      </c>
      <c r="I4480">
        <v>17.842189999999999</v>
      </c>
      <c r="J4480">
        <v>-373.73110000000003</v>
      </c>
      <c r="K4480">
        <v>1.11208</v>
      </c>
      <c r="L4480">
        <v>17.632839999999899</v>
      </c>
      <c r="M4480">
        <v>0.99841979999999997</v>
      </c>
      <c r="N4480">
        <v>-1.228545E-2</v>
      </c>
      <c r="O4480">
        <v>-5.483789E-2</v>
      </c>
      <c r="P4480">
        <v>0.98525629999999997</v>
      </c>
      <c r="Q4480">
        <v>0.1592488</v>
      </c>
      <c r="R4480">
        <v>6.2530939999999993E-2</v>
      </c>
      <c r="S4480">
        <v>3.0618289999999999</v>
      </c>
      <c r="T4480">
        <v>-0.1171827</v>
      </c>
      <c r="U4480">
        <v>2.0782470000000001E-2</v>
      </c>
      <c r="V4480">
        <v>-0.11722299999999999</v>
      </c>
      <c r="W4480">
        <v>0.17076669999999999</v>
      </c>
      <c r="X4480">
        <v>0.97831360000000001</v>
      </c>
      <c r="Y4480">
        <v>-6.1540009999999999E-2</v>
      </c>
      <c r="Z4480">
        <v>2.9789130000000001E-3</v>
      </c>
      <c r="AA4480">
        <v>0.99810019999999999</v>
      </c>
      <c r="AB4480">
        <v>27</v>
      </c>
      <c r="AC4480">
        <v>28.797499999999999</v>
      </c>
      <c r="AD4480">
        <v>-1.1120824704650001</v>
      </c>
      <c r="AE4480">
        <v>0.20935000000000001</v>
      </c>
      <c r="AF4480">
        <v>-1.78568523938917</v>
      </c>
      <c r="AG4480">
        <v>-1.1120824704650001</v>
      </c>
      <c r="AH4480">
        <v>28.699882034090301</v>
      </c>
      <c r="AI4480">
        <v>92.214747042994304</v>
      </c>
      <c r="AJ4480">
        <v>93.560311102971895</v>
      </c>
      <c r="AK4480">
        <v>28.776876619362</v>
      </c>
      <c r="AL4480">
        <v>80.167600392359105</v>
      </c>
      <c r="AM4480">
        <v>96.832690911134506</v>
      </c>
      <c r="AN4480">
        <v>0.99999999875142498</v>
      </c>
    </row>
    <row r="4481" spans="1:40" x14ac:dyDescent="0.25">
      <c r="A4481" t="str">
        <f>"20190304155504559"</f>
        <v>20190304155504559</v>
      </c>
      <c r="B4481" t="str">
        <f>"1551686104551781"</f>
        <v>1551686104551781</v>
      </c>
      <c r="C4481" t="s">
        <v>40</v>
      </c>
      <c r="D4481">
        <v>4.9791679999999996</v>
      </c>
      <c r="E4481">
        <v>0.52026969999999995</v>
      </c>
      <c r="F4481" t="s">
        <v>46</v>
      </c>
      <c r="G4481">
        <v>-343.79910000000001</v>
      </c>
      <c r="H4481" s="1">
        <v>-2.9601829999999998E-6</v>
      </c>
      <c r="I4481">
        <v>17.82518</v>
      </c>
      <c r="J4481">
        <v>-373.45310000000001</v>
      </c>
      <c r="K4481">
        <v>1.112066</v>
      </c>
      <c r="L4481">
        <v>17.620360000000002</v>
      </c>
      <c r="M4481">
        <v>0.99855050000000001</v>
      </c>
      <c r="N4481">
        <v>-1.250865E-2</v>
      </c>
      <c r="O4481">
        <v>-5.2350769999999998E-2</v>
      </c>
      <c r="P4481">
        <v>0.98509409999999997</v>
      </c>
      <c r="Q4481">
        <v>0.15990470000000001</v>
      </c>
      <c r="R4481">
        <v>6.3405110000000001E-2</v>
      </c>
      <c r="S4481">
        <v>3.0620120000000002</v>
      </c>
      <c r="T4481">
        <v>-0.11376459999999999</v>
      </c>
      <c r="U4481">
        <v>1.9683840000000001E-2</v>
      </c>
      <c r="V4481">
        <v>-0.115634</v>
      </c>
      <c r="W4481">
        <v>0.1716589</v>
      </c>
      <c r="X4481">
        <v>0.97834659999999996</v>
      </c>
      <c r="Y4481">
        <v>-5.8703239999999997E-2</v>
      </c>
      <c r="Z4481">
        <v>2.7463040000000002E-3</v>
      </c>
      <c r="AA4481">
        <v>0.99827169999999998</v>
      </c>
      <c r="AB4481">
        <v>27</v>
      </c>
      <c r="AC4481">
        <v>29.654</v>
      </c>
      <c r="AD4481">
        <v>-1.1120689601830001</v>
      </c>
      <c r="AE4481">
        <v>0.204819999999998</v>
      </c>
      <c r="AF4481">
        <v>-1.75460267634196</v>
      </c>
      <c r="AG4481">
        <v>-1.1120689601830001</v>
      </c>
      <c r="AH4481">
        <v>29.561036004357</v>
      </c>
      <c r="AI4481">
        <v>92.150636417197305</v>
      </c>
      <c r="AJ4481">
        <v>93.396819995460405</v>
      </c>
      <c r="AK4481">
        <v>29.633936248411501</v>
      </c>
      <c r="AL4481">
        <v>80.115715319426897</v>
      </c>
      <c r="AM4481">
        <v>96.740704132812795</v>
      </c>
      <c r="AN4481">
        <v>1.00000003481838</v>
      </c>
    </row>
    <row r="4482" spans="1:40" x14ac:dyDescent="0.25">
      <c r="A4482" t="str">
        <f>"20190304155504583"</f>
        <v>20190304155504583</v>
      </c>
      <c r="B4482" t="str">
        <f>"1551686104572280"</f>
        <v>1551686104572280</v>
      </c>
      <c r="C4482" t="s">
        <v>40</v>
      </c>
      <c r="D4482">
        <v>4.6693819999999997</v>
      </c>
      <c r="E4482">
        <v>0.52045609999999998</v>
      </c>
      <c r="F4482" t="s">
        <v>46</v>
      </c>
      <c r="G4482">
        <v>-342.68689999999998</v>
      </c>
      <c r="H4482" s="1">
        <v>-3.4361769999999998E-6</v>
      </c>
      <c r="I4482">
        <v>17.83155</v>
      </c>
      <c r="J4482">
        <v>-373.17669999999998</v>
      </c>
      <c r="K4482">
        <v>1.1120479999999999</v>
      </c>
      <c r="L4482">
        <v>17.608640000000001</v>
      </c>
      <c r="M4482">
        <v>0.99867220000000001</v>
      </c>
      <c r="N4482">
        <v>-1.2708499999999999E-2</v>
      </c>
      <c r="O4482">
        <v>-4.992444E-2</v>
      </c>
      <c r="P4482">
        <v>0.98489479999999996</v>
      </c>
      <c r="Q4482">
        <v>0.160974799999999</v>
      </c>
      <c r="R4482">
        <v>6.3792219999999997E-2</v>
      </c>
      <c r="S4482">
        <v>3.0620120000000002</v>
      </c>
      <c r="T4482">
        <v>-0.11067879999999999</v>
      </c>
      <c r="U4482">
        <v>2.1026610000000001E-2</v>
      </c>
      <c r="V4482">
        <v>-0.1136167</v>
      </c>
      <c r="W4482">
        <v>0.1729454</v>
      </c>
      <c r="X4482">
        <v>0.97835640000000001</v>
      </c>
      <c r="Y4482">
        <v>-5.672174E-2</v>
      </c>
      <c r="Z4482">
        <v>2.5543229999999998E-3</v>
      </c>
      <c r="AA4482">
        <v>0.99838669999999996</v>
      </c>
      <c r="AB4482">
        <v>27</v>
      </c>
      <c r="AC4482">
        <v>30.489799999999999</v>
      </c>
      <c r="AD4482">
        <v>-1.112051436177</v>
      </c>
      <c r="AE4482">
        <v>0.222909999999998</v>
      </c>
      <c r="AF4482">
        <v>-1.7426229826431801</v>
      </c>
      <c r="AG4482">
        <v>-1.112051436177</v>
      </c>
      <c r="AH4482">
        <v>30.400205057381999</v>
      </c>
      <c r="AI4482">
        <v>92.091537586434001</v>
      </c>
      <c r="AJ4482">
        <v>93.280760674525297</v>
      </c>
      <c r="AK4482">
        <v>30.470409593361399</v>
      </c>
      <c r="AL4482">
        <v>80.040885356540301</v>
      </c>
      <c r="AM4482">
        <v>96.624097240779804</v>
      </c>
      <c r="AN4482">
        <v>1.0000000556605</v>
      </c>
    </row>
    <row r="4483" spans="1:40" x14ac:dyDescent="0.25">
      <c r="A4483" t="str">
        <f>"20190304155504604"</f>
        <v>20190304155504604</v>
      </c>
      <c r="B4483" t="str">
        <f>"1551686104591798"</f>
        <v>1551686104591798</v>
      </c>
      <c r="C4483" t="s">
        <v>40</v>
      </c>
      <c r="D4483">
        <v>4.7443049999999998</v>
      </c>
      <c r="E4483">
        <v>0.52058300000000002</v>
      </c>
      <c r="F4483" t="s">
        <v>46</v>
      </c>
      <c r="G4483">
        <v>-341.46300000000002</v>
      </c>
      <c r="H4483" s="1">
        <v>-3.9625650000000001E-6</v>
      </c>
      <c r="I4483">
        <v>17.824100000000001</v>
      </c>
      <c r="J4483">
        <v>-372.91590000000002</v>
      </c>
      <c r="K4483">
        <v>1.112023</v>
      </c>
      <c r="L4483">
        <v>17.598179999999999</v>
      </c>
      <c r="M4483">
        <v>0.99877939999999998</v>
      </c>
      <c r="N4483">
        <v>-1.287542E-2</v>
      </c>
      <c r="O4483">
        <v>-4.7686630000000001E-2</v>
      </c>
      <c r="P4483">
        <v>0.98477890000000001</v>
      </c>
      <c r="Q4483">
        <v>0.16146060000000001</v>
      </c>
      <c r="R4483">
        <v>6.4351749999999999E-2</v>
      </c>
      <c r="S4483">
        <v>3.0622560000000001</v>
      </c>
      <c r="T4483">
        <v>-0.1073788</v>
      </c>
      <c r="U4483">
        <v>2.081299E-2</v>
      </c>
      <c r="V4483">
        <v>-0.1119578</v>
      </c>
      <c r="W4483">
        <v>0.17361409999999999</v>
      </c>
      <c r="X4483">
        <v>0.97842910000000005</v>
      </c>
      <c r="Y4483">
        <v>-5.442077E-2</v>
      </c>
      <c r="Z4483">
        <v>2.3615160000000001E-3</v>
      </c>
      <c r="AA4483">
        <v>0.99851529999999999</v>
      </c>
      <c r="AB4483">
        <v>27</v>
      </c>
      <c r="AC4483">
        <v>31.4529</v>
      </c>
      <c r="AD4483">
        <v>-1.1120269625650001</v>
      </c>
      <c r="AE4483">
        <v>0.22592000000000201</v>
      </c>
      <c r="AF4483">
        <v>-1.7235157408086901</v>
      </c>
      <c r="AG4483">
        <v>-1.1120269625650001</v>
      </c>
      <c r="AH4483">
        <v>31.367130457187098</v>
      </c>
      <c r="AI4483">
        <v>92.027343095482195</v>
      </c>
      <c r="AJ4483">
        <v>93.145043119949406</v>
      </c>
      <c r="AK4483">
        <v>31.434121326871601</v>
      </c>
      <c r="AL4483">
        <v>80.001982158521798</v>
      </c>
      <c r="AM4483">
        <v>96.527739926076904</v>
      </c>
      <c r="AN4483">
        <v>0.99999995421322896</v>
      </c>
    </row>
    <row r="4484" spans="1:40" x14ac:dyDescent="0.25">
      <c r="A4484" t="str">
        <f>"20190304155504625"</f>
        <v>20190304155504625</v>
      </c>
      <c r="B4484" t="str">
        <f>"1551686104622054"</f>
        <v>1551686104622054</v>
      </c>
      <c r="C4484" t="s">
        <v>40</v>
      </c>
      <c r="D4484">
        <v>4.9594189999999996</v>
      </c>
      <c r="E4484">
        <v>0.52067280000000005</v>
      </c>
      <c r="F4484" t="s">
        <v>46</v>
      </c>
      <c r="G4484">
        <v>-340.53539999999998</v>
      </c>
      <c r="H4484" s="1">
        <v>-4.3600660000000003E-6</v>
      </c>
      <c r="I4484">
        <v>17.82657</v>
      </c>
      <c r="J4484">
        <v>-372.65699999999998</v>
      </c>
      <c r="K4484">
        <v>1.112001</v>
      </c>
      <c r="L4484">
        <v>17.588290000000001</v>
      </c>
      <c r="M4484">
        <v>0.99887919999999997</v>
      </c>
      <c r="N4484">
        <v>-1.302237E-2</v>
      </c>
      <c r="O4484">
        <v>-4.5506680000000001E-2</v>
      </c>
      <c r="P4484">
        <v>0.98451169999999999</v>
      </c>
      <c r="Q4484">
        <v>0.16278429999999999</v>
      </c>
      <c r="R4484">
        <v>6.5101679999999995E-2</v>
      </c>
      <c r="S4484">
        <v>3.062195</v>
      </c>
      <c r="T4484">
        <v>-0.1051632</v>
      </c>
      <c r="U4484">
        <v>2.1606449999999999E-2</v>
      </c>
      <c r="V4484">
        <v>-0.1105439</v>
      </c>
      <c r="W4484">
        <v>0.175097</v>
      </c>
      <c r="X4484">
        <v>0.97832569999999996</v>
      </c>
      <c r="Y4484">
        <v>-5.2504769999999999E-2</v>
      </c>
      <c r="Z4484">
        <v>2.212664E-3</v>
      </c>
      <c r="AA4484">
        <v>0.99861820000000001</v>
      </c>
      <c r="AB4484">
        <v>27</v>
      </c>
      <c r="AC4484">
        <v>32.121600000000001</v>
      </c>
      <c r="AD4484">
        <v>-1.112005360066</v>
      </c>
      <c r="AE4484">
        <v>0.23827999999999899</v>
      </c>
      <c r="AF4484">
        <v>-1.6978696714538799</v>
      </c>
      <c r="AG4484">
        <v>-1.112005360066</v>
      </c>
      <c r="AH4484">
        <v>32.039078157218803</v>
      </c>
      <c r="AI4484">
        <v>91.985028400428902</v>
      </c>
      <c r="AJ4484">
        <v>93.033478472383507</v>
      </c>
      <c r="AK4484">
        <v>32.103299620232697</v>
      </c>
      <c r="AL4484">
        <v>79.915697495059504</v>
      </c>
      <c r="AM4484">
        <v>96.446675761033902</v>
      </c>
      <c r="AN4484">
        <v>1.0000000442583401</v>
      </c>
    </row>
    <row r="4485" spans="1:40" x14ac:dyDescent="0.25">
      <c r="A4485" t="str">
        <f>"20190304155504647"</f>
        <v>20190304155504647</v>
      </c>
      <c r="B4485" t="str">
        <f>"1551686104642550"</f>
        <v>1551686104642550</v>
      </c>
      <c r="C4485" t="s">
        <v>40</v>
      </c>
      <c r="D4485">
        <v>4.7369059999999896</v>
      </c>
      <c r="E4485">
        <v>0.52083469999999998</v>
      </c>
      <c r="F4485" t="s">
        <v>46</v>
      </c>
      <c r="G4485">
        <v>-338.66980000000001</v>
      </c>
      <c r="H4485" s="1">
        <v>-9.0948909999999999E-7</v>
      </c>
      <c r="I4485">
        <v>17.846989999999899</v>
      </c>
      <c r="J4485">
        <v>-372.39330000000001</v>
      </c>
      <c r="K4485">
        <v>1.1119790000000001</v>
      </c>
      <c r="L4485">
        <v>17.578769999999999</v>
      </c>
      <c r="M4485">
        <v>0.99897420000000003</v>
      </c>
      <c r="N4485">
        <v>-1.31541E-2</v>
      </c>
      <c r="O4485">
        <v>-4.3331460000000002E-2</v>
      </c>
      <c r="P4485">
        <v>0.98430059999999997</v>
      </c>
      <c r="Q4485">
        <v>0.16372890000000001</v>
      </c>
      <c r="R4485">
        <v>6.5919420000000006E-2</v>
      </c>
      <c r="S4485">
        <v>3.0622250000000002</v>
      </c>
      <c r="T4485">
        <v>-0.1001905</v>
      </c>
      <c r="U4485">
        <v>2.3315430000000002E-2</v>
      </c>
      <c r="V4485">
        <v>-0.10920390000000001</v>
      </c>
      <c r="W4485">
        <v>0.17618599999999901</v>
      </c>
      <c r="X4485">
        <v>0.97828059999999994</v>
      </c>
      <c r="Y4485">
        <v>-5.0894010000000003E-2</v>
      </c>
      <c r="Z4485">
        <v>2.014254E-3</v>
      </c>
      <c r="AA4485">
        <v>0.99870199999999998</v>
      </c>
      <c r="AB4485">
        <v>27</v>
      </c>
      <c r="AC4485">
        <v>33.723500000000001</v>
      </c>
      <c r="AD4485">
        <v>-1.1119799094891001</v>
      </c>
      <c r="AE4485">
        <v>0.26821999999999502</v>
      </c>
      <c r="AF4485">
        <v>-1.72750478355492</v>
      </c>
      <c r="AG4485">
        <v>-1.1119799094891001</v>
      </c>
      <c r="AH4485">
        <v>33.643619749573503</v>
      </c>
      <c r="AI4485">
        <v>91.890546839695901</v>
      </c>
      <c r="AJ4485">
        <v>92.939394880708093</v>
      </c>
      <c r="AK4485">
        <v>33.706289056349803</v>
      </c>
      <c r="AL4485">
        <v>79.852316282003301</v>
      </c>
      <c r="AM4485">
        <v>96.369467214829797</v>
      </c>
      <c r="AN4485">
        <v>0.99999996535378399</v>
      </c>
    </row>
    <row r="4486" spans="1:40" x14ac:dyDescent="0.25">
      <c r="A4486" t="str">
        <f>"20190304155504668"</f>
        <v>20190304155504668</v>
      </c>
      <c r="B4486" t="str">
        <f>"1551686104662070"</f>
        <v>1551686104662070</v>
      </c>
      <c r="C4486" t="s">
        <v>40</v>
      </c>
      <c r="D4486">
        <v>4.8806370000000001</v>
      </c>
      <c r="E4486">
        <v>0.52073440000000004</v>
      </c>
      <c r="F4486" t="s">
        <v>46</v>
      </c>
      <c r="G4486">
        <v>-337.17559999999997</v>
      </c>
      <c r="H4486" s="1">
        <v>-1.5055259999999999E-6</v>
      </c>
      <c r="I4486">
        <v>17.8598</v>
      </c>
      <c r="J4486">
        <v>-372.13290000000001</v>
      </c>
      <c r="K4486">
        <v>1.111947</v>
      </c>
      <c r="L4486">
        <v>17.569890000000001</v>
      </c>
      <c r="M4486">
        <v>0.99906130000000004</v>
      </c>
      <c r="N4486">
        <v>-1.326799E-2</v>
      </c>
      <c r="O4486">
        <v>-4.1236679999999998E-2</v>
      </c>
      <c r="P4486">
        <v>0.98405529999999997</v>
      </c>
      <c r="Q4486">
        <v>0.16482579999999999</v>
      </c>
      <c r="R4486">
        <v>6.6841510000000007E-2</v>
      </c>
      <c r="S4486">
        <v>3.0622560000000001</v>
      </c>
      <c r="T4486">
        <v>-9.6689109999999995E-2</v>
      </c>
      <c r="U4486">
        <v>2.444458E-2</v>
      </c>
      <c r="V4486">
        <v>-0.108046699999999</v>
      </c>
      <c r="W4486">
        <v>0.1774086</v>
      </c>
      <c r="X4486">
        <v>0.97818819999999995</v>
      </c>
      <c r="Y4486">
        <v>-4.9172790000000001E-2</v>
      </c>
      <c r="Z4486">
        <v>1.8567429999999999E-3</v>
      </c>
      <c r="AA4486">
        <v>0.99878849999999997</v>
      </c>
      <c r="AB4486">
        <v>27</v>
      </c>
      <c r="AC4486">
        <v>34.957299999999996</v>
      </c>
      <c r="AD4486">
        <v>-1.1119485055259899</v>
      </c>
      <c r="AE4486">
        <v>0.289909999999998</v>
      </c>
      <c r="AF4486">
        <v>-1.72956341765679</v>
      </c>
      <c r="AG4486">
        <v>-1.1119485055259899</v>
      </c>
      <c r="AH4486">
        <v>34.880314939218103</v>
      </c>
      <c r="AI4486">
        <v>91.823672976997798</v>
      </c>
      <c r="AJ4486">
        <v>92.838723974488204</v>
      </c>
      <c r="AK4486">
        <v>34.940867037806598</v>
      </c>
      <c r="AL4486">
        <v>79.781145962213799</v>
      </c>
      <c r="AM4486">
        <v>96.303108498197702</v>
      </c>
      <c r="AN4486">
        <v>1.00000002767704</v>
      </c>
    </row>
    <row r="4487" spans="1:40" x14ac:dyDescent="0.25">
      <c r="A4487" t="str">
        <f>"20190304155504691"</f>
        <v>20190304155504691</v>
      </c>
      <c r="B4487" t="str">
        <f>"1551686104682565"</f>
        <v>1551686104682565</v>
      </c>
      <c r="C4487" t="s">
        <v>40</v>
      </c>
      <c r="D4487">
        <v>4.6253599999999997</v>
      </c>
      <c r="E4487">
        <v>0.48960969999999998</v>
      </c>
      <c r="F4487" t="s">
        <v>46</v>
      </c>
      <c r="G4487">
        <v>-335.40410000000003</v>
      </c>
      <c r="H4487" s="1">
        <v>-2.2569789999999998E-6</v>
      </c>
      <c r="I4487">
        <v>17.90802</v>
      </c>
      <c r="J4487">
        <v>-371.86660000000001</v>
      </c>
      <c r="K4487">
        <v>1.1119129999999999</v>
      </c>
      <c r="L4487">
        <v>17.56128</v>
      </c>
      <c r="M4487">
        <v>0.99914380000000003</v>
      </c>
      <c r="N4487">
        <v>-1.336946E-2</v>
      </c>
      <c r="O4487">
        <v>-3.9154809999999998E-2</v>
      </c>
      <c r="P4487">
        <v>0.9838365</v>
      </c>
      <c r="Q4487">
        <v>0.16567009999999999</v>
      </c>
      <c r="R4487">
        <v>6.7964999999999998E-2</v>
      </c>
      <c r="S4487">
        <v>3.0622250000000002</v>
      </c>
      <c r="T4487">
        <v>-9.2707399999999995E-2</v>
      </c>
      <c r="U4487">
        <v>2.8198239999999999E-2</v>
      </c>
      <c r="V4487">
        <v>-0.1071005</v>
      </c>
      <c r="W4487">
        <v>0.17836729999999901</v>
      </c>
      <c r="X4487">
        <v>0.97811789999999998</v>
      </c>
      <c r="Y4487">
        <v>-4.8320109999999999E-2</v>
      </c>
      <c r="Z4487">
        <v>1.715807E-3</v>
      </c>
      <c r="AA4487">
        <v>0.99883040000000001</v>
      </c>
      <c r="AB4487">
        <v>27</v>
      </c>
      <c r="AC4487">
        <v>36.462499999999899</v>
      </c>
      <c r="AD4487">
        <v>-1.1119152569789901</v>
      </c>
      <c r="AE4487">
        <v>0.34673999999999999</v>
      </c>
      <c r="AF4487">
        <v>-1.77263552407141</v>
      </c>
      <c r="AG4487">
        <v>-1.1119152569789901</v>
      </c>
      <c r="AH4487">
        <v>36.387121783542902</v>
      </c>
      <c r="AI4487">
        <v>91.748224000886296</v>
      </c>
      <c r="AJ4487">
        <v>92.789017030615696</v>
      </c>
      <c r="AK4487">
        <v>36.4472389068127</v>
      </c>
      <c r="AL4487">
        <v>79.725326119685207</v>
      </c>
      <c r="AM4487">
        <v>96.248794173302798</v>
      </c>
      <c r="AN4487">
        <v>1.00000001855497</v>
      </c>
    </row>
    <row r="4488" spans="1:40" x14ac:dyDescent="0.25">
      <c r="A4488" t="str">
        <f>"20190304155504714"</f>
        <v>20190304155504714</v>
      </c>
      <c r="B4488" t="str">
        <f>"1551686104702089"</f>
        <v>1551686104702089</v>
      </c>
      <c r="C4488" t="s">
        <v>40</v>
      </c>
      <c r="D4488">
        <v>4.6551049999999998</v>
      </c>
      <c r="E4488">
        <v>0.48184650000000001</v>
      </c>
      <c r="F4488" t="s">
        <v>92</v>
      </c>
      <c r="G4488">
        <v>-279.68</v>
      </c>
      <c r="H4488">
        <v>0.2113004</v>
      </c>
      <c r="I4488">
        <v>26.062550000000002</v>
      </c>
      <c r="J4488">
        <v>-371.59160000000003</v>
      </c>
      <c r="K4488">
        <v>1.1118699999999999</v>
      </c>
      <c r="L4488">
        <v>17.552949999999999</v>
      </c>
      <c r="M4488">
        <v>0.99922180000000005</v>
      </c>
      <c r="N4488">
        <v>-1.345996E-2</v>
      </c>
      <c r="O4488">
        <v>-3.7078640000000003E-2</v>
      </c>
      <c r="P4488">
        <v>0.98358710000000005</v>
      </c>
      <c r="Q4488">
        <v>0.1666667</v>
      </c>
      <c r="R4488">
        <v>6.9128780000000001E-2</v>
      </c>
      <c r="S4488">
        <v>3.0349430000000002</v>
      </c>
      <c r="T4488">
        <v>-2.9649620000000002E-2</v>
      </c>
      <c r="U4488">
        <v>0.27987669999999998</v>
      </c>
      <c r="V4488">
        <v>-0.106195899999999</v>
      </c>
      <c r="W4488">
        <v>0.1794693</v>
      </c>
      <c r="X4488">
        <v>0.97801490000000002</v>
      </c>
      <c r="Y4488">
        <v>-0.12867580000000001</v>
      </c>
      <c r="Z4488">
        <v>1.3587390000000001E-3</v>
      </c>
      <c r="AA4488">
        <v>0.9916857</v>
      </c>
      <c r="AB4488">
        <v>27</v>
      </c>
      <c r="AC4488">
        <v>91.911600000000007</v>
      </c>
      <c r="AD4488">
        <v>-0.90056959999999997</v>
      </c>
      <c r="AE4488">
        <v>8.5096000000000007</v>
      </c>
      <c r="AF4488">
        <v>-11.910879072571801</v>
      </c>
      <c r="AG4488">
        <v>-0.90056959999999997</v>
      </c>
      <c r="AH4488">
        <v>91.524120573773203</v>
      </c>
      <c r="AI4488">
        <v>90.559041064648596</v>
      </c>
      <c r="AJ4488">
        <v>97.414757009023802</v>
      </c>
      <c r="AK4488">
        <v>92.300296384618704</v>
      </c>
      <c r="AL4488">
        <v>79.661150138784393</v>
      </c>
      <c r="AM4488">
        <v>96.197074958026803</v>
      </c>
      <c r="AN4488">
        <v>0.99999997172065402</v>
      </c>
    </row>
    <row r="4489" spans="1:40" x14ac:dyDescent="0.25">
      <c r="A4489" t="str">
        <f>"20190304155504738"</f>
        <v>20190304155504738</v>
      </c>
      <c r="B4489" t="str">
        <f>"1551686104732341"</f>
        <v>1551686104732341</v>
      </c>
      <c r="C4489" t="s">
        <v>40</v>
      </c>
      <c r="D4489">
        <v>4.62683</v>
      </c>
      <c r="E4489">
        <v>0.48122670000000001</v>
      </c>
      <c r="F4489" t="s">
        <v>47</v>
      </c>
      <c r="G4489">
        <v>-308.93209999999999</v>
      </c>
      <c r="H4489">
        <v>-0.05</v>
      </c>
      <c r="I4489">
        <v>24.6647</v>
      </c>
      <c r="J4489">
        <v>-371.31889999999999</v>
      </c>
      <c r="K4489">
        <v>1.11182</v>
      </c>
      <c r="L4489">
        <v>17.545100000000001</v>
      </c>
      <c r="M4489">
        <v>0.99929219999999996</v>
      </c>
      <c r="N4489">
        <v>-1.3537169999999999E-2</v>
      </c>
      <c r="O4489">
        <v>-3.5100399999999997E-2</v>
      </c>
      <c r="P4489">
        <v>0.98336310000000005</v>
      </c>
      <c r="Q4489">
        <v>0.16768529999999901</v>
      </c>
      <c r="R4489">
        <v>6.984986E-2</v>
      </c>
      <c r="S4489">
        <v>3.0354000000000001</v>
      </c>
      <c r="T4489">
        <v>-5.6284189999999998E-2</v>
      </c>
      <c r="U4489">
        <v>0.34451290000000001</v>
      </c>
      <c r="V4489">
        <v>-0.10494340000000001</v>
      </c>
      <c r="W4489">
        <v>0.18058370000000001</v>
      </c>
      <c r="X4489">
        <v>0.97794499999999995</v>
      </c>
      <c r="Y4489">
        <v>-0.14754049999999999</v>
      </c>
      <c r="Z4489">
        <v>2.540877E-3</v>
      </c>
      <c r="AA4489">
        <v>0.98905279999999995</v>
      </c>
      <c r="AB4489">
        <v>27</v>
      </c>
      <c r="AC4489">
        <v>62.386800000000001</v>
      </c>
      <c r="AD4489">
        <v>-1.1618200000000001</v>
      </c>
      <c r="AE4489">
        <v>7.1195999999999904</v>
      </c>
      <c r="AF4489">
        <v>-9.3020295636595094</v>
      </c>
      <c r="AG4489">
        <v>-1.1618200000000001</v>
      </c>
      <c r="AH4489">
        <v>62.077173733069998</v>
      </c>
      <c r="AI4489">
        <v>91.060371611440999</v>
      </c>
      <c r="AJ4489">
        <v>98.522148112115204</v>
      </c>
      <c r="AK4489">
        <v>62.780992970813699</v>
      </c>
      <c r="AL4489">
        <v>79.596239551302304</v>
      </c>
      <c r="AM4489">
        <v>96.124978360571703</v>
      </c>
      <c r="AN4489">
        <v>1.00000000646712</v>
      </c>
    </row>
    <row r="4490" spans="1:40" x14ac:dyDescent="0.25">
      <c r="A4490" t="str">
        <f>"20190304155504758"</f>
        <v>20190304155504758</v>
      </c>
      <c r="B4490" t="str">
        <f>"1551686104751861"</f>
        <v>1551686104751861</v>
      </c>
      <c r="C4490" t="s">
        <v>40</v>
      </c>
      <c r="D4490">
        <v>4.6029309999999999</v>
      </c>
      <c r="E4490">
        <v>0.48105819999999999</v>
      </c>
      <c r="F4490" t="s">
        <v>46</v>
      </c>
      <c r="G4490">
        <v>-319.96359999999999</v>
      </c>
      <c r="H4490" s="1">
        <v>-5.4136729999999998E-6</v>
      </c>
      <c r="I4490">
        <v>23.49729</v>
      </c>
      <c r="J4490">
        <v>-371.05770000000001</v>
      </c>
      <c r="K4490">
        <v>1.1117619999999999</v>
      </c>
      <c r="L4490">
        <v>17.538019999999999</v>
      </c>
      <c r="M4490">
        <v>0.99935320000000005</v>
      </c>
      <c r="N4490">
        <v>-1.360051E-2</v>
      </c>
      <c r="O4490">
        <v>-3.3293110000000001E-2</v>
      </c>
      <c r="P4490">
        <v>0.98335899999999998</v>
      </c>
      <c r="Q4490">
        <v>0.1673886</v>
      </c>
      <c r="R4490">
        <v>7.0614769999999993E-2</v>
      </c>
      <c r="S4490">
        <v>3.0369570000000001</v>
      </c>
      <c r="T4490">
        <v>-6.5749169999999996E-2</v>
      </c>
      <c r="U4490">
        <v>0.35198970000000002</v>
      </c>
      <c r="V4490">
        <v>-0.1039033</v>
      </c>
      <c r="W4490">
        <v>0.1803717</v>
      </c>
      <c r="X4490">
        <v>0.97809520000000005</v>
      </c>
      <c r="Y4490">
        <v>-0.148085299999999</v>
      </c>
      <c r="Z4490">
        <v>2.875486E-3</v>
      </c>
      <c r="AA4490">
        <v>0.98897040000000003</v>
      </c>
      <c r="AB4490">
        <v>27</v>
      </c>
      <c r="AC4490">
        <v>51.094099999999997</v>
      </c>
      <c r="AD4490">
        <v>-1.111767413673</v>
      </c>
      <c r="AE4490">
        <v>5.9592700000000001</v>
      </c>
      <c r="AF4490">
        <v>-7.6536293244547799</v>
      </c>
      <c r="AG4490">
        <v>-1.111767413673</v>
      </c>
      <c r="AH4490">
        <v>50.8435992957086</v>
      </c>
      <c r="AI4490">
        <v>91.238702329158798</v>
      </c>
      <c r="AJ4490">
        <v>98.560618674081397</v>
      </c>
      <c r="AK4490">
        <v>51.428451833210303</v>
      </c>
      <c r="AL4490">
        <v>79.608589326316903</v>
      </c>
      <c r="AM4490">
        <v>96.063803621359796</v>
      </c>
      <c r="AN4490">
        <v>1.0000000330873999</v>
      </c>
    </row>
    <row r="4491" spans="1:40" x14ac:dyDescent="0.25">
      <c r="A4491" t="str">
        <f>"20190304155504780"</f>
        <v>20190304155504780</v>
      </c>
      <c r="B4491" t="str">
        <f>"1551686104772357"</f>
        <v>1551686104772357</v>
      </c>
      <c r="C4491" t="s">
        <v>40</v>
      </c>
      <c r="D4491">
        <v>4.5885579999999999</v>
      </c>
      <c r="E4491">
        <v>0.4809966</v>
      </c>
      <c r="F4491" t="s">
        <v>46</v>
      </c>
      <c r="G4491">
        <v>-323.28410000000002</v>
      </c>
      <c r="H4491" s="1">
        <v>-4.0736070000000002E-6</v>
      </c>
      <c r="I4491">
        <v>23.131229999999999</v>
      </c>
      <c r="J4491">
        <v>-370.80590000000001</v>
      </c>
      <c r="K4491">
        <v>1.111704</v>
      </c>
      <c r="L4491">
        <v>17.53152</v>
      </c>
      <c r="M4491">
        <v>0.99940620000000002</v>
      </c>
      <c r="N4491">
        <v>-1.3652940000000001E-2</v>
      </c>
      <c r="O4491">
        <v>-3.163875E-2</v>
      </c>
      <c r="P4491">
        <v>0.98326279999999999</v>
      </c>
      <c r="Q4491">
        <v>0.16762199999999999</v>
      </c>
      <c r="R4491">
        <v>7.1396680000000004E-2</v>
      </c>
      <c r="S4491">
        <v>3.0372309999999998</v>
      </c>
      <c r="T4491">
        <v>-7.0681209999999994E-2</v>
      </c>
      <c r="U4491">
        <v>0.35559079999999998</v>
      </c>
      <c r="V4491">
        <v>-0.103029</v>
      </c>
      <c r="W4491">
        <v>0.18067749999999999</v>
      </c>
      <c r="X4491">
        <v>0.97813119999999998</v>
      </c>
      <c r="Y4491">
        <v>-0.14758760000000001</v>
      </c>
      <c r="Z4491">
        <v>3.0260019999999999E-3</v>
      </c>
      <c r="AA4491">
        <v>0.98904440000000005</v>
      </c>
      <c r="AB4491">
        <v>27</v>
      </c>
      <c r="AC4491">
        <v>47.521799999999899</v>
      </c>
      <c r="AD4491">
        <v>-1.111708073607</v>
      </c>
      <c r="AE4491">
        <v>5.5997099999999902</v>
      </c>
      <c r="AF4491">
        <v>-7.0967458716976299</v>
      </c>
      <c r="AG4491">
        <v>-1.111708073607</v>
      </c>
      <c r="AH4491">
        <v>47.295291895965697</v>
      </c>
      <c r="AI4491">
        <v>91.331626147800094</v>
      </c>
      <c r="AJ4491">
        <v>98.533670796536001</v>
      </c>
      <c r="AK4491">
        <v>47.837687363970403</v>
      </c>
      <c r="AL4491">
        <v>79.5907751437515</v>
      </c>
      <c r="AM4491">
        <v>96.012935131372899</v>
      </c>
      <c r="AN4491">
        <v>0.99999998913034405</v>
      </c>
    </row>
    <row r="4492" spans="1:40" x14ac:dyDescent="0.25">
      <c r="A4492" t="str">
        <f>"20190304155504803"</f>
        <v>20190304155504803</v>
      </c>
      <c r="B4492" t="str">
        <f>"1551686104791881"</f>
        <v>1551686104791881</v>
      </c>
      <c r="C4492" t="s">
        <v>40</v>
      </c>
      <c r="D4492">
        <v>4.5696979999999998</v>
      </c>
      <c r="E4492">
        <v>0.48084860000000001</v>
      </c>
      <c r="F4492" t="s">
        <v>46</v>
      </c>
      <c r="G4492">
        <v>-323.85730000000001</v>
      </c>
      <c r="H4492" s="1">
        <v>-3.8025879999999999E-6</v>
      </c>
      <c r="I4492">
        <v>23.068010000000001</v>
      </c>
      <c r="J4492">
        <v>-370.53129999999999</v>
      </c>
      <c r="K4492">
        <v>1.111626</v>
      </c>
      <c r="L4492">
        <v>17.524809999999999</v>
      </c>
      <c r="M4492">
        <v>0.99945779999999995</v>
      </c>
      <c r="N4492">
        <v>-1.370127E-2</v>
      </c>
      <c r="O4492">
        <v>-2.993846E-2</v>
      </c>
      <c r="P4492">
        <v>0.9831124</v>
      </c>
      <c r="Q4492">
        <v>0.16814089999999901</v>
      </c>
      <c r="R4492">
        <v>7.2240289999999999E-2</v>
      </c>
      <c r="S4492">
        <v>3.0373540000000001</v>
      </c>
      <c r="T4492">
        <v>-7.1922180000000002E-2</v>
      </c>
      <c r="U4492">
        <v>0.35818480000000003</v>
      </c>
      <c r="V4492">
        <v>-0.10216740000000001</v>
      </c>
      <c r="W4492">
        <v>0.18126510000000001</v>
      </c>
      <c r="X4492">
        <v>0.97811289999999995</v>
      </c>
      <c r="Y4492">
        <v>-0.146732</v>
      </c>
      <c r="Z4492">
        <v>3.037924E-3</v>
      </c>
      <c r="AA4492">
        <v>0.98917160000000004</v>
      </c>
      <c r="AB4492">
        <v>27</v>
      </c>
      <c r="AC4492">
        <v>46.6739999999999</v>
      </c>
      <c r="AD4492">
        <v>-1.111629802588</v>
      </c>
      <c r="AE4492">
        <v>5.5431999999999899</v>
      </c>
      <c r="AF4492">
        <v>-6.9343149245268396</v>
      </c>
      <c r="AG4492">
        <v>-1.111629802588</v>
      </c>
      <c r="AH4492">
        <v>46.461115453736198</v>
      </c>
      <c r="AI4492">
        <v>91.355589372103196</v>
      </c>
      <c r="AJ4492">
        <v>98.488726839105297</v>
      </c>
      <c r="AK4492">
        <v>46.988889043005997</v>
      </c>
      <c r="AL4492">
        <v>79.5565433407439</v>
      </c>
      <c r="AM4492">
        <v>95.963125381616805</v>
      </c>
      <c r="AN4492">
        <v>1.00000002962358</v>
      </c>
    </row>
    <row r="4493" spans="1:40" x14ac:dyDescent="0.25">
      <c r="A4493" t="str">
        <f>"20190304155504827"</f>
        <v>20190304155504827</v>
      </c>
      <c r="B4493" t="str">
        <f>"1551686104822134"</f>
        <v>1551686104822134</v>
      </c>
      <c r="C4493" t="s">
        <v>40</v>
      </c>
      <c r="D4493">
        <v>4.5266310000000001</v>
      </c>
      <c r="E4493">
        <v>0.4808578</v>
      </c>
      <c r="F4493" t="s">
        <v>46</v>
      </c>
      <c r="G4493">
        <v>-323.5566</v>
      </c>
      <c r="H4493" s="1">
        <v>-3.9592460000000001E-6</v>
      </c>
      <c r="I4493">
        <v>23.12266</v>
      </c>
      <c r="J4493">
        <v>-370.2604</v>
      </c>
      <c r="K4493">
        <v>1.1115649999999999</v>
      </c>
      <c r="L4493">
        <v>17.51859</v>
      </c>
      <c r="M4493">
        <v>0.99950329999999998</v>
      </c>
      <c r="N4493">
        <v>-1.3741430000000001E-2</v>
      </c>
      <c r="O4493">
        <v>-2.8362200000000001E-2</v>
      </c>
      <c r="P4493">
        <v>0.98310109999999995</v>
      </c>
      <c r="Q4493">
        <v>0.16822000000000001</v>
      </c>
      <c r="R4493">
        <v>7.2211949999999997E-2</v>
      </c>
      <c r="S4493">
        <v>3.0372309999999998</v>
      </c>
      <c r="T4493">
        <v>-7.1874380000000002E-2</v>
      </c>
      <c r="U4493">
        <v>0.3619385</v>
      </c>
      <c r="V4493">
        <v>-0.1005611</v>
      </c>
      <c r="W4493">
        <v>0.18140770000000001</v>
      </c>
      <c r="X4493">
        <v>0.97825289999999998</v>
      </c>
      <c r="Y4493">
        <v>-0.1463824</v>
      </c>
      <c r="Z4493">
        <v>3.0159480000000001E-3</v>
      </c>
      <c r="AA4493">
        <v>0.98922350000000003</v>
      </c>
      <c r="AB4493">
        <v>27</v>
      </c>
      <c r="AC4493">
        <v>46.703800000000001</v>
      </c>
      <c r="AD4493">
        <v>-1.1115689592460001</v>
      </c>
      <c r="AE4493">
        <v>5.6040700000000001</v>
      </c>
      <c r="AF4493">
        <v>-6.9226968977815702</v>
      </c>
      <c r="AG4493">
        <v>-1.1115689592460001</v>
      </c>
      <c r="AH4493">
        <v>46.5000827950483</v>
      </c>
      <c r="AI4493">
        <v>91.3544537183393</v>
      </c>
      <c r="AJ4493">
        <v>98.467712333710097</v>
      </c>
      <c r="AK4493">
        <v>47.025705925972701</v>
      </c>
      <c r="AL4493">
        <v>79.548235041613097</v>
      </c>
      <c r="AM4493">
        <v>95.869197343860506</v>
      </c>
      <c r="AN4493">
        <v>1.00000001240545</v>
      </c>
    </row>
    <row r="4494" spans="1:40" x14ac:dyDescent="0.25">
      <c r="A4494" t="str">
        <f>"20190304155504847"</f>
        <v>20190304155504847</v>
      </c>
      <c r="B4494" t="str">
        <f>"1551686104842630"</f>
        <v>1551686104842630</v>
      </c>
      <c r="C4494" t="s">
        <v>40</v>
      </c>
      <c r="D4494">
        <v>4.5008710000000001</v>
      </c>
      <c r="E4494">
        <v>0.48092360000000001</v>
      </c>
      <c r="F4494" t="s">
        <v>46</v>
      </c>
      <c r="G4494">
        <v>-323.7679</v>
      </c>
      <c r="H4494" s="1">
        <v>-3.8404270000000002E-6</v>
      </c>
      <c r="I4494">
        <v>23.05151</v>
      </c>
      <c r="J4494">
        <v>-370.01209999999998</v>
      </c>
      <c r="K4494">
        <v>1.1115139999999999</v>
      </c>
      <c r="L4494">
        <v>17.51315</v>
      </c>
      <c r="M4494">
        <v>0.99954100000000001</v>
      </c>
      <c r="N4494">
        <v>-1.3772970000000001E-2</v>
      </c>
      <c r="O4494">
        <v>-2.6984419999999999E-2</v>
      </c>
      <c r="P4494">
        <v>0.98310929999999996</v>
      </c>
      <c r="Q4494">
        <v>0.16807169999999999</v>
      </c>
      <c r="R4494">
        <v>7.2444480000000006E-2</v>
      </c>
      <c r="S4494">
        <v>3.0374759999999998</v>
      </c>
      <c r="T4494">
        <v>-7.2621699999999997E-2</v>
      </c>
      <c r="U4494">
        <v>0.36148069999999999</v>
      </c>
      <c r="V4494">
        <v>-9.9416329999999997E-2</v>
      </c>
      <c r="W4494">
        <v>0.1813092</v>
      </c>
      <c r="X4494">
        <v>0.97838809999999998</v>
      </c>
      <c r="Y4494">
        <v>-0.14486189999999999</v>
      </c>
      <c r="Z4494">
        <v>2.9995249999999998E-3</v>
      </c>
      <c r="AA4494">
        <v>0.98944739999999998</v>
      </c>
      <c r="AB4494">
        <v>27</v>
      </c>
      <c r="AC4494">
        <v>46.2441999999999</v>
      </c>
      <c r="AD4494">
        <v>-1.1115178404270001</v>
      </c>
      <c r="AE4494">
        <v>5.5383599999999999</v>
      </c>
      <c r="AF4494">
        <v>-6.7804722650148204</v>
      </c>
      <c r="AG4494">
        <v>-1.1115178404270001</v>
      </c>
      <c r="AH4494">
        <v>46.051664753495601</v>
      </c>
      <c r="AI4494">
        <v>91.367899163696094</v>
      </c>
      <c r="AJ4494">
        <v>98.375833833428501</v>
      </c>
      <c r="AK4494">
        <v>46.561422901524097</v>
      </c>
      <c r="AL4494">
        <v>79.553973219229704</v>
      </c>
      <c r="AM4494">
        <v>95.802045573181701</v>
      </c>
      <c r="AN4494">
        <v>0.99999995344845805</v>
      </c>
    </row>
    <row r="4495" spans="1:40" x14ac:dyDescent="0.25">
      <c r="A4495" t="str">
        <f>"20190304155504870"</f>
        <v>20190304155504870</v>
      </c>
      <c r="B4495" t="str">
        <f>"1551686104861680"</f>
        <v>1551686104861680</v>
      </c>
      <c r="C4495" t="s">
        <v>40</v>
      </c>
      <c r="D4495">
        <v>4.5122220000000004</v>
      </c>
      <c r="E4495">
        <v>0.48098390000000002</v>
      </c>
      <c r="F4495" t="s">
        <v>46</v>
      </c>
      <c r="G4495">
        <v>-324.16199999999998</v>
      </c>
      <c r="H4495" s="1">
        <v>-3.634349E-6</v>
      </c>
      <c r="I4495">
        <v>22.977160000000001</v>
      </c>
      <c r="J4495">
        <v>-369.74540000000002</v>
      </c>
      <c r="K4495">
        <v>1.1114599999999999</v>
      </c>
      <c r="L4495">
        <v>17.507629999999999</v>
      </c>
      <c r="M4495">
        <v>0.99957770000000001</v>
      </c>
      <c r="N4495">
        <v>-1.3801880000000001E-2</v>
      </c>
      <c r="O4495">
        <v>-2.5574280000000001E-2</v>
      </c>
      <c r="P4495">
        <v>0.98312500000000003</v>
      </c>
      <c r="Q4495">
        <v>0.16835929999999999</v>
      </c>
      <c r="R4495">
        <v>7.1557860000000001E-2</v>
      </c>
      <c r="S4495">
        <v>3.0373839999999999</v>
      </c>
      <c r="T4495">
        <v>-7.3633669999999998E-2</v>
      </c>
      <c r="U4495">
        <v>0.36196899999999999</v>
      </c>
      <c r="V4495">
        <v>-9.7123909999999994E-2</v>
      </c>
      <c r="W4495">
        <v>0.1816459</v>
      </c>
      <c r="X4495">
        <v>0.97855590000000003</v>
      </c>
      <c r="Y4495">
        <v>-0.14362529999999901</v>
      </c>
      <c r="Z4495">
        <v>2.9957180000000001E-3</v>
      </c>
      <c r="AA4495">
        <v>0.98962760000000005</v>
      </c>
      <c r="AB4495">
        <v>27</v>
      </c>
      <c r="AC4495">
        <v>45.583399999999898</v>
      </c>
      <c r="AD4495">
        <v>-1.1114636343490001</v>
      </c>
      <c r="AE4495">
        <v>5.4695299999999998</v>
      </c>
      <c r="AF4495">
        <v>-6.6297286702343596</v>
      </c>
      <c r="AG4495">
        <v>-1.1114636343490001</v>
      </c>
      <c r="AH4495">
        <v>45.401985411733001</v>
      </c>
      <c r="AI4495">
        <v>91.387639433211802</v>
      </c>
      <c r="AJ4495">
        <v>98.3077787507343</v>
      </c>
      <c r="AK4495">
        <v>45.8969381656186</v>
      </c>
      <c r="AL4495">
        <v>79.534356142438199</v>
      </c>
      <c r="AM4495">
        <v>95.668173312158501</v>
      </c>
      <c r="AN4495">
        <v>0.99999996815265302</v>
      </c>
    </row>
    <row r="4496" spans="1:40" x14ac:dyDescent="0.25">
      <c r="A4496" t="str">
        <f>"20190304155504904"</f>
        <v>20190304155504904</v>
      </c>
      <c r="B4496" t="str">
        <f>"1551686104891940"</f>
        <v>1551686104891940</v>
      </c>
      <c r="C4496" t="s">
        <v>40</v>
      </c>
      <c r="D4496">
        <v>4.4809830000000002</v>
      </c>
      <c r="E4496">
        <v>0.48100979999999999</v>
      </c>
      <c r="F4496" t="s">
        <v>46</v>
      </c>
      <c r="G4496">
        <v>-323.4982</v>
      </c>
      <c r="H4496" s="1">
        <v>-3.9460500000000001E-6</v>
      </c>
      <c r="I4496">
        <v>22.9693</v>
      </c>
      <c r="J4496">
        <v>-369.34550000000002</v>
      </c>
      <c r="K4496">
        <v>1.111408</v>
      </c>
      <c r="L4496">
        <v>17.499849999999999</v>
      </c>
      <c r="M4496">
        <v>0.99962609999999996</v>
      </c>
      <c r="N4496">
        <v>-1.383704E-2</v>
      </c>
      <c r="O4496">
        <v>-2.3583E-2</v>
      </c>
      <c r="P4496">
        <v>0.98309679999999999</v>
      </c>
      <c r="Q4496">
        <v>0.1686464</v>
      </c>
      <c r="R4496">
        <v>7.1266609999999994E-2</v>
      </c>
      <c r="S4496">
        <v>3.0378720000000001</v>
      </c>
      <c r="T4496">
        <v>-7.3009610000000003E-2</v>
      </c>
      <c r="U4496">
        <v>0.35876459999999999</v>
      </c>
      <c r="V4496">
        <v>-9.4846470000000002E-2</v>
      </c>
      <c r="W4496">
        <v>0.18199190000000001</v>
      </c>
      <c r="X4496">
        <v>0.978715</v>
      </c>
      <c r="Y4496">
        <v>-0.1406076</v>
      </c>
      <c r="Z4496">
        <v>2.899754E-3</v>
      </c>
      <c r="AA4496">
        <v>0.99006119999999997</v>
      </c>
      <c r="AB4496">
        <v>27</v>
      </c>
      <c r="AC4496">
        <v>45.847299999999997</v>
      </c>
      <c r="AD4496">
        <v>-1.11141194605</v>
      </c>
      <c r="AE4496">
        <v>5.4694500000000001</v>
      </c>
      <c r="AF4496">
        <v>-6.5454564791751402</v>
      </c>
      <c r="AG4496">
        <v>-1.11141194605</v>
      </c>
      <c r="AH4496">
        <v>45.6790813448414</v>
      </c>
      <c r="AI4496">
        <v>91.379694471736997</v>
      </c>
      <c r="AJ4496">
        <v>98.154529779595293</v>
      </c>
      <c r="AK4496">
        <v>46.159037138389699</v>
      </c>
      <c r="AL4496">
        <v>79.514195872699901</v>
      </c>
      <c r="AM4496">
        <v>95.535202556202506</v>
      </c>
      <c r="AN4496">
        <v>0.99999997788103501</v>
      </c>
    </row>
    <row r="4497" spans="1:40" x14ac:dyDescent="0.25">
      <c r="A4497" t="str">
        <f>"20190304155504927"</f>
        <v>20190304155504927</v>
      </c>
      <c r="B4497" t="str">
        <f>"1551686104922192"</f>
        <v>1551686104922192</v>
      </c>
      <c r="C4497" t="s">
        <v>40</v>
      </c>
      <c r="D4497">
        <v>4.5287490000000004</v>
      </c>
      <c r="E4497">
        <v>0.48086020000000002</v>
      </c>
      <c r="F4497" t="s">
        <v>46</v>
      </c>
      <c r="G4497">
        <v>-322.7278</v>
      </c>
      <c r="H4497" s="1">
        <v>-4.2625219999999996E-6</v>
      </c>
      <c r="I4497">
        <v>22.991779999999999</v>
      </c>
      <c r="J4497">
        <v>-369.07080000000002</v>
      </c>
      <c r="K4497">
        <v>1.1113690000000001</v>
      </c>
      <c r="L4497">
        <v>17.494900000000001</v>
      </c>
      <c r="M4497">
        <v>0.99965550000000003</v>
      </c>
      <c r="N4497">
        <v>-1.38561E-2</v>
      </c>
      <c r="O4497">
        <v>-2.2297819999999999E-2</v>
      </c>
      <c r="P4497">
        <v>0.98311420000000005</v>
      </c>
      <c r="Q4497">
        <v>0.16884879999999999</v>
      </c>
      <c r="R4497">
        <v>7.05461E-2</v>
      </c>
      <c r="S4497">
        <v>3.0380859999999998</v>
      </c>
      <c r="T4497">
        <v>-7.2431090000000004E-2</v>
      </c>
      <c r="U4497">
        <v>0.35791020000000001</v>
      </c>
      <c r="V4497">
        <v>-9.2843759999999997E-2</v>
      </c>
      <c r="W4497">
        <v>0.18223010000000001</v>
      </c>
      <c r="X4497">
        <v>0.97886269999999997</v>
      </c>
      <c r="Y4497">
        <v>-0.13905339999999999</v>
      </c>
      <c r="Z4497">
        <v>2.840619E-3</v>
      </c>
      <c r="AA4497">
        <v>0.99028079999999996</v>
      </c>
      <c r="AB4497">
        <v>26</v>
      </c>
      <c r="AC4497">
        <v>46.343000000000004</v>
      </c>
      <c r="AD4497">
        <v>-1.1113732625220001</v>
      </c>
      <c r="AE4497">
        <v>5.4968799999999902</v>
      </c>
      <c r="AF4497">
        <v>-6.5252593077656096</v>
      </c>
      <c r="AG4497">
        <v>-1.1113732625220001</v>
      </c>
      <c r="AH4497">
        <v>46.182703781127501</v>
      </c>
      <c r="AI4497">
        <v>91.364987678162805</v>
      </c>
      <c r="AJ4497">
        <v>98.042216081831896</v>
      </c>
      <c r="AK4497">
        <v>46.654649158445103</v>
      </c>
      <c r="AL4497">
        <v>79.500315931652906</v>
      </c>
      <c r="AM4497">
        <v>95.418215575114004</v>
      </c>
      <c r="AN4497">
        <v>0.99999997928411799</v>
      </c>
    </row>
    <row r="4498" spans="1:40" x14ac:dyDescent="0.25">
      <c r="A4498" t="str">
        <f>"20190304155504950"</f>
        <v>20190304155504950</v>
      </c>
      <c r="B4498" t="str">
        <f>"1551686104941714"</f>
        <v>1551686104941714</v>
      </c>
      <c r="C4498" t="s">
        <v>40</v>
      </c>
      <c r="D4498">
        <v>4.8264239999999896</v>
      </c>
      <c r="E4498">
        <v>0.51164509999999996</v>
      </c>
      <c r="F4498" t="s">
        <v>46</v>
      </c>
      <c r="G4498">
        <v>-321.99239999999998</v>
      </c>
      <c r="H4498" s="1">
        <v>-4.5511000000000004E-6</v>
      </c>
      <c r="I4498">
        <v>23.02664</v>
      </c>
      <c r="J4498">
        <v>-368.81319999999999</v>
      </c>
      <c r="K4498">
        <v>1.1113360000000001</v>
      </c>
      <c r="L4498">
        <v>17.490539999999999</v>
      </c>
      <c r="M4498">
        <v>0.99968040000000002</v>
      </c>
      <c r="N4498">
        <v>-1.387115E-2</v>
      </c>
      <c r="O4498">
        <v>-2.113483E-2</v>
      </c>
      <c r="P4498">
        <v>0.98318209999999995</v>
      </c>
      <c r="Q4498">
        <v>0.168737</v>
      </c>
      <c r="R4498">
        <v>6.9863300000000003E-2</v>
      </c>
      <c r="S4498">
        <v>3.0382389999999999</v>
      </c>
      <c r="T4498">
        <v>-7.1723339999999997E-2</v>
      </c>
      <c r="U4498">
        <v>0.3569946</v>
      </c>
      <c r="V4498">
        <v>-9.1002700000000006E-2</v>
      </c>
      <c r="W4498">
        <v>0.18214900000000001</v>
      </c>
      <c r="X4498">
        <v>0.97905070000000005</v>
      </c>
      <c r="Y4498">
        <v>-0.137602799999999</v>
      </c>
      <c r="Z4498">
        <v>2.781469E-3</v>
      </c>
      <c r="AA4498">
        <v>0.99048360000000002</v>
      </c>
      <c r="AB4498">
        <v>26</v>
      </c>
      <c r="AC4498">
        <v>46.820799999999998</v>
      </c>
      <c r="AD4498">
        <v>-1.1113405511000001</v>
      </c>
      <c r="AE4498">
        <v>5.5361000000000002</v>
      </c>
      <c r="AF4498">
        <v>-6.5208848437965896</v>
      </c>
      <c r="AG4498">
        <v>-1.1113405511000001</v>
      </c>
      <c r="AH4498">
        <v>46.667394166416102</v>
      </c>
      <c r="AI4498">
        <v>91.351066872584994</v>
      </c>
      <c r="AJ4498">
        <v>97.954497391765301</v>
      </c>
      <c r="AK4498">
        <v>47.133880545210999</v>
      </c>
      <c r="AL4498">
        <v>79.505042053615199</v>
      </c>
      <c r="AM4498">
        <v>95.310380771392303</v>
      </c>
      <c r="AN4498">
        <v>1.0000000113893901</v>
      </c>
    </row>
    <row r="4499" spans="1:40" x14ac:dyDescent="0.25">
      <c r="A4499" t="str">
        <f>"20190304155504971"</f>
        <v>20190304155504971</v>
      </c>
      <c r="B4499" t="str">
        <f>"1551686104962208"</f>
        <v>1551686104962208</v>
      </c>
      <c r="C4499" t="s">
        <v>40</v>
      </c>
      <c r="D4499">
        <v>4.4050510000000003</v>
      </c>
      <c r="E4499">
        <v>0.55093119999999995</v>
      </c>
      <c r="F4499" t="s">
        <v>47</v>
      </c>
      <c r="G4499">
        <v>-298.71010000000001</v>
      </c>
      <c r="H4499">
        <v>-0.05</v>
      </c>
      <c r="I4499">
        <v>20.024429999999999</v>
      </c>
      <c r="J4499">
        <v>-368.53919999999999</v>
      </c>
      <c r="K4499">
        <v>1.1113010000000001</v>
      </c>
      <c r="L4499">
        <v>17.486149999999999</v>
      </c>
      <c r="M4499">
        <v>0.9997045</v>
      </c>
      <c r="N4499">
        <v>-1.388445E-2</v>
      </c>
      <c r="O4499">
        <v>-1.9954710000000001E-2</v>
      </c>
      <c r="P4499">
        <v>0.98306610000000005</v>
      </c>
      <c r="Q4499">
        <v>0.169688899999999</v>
      </c>
      <c r="R4499">
        <v>6.9186659999999997E-2</v>
      </c>
      <c r="S4499">
        <v>3.052155</v>
      </c>
      <c r="T4499">
        <v>-5.0562379999999997E-2</v>
      </c>
      <c r="U4499">
        <v>0.110321</v>
      </c>
      <c r="V4499">
        <v>-8.9147610000000002E-2</v>
      </c>
      <c r="W4499">
        <v>0.1831274</v>
      </c>
      <c r="X4499">
        <v>0.97903879999999999</v>
      </c>
      <c r="Y4499">
        <v>-5.6043929999999999E-2</v>
      </c>
      <c r="Z4499">
        <v>9.0678269999999999E-4</v>
      </c>
      <c r="AA4499">
        <v>0.99842790000000003</v>
      </c>
      <c r="AB4499">
        <v>26</v>
      </c>
      <c r="AC4499">
        <v>69.829099999999897</v>
      </c>
      <c r="AD4499">
        <v>-1.1613009999999999</v>
      </c>
      <c r="AE4499">
        <v>2.5382799999999999</v>
      </c>
      <c r="AF4499">
        <v>-3.9302426417941101</v>
      </c>
      <c r="AG4499">
        <v>-1.1613009999999999</v>
      </c>
      <c r="AH4499">
        <v>69.745273259377996</v>
      </c>
      <c r="AI4499">
        <v>90.952410545024506</v>
      </c>
      <c r="AJ4499">
        <v>93.225285389847897</v>
      </c>
      <c r="AK4499">
        <v>69.865574994136296</v>
      </c>
      <c r="AL4499">
        <v>79.448024256106507</v>
      </c>
      <c r="AM4499">
        <v>95.202791759968804</v>
      </c>
      <c r="AN4499">
        <v>0.99999995645245499</v>
      </c>
    </row>
    <row r="4500" spans="1:40" x14ac:dyDescent="0.25">
      <c r="A4500" t="str">
        <f>"20190304155504993"</f>
        <v>20190304155504993</v>
      </c>
      <c r="B4500" t="str">
        <f>"1551686104981732"</f>
        <v>1551686104981732</v>
      </c>
      <c r="C4500" t="s">
        <v>40</v>
      </c>
      <c r="D4500">
        <v>4.4009879999999999</v>
      </c>
      <c r="E4500">
        <v>0.55689089999999997</v>
      </c>
      <c r="F4500" t="s">
        <v>58</v>
      </c>
      <c r="G4500">
        <v>-241.07</v>
      </c>
      <c r="H4500">
        <v>0.21391489999999999</v>
      </c>
      <c r="I4500">
        <v>9.0022199999999994</v>
      </c>
      <c r="J4500">
        <v>-368.29509999999999</v>
      </c>
      <c r="K4500">
        <v>1.1112740000000001</v>
      </c>
      <c r="L4500">
        <v>17.48245</v>
      </c>
      <c r="M4500">
        <v>0.9997239</v>
      </c>
      <c r="N4500">
        <v>-1.3894460000000001E-2</v>
      </c>
      <c r="O4500">
        <v>-1.895846E-2</v>
      </c>
      <c r="P4500">
        <v>0.98300980000000004</v>
      </c>
      <c r="Q4500">
        <v>0.1704957</v>
      </c>
      <c r="R4500">
        <v>6.7992990000000003E-2</v>
      </c>
      <c r="S4500">
        <v>3.0697939999999999</v>
      </c>
      <c r="T4500">
        <v>-2.161157E-2</v>
      </c>
      <c r="U4500">
        <v>-0.2043152</v>
      </c>
      <c r="V4500">
        <v>-8.6958209999999994E-2</v>
      </c>
      <c r="W4500">
        <v>0.18395710000000001</v>
      </c>
      <c r="X4500">
        <v>0.97908019999999996</v>
      </c>
      <c r="Y4500">
        <v>4.7476299999999999E-2</v>
      </c>
      <c r="Z4500">
        <v>-6.2705589999999896E-4</v>
      </c>
      <c r="AA4500">
        <v>0.99887219999999999</v>
      </c>
      <c r="AB4500">
        <v>26</v>
      </c>
      <c r="AC4500">
        <v>127.2251</v>
      </c>
      <c r="AD4500">
        <v>-0.89735909999999897</v>
      </c>
      <c r="AE4500">
        <v>-8.4802300000000006</v>
      </c>
      <c r="AF4500">
        <v>6.0661807211544296</v>
      </c>
      <c r="AG4500">
        <v>-0.89735909999999897</v>
      </c>
      <c r="AH4500">
        <v>127.356709423788</v>
      </c>
      <c r="AI4500">
        <v>90.403243901818797</v>
      </c>
      <c r="AJ4500">
        <v>87.272981812742302</v>
      </c>
      <c r="AK4500">
        <v>127.50425576094</v>
      </c>
      <c r="AL4500">
        <v>79.399664773870199</v>
      </c>
      <c r="AM4500">
        <v>95.075477291659396</v>
      </c>
      <c r="AN4500">
        <v>0.99999999147942698</v>
      </c>
    </row>
    <row r="4501" spans="1:40" x14ac:dyDescent="0.25">
      <c r="A4501" t="str">
        <f>"20190304155505014"</f>
        <v>20190304155505014</v>
      </c>
      <c r="B4501" t="str">
        <f>"1551686105011985"</f>
        <v>1551686105011985</v>
      </c>
      <c r="C4501" t="s">
        <v>40</v>
      </c>
      <c r="D4501">
        <v>4.4354329999999997</v>
      </c>
      <c r="E4501">
        <v>0.56001669999999903</v>
      </c>
      <c r="F4501" t="s">
        <v>58</v>
      </c>
      <c r="G4501">
        <v>-241.07</v>
      </c>
      <c r="H4501">
        <v>0.58332969999999995</v>
      </c>
      <c r="I4501">
        <v>6.9080619999999904</v>
      </c>
      <c r="J4501">
        <v>-368.04180000000002</v>
      </c>
      <c r="K4501">
        <v>1.1112359999999999</v>
      </c>
      <c r="L4501">
        <v>17.47879</v>
      </c>
      <c r="M4501">
        <v>0.99974160000000001</v>
      </c>
      <c r="N4501">
        <v>-1.390281E-2</v>
      </c>
      <c r="O4501">
        <v>-1.798495E-2</v>
      </c>
      <c r="P4501">
        <v>0.98296119999999998</v>
      </c>
      <c r="Q4501">
        <v>0.17114119999999999</v>
      </c>
      <c r="R4501">
        <v>6.7068379999999997E-2</v>
      </c>
      <c r="S4501">
        <v>3.0717469999999998</v>
      </c>
      <c r="T4501">
        <v>-1.274693E-2</v>
      </c>
      <c r="U4501">
        <v>-0.25531009999999998</v>
      </c>
      <c r="V4501">
        <v>-8.505733E-2</v>
      </c>
      <c r="W4501">
        <v>0.1846254</v>
      </c>
      <c r="X4501">
        <v>0.97912140000000003</v>
      </c>
      <c r="Y4501">
        <v>6.4890110000000001E-2</v>
      </c>
      <c r="Z4501">
        <v>-7.6148570000000003E-4</v>
      </c>
      <c r="AA4501">
        <v>0.99789209999999995</v>
      </c>
      <c r="AB4501">
        <v>26</v>
      </c>
      <c r="AC4501">
        <v>126.9718</v>
      </c>
      <c r="AD4501">
        <v>-0.52790630000000005</v>
      </c>
      <c r="AE4501">
        <v>-10.5707279999999</v>
      </c>
      <c r="AF4501">
        <v>8.2850735183840705</v>
      </c>
      <c r="AG4501">
        <v>-0.52790630000000005</v>
      </c>
      <c r="AH4501">
        <v>127.139209084822</v>
      </c>
      <c r="AI4501">
        <v>90.237398143140794</v>
      </c>
      <c r="AJ4501">
        <v>86.2715710256319</v>
      </c>
      <c r="AK4501">
        <v>127.409966701906</v>
      </c>
      <c r="AL4501">
        <v>79.360706828474804</v>
      </c>
      <c r="AM4501">
        <v>94.9648817786085</v>
      </c>
      <c r="AN4501">
        <v>1.00000000182492</v>
      </c>
    </row>
    <row r="4502" spans="1:40" x14ac:dyDescent="0.25">
      <c r="A4502" t="str">
        <f>"20190304155505037"</f>
        <v>20190304155505037</v>
      </c>
      <c r="B4502" t="str">
        <f>"1551686105032481"</f>
        <v>1551686105032481</v>
      </c>
      <c r="C4502" t="s">
        <v>40</v>
      </c>
      <c r="D4502">
        <v>4.4028549999999997</v>
      </c>
      <c r="E4502">
        <v>0.56021269999999901</v>
      </c>
      <c r="F4502" t="s">
        <v>58</v>
      </c>
      <c r="G4502">
        <v>-241.07</v>
      </c>
      <c r="H4502">
        <v>0.93187240000000005</v>
      </c>
      <c r="I4502">
        <v>5.796354</v>
      </c>
      <c r="J4502">
        <v>-367.77300000000002</v>
      </c>
      <c r="K4502">
        <v>1.1111770000000001</v>
      </c>
      <c r="L4502">
        <v>17.475100000000001</v>
      </c>
      <c r="M4502">
        <v>0.99975840000000005</v>
      </c>
      <c r="N4502">
        <v>-1.3909889999999999E-2</v>
      </c>
      <c r="O4502">
        <v>-1.70248E-2</v>
      </c>
      <c r="P4502">
        <v>0.98292650000000004</v>
      </c>
      <c r="Q4502">
        <v>0.1715932</v>
      </c>
      <c r="R4502">
        <v>6.6416470000000005E-2</v>
      </c>
      <c r="S4502">
        <v>3.0720519999999998</v>
      </c>
      <c r="T4502">
        <v>-4.339814E-3</v>
      </c>
      <c r="U4502">
        <v>-0.28265380000000001</v>
      </c>
      <c r="V4502">
        <v>-8.3437510000000006E-2</v>
      </c>
      <c r="W4502">
        <v>0.18509919999999999</v>
      </c>
      <c r="X4502">
        <v>0.97917129999999997</v>
      </c>
      <c r="Y4502">
        <v>7.4653540000000004E-2</v>
      </c>
      <c r="Z4502">
        <v>-7.8533990000000001E-4</v>
      </c>
      <c r="AA4502">
        <v>0.99720929999999997</v>
      </c>
      <c r="AB4502">
        <v>26</v>
      </c>
      <c r="AC4502">
        <v>126.703</v>
      </c>
      <c r="AD4502">
        <v>-0.17930460000000001</v>
      </c>
      <c r="AE4502">
        <v>-11.678746</v>
      </c>
      <c r="AF4502">
        <v>9.5197323943364598</v>
      </c>
      <c r="AG4502">
        <v>-0.17930460000000001</v>
      </c>
      <c r="AH4502">
        <v>126.88322864817501</v>
      </c>
      <c r="AI4502">
        <v>90.080740351056306</v>
      </c>
      <c r="AJ4502">
        <v>85.709279424125995</v>
      </c>
      <c r="AK4502">
        <v>127.23997472172201</v>
      </c>
      <c r="AL4502">
        <v>79.333083793055494</v>
      </c>
      <c r="AM4502">
        <v>94.870543492497703</v>
      </c>
      <c r="AN4502">
        <v>0.999999983329664</v>
      </c>
    </row>
    <row r="4503" spans="1:40" x14ac:dyDescent="0.25">
      <c r="A4503" t="str">
        <f>"20190304155505059"</f>
        <v>20190304155505059</v>
      </c>
      <c r="B4503" t="str">
        <f>"1551686105052000"</f>
        <v>1551686105052000</v>
      </c>
      <c r="C4503" t="s">
        <v>40</v>
      </c>
      <c r="D4503">
        <v>4.4123359999999998</v>
      </c>
      <c r="E4503">
        <v>0.56036450000000004</v>
      </c>
      <c r="F4503" t="s">
        <v>58</v>
      </c>
      <c r="G4503">
        <v>-241.07</v>
      </c>
      <c r="H4503">
        <v>0.95742989999999994</v>
      </c>
      <c r="I4503">
        <v>5.6490839999999896</v>
      </c>
      <c r="J4503">
        <v>-367.51670000000001</v>
      </c>
      <c r="K4503">
        <v>1.1111200000000001</v>
      </c>
      <c r="L4503">
        <v>17.47174</v>
      </c>
      <c r="M4503">
        <v>0.99977210000000005</v>
      </c>
      <c r="N4503">
        <v>-1.391529E-2</v>
      </c>
      <c r="O4503">
        <v>-1.618795E-2</v>
      </c>
      <c r="P4503">
        <v>0.98293750000000002</v>
      </c>
      <c r="Q4503">
        <v>0.17174970000000001</v>
      </c>
      <c r="R4503">
        <v>6.5847550000000005E-2</v>
      </c>
      <c r="S4503">
        <v>3.0721440000000002</v>
      </c>
      <c r="T4503">
        <v>-3.728032E-3</v>
      </c>
      <c r="U4503">
        <v>-0.28674319999999998</v>
      </c>
      <c r="V4503">
        <v>-8.2021330000000003E-2</v>
      </c>
      <c r="W4503">
        <v>0.18527540000000001</v>
      </c>
      <c r="X4503">
        <v>0.97925759999999995</v>
      </c>
      <c r="Y4503">
        <v>7.6801530000000007E-2</v>
      </c>
      <c r="Z4503">
        <v>-7.8727929999999901E-4</v>
      </c>
      <c r="AA4503">
        <v>0.99704610000000005</v>
      </c>
      <c r="AB4503">
        <v>26</v>
      </c>
      <c r="AC4503">
        <v>126.44670000000001</v>
      </c>
      <c r="AD4503">
        <v>-0.1536901</v>
      </c>
      <c r="AE4503">
        <v>-11.822656</v>
      </c>
      <c r="AF4503">
        <v>9.7739810943662206</v>
      </c>
      <c r="AG4503">
        <v>-0.1536901</v>
      </c>
      <c r="AH4503">
        <v>126.621345705064</v>
      </c>
      <c r="AI4503">
        <v>90.069338011008597</v>
      </c>
      <c r="AJ4503">
        <v>85.5860556278964</v>
      </c>
      <c r="AK4503">
        <v>126.998108313633</v>
      </c>
      <c r="AL4503">
        <v>79.322810329004596</v>
      </c>
      <c r="AM4503">
        <v>94.787843684472804</v>
      </c>
      <c r="AN4503">
        <v>0.99999995978894296</v>
      </c>
    </row>
    <row r="4504" spans="1:40" x14ac:dyDescent="0.25">
      <c r="A4504" t="str">
        <f>"20190304155505083"</f>
        <v>20190304155505083</v>
      </c>
      <c r="B4504" t="str">
        <f>"1551686105072496"</f>
        <v>1551686105072496</v>
      </c>
      <c r="C4504" t="s">
        <v>40</v>
      </c>
      <c r="D4504">
        <v>4.4003680000000003</v>
      </c>
      <c r="E4504">
        <v>0.56038589999999999</v>
      </c>
      <c r="F4504" t="s">
        <v>58</v>
      </c>
      <c r="G4504">
        <v>-241.07</v>
      </c>
      <c r="H4504">
        <v>0.92197419999999997</v>
      </c>
      <c r="I4504">
        <v>5.5421199999999997</v>
      </c>
      <c r="J4504">
        <v>-367.2484</v>
      </c>
      <c r="K4504">
        <v>1.111054</v>
      </c>
      <c r="L4504">
        <v>17.468350000000001</v>
      </c>
      <c r="M4504">
        <v>0.99978449999999996</v>
      </c>
      <c r="N4504">
        <v>-1.391941E-2</v>
      </c>
      <c r="O4504">
        <v>-1.540439E-2</v>
      </c>
      <c r="P4504">
        <v>0.98294099999999995</v>
      </c>
      <c r="Q4504">
        <v>0.17197560000000001</v>
      </c>
      <c r="R4504">
        <v>6.5204999999999999E-2</v>
      </c>
      <c r="S4504">
        <v>3.0722960000000001</v>
      </c>
      <c r="T4504">
        <v>-4.5958759999999996E-3</v>
      </c>
      <c r="U4504">
        <v>-0.289856</v>
      </c>
      <c r="V4504">
        <v>-8.0580170000000007E-2</v>
      </c>
      <c r="W4504">
        <v>0.1855214</v>
      </c>
      <c r="X4504">
        <v>0.9793307</v>
      </c>
      <c r="Y4504">
        <v>7.8579300000000005E-2</v>
      </c>
      <c r="Z4504">
        <v>-7.9778729999999999E-4</v>
      </c>
      <c r="AA4504">
        <v>0.99690749999999995</v>
      </c>
      <c r="AB4504">
        <v>26</v>
      </c>
      <c r="AC4504">
        <v>126.1784</v>
      </c>
      <c r="AD4504">
        <v>-0.18907979999999999</v>
      </c>
      <c r="AE4504">
        <v>-11.92623</v>
      </c>
      <c r="AF4504">
        <v>9.9809028916578004</v>
      </c>
      <c r="AG4504">
        <v>-0.18907979999999999</v>
      </c>
      <c r="AH4504">
        <v>126.346878330797</v>
      </c>
      <c r="AI4504">
        <v>90.085477548644405</v>
      </c>
      <c r="AJ4504">
        <v>85.483240223199402</v>
      </c>
      <c r="AK4504">
        <v>126.740632149444</v>
      </c>
      <c r="AL4504">
        <v>79.308467193176995</v>
      </c>
      <c r="AM4504">
        <v>94.703749964617799</v>
      </c>
      <c r="AN4504">
        <v>0.99999998680883895</v>
      </c>
    </row>
    <row r="4505" spans="1:40" x14ac:dyDescent="0.25">
      <c r="A4505" t="str">
        <f>"20190304155505104"</f>
        <v>20190304155505104</v>
      </c>
      <c r="B4505" t="str">
        <f>"1551686105101777"</f>
        <v>1551686105101777</v>
      </c>
      <c r="C4505" t="s">
        <v>40</v>
      </c>
      <c r="D4505">
        <v>4.3900569999999997</v>
      </c>
      <c r="E4505">
        <v>0.56021750000000003</v>
      </c>
      <c r="F4505" t="s">
        <v>58</v>
      </c>
      <c r="G4505">
        <v>-241.07</v>
      </c>
      <c r="H4505">
        <v>0.9601307</v>
      </c>
      <c r="I4505">
        <v>5.4580520000000003</v>
      </c>
      <c r="J4505">
        <v>-366.9939</v>
      </c>
      <c r="K4505">
        <v>1.110989</v>
      </c>
      <c r="L4505">
        <v>17.465209999999999</v>
      </c>
      <c r="M4505">
        <v>0.99979410000000002</v>
      </c>
      <c r="N4505">
        <v>-1.39223E-2</v>
      </c>
      <c r="O4505">
        <v>-1.475887E-2</v>
      </c>
      <c r="P4505">
        <v>0.98296629999999996</v>
      </c>
      <c r="Q4505">
        <v>0.1718594</v>
      </c>
      <c r="R4505">
        <v>6.5127779999999996E-2</v>
      </c>
      <c r="S4505">
        <v>3.0721129999999999</v>
      </c>
      <c r="T4505">
        <v>-3.674746E-3</v>
      </c>
      <c r="U4505">
        <v>-0.2924194</v>
      </c>
      <c r="V4505">
        <v>-7.9838690000000004E-2</v>
      </c>
      <c r="W4505">
        <v>0.185423</v>
      </c>
      <c r="X4505">
        <v>0.97941009999999995</v>
      </c>
      <c r="Y4505">
        <v>8.0053050000000001E-2</v>
      </c>
      <c r="Z4505">
        <v>-7.9377369999999905E-4</v>
      </c>
      <c r="AA4505">
        <v>0.99679030000000002</v>
      </c>
      <c r="AB4505">
        <v>26</v>
      </c>
      <c r="AC4505">
        <v>125.9239</v>
      </c>
      <c r="AD4505">
        <v>-0.1508583</v>
      </c>
      <c r="AE4505">
        <v>-12.007158</v>
      </c>
      <c r="AF4505">
        <v>10.147160809477</v>
      </c>
      <c r="AG4505">
        <v>-0.1508583</v>
      </c>
      <c r="AH4505">
        <v>126.087231889661</v>
      </c>
      <c r="AI4505">
        <v>90.068331142956694</v>
      </c>
      <c r="AJ4505">
        <v>85.398906035706801</v>
      </c>
      <c r="AK4505">
        <v>126.49497095267201</v>
      </c>
      <c r="AL4505">
        <v>79.314205054850603</v>
      </c>
      <c r="AM4505">
        <v>94.660282535217803</v>
      </c>
      <c r="AN4505">
        <v>1.0000000246659599</v>
      </c>
    </row>
    <row r="4506" spans="1:40" x14ac:dyDescent="0.25">
      <c r="A4506" t="str">
        <f>"20190304155505128"</f>
        <v>20190304155505128</v>
      </c>
      <c r="B4506" t="str">
        <f>"1551686105122272"</f>
        <v>1551686105122272</v>
      </c>
      <c r="C4506" t="s">
        <v>40</v>
      </c>
      <c r="D4506">
        <v>4.4433400000000001</v>
      </c>
      <c r="E4506">
        <v>0.56011489999999997</v>
      </c>
      <c r="F4506" t="s">
        <v>58</v>
      </c>
      <c r="G4506">
        <v>-241.07</v>
      </c>
      <c r="H4506">
        <v>0.85709570000000002</v>
      </c>
      <c r="I4506">
        <v>5.5262449999999896</v>
      </c>
      <c r="J4506">
        <v>-366.72230000000002</v>
      </c>
      <c r="K4506">
        <v>1.1109260000000001</v>
      </c>
      <c r="L4506">
        <v>17.462009999999999</v>
      </c>
      <c r="M4506">
        <v>0.99980290000000005</v>
      </c>
      <c r="N4506">
        <v>-1.3924479999999999E-2</v>
      </c>
      <c r="O4506">
        <v>-1.4155299999999999E-2</v>
      </c>
      <c r="P4506">
        <v>0.98307849999999997</v>
      </c>
      <c r="Q4506">
        <v>0.1711666</v>
      </c>
      <c r="R4506">
        <v>6.525736E-2</v>
      </c>
      <c r="S4506">
        <v>3.072327</v>
      </c>
      <c r="T4506">
        <v>-6.1947110000000003E-3</v>
      </c>
      <c r="U4506">
        <v>-0.2912903</v>
      </c>
      <c r="V4506">
        <v>-7.9346910000000007E-2</v>
      </c>
      <c r="W4506">
        <v>0.18474769999999999</v>
      </c>
      <c r="X4506">
        <v>0.9795777</v>
      </c>
      <c r="Y4506">
        <v>8.0284469999999997E-2</v>
      </c>
      <c r="Z4506">
        <v>-8.0924000000000002E-4</v>
      </c>
      <c r="AA4506">
        <v>0.99677170000000004</v>
      </c>
      <c r="AB4506">
        <v>26</v>
      </c>
      <c r="AC4506">
        <v>125.6523</v>
      </c>
      <c r="AD4506">
        <v>-0.25383030000000001</v>
      </c>
      <c r="AE4506">
        <v>-11.935765</v>
      </c>
      <c r="AF4506">
        <v>10.155709467835599</v>
      </c>
      <c r="AG4506">
        <v>-0.25383030000000001</v>
      </c>
      <c r="AH4506">
        <v>125.808170194822</v>
      </c>
      <c r="AI4506">
        <v>90.115224876729997</v>
      </c>
      <c r="AJ4506">
        <v>85.384876013022705</v>
      </c>
      <c r="AK4506">
        <v>126.217663392988</v>
      </c>
      <c r="AL4506">
        <v>79.353577502213099</v>
      </c>
      <c r="AM4506">
        <v>94.630913001520398</v>
      </c>
      <c r="AN4506">
        <v>1.00000005755956</v>
      </c>
    </row>
    <row r="4507" spans="1:40" x14ac:dyDescent="0.25">
      <c r="A4507" t="str">
        <f>"20190304155505151"</f>
        <v>20190304155505151</v>
      </c>
      <c r="B4507" t="str">
        <f>"1551686105141793"</f>
        <v>1551686105141793</v>
      </c>
      <c r="C4507" t="s">
        <v>40</v>
      </c>
      <c r="D4507">
        <v>4.3970459999999996</v>
      </c>
      <c r="E4507">
        <v>0.55979419999999902</v>
      </c>
      <c r="F4507" t="s">
        <v>58</v>
      </c>
      <c r="G4507">
        <v>-241.07</v>
      </c>
      <c r="H4507">
        <v>0.73814109999999999</v>
      </c>
      <c r="I4507">
        <v>5.5869390000000001</v>
      </c>
      <c r="J4507">
        <v>-366.447</v>
      </c>
      <c r="K4507">
        <v>1.110867</v>
      </c>
      <c r="L4507">
        <v>17.458739999999999</v>
      </c>
      <c r="M4507">
        <v>0.99981019999999998</v>
      </c>
      <c r="N4507">
        <v>-1.3925899999999901E-2</v>
      </c>
      <c r="O4507">
        <v>-1.3636219999999999E-2</v>
      </c>
      <c r="P4507">
        <v>0.98321780000000003</v>
      </c>
      <c r="Q4507">
        <v>0.17042189999999999</v>
      </c>
      <c r="R4507">
        <v>6.5109829999999994E-2</v>
      </c>
      <c r="S4507">
        <v>3.0725099999999999</v>
      </c>
      <c r="T4507">
        <v>-9.1156959999999995E-3</v>
      </c>
      <c r="U4507">
        <v>-0.29037479999999999</v>
      </c>
      <c r="V4507">
        <v>-7.8662309999999999E-2</v>
      </c>
      <c r="W4507">
        <v>0.18401989999999999</v>
      </c>
      <c r="X4507">
        <v>0.97976980000000002</v>
      </c>
      <c r="Y4507">
        <v>8.0501110000000001E-2</v>
      </c>
      <c r="Z4507">
        <v>-8.3011849999999998E-4</v>
      </c>
      <c r="AA4507">
        <v>0.99675420000000003</v>
      </c>
      <c r="AB4507">
        <v>26</v>
      </c>
      <c r="AC4507">
        <v>125.376999999999</v>
      </c>
      <c r="AD4507">
        <v>-0.3727259</v>
      </c>
      <c r="AE4507">
        <v>-11.8718009999999</v>
      </c>
      <c r="AF4507">
        <v>10.1607740844502</v>
      </c>
      <c r="AG4507">
        <v>-0.3727259</v>
      </c>
      <c r="AH4507">
        <v>125.52614314335401</v>
      </c>
      <c r="AI4507">
        <v>90.169573742980106</v>
      </c>
      <c r="AJ4507">
        <v>85.372255204229702</v>
      </c>
      <c r="AK4507">
        <v>125.937257660462</v>
      </c>
      <c r="AL4507">
        <v>79.396003894319904</v>
      </c>
      <c r="AM4507">
        <v>94.590233014905607</v>
      </c>
      <c r="AN4507">
        <v>0.99999997180129196</v>
      </c>
    </row>
    <row r="4508" spans="1:40" x14ac:dyDescent="0.25">
      <c r="A4508" t="str">
        <f>"20190304155505172"</f>
        <v>20190304155505172</v>
      </c>
      <c r="B4508" t="str">
        <f>"1551686105162289"</f>
        <v>1551686105162289</v>
      </c>
      <c r="C4508" t="s">
        <v>40</v>
      </c>
      <c r="D4508">
        <v>4.4312559999999896</v>
      </c>
      <c r="E4508">
        <v>0.55981139999999996</v>
      </c>
      <c r="F4508" t="s">
        <v>58</v>
      </c>
      <c r="G4508">
        <v>-241.07</v>
      </c>
      <c r="H4508">
        <v>0.59728809999999999</v>
      </c>
      <c r="I4508">
        <v>5.6967489999999996</v>
      </c>
      <c r="J4508">
        <v>-366.2072</v>
      </c>
      <c r="K4508">
        <v>1.110806</v>
      </c>
      <c r="L4508">
        <v>17.45599</v>
      </c>
      <c r="M4508">
        <v>0.99981509999999996</v>
      </c>
      <c r="N4508">
        <v>-1.3926590000000001E-2</v>
      </c>
      <c r="O4508">
        <v>-1.326544E-2</v>
      </c>
      <c r="P4508">
        <v>0.98321570000000003</v>
      </c>
      <c r="Q4508">
        <v>0.1704348</v>
      </c>
      <c r="R4508">
        <v>6.5107360000000003E-2</v>
      </c>
      <c r="S4508">
        <v>3.072479</v>
      </c>
      <c r="T4508">
        <v>-1.2585880000000001E-2</v>
      </c>
      <c r="U4508">
        <v>-0.28823850000000001</v>
      </c>
      <c r="V4508">
        <v>-7.8271370000000007E-2</v>
      </c>
      <c r="W4508">
        <v>0.18404470000000001</v>
      </c>
      <c r="X4508">
        <v>0.97979649999999996</v>
      </c>
      <c r="Y4508">
        <v>8.018364E-2</v>
      </c>
      <c r="Z4508">
        <v>-8.5364179999999998E-4</v>
      </c>
      <c r="AA4508">
        <v>0.99677969999999905</v>
      </c>
      <c r="AB4508">
        <v>26</v>
      </c>
      <c r="AC4508">
        <v>125.13720000000001</v>
      </c>
      <c r="AD4508">
        <v>-0.51351789999999997</v>
      </c>
      <c r="AE4508">
        <v>-11.759240999999999</v>
      </c>
      <c r="AF4508">
        <v>10.0978766569248</v>
      </c>
      <c r="AG4508">
        <v>-0.51351789999999997</v>
      </c>
      <c r="AH4508">
        <v>125.280102457235</v>
      </c>
      <c r="AI4508">
        <v>90.234092508202195</v>
      </c>
      <c r="AJ4508">
        <v>85.391785024126406</v>
      </c>
      <c r="AK4508">
        <v>125.68744919564401</v>
      </c>
      <c r="AL4508">
        <v>79.394558787014901</v>
      </c>
      <c r="AM4508">
        <v>94.567393064366598</v>
      </c>
      <c r="AN4508">
        <v>1.000000020186</v>
      </c>
    </row>
    <row r="4509" spans="1:40" x14ac:dyDescent="0.25">
      <c r="A4509" t="str">
        <f>"20190304155505194"</f>
        <v>20190304155505194</v>
      </c>
      <c r="B4509" t="str">
        <f>"1551686105181812"</f>
        <v>1551686105181812</v>
      </c>
      <c r="C4509" t="s">
        <v>40</v>
      </c>
      <c r="D4509">
        <v>4.4096190000000002</v>
      </c>
      <c r="E4509">
        <v>0.55966709999999997</v>
      </c>
      <c r="F4509" t="s">
        <v>58</v>
      </c>
      <c r="G4509">
        <v>-241.07</v>
      </c>
      <c r="H4509">
        <v>0.58796599999999999</v>
      </c>
      <c r="I4509">
        <v>5.7080250000000001</v>
      </c>
      <c r="J4509">
        <v>-365.94729999999998</v>
      </c>
      <c r="K4509">
        <v>1.1107450000000001</v>
      </c>
      <c r="L4509">
        <v>17.452939999999899</v>
      </c>
      <c r="M4509">
        <v>0.99981920000000002</v>
      </c>
      <c r="N4509">
        <v>-1.39268E-2</v>
      </c>
      <c r="O4509">
        <v>-1.295046E-2</v>
      </c>
      <c r="P4509">
        <v>0.98321099999999995</v>
      </c>
      <c r="Q4509">
        <v>0.17045979999999999</v>
      </c>
      <c r="R4509">
        <v>6.5115389999999995E-2</v>
      </c>
      <c r="S4509">
        <v>3.07254</v>
      </c>
      <c r="T4509">
        <v>-1.2837650000000001E-2</v>
      </c>
      <c r="U4509">
        <v>-0.28845209999999999</v>
      </c>
      <c r="V4509">
        <v>-7.7941419999999997E-2</v>
      </c>
      <c r="W4509">
        <v>0.1840822</v>
      </c>
      <c r="X4509">
        <v>0.97981569999999996</v>
      </c>
      <c r="Y4509">
        <v>8.0564369999999996E-2</v>
      </c>
      <c r="Z4509">
        <v>-8.5623060000000002E-4</v>
      </c>
      <c r="AA4509">
        <v>0.996749</v>
      </c>
      <c r="AB4509">
        <v>26</v>
      </c>
      <c r="AC4509">
        <v>124.87730000000001</v>
      </c>
      <c r="AD4509">
        <v>-0.52277899999999999</v>
      </c>
      <c r="AE4509">
        <v>-11.744915000000001</v>
      </c>
      <c r="AF4509">
        <v>10.126378706056499</v>
      </c>
      <c r="AG4509">
        <v>-0.52277899999999999</v>
      </c>
      <c r="AH4509">
        <v>125.016770700677</v>
      </c>
      <c r="AI4509">
        <v>90.238808576241595</v>
      </c>
      <c r="AJ4509">
        <v>85.369142632067295</v>
      </c>
      <c r="AK4509">
        <v>125.427308828688</v>
      </c>
      <c r="AL4509">
        <v>79.392372240359904</v>
      </c>
      <c r="AM4509">
        <v>94.548131592299598</v>
      </c>
      <c r="AN4509">
        <v>0.99999996363747201</v>
      </c>
    </row>
    <row r="4510" spans="1:40" x14ac:dyDescent="0.25">
      <c r="A4510" t="str">
        <f>"20190304155505215"</f>
        <v>20190304155505215</v>
      </c>
      <c r="B4510" t="str">
        <f>"1551686105212065"</f>
        <v>1551686105212065</v>
      </c>
      <c r="C4510" t="s">
        <v>40</v>
      </c>
      <c r="D4510">
        <v>4.4230549999999997</v>
      </c>
      <c r="E4510">
        <v>0.55964919999999996</v>
      </c>
      <c r="F4510" t="s">
        <v>58</v>
      </c>
      <c r="G4510">
        <v>-241.07</v>
      </c>
      <c r="H4510">
        <v>0.57409290000000002</v>
      </c>
      <c r="I4510">
        <v>5.7716629999999904</v>
      </c>
      <c r="J4510">
        <v>-365.69409999999999</v>
      </c>
      <c r="K4510">
        <v>1.1106860000000001</v>
      </c>
      <c r="L4510">
        <v>17.450009999999999</v>
      </c>
      <c r="M4510">
        <v>0.99982199999999999</v>
      </c>
      <c r="N4510">
        <v>-1.3926620000000001E-2</v>
      </c>
      <c r="O4510">
        <v>-1.2726940000000001E-2</v>
      </c>
      <c r="P4510">
        <v>0.98316289999999995</v>
      </c>
      <c r="Q4510">
        <v>0.17079330000000001</v>
      </c>
      <c r="R4510">
        <v>6.4966620000000003E-2</v>
      </c>
      <c r="S4510">
        <v>3.0725709999999999</v>
      </c>
      <c r="T4510">
        <v>-1.320434E-2</v>
      </c>
      <c r="U4510">
        <v>-0.28741460000000002</v>
      </c>
      <c r="V4510">
        <v>-7.7543829999999994E-2</v>
      </c>
      <c r="W4510">
        <v>0.18442810000000001</v>
      </c>
      <c r="X4510">
        <v>0.97978220000000005</v>
      </c>
      <c r="Y4510">
        <v>8.0452490000000002E-2</v>
      </c>
      <c r="Z4510">
        <v>-8.5630119999999905E-4</v>
      </c>
      <c r="AA4510">
        <v>0.99675809999999998</v>
      </c>
      <c r="AB4510">
        <v>26</v>
      </c>
      <c r="AC4510">
        <v>124.6241</v>
      </c>
      <c r="AD4510">
        <v>-0.53659309999999905</v>
      </c>
      <c r="AE4510">
        <v>-11.678347</v>
      </c>
      <c r="AF4510">
        <v>10.0909782195159</v>
      </c>
      <c r="AG4510">
        <v>-0.53659309999999905</v>
      </c>
      <c r="AH4510">
        <v>124.760355881184</v>
      </c>
      <c r="AI4510">
        <v>90.245624956627594</v>
      </c>
      <c r="AJ4510">
        <v>85.375818064584905</v>
      </c>
      <c r="AK4510">
        <v>125.168934537214</v>
      </c>
      <c r="AL4510">
        <v>79.372208402656199</v>
      </c>
      <c r="AM4510">
        <v>94.525181613900102</v>
      </c>
      <c r="AN4510">
        <v>0.99999996453875795</v>
      </c>
    </row>
    <row r="4511" spans="1:40" x14ac:dyDescent="0.25">
      <c r="A4511" t="str">
        <f>"20190304155505238"</f>
        <v>20190304155505238</v>
      </c>
      <c r="B4511" t="str">
        <f>"1551686105232561"</f>
        <v>1551686105232561</v>
      </c>
      <c r="C4511" t="s">
        <v>40</v>
      </c>
      <c r="D4511">
        <v>4.4475569999999998</v>
      </c>
      <c r="E4511">
        <v>0.55979019999999902</v>
      </c>
      <c r="F4511" t="s">
        <v>58</v>
      </c>
      <c r="G4511">
        <v>-241.07</v>
      </c>
      <c r="H4511">
        <v>0.57587239999999995</v>
      </c>
      <c r="I4511">
        <v>5.7692519999999998</v>
      </c>
      <c r="J4511">
        <v>-365.43799999999999</v>
      </c>
      <c r="K4511">
        <v>1.110627</v>
      </c>
      <c r="L4511">
        <v>17.446960000000001</v>
      </c>
      <c r="M4511">
        <v>0.99982400000000005</v>
      </c>
      <c r="N4511">
        <v>-1.3926040000000001E-2</v>
      </c>
      <c r="O4511">
        <v>-1.258043E-2</v>
      </c>
      <c r="P4511">
        <v>0.98322399999999999</v>
      </c>
      <c r="Q4511">
        <v>0.1706049</v>
      </c>
      <c r="R4511">
        <v>6.4535499999999996E-2</v>
      </c>
      <c r="S4511">
        <v>3.0726619999999998</v>
      </c>
      <c r="T4511">
        <v>-1.318622E-2</v>
      </c>
      <c r="U4511">
        <v>-0.28799439999999998</v>
      </c>
      <c r="V4511">
        <v>-7.693999E-2</v>
      </c>
      <c r="W4511">
        <v>0.1842519</v>
      </c>
      <c r="X4511">
        <v>0.97986300000000004</v>
      </c>
      <c r="Y4511">
        <v>8.0782229999999997E-2</v>
      </c>
      <c r="Z4511">
        <v>-8.5770479999999999E-4</v>
      </c>
      <c r="AA4511">
        <v>0.99673140000000005</v>
      </c>
      <c r="AB4511">
        <v>26</v>
      </c>
      <c r="AC4511">
        <v>124.36799999999999</v>
      </c>
      <c r="AD4511">
        <v>-0.53475459999999997</v>
      </c>
      <c r="AE4511">
        <v>-11.677708000000001</v>
      </c>
      <c r="AF4511">
        <v>10.1118438970159</v>
      </c>
      <c r="AG4511">
        <v>-0.53475459999999997</v>
      </c>
      <c r="AH4511">
        <v>124.50279913276199</v>
      </c>
      <c r="AI4511">
        <v>90.245283153540598</v>
      </c>
      <c r="AJ4511">
        <v>85.356754194254506</v>
      </c>
      <c r="AK4511">
        <v>124.91389971245199</v>
      </c>
      <c r="AL4511">
        <v>79.382480454622694</v>
      </c>
      <c r="AM4511">
        <v>94.489719579241097</v>
      </c>
      <c r="AN4511">
        <v>1.0000000117418999</v>
      </c>
    </row>
    <row r="4512" spans="1:40" x14ac:dyDescent="0.25">
      <c r="A4512" t="str">
        <f>"20190304155505261"</f>
        <v>20190304155505261</v>
      </c>
      <c r="B4512" t="str">
        <f>"1551686105251665"</f>
        <v>1551686105251665</v>
      </c>
      <c r="C4512" t="s">
        <v>40</v>
      </c>
      <c r="D4512">
        <v>4.504931</v>
      </c>
      <c r="E4512">
        <v>0.56005859999999996</v>
      </c>
      <c r="F4512" t="s">
        <v>58</v>
      </c>
      <c r="G4512">
        <v>-241.07</v>
      </c>
      <c r="H4512">
        <v>0.52827409999999997</v>
      </c>
      <c r="I4512">
        <v>5.6928599999999996</v>
      </c>
      <c r="J4512">
        <v>-365.17320000000001</v>
      </c>
      <c r="K4512">
        <v>1.110571</v>
      </c>
      <c r="L4512">
        <v>17.44379</v>
      </c>
      <c r="M4512">
        <v>0.99982479999999996</v>
      </c>
      <c r="N4512">
        <v>-1.392524E-2</v>
      </c>
      <c r="O4512">
        <v>-1.2503230000000001E-2</v>
      </c>
      <c r="P4512">
        <v>0.98327819999999999</v>
      </c>
      <c r="Q4512">
        <v>0.17030310000000001</v>
      </c>
      <c r="R4512">
        <v>6.4503950000000004E-2</v>
      </c>
      <c r="S4512">
        <v>3.0727229999999999</v>
      </c>
      <c r="T4512">
        <v>-1.43882E-2</v>
      </c>
      <c r="U4512">
        <v>-0.29040529999999998</v>
      </c>
      <c r="V4512">
        <v>-7.6806869999999999E-2</v>
      </c>
      <c r="W4512">
        <v>0.18396129999999999</v>
      </c>
      <c r="X4512">
        <v>0.97992800000000002</v>
      </c>
      <c r="Y4512">
        <v>8.1632060000000006E-2</v>
      </c>
      <c r="Z4512">
        <v>-8.7573030000000001E-4</v>
      </c>
      <c r="AA4512">
        <v>0.9966621</v>
      </c>
      <c r="AB4512">
        <v>26</v>
      </c>
      <c r="AC4512">
        <v>124.1032</v>
      </c>
      <c r="AD4512">
        <v>-0.58229690000000001</v>
      </c>
      <c r="AE4512">
        <v>-11.75093</v>
      </c>
      <c r="AF4512">
        <v>10.197947335686701</v>
      </c>
      <c r="AG4512">
        <v>-0.58229690000000001</v>
      </c>
      <c r="AH4512">
        <v>124.237725184737</v>
      </c>
      <c r="AI4512">
        <v>90.267640770642501</v>
      </c>
      <c r="AJ4512">
        <v>85.307445284448903</v>
      </c>
      <c r="AK4512">
        <v>124.65692743935</v>
      </c>
      <c r="AL4512">
        <v>79.399419725066096</v>
      </c>
      <c r="AM4512">
        <v>94.481687150960596</v>
      </c>
      <c r="AN4512">
        <v>0.99999997018044295</v>
      </c>
    </row>
    <row r="4513" spans="1:40" x14ac:dyDescent="0.25">
      <c r="A4513" t="str">
        <f>"20190304155505283"</f>
        <v>20190304155505283</v>
      </c>
      <c r="B4513" t="str">
        <f>"1551686105272146"</f>
        <v>1551686105272146</v>
      </c>
      <c r="C4513" t="s">
        <v>40</v>
      </c>
      <c r="D4513">
        <v>4.4106500000000004</v>
      </c>
      <c r="E4513">
        <v>0.56005729999999998</v>
      </c>
      <c r="F4513" t="s">
        <v>58</v>
      </c>
      <c r="G4513">
        <v>-241.07</v>
      </c>
      <c r="H4513">
        <v>0.45964430000000001</v>
      </c>
      <c r="I4513">
        <v>5.6233230000000001</v>
      </c>
      <c r="J4513">
        <v>-364.91879999999998</v>
      </c>
      <c r="K4513">
        <v>1.1105339999999999</v>
      </c>
      <c r="L4513">
        <v>17.440639999999998</v>
      </c>
      <c r="M4513">
        <v>0.99982510000000002</v>
      </c>
      <c r="N4513">
        <v>-1.392435E-2</v>
      </c>
      <c r="O4513">
        <v>-1.2488320000000001E-2</v>
      </c>
      <c r="P4513">
        <v>0.98332549999999996</v>
      </c>
      <c r="Q4513">
        <v>0.170101</v>
      </c>
      <c r="R4513">
        <v>6.4316970000000001E-2</v>
      </c>
      <c r="S4513">
        <v>3.0729980000000001</v>
      </c>
      <c r="T4513">
        <v>-1.6118170000000001E-2</v>
      </c>
      <c r="U4513">
        <v>-0.29269410000000001</v>
      </c>
      <c r="V4513">
        <v>-7.6586810000000005E-2</v>
      </c>
      <c r="W4513">
        <v>0.18376729999999999</v>
      </c>
      <c r="X4513">
        <v>0.97998169999999996</v>
      </c>
      <c r="Y4513">
        <v>8.2373630000000003E-2</v>
      </c>
      <c r="Z4513">
        <v>-8.9857229999999895E-4</v>
      </c>
      <c r="AA4513">
        <v>0.99660110000000002</v>
      </c>
      <c r="AB4513">
        <v>26</v>
      </c>
      <c r="AC4513">
        <v>123.848799999999</v>
      </c>
      <c r="AD4513">
        <v>-0.65088969999999902</v>
      </c>
      <c r="AE4513">
        <v>-11.817316999999999</v>
      </c>
      <c r="AF4513">
        <v>10.2693008499587</v>
      </c>
      <c r="AG4513">
        <v>-0.65088969999999902</v>
      </c>
      <c r="AH4513">
        <v>123.983339294258</v>
      </c>
      <c r="AI4513">
        <v>90.299763044053805</v>
      </c>
      <c r="AJ4513">
        <v>85.265109248079099</v>
      </c>
      <c r="AK4513">
        <v>124.409608229846</v>
      </c>
      <c r="AL4513">
        <v>79.410728706422205</v>
      </c>
      <c r="AM4513">
        <v>94.468654829892998</v>
      </c>
      <c r="AN4513">
        <v>1.00000004617507</v>
      </c>
    </row>
    <row r="4514" spans="1:40" x14ac:dyDescent="0.25">
      <c r="A4514" t="str">
        <f>"20190304155505305"</f>
        <v>20190304155505305</v>
      </c>
      <c r="B4514" t="str">
        <f>"1551686105302400"</f>
        <v>1551686105302400</v>
      </c>
      <c r="C4514" t="s">
        <v>40</v>
      </c>
      <c r="D4514">
        <v>4.4632610000000001</v>
      </c>
      <c r="E4514">
        <v>0.56022349999999999</v>
      </c>
      <c r="F4514" t="s">
        <v>58</v>
      </c>
      <c r="G4514">
        <v>-241.07</v>
      </c>
      <c r="H4514">
        <v>0.42812630000000002</v>
      </c>
      <c r="I4514">
        <v>5.6270769999999999</v>
      </c>
      <c r="J4514">
        <v>-364.661</v>
      </c>
      <c r="K4514">
        <v>1.1105039999999999</v>
      </c>
      <c r="L4514">
        <v>17.437470000000001</v>
      </c>
      <c r="M4514">
        <v>0.99982490000000002</v>
      </c>
      <c r="N4514">
        <v>-1.3923039999999999E-2</v>
      </c>
      <c r="O4514">
        <v>-1.250806E-2</v>
      </c>
      <c r="P4514">
        <v>0.98340830000000001</v>
      </c>
      <c r="Q4514">
        <v>0.16970289999999999</v>
      </c>
      <c r="R4514">
        <v>6.4102850000000003E-2</v>
      </c>
      <c r="S4514">
        <v>3.0729679999999999</v>
      </c>
      <c r="T4514">
        <v>-1.6932249999999999E-2</v>
      </c>
      <c r="U4514">
        <v>-0.29312129999999997</v>
      </c>
      <c r="V4514">
        <v>-7.6381770000000002E-2</v>
      </c>
      <c r="W4514">
        <v>0.18337349999999999</v>
      </c>
      <c r="X4514">
        <v>0.98007140000000004</v>
      </c>
      <c r="Y4514">
        <v>8.2491910000000002E-2</v>
      </c>
      <c r="Z4514">
        <v>-9.0740809999999999E-4</v>
      </c>
      <c r="AA4514">
        <v>0.99659129999999996</v>
      </c>
      <c r="AB4514">
        <v>26</v>
      </c>
      <c r="AC4514">
        <v>123.59099999999999</v>
      </c>
      <c r="AD4514">
        <v>-0.68237769999999998</v>
      </c>
      <c r="AE4514">
        <v>-11.810392999999999</v>
      </c>
      <c r="AF4514">
        <v>10.263125476965801</v>
      </c>
      <c r="AG4514">
        <v>-0.68237769999999998</v>
      </c>
      <c r="AH4514">
        <v>123.725331613233</v>
      </c>
      <c r="AI4514">
        <v>90.314916501442198</v>
      </c>
      <c r="AJ4514">
        <v>85.258120678027595</v>
      </c>
      <c r="AK4514">
        <v>124.152144833208</v>
      </c>
      <c r="AL4514">
        <v>79.433681152170394</v>
      </c>
      <c r="AM4514">
        <v>94.456333250145306</v>
      </c>
      <c r="AN4514">
        <v>0.999999982194271</v>
      </c>
    </row>
    <row r="4515" spans="1:40" x14ac:dyDescent="0.25">
      <c r="A4515" t="str">
        <f>"20190304155505329"</f>
        <v>20190304155505329</v>
      </c>
      <c r="B4515" t="str">
        <f>"1551686105321920"</f>
        <v>1551686105321920</v>
      </c>
      <c r="C4515" t="s">
        <v>40</v>
      </c>
      <c r="D4515">
        <v>4.4509059999999998</v>
      </c>
      <c r="E4515">
        <v>0.56028520000000004</v>
      </c>
      <c r="F4515" t="s">
        <v>58</v>
      </c>
      <c r="G4515">
        <v>-241.07</v>
      </c>
      <c r="H4515">
        <v>0.36288550000000003</v>
      </c>
      <c r="I4515">
        <v>5.5776539999999999</v>
      </c>
      <c r="J4515">
        <v>-364.3904</v>
      </c>
      <c r="K4515">
        <v>1.110492</v>
      </c>
      <c r="L4515">
        <v>17.434049999999999</v>
      </c>
      <c r="M4515">
        <v>0.99982439999999995</v>
      </c>
      <c r="N4515">
        <v>-1.392145E-2</v>
      </c>
      <c r="O4515">
        <v>-1.2549370000000001E-2</v>
      </c>
      <c r="P4515">
        <v>0.98352629999999996</v>
      </c>
      <c r="Q4515">
        <v>0.1690662</v>
      </c>
      <c r="R4515">
        <v>6.3975160000000003E-2</v>
      </c>
      <c r="S4515">
        <v>3.0730590000000002</v>
      </c>
      <c r="T4515">
        <v>-1.8589499999999998E-2</v>
      </c>
      <c r="U4515">
        <v>-0.29489140000000003</v>
      </c>
      <c r="V4515">
        <v>-7.6291390000000001E-2</v>
      </c>
      <c r="W4515">
        <v>0.18273929999999999</v>
      </c>
      <c r="X4515">
        <v>0.98019690000000004</v>
      </c>
      <c r="Y4515">
        <v>8.3016069999999997E-2</v>
      </c>
      <c r="Z4515">
        <v>-9.2835309999999996E-4</v>
      </c>
      <c r="AA4515">
        <v>0.99654779999999998</v>
      </c>
      <c r="AB4515">
        <v>26</v>
      </c>
      <c r="AC4515">
        <v>123.32040000000001</v>
      </c>
      <c r="AD4515">
        <v>-0.74760649999999995</v>
      </c>
      <c r="AE4515">
        <v>-11.856396</v>
      </c>
      <c r="AF4515">
        <v>10.3073436073881</v>
      </c>
      <c r="AG4515">
        <v>-0.74760649999999995</v>
      </c>
      <c r="AH4515">
        <v>123.454996173205</v>
      </c>
      <c r="AI4515">
        <v>90.345758879873003</v>
      </c>
      <c r="AJ4515">
        <v>85.227404366043203</v>
      </c>
      <c r="AK4515">
        <v>123.886788350678</v>
      </c>
      <c r="AL4515">
        <v>79.470642838057202</v>
      </c>
      <c r="AM4515">
        <v>94.4505138154381</v>
      </c>
      <c r="AN4515">
        <v>0.99999999536111595</v>
      </c>
    </row>
    <row r="4516" spans="1:40" x14ac:dyDescent="0.25">
      <c r="A4516" t="str">
        <f>"20190304155505352"</f>
        <v>20190304155505352</v>
      </c>
      <c r="B4516" t="str">
        <f>"1551686105342415"</f>
        <v>1551686105342415</v>
      </c>
      <c r="C4516" t="s">
        <v>40</v>
      </c>
      <c r="D4516">
        <v>4.4483839999999999</v>
      </c>
      <c r="E4516">
        <v>0.56037250000000005</v>
      </c>
      <c r="F4516" t="s">
        <v>58</v>
      </c>
      <c r="G4516">
        <v>-241.07</v>
      </c>
      <c r="H4516">
        <v>0.29468490000000003</v>
      </c>
      <c r="I4516">
        <v>5.5620089999999998</v>
      </c>
      <c r="J4516">
        <v>-364.1318</v>
      </c>
      <c r="K4516">
        <v>1.1104879999999999</v>
      </c>
      <c r="L4516">
        <v>17.430820000000001</v>
      </c>
      <c r="M4516">
        <v>0.99982380000000004</v>
      </c>
      <c r="N4516">
        <v>-1.391976E-2</v>
      </c>
      <c r="O4516">
        <v>-1.25971E-2</v>
      </c>
      <c r="P4516">
        <v>0.98362959999999999</v>
      </c>
      <c r="Q4516">
        <v>0.1683781</v>
      </c>
      <c r="R4516">
        <v>6.4200190000000004E-2</v>
      </c>
      <c r="S4516">
        <v>3.0729980000000001</v>
      </c>
      <c r="T4516">
        <v>-2.0329119999999999E-2</v>
      </c>
      <c r="U4516">
        <v>-0.29583739999999997</v>
      </c>
      <c r="V4516">
        <v>-7.6562599999999995E-2</v>
      </c>
      <c r="W4516">
        <v>0.18205189999999999</v>
      </c>
      <c r="X4516">
        <v>0.98030360000000005</v>
      </c>
      <c r="Y4516">
        <v>8.3273680000000003E-2</v>
      </c>
      <c r="Z4516">
        <v>-9.4762299999999998E-4</v>
      </c>
      <c r="AA4516">
        <v>0.99652620000000003</v>
      </c>
      <c r="AB4516">
        <v>26</v>
      </c>
      <c r="AC4516">
        <v>123.06180000000001</v>
      </c>
      <c r="AD4516">
        <v>-0.815803099999999</v>
      </c>
      <c r="AE4516">
        <v>-11.868811000000001</v>
      </c>
      <c r="AF4516">
        <v>10.3170479005086</v>
      </c>
      <c r="AG4516">
        <v>-0.815803099999999</v>
      </c>
      <c r="AH4516">
        <v>123.196196507629</v>
      </c>
      <c r="AI4516">
        <v>90.3780826934468</v>
      </c>
      <c r="AJ4516">
        <v>85.212943130632496</v>
      </c>
      <c r="AK4516">
        <v>123.63013324439</v>
      </c>
      <c r="AL4516">
        <v>79.510699288116697</v>
      </c>
      <c r="AM4516">
        <v>94.465786988794406</v>
      </c>
      <c r="AN4516">
        <v>0.99999993709266299</v>
      </c>
    </row>
    <row r="4517" spans="1:40" x14ac:dyDescent="0.25">
      <c r="A4517" t="str">
        <f>"20190304155505372"</f>
        <v>20190304155505372</v>
      </c>
      <c r="B4517" t="str">
        <f>"1551686105361938"</f>
        <v>1551686105361938</v>
      </c>
      <c r="C4517" t="s">
        <v>40</v>
      </c>
      <c r="D4517">
        <v>4.4841439999999997</v>
      </c>
      <c r="E4517">
        <v>0.56045400000000001</v>
      </c>
      <c r="F4517" t="s">
        <v>58</v>
      </c>
      <c r="G4517">
        <v>-241.07</v>
      </c>
      <c r="H4517">
        <v>0.2239032</v>
      </c>
      <c r="I4517">
        <v>5.5826729999999998</v>
      </c>
      <c r="J4517">
        <v>-363.8852</v>
      </c>
      <c r="K4517">
        <v>1.1104849999999999</v>
      </c>
      <c r="L4517">
        <v>17.427669999999999</v>
      </c>
      <c r="M4517">
        <v>0.99982329999999997</v>
      </c>
      <c r="N4517">
        <v>-1.391801E-2</v>
      </c>
      <c r="O4517">
        <v>-1.2644559999999999E-2</v>
      </c>
      <c r="P4517">
        <v>0.98366439999999999</v>
      </c>
      <c r="Q4517">
        <v>0.1681502</v>
      </c>
      <c r="R4517">
        <v>6.4264959999999996E-2</v>
      </c>
      <c r="S4517">
        <v>3.0730590000000002</v>
      </c>
      <c r="T4517">
        <v>-2.213967E-2</v>
      </c>
      <c r="U4517">
        <v>-0.29586790000000002</v>
      </c>
      <c r="V4517">
        <v>-7.667388E-2</v>
      </c>
      <c r="W4517">
        <v>0.1818227</v>
      </c>
      <c r="X4517">
        <v>0.98033749999999997</v>
      </c>
      <c r="Y4517">
        <v>8.3233539999999995E-2</v>
      </c>
      <c r="Z4517">
        <v>-9.6449130000000004E-4</v>
      </c>
      <c r="AA4517">
        <v>0.99652960000000002</v>
      </c>
      <c r="AB4517">
        <v>26</v>
      </c>
      <c r="AC4517">
        <v>122.8152</v>
      </c>
      <c r="AD4517">
        <v>-0.88658179999999898</v>
      </c>
      <c r="AE4517">
        <v>-11.844996999999999</v>
      </c>
      <c r="AF4517">
        <v>10.2904241317657</v>
      </c>
      <c r="AG4517">
        <v>-0.88658179999999898</v>
      </c>
      <c r="AH4517">
        <v>122.948820829337</v>
      </c>
      <c r="AI4517">
        <v>90.4117122168755</v>
      </c>
      <c r="AJ4517">
        <v>85.215676862469195</v>
      </c>
      <c r="AK4517">
        <v>123.381892510303</v>
      </c>
      <c r="AL4517">
        <v>79.524055000469303</v>
      </c>
      <c r="AM4517">
        <v>94.472097456215906</v>
      </c>
      <c r="AN4517">
        <v>0.99999999600789702</v>
      </c>
    </row>
    <row r="4518" spans="1:40" x14ac:dyDescent="0.25">
      <c r="A4518" t="str">
        <f>"20190304155505395"</f>
        <v>20190304155505395</v>
      </c>
      <c r="B4518" t="str">
        <f>"1551686105392192"</f>
        <v>1551686105392192</v>
      </c>
      <c r="C4518" t="s">
        <v>40</v>
      </c>
      <c r="D4518">
        <v>4.8384140000000002</v>
      </c>
      <c r="E4518">
        <v>0.56049709999999997</v>
      </c>
      <c r="F4518" t="s">
        <v>58</v>
      </c>
      <c r="G4518">
        <v>-241.07</v>
      </c>
      <c r="H4518">
        <v>0.2035961</v>
      </c>
      <c r="I4518">
        <v>5.5810879999999896</v>
      </c>
      <c r="J4518">
        <v>-363.63510000000002</v>
      </c>
      <c r="K4518">
        <v>1.1104830000000001</v>
      </c>
      <c r="L4518">
        <v>17.424469999999999</v>
      </c>
      <c r="M4518">
        <v>0.99982260000000001</v>
      </c>
      <c r="N4518">
        <v>-1.3916130000000001E-2</v>
      </c>
      <c r="O4518">
        <v>-1.2689880000000001E-2</v>
      </c>
      <c r="P4518">
        <v>0.98366279999999995</v>
      </c>
      <c r="Q4518">
        <v>0.16812939999999901</v>
      </c>
      <c r="R4518">
        <v>6.4342250000000004E-2</v>
      </c>
      <c r="S4518">
        <v>3.0729980000000001</v>
      </c>
      <c r="T4518">
        <v>-2.269173E-2</v>
      </c>
      <c r="U4518">
        <v>-0.29641719999999999</v>
      </c>
      <c r="V4518">
        <v>-7.6794810000000005E-2</v>
      </c>
      <c r="W4518">
        <v>0.1818002</v>
      </c>
      <c r="X4518">
        <v>0.98033219999999999</v>
      </c>
      <c r="Y4518">
        <v>8.3366540000000003E-2</v>
      </c>
      <c r="Z4518">
        <v>-9.7130190000000003E-4</v>
      </c>
      <c r="AA4518">
        <v>0.99651849999999997</v>
      </c>
      <c r="AB4518">
        <v>26</v>
      </c>
      <c r="AC4518">
        <v>122.5651</v>
      </c>
      <c r="AD4518">
        <v>-0.90688690000000005</v>
      </c>
      <c r="AE4518">
        <v>-11.843382</v>
      </c>
      <c r="AF4518">
        <v>10.286383139025199</v>
      </c>
      <c r="AG4518">
        <v>-0.90688690000000005</v>
      </c>
      <c r="AH4518">
        <v>122.698879388728</v>
      </c>
      <c r="AI4518">
        <v>90.421994212816898</v>
      </c>
      <c r="AJ4518">
        <v>85.207850241593803</v>
      </c>
      <c r="AK4518">
        <v>123.132640372819</v>
      </c>
      <c r="AL4518">
        <v>79.525365930837296</v>
      </c>
      <c r="AM4518">
        <v>94.479146283036201</v>
      </c>
      <c r="AN4518">
        <v>0.99999998895990705</v>
      </c>
    </row>
    <row r="4519" spans="1:40" x14ac:dyDescent="0.25">
      <c r="A4519" t="str">
        <f>"20190304155505417"</f>
        <v>20190304155505417</v>
      </c>
      <c r="B4519" t="str">
        <f>"1551686105411710"</f>
        <v>1551686105411710</v>
      </c>
      <c r="C4519" t="s">
        <v>40</v>
      </c>
      <c r="D4519">
        <v>4.4935070000000001</v>
      </c>
      <c r="E4519">
        <v>0.59205589999999997</v>
      </c>
      <c r="F4519" t="s">
        <v>58</v>
      </c>
      <c r="G4519">
        <v>-241.07</v>
      </c>
      <c r="H4519">
        <v>0.20693300000000001</v>
      </c>
      <c r="I4519">
        <v>5.5938420000000004</v>
      </c>
      <c r="J4519">
        <v>-363.37360000000001</v>
      </c>
      <c r="K4519">
        <v>1.1104799999999999</v>
      </c>
      <c r="L4519">
        <v>17.421109999999999</v>
      </c>
      <c r="M4519">
        <v>0.99982210000000005</v>
      </c>
      <c r="N4519">
        <v>-1.3914080000000001E-2</v>
      </c>
      <c r="O4519">
        <v>-1.273328E-2</v>
      </c>
      <c r="P4519">
        <v>0.98370500000000005</v>
      </c>
      <c r="Q4519">
        <v>0.16783429999999999</v>
      </c>
      <c r="R4519">
        <v>6.4467449999999996E-2</v>
      </c>
      <c r="S4519">
        <v>3.0730900000000001</v>
      </c>
      <c r="T4519">
        <v>-2.265501E-2</v>
      </c>
      <c r="U4519">
        <v>-0.29663089999999998</v>
      </c>
      <c r="V4519">
        <v>-7.6962699999999995E-2</v>
      </c>
      <c r="W4519">
        <v>0.18150430000000001</v>
      </c>
      <c r="X4519">
        <v>0.98037390000000002</v>
      </c>
      <c r="Y4519">
        <v>8.3389069999999996E-2</v>
      </c>
      <c r="Z4519">
        <v>-9.7136270000000005E-4</v>
      </c>
      <c r="AA4519">
        <v>0.99651659999999997</v>
      </c>
      <c r="AB4519">
        <v>26</v>
      </c>
      <c r="AC4519">
        <v>122.3036</v>
      </c>
      <c r="AD4519">
        <v>-0.90354699999999999</v>
      </c>
      <c r="AE4519">
        <v>-11.827268</v>
      </c>
      <c r="AF4519">
        <v>10.2682769436722</v>
      </c>
      <c r="AG4519">
        <v>-0.90354699999999999</v>
      </c>
      <c r="AH4519">
        <v>122.437676668479</v>
      </c>
      <c r="AI4519">
        <v>90.421335968891199</v>
      </c>
      <c r="AJ4519">
        <v>85.206088331001894</v>
      </c>
      <c r="AK4519">
        <v>122.87082068802199</v>
      </c>
      <c r="AL4519">
        <v>79.542606979193394</v>
      </c>
      <c r="AM4519">
        <v>94.488708529203194</v>
      </c>
      <c r="AN4519">
        <v>1.00000002595549</v>
      </c>
    </row>
    <row r="4520" spans="1:40" x14ac:dyDescent="0.25">
      <c r="A4520" t="str">
        <f>"20190304155505440"</f>
        <v>20190304155505440</v>
      </c>
      <c r="B4520" t="str">
        <f>"1551686105432207"</f>
        <v>1551686105432207</v>
      </c>
      <c r="C4520" t="s">
        <v>40</v>
      </c>
      <c r="D4520">
        <v>4.7169280000000002</v>
      </c>
      <c r="E4520">
        <v>0.59767340000000002</v>
      </c>
      <c r="F4520" t="s">
        <v>90</v>
      </c>
      <c r="G4520">
        <v>-279.02</v>
      </c>
      <c r="H4520">
        <v>0.81711369999999905</v>
      </c>
      <c r="I4520">
        <v>2.4594649999999998</v>
      </c>
      <c r="J4520">
        <v>-363.12110000000001</v>
      </c>
      <c r="K4520">
        <v>1.110479</v>
      </c>
      <c r="L4520">
        <v>17.417850000000001</v>
      </c>
      <c r="M4520">
        <v>0.99982179999999998</v>
      </c>
      <c r="N4520">
        <v>-1.391217E-2</v>
      </c>
      <c r="O4520">
        <v>-1.277296E-2</v>
      </c>
      <c r="P4520">
        <v>0.98368960000000005</v>
      </c>
      <c r="Q4520">
        <v>0.16803870000000001</v>
      </c>
      <c r="R4520">
        <v>6.4172419999999994E-2</v>
      </c>
      <c r="S4520">
        <v>3.087402</v>
      </c>
      <c r="T4520">
        <v>-1.0737419999999999E-2</v>
      </c>
      <c r="U4520">
        <v>-0.54760739999999997</v>
      </c>
      <c r="V4520">
        <v>-7.6706410000000003E-2</v>
      </c>
      <c r="W4520">
        <v>0.18170639999999999</v>
      </c>
      <c r="X4520">
        <v>0.98035649999999996</v>
      </c>
      <c r="Y4520">
        <v>0.1620461</v>
      </c>
      <c r="Z4520">
        <v>-1.5479300000000001E-3</v>
      </c>
      <c r="AA4520">
        <v>0.98678200000000005</v>
      </c>
      <c r="AB4520">
        <v>26</v>
      </c>
      <c r="AC4520">
        <v>84.101100000000002</v>
      </c>
      <c r="AD4520">
        <v>-0.2933653</v>
      </c>
      <c r="AE4520">
        <v>-14.958385</v>
      </c>
      <c r="AF4520">
        <v>13.8826769712801</v>
      </c>
      <c r="AG4520">
        <v>-0.2933653</v>
      </c>
      <c r="AH4520">
        <v>84.284325113131501</v>
      </c>
      <c r="AI4520">
        <v>90.196775084453094</v>
      </c>
      <c r="AJ4520">
        <v>80.646654863468896</v>
      </c>
      <c r="AK4520">
        <v>85.420502473728206</v>
      </c>
      <c r="AL4520">
        <v>79.530831190594498</v>
      </c>
      <c r="AM4520">
        <v>94.473900749519501</v>
      </c>
      <c r="AN4520">
        <v>0.99999997811414798</v>
      </c>
    </row>
    <row r="4521" spans="1:40" x14ac:dyDescent="0.25">
      <c r="A4521" t="str">
        <f>"20190304155505463"</f>
        <v>20190304155505463</v>
      </c>
      <c r="B4521" t="str">
        <f>"1551686105452494"</f>
        <v>1551686105452494</v>
      </c>
      <c r="C4521" t="s">
        <v>40</v>
      </c>
      <c r="D4521">
        <v>4.587472</v>
      </c>
      <c r="E4521">
        <v>0.60451969999999899</v>
      </c>
      <c r="F4521" t="s">
        <v>90</v>
      </c>
      <c r="G4521">
        <v>-279.02</v>
      </c>
      <c r="H4521">
        <v>0.76848109999999903</v>
      </c>
      <c r="I4521">
        <v>1.2543280000000001</v>
      </c>
      <c r="J4521">
        <v>-362.85610000000003</v>
      </c>
      <c r="K4521">
        <v>1.1104830000000001</v>
      </c>
      <c r="L4521">
        <v>17.414429999999999</v>
      </c>
      <c r="M4521">
        <v>0.99982110000000002</v>
      </c>
      <c r="N4521">
        <v>-1.3909950000000001E-2</v>
      </c>
      <c r="O4521">
        <v>-1.2814870000000001E-2</v>
      </c>
      <c r="P4521">
        <v>0.98373330000000003</v>
      </c>
      <c r="Q4521">
        <v>0.16788149999999999</v>
      </c>
      <c r="R4521">
        <v>6.3909649999999998E-2</v>
      </c>
      <c r="S4521">
        <v>3.0906370000000001</v>
      </c>
      <c r="T4521">
        <v>-1.256812E-2</v>
      </c>
      <c r="U4521">
        <v>-0.59399409999999997</v>
      </c>
      <c r="V4521">
        <v>-7.6486650000000003E-2</v>
      </c>
      <c r="W4521">
        <v>0.1815474</v>
      </c>
      <c r="X4521">
        <v>0.98040309999999997</v>
      </c>
      <c r="Y4521">
        <v>0.17613010000000001</v>
      </c>
      <c r="Z4521">
        <v>-1.716125E-3</v>
      </c>
      <c r="AA4521">
        <v>0.98436539999999995</v>
      </c>
      <c r="AB4521">
        <v>26</v>
      </c>
      <c r="AC4521">
        <v>83.836100000000002</v>
      </c>
      <c r="AD4521">
        <v>-0.34200190000000003</v>
      </c>
      <c r="AE4521">
        <v>-16.160101999999998</v>
      </c>
      <c r="AF4521">
        <v>15.084080038687</v>
      </c>
      <c r="AG4521">
        <v>-0.34200190000000003</v>
      </c>
      <c r="AH4521">
        <v>84.034975839098294</v>
      </c>
      <c r="AI4521">
        <v>90.229510595315801</v>
      </c>
      <c r="AJ4521">
        <v>79.823908389535404</v>
      </c>
      <c r="AK4521">
        <v>85.378706948459694</v>
      </c>
      <c r="AL4521">
        <v>79.540095031758696</v>
      </c>
      <c r="AM4521">
        <v>94.460923875263504</v>
      </c>
      <c r="AN4521">
        <v>0.99999995228229499</v>
      </c>
    </row>
    <row r="4522" spans="1:40" x14ac:dyDescent="0.25">
      <c r="A4522" t="str">
        <f>"20190304155505483"</f>
        <v>20190304155505483</v>
      </c>
      <c r="B4522" t="str">
        <f>"1551686105472002"</f>
        <v>1551686105472002</v>
      </c>
      <c r="C4522" t="s">
        <v>40</v>
      </c>
      <c r="D4522">
        <v>4.7446640000000002</v>
      </c>
      <c r="E4522">
        <v>0.60560080000000005</v>
      </c>
      <c r="F4522" t="s">
        <v>90</v>
      </c>
      <c r="G4522">
        <v>-279.02</v>
      </c>
      <c r="H4522">
        <v>0.90808359999999999</v>
      </c>
      <c r="I4522">
        <v>-0.18507000000000001</v>
      </c>
      <c r="J4522">
        <v>-362.61720000000003</v>
      </c>
      <c r="K4522">
        <v>1.110484</v>
      </c>
      <c r="L4522">
        <v>17.411290000000001</v>
      </c>
      <c r="M4522">
        <v>0.99982070000000001</v>
      </c>
      <c r="N4522">
        <v>-1.3907879999999999E-2</v>
      </c>
      <c r="O4522">
        <v>-1.285413E-2</v>
      </c>
      <c r="P4522">
        <v>0.98386410000000002</v>
      </c>
      <c r="Q4522">
        <v>0.16726189999999999</v>
      </c>
      <c r="R4522">
        <v>6.3521910000000001E-2</v>
      </c>
      <c r="S4522">
        <v>3.0930789999999999</v>
      </c>
      <c r="T4522">
        <v>-7.4673889999999996E-3</v>
      </c>
      <c r="U4522">
        <v>-0.64932250000000002</v>
      </c>
      <c r="V4522">
        <v>-7.6140659999999999E-2</v>
      </c>
      <c r="W4522">
        <v>0.180927</v>
      </c>
      <c r="X4522">
        <v>0.98054470000000005</v>
      </c>
      <c r="Y4522">
        <v>0.19284809999999999</v>
      </c>
      <c r="Z4522">
        <v>-1.7321039999999999E-3</v>
      </c>
      <c r="AA4522">
        <v>0.98122710000000002</v>
      </c>
      <c r="AB4522">
        <v>26</v>
      </c>
      <c r="AC4522">
        <v>83.597200000000001</v>
      </c>
      <c r="AD4522">
        <v>-0.20240040000000001</v>
      </c>
      <c r="AE4522">
        <v>-17.596360000000001</v>
      </c>
      <c r="AF4522">
        <v>16.520140046592299</v>
      </c>
      <c r="AG4522">
        <v>-0.20240040000000001</v>
      </c>
      <c r="AH4522">
        <v>83.816029342701398</v>
      </c>
      <c r="AI4522">
        <v>90.135746928882895</v>
      </c>
      <c r="AJ4522">
        <v>78.849922902907096</v>
      </c>
      <c r="AK4522">
        <v>85.428816963935105</v>
      </c>
      <c r="AL4522">
        <v>79.576239829707902</v>
      </c>
      <c r="AM4522">
        <v>94.440186899846196</v>
      </c>
      <c r="AN4522">
        <v>0.999999944066161</v>
      </c>
    </row>
    <row r="4523" spans="1:40" x14ac:dyDescent="0.25">
      <c r="A4523" t="str">
        <f>"20190304155505506"</f>
        <v>20190304155505506</v>
      </c>
      <c r="B4523" t="str">
        <f>"1551686105502259"</f>
        <v>1551686105502259</v>
      </c>
      <c r="C4523" t="s">
        <v>40</v>
      </c>
      <c r="D4523">
        <v>4.7599689999999999</v>
      </c>
      <c r="E4523">
        <v>0.60645150000000003</v>
      </c>
      <c r="F4523" t="s">
        <v>90</v>
      </c>
      <c r="G4523">
        <v>-279.02</v>
      </c>
      <c r="H4523">
        <v>0.87267569999999905</v>
      </c>
      <c r="I4523">
        <v>-0.42370219999999997</v>
      </c>
      <c r="J4523">
        <v>-362.36450000000002</v>
      </c>
      <c r="K4523">
        <v>1.110484</v>
      </c>
      <c r="L4523">
        <v>17.40802</v>
      </c>
      <c r="M4523">
        <v>0.99982020000000005</v>
      </c>
      <c r="N4523">
        <v>-1.390563E-2</v>
      </c>
      <c r="O4523">
        <v>-1.289613E-2</v>
      </c>
      <c r="P4523">
        <v>0.98392849999999998</v>
      </c>
      <c r="Q4523">
        <v>0.1670171</v>
      </c>
      <c r="R4523">
        <v>6.316745E-2</v>
      </c>
      <c r="S4523">
        <v>3.0933229999999998</v>
      </c>
      <c r="T4523">
        <v>-8.7995529999999999E-3</v>
      </c>
      <c r="U4523">
        <v>-0.65994259999999905</v>
      </c>
      <c r="V4523">
        <v>-7.5829949999999993E-2</v>
      </c>
      <c r="W4523">
        <v>0.1806799</v>
      </c>
      <c r="X4523">
        <v>0.9806144</v>
      </c>
      <c r="Y4523">
        <v>0.19601370000000001</v>
      </c>
      <c r="Z4523">
        <v>-1.7949369999999999E-3</v>
      </c>
      <c r="AA4523">
        <v>0.98059949999999996</v>
      </c>
      <c r="AB4523">
        <v>26</v>
      </c>
      <c r="AC4523">
        <v>83.344499999999996</v>
      </c>
      <c r="AD4523">
        <v>-0.2378083</v>
      </c>
      <c r="AE4523">
        <v>-17.831722199999898</v>
      </c>
      <c r="AF4523">
        <v>16.7551832328136</v>
      </c>
      <c r="AG4523">
        <v>-0.2378083</v>
      </c>
      <c r="AH4523">
        <v>83.566899711838701</v>
      </c>
      <c r="AI4523">
        <v>90.159865859357396</v>
      </c>
      <c r="AJ4523">
        <v>78.662511051125605</v>
      </c>
      <c r="AK4523">
        <v>85.230390386300598</v>
      </c>
      <c r="AL4523">
        <v>79.590635495028295</v>
      </c>
      <c r="AM4523">
        <v>94.421826612467299</v>
      </c>
      <c r="AN4523">
        <v>1.0000000045341799</v>
      </c>
    </row>
    <row r="4524" spans="1:40" x14ac:dyDescent="0.25">
      <c r="A4524" t="str">
        <f>"20190304155505530"</f>
        <v>20190304155505530</v>
      </c>
      <c r="B4524" t="str">
        <f>"1551686105521779"</f>
        <v>1551686105521779</v>
      </c>
      <c r="C4524" t="s">
        <v>40</v>
      </c>
      <c r="D4524">
        <v>4.733187</v>
      </c>
      <c r="E4524">
        <v>0.60710529999999996</v>
      </c>
      <c r="F4524" t="s">
        <v>90</v>
      </c>
      <c r="G4524">
        <v>-279.02</v>
      </c>
      <c r="H4524">
        <v>0.86313430000000002</v>
      </c>
      <c r="I4524">
        <v>-0.61207199999999995</v>
      </c>
      <c r="J4524">
        <v>-362.08960000000002</v>
      </c>
      <c r="K4524">
        <v>1.1104830000000001</v>
      </c>
      <c r="L4524">
        <v>17.404450000000001</v>
      </c>
      <c r="M4524">
        <v>0.99981960000000003</v>
      </c>
      <c r="N4524">
        <v>-1.390314E-2</v>
      </c>
      <c r="O4524">
        <v>-1.294089E-2</v>
      </c>
      <c r="P4524">
        <v>0.98404380000000002</v>
      </c>
      <c r="Q4524">
        <v>0.16646830000000001</v>
      </c>
      <c r="R4524">
        <v>6.2818559999999996E-2</v>
      </c>
      <c r="S4524">
        <v>3.0935060000000001</v>
      </c>
      <c r="T4524">
        <v>-9.1809030000000007E-3</v>
      </c>
      <c r="U4524">
        <v>-0.66885380000000005</v>
      </c>
      <c r="V4524">
        <v>-7.5527699999999906E-2</v>
      </c>
      <c r="W4524">
        <v>0.18012979999999901</v>
      </c>
      <c r="X4524">
        <v>0.98073889999999997</v>
      </c>
      <c r="Y4524">
        <v>0.19865720000000001</v>
      </c>
      <c r="Z4524">
        <v>-1.828245E-3</v>
      </c>
      <c r="AA4524">
        <v>0.98006729999999997</v>
      </c>
      <c r="AB4524">
        <v>25</v>
      </c>
      <c r="AC4524">
        <v>83.069599999999994</v>
      </c>
      <c r="AD4524">
        <v>-0.24734869999999901</v>
      </c>
      <c r="AE4524">
        <v>-18.016521999999998</v>
      </c>
      <c r="AF4524">
        <v>16.9397711492011</v>
      </c>
      <c r="AG4524">
        <v>-0.24734869999999901</v>
      </c>
      <c r="AH4524">
        <v>83.295109708461297</v>
      </c>
      <c r="AI4524">
        <v>90.166729012080694</v>
      </c>
      <c r="AJ4524">
        <v>78.504498538038703</v>
      </c>
      <c r="AK4524">
        <v>85.000543111860694</v>
      </c>
      <c r="AL4524">
        <v>79.622679456401102</v>
      </c>
      <c r="AM4524">
        <v>94.403714271926205</v>
      </c>
      <c r="AN4524">
        <v>0.99999998414426905</v>
      </c>
    </row>
    <row r="4525" spans="1:40" x14ac:dyDescent="0.25">
      <c r="A4525" t="str">
        <f>"20190304155505553"</f>
        <v>20190304155505553</v>
      </c>
      <c r="B4525" t="str">
        <f>"1551686105542274"</f>
        <v>1551686105542274</v>
      </c>
      <c r="C4525" t="s">
        <v>40</v>
      </c>
      <c r="D4525">
        <v>4.7155769999999997</v>
      </c>
      <c r="E4525">
        <v>0.6078346</v>
      </c>
      <c r="F4525" t="s">
        <v>90</v>
      </c>
      <c r="G4525">
        <v>-279.02</v>
      </c>
      <c r="H4525">
        <v>0.82760619999999996</v>
      </c>
      <c r="I4525">
        <v>-0.74268909999999999</v>
      </c>
      <c r="J4525">
        <v>-361.82709999999997</v>
      </c>
      <c r="K4525">
        <v>1.110476</v>
      </c>
      <c r="L4525">
        <v>17.400970000000001</v>
      </c>
      <c r="M4525">
        <v>0.99981900000000001</v>
      </c>
      <c r="N4525">
        <v>-1.390069E-2</v>
      </c>
      <c r="O4525">
        <v>-1.298185E-2</v>
      </c>
      <c r="P4525">
        <v>0.98419920000000005</v>
      </c>
      <c r="Q4525">
        <v>0.165765</v>
      </c>
      <c r="R4525">
        <v>6.2239349999999999E-2</v>
      </c>
      <c r="S4525">
        <v>3.0935670000000002</v>
      </c>
      <c r="T4525">
        <v>-1.053452E-2</v>
      </c>
      <c r="U4525">
        <v>-0.67581179999999996</v>
      </c>
      <c r="V4525">
        <v>-7.4991730000000006E-2</v>
      </c>
      <c r="W4525">
        <v>0.17942610000000001</v>
      </c>
      <c r="X4525">
        <v>0.98090900000000003</v>
      </c>
      <c r="Y4525">
        <v>0.20071649999999999</v>
      </c>
      <c r="Z4525">
        <v>-1.8839200000000001E-3</v>
      </c>
      <c r="AA4525">
        <v>0.97964759999999995</v>
      </c>
      <c r="AB4525">
        <v>25</v>
      </c>
      <c r="AC4525">
        <v>82.807099999999906</v>
      </c>
      <c r="AD4525">
        <v>-0.2828698</v>
      </c>
      <c r="AE4525">
        <v>-18.143659100000001</v>
      </c>
      <c r="AF4525">
        <v>17.0668465080559</v>
      </c>
      <c r="AG4525">
        <v>-0.2828698</v>
      </c>
      <c r="AH4525">
        <v>83.034757169770302</v>
      </c>
      <c r="AI4525">
        <v>90.191188841892497</v>
      </c>
      <c r="AJ4525">
        <v>78.385262792037196</v>
      </c>
      <c r="AK4525">
        <v>84.771033751488602</v>
      </c>
      <c r="AL4525">
        <v>79.663666198367494</v>
      </c>
      <c r="AM4525">
        <v>94.371830345601197</v>
      </c>
      <c r="AN4525">
        <v>0.99999997560530096</v>
      </c>
    </row>
    <row r="4526" spans="1:40" x14ac:dyDescent="0.25">
      <c r="A4526" t="str">
        <f>"20190304155505574"</f>
        <v>20190304155505574</v>
      </c>
      <c r="B4526" t="str">
        <f>"1551686105572062"</f>
        <v>1551686105572062</v>
      </c>
      <c r="C4526" t="s">
        <v>40</v>
      </c>
      <c r="D4526">
        <v>4.7835769999999904</v>
      </c>
      <c r="E4526">
        <v>0.60865199999999997</v>
      </c>
      <c r="F4526" t="s">
        <v>90</v>
      </c>
      <c r="G4526">
        <v>-279.02</v>
      </c>
      <c r="H4526">
        <v>0.814886</v>
      </c>
      <c r="I4526">
        <v>-0.91590499999999997</v>
      </c>
      <c r="J4526">
        <v>-361.58640000000003</v>
      </c>
      <c r="K4526">
        <v>1.1104750000000001</v>
      </c>
      <c r="L4526">
        <v>17.397829999999999</v>
      </c>
      <c r="M4526">
        <v>0.99981880000000001</v>
      </c>
      <c r="N4526">
        <v>-1.3898300000000001E-2</v>
      </c>
      <c r="O4526">
        <v>-1.3019009999999999E-2</v>
      </c>
      <c r="P4526">
        <v>0.98426749999999996</v>
      </c>
      <c r="Q4526">
        <v>0.16548270000000001</v>
      </c>
      <c r="R4526">
        <v>6.1912050000000003E-2</v>
      </c>
      <c r="S4526">
        <v>3.0932919999999999</v>
      </c>
      <c r="T4526">
        <v>-1.104188E-2</v>
      </c>
      <c r="U4526">
        <v>-0.68423459999999903</v>
      </c>
      <c r="V4526">
        <v>-7.4701920000000005E-2</v>
      </c>
      <c r="W4526">
        <v>0.17914279999999999</v>
      </c>
      <c r="X4526">
        <v>0.98098289999999999</v>
      </c>
      <c r="Y4526">
        <v>0.2032417</v>
      </c>
      <c r="Z4526">
        <v>-1.9206889999999999E-3</v>
      </c>
      <c r="AA4526">
        <v>0.97912679999999996</v>
      </c>
      <c r="AB4526">
        <v>25</v>
      </c>
      <c r="AC4526">
        <v>82.566400000000002</v>
      </c>
      <c r="AD4526">
        <v>-0.29558899999999999</v>
      </c>
      <c r="AE4526">
        <v>-18.313735000000001</v>
      </c>
      <c r="AF4526">
        <v>17.236935571893</v>
      </c>
      <c r="AG4526">
        <v>-0.29558899999999999</v>
      </c>
      <c r="AH4526">
        <v>82.796839361105199</v>
      </c>
      <c r="AI4526">
        <v>90.200254538716905</v>
      </c>
      <c r="AJ4526">
        <v>78.239939182173401</v>
      </c>
      <c r="AK4526">
        <v>84.572548317732299</v>
      </c>
      <c r="AL4526">
        <v>79.680165522187096</v>
      </c>
      <c r="AM4526">
        <v>94.354673459234803</v>
      </c>
      <c r="AN4526">
        <v>0.99999998486796804</v>
      </c>
    </row>
    <row r="4527" spans="1:40" x14ac:dyDescent="0.25">
      <c r="A4527" t="str">
        <f>"20190304155505596"</f>
        <v>20190304155505596</v>
      </c>
      <c r="B4527" t="str">
        <f>"1551686105592558"</f>
        <v>1551686105592558</v>
      </c>
      <c r="C4527" t="s">
        <v>40</v>
      </c>
      <c r="D4527">
        <v>4.768421</v>
      </c>
      <c r="E4527">
        <v>0.60908119999999999</v>
      </c>
      <c r="F4527" t="s">
        <v>90</v>
      </c>
      <c r="G4527">
        <v>-279.02</v>
      </c>
      <c r="H4527">
        <v>0.74669929999999995</v>
      </c>
      <c r="I4527">
        <v>-1.0909679999999999</v>
      </c>
      <c r="J4527">
        <v>-361.33530000000002</v>
      </c>
      <c r="K4527">
        <v>1.110471</v>
      </c>
      <c r="L4527">
        <v>17.39453</v>
      </c>
      <c r="M4527">
        <v>0.99981819999999999</v>
      </c>
      <c r="N4527">
        <v>-1.389582E-2</v>
      </c>
      <c r="O4527">
        <v>-1.305737E-2</v>
      </c>
      <c r="P4527">
        <v>0.98443619999999998</v>
      </c>
      <c r="Q4527">
        <v>0.16479829999999901</v>
      </c>
      <c r="R4527">
        <v>6.1049640000000002E-2</v>
      </c>
      <c r="S4527">
        <v>3.0937809999999999</v>
      </c>
      <c r="T4527">
        <v>-1.3630750000000001E-2</v>
      </c>
      <c r="U4527">
        <v>-0.69277949999999999</v>
      </c>
      <c r="V4527">
        <v>-7.3880009999999996E-2</v>
      </c>
      <c r="W4527">
        <v>0.1784578</v>
      </c>
      <c r="X4527">
        <v>0.98116999999999999</v>
      </c>
      <c r="Y4527">
        <v>0.2057455</v>
      </c>
      <c r="Z4527">
        <v>-2.0172829999999999E-3</v>
      </c>
      <c r="AA4527">
        <v>0.97860340000000001</v>
      </c>
      <c r="AB4527">
        <v>25</v>
      </c>
      <c r="AC4527">
        <v>82.315299999999993</v>
      </c>
      <c r="AD4527">
        <v>-0.36377169999999898</v>
      </c>
      <c r="AE4527">
        <v>-18.485498</v>
      </c>
      <c r="AF4527">
        <v>17.408673019867699</v>
      </c>
      <c r="AG4527">
        <v>-0.36377169999999898</v>
      </c>
      <c r="AH4527">
        <v>82.548141722067797</v>
      </c>
      <c r="AI4527">
        <v>90.247054351714795</v>
      </c>
      <c r="AJ4527">
        <v>78.091326802127298</v>
      </c>
      <c r="AK4527">
        <v>84.364624860950897</v>
      </c>
      <c r="AL4527">
        <v>79.720056166735304</v>
      </c>
      <c r="AM4527">
        <v>94.306124117649802</v>
      </c>
      <c r="AN4527">
        <v>1.00000000557922</v>
      </c>
    </row>
    <row r="4528" spans="1:40" x14ac:dyDescent="0.25">
      <c r="A4528" t="str">
        <f>"20190304155505618"</f>
        <v>20190304155505618</v>
      </c>
      <c r="B4528" t="str">
        <f>"1551686105612077"</f>
        <v>1551686105612077</v>
      </c>
      <c r="C4528" t="s">
        <v>40</v>
      </c>
      <c r="D4528">
        <v>4.7934599999999996</v>
      </c>
      <c r="E4528">
        <v>0.60941919999999905</v>
      </c>
      <c r="F4528" t="s">
        <v>90</v>
      </c>
      <c r="G4528">
        <v>-279.02</v>
      </c>
      <c r="H4528">
        <v>0.69167409999999996</v>
      </c>
      <c r="I4528">
        <v>-1.2241949999999999</v>
      </c>
      <c r="J4528">
        <v>-361.08199999999999</v>
      </c>
      <c r="K4528">
        <v>1.110476</v>
      </c>
      <c r="L4528">
        <v>17.391169999999999</v>
      </c>
      <c r="M4528">
        <v>0.99981779999999998</v>
      </c>
      <c r="N4528">
        <v>-1.389351E-2</v>
      </c>
      <c r="O4528">
        <v>-1.3096440000000001E-2</v>
      </c>
      <c r="P4528">
        <v>0.98453889999999999</v>
      </c>
      <c r="Q4528">
        <v>0.16442499999999999</v>
      </c>
      <c r="R4528">
        <v>6.0393809999999999E-2</v>
      </c>
      <c r="S4528">
        <v>3.0934750000000002</v>
      </c>
      <c r="T4528">
        <v>-1.5738729999999999E-2</v>
      </c>
      <c r="U4528">
        <v>-0.69970699999999997</v>
      </c>
      <c r="V4528">
        <v>-7.3264199999999904E-2</v>
      </c>
      <c r="W4528">
        <v>0.178083399999999</v>
      </c>
      <c r="X4528">
        <v>0.98128419999999905</v>
      </c>
      <c r="Y4528">
        <v>0.20781150000000001</v>
      </c>
      <c r="Z4528">
        <v>-2.0977679999999999E-3</v>
      </c>
      <c r="AA4528">
        <v>0.9781666</v>
      </c>
      <c r="AB4528">
        <v>25</v>
      </c>
      <c r="AC4528">
        <v>82.061999999999998</v>
      </c>
      <c r="AD4528">
        <v>-0.4188019</v>
      </c>
      <c r="AE4528">
        <v>-18.615365000000001</v>
      </c>
      <c r="AF4528">
        <v>17.538510052272301</v>
      </c>
      <c r="AG4528">
        <v>-0.4188019</v>
      </c>
      <c r="AH4528">
        <v>82.296740799379705</v>
      </c>
      <c r="AI4528">
        <v>90.285167637707403</v>
      </c>
      <c r="AJ4528">
        <v>77.9694968894255</v>
      </c>
      <c r="AK4528">
        <v>84.145874979617403</v>
      </c>
      <c r="AL4528">
        <v>79.741856975748306</v>
      </c>
      <c r="AM4528">
        <v>94.269869591725595</v>
      </c>
      <c r="AN4528">
        <v>1.0000000107634099</v>
      </c>
    </row>
    <row r="4529" spans="1:40" x14ac:dyDescent="0.25">
      <c r="A4529" t="str">
        <f>"20190304155505640"</f>
        <v>20190304155505640</v>
      </c>
      <c r="B4529" t="str">
        <f>"1551686105632573"</f>
        <v>1551686105632573</v>
      </c>
      <c r="C4529" t="s">
        <v>40</v>
      </c>
      <c r="D4529">
        <v>4.7933919999999999</v>
      </c>
      <c r="E4529">
        <v>0.60990359999999999</v>
      </c>
      <c r="F4529" t="s">
        <v>90</v>
      </c>
      <c r="G4529">
        <v>-279.02</v>
      </c>
      <c r="H4529">
        <v>0.63955209999999996</v>
      </c>
      <c r="I4529">
        <v>-1.3104309999999999</v>
      </c>
      <c r="J4529">
        <v>-360.84089999999998</v>
      </c>
      <c r="K4529">
        <v>1.1104799999999999</v>
      </c>
      <c r="L4529">
        <v>17.387999999999899</v>
      </c>
      <c r="M4529">
        <v>0.99981730000000002</v>
      </c>
      <c r="N4529">
        <v>-1.3891219999999999E-2</v>
      </c>
      <c r="O4529">
        <v>-1.3134089999999999E-2</v>
      </c>
      <c r="P4529">
        <v>0.98451500000000003</v>
      </c>
      <c r="Q4529">
        <v>0.1648077</v>
      </c>
      <c r="R4529">
        <v>5.9741530000000001E-2</v>
      </c>
      <c r="S4529">
        <v>3.0933229999999998</v>
      </c>
      <c r="T4529">
        <v>-1.775146E-2</v>
      </c>
      <c r="U4529">
        <v>-0.70495609999999997</v>
      </c>
      <c r="V4529">
        <v>-7.2648939999999995E-2</v>
      </c>
      <c r="W4529">
        <v>0.17846339999999999</v>
      </c>
      <c r="X4529">
        <v>0.98126089999999999</v>
      </c>
      <c r="Y4529">
        <v>0.2093614</v>
      </c>
      <c r="Z4529">
        <v>-2.1716109999999999E-3</v>
      </c>
      <c r="AA4529">
        <v>0.97783589999999998</v>
      </c>
      <c r="AB4529">
        <v>25</v>
      </c>
      <c r="AC4529">
        <v>81.820899999999995</v>
      </c>
      <c r="AD4529">
        <v>-0.47092790000000001</v>
      </c>
      <c r="AE4529">
        <v>-18.698430999999999</v>
      </c>
      <c r="AF4529">
        <v>17.621516358326701</v>
      </c>
      <c r="AG4529">
        <v>-0.47092790000000001</v>
      </c>
      <c r="AH4529">
        <v>82.056868296786305</v>
      </c>
      <c r="AI4529">
        <v>90.321490040847607</v>
      </c>
      <c r="AJ4529">
        <v>77.879942502634904</v>
      </c>
      <c r="AK4529">
        <v>83.928953565083205</v>
      </c>
      <c r="AL4529">
        <v>79.719730056597299</v>
      </c>
      <c r="AM4529">
        <v>94.234243100141995</v>
      </c>
      <c r="AN4529">
        <v>1.0000000037457399</v>
      </c>
    </row>
    <row r="4530" spans="1:40" x14ac:dyDescent="0.25">
      <c r="A4530" t="str">
        <f>"20190304155505663"</f>
        <v>20190304155505663</v>
      </c>
      <c r="B4530" t="str">
        <f>"1551686105652096"</f>
        <v>1551686105652096</v>
      </c>
      <c r="C4530" t="s">
        <v>40</v>
      </c>
      <c r="D4530">
        <v>4.7341369999999996</v>
      </c>
      <c r="E4530">
        <v>0.61002959999999995</v>
      </c>
      <c r="F4530" t="s">
        <v>90</v>
      </c>
      <c r="G4530">
        <v>-279.02</v>
      </c>
      <c r="H4530">
        <v>0.65649329999999995</v>
      </c>
      <c r="I4530">
        <v>-1.4287319999999999</v>
      </c>
      <c r="J4530">
        <v>-360.5797</v>
      </c>
      <c r="K4530">
        <v>1.1104810000000001</v>
      </c>
      <c r="L4530">
        <v>17.38449</v>
      </c>
      <c r="M4530">
        <v>0.99981690000000001</v>
      </c>
      <c r="N4530">
        <v>-1.388847E-2</v>
      </c>
      <c r="O4530">
        <v>-1.3175310000000001E-2</v>
      </c>
      <c r="P4530">
        <v>0.9844946</v>
      </c>
      <c r="Q4530">
        <v>0.16529379999999999</v>
      </c>
      <c r="R4530">
        <v>5.8725369999999999E-2</v>
      </c>
      <c r="S4530">
        <v>3.0932309999999998</v>
      </c>
      <c r="T4530">
        <v>-1.7162920000000002E-2</v>
      </c>
      <c r="U4530">
        <v>-0.71136469999999996</v>
      </c>
      <c r="V4530">
        <v>-7.167395E-2</v>
      </c>
      <c r="W4530">
        <v>0.17894669999999999</v>
      </c>
      <c r="X4530">
        <v>0.98124460000000002</v>
      </c>
      <c r="Y4530">
        <v>0.21125240000000001</v>
      </c>
      <c r="Z4530">
        <v>-2.1730930000000001E-3</v>
      </c>
      <c r="AA4530">
        <v>0.9774292</v>
      </c>
      <c r="AB4530">
        <v>25</v>
      </c>
      <c r="AC4530">
        <v>81.559700000000007</v>
      </c>
      <c r="AD4530">
        <v>-0.45398769999999999</v>
      </c>
      <c r="AE4530">
        <v>-18.813222</v>
      </c>
      <c r="AF4530">
        <v>17.736389136072699</v>
      </c>
      <c r="AG4530">
        <v>-0.45398769999999999</v>
      </c>
      <c r="AH4530">
        <v>81.798106916057904</v>
      </c>
      <c r="AI4530">
        <v>90.31077250445</v>
      </c>
      <c r="AJ4530">
        <v>77.765868282171994</v>
      </c>
      <c r="AK4530">
        <v>83.700154715919098</v>
      </c>
      <c r="AL4530">
        <v>79.691586139581304</v>
      </c>
      <c r="AM4530">
        <v>94.177688856499898</v>
      </c>
      <c r="AN4530">
        <v>1.00000002078932</v>
      </c>
    </row>
    <row r="4531" spans="1:40" x14ac:dyDescent="0.25">
      <c r="A4531" t="str">
        <f>"20190304155505685"</f>
        <v>20190304155505685</v>
      </c>
      <c r="B4531" t="str">
        <f>"1551686105682349"</f>
        <v>1551686105682349</v>
      </c>
      <c r="C4531" t="s">
        <v>40</v>
      </c>
      <c r="D4531">
        <v>4.8346179999999999</v>
      </c>
      <c r="E4531">
        <v>0.61055079999999995</v>
      </c>
      <c r="F4531" t="s">
        <v>90</v>
      </c>
      <c r="G4531">
        <v>-279.02</v>
      </c>
      <c r="H4531">
        <v>0.702152</v>
      </c>
      <c r="I4531">
        <v>-1.4939180000000001</v>
      </c>
      <c r="J4531">
        <v>-360.334</v>
      </c>
      <c r="K4531">
        <v>1.1104780000000001</v>
      </c>
      <c r="L4531">
        <v>17.3812</v>
      </c>
      <c r="M4531">
        <v>0.99981620000000004</v>
      </c>
      <c r="N4531">
        <v>-1.388578E-2</v>
      </c>
      <c r="O4531">
        <v>-1.321367E-2</v>
      </c>
      <c r="P4531">
        <v>0.9845043</v>
      </c>
      <c r="Q4531">
        <v>0.16549749999999999</v>
      </c>
      <c r="R4531">
        <v>5.7980579999999997E-2</v>
      </c>
      <c r="S4531">
        <v>3.0925289999999999</v>
      </c>
      <c r="T4531">
        <v>-1.548278E-2</v>
      </c>
      <c r="U4531">
        <v>-0.71582029999999996</v>
      </c>
      <c r="V4531">
        <v>-7.0966650000000006E-2</v>
      </c>
      <c r="W4531">
        <v>0.1791479</v>
      </c>
      <c r="X4531">
        <v>0.98125929999999995</v>
      </c>
      <c r="Y4531">
        <v>0.2126016</v>
      </c>
      <c r="Z4531">
        <v>-2.136593E-3</v>
      </c>
      <c r="AA4531">
        <v>0.97713660000000002</v>
      </c>
      <c r="AB4531">
        <v>25</v>
      </c>
      <c r="AC4531">
        <v>81.313999999999993</v>
      </c>
      <c r="AD4531">
        <v>-0.40832600000000002</v>
      </c>
      <c r="AE4531">
        <v>-18.875118000000001</v>
      </c>
      <c r="AF4531">
        <v>17.7984838911709</v>
      </c>
      <c r="AG4531">
        <v>-0.40832600000000002</v>
      </c>
      <c r="AH4531">
        <v>81.554381846794996</v>
      </c>
      <c r="AI4531">
        <v>90.280269053976795</v>
      </c>
      <c r="AJ4531">
        <v>77.688764843049697</v>
      </c>
      <c r="AK4531">
        <v>83.474966051861301</v>
      </c>
      <c r="AL4531">
        <v>79.679868923982795</v>
      </c>
      <c r="AM4531">
        <v>94.1365442392256</v>
      </c>
      <c r="AN4531">
        <v>1.0000000246615599</v>
      </c>
    </row>
    <row r="4532" spans="1:40" x14ac:dyDescent="0.25">
      <c r="A4532" t="str">
        <f>"20190304155505707"</f>
        <v>20190304155505707</v>
      </c>
      <c r="B4532" t="str">
        <f>"1551686105701869"</f>
        <v>1551686105701869</v>
      </c>
      <c r="C4532" t="s">
        <v>40</v>
      </c>
      <c r="D4532">
        <v>4.770499</v>
      </c>
      <c r="E4532">
        <v>0.61070230000000003</v>
      </c>
      <c r="F4532" t="s">
        <v>90</v>
      </c>
      <c r="G4532">
        <v>-279.02</v>
      </c>
      <c r="H4532">
        <v>0.66783559999999997</v>
      </c>
      <c r="I4532">
        <v>-1.621748</v>
      </c>
      <c r="J4532">
        <v>-360.08350000000002</v>
      </c>
      <c r="K4532">
        <v>1.110482</v>
      </c>
      <c r="L4532">
        <v>17.377870000000001</v>
      </c>
      <c r="M4532">
        <v>0.99981600000000004</v>
      </c>
      <c r="N4532">
        <v>-1.3883080000000001E-2</v>
      </c>
      <c r="O4532">
        <v>-1.3253340000000001E-2</v>
      </c>
      <c r="P4532">
        <v>0.98449059999999999</v>
      </c>
      <c r="Q4532">
        <v>0.16599120000000001</v>
      </c>
      <c r="R4532">
        <v>5.6793789999999997E-2</v>
      </c>
      <c r="S4532">
        <v>3.092651</v>
      </c>
      <c r="T4532">
        <v>-1.683521E-2</v>
      </c>
      <c r="U4532">
        <v>-0.72274780000000005</v>
      </c>
      <c r="V4532">
        <v>-6.9818560000000002E-2</v>
      </c>
      <c r="W4532">
        <v>0.1796391</v>
      </c>
      <c r="X4532">
        <v>0.98125180000000001</v>
      </c>
      <c r="Y4532">
        <v>0.21462909999999999</v>
      </c>
      <c r="Z4532">
        <v>-2.1966630000000002E-3</v>
      </c>
      <c r="AA4532">
        <v>0.97669320000000004</v>
      </c>
      <c r="AB4532">
        <v>25</v>
      </c>
      <c r="AC4532">
        <v>81.063500000000005</v>
      </c>
      <c r="AD4532">
        <v>-0.4426464</v>
      </c>
      <c r="AE4532">
        <v>-18.999617999999899</v>
      </c>
      <c r="AF4532">
        <v>17.9229769244164</v>
      </c>
      <c r="AG4532">
        <v>-0.4426464</v>
      </c>
      <c r="AH4532">
        <v>81.305913435033901</v>
      </c>
      <c r="AI4532">
        <v>90.304613967407604</v>
      </c>
      <c r="AJ4532">
        <v>77.568603677241697</v>
      </c>
      <c r="AK4532">
        <v>83.259117201504296</v>
      </c>
      <c r="AL4532">
        <v>79.651260534149301</v>
      </c>
      <c r="AM4532">
        <v>94.069881436349206</v>
      </c>
      <c r="AN4532">
        <v>0.99999996628626098</v>
      </c>
    </row>
    <row r="4533" spans="1:40" x14ac:dyDescent="0.25">
      <c r="A4533" t="str">
        <f>"20190304155505729"</f>
        <v>20190304155505729</v>
      </c>
      <c r="B4533" t="str">
        <f>"1551686105722366"</f>
        <v>1551686105722366</v>
      </c>
      <c r="C4533" t="s">
        <v>40</v>
      </c>
      <c r="D4533">
        <v>4.6547729999999996</v>
      </c>
      <c r="E4533">
        <v>0.61047320000000005</v>
      </c>
      <c r="F4533" t="s">
        <v>90</v>
      </c>
      <c r="G4533">
        <v>-279.02</v>
      </c>
      <c r="H4533">
        <v>0.71385480000000001</v>
      </c>
      <c r="I4533">
        <v>-1.7116180000000001</v>
      </c>
      <c r="J4533">
        <v>-359.83620000000002</v>
      </c>
      <c r="K4533">
        <v>1.1104849999999999</v>
      </c>
      <c r="L4533">
        <v>17.37454</v>
      </c>
      <c r="M4533">
        <v>0.99981540000000002</v>
      </c>
      <c r="N4533">
        <v>-1.388053E-2</v>
      </c>
      <c r="O4533">
        <v>-1.329207E-2</v>
      </c>
      <c r="P4533">
        <v>0.98452910000000005</v>
      </c>
      <c r="Q4533">
        <v>0.166156</v>
      </c>
      <c r="R4533">
        <v>5.5631119999999999E-2</v>
      </c>
      <c r="S4533">
        <v>3.0918269999999999</v>
      </c>
      <c r="T4533">
        <v>-1.5127659999999999E-2</v>
      </c>
      <c r="U4533">
        <v>-0.72808839999999997</v>
      </c>
      <c r="V4533">
        <v>-6.8694899999999906E-2</v>
      </c>
      <c r="W4533">
        <v>0.17980179999999901</v>
      </c>
      <c r="X4533">
        <v>0.98130130000000004</v>
      </c>
      <c r="Y4533">
        <v>0.216249</v>
      </c>
      <c r="Z4533">
        <v>-2.1610409999999998E-3</v>
      </c>
      <c r="AA4533">
        <v>0.97633579999999998</v>
      </c>
      <c r="AB4533">
        <v>25</v>
      </c>
      <c r="AC4533">
        <v>80.816199999999995</v>
      </c>
      <c r="AD4533">
        <v>-0.39663019999999899</v>
      </c>
      <c r="AE4533">
        <v>-19.086157999999902</v>
      </c>
      <c r="AF4533">
        <v>18.009742673481</v>
      </c>
      <c r="AG4533">
        <v>-0.39663019999999899</v>
      </c>
      <c r="AH4533">
        <v>81.060928678442593</v>
      </c>
      <c r="AI4533">
        <v>90.273672328744993</v>
      </c>
      <c r="AJ4533">
        <v>77.473749850733995</v>
      </c>
      <c r="AK4533">
        <v>83.038438719018103</v>
      </c>
      <c r="AL4533">
        <v>79.641784137867006</v>
      </c>
      <c r="AM4533">
        <v>94.004394254393205</v>
      </c>
      <c r="AN4533">
        <v>0.99999995897546901</v>
      </c>
    </row>
    <row r="4534" spans="1:40" x14ac:dyDescent="0.25">
      <c r="A4534" t="str">
        <f>"20190304155505753"</f>
        <v>20190304155505753</v>
      </c>
      <c r="B4534" t="str">
        <f>"1551686105741884"</f>
        <v>1551686105741884</v>
      </c>
      <c r="C4534" t="s">
        <v>40</v>
      </c>
      <c r="D4534">
        <v>4.6098610000000004</v>
      </c>
      <c r="E4534">
        <v>0.55402559999999901</v>
      </c>
      <c r="F4534" t="s">
        <v>90</v>
      </c>
      <c r="G4534">
        <v>-279.02</v>
      </c>
      <c r="H4534">
        <v>0.73312489999999997</v>
      </c>
      <c r="I4534">
        <v>-1.7112069999999999</v>
      </c>
      <c r="J4534">
        <v>-359.56670000000003</v>
      </c>
      <c r="K4534">
        <v>1.110487</v>
      </c>
      <c r="L4534">
        <v>17.37088</v>
      </c>
      <c r="M4534">
        <v>0.99981489999999995</v>
      </c>
      <c r="N4534">
        <v>-1.3877789999999999E-2</v>
      </c>
      <c r="O4534">
        <v>-1.3334479999999999E-2</v>
      </c>
      <c r="P4534">
        <v>0.98451449999999996</v>
      </c>
      <c r="Q4534">
        <v>0.16642570000000001</v>
      </c>
      <c r="R4534">
        <v>5.5080280000000002E-2</v>
      </c>
      <c r="S4534">
        <v>3.090881</v>
      </c>
      <c r="T4534">
        <v>-1.443243E-2</v>
      </c>
      <c r="U4534">
        <v>-0.72994999999999999</v>
      </c>
      <c r="V4534">
        <v>-6.8185670000000004E-2</v>
      </c>
      <c r="W4534">
        <v>0.1800687</v>
      </c>
      <c r="X4534">
        <v>0.98128789999999999</v>
      </c>
      <c r="Y4534">
        <v>0.21683189999999999</v>
      </c>
      <c r="Z4534">
        <v>-2.1456919999999998E-3</v>
      </c>
      <c r="AA4534">
        <v>0.97620660000000004</v>
      </c>
      <c r="AB4534">
        <v>25</v>
      </c>
      <c r="AC4534">
        <v>80.546700000000001</v>
      </c>
      <c r="AD4534">
        <v>-0.37736209999999998</v>
      </c>
      <c r="AE4534">
        <v>-19.082086999999898</v>
      </c>
      <c r="AF4534">
        <v>18.005864231482398</v>
      </c>
      <c r="AG4534">
        <v>-0.37736209999999998</v>
      </c>
      <c r="AH4534">
        <v>80.792332451862606</v>
      </c>
      <c r="AI4534">
        <v>90.261205019852</v>
      </c>
      <c r="AJ4534">
        <v>77.436046956376899</v>
      </c>
      <c r="AK4534">
        <v>82.775325622370005</v>
      </c>
      <c r="AL4534">
        <v>79.626238405986001</v>
      </c>
      <c r="AM4534">
        <v>93.974859594743606</v>
      </c>
      <c r="AN4534">
        <v>0.99999998249972399</v>
      </c>
    </row>
    <row r="4535" spans="1:40" x14ac:dyDescent="0.25">
      <c r="A4535" t="str">
        <f>"20190304155505774"</f>
        <v>20190304155505774</v>
      </c>
      <c r="B4535" t="str">
        <f>"1551686105762381"</f>
        <v>1551686105762381</v>
      </c>
      <c r="C4535" t="s">
        <v>40</v>
      </c>
      <c r="D4535">
        <v>4.5847439999999997</v>
      </c>
      <c r="E4535">
        <v>0.54683630000000005</v>
      </c>
      <c r="F4535" t="s">
        <v>47</v>
      </c>
      <c r="G4535">
        <v>-276.84399999999999</v>
      </c>
      <c r="H4535">
        <v>-0.05</v>
      </c>
      <c r="I4535">
        <v>9.7569730000000003</v>
      </c>
      <c r="J4535">
        <v>-359.33839999999998</v>
      </c>
      <c r="K4535">
        <v>1.1104849999999999</v>
      </c>
      <c r="L4535">
        <v>17.367829999999898</v>
      </c>
      <c r="M4535">
        <v>0.99981430000000004</v>
      </c>
      <c r="N4535">
        <v>-1.3875480000000001E-2</v>
      </c>
      <c r="O4535">
        <v>-1.337023E-2</v>
      </c>
      <c r="P4535">
        <v>0.98462169999999904</v>
      </c>
      <c r="Q4535">
        <v>0.16600999999999999</v>
      </c>
      <c r="R4535">
        <v>5.4414450000000003E-2</v>
      </c>
      <c r="S4535">
        <v>3.0702820000000002</v>
      </c>
      <c r="T4535">
        <v>-4.3071869999999998E-2</v>
      </c>
      <c r="U4535">
        <v>-0.28259279999999998</v>
      </c>
      <c r="V4535">
        <v>-6.7556400000000003E-2</v>
      </c>
      <c r="W4535">
        <v>0.17965220000000001</v>
      </c>
      <c r="X4535">
        <v>0.98140780000000005</v>
      </c>
      <c r="Y4535">
        <v>7.8315220000000005E-2</v>
      </c>
      <c r="Z4535">
        <v>-1.0907390000000001E-3</v>
      </c>
      <c r="AA4535">
        <v>0.99692800000000004</v>
      </c>
      <c r="AB4535">
        <v>25</v>
      </c>
      <c r="AC4535">
        <v>82.494399999999899</v>
      </c>
      <c r="AD4535">
        <v>-1.160485</v>
      </c>
      <c r="AE4535">
        <v>-7.6108569999999904</v>
      </c>
      <c r="AF4535">
        <v>6.5058246439401897</v>
      </c>
      <c r="AG4535">
        <v>-1.160485</v>
      </c>
      <c r="AH4535">
        <v>82.572590870294803</v>
      </c>
      <c r="AI4535">
        <v>90.802701385017301</v>
      </c>
      <c r="AJ4535">
        <v>85.495020477584106</v>
      </c>
      <c r="AK4535">
        <v>82.836617765128594</v>
      </c>
      <c r="AL4535">
        <v>79.650498161261197</v>
      </c>
      <c r="AM4535">
        <v>93.937812858033894</v>
      </c>
      <c r="AN4535">
        <v>1.0000000250233101</v>
      </c>
    </row>
    <row r="4536" spans="1:40" x14ac:dyDescent="0.25">
      <c r="A4536" t="str">
        <f>"20190304155505796"</f>
        <v>20190304155505796</v>
      </c>
      <c r="B4536" t="str">
        <f>"1551686105792637"</f>
        <v>1551686105792637</v>
      </c>
      <c r="C4536" t="s">
        <v>40</v>
      </c>
      <c r="D4536">
        <v>4.5779820000000004</v>
      </c>
      <c r="E4536">
        <v>0.54344490000000001</v>
      </c>
      <c r="F4536" t="s">
        <v>47</v>
      </c>
      <c r="G4536">
        <v>-283.9169</v>
      </c>
      <c r="H4536">
        <v>-0.05</v>
      </c>
      <c r="I4536">
        <v>11.77304</v>
      </c>
      <c r="J4536">
        <v>-359.07889999999998</v>
      </c>
      <c r="K4536">
        <v>1.1104830000000001</v>
      </c>
      <c r="L4536">
        <v>17.36429</v>
      </c>
      <c r="M4536">
        <v>0.99981390000000003</v>
      </c>
      <c r="N4536">
        <v>-1.3872880000000001E-2</v>
      </c>
      <c r="O4536">
        <v>-1.3411090000000001E-2</v>
      </c>
      <c r="P4536">
        <v>0.98469249999999997</v>
      </c>
      <c r="Q4536">
        <v>0.1656733</v>
      </c>
      <c r="R4536">
        <v>5.4160920000000001E-2</v>
      </c>
      <c r="S4536">
        <v>3.067383</v>
      </c>
      <c r="T4536">
        <v>-4.7196750000000003E-2</v>
      </c>
      <c r="U4536">
        <v>-0.22753909999999999</v>
      </c>
      <c r="V4536">
        <v>-6.7343959999999994E-2</v>
      </c>
      <c r="W4536">
        <v>0.17931349999999999</v>
      </c>
      <c r="X4536">
        <v>0.98148429999999998</v>
      </c>
      <c r="Y4536">
        <v>6.0581070000000001E-2</v>
      </c>
      <c r="Z4536">
        <v>-8.66068E-4</v>
      </c>
      <c r="AA4536">
        <v>0.99816289999999996</v>
      </c>
      <c r="AB4536">
        <v>25</v>
      </c>
      <c r="AC4536">
        <v>75.161999999999907</v>
      </c>
      <c r="AD4536">
        <v>-1.1604829999999999</v>
      </c>
      <c r="AE4536">
        <v>-5.5912499999999996</v>
      </c>
      <c r="AF4536">
        <v>4.5815596133086398</v>
      </c>
      <c r="AG4536">
        <v>-1.1604829999999999</v>
      </c>
      <c r="AH4536">
        <v>75.212400227629303</v>
      </c>
      <c r="AI4536">
        <v>90.882334725900805</v>
      </c>
      <c r="AJ4536">
        <v>86.514137769989802</v>
      </c>
      <c r="AK4536">
        <v>75.360749447472301</v>
      </c>
      <c r="AL4536">
        <v>79.670224165846406</v>
      </c>
      <c r="AM4536">
        <v>93.925163654039494</v>
      </c>
      <c r="AN4536">
        <v>0.99999998568861004</v>
      </c>
    </row>
    <row r="4537" spans="1:40" x14ac:dyDescent="0.25">
      <c r="A4537" t="str">
        <f>"20190304155505819"</f>
        <v>20190304155505819</v>
      </c>
      <c r="B4537" t="str">
        <f>"1551686105812157"</f>
        <v>1551686105812157</v>
      </c>
      <c r="C4537" t="s">
        <v>40</v>
      </c>
      <c r="D4537">
        <v>4.5997250000000003</v>
      </c>
      <c r="E4537">
        <v>0.54173640000000001</v>
      </c>
      <c r="F4537" t="s">
        <v>47</v>
      </c>
      <c r="G4537">
        <v>-288.78930000000003</v>
      </c>
      <c r="H4537">
        <v>-0.05</v>
      </c>
      <c r="I4537">
        <v>12.747059999999999</v>
      </c>
      <c r="J4537">
        <v>-358.81970000000001</v>
      </c>
      <c r="K4537">
        <v>1.110482</v>
      </c>
      <c r="L4537">
        <v>17.360779999999998</v>
      </c>
      <c r="M4537">
        <v>0.99981330000000002</v>
      </c>
      <c r="N4537">
        <v>-1.387029E-2</v>
      </c>
      <c r="O4537">
        <v>-1.3451599999999999E-2</v>
      </c>
      <c r="P4537">
        <v>0.98475310000000005</v>
      </c>
      <c r="Q4537">
        <v>0.165500799999999</v>
      </c>
      <c r="R4537">
        <v>5.3580429999999998E-2</v>
      </c>
      <c r="S4537">
        <v>3.0662229999999999</v>
      </c>
      <c r="T4537">
        <v>-5.0623420000000002E-2</v>
      </c>
      <c r="U4537">
        <v>-0.20141600000000001</v>
      </c>
      <c r="V4537">
        <v>-6.6804619999999995E-2</v>
      </c>
      <c r="W4537">
        <v>0.17913950000000001</v>
      </c>
      <c r="X4537">
        <v>0.98155300000000001</v>
      </c>
      <c r="Y4537">
        <v>5.2104480000000002E-2</v>
      </c>
      <c r="Z4537">
        <v>-7.5604060000000002E-4</v>
      </c>
      <c r="AA4537">
        <v>0.99864140000000001</v>
      </c>
      <c r="AB4537">
        <v>25</v>
      </c>
      <c r="AC4537">
        <v>70.030399999999901</v>
      </c>
      <c r="AD4537">
        <v>-1.160482</v>
      </c>
      <c r="AE4537">
        <v>-4.6137199999999901</v>
      </c>
      <c r="AF4537">
        <v>3.6701874263019998</v>
      </c>
      <c r="AG4537">
        <v>-1.160482</v>
      </c>
      <c r="AH4537">
        <v>70.066973161018893</v>
      </c>
      <c r="AI4537">
        <v>90.947573916132697</v>
      </c>
      <c r="AJ4537">
        <v>87.001522551128502</v>
      </c>
      <c r="AK4537">
        <v>70.172628012377103</v>
      </c>
      <c r="AL4537">
        <v>79.680358436341294</v>
      </c>
      <c r="AM4537">
        <v>93.8935534502194</v>
      </c>
      <c r="AN4537">
        <v>1.0000000547612899</v>
      </c>
    </row>
    <row r="4538" spans="1:40" x14ac:dyDescent="0.25">
      <c r="A4538" t="str">
        <f>"20190304155505842"</f>
        <v>20190304155505842</v>
      </c>
      <c r="B4538" t="str">
        <f>"1551686105831677"</f>
        <v>1551686105831677</v>
      </c>
      <c r="C4538" t="s">
        <v>40</v>
      </c>
      <c r="D4538">
        <v>4.5845960000000003</v>
      </c>
      <c r="E4538">
        <v>0.54092039999999997</v>
      </c>
      <c r="F4538" t="s">
        <v>47</v>
      </c>
      <c r="G4538">
        <v>-294.34769999999997</v>
      </c>
      <c r="H4538">
        <v>-0.05</v>
      </c>
      <c r="I4538">
        <v>13.375780000000001</v>
      </c>
      <c r="J4538">
        <v>-358.57600000000002</v>
      </c>
      <c r="K4538">
        <v>1.1104069999999999</v>
      </c>
      <c r="L4538">
        <v>17.357389999999999</v>
      </c>
      <c r="M4538">
        <v>0.99982090000000001</v>
      </c>
      <c r="N4538">
        <v>-1.369269E-2</v>
      </c>
      <c r="O4538">
        <v>-1.3063429999999999E-2</v>
      </c>
      <c r="P4538">
        <v>0.98471920000000002</v>
      </c>
      <c r="Q4538">
        <v>0.1655654</v>
      </c>
      <c r="R4538">
        <v>5.4002309999999998E-2</v>
      </c>
      <c r="S4538">
        <v>3.066071</v>
      </c>
      <c r="T4538">
        <v>-5.5188540000000001E-2</v>
      </c>
      <c r="U4538">
        <v>-0.18951419999999999</v>
      </c>
      <c r="V4538">
        <v>-6.6832130000000003E-2</v>
      </c>
      <c r="W4538">
        <v>0.17903440000000001</v>
      </c>
      <c r="X4538">
        <v>0.98157019999999995</v>
      </c>
      <c r="Y4538">
        <v>4.8633639999999999E-2</v>
      </c>
      <c r="Z4538">
        <v>-7.1445059999999895E-4</v>
      </c>
      <c r="AA4538">
        <v>0.99881640000000005</v>
      </c>
      <c r="AB4538">
        <v>25</v>
      </c>
      <c r="AC4538">
        <v>64.228299999999905</v>
      </c>
      <c r="AD4538">
        <v>-1.160407</v>
      </c>
      <c r="AE4538">
        <v>-3.9816099999999999</v>
      </c>
      <c r="AF4538">
        <v>3.1411282251766002</v>
      </c>
      <c r="AG4538">
        <v>-1.160407</v>
      </c>
      <c r="AH4538">
        <v>64.253943666646705</v>
      </c>
      <c r="AI4538">
        <v>91.033398332422806</v>
      </c>
      <c r="AJ4538">
        <v>87.201257774834801</v>
      </c>
      <c r="AK4538">
        <v>64.3411416408604</v>
      </c>
      <c r="AL4538">
        <v>79.6864781217581</v>
      </c>
      <c r="AM4538">
        <v>93.895083828195197</v>
      </c>
      <c r="AN4538">
        <v>0.99999995375586703</v>
      </c>
    </row>
    <row r="4539" spans="1:40" x14ac:dyDescent="0.25">
      <c r="A4539" t="str">
        <f>"20190304155505862"</f>
        <v>20190304155505862</v>
      </c>
      <c r="B4539" t="str">
        <f>"1551686105852178"</f>
        <v>1551686105852178</v>
      </c>
      <c r="C4539" t="s">
        <v>40</v>
      </c>
      <c r="D4539">
        <v>4.5419159999999996</v>
      </c>
      <c r="E4539">
        <v>0.54035559999999905</v>
      </c>
      <c r="F4539" t="s">
        <v>47</v>
      </c>
      <c r="G4539">
        <v>-295.40699999999998</v>
      </c>
      <c r="H4539">
        <v>-0.05</v>
      </c>
      <c r="I4539">
        <v>13.616899999999999</v>
      </c>
      <c r="J4539">
        <v>-358.34010000000001</v>
      </c>
      <c r="K4539">
        <v>1.1104700000000001</v>
      </c>
      <c r="L4539">
        <v>17.354099999999999</v>
      </c>
      <c r="M4539">
        <v>0.99982020000000005</v>
      </c>
      <c r="N4539">
        <v>-1.369865E-2</v>
      </c>
      <c r="O4539">
        <v>-1.3117759999999999E-2</v>
      </c>
      <c r="P4539">
        <v>0.98480400000000001</v>
      </c>
      <c r="Q4539">
        <v>0.16530610000000001</v>
      </c>
      <c r="R4539">
        <v>5.3246219999999997E-2</v>
      </c>
      <c r="S4539">
        <v>3.065979</v>
      </c>
      <c r="T4539">
        <v>-5.6321620000000003E-2</v>
      </c>
      <c r="U4539">
        <v>-0.18154909999999999</v>
      </c>
      <c r="V4539">
        <v>-6.6175940000000003E-2</v>
      </c>
      <c r="W4539">
        <v>0.1787646</v>
      </c>
      <c r="X4539">
        <v>0.98166390000000003</v>
      </c>
      <c r="Y4539">
        <v>4.5996009999999997E-2</v>
      </c>
      <c r="Z4539">
        <v>-6.7629599999999995E-4</v>
      </c>
      <c r="AA4539">
        <v>0.99894139999999998</v>
      </c>
      <c r="AB4539">
        <v>25</v>
      </c>
      <c r="AC4539">
        <v>62.933100000000003</v>
      </c>
      <c r="AD4539">
        <v>-1.1604699999999999</v>
      </c>
      <c r="AE4539">
        <v>-3.7372000000000001</v>
      </c>
      <c r="AF4539">
        <v>2.9102735958480399</v>
      </c>
      <c r="AG4539">
        <v>-1.1604699999999999</v>
      </c>
      <c r="AH4539">
        <v>62.955381295656302</v>
      </c>
      <c r="AI4539">
        <v>91.054899457980397</v>
      </c>
      <c r="AJ4539">
        <v>87.353240269500503</v>
      </c>
      <c r="AK4539">
        <v>63.033296099006797</v>
      </c>
      <c r="AL4539">
        <v>79.702190738690305</v>
      </c>
      <c r="AM4539">
        <v>93.856588985348495</v>
      </c>
      <c r="AN4539">
        <v>1.00000002490562</v>
      </c>
    </row>
    <row r="4540" spans="1:40" x14ac:dyDescent="0.25">
      <c r="A4540" t="str">
        <f>"20190304155505885"</f>
        <v>20190304155505885</v>
      </c>
      <c r="B4540" t="str">
        <f>"1551686105882430"</f>
        <v>1551686105882430</v>
      </c>
      <c r="C4540" t="s">
        <v>40</v>
      </c>
      <c r="D4540">
        <v>4.5625929999999997</v>
      </c>
      <c r="E4540">
        <v>0.53980360000000005</v>
      </c>
      <c r="F4540" t="s">
        <v>47</v>
      </c>
      <c r="G4540">
        <v>-298.56970000000001</v>
      </c>
      <c r="H4540">
        <v>-0.05</v>
      </c>
      <c r="I4540">
        <v>13.858280000000001</v>
      </c>
      <c r="J4540">
        <v>-358.09399999999999</v>
      </c>
      <c r="K4540">
        <v>1.1105879999999999</v>
      </c>
      <c r="L4540">
        <v>17.350770000000001</v>
      </c>
      <c r="M4540">
        <v>0.9998127</v>
      </c>
      <c r="N4540">
        <v>-1.379263E-2</v>
      </c>
      <c r="O4540">
        <v>-1.3583339999999999E-2</v>
      </c>
      <c r="P4540">
        <v>0.98494890000000002</v>
      </c>
      <c r="Q4540">
        <v>0.16480069999999999</v>
      </c>
      <c r="R4540">
        <v>5.2120439999999997E-2</v>
      </c>
      <c r="S4540">
        <v>3.065979</v>
      </c>
      <c r="T4540">
        <v>-5.9527400000000001E-2</v>
      </c>
      <c r="U4540">
        <v>-0.17932129999999999</v>
      </c>
      <c r="V4540">
        <v>-6.5574999999999994E-2</v>
      </c>
      <c r="W4540">
        <v>0.17832970000000001</v>
      </c>
      <c r="X4540">
        <v>0.98178330000000003</v>
      </c>
      <c r="Y4540">
        <v>4.480663E-2</v>
      </c>
      <c r="Z4540">
        <v>-6.6765919999999999E-4</v>
      </c>
      <c r="AA4540">
        <v>0.99899550000000004</v>
      </c>
      <c r="AB4540">
        <v>25</v>
      </c>
      <c r="AC4540">
        <v>59.524299999999897</v>
      </c>
      <c r="AD4540">
        <v>-1.160588</v>
      </c>
      <c r="AE4540">
        <v>-3.4924900000000001</v>
      </c>
      <c r="AF4540">
        <v>2.6825357817592499</v>
      </c>
      <c r="AG4540">
        <v>-1.160588</v>
      </c>
      <c r="AH4540">
        <v>59.543693031294602</v>
      </c>
      <c r="AI4540">
        <v>91.115500524778</v>
      </c>
      <c r="AJ4540">
        <v>87.420480434780004</v>
      </c>
      <c r="AK4540">
        <v>59.615386793437899</v>
      </c>
      <c r="AL4540">
        <v>79.727515405946406</v>
      </c>
      <c r="AM4540">
        <v>93.821208374159895</v>
      </c>
      <c r="AN4540">
        <v>1.0000000053429901</v>
      </c>
    </row>
    <row r="4541" spans="1:40" x14ac:dyDescent="0.25">
      <c r="A4541" t="str">
        <f>"20190304155505907"</f>
        <v>20190304155505907</v>
      </c>
      <c r="B4541" t="str">
        <f>"1551686105901950"</f>
        <v>1551686105901950</v>
      </c>
      <c r="C4541" t="s">
        <v>40</v>
      </c>
      <c r="D4541">
        <v>4.5784469999999997</v>
      </c>
      <c r="E4541">
        <v>0.53948319999999905</v>
      </c>
      <c r="F4541" t="s">
        <v>47</v>
      </c>
      <c r="G4541">
        <v>-302.55459999999999</v>
      </c>
      <c r="H4541">
        <v>-0.05</v>
      </c>
      <c r="I4541">
        <v>14.122339999999999</v>
      </c>
      <c r="J4541">
        <v>-357.84390000000002</v>
      </c>
      <c r="K4541">
        <v>1.110579</v>
      </c>
      <c r="L4541">
        <v>17.347379999999902</v>
      </c>
      <c r="M4541">
        <v>0.9998068</v>
      </c>
      <c r="N4541">
        <v>-1.3812629999999999E-2</v>
      </c>
      <c r="O4541">
        <v>-1.398627E-2</v>
      </c>
      <c r="P4541">
        <v>0.98502120000000004</v>
      </c>
      <c r="Q4541">
        <v>0.16486589999999901</v>
      </c>
      <c r="R4541">
        <v>5.0521610000000002E-2</v>
      </c>
      <c r="S4541">
        <v>3.0660099999999999</v>
      </c>
      <c r="T4541">
        <v>-6.4069390000000004E-2</v>
      </c>
      <c r="U4541">
        <v>-0.17822270000000001</v>
      </c>
      <c r="V4541">
        <v>-6.4390030000000001E-2</v>
      </c>
      <c r="W4541">
        <v>0.1784104</v>
      </c>
      <c r="X4541">
        <v>0.98184700000000003</v>
      </c>
      <c r="Y4541">
        <v>4.4045290000000001E-2</v>
      </c>
      <c r="Z4541">
        <v>-6.6537809999999895E-4</v>
      </c>
      <c r="AA4541">
        <v>0.99902930000000001</v>
      </c>
      <c r="AB4541">
        <v>25</v>
      </c>
      <c r="AC4541">
        <v>55.289299999999997</v>
      </c>
      <c r="AD4541">
        <v>-1.160579</v>
      </c>
      <c r="AE4541">
        <v>-3.2250399999999901</v>
      </c>
      <c r="AF4541">
        <v>2.45028365963082</v>
      </c>
      <c r="AG4541">
        <v>-1.160579</v>
      </c>
      <c r="AH4541">
        <v>55.304715654779102</v>
      </c>
      <c r="AI4541">
        <v>91.2010075344201</v>
      </c>
      <c r="AJ4541">
        <v>87.463160984606901</v>
      </c>
      <c r="AK4541">
        <v>55.371133339348098</v>
      </c>
      <c r="AL4541">
        <v>79.722815590722902</v>
      </c>
      <c r="AM4541">
        <v>93.752113736648596</v>
      </c>
      <c r="AN4541">
        <v>0.99999993910027796</v>
      </c>
    </row>
    <row r="4542" spans="1:40" x14ac:dyDescent="0.25">
      <c r="A4542" t="str">
        <f>"20190304155505931"</f>
        <v>20190304155505931</v>
      </c>
      <c r="B4542" t="str">
        <f>"1551686105922445"</f>
        <v>1551686105922445</v>
      </c>
      <c r="C4542" t="s">
        <v>40</v>
      </c>
      <c r="D4542">
        <v>4.5420030000000002</v>
      </c>
      <c r="E4542">
        <v>0.53929559999999999</v>
      </c>
      <c r="F4542" t="s">
        <v>47</v>
      </c>
      <c r="G4542">
        <v>-302.60070000000002</v>
      </c>
      <c r="H4542">
        <v>-0.05</v>
      </c>
      <c r="I4542">
        <v>14.094569999999999</v>
      </c>
      <c r="J4542">
        <v>-357.58769999999998</v>
      </c>
      <c r="K4542">
        <v>1.1104590000000001</v>
      </c>
      <c r="L4542">
        <v>17.34384</v>
      </c>
      <c r="M4542">
        <v>0.99980659999999999</v>
      </c>
      <c r="N4542">
        <v>-1.3768799999999999E-2</v>
      </c>
      <c r="O4542">
        <v>-1.4049849999999999E-2</v>
      </c>
      <c r="P4542">
        <v>0.98507979999999995</v>
      </c>
      <c r="Q4542">
        <v>0.16509699999999999</v>
      </c>
      <c r="R4542">
        <v>4.8593499999999998E-2</v>
      </c>
      <c r="S4542">
        <v>3.065674</v>
      </c>
      <c r="T4542">
        <v>-6.4405320000000002E-2</v>
      </c>
      <c r="U4542">
        <v>-0.18051149999999999</v>
      </c>
      <c r="V4542">
        <v>-6.2494269999999998E-2</v>
      </c>
      <c r="W4542">
        <v>0.17861170000000001</v>
      </c>
      <c r="X4542">
        <v>0.9819329</v>
      </c>
      <c r="Y4542">
        <v>4.4731079999999999E-2</v>
      </c>
      <c r="Z4542">
        <v>-6.7616029999999997E-4</v>
      </c>
      <c r="AA4542">
        <v>0.99899879999999996</v>
      </c>
      <c r="AB4542">
        <v>25</v>
      </c>
      <c r="AC4542">
        <v>54.986999999999902</v>
      </c>
      <c r="AD4542">
        <v>-1.1604589999999999</v>
      </c>
      <c r="AE4542">
        <v>-3.2492699999999899</v>
      </c>
      <c r="AF4542">
        <v>2.47521836427565</v>
      </c>
      <c r="AG4542">
        <v>-1.1604589999999999</v>
      </c>
      <c r="AH4542">
        <v>55.002815204756999</v>
      </c>
      <c r="AI4542">
        <v>91.207435406730895</v>
      </c>
      <c r="AJ4542">
        <v>87.423332860707404</v>
      </c>
      <c r="AK4542">
        <v>55.070709560438502</v>
      </c>
      <c r="AL4542">
        <v>79.711093749322998</v>
      </c>
      <c r="AM4542">
        <v>93.641628725327195</v>
      </c>
      <c r="AN4542">
        <v>0.99999994663106495</v>
      </c>
    </row>
    <row r="4543" spans="1:40" x14ac:dyDescent="0.25">
      <c r="A4543" t="str">
        <f>"20190304155505965"</f>
        <v>20190304155505965</v>
      </c>
      <c r="B4543" t="str">
        <f>"1551686105962461"</f>
        <v>1551686105962461</v>
      </c>
      <c r="C4543" t="s">
        <v>40</v>
      </c>
      <c r="D4543">
        <v>4.5950160000000002</v>
      </c>
      <c r="E4543">
        <v>0.53883219999999898</v>
      </c>
      <c r="F4543" t="s">
        <v>47</v>
      </c>
      <c r="G4543">
        <v>-301.70209999999997</v>
      </c>
      <c r="H4543">
        <v>-0.05</v>
      </c>
      <c r="I4543">
        <v>13.970980000000001</v>
      </c>
      <c r="J4543">
        <v>-357.21640000000002</v>
      </c>
      <c r="K4543">
        <v>1.110303</v>
      </c>
      <c r="L4543">
        <v>17.338470000000001</v>
      </c>
      <c r="M4543">
        <v>0.99981059999999999</v>
      </c>
      <c r="N4543">
        <v>-1.3721290000000001E-2</v>
      </c>
      <c r="O4543">
        <v>-1.380055E-2</v>
      </c>
      <c r="P4543">
        <v>0.98503940000000001</v>
      </c>
      <c r="Q4543">
        <v>0.1659013</v>
      </c>
      <c r="R4543">
        <v>4.6630480000000002E-2</v>
      </c>
      <c r="S4543">
        <v>3.0652469999999998</v>
      </c>
      <c r="T4543">
        <v>-6.3649540000000004E-2</v>
      </c>
      <c r="U4543">
        <v>-0.18499760000000001</v>
      </c>
      <c r="V4543">
        <v>-6.0237079999999998E-2</v>
      </c>
      <c r="W4543">
        <v>0.1793862</v>
      </c>
      <c r="X4543">
        <v>0.98193280000000005</v>
      </c>
      <c r="Y4543">
        <v>4.6444859999999998E-2</v>
      </c>
      <c r="Z4543">
        <v>-7.0370079999999998E-4</v>
      </c>
      <c r="AA4543">
        <v>0.99892060000000005</v>
      </c>
      <c r="AB4543">
        <v>25</v>
      </c>
      <c r="AC4543">
        <v>55.514299999999999</v>
      </c>
      <c r="AD4543">
        <v>-1.1603030000000001</v>
      </c>
      <c r="AE4543">
        <v>-3.3674900000000001</v>
      </c>
      <c r="AF4543">
        <v>2.5998376516709398</v>
      </c>
      <c r="AG4543">
        <v>-1.1603030000000001</v>
      </c>
      <c r="AH4543">
        <v>55.531319886923399</v>
      </c>
      <c r="AI4543">
        <v>91.195687145403198</v>
      </c>
      <c r="AJ4543">
        <v>87.319512048342602</v>
      </c>
      <c r="AK4543">
        <v>55.604252960098897</v>
      </c>
      <c r="AL4543">
        <v>79.665989935969094</v>
      </c>
      <c r="AM4543">
        <v>93.510434507378207</v>
      </c>
      <c r="AN4543">
        <v>0.99999996913660205</v>
      </c>
    </row>
    <row r="4544" spans="1:40" x14ac:dyDescent="0.25">
      <c r="A4544" t="str">
        <f>"20190304155505985"</f>
        <v>20190304155505985</v>
      </c>
      <c r="B4544" t="str">
        <f>"1551686105981982"</f>
        <v>1551686105981982</v>
      </c>
      <c r="C4544" t="s">
        <v>40</v>
      </c>
      <c r="D4544">
        <v>4.5726589999999998</v>
      </c>
      <c r="E4544">
        <v>0.5385141</v>
      </c>
      <c r="F4544" t="s">
        <v>47</v>
      </c>
      <c r="G4544">
        <v>-299.1696</v>
      </c>
      <c r="H4544">
        <v>-0.05</v>
      </c>
      <c r="I4544">
        <v>13.79468</v>
      </c>
      <c r="J4544">
        <v>-356.9812</v>
      </c>
      <c r="K4544">
        <v>1.110301</v>
      </c>
      <c r="L4544">
        <v>17.335079999999898</v>
      </c>
      <c r="M4544">
        <v>0.99981200000000003</v>
      </c>
      <c r="N4544">
        <v>-1.371329E-2</v>
      </c>
      <c r="O4544">
        <v>-1.3714870000000001E-2</v>
      </c>
      <c r="P4544">
        <v>0.9851143</v>
      </c>
      <c r="Q4544">
        <v>0.1659766</v>
      </c>
      <c r="R4544">
        <v>4.474388E-2</v>
      </c>
      <c r="S4544">
        <v>3.0647280000000001</v>
      </c>
      <c r="T4544">
        <v>-6.1261179999999998E-2</v>
      </c>
      <c r="U4544">
        <v>-0.1871033</v>
      </c>
      <c r="V4544">
        <v>-5.8264969999999999E-2</v>
      </c>
      <c r="W4544">
        <v>0.17945610000000001</v>
      </c>
      <c r="X4544">
        <v>0.982039</v>
      </c>
      <c r="Y4544">
        <v>4.7225089999999997E-2</v>
      </c>
      <c r="Z4544">
        <v>-7.0978179999999901E-4</v>
      </c>
      <c r="AA4544">
        <v>0.99888399999999999</v>
      </c>
      <c r="AB4544">
        <v>25</v>
      </c>
      <c r="AC4544">
        <v>57.811599999999999</v>
      </c>
      <c r="AD4544">
        <v>-1.160301</v>
      </c>
      <c r="AE4544">
        <v>-3.5403999999999902</v>
      </c>
      <c r="AF4544">
        <v>2.7460118680805699</v>
      </c>
      <c r="AG4544">
        <v>-1.160301</v>
      </c>
      <c r="AH4544">
        <v>57.831513629875097</v>
      </c>
      <c r="AI4544">
        <v>91.148104900718295</v>
      </c>
      <c r="AJ4544">
        <v>87.281468246902804</v>
      </c>
      <c r="AK4544">
        <v>57.908296886652302</v>
      </c>
      <c r="AL4544">
        <v>79.661918676984101</v>
      </c>
      <c r="AM4544">
        <v>93.395413023763098</v>
      </c>
      <c r="AN4544">
        <v>0.999999948038654</v>
      </c>
    </row>
    <row r="4545" spans="1:40" x14ac:dyDescent="0.25">
      <c r="A4545" t="str">
        <f>"20190304155506009"</f>
        <v>20190304155506009</v>
      </c>
      <c r="B4545" t="str">
        <f>"1551686106002478"</f>
        <v>1551686106002478</v>
      </c>
      <c r="C4545" t="s">
        <v>40</v>
      </c>
      <c r="D4545">
        <v>4.5542400000000001</v>
      </c>
      <c r="E4545">
        <v>0.53826499999999999</v>
      </c>
      <c r="F4545" t="s">
        <v>47</v>
      </c>
      <c r="G4545">
        <v>-298.7362</v>
      </c>
      <c r="H4545">
        <v>-0.05</v>
      </c>
      <c r="I4545">
        <v>13.71837</v>
      </c>
      <c r="J4545">
        <v>-356.72570000000002</v>
      </c>
      <c r="K4545">
        <v>1.1103430000000001</v>
      </c>
      <c r="L4545">
        <v>17.331479999999999</v>
      </c>
      <c r="M4545">
        <v>0.99981140000000002</v>
      </c>
      <c r="N4545">
        <v>-1.3709519999999999E-2</v>
      </c>
      <c r="O4545">
        <v>-1.3759199999999999E-2</v>
      </c>
      <c r="P4545">
        <v>0.98506640000000001</v>
      </c>
      <c r="Q4545">
        <v>0.166705399999999</v>
      </c>
      <c r="R4545">
        <v>4.3055799999999998E-2</v>
      </c>
      <c r="S4545">
        <v>3.0643009999999999</v>
      </c>
      <c r="T4545">
        <v>-6.1043979999999998E-2</v>
      </c>
      <c r="U4545">
        <v>-0.1902771</v>
      </c>
      <c r="V4545">
        <v>-5.6632879999999997E-2</v>
      </c>
      <c r="W4545">
        <v>0.18017710000000001</v>
      </c>
      <c r="X4545">
        <v>0.9820025</v>
      </c>
      <c r="Y4545">
        <v>4.8219669999999999E-2</v>
      </c>
      <c r="Z4545">
        <v>-7.2541360000000004E-4</v>
      </c>
      <c r="AA4545">
        <v>0.99883650000000002</v>
      </c>
      <c r="AB4545">
        <v>25</v>
      </c>
      <c r="AC4545">
        <v>57.9895</v>
      </c>
      <c r="AD4545">
        <v>-1.1603429999999999</v>
      </c>
      <c r="AE4545">
        <v>-3.6131099999999901</v>
      </c>
      <c r="AF4545">
        <v>2.81368164053139</v>
      </c>
      <c r="AG4545">
        <v>-1.1603429999999999</v>
      </c>
      <c r="AH4545">
        <v>58.010591171772901</v>
      </c>
      <c r="AI4545">
        <v>91.144547204659702</v>
      </c>
      <c r="AJ4545">
        <v>87.223164960316794</v>
      </c>
      <c r="AK4545">
        <v>58.090376899711103</v>
      </c>
      <c r="AL4545">
        <v>79.619924351248201</v>
      </c>
      <c r="AM4545">
        <v>93.300638055396206</v>
      </c>
      <c r="AN4545">
        <v>0.99999999023387698</v>
      </c>
    </row>
    <row r="4546" spans="1:40" x14ac:dyDescent="0.25">
      <c r="A4546" t="str">
        <f>"20190304155506031"</f>
        <v>20190304155506031</v>
      </c>
      <c r="B4546" t="str">
        <f>"1551686106022001"</f>
        <v>1551686106022001</v>
      </c>
      <c r="C4546" t="s">
        <v>40</v>
      </c>
      <c r="D4546">
        <v>4.4812629999999896</v>
      </c>
      <c r="E4546">
        <v>0.538188</v>
      </c>
      <c r="F4546" t="s">
        <v>47</v>
      </c>
      <c r="G4546">
        <v>-296.77019999999999</v>
      </c>
      <c r="H4546">
        <v>-0.05</v>
      </c>
      <c r="I4546">
        <v>13.5556</v>
      </c>
      <c r="J4546">
        <v>-356.47239999999999</v>
      </c>
      <c r="K4546">
        <v>1.1103809999999901</v>
      </c>
      <c r="L4546">
        <v>17.327970000000001</v>
      </c>
      <c r="M4546">
        <v>0.99980999999999998</v>
      </c>
      <c r="N4546">
        <v>-1.371026E-2</v>
      </c>
      <c r="O4546">
        <v>-1.3859E-2</v>
      </c>
      <c r="P4546">
        <v>0.98508410000000002</v>
      </c>
      <c r="Q4546">
        <v>0.16715269999999999</v>
      </c>
      <c r="R4546">
        <v>4.0862639999999999E-2</v>
      </c>
      <c r="S4546">
        <v>3.063965</v>
      </c>
      <c r="T4546">
        <v>-5.9298160000000003E-2</v>
      </c>
      <c r="U4546">
        <v>-0.19296260000000001</v>
      </c>
      <c r="V4546">
        <v>-5.45473E-2</v>
      </c>
      <c r="W4546">
        <v>0.18062310000000001</v>
      </c>
      <c r="X4546">
        <v>0.98203859999999998</v>
      </c>
      <c r="Y4546">
        <v>4.8999210000000001E-2</v>
      </c>
      <c r="Z4546">
        <v>-7.3189390000000004E-4</v>
      </c>
      <c r="AA4546">
        <v>0.99879850000000003</v>
      </c>
      <c r="AB4546">
        <v>25</v>
      </c>
      <c r="AC4546">
        <v>59.702199999999998</v>
      </c>
      <c r="AD4546">
        <v>-1.1603810000000001</v>
      </c>
      <c r="AE4546">
        <v>-3.77237</v>
      </c>
      <c r="AF4546">
        <v>2.9434096060854298</v>
      </c>
      <c r="AG4546">
        <v>-1.1603810000000001</v>
      </c>
      <c r="AH4546">
        <v>59.726278564352</v>
      </c>
      <c r="AI4546">
        <v>91.111671680828394</v>
      </c>
      <c r="AJ4546">
        <v>87.178651973690506</v>
      </c>
      <c r="AK4546">
        <v>59.810020024415103</v>
      </c>
      <c r="AL4546">
        <v>79.593943887953301</v>
      </c>
      <c r="AM4546">
        <v>93.179225211879498</v>
      </c>
      <c r="AN4546">
        <v>0.99999996204042896</v>
      </c>
    </row>
    <row r="4547" spans="1:40" x14ac:dyDescent="0.25">
      <c r="A4547" t="str">
        <f>"20190304155506053"</f>
        <v>20190304155506053</v>
      </c>
      <c r="B4547" t="str">
        <f>"1551686106042494"</f>
        <v>1551686106042494</v>
      </c>
      <c r="C4547" t="s">
        <v>40</v>
      </c>
      <c r="D4547">
        <v>4.7578040000000001</v>
      </c>
      <c r="E4547">
        <v>0.53819729999999999</v>
      </c>
      <c r="F4547" t="s">
        <v>47</v>
      </c>
      <c r="G4547">
        <v>-295.69170000000003</v>
      </c>
      <c r="H4547">
        <v>-0.05</v>
      </c>
      <c r="I4547">
        <v>13.38278</v>
      </c>
      <c r="J4547">
        <v>-356.2364</v>
      </c>
      <c r="K4547">
        <v>1.110384</v>
      </c>
      <c r="L4547">
        <v>17.32471</v>
      </c>
      <c r="M4547">
        <v>0.99980899999999995</v>
      </c>
      <c r="N4547">
        <v>-1.371584E-2</v>
      </c>
      <c r="O4547">
        <v>-1.392996E-2</v>
      </c>
      <c r="P4547">
        <v>0.9850293</v>
      </c>
      <c r="Q4547">
        <v>0.16778889999999999</v>
      </c>
      <c r="R4547">
        <v>3.9556840000000003E-2</v>
      </c>
      <c r="S4547">
        <v>3.0635680000000001</v>
      </c>
      <c r="T4547">
        <v>-5.8487419999999998E-2</v>
      </c>
      <c r="U4547">
        <v>-0.19885249999999999</v>
      </c>
      <c r="V4547">
        <v>-5.330741E-2</v>
      </c>
      <c r="W4547">
        <v>0.1812656</v>
      </c>
      <c r="X4547">
        <v>0.98198839999999998</v>
      </c>
      <c r="Y4547">
        <v>5.0848530000000003E-2</v>
      </c>
      <c r="Z4547">
        <v>-7.5926970000000005E-4</v>
      </c>
      <c r="AA4547">
        <v>0.99870610000000004</v>
      </c>
      <c r="AB4547">
        <v>25</v>
      </c>
      <c r="AC4547">
        <v>60.544699999999899</v>
      </c>
      <c r="AD4547">
        <v>-1.1603840000000001</v>
      </c>
      <c r="AE4547">
        <v>-3.9419300000000002</v>
      </c>
      <c r="AF4547">
        <v>3.0969501641170698</v>
      </c>
      <c r="AG4547">
        <v>-1.1603840000000001</v>
      </c>
      <c r="AH4547">
        <v>60.571584960765698</v>
      </c>
      <c r="AI4547">
        <v>91.096063031335007</v>
      </c>
      <c r="AJ4547">
        <v>87.073086402191507</v>
      </c>
      <c r="AK4547">
        <v>60.661804259399801</v>
      </c>
      <c r="AL4547">
        <v>79.556514506997999</v>
      </c>
      <c r="AM4547">
        <v>93.107261445324298</v>
      </c>
      <c r="AN4547">
        <v>1.0000000577194099</v>
      </c>
    </row>
    <row r="4548" spans="1:40" x14ac:dyDescent="0.25">
      <c r="A4548" t="str">
        <f>"20190304155506074"</f>
        <v>20190304155506074</v>
      </c>
      <c r="B4548" t="str">
        <f>"1551686106071773"</f>
        <v>1551686106071773</v>
      </c>
      <c r="C4548" t="s">
        <v>40</v>
      </c>
      <c r="D4548">
        <v>4.5707839999999997</v>
      </c>
      <c r="E4548">
        <v>0.53780749999999999</v>
      </c>
      <c r="F4548" t="s">
        <v>47</v>
      </c>
      <c r="G4548">
        <v>-292.77179999999998</v>
      </c>
      <c r="H4548">
        <v>-0.05</v>
      </c>
      <c r="I4548">
        <v>13.11961</v>
      </c>
      <c r="J4548">
        <v>-355.99540000000002</v>
      </c>
      <c r="K4548">
        <v>1.1103769999999999</v>
      </c>
      <c r="L4548">
        <v>17.321379999999898</v>
      </c>
      <c r="M4548">
        <v>0.99980840000000004</v>
      </c>
      <c r="N4548">
        <v>-1.372424E-2</v>
      </c>
      <c r="O4548">
        <v>-1.3959920000000001E-2</v>
      </c>
      <c r="P4548">
        <v>0.98506830000000001</v>
      </c>
      <c r="Q4548">
        <v>0.16799720000000001</v>
      </c>
      <c r="R4548">
        <v>3.7646989999999998E-2</v>
      </c>
      <c r="S4548">
        <v>3.0633240000000002</v>
      </c>
      <c r="T4548">
        <v>-5.6009650000000001E-2</v>
      </c>
      <c r="U4548">
        <v>-0.2029724</v>
      </c>
      <c r="V4548">
        <v>-5.1416259999999998E-2</v>
      </c>
      <c r="W4548">
        <v>0.1814865</v>
      </c>
      <c r="X4548">
        <v>0.98204840000000004</v>
      </c>
      <c r="Y4548">
        <v>5.2161699999999998E-2</v>
      </c>
      <c r="Z4548">
        <v>-7.7120529999999995E-4</v>
      </c>
      <c r="AA4548">
        <v>0.99863829999999998</v>
      </c>
      <c r="AB4548">
        <v>25</v>
      </c>
      <c r="AC4548">
        <v>63.223599999999998</v>
      </c>
      <c r="AD4548">
        <v>-1.160377</v>
      </c>
      <c r="AE4548">
        <v>-4.20176999999999</v>
      </c>
      <c r="AF4548">
        <v>3.3175683675741698</v>
      </c>
      <c r="AG4548">
        <v>-1.160377</v>
      </c>
      <c r="AH4548">
        <v>63.254886078123299</v>
      </c>
      <c r="AI4548">
        <v>91.049500361789001</v>
      </c>
      <c r="AJ4548">
        <v>86.997723426329003</v>
      </c>
      <c r="AK4548">
        <v>63.352453365374998</v>
      </c>
      <c r="AL4548">
        <v>79.543644012749397</v>
      </c>
      <c r="AM4548">
        <v>92.997049178491395</v>
      </c>
      <c r="AN4548">
        <v>1.00000002070859</v>
      </c>
    </row>
    <row r="4549" spans="1:40" x14ac:dyDescent="0.25">
      <c r="A4549" t="str">
        <f>"20190304155506097"</f>
        <v>20190304155506097</v>
      </c>
      <c r="B4549" t="str">
        <f>"1551686106092270"</f>
        <v>1551686106092270</v>
      </c>
      <c r="C4549" t="s">
        <v>40</v>
      </c>
      <c r="D4549">
        <v>4.572057</v>
      </c>
      <c r="E4549">
        <v>0.5374738</v>
      </c>
      <c r="F4549" t="s">
        <v>47</v>
      </c>
      <c r="G4549">
        <v>-293.70650000000001</v>
      </c>
      <c r="H4549">
        <v>-0.05</v>
      </c>
      <c r="I4549">
        <v>13.1330299999999</v>
      </c>
      <c r="J4549">
        <v>-355.75299999999999</v>
      </c>
      <c r="K4549">
        <v>1.1103639999999999</v>
      </c>
      <c r="L4549">
        <v>17.317989999999899</v>
      </c>
      <c r="M4549">
        <v>0.99980829999999998</v>
      </c>
      <c r="N4549">
        <v>-1.373284E-2</v>
      </c>
      <c r="O4549">
        <v>-1.3967769999999999E-2</v>
      </c>
      <c r="P4549">
        <v>0.98505279999999995</v>
      </c>
      <c r="Q4549">
        <v>0.16835120000000001</v>
      </c>
      <c r="R4549">
        <v>3.6457330000000003E-2</v>
      </c>
      <c r="S4549">
        <v>3.0630799999999998</v>
      </c>
      <c r="T4549">
        <v>-5.706191E-2</v>
      </c>
      <c r="U4549">
        <v>-0.20596310000000001</v>
      </c>
      <c r="V4549">
        <v>-5.0220059999999997E-2</v>
      </c>
      <c r="W4549">
        <v>0.18185309999999999</v>
      </c>
      <c r="X4549">
        <v>0.98204239999999998</v>
      </c>
      <c r="Y4549">
        <v>5.3129080000000002E-2</v>
      </c>
      <c r="Z4549">
        <v>-7.9133939999999998E-4</v>
      </c>
      <c r="AA4549">
        <v>0.99858729999999996</v>
      </c>
      <c r="AB4549">
        <v>25</v>
      </c>
      <c r="AC4549">
        <v>62.046500000000002</v>
      </c>
      <c r="AD4549">
        <v>-1.160364</v>
      </c>
      <c r="AE4549">
        <v>-4.1849600000000002</v>
      </c>
      <c r="AF4549">
        <v>3.3166640907700198</v>
      </c>
      <c r="AG4549">
        <v>-1.160364</v>
      </c>
      <c r="AH4549">
        <v>62.077293016285097</v>
      </c>
      <c r="AI4549">
        <v>91.069337272621098</v>
      </c>
      <c r="AJ4549">
        <v>86.941710295892904</v>
      </c>
      <c r="AK4549">
        <v>62.176659716755601</v>
      </c>
      <c r="AL4549">
        <v>79.522283083696195</v>
      </c>
      <c r="AM4549">
        <v>92.927463369251001</v>
      </c>
      <c r="AN4549">
        <v>0.99999993990188496</v>
      </c>
    </row>
    <row r="4550" spans="1:40" x14ac:dyDescent="0.25">
      <c r="A4550" t="str">
        <f>"20190304155506120"</f>
        <v>20190304155506120</v>
      </c>
      <c r="B4550" t="str">
        <f>"1551686106111793"</f>
        <v>1551686106111793</v>
      </c>
      <c r="C4550" t="s">
        <v>40</v>
      </c>
      <c r="D4550">
        <v>4.5828139999999999</v>
      </c>
      <c r="E4550">
        <v>0.53714569999999995</v>
      </c>
      <c r="F4550" t="s">
        <v>47</v>
      </c>
      <c r="G4550">
        <v>-293.6628</v>
      </c>
      <c r="H4550">
        <v>-0.05</v>
      </c>
      <c r="I4550">
        <v>13.1199799999999</v>
      </c>
      <c r="J4550">
        <v>-355.49979999999999</v>
      </c>
      <c r="K4550">
        <v>1.110366</v>
      </c>
      <c r="L4550">
        <v>17.314419999999998</v>
      </c>
      <c r="M4550">
        <v>0.99980789999999997</v>
      </c>
      <c r="N4550">
        <v>-1.374103E-2</v>
      </c>
      <c r="O4550">
        <v>-1.3982659999999999E-2</v>
      </c>
      <c r="P4550">
        <v>0.9850428</v>
      </c>
      <c r="Q4550">
        <v>0.16866510000000001</v>
      </c>
      <c r="R4550">
        <v>3.5259369999999998E-2</v>
      </c>
      <c r="S4550">
        <v>3.0629879999999998</v>
      </c>
      <c r="T4550">
        <v>-5.7242269999999998E-2</v>
      </c>
      <c r="U4550">
        <v>-0.20709230000000001</v>
      </c>
      <c r="V4550">
        <v>-4.9026220000000002E-2</v>
      </c>
      <c r="W4550">
        <v>0.18217810000000001</v>
      </c>
      <c r="X4550">
        <v>0.98204259999999999</v>
      </c>
      <c r="Y4550">
        <v>5.3482479999999999E-2</v>
      </c>
      <c r="Z4550">
        <v>-7.9807459999999995E-4</v>
      </c>
      <c r="AA4550">
        <v>0.99856849999999997</v>
      </c>
      <c r="AB4550">
        <v>25</v>
      </c>
      <c r="AC4550">
        <v>61.836999999999897</v>
      </c>
      <c r="AD4550">
        <v>-1.160366</v>
      </c>
      <c r="AE4550">
        <v>-4.1944400000000002</v>
      </c>
      <c r="AF4550">
        <v>3.3281360074537401</v>
      </c>
      <c r="AG4550">
        <v>-1.160366</v>
      </c>
      <c r="AH4550">
        <v>61.867923217845302</v>
      </c>
      <c r="AI4550">
        <v>91.072936064329497</v>
      </c>
      <c r="AJ4550">
        <v>86.920786785575103</v>
      </c>
      <c r="AK4550">
        <v>61.968240751430599</v>
      </c>
      <c r="AL4550">
        <v>79.503346777118097</v>
      </c>
      <c r="AM4550">
        <v>92.857987400297205</v>
      </c>
      <c r="AN4550">
        <v>1.00000004929092</v>
      </c>
    </row>
    <row r="4551" spans="1:40" x14ac:dyDescent="0.25">
      <c r="A4551" t="str">
        <f>"20190304155506143"</f>
        <v>20190304155506143</v>
      </c>
      <c r="B4551" t="str">
        <f>"1551686106142046"</f>
        <v>1551686106142046</v>
      </c>
      <c r="C4551" t="s">
        <v>40</v>
      </c>
      <c r="D4551">
        <v>4.5955620000000001</v>
      </c>
      <c r="E4551">
        <v>0.52832670000000004</v>
      </c>
      <c r="F4551" t="s">
        <v>47</v>
      </c>
      <c r="G4551">
        <v>-293.88440000000003</v>
      </c>
      <c r="H4551">
        <v>-0.05</v>
      </c>
      <c r="I4551">
        <v>13.126849999999999</v>
      </c>
      <c r="J4551">
        <v>-355.24029999999999</v>
      </c>
      <c r="K4551">
        <v>1.110387</v>
      </c>
      <c r="L4551">
        <v>17.310790000000001</v>
      </c>
      <c r="M4551">
        <v>0.99980720000000001</v>
      </c>
      <c r="N4551">
        <v>-1.374878E-2</v>
      </c>
      <c r="O4551">
        <v>-1.4020690000000001E-2</v>
      </c>
      <c r="P4551">
        <v>0.98501899999999998</v>
      </c>
      <c r="Q4551">
        <v>0.16889460000000001</v>
      </c>
      <c r="R4551">
        <v>3.4816390000000003E-2</v>
      </c>
      <c r="S4551">
        <v>3.0628359999999999</v>
      </c>
      <c r="T4551">
        <v>-5.768061E-2</v>
      </c>
      <c r="U4551">
        <v>-0.2081604</v>
      </c>
      <c r="V4551">
        <v>-4.8614749999999998E-2</v>
      </c>
      <c r="W4551">
        <v>0.1824162</v>
      </c>
      <c r="X4551">
        <v>0.98201879999999997</v>
      </c>
      <c r="Y4551">
        <v>5.3794189999999999E-2</v>
      </c>
      <c r="Z4551">
        <v>-8.0511099999999996E-4</v>
      </c>
      <c r="AA4551">
        <v>0.99855170000000004</v>
      </c>
      <c r="AB4551">
        <v>25</v>
      </c>
      <c r="AC4551">
        <v>61.355899999999899</v>
      </c>
      <c r="AD4551">
        <v>-1.1603870000000001</v>
      </c>
      <c r="AE4551">
        <v>-4.1839399999999998</v>
      </c>
      <c r="AF4551">
        <v>3.32201259809827</v>
      </c>
      <c r="AG4551">
        <v>-1.1603870000000001</v>
      </c>
      <c r="AH4551">
        <v>61.386680090416199</v>
      </c>
      <c r="AI4551">
        <v>91.081346235419701</v>
      </c>
      <c r="AJ4551">
        <v>86.902392797729405</v>
      </c>
      <c r="AK4551">
        <v>61.487452038727298</v>
      </c>
      <c r="AL4551">
        <v>79.489471572037701</v>
      </c>
      <c r="AM4551">
        <v>92.834108567201795</v>
      </c>
      <c r="AN4551">
        <v>0.99999999374672099</v>
      </c>
    </row>
    <row r="4552" spans="1:40" x14ac:dyDescent="0.25">
      <c r="A4552" t="str">
        <f>"20190304155506167"</f>
        <v>20190304155506167</v>
      </c>
      <c r="B4552" t="str">
        <f>"1551686106162543"</f>
        <v>1551686106162543</v>
      </c>
      <c r="C4552" t="s">
        <v>40</v>
      </c>
      <c r="D4552">
        <v>4.6109809999999998</v>
      </c>
      <c r="E4552">
        <v>0.52882390000000001</v>
      </c>
      <c r="F4552" t="s">
        <v>47</v>
      </c>
      <c r="G4552">
        <v>-313.71530000000001</v>
      </c>
      <c r="H4552">
        <v>-0.05</v>
      </c>
      <c r="I4552">
        <v>15.418150000000001</v>
      </c>
      <c r="J4552">
        <v>-354.98779999999999</v>
      </c>
      <c r="K4552">
        <v>1.110403</v>
      </c>
      <c r="L4552">
        <v>17.307189999999999</v>
      </c>
      <c r="M4552">
        <v>0.99980630000000004</v>
      </c>
      <c r="N4552">
        <v>-1.375584E-2</v>
      </c>
      <c r="O4552">
        <v>-1.4070650000000001E-2</v>
      </c>
      <c r="P4552">
        <v>0.98490040000000001</v>
      </c>
      <c r="Q4552">
        <v>0.16971889999999901</v>
      </c>
      <c r="R4552">
        <v>3.4161270000000001E-2</v>
      </c>
      <c r="S4552">
        <v>3.0652469999999998</v>
      </c>
      <c r="T4552">
        <v>-8.5656049999999997E-2</v>
      </c>
      <c r="U4552">
        <v>-0.13970949999999999</v>
      </c>
      <c r="V4552">
        <v>-4.8005029999999997E-2</v>
      </c>
      <c r="W4552">
        <v>0.18324599999999999</v>
      </c>
      <c r="X4552">
        <v>0.9818943</v>
      </c>
      <c r="Y4552">
        <v>3.1452499999999897E-2</v>
      </c>
      <c r="Z4552">
        <v>-4.562495E-4</v>
      </c>
      <c r="AA4552">
        <v>0.99950519999999998</v>
      </c>
      <c r="AB4552">
        <v>25</v>
      </c>
      <c r="AC4552">
        <v>41.272499999999901</v>
      </c>
      <c r="AD4552">
        <v>-1.1604030000000001</v>
      </c>
      <c r="AE4552">
        <v>-1.8890399999999901</v>
      </c>
      <c r="AF4552">
        <v>1.30703601869089</v>
      </c>
      <c r="AG4552">
        <v>-1.1604030000000001</v>
      </c>
      <c r="AH4552">
        <v>41.262446585419603</v>
      </c>
      <c r="AI4552">
        <v>91.610068640975598</v>
      </c>
      <c r="AJ4552">
        <v>88.185696149907002</v>
      </c>
      <c r="AK4552">
        <v>41.299447653584501</v>
      </c>
      <c r="AL4552">
        <v>79.441112450897407</v>
      </c>
      <c r="AM4552">
        <v>92.798974695182807</v>
      </c>
      <c r="AN4552">
        <v>0.99999999789689498</v>
      </c>
    </row>
    <row r="4553" spans="1:40" x14ac:dyDescent="0.25">
      <c r="A4553" t="str">
        <f>"20190304155506187"</f>
        <v>20190304155506187</v>
      </c>
      <c r="B4553" t="str">
        <f>"1551686106182061"</f>
        <v>1551686106182061</v>
      </c>
      <c r="C4553" t="s">
        <v>40</v>
      </c>
      <c r="D4553">
        <v>4.8022049999999998</v>
      </c>
      <c r="E4553">
        <v>0.5283312</v>
      </c>
      <c r="F4553" t="s">
        <v>47</v>
      </c>
      <c r="G4553">
        <v>-310.95729999999998</v>
      </c>
      <c r="H4553">
        <v>-0.05</v>
      </c>
      <c r="I4553">
        <v>15.220789999999999</v>
      </c>
      <c r="J4553">
        <v>-354.75749999999999</v>
      </c>
      <c r="K4553">
        <v>1.1104240000000001</v>
      </c>
      <c r="L4553">
        <v>17.303920000000002</v>
      </c>
      <c r="M4553">
        <v>0.99980570000000002</v>
      </c>
      <c r="N4553">
        <v>-1.3761610000000001E-2</v>
      </c>
      <c r="O4553">
        <v>-1.4116510000000001E-2</v>
      </c>
      <c r="P4553">
        <v>0.98468789999999995</v>
      </c>
      <c r="Q4553">
        <v>0.17089409999999999</v>
      </c>
      <c r="R4553">
        <v>3.4423879999999997E-2</v>
      </c>
      <c r="S4553">
        <v>3.0649410000000001</v>
      </c>
      <c r="T4553">
        <v>-8.0775139999999995E-2</v>
      </c>
      <c r="U4553">
        <v>-0.14523320000000001</v>
      </c>
      <c r="V4553">
        <v>-4.8308820000000002E-2</v>
      </c>
      <c r="W4553">
        <v>0.18442439999999999</v>
      </c>
      <c r="X4553">
        <v>0.98165880000000005</v>
      </c>
      <c r="Y4553">
        <v>3.3209040000000002E-2</v>
      </c>
      <c r="Z4553">
        <v>-4.8843780000000004E-4</v>
      </c>
      <c r="AA4553">
        <v>0.99944829999999996</v>
      </c>
      <c r="AB4553">
        <v>24</v>
      </c>
      <c r="AC4553">
        <v>43.800199999999997</v>
      </c>
      <c r="AD4553">
        <v>-1.1604239999999999</v>
      </c>
      <c r="AE4553">
        <v>-2.0831300000000001</v>
      </c>
      <c r="AF4553">
        <v>1.4635329539981901</v>
      </c>
      <c r="AG4553">
        <v>-1.1604239999999999</v>
      </c>
      <c r="AH4553">
        <v>43.794573644593903</v>
      </c>
      <c r="AI4553">
        <v>91.516963634473498</v>
      </c>
      <c r="AJ4553">
        <v>88.085994222333696</v>
      </c>
      <c r="AK4553">
        <v>43.834383687682603</v>
      </c>
      <c r="AL4553">
        <v>79.372425021296493</v>
      </c>
      <c r="AM4553">
        <v>92.817333626998803</v>
      </c>
      <c r="AN4553">
        <v>1.00000005051129</v>
      </c>
    </row>
    <row r="4554" spans="1:40" x14ac:dyDescent="0.25">
      <c r="A4554" t="str">
        <f>"20190304155506210"</f>
        <v>20190304155506210</v>
      </c>
      <c r="B4554" t="str">
        <f>"1551686106202558"</f>
        <v>1551686106202558</v>
      </c>
      <c r="C4554" t="s">
        <v>40</v>
      </c>
      <c r="D4554">
        <v>4.6233339999999998</v>
      </c>
      <c r="E4554">
        <v>0.52826439999999997</v>
      </c>
      <c r="F4554" t="s">
        <v>47</v>
      </c>
      <c r="G4554">
        <v>-306.9991</v>
      </c>
      <c r="H4554">
        <v>-0.05</v>
      </c>
      <c r="I4554">
        <v>15.117579999999901</v>
      </c>
      <c r="J4554">
        <v>-354.5224</v>
      </c>
      <c r="K4554">
        <v>1.110439</v>
      </c>
      <c r="L4554">
        <v>17.300539999999899</v>
      </c>
      <c r="M4554">
        <v>0.99980500000000005</v>
      </c>
      <c r="N4554">
        <v>-1.376671E-2</v>
      </c>
      <c r="O4554">
        <v>-1.4158560000000001E-2</v>
      </c>
      <c r="P4554">
        <v>0.98458100000000004</v>
      </c>
      <c r="Q4554">
        <v>0.17146889999999901</v>
      </c>
      <c r="R4554">
        <v>3.4620379999999999E-2</v>
      </c>
      <c r="S4554">
        <v>3.0644840000000002</v>
      </c>
      <c r="T4554">
        <v>-7.4460150000000003E-2</v>
      </c>
      <c r="U4554">
        <v>-0.14028929999999901</v>
      </c>
      <c r="V4554">
        <v>-4.854311E-2</v>
      </c>
      <c r="W4554">
        <v>0.1850031</v>
      </c>
      <c r="X4554">
        <v>0.98153829999999997</v>
      </c>
      <c r="Y4554">
        <v>3.1567749999999999E-2</v>
      </c>
      <c r="Z4554">
        <v>-4.5179980000000002E-4</v>
      </c>
      <c r="AA4554">
        <v>0.99950150000000004</v>
      </c>
      <c r="AB4554">
        <v>24</v>
      </c>
      <c r="AC4554">
        <v>47.523299999999999</v>
      </c>
      <c r="AD4554">
        <v>-1.160439</v>
      </c>
      <c r="AE4554">
        <v>-2.18296</v>
      </c>
      <c r="AF4554">
        <v>1.50891808363997</v>
      </c>
      <c r="AG4554">
        <v>-1.160439</v>
      </c>
      <c r="AH4554">
        <v>47.521170944399501</v>
      </c>
      <c r="AI4554">
        <v>91.398146813576005</v>
      </c>
      <c r="AJ4554">
        <v>88.181324271807298</v>
      </c>
      <c r="AK4554">
        <v>47.559280276121697</v>
      </c>
      <c r="AL4554">
        <v>79.338686945928998</v>
      </c>
      <c r="AM4554">
        <v>92.831322050974293</v>
      </c>
      <c r="AN4554">
        <v>1.00000000745248</v>
      </c>
    </row>
    <row r="4555" spans="1:40" x14ac:dyDescent="0.25">
      <c r="A4555" t="str">
        <f>"20190304155506231"</f>
        <v>20190304155506231</v>
      </c>
      <c r="B4555" t="str">
        <f>"1551686106222081"</f>
        <v>1551686106222081</v>
      </c>
      <c r="C4555" t="s">
        <v>40</v>
      </c>
      <c r="D4555">
        <v>4.6867910000000004</v>
      </c>
      <c r="E4555">
        <v>0.52839309999999995</v>
      </c>
      <c r="F4555" t="s">
        <v>47</v>
      </c>
      <c r="G4555">
        <v>-306.57369999999997</v>
      </c>
      <c r="H4555">
        <v>-0.05</v>
      </c>
      <c r="I4555">
        <v>15.13766</v>
      </c>
      <c r="J4555">
        <v>-354.27780000000001</v>
      </c>
      <c r="K4555">
        <v>1.1104510000000001</v>
      </c>
      <c r="L4555">
        <v>17.297029999999999</v>
      </c>
      <c r="M4555">
        <v>0.99980449999999998</v>
      </c>
      <c r="N4555">
        <v>-1.3771220000000001E-2</v>
      </c>
      <c r="O4555">
        <v>-1.419751E-2</v>
      </c>
      <c r="P4555">
        <v>0.98458400000000001</v>
      </c>
      <c r="Q4555">
        <v>0.17148339999999901</v>
      </c>
      <c r="R4555">
        <v>3.4472740000000002E-2</v>
      </c>
      <c r="S4555">
        <v>3.0647579999999999</v>
      </c>
      <c r="T4555">
        <v>-7.4172260000000004E-2</v>
      </c>
      <c r="U4555">
        <v>-0.1382446</v>
      </c>
      <c r="V4555">
        <v>-4.8432940000000001E-2</v>
      </c>
      <c r="W4555">
        <v>0.1850223</v>
      </c>
      <c r="X4555">
        <v>0.98154010000000003</v>
      </c>
      <c r="Y4555">
        <v>3.0859660000000001E-2</v>
      </c>
      <c r="Z4555">
        <v>-4.379303E-4</v>
      </c>
      <c r="AA4555">
        <v>0.99952359999999896</v>
      </c>
      <c r="AB4555">
        <v>24</v>
      </c>
      <c r="AC4555">
        <v>47.704099999999997</v>
      </c>
      <c r="AD4555">
        <v>-1.1604509999999999</v>
      </c>
      <c r="AE4555">
        <v>-2.1593699999999898</v>
      </c>
      <c r="AF4555">
        <v>1.4809341759780399</v>
      </c>
      <c r="AG4555">
        <v>-1.1604509999999999</v>
      </c>
      <c r="AH4555">
        <v>47.7017815224632</v>
      </c>
      <c r="AI4555">
        <v>91.392900448231103</v>
      </c>
      <c r="AJ4555">
        <v>88.221784801034005</v>
      </c>
      <c r="AK4555">
        <v>47.738870671328201</v>
      </c>
      <c r="AL4555">
        <v>79.337567294571897</v>
      </c>
      <c r="AM4555">
        <v>92.8249015314058</v>
      </c>
      <c r="AN4555">
        <v>0.99999998454117101</v>
      </c>
    </row>
    <row r="4556" spans="1:40" x14ac:dyDescent="0.25">
      <c r="A4556" t="str">
        <f>"20190304155506254"</f>
        <v>20190304155506254</v>
      </c>
      <c r="B4556" t="str">
        <f>"1551686106252334"</f>
        <v>1551686106252334</v>
      </c>
      <c r="C4556" t="s">
        <v>40</v>
      </c>
      <c r="D4556">
        <v>4.579542</v>
      </c>
      <c r="E4556">
        <v>0.49934250000000002</v>
      </c>
      <c r="F4556" t="s">
        <v>47</v>
      </c>
      <c r="G4556">
        <v>-309.20839999999998</v>
      </c>
      <c r="H4556">
        <v>-0.05</v>
      </c>
      <c r="I4556">
        <v>15.24216</v>
      </c>
      <c r="J4556">
        <v>-354.03719999999998</v>
      </c>
      <c r="K4556">
        <v>1.110449</v>
      </c>
      <c r="L4556">
        <v>17.293579999999999</v>
      </c>
      <c r="M4556">
        <v>0.99980389999999997</v>
      </c>
      <c r="N4556">
        <v>-1.377492E-2</v>
      </c>
      <c r="O4556">
        <v>-1.423405E-2</v>
      </c>
      <c r="P4556">
        <v>0.98457589999999995</v>
      </c>
      <c r="Q4556">
        <v>0.17148749999999999</v>
      </c>
      <c r="R4556">
        <v>3.4675030000000003E-2</v>
      </c>
      <c r="S4556">
        <v>3.065582</v>
      </c>
      <c r="T4556">
        <v>-7.8933000000000003E-2</v>
      </c>
      <c r="U4556">
        <v>-0.13977049999999999</v>
      </c>
      <c r="V4556">
        <v>-4.8669690000000002E-2</v>
      </c>
      <c r="W4556">
        <v>0.18503030000000001</v>
      </c>
      <c r="X4556">
        <v>0.98152689999999998</v>
      </c>
      <c r="Y4556">
        <v>3.1306019999999997E-2</v>
      </c>
      <c r="Z4556">
        <v>-4.4833139999999997E-4</v>
      </c>
      <c r="AA4556">
        <v>0.9995098</v>
      </c>
      <c r="AB4556">
        <v>24</v>
      </c>
      <c r="AC4556">
        <v>44.828800000000001</v>
      </c>
      <c r="AD4556">
        <v>-1.1604490000000001</v>
      </c>
      <c r="AE4556">
        <v>-2.05141999999999</v>
      </c>
      <c r="AF4556">
        <v>1.41211199194474</v>
      </c>
      <c r="AG4556">
        <v>-1.1604490000000001</v>
      </c>
      <c r="AH4556">
        <v>44.8234870184709</v>
      </c>
      <c r="AI4556">
        <v>91.482281664775698</v>
      </c>
      <c r="AJ4556">
        <v>88.195559699152994</v>
      </c>
      <c r="AK4556">
        <v>44.8607366263019</v>
      </c>
      <c r="AL4556">
        <v>79.337101074412899</v>
      </c>
      <c r="AM4556">
        <v>92.838725803384605</v>
      </c>
      <c r="AN4556">
        <v>1.0000000030331899</v>
      </c>
    </row>
    <row r="4557" spans="1:40" x14ac:dyDescent="0.25">
      <c r="A4557" t="str">
        <f>"20190304155506276"</f>
        <v>20190304155506276</v>
      </c>
      <c r="B4557" t="str">
        <f>"1551686106271854"</f>
        <v>1551686106271854</v>
      </c>
      <c r="C4557" t="s">
        <v>40</v>
      </c>
      <c r="D4557">
        <v>4.5894019999999998</v>
      </c>
      <c r="E4557">
        <v>0.49621989999999999</v>
      </c>
      <c r="F4557" t="s">
        <v>47</v>
      </c>
      <c r="G4557">
        <v>-308.53489999999999</v>
      </c>
      <c r="H4557">
        <v>-0.05</v>
      </c>
      <c r="I4557">
        <v>18.665240000000001</v>
      </c>
      <c r="J4557">
        <v>-353.79329999999999</v>
      </c>
      <c r="K4557">
        <v>1.1104579999999999</v>
      </c>
      <c r="L4557">
        <v>17.29007</v>
      </c>
      <c r="M4557">
        <v>0.99980340000000001</v>
      </c>
      <c r="N4557">
        <v>-1.3777869999999999E-2</v>
      </c>
      <c r="O4557">
        <v>-1.4272E-2</v>
      </c>
      <c r="P4557">
        <v>0.98457099999999997</v>
      </c>
      <c r="Q4557">
        <v>0.17148649999999999</v>
      </c>
      <c r="R4557">
        <v>3.4826719999999999E-2</v>
      </c>
      <c r="S4557">
        <v>3.0573429999999999</v>
      </c>
      <c r="T4557">
        <v>-7.7971579999999999E-2</v>
      </c>
      <c r="U4557">
        <v>9.2163090000000003E-2</v>
      </c>
      <c r="V4557">
        <v>-4.88583E-2</v>
      </c>
      <c r="W4557">
        <v>0.18503220000000001</v>
      </c>
      <c r="X4557">
        <v>0.98151719999999998</v>
      </c>
      <c r="Y4557">
        <v>-4.4371750000000001E-2</v>
      </c>
      <c r="Z4557">
        <v>1.0386880000000001E-3</v>
      </c>
      <c r="AA4557">
        <v>0.99901459999999997</v>
      </c>
      <c r="AB4557">
        <v>24</v>
      </c>
      <c r="AC4557">
        <v>45.258400000000002</v>
      </c>
      <c r="AD4557">
        <v>-1.160458</v>
      </c>
      <c r="AE4557">
        <v>1.37517</v>
      </c>
      <c r="AF4557">
        <v>-2.0196923830251898</v>
      </c>
      <c r="AG4557">
        <v>-1.160458</v>
      </c>
      <c r="AH4557">
        <v>45.204469154406802</v>
      </c>
      <c r="AI4557">
        <v>91.469069896825005</v>
      </c>
      <c r="AJ4557">
        <v>92.558219200087507</v>
      </c>
      <c r="AK4557">
        <v>45.264443569136397</v>
      </c>
      <c r="AL4557">
        <v>79.336990603565596</v>
      </c>
      <c r="AM4557">
        <v>92.849736755715696</v>
      </c>
      <c r="AN4557">
        <v>1.00000003120578</v>
      </c>
    </row>
    <row r="4558" spans="1:40" x14ac:dyDescent="0.25">
      <c r="A4558" t="str">
        <f>"20190304155506298"</f>
        <v>20190304155506298</v>
      </c>
      <c r="B4558" t="str">
        <f>"1551686106292350"</f>
        <v>1551686106292350</v>
      </c>
      <c r="C4558" t="s">
        <v>40</v>
      </c>
      <c r="D4558">
        <v>4.5798189999999996</v>
      </c>
      <c r="E4558">
        <v>0.49394009999999999</v>
      </c>
      <c r="F4558" t="s">
        <v>47</v>
      </c>
      <c r="G4558">
        <v>-314.7491</v>
      </c>
      <c r="H4558">
        <v>-0.05</v>
      </c>
      <c r="I4558">
        <v>18.786760000000001</v>
      </c>
      <c r="J4558">
        <v>-353.55619999999999</v>
      </c>
      <c r="K4558">
        <v>1.1104639999999999</v>
      </c>
      <c r="L4558">
        <v>17.286650000000002</v>
      </c>
      <c r="M4558">
        <v>0.99980259999999999</v>
      </c>
      <c r="N4558">
        <v>-1.3780199999999999E-2</v>
      </c>
      <c r="O4558">
        <v>-1.430933E-2</v>
      </c>
      <c r="P4558">
        <v>0.98450139999999997</v>
      </c>
      <c r="Q4558">
        <v>0.17181679999999999</v>
      </c>
      <c r="R4558">
        <v>3.5158540000000002E-2</v>
      </c>
      <c r="S4558">
        <v>3.0586850000000001</v>
      </c>
      <c r="T4558">
        <v>-9.0909240000000002E-2</v>
      </c>
      <c r="U4558">
        <v>0.11724850000000001</v>
      </c>
      <c r="V4558">
        <v>-4.9225829999999998E-2</v>
      </c>
      <c r="W4558">
        <v>0.185364</v>
      </c>
      <c r="X4558">
        <v>0.98143619999999998</v>
      </c>
      <c r="Y4558">
        <v>-5.2565349999999997E-2</v>
      </c>
      <c r="Z4558">
        <v>1.371129E-3</v>
      </c>
      <c r="AA4558">
        <v>0.99861650000000002</v>
      </c>
      <c r="AB4558">
        <v>24</v>
      </c>
      <c r="AC4558">
        <v>38.807099999999899</v>
      </c>
      <c r="AD4558">
        <v>-1.1604639999999999</v>
      </c>
      <c r="AE4558">
        <v>1.5001099999999901</v>
      </c>
      <c r="AF4558">
        <v>-2.05347923869027</v>
      </c>
      <c r="AG4558">
        <v>-1.1604639999999999</v>
      </c>
      <c r="AH4558">
        <v>38.747061992043399</v>
      </c>
      <c r="AI4558">
        <v>91.713077636368297</v>
      </c>
      <c r="AJ4558">
        <v>93.033668110701797</v>
      </c>
      <c r="AK4558">
        <v>38.8187875479681</v>
      </c>
      <c r="AL4558">
        <v>79.317644926637101</v>
      </c>
      <c r="AM4558">
        <v>92.871374347351207</v>
      </c>
      <c r="AN4558">
        <v>1.0000000047528099</v>
      </c>
    </row>
    <row r="4559" spans="1:40" x14ac:dyDescent="0.25">
      <c r="A4559" t="str">
        <f>"20190304155506320"</f>
        <v>20190304155506320</v>
      </c>
      <c r="B4559" t="str">
        <f>"1551686106311869"</f>
        <v>1551686106311869</v>
      </c>
      <c r="C4559" t="s">
        <v>40</v>
      </c>
      <c r="D4559">
        <v>4.5872199999999896</v>
      </c>
      <c r="E4559">
        <v>0.4931547</v>
      </c>
      <c r="F4559" t="s">
        <v>46</v>
      </c>
      <c r="G4559">
        <v>-320.74259999999998</v>
      </c>
      <c r="H4559" s="1">
        <v>-4.5103709999999999E-6</v>
      </c>
      <c r="I4559">
        <v>18.748940000000001</v>
      </c>
      <c r="J4559">
        <v>-353.31209999999999</v>
      </c>
      <c r="K4559">
        <v>1.110476</v>
      </c>
      <c r="L4559">
        <v>17.283110000000001</v>
      </c>
      <c r="M4559">
        <v>0.99980210000000003</v>
      </c>
      <c r="N4559">
        <v>-1.378208E-2</v>
      </c>
      <c r="O4559">
        <v>-1.434855E-2</v>
      </c>
      <c r="P4559">
        <v>0.98440059999999996</v>
      </c>
      <c r="Q4559">
        <v>0.17223479999999999</v>
      </c>
      <c r="R4559">
        <v>3.5928259999999997E-2</v>
      </c>
      <c r="S4559">
        <v>3.060425</v>
      </c>
      <c r="T4559">
        <v>-0.10356989999999899</v>
      </c>
      <c r="U4559">
        <v>0.13638310000000001</v>
      </c>
      <c r="V4559">
        <v>-5.0032350000000003E-2</v>
      </c>
      <c r="W4559">
        <v>0.1857819</v>
      </c>
      <c r="X4559">
        <v>0.98131639999999998</v>
      </c>
      <c r="Y4559">
        <v>-5.8800169999999999E-2</v>
      </c>
      <c r="Z4559">
        <v>1.6873529999999999E-3</v>
      </c>
      <c r="AA4559">
        <v>0.99826839999999994</v>
      </c>
      <c r="AB4559">
        <v>24</v>
      </c>
      <c r="AC4559">
        <v>32.569499999999998</v>
      </c>
      <c r="AD4559">
        <v>-1.110480510371</v>
      </c>
      <c r="AE4559">
        <v>1.46583</v>
      </c>
      <c r="AF4559">
        <v>-1.93080848145941</v>
      </c>
      <c r="AG4559">
        <v>-1.110480510371</v>
      </c>
      <c r="AH4559">
        <v>32.507397895433002</v>
      </c>
      <c r="AI4559">
        <v>91.953072602497201</v>
      </c>
      <c r="AJ4559">
        <v>93.399144984871498</v>
      </c>
      <c r="AK4559">
        <v>32.583617145553198</v>
      </c>
      <c r="AL4559">
        <v>79.293277871323099</v>
      </c>
      <c r="AM4559">
        <v>92.918694164687196</v>
      </c>
      <c r="AN4559">
        <v>1.0000000136615399</v>
      </c>
    </row>
    <row r="4560" spans="1:40" x14ac:dyDescent="0.25">
      <c r="A4560" t="str">
        <f>"20190304155506345"</f>
        <v>20190304155506345</v>
      </c>
      <c r="B4560" t="str">
        <f>"1551686106332366"</f>
        <v>1551686106332366</v>
      </c>
      <c r="C4560" t="s">
        <v>40</v>
      </c>
      <c r="D4560">
        <v>4.5872270000000004</v>
      </c>
      <c r="E4560">
        <v>0.49315209999999998</v>
      </c>
      <c r="F4560" t="s">
        <v>46</v>
      </c>
      <c r="G4560">
        <v>-321.87849999999997</v>
      </c>
      <c r="H4560" s="1">
        <v>-3.9693799999999999E-6</v>
      </c>
      <c r="I4560">
        <v>18.771609999999999</v>
      </c>
      <c r="J4560">
        <v>-353.06259999999997</v>
      </c>
      <c r="K4560">
        <v>1.1104780000000001</v>
      </c>
      <c r="L4560">
        <v>17.279450000000001</v>
      </c>
      <c r="M4560">
        <v>0.99980150000000001</v>
      </c>
      <c r="N4560">
        <v>-1.3783419999999999E-2</v>
      </c>
      <c r="O4560">
        <v>-1.4388140000000001E-2</v>
      </c>
      <c r="P4560">
        <v>0.9843421</v>
      </c>
      <c r="Q4560">
        <v>0.17252500000000001</v>
      </c>
      <c r="R4560">
        <v>3.6138799999999999E-2</v>
      </c>
      <c r="S4560">
        <v>3.061188</v>
      </c>
      <c r="T4560">
        <v>-0.1081452</v>
      </c>
      <c r="U4560">
        <v>0.14495849999999999</v>
      </c>
      <c r="V4560">
        <v>-5.0281270000000003E-2</v>
      </c>
      <c r="W4560">
        <v>0.1860724</v>
      </c>
      <c r="X4560">
        <v>0.98124860000000003</v>
      </c>
      <c r="Y4560">
        <v>-6.1612489999999999E-2</v>
      </c>
      <c r="Z4560">
        <v>1.8221509999999999E-3</v>
      </c>
      <c r="AA4560">
        <v>0.9980985</v>
      </c>
      <c r="AB4560">
        <v>24</v>
      </c>
      <c r="AC4560">
        <v>31.184100000000001</v>
      </c>
      <c r="AD4560">
        <v>-1.1104819693799901</v>
      </c>
      <c r="AE4560">
        <v>1.4921599999999899</v>
      </c>
      <c r="AF4560">
        <v>-1.93827699296519</v>
      </c>
      <c r="AG4560">
        <v>-1.1104819693799901</v>
      </c>
      <c r="AH4560">
        <v>31.120026493365302</v>
      </c>
      <c r="AI4560">
        <v>92.039717012298496</v>
      </c>
      <c r="AJ4560">
        <v>93.564001456291294</v>
      </c>
      <c r="AK4560">
        <v>31.200098346856699</v>
      </c>
      <c r="AL4560">
        <v>79.276337707545807</v>
      </c>
      <c r="AM4560">
        <v>92.933392217954804</v>
      </c>
      <c r="AN4560">
        <v>0.99999997957826603</v>
      </c>
    </row>
    <row r="4561" spans="1:40" x14ac:dyDescent="0.25">
      <c r="A4561" t="str">
        <f>"20190304155506367"</f>
        <v>20190304155506367</v>
      </c>
      <c r="B4561" t="str">
        <f>"1551686106361646"</f>
        <v>1551686106361646</v>
      </c>
      <c r="C4561" t="s">
        <v>40</v>
      </c>
      <c r="D4561">
        <v>4.5604380000000004</v>
      </c>
      <c r="E4561">
        <v>0.49278899999999998</v>
      </c>
      <c r="F4561" t="s">
        <v>46</v>
      </c>
      <c r="G4561">
        <v>-322.10430000000002</v>
      </c>
      <c r="H4561" s="1">
        <v>-3.8657400000000004E-6</v>
      </c>
      <c r="I4561">
        <v>18.754169999999998</v>
      </c>
      <c r="J4561">
        <v>-352.81079999999997</v>
      </c>
      <c r="K4561">
        <v>1.1104830000000001</v>
      </c>
      <c r="L4561">
        <v>17.275790000000001</v>
      </c>
      <c r="M4561">
        <v>0.99980100000000005</v>
      </c>
      <c r="N4561">
        <v>-1.3784329999999999E-2</v>
      </c>
      <c r="O4561">
        <v>-1.44276E-2</v>
      </c>
      <c r="P4561">
        <v>0.98420209999999997</v>
      </c>
      <c r="Q4561">
        <v>0.1731568</v>
      </c>
      <c r="R4561">
        <v>3.6918989999999999E-2</v>
      </c>
      <c r="S4561">
        <v>3.0616460000000001</v>
      </c>
      <c r="T4561">
        <v>-0.109822</v>
      </c>
      <c r="U4561">
        <v>0.14584349999999999</v>
      </c>
      <c r="V4561">
        <v>-5.1097589999999998E-2</v>
      </c>
      <c r="W4561">
        <v>0.1867029</v>
      </c>
      <c r="X4561">
        <v>0.98108669999999998</v>
      </c>
      <c r="Y4561">
        <v>-6.1930810000000003E-2</v>
      </c>
      <c r="Z4561">
        <v>1.8554140000000001E-3</v>
      </c>
      <c r="AA4561">
        <v>0.99807869999999999</v>
      </c>
      <c r="AB4561">
        <v>24</v>
      </c>
      <c r="AC4561">
        <v>30.706499999999899</v>
      </c>
      <c r="AD4561">
        <v>-1.11048686574</v>
      </c>
      <c r="AE4561">
        <v>1.47838</v>
      </c>
      <c r="AF4561">
        <v>-1.91878551747717</v>
      </c>
      <c r="AG4561">
        <v>-1.11048686574</v>
      </c>
      <c r="AH4561">
        <v>30.6419886531462</v>
      </c>
      <c r="AI4561">
        <v>92.071476525887604</v>
      </c>
      <c r="AJ4561">
        <v>93.583153613967596</v>
      </c>
      <c r="AK4561">
        <v>30.722083060245101</v>
      </c>
      <c r="AL4561">
        <v>79.239568873606501</v>
      </c>
      <c r="AM4561">
        <v>92.981421870006599</v>
      </c>
      <c r="AN4561">
        <v>1.00000002474455</v>
      </c>
    </row>
    <row r="4562" spans="1:40" x14ac:dyDescent="0.25">
      <c r="A4562" t="str">
        <f>"20190304155506387"</f>
        <v>20190304155506387</v>
      </c>
      <c r="B4562" t="str">
        <f>"1551686106382142"</f>
        <v>1551686106382142</v>
      </c>
      <c r="C4562" t="s">
        <v>40</v>
      </c>
      <c r="D4562">
        <v>4.6018369999999997</v>
      </c>
      <c r="E4562">
        <v>0.49282609999999899</v>
      </c>
      <c r="F4562" t="s">
        <v>46</v>
      </c>
      <c r="G4562">
        <v>-322.17090000000002</v>
      </c>
      <c r="H4562" s="1">
        <v>-3.8286629999999999E-6</v>
      </c>
      <c r="I4562">
        <v>18.785869999999999</v>
      </c>
      <c r="J4562">
        <v>-352.5872</v>
      </c>
      <c r="K4562">
        <v>1.1104969999999901</v>
      </c>
      <c r="L4562">
        <v>17.27252</v>
      </c>
      <c r="M4562">
        <v>0.99980040000000003</v>
      </c>
      <c r="N4562">
        <v>-1.378481E-2</v>
      </c>
      <c r="O4562">
        <v>-1.446218E-2</v>
      </c>
      <c r="P4562">
        <v>0.98406490000000002</v>
      </c>
      <c r="Q4562">
        <v>0.17391309999999999</v>
      </c>
      <c r="R4562">
        <v>3.7018120000000002E-2</v>
      </c>
      <c r="S4562">
        <v>3.0619809999999998</v>
      </c>
      <c r="T4562">
        <v>-0.11097600000000001</v>
      </c>
      <c r="U4562">
        <v>0.1509094</v>
      </c>
      <c r="V4562">
        <v>-5.1228559999999999E-2</v>
      </c>
      <c r="W4562">
        <v>0.18745809999999999</v>
      </c>
      <c r="X4562">
        <v>0.98093580000000002</v>
      </c>
      <c r="Y4562">
        <v>-6.3604839999999996E-2</v>
      </c>
      <c r="Z4562">
        <v>1.914925E-3</v>
      </c>
      <c r="AA4562">
        <v>0.99797329999999995</v>
      </c>
      <c r="AB4562">
        <v>24</v>
      </c>
      <c r="AC4562">
        <v>30.4162999999999</v>
      </c>
      <c r="AD4562">
        <v>-1.11050082866299</v>
      </c>
      <c r="AE4562">
        <v>1.51335</v>
      </c>
      <c r="AF4562">
        <v>-1.9505259016780201</v>
      </c>
      <c r="AG4562">
        <v>-1.11050082866299</v>
      </c>
      <c r="AH4562">
        <v>30.350872625181701</v>
      </c>
      <c r="AI4562">
        <v>92.091136823801904</v>
      </c>
      <c r="AJ4562">
        <v>93.677107660472601</v>
      </c>
      <c r="AK4562">
        <v>30.433751534991298</v>
      </c>
      <c r="AL4562">
        <v>79.195520871904705</v>
      </c>
      <c r="AM4562">
        <v>92.989508795140097</v>
      </c>
      <c r="AN4562">
        <v>0.99999997416846098</v>
      </c>
    </row>
    <row r="4563" spans="1:40" x14ac:dyDescent="0.25">
      <c r="A4563" t="str">
        <f>"20190304155506411"</f>
        <v>20190304155506411</v>
      </c>
      <c r="B4563" t="str">
        <f>"1551686106401665"</f>
        <v>1551686106401665</v>
      </c>
      <c r="C4563" t="s">
        <v>40</v>
      </c>
      <c r="D4563">
        <v>4.5908129999999998</v>
      </c>
      <c r="E4563">
        <v>0.49260080000000001</v>
      </c>
      <c r="F4563" t="s">
        <v>46</v>
      </c>
      <c r="G4563">
        <v>-321.52640000000002</v>
      </c>
      <c r="H4563" s="1">
        <v>-4.13011999999999E-6</v>
      </c>
      <c r="I4563">
        <v>18.803850000000001</v>
      </c>
      <c r="J4563">
        <v>-352.34179999999998</v>
      </c>
      <c r="K4563">
        <v>1.1105050000000001</v>
      </c>
      <c r="L4563">
        <v>17.268920000000001</v>
      </c>
      <c r="M4563">
        <v>0.99979989999999996</v>
      </c>
      <c r="N4563">
        <v>-1.3784869999999999E-2</v>
      </c>
      <c r="O4563">
        <v>-1.450068E-2</v>
      </c>
      <c r="P4563">
        <v>0.98390239999999995</v>
      </c>
      <c r="Q4563">
        <v>0.174864299999999</v>
      </c>
      <c r="R4563">
        <v>3.6860990000000003E-2</v>
      </c>
      <c r="S4563">
        <v>3.0622250000000002</v>
      </c>
      <c r="T4563">
        <v>-0.109482</v>
      </c>
      <c r="U4563">
        <v>0.15097049999999901</v>
      </c>
      <c r="V4563">
        <v>-5.1107329999999999E-2</v>
      </c>
      <c r="W4563">
        <v>0.18840689999999999</v>
      </c>
      <c r="X4563">
        <v>0.98076030000000003</v>
      </c>
      <c r="Y4563">
        <v>-6.3660640000000004E-2</v>
      </c>
      <c r="Z4563">
        <v>1.894478E-3</v>
      </c>
      <c r="AA4563">
        <v>0.99796980000000002</v>
      </c>
      <c r="AB4563">
        <v>24</v>
      </c>
      <c r="AC4563">
        <v>30.815399999999901</v>
      </c>
      <c r="AD4563">
        <v>-1.1105091301200001</v>
      </c>
      <c r="AE4563">
        <v>1.5349299999999899</v>
      </c>
      <c r="AF4563">
        <v>-1.97909138877326</v>
      </c>
      <c r="AG4563">
        <v>-1.1105091301200001</v>
      </c>
      <c r="AH4563">
        <v>30.750063546502201</v>
      </c>
      <c r="AI4563">
        <v>92.0640166666076</v>
      </c>
      <c r="AJ4563">
        <v>93.6825095421448</v>
      </c>
      <c r="AK4563">
        <v>30.8336900381242</v>
      </c>
      <c r="AL4563">
        <v>79.140172084029004</v>
      </c>
      <c r="AM4563">
        <v>92.982979773024496</v>
      </c>
      <c r="AN4563">
        <v>0.99999994260171199</v>
      </c>
    </row>
    <row r="4564" spans="1:40" x14ac:dyDescent="0.25">
      <c r="A4564" t="str">
        <f>"20190304155506432"</f>
        <v>20190304155506432</v>
      </c>
      <c r="B4564" t="str">
        <f>"1551686106422161"</f>
        <v>1551686106422161</v>
      </c>
      <c r="C4564" t="s">
        <v>40</v>
      </c>
      <c r="D4564">
        <v>4.6000779999999999</v>
      </c>
      <c r="E4564">
        <v>0.4924019</v>
      </c>
      <c r="F4564" t="s">
        <v>46</v>
      </c>
      <c r="G4564">
        <v>-320.94319999999999</v>
      </c>
      <c r="H4564" s="1">
        <v>-4.4005819999999998E-6</v>
      </c>
      <c r="I4564">
        <v>18.833279999999998</v>
      </c>
      <c r="J4564">
        <v>-352.1071</v>
      </c>
      <c r="K4564">
        <v>1.110509</v>
      </c>
      <c r="L4564">
        <v>17.265470000000001</v>
      </c>
      <c r="M4564">
        <v>0.99979929999999995</v>
      </c>
      <c r="N4564">
        <v>-1.378476E-2</v>
      </c>
      <c r="O4564">
        <v>-1.4537639999999999E-2</v>
      </c>
      <c r="P4564">
        <v>0.98376640000000004</v>
      </c>
      <c r="Q4564">
        <v>0.17571899999999999</v>
      </c>
      <c r="R4564">
        <v>3.6426519999999997E-2</v>
      </c>
      <c r="S4564">
        <v>3.0626220000000002</v>
      </c>
      <c r="T4564">
        <v>-0.1083192</v>
      </c>
      <c r="U4564">
        <v>0.1525879</v>
      </c>
      <c r="V4564">
        <v>-5.0706960000000002E-2</v>
      </c>
      <c r="W4564">
        <v>0.1892596</v>
      </c>
      <c r="X4564">
        <v>0.98061690000000001</v>
      </c>
      <c r="Y4564">
        <v>-6.4217579999999996E-2</v>
      </c>
      <c r="Z4564">
        <v>1.8911589999999999E-3</v>
      </c>
      <c r="AA4564">
        <v>0.99793410000000005</v>
      </c>
      <c r="AB4564">
        <v>24</v>
      </c>
      <c r="AC4564">
        <v>31.163900000000002</v>
      </c>
      <c r="AD4564">
        <v>-1.1105134005820001</v>
      </c>
      <c r="AE4564">
        <v>1.5678099999999899</v>
      </c>
      <c r="AF4564">
        <v>-2.0181806285686799</v>
      </c>
      <c r="AG4564">
        <v>-1.1105134005820001</v>
      </c>
      <c r="AH4564">
        <v>31.0984217697183</v>
      </c>
      <c r="AI4564">
        <v>92.040853130341901</v>
      </c>
      <c r="AJ4564">
        <v>93.713092255987306</v>
      </c>
      <c r="AK4564">
        <v>31.183619572296202</v>
      </c>
      <c r="AL4564">
        <v>79.090420965679897</v>
      </c>
      <c r="AM4564">
        <v>92.960085135437794</v>
      </c>
      <c r="AN4564">
        <v>0.99999994827510397</v>
      </c>
    </row>
    <row r="4565" spans="1:40" x14ac:dyDescent="0.25">
      <c r="A4565" t="str">
        <f>"20190304155506455"</f>
        <v>20190304155506455</v>
      </c>
      <c r="B4565" t="str">
        <f>"1551686106452414"</f>
        <v>1551686106452414</v>
      </c>
      <c r="C4565" t="s">
        <v>40</v>
      </c>
      <c r="D4565">
        <v>4.5946530000000001</v>
      </c>
      <c r="E4565">
        <v>0.49205959999999899</v>
      </c>
      <c r="F4565" t="s">
        <v>46</v>
      </c>
      <c r="G4565">
        <v>-320.37329999999997</v>
      </c>
      <c r="H4565" s="1">
        <v>-4.6678049999999999E-6</v>
      </c>
      <c r="I4565">
        <v>18.845680000000002</v>
      </c>
      <c r="J4565">
        <v>-351.86759999999998</v>
      </c>
      <c r="K4565">
        <v>1.1105149999999999</v>
      </c>
      <c r="L4565">
        <v>17.261959999999998</v>
      </c>
      <c r="M4565">
        <v>0.99979890000000005</v>
      </c>
      <c r="N4565">
        <v>-1.3784340000000001E-2</v>
      </c>
      <c r="O4565">
        <v>-1.4575299999999999E-2</v>
      </c>
      <c r="P4565">
        <v>0.98367910000000003</v>
      </c>
      <c r="Q4565">
        <v>0.17623929999999999</v>
      </c>
      <c r="R4565">
        <v>3.6270070000000001E-2</v>
      </c>
      <c r="S4565">
        <v>3.0630489999999999</v>
      </c>
      <c r="T4565">
        <v>-0.10719040000000001</v>
      </c>
      <c r="U4565">
        <v>0.15252689999999999</v>
      </c>
      <c r="V4565">
        <v>-5.058584E-2</v>
      </c>
      <c r="W4565">
        <v>0.18977840000000001</v>
      </c>
      <c r="X4565">
        <v>0.98052289999999998</v>
      </c>
      <c r="Y4565">
        <v>-6.4229510000000004E-2</v>
      </c>
      <c r="Z4565">
        <v>1.874843E-3</v>
      </c>
      <c r="AA4565">
        <v>0.99793339999999997</v>
      </c>
      <c r="AB4565">
        <v>24</v>
      </c>
      <c r="AC4565">
        <v>31.494299999999999</v>
      </c>
      <c r="AD4565">
        <v>-1.110519667805</v>
      </c>
      <c r="AE4565">
        <v>1.58371999999999</v>
      </c>
      <c r="AF4565">
        <v>-2.0401040210089101</v>
      </c>
      <c r="AG4565">
        <v>-1.110519667805</v>
      </c>
      <c r="AH4565">
        <v>31.428890373606698</v>
      </c>
      <c r="AI4565">
        <v>92.019421229761605</v>
      </c>
      <c r="AJ4565">
        <v>93.713958404516006</v>
      </c>
      <c r="AK4565">
        <v>31.514606589093098</v>
      </c>
      <c r="AL4565">
        <v>79.060147426263896</v>
      </c>
      <c r="AM4565">
        <v>92.953309723931099</v>
      </c>
      <c r="AN4565">
        <v>0.99999996286973702</v>
      </c>
    </row>
    <row r="4566" spans="1:40" x14ac:dyDescent="0.25">
      <c r="A4566" t="str">
        <f>"20190304155506476"</f>
        <v>20190304155506476</v>
      </c>
      <c r="B4566" t="str">
        <f>"1551686106471934"</f>
        <v>1551686106471934</v>
      </c>
      <c r="C4566" t="s">
        <v>40</v>
      </c>
      <c r="D4566">
        <v>3.8915479999999998</v>
      </c>
      <c r="E4566">
        <v>0.4922532</v>
      </c>
      <c r="F4566" t="s">
        <v>46</v>
      </c>
      <c r="G4566">
        <v>-320.34179999999998</v>
      </c>
      <c r="H4566" s="1">
        <v>-4.6802620000000001E-6</v>
      </c>
      <c r="I4566">
        <v>18.859290000000001</v>
      </c>
      <c r="J4566">
        <v>-351.63189999999997</v>
      </c>
      <c r="K4566">
        <v>1.110517</v>
      </c>
      <c r="L4566">
        <v>17.258479999999999</v>
      </c>
      <c r="M4566">
        <v>0.99979819999999997</v>
      </c>
      <c r="N4566">
        <v>-1.3783699999999999E-2</v>
      </c>
      <c r="O4566">
        <v>-1.461225E-2</v>
      </c>
      <c r="P4566">
        <v>0.98357559999999999</v>
      </c>
      <c r="Q4566">
        <v>0.17682729999999999</v>
      </c>
      <c r="R4566">
        <v>3.6213299999999997E-2</v>
      </c>
      <c r="S4566">
        <v>3.0633539999999999</v>
      </c>
      <c r="T4566">
        <v>-0.10790909999999999</v>
      </c>
      <c r="U4566">
        <v>0.1552124</v>
      </c>
      <c r="V4566">
        <v>-5.0564560000000001E-2</v>
      </c>
      <c r="W4566">
        <v>0.19036400000000001</v>
      </c>
      <c r="X4566">
        <v>0.98041049999999996</v>
      </c>
      <c r="Y4566">
        <v>-6.5132620000000002E-2</v>
      </c>
      <c r="Z4566">
        <v>1.908503E-3</v>
      </c>
      <c r="AA4566">
        <v>0.99787479999999995</v>
      </c>
      <c r="AB4566">
        <v>24</v>
      </c>
      <c r="AC4566">
        <v>31.290099999999899</v>
      </c>
      <c r="AD4566">
        <v>-1.1105216802619999</v>
      </c>
      <c r="AE4566">
        <v>1.6008099999999901</v>
      </c>
      <c r="AF4566">
        <v>-2.0553191064711802</v>
      </c>
      <c r="AG4566">
        <v>-1.1105216802619999</v>
      </c>
      <c r="AH4566">
        <v>31.224137099521901</v>
      </c>
      <c r="AI4566">
        <v>92.032535573887401</v>
      </c>
      <c r="AJ4566">
        <v>93.7660438402864</v>
      </c>
      <c r="AK4566">
        <v>31.311408985248399</v>
      </c>
      <c r="AL4566">
        <v>79.025972286345905</v>
      </c>
      <c r="AM4566">
        <v>92.952407393730098</v>
      </c>
      <c r="AN4566">
        <v>0.99999998786712097</v>
      </c>
    </row>
    <row r="4567" spans="1:40" x14ac:dyDescent="0.25">
      <c r="A4567" t="str">
        <f>"20190304155506500"</f>
        <v>20190304155506500</v>
      </c>
      <c r="B4567" t="str">
        <f>"1551686106492430"</f>
        <v>1551686106492430</v>
      </c>
      <c r="C4567" t="s">
        <v>40</v>
      </c>
      <c r="D4567">
        <v>4.6826109999999996</v>
      </c>
      <c r="E4567">
        <v>0.53196699999999997</v>
      </c>
      <c r="F4567" t="s">
        <v>47</v>
      </c>
      <c r="G4567">
        <v>-318.1266</v>
      </c>
      <c r="H4567">
        <v>-0.05</v>
      </c>
      <c r="I4567">
        <v>18.9437</v>
      </c>
      <c r="J4567">
        <v>-351.38799999999998</v>
      </c>
      <c r="K4567">
        <v>1.1105229999999999</v>
      </c>
      <c r="L4567">
        <v>17.254850000000001</v>
      </c>
      <c r="M4567">
        <v>0.99979770000000001</v>
      </c>
      <c r="N4567">
        <v>-1.378279E-2</v>
      </c>
      <c r="O4567">
        <v>-1.465087E-2</v>
      </c>
      <c r="P4567">
        <v>0.98348139999999995</v>
      </c>
      <c r="Q4567">
        <v>0.17742569999999999</v>
      </c>
      <c r="R4567">
        <v>3.5837639999999997E-2</v>
      </c>
      <c r="S4567">
        <v>3.0634769999999998</v>
      </c>
      <c r="T4567">
        <v>-0.10610890000000001</v>
      </c>
      <c r="U4567">
        <v>0.15408329999999901</v>
      </c>
      <c r="V4567">
        <v>-5.022484E-2</v>
      </c>
      <c r="W4567">
        <v>0.19096080000000001</v>
      </c>
      <c r="X4567">
        <v>0.98031190000000001</v>
      </c>
      <c r="Y4567">
        <v>-6.4804329999999993E-2</v>
      </c>
      <c r="Z4567">
        <v>1.8736009999999999E-3</v>
      </c>
      <c r="AA4567">
        <v>0.99789629999999996</v>
      </c>
      <c r="AB4567">
        <v>24</v>
      </c>
      <c r="AC4567">
        <v>33.261400000000002</v>
      </c>
      <c r="AD4567">
        <v>-1.160523</v>
      </c>
      <c r="AE4567">
        <v>1.68884999999999</v>
      </c>
      <c r="AF4567">
        <v>-2.17338439559837</v>
      </c>
      <c r="AG4567">
        <v>-1.160523</v>
      </c>
      <c r="AH4567">
        <v>33.192779568156503</v>
      </c>
      <c r="AI4567">
        <v>91.998148024638994</v>
      </c>
      <c r="AJ4567">
        <v>93.746243929266598</v>
      </c>
      <c r="AK4567">
        <v>33.284095733920601</v>
      </c>
      <c r="AL4567">
        <v>78.991139214247198</v>
      </c>
      <c r="AM4567">
        <v>92.932900717085303</v>
      </c>
      <c r="AN4567">
        <v>0.99999999148563701</v>
      </c>
    </row>
    <row r="4568" spans="1:40" x14ac:dyDescent="0.25">
      <c r="A4568" t="str">
        <f>"20190304155506522"</f>
        <v>20190304155506522</v>
      </c>
      <c r="B4568" t="str">
        <f>"1551686106511953"</f>
        <v>1551686106511953</v>
      </c>
      <c r="C4568" t="s">
        <v>40</v>
      </c>
      <c r="D4568">
        <v>4.7237669999999996</v>
      </c>
      <c r="E4568">
        <v>0.54494299999999996</v>
      </c>
      <c r="F4568" t="s">
        <v>47</v>
      </c>
      <c r="G4568">
        <v>-307.71080000000001</v>
      </c>
      <c r="H4568">
        <v>-0.05</v>
      </c>
      <c r="I4568">
        <v>14.93369</v>
      </c>
      <c r="J4568">
        <v>-351.14659999999998</v>
      </c>
      <c r="K4568">
        <v>1.1105240000000001</v>
      </c>
      <c r="L4568">
        <v>17.251279999999898</v>
      </c>
      <c r="M4568">
        <v>0.99979709999999999</v>
      </c>
      <c r="N4568">
        <v>-1.3781760000000001E-2</v>
      </c>
      <c r="O4568">
        <v>-1.4688649999999999E-2</v>
      </c>
      <c r="P4568">
        <v>0.9834001</v>
      </c>
      <c r="Q4568">
        <v>0.17784649999999999</v>
      </c>
      <c r="R4568">
        <v>3.5985179999999999E-2</v>
      </c>
      <c r="S4568">
        <v>3.071075</v>
      </c>
      <c r="T4568">
        <v>-8.1599710000000006E-2</v>
      </c>
      <c r="U4568">
        <v>-0.16320799999999999</v>
      </c>
      <c r="V4568">
        <v>-5.0408580000000001E-2</v>
      </c>
      <c r="W4568">
        <v>0.19137879999999999</v>
      </c>
      <c r="X4568">
        <v>0.98022100000000001</v>
      </c>
      <c r="Y4568">
        <v>3.83743E-2</v>
      </c>
      <c r="Z4568">
        <v>-5.8648320000000002E-4</v>
      </c>
      <c r="AA4568">
        <v>0.99926329999999997</v>
      </c>
      <c r="AB4568">
        <v>24</v>
      </c>
      <c r="AC4568">
        <v>43.435799999999901</v>
      </c>
      <c r="AD4568">
        <v>-1.1605240000000001</v>
      </c>
      <c r="AE4568">
        <v>-2.3175899999999898</v>
      </c>
      <c r="AF4568">
        <v>1.6780715309454</v>
      </c>
      <c r="AG4568">
        <v>-1.1605240000000001</v>
      </c>
      <c r="AH4568">
        <v>43.434240668758797</v>
      </c>
      <c r="AI4568">
        <v>91.529387301502197</v>
      </c>
      <c r="AJ4568">
        <v>87.787491613096805</v>
      </c>
      <c r="AK4568">
        <v>43.482134290869503</v>
      </c>
      <c r="AL4568">
        <v>78.966740110659501</v>
      </c>
      <c r="AM4568">
        <v>92.9438839492055</v>
      </c>
      <c r="AN4568">
        <v>1.00000003943402</v>
      </c>
    </row>
    <row r="4569" spans="1:40" x14ac:dyDescent="0.25">
      <c r="A4569" t="str">
        <f>"20190304155506545"</f>
        <v>20190304155506545</v>
      </c>
      <c r="B4569" t="str">
        <f>"1551686106542206"</f>
        <v>1551686106542206</v>
      </c>
      <c r="C4569" t="s">
        <v>40</v>
      </c>
      <c r="D4569">
        <v>4.6229610000000001</v>
      </c>
      <c r="E4569">
        <v>0.54861519999999897</v>
      </c>
      <c r="F4569" t="s">
        <v>47</v>
      </c>
      <c r="G4569">
        <v>-312.15929999999997</v>
      </c>
      <c r="H4569">
        <v>-0.05</v>
      </c>
      <c r="I4569">
        <v>13.87326</v>
      </c>
      <c r="J4569">
        <v>-350.9008</v>
      </c>
      <c r="K4569">
        <v>1.1105229999999999</v>
      </c>
      <c r="L4569">
        <v>17.247620000000001</v>
      </c>
      <c r="M4569">
        <v>0.99979669999999998</v>
      </c>
      <c r="N4569">
        <v>-1.3780529999999999E-2</v>
      </c>
      <c r="O4569">
        <v>-1.4727860000000001E-2</v>
      </c>
      <c r="P4569">
        <v>0.98348679999999999</v>
      </c>
      <c r="Q4569">
        <v>0.17743399999999901</v>
      </c>
      <c r="R4569">
        <v>3.565513E-2</v>
      </c>
      <c r="S4569">
        <v>3.076965</v>
      </c>
      <c r="T4569">
        <v>-9.1591240000000004E-2</v>
      </c>
      <c r="U4569">
        <v>-0.26660159999999899</v>
      </c>
      <c r="V4569">
        <v>-5.0118200000000002E-2</v>
      </c>
      <c r="W4569">
        <v>0.19096650000000001</v>
      </c>
      <c r="X4569">
        <v>0.98031630000000003</v>
      </c>
      <c r="Y4569">
        <v>7.1592989999999995E-2</v>
      </c>
      <c r="Z4569">
        <v>-1.322918E-3</v>
      </c>
      <c r="AA4569">
        <v>0.99743309999999996</v>
      </c>
      <c r="AB4569">
        <v>24</v>
      </c>
      <c r="AC4569">
        <v>38.741500000000002</v>
      </c>
      <c r="AD4569">
        <v>-1.160523</v>
      </c>
      <c r="AE4569">
        <v>-3.3743599999999998</v>
      </c>
      <c r="AF4569">
        <v>2.8008660518867599</v>
      </c>
      <c r="AG4569">
        <v>-1.160523</v>
      </c>
      <c r="AH4569">
        <v>38.752486937165401</v>
      </c>
      <c r="AI4569">
        <v>91.710867289198205</v>
      </c>
      <c r="AJ4569">
        <v>85.866091314681</v>
      </c>
      <c r="AK4569">
        <v>38.870900530979704</v>
      </c>
      <c r="AL4569">
        <v>78.990807080489702</v>
      </c>
      <c r="AM4569">
        <v>92.926671154137907</v>
      </c>
      <c r="AN4569">
        <v>1.0000000430695799</v>
      </c>
    </row>
    <row r="4570" spans="1:40" x14ac:dyDescent="0.25">
      <c r="A4570" t="str">
        <f>"20190304155506570"</f>
        <v>20190304155506570</v>
      </c>
      <c r="B4570" t="str">
        <f>"1551686106561727"</f>
        <v>1551686106561727</v>
      </c>
      <c r="C4570" t="s">
        <v>40</v>
      </c>
      <c r="D4570">
        <v>4.5924870000000002</v>
      </c>
      <c r="E4570">
        <v>0.55008800000000002</v>
      </c>
      <c r="F4570" t="s">
        <v>47</v>
      </c>
      <c r="G4570">
        <v>-317.89760000000001</v>
      </c>
      <c r="H4570">
        <v>-0.05</v>
      </c>
      <c r="I4570">
        <v>14.068569999999999</v>
      </c>
      <c r="J4570">
        <v>-350.63659999999999</v>
      </c>
      <c r="K4570">
        <v>1.1105240000000001</v>
      </c>
      <c r="L4570">
        <v>17.243649999999999</v>
      </c>
      <c r="M4570">
        <v>0.99979620000000002</v>
      </c>
      <c r="N4570">
        <v>-1.3778840000000001E-2</v>
      </c>
      <c r="O4570">
        <v>-1.4769799999999901E-2</v>
      </c>
      <c r="P4570">
        <v>0.98354140000000001</v>
      </c>
      <c r="Q4570">
        <v>0.17720929999999999</v>
      </c>
      <c r="R4570">
        <v>3.526406E-2</v>
      </c>
      <c r="S4570">
        <v>3.0807190000000002</v>
      </c>
      <c r="T4570">
        <v>-0.1083306</v>
      </c>
      <c r="U4570">
        <v>-0.29675289999999999</v>
      </c>
      <c r="V4570">
        <v>-4.9769359999999999E-2</v>
      </c>
      <c r="W4570">
        <v>0.1907413</v>
      </c>
      <c r="X4570">
        <v>0.98037790000000002</v>
      </c>
      <c r="Y4570">
        <v>8.1102549999999995E-2</v>
      </c>
      <c r="Z4570">
        <v>-1.6676760000000001E-3</v>
      </c>
      <c r="AA4570">
        <v>0.99670429999999999</v>
      </c>
      <c r="AB4570">
        <v>24</v>
      </c>
      <c r="AC4570">
        <v>32.738999999999898</v>
      </c>
      <c r="AD4570">
        <v>-1.1605240000000001</v>
      </c>
      <c r="AE4570">
        <v>-3.1750799999999901</v>
      </c>
      <c r="AF4570">
        <v>2.6877934554798202</v>
      </c>
      <c r="AG4570">
        <v>-1.1605240000000001</v>
      </c>
      <c r="AH4570">
        <v>32.741570056942997</v>
      </c>
      <c r="AI4570">
        <v>92.023197408818604</v>
      </c>
      <c r="AJ4570">
        <v>85.307046011717404</v>
      </c>
      <c r="AK4570">
        <v>32.872198883062303</v>
      </c>
      <c r="AL4570">
        <v>79.003951559942905</v>
      </c>
      <c r="AM4570">
        <v>92.906153257600096</v>
      </c>
      <c r="AN4570">
        <v>1.00000002976445</v>
      </c>
    </row>
    <row r="4571" spans="1:40" x14ac:dyDescent="0.25">
      <c r="A4571" t="str">
        <f>"20190304155506591"</f>
        <v>20190304155506591</v>
      </c>
      <c r="B4571" t="str">
        <f>"1551686106582222"</f>
        <v>1551686106582222</v>
      </c>
      <c r="C4571" t="s">
        <v>40</v>
      </c>
      <c r="D4571">
        <v>4.585788</v>
      </c>
      <c r="E4571">
        <v>0.55122079999999996</v>
      </c>
      <c r="F4571" t="s">
        <v>46</v>
      </c>
      <c r="G4571">
        <v>-320.11059999999998</v>
      </c>
      <c r="H4571" s="1">
        <v>-5.6193639999999998E-6</v>
      </c>
      <c r="I4571">
        <v>14.18117</v>
      </c>
      <c r="J4571">
        <v>-350.42110000000002</v>
      </c>
      <c r="K4571">
        <v>1.1105309999999999</v>
      </c>
      <c r="L4571">
        <v>17.240449999999999</v>
      </c>
      <c r="M4571">
        <v>0.99979569999999995</v>
      </c>
      <c r="N4571">
        <v>-1.377724E-2</v>
      </c>
      <c r="O4571">
        <v>-1.4803999999999999E-2</v>
      </c>
      <c r="P4571">
        <v>0.98353060000000003</v>
      </c>
      <c r="Q4571">
        <v>0.17728150000000001</v>
      </c>
      <c r="R4571">
        <v>3.5199250000000001E-2</v>
      </c>
      <c r="S4571">
        <v>3.0814509999999999</v>
      </c>
      <c r="T4571">
        <v>-0.1121026</v>
      </c>
      <c r="U4571">
        <v>-0.309143099999999</v>
      </c>
      <c r="V4571">
        <v>-4.9737820000000002E-2</v>
      </c>
      <c r="W4571">
        <v>0.19081110000000001</v>
      </c>
      <c r="X4571">
        <v>0.98036590000000001</v>
      </c>
      <c r="Y4571">
        <v>8.5007170000000007E-2</v>
      </c>
      <c r="Z4571">
        <v>-1.7957680000000001E-3</v>
      </c>
      <c r="AA4571">
        <v>0.99637869999999995</v>
      </c>
      <c r="AB4571">
        <v>24</v>
      </c>
      <c r="AC4571">
        <v>30.310500000000001</v>
      </c>
      <c r="AD4571">
        <v>-1.1105366193639901</v>
      </c>
      <c r="AE4571">
        <v>-3.05927999999999</v>
      </c>
      <c r="AF4571">
        <v>2.6067215870685998</v>
      </c>
      <c r="AG4571">
        <v>-1.1105366193639901</v>
      </c>
      <c r="AH4571">
        <v>30.3121911394046</v>
      </c>
      <c r="AI4571">
        <v>92.090477307645003</v>
      </c>
      <c r="AJ4571">
        <v>85.084895124843598</v>
      </c>
      <c r="AK4571">
        <v>30.444329861030599</v>
      </c>
      <c r="AL4571">
        <v>78.999877293417001</v>
      </c>
      <c r="AM4571">
        <v>92.904350203800007</v>
      </c>
      <c r="AN4571">
        <v>1.0000000122521799</v>
      </c>
    </row>
    <row r="4572" spans="1:40" x14ac:dyDescent="0.25">
      <c r="A4572" t="str">
        <f>"20190304155506614"</f>
        <v>20190304155506614</v>
      </c>
      <c r="B4572" t="str">
        <f>"1551686106601742"</f>
        <v>1551686106601742</v>
      </c>
      <c r="C4572" t="s">
        <v>40</v>
      </c>
      <c r="D4572">
        <v>4.5632840000000003</v>
      </c>
      <c r="E4572">
        <v>0.55190530000000004</v>
      </c>
      <c r="F4572" t="s">
        <v>46</v>
      </c>
      <c r="G4572">
        <v>-320.13159999999999</v>
      </c>
      <c r="H4572" s="1">
        <v>-5.6223499999999996E-6</v>
      </c>
      <c r="I4572">
        <v>14.108409999999999</v>
      </c>
      <c r="J4572">
        <v>-350.17309999999998</v>
      </c>
      <c r="K4572">
        <v>1.110535</v>
      </c>
      <c r="L4572">
        <v>17.236719999999998</v>
      </c>
      <c r="M4572">
        <v>0.99979499999999999</v>
      </c>
      <c r="N4572">
        <v>-1.3775310000000001E-2</v>
      </c>
      <c r="O4572">
        <v>-1.484297E-2</v>
      </c>
      <c r="P4572">
        <v>0.98353630000000003</v>
      </c>
      <c r="Q4572">
        <v>0.1772338</v>
      </c>
      <c r="R4572">
        <v>3.5276879999999997E-2</v>
      </c>
      <c r="S4572">
        <v>3.0820620000000001</v>
      </c>
      <c r="T4572">
        <v>-0.1130009</v>
      </c>
      <c r="U4572">
        <v>-0.31869509999999901</v>
      </c>
      <c r="V4572">
        <v>-4.9853769999999999E-2</v>
      </c>
      <c r="W4572">
        <v>0.19076190000000001</v>
      </c>
      <c r="X4572">
        <v>0.98036959999999995</v>
      </c>
      <c r="Y4572">
        <v>8.8000990000000001E-2</v>
      </c>
      <c r="Z4572">
        <v>-1.8779280000000001E-3</v>
      </c>
      <c r="AA4572">
        <v>0.99611859999999997</v>
      </c>
      <c r="AB4572">
        <v>24</v>
      </c>
      <c r="AC4572">
        <v>30.0414999999999</v>
      </c>
      <c r="AD4572">
        <v>-1.1105406223500001</v>
      </c>
      <c r="AE4572">
        <v>-3.1283099999999999</v>
      </c>
      <c r="AF4572">
        <v>2.67839703901396</v>
      </c>
      <c r="AG4572">
        <v>-1.1105406223500001</v>
      </c>
      <c r="AH4572">
        <v>30.044011498506201</v>
      </c>
      <c r="AI4572">
        <v>92.108550813900294</v>
      </c>
      <c r="AJ4572">
        <v>84.905599499249405</v>
      </c>
      <c r="AK4572">
        <v>30.183600482627401</v>
      </c>
      <c r="AL4572">
        <v>79.002749155719201</v>
      </c>
      <c r="AM4572">
        <v>92.911098294008895</v>
      </c>
      <c r="AN4572">
        <v>1.00000002673949</v>
      </c>
    </row>
    <row r="4573" spans="1:40" x14ac:dyDescent="0.25">
      <c r="A4573" t="str">
        <f>"20190304155506634"</f>
        <v>20190304155506634</v>
      </c>
      <c r="B4573" t="str">
        <f>"1551686106631999"</f>
        <v>1551686106631999</v>
      </c>
      <c r="C4573" t="s">
        <v>40</v>
      </c>
      <c r="D4573">
        <v>4.5537349999999996</v>
      </c>
      <c r="E4573">
        <v>0.55255509999999997</v>
      </c>
      <c r="F4573" t="s">
        <v>46</v>
      </c>
      <c r="G4573">
        <v>-320.03629999999998</v>
      </c>
      <c r="H4573" s="1">
        <v>-5.6738599999999997E-6</v>
      </c>
      <c r="I4573">
        <v>14.072050000000001</v>
      </c>
      <c r="J4573">
        <v>-349.9513</v>
      </c>
      <c r="K4573">
        <v>1.110535</v>
      </c>
      <c r="L4573">
        <v>17.2334</v>
      </c>
      <c r="M4573">
        <v>0.99979439999999997</v>
      </c>
      <c r="N4573">
        <v>-1.3773530000000001E-2</v>
      </c>
      <c r="O4573">
        <v>-1.4878000000000001E-2</v>
      </c>
      <c r="P4573">
        <v>0.9835566</v>
      </c>
      <c r="Q4573">
        <v>0.17712069999999999</v>
      </c>
      <c r="R4573">
        <v>3.5278879999999999E-2</v>
      </c>
      <c r="S4573">
        <v>3.0822750000000001</v>
      </c>
      <c r="T4573">
        <v>-0.1135815</v>
      </c>
      <c r="U4573">
        <v>-0.3236694</v>
      </c>
      <c r="V4573">
        <v>-4.9890900000000002E-2</v>
      </c>
      <c r="W4573">
        <v>0.1906477</v>
      </c>
      <c r="X4573">
        <v>0.98038990000000004</v>
      </c>
      <c r="Y4573">
        <v>8.9547189999999999E-2</v>
      </c>
      <c r="Z4573">
        <v>-1.9214499999999999E-3</v>
      </c>
      <c r="AA4573">
        <v>0.99598070000000005</v>
      </c>
      <c r="AB4573">
        <v>24</v>
      </c>
      <c r="AC4573">
        <v>29.914999999999999</v>
      </c>
      <c r="AD4573">
        <v>-1.1105406738600001</v>
      </c>
      <c r="AE4573">
        <v>-3.1613499999999899</v>
      </c>
      <c r="AF4573">
        <v>2.7121859400072799</v>
      </c>
      <c r="AG4573">
        <v>-1.1105406738600001</v>
      </c>
      <c r="AH4573">
        <v>29.9179517775517</v>
      </c>
      <c r="AI4573">
        <v>92.117143330799493</v>
      </c>
      <c r="AJ4573">
        <v>84.820059774432906</v>
      </c>
      <c r="AK4573">
        <v>30.0611558614332</v>
      </c>
      <c r="AL4573">
        <v>79.009414384336694</v>
      </c>
      <c r="AM4573">
        <v>92.913202464707894</v>
      </c>
      <c r="AN4573">
        <v>1.0000000017200501</v>
      </c>
    </row>
    <row r="4574" spans="1:40" x14ac:dyDescent="0.25">
      <c r="A4574" t="str">
        <f>"20190304155506656"</f>
        <v>20190304155506656</v>
      </c>
      <c r="B4574" t="str">
        <f>"1551686106652494"</f>
        <v>1551686106652494</v>
      </c>
      <c r="C4574" t="s">
        <v>40</v>
      </c>
      <c r="D4574">
        <v>4.5493569999999997</v>
      </c>
      <c r="E4574">
        <v>0.55298190000000003</v>
      </c>
      <c r="F4574" t="s">
        <v>46</v>
      </c>
      <c r="G4574">
        <v>-320.25259999999997</v>
      </c>
      <c r="H4574" s="1">
        <v>-5.5728070000000002E-6</v>
      </c>
      <c r="I4574">
        <v>14.06522</v>
      </c>
      <c r="J4574">
        <v>-349.72250000000003</v>
      </c>
      <c r="K4574">
        <v>1.110533</v>
      </c>
      <c r="L4574">
        <v>17.229949999999999</v>
      </c>
      <c r="M4574">
        <v>0.99979399999999996</v>
      </c>
      <c r="N4574">
        <v>-1.3771500000000001E-2</v>
      </c>
      <c r="O4574">
        <v>-1.491411E-2</v>
      </c>
      <c r="P4574">
        <v>0.98365480000000005</v>
      </c>
      <c r="Q4574">
        <v>0.17652319999999999</v>
      </c>
      <c r="R4574">
        <v>3.5539059999999997E-2</v>
      </c>
      <c r="S4574">
        <v>3.0827330000000002</v>
      </c>
      <c r="T4574">
        <v>-0.1152744</v>
      </c>
      <c r="U4574">
        <v>-0.32885740000000002</v>
      </c>
      <c r="V4574">
        <v>-5.0187610000000001E-2</v>
      </c>
      <c r="W4574">
        <v>0.190049</v>
      </c>
      <c r="X4574">
        <v>0.980491</v>
      </c>
      <c r="Y4574">
        <v>9.1149919999999995E-2</v>
      </c>
      <c r="Z4574">
        <v>-1.9775639999999998E-3</v>
      </c>
      <c r="AA4574">
        <v>0.99583520000000003</v>
      </c>
      <c r="AB4574">
        <v>24</v>
      </c>
      <c r="AC4574">
        <v>29.469899999999999</v>
      </c>
      <c r="AD4574">
        <v>-1.1105385728070001</v>
      </c>
      <c r="AE4574">
        <v>-3.1647299999999898</v>
      </c>
      <c r="AF4574">
        <v>2.7209990027081998</v>
      </c>
      <c r="AG4574">
        <v>-1.1105385728070001</v>
      </c>
      <c r="AH4574">
        <v>29.472449492063799</v>
      </c>
      <c r="AI4574">
        <v>92.148786815966901</v>
      </c>
      <c r="AJ4574">
        <v>84.725207308165807</v>
      </c>
      <c r="AK4574">
        <v>29.618615946000698</v>
      </c>
      <c r="AL4574">
        <v>79.044356313328095</v>
      </c>
      <c r="AM4574">
        <v>92.930196042419297</v>
      </c>
      <c r="AN4574">
        <v>1.0000000098397499</v>
      </c>
    </row>
    <row r="4575" spans="1:40" x14ac:dyDescent="0.25">
      <c r="A4575" t="str">
        <f>"20190304155506679"</f>
        <v>20190304155506679</v>
      </c>
      <c r="B4575" t="str">
        <f>"1551686106672014"</f>
        <v>1551686106672014</v>
      </c>
      <c r="C4575" t="s">
        <v>40</v>
      </c>
      <c r="D4575">
        <v>4.5614739999999996</v>
      </c>
      <c r="E4575">
        <v>0.55325829999999998</v>
      </c>
      <c r="F4575" t="s">
        <v>46</v>
      </c>
      <c r="G4575">
        <v>-320.68040000000002</v>
      </c>
      <c r="H4575" s="1">
        <v>-5.3630269999999998E-6</v>
      </c>
      <c r="I4575">
        <v>14.10791</v>
      </c>
      <c r="J4575">
        <v>-349.47739999999999</v>
      </c>
      <c r="K4575">
        <v>1.110533</v>
      </c>
      <c r="L4575">
        <v>17.22626</v>
      </c>
      <c r="M4575">
        <v>0.99979340000000005</v>
      </c>
      <c r="N4575">
        <v>-1.376931E-2</v>
      </c>
      <c r="O4575">
        <v>-1.495283E-2</v>
      </c>
      <c r="P4575">
        <v>0.98372409999999999</v>
      </c>
      <c r="Q4575">
        <v>0.17607639999999999</v>
      </c>
      <c r="R4575">
        <v>3.5833009999999998E-2</v>
      </c>
      <c r="S4575">
        <v>3.0829770000000001</v>
      </c>
      <c r="T4575">
        <v>-0.11788940000000001</v>
      </c>
      <c r="U4575">
        <v>-0.33142090000000002</v>
      </c>
      <c r="V4575">
        <v>-5.052073E-2</v>
      </c>
      <c r="W4575">
        <v>0.18960089999999999</v>
      </c>
      <c r="X4575">
        <v>0.9805606</v>
      </c>
      <c r="Y4575">
        <v>9.1917780000000004E-2</v>
      </c>
      <c r="Z4575">
        <v>-2.0222209999999998E-3</v>
      </c>
      <c r="AA4575">
        <v>0.9957646</v>
      </c>
      <c r="AB4575">
        <v>24</v>
      </c>
      <c r="AC4575">
        <v>28.796999999999901</v>
      </c>
      <c r="AD4575">
        <v>-1.110538363027</v>
      </c>
      <c r="AE4575">
        <v>-3.1183499999999902</v>
      </c>
      <c r="AF4575">
        <v>2.6834192808044701</v>
      </c>
      <c r="AG4575">
        <v>-1.110538363027</v>
      </c>
      <c r="AH4575">
        <v>28.7980800379318</v>
      </c>
      <c r="AI4575">
        <v>92.198882929506297</v>
      </c>
      <c r="AJ4575">
        <v>84.676522750509903</v>
      </c>
      <c r="AK4575">
        <v>28.9441435935402</v>
      </c>
      <c r="AL4575">
        <v>79.070505542630997</v>
      </c>
      <c r="AM4575">
        <v>92.949401978155905</v>
      </c>
      <c r="AN4575">
        <v>0.99999996785645096</v>
      </c>
    </row>
    <row r="4576" spans="1:40" x14ac:dyDescent="0.25">
      <c r="A4576" t="str">
        <f>"20190304155506701"</f>
        <v>20190304155506701</v>
      </c>
      <c r="B4576" t="str">
        <f>"1551686106692510"</f>
        <v>1551686106692510</v>
      </c>
      <c r="C4576" t="s">
        <v>40</v>
      </c>
      <c r="D4576">
        <v>4.5753009999999996</v>
      </c>
      <c r="E4576">
        <v>0.55367519999999903</v>
      </c>
      <c r="F4576" t="s">
        <v>46</v>
      </c>
      <c r="G4576">
        <v>-320.53809999999999</v>
      </c>
      <c r="H4576" s="1">
        <v>-5.4312069999999998E-6</v>
      </c>
      <c r="I4576">
        <v>14.10267</v>
      </c>
      <c r="J4576">
        <v>-349.24599999999998</v>
      </c>
      <c r="K4576">
        <v>1.110533</v>
      </c>
      <c r="L4576">
        <v>17.222750000000001</v>
      </c>
      <c r="M4576">
        <v>0.99979289999999998</v>
      </c>
      <c r="N4576">
        <v>-1.376723E-2</v>
      </c>
      <c r="O4576">
        <v>-1.4989529999999999E-2</v>
      </c>
      <c r="P4576">
        <v>0.98368129999999998</v>
      </c>
      <c r="Q4576">
        <v>0.1761953</v>
      </c>
      <c r="R4576">
        <v>3.6420960000000002E-2</v>
      </c>
      <c r="S4576">
        <v>3.0829770000000001</v>
      </c>
      <c r="T4576">
        <v>-0.1183087</v>
      </c>
      <c r="U4576">
        <v>-0.3327637</v>
      </c>
      <c r="V4576">
        <v>-5.1144229999999999E-2</v>
      </c>
      <c r="W4576">
        <v>0.189717</v>
      </c>
      <c r="X4576">
        <v>0.98050579999999998</v>
      </c>
      <c r="Y4576">
        <v>9.2309069999999993E-2</v>
      </c>
      <c r="Z4576">
        <v>-2.0355659999999999E-3</v>
      </c>
      <c r="AA4576">
        <v>0.99572830000000001</v>
      </c>
      <c r="AB4576">
        <v>24</v>
      </c>
      <c r="AC4576">
        <v>28.707899999999899</v>
      </c>
      <c r="AD4576">
        <v>-1.1105384312069999</v>
      </c>
      <c r="AE4576">
        <v>-3.1200800000000002</v>
      </c>
      <c r="AF4576">
        <v>2.6853990231373999</v>
      </c>
      <c r="AG4576">
        <v>-1.1105384312069999</v>
      </c>
      <c r="AH4576">
        <v>28.708986812551899</v>
      </c>
      <c r="AI4576">
        <v>92.205627140414705</v>
      </c>
      <c r="AJ4576">
        <v>84.656180826302901</v>
      </c>
      <c r="AK4576">
        <v>28.855685528573702</v>
      </c>
      <c r="AL4576">
        <v>79.063730317437106</v>
      </c>
      <c r="AM4576">
        <v>92.985903038160203</v>
      </c>
      <c r="AN4576">
        <v>0.99999994809246495</v>
      </c>
    </row>
    <row r="4577" spans="1:40" x14ac:dyDescent="0.25">
      <c r="A4577" t="str">
        <f>"20190304155506723"</f>
        <v>20190304155506723</v>
      </c>
      <c r="B4577" t="str">
        <f>"1551686106712033"</f>
        <v>1551686106712033</v>
      </c>
      <c r="C4577" t="s">
        <v>40</v>
      </c>
      <c r="D4577">
        <v>4.5147510000000004</v>
      </c>
      <c r="E4577">
        <v>0.55409659999999905</v>
      </c>
      <c r="F4577" t="s">
        <v>46</v>
      </c>
      <c r="G4577">
        <v>-319.98599999999999</v>
      </c>
      <c r="H4577" s="1">
        <v>-5.7018150000000004E-6</v>
      </c>
      <c r="I4577">
        <v>14.048450000000001</v>
      </c>
      <c r="J4577">
        <v>-349.01080000000002</v>
      </c>
      <c r="K4577">
        <v>1.1105320000000001</v>
      </c>
      <c r="L4577">
        <v>17.219179999999898</v>
      </c>
      <c r="M4577">
        <v>0.99979249999999997</v>
      </c>
      <c r="N4577">
        <v>-1.3765039999999999E-2</v>
      </c>
      <c r="O4577">
        <v>-1.502647E-2</v>
      </c>
      <c r="P4577">
        <v>0.9836897</v>
      </c>
      <c r="Q4577">
        <v>0.17607159999999999</v>
      </c>
      <c r="R4577">
        <v>3.6790339999999998E-2</v>
      </c>
      <c r="S4577">
        <v>3.0830989999999998</v>
      </c>
      <c r="T4577">
        <v>-0.1170162</v>
      </c>
      <c r="U4577">
        <v>-0.33447270000000001</v>
      </c>
      <c r="V4577">
        <v>-5.1550390000000001E-2</v>
      </c>
      <c r="W4577">
        <v>0.1895915</v>
      </c>
      <c r="X4577">
        <v>0.98050890000000002</v>
      </c>
      <c r="Y4577">
        <v>9.2814729999999998E-2</v>
      </c>
      <c r="Z4577">
        <v>-2.034512E-3</v>
      </c>
      <c r="AA4577">
        <v>0.99568129999999999</v>
      </c>
      <c r="AB4577">
        <v>24</v>
      </c>
      <c r="AC4577">
        <v>29.024799999999999</v>
      </c>
      <c r="AD4577">
        <v>-1.110537701815</v>
      </c>
      <c r="AE4577">
        <v>-3.1707299999999901</v>
      </c>
      <c r="AF4577">
        <v>2.7302405852444398</v>
      </c>
      <c r="AG4577">
        <v>-1.110537701815</v>
      </c>
      <c r="AH4577">
        <v>29.027178375242499</v>
      </c>
      <c r="AI4577">
        <v>92.181366185227503</v>
      </c>
      <c r="AJ4577">
        <v>84.626677722580396</v>
      </c>
      <c r="AK4577">
        <v>29.176438988824799</v>
      </c>
      <c r="AL4577">
        <v>79.071054884443299</v>
      </c>
      <c r="AM4577">
        <v>93.009562557376796</v>
      </c>
      <c r="AN4577">
        <v>1.0000000412803001</v>
      </c>
    </row>
    <row r="4578" spans="1:40" x14ac:dyDescent="0.25">
      <c r="A4578" t="str">
        <f>"20190304155506745"</f>
        <v>20190304155506745</v>
      </c>
      <c r="B4578" t="str">
        <f>"1551686106742288"</f>
        <v>1551686106742288</v>
      </c>
      <c r="C4578" t="s">
        <v>40</v>
      </c>
      <c r="D4578">
        <v>4.5426589999999996</v>
      </c>
      <c r="E4578">
        <v>0.55473380000000005</v>
      </c>
      <c r="F4578" t="s">
        <v>47</v>
      </c>
      <c r="G4578">
        <v>-318.40780000000001</v>
      </c>
      <c r="H4578">
        <v>-0.05</v>
      </c>
      <c r="I4578">
        <v>13.879099999999999</v>
      </c>
      <c r="J4578">
        <v>-348.78550000000001</v>
      </c>
      <c r="K4578">
        <v>1.1105339999999999</v>
      </c>
      <c r="L4578">
        <v>17.21576</v>
      </c>
      <c r="M4578">
        <v>0.99979189999999996</v>
      </c>
      <c r="N4578">
        <v>-1.376279E-2</v>
      </c>
      <c r="O4578">
        <v>-1.5061980000000001E-2</v>
      </c>
      <c r="P4578">
        <v>0.98366220000000004</v>
      </c>
      <c r="Q4578">
        <v>0.17612439999999999</v>
      </c>
      <c r="R4578">
        <v>3.7272670000000001E-2</v>
      </c>
      <c r="S4578">
        <v>3.083313</v>
      </c>
      <c r="T4578">
        <v>-0.11692610000000001</v>
      </c>
      <c r="U4578">
        <v>-0.33651730000000002</v>
      </c>
      <c r="V4578">
        <v>-5.206744E-2</v>
      </c>
      <c r="W4578">
        <v>0.18964120000000001</v>
      </c>
      <c r="X4578">
        <v>0.98047189999999995</v>
      </c>
      <c r="Y4578">
        <v>9.3424049999999995E-2</v>
      </c>
      <c r="Z4578">
        <v>-2.0482199999999999E-3</v>
      </c>
      <c r="AA4578">
        <v>0.99562430000000002</v>
      </c>
      <c r="AB4578">
        <v>24</v>
      </c>
      <c r="AC4578">
        <v>30.377700000000001</v>
      </c>
      <c r="AD4578">
        <v>-1.160534</v>
      </c>
      <c r="AE4578">
        <v>-3.33665999999999</v>
      </c>
      <c r="AF4578">
        <v>2.8745443999153801</v>
      </c>
      <c r="AG4578">
        <v>-1.160534</v>
      </c>
      <c r="AH4578">
        <v>30.380702577228199</v>
      </c>
      <c r="AI4578">
        <v>92.177900817768702</v>
      </c>
      <c r="AJ4578">
        <v>84.594911125294004</v>
      </c>
      <c r="AK4578">
        <v>30.538450087688499</v>
      </c>
      <c r="AL4578">
        <v>79.068153934417595</v>
      </c>
      <c r="AM4578">
        <v>93.039806610984499</v>
      </c>
      <c r="AN4578">
        <v>0.99999997486760095</v>
      </c>
    </row>
    <row r="4579" spans="1:40" x14ac:dyDescent="0.25">
      <c r="A4579" t="str">
        <f>"20190304155506768"</f>
        <v>20190304155506768</v>
      </c>
      <c r="B4579" t="str">
        <f>"1551686106761806"</f>
        <v>1551686106761806</v>
      </c>
      <c r="C4579" t="s">
        <v>40</v>
      </c>
      <c r="D4579">
        <v>4.5639200000000004</v>
      </c>
      <c r="E4579">
        <v>0.55499869999999996</v>
      </c>
      <c r="F4579" t="s">
        <v>47</v>
      </c>
      <c r="G4579">
        <v>-317.69490000000002</v>
      </c>
      <c r="H4579">
        <v>-0.05</v>
      </c>
      <c r="I4579">
        <v>13.78407</v>
      </c>
      <c r="J4579">
        <v>-348.53629999999998</v>
      </c>
      <c r="K4579">
        <v>1.1105339999999999</v>
      </c>
      <c r="L4579">
        <v>17.211980000000001</v>
      </c>
      <c r="M4579">
        <v>0.99979130000000005</v>
      </c>
      <c r="N4579">
        <v>-1.376049E-2</v>
      </c>
      <c r="O4579">
        <v>-1.5101059999999999E-2</v>
      </c>
      <c r="P4579">
        <v>0.98363409999999996</v>
      </c>
      <c r="Q4579">
        <v>0.17621709999999999</v>
      </c>
      <c r="R4579">
        <v>3.757431E-2</v>
      </c>
      <c r="S4579">
        <v>3.0833740000000001</v>
      </c>
      <c r="T4579">
        <v>-0.1150943</v>
      </c>
      <c r="U4579">
        <v>-0.34033200000000002</v>
      </c>
      <c r="V4579">
        <v>-5.240686E-2</v>
      </c>
      <c r="W4579">
        <v>0.18973200000000001</v>
      </c>
      <c r="X4579">
        <v>0.98043630000000004</v>
      </c>
      <c r="Y4579">
        <v>9.4601210000000005E-2</v>
      </c>
      <c r="Z4579">
        <v>-2.0583770000000001E-3</v>
      </c>
      <c r="AA4579">
        <v>0.99551310000000004</v>
      </c>
      <c r="AB4579">
        <v>24</v>
      </c>
      <c r="AC4579">
        <v>30.841399999999901</v>
      </c>
      <c r="AD4579">
        <v>-1.160534</v>
      </c>
      <c r="AE4579">
        <v>-3.42790999999999</v>
      </c>
      <c r="AF4579">
        <v>2.9576004183082598</v>
      </c>
      <c r="AG4579">
        <v>-1.160534</v>
      </c>
      <c r="AH4579">
        <v>30.846508444144899</v>
      </c>
      <c r="AI4579">
        <v>92.144788178674602</v>
      </c>
      <c r="AJ4579">
        <v>84.523153894096694</v>
      </c>
      <c r="AK4579">
        <v>31.009697234804399</v>
      </c>
      <c r="AL4579">
        <v>79.062855829155495</v>
      </c>
      <c r="AM4579">
        <v>93.059696019885806</v>
      </c>
      <c r="AN4579">
        <v>1.00000002457837</v>
      </c>
    </row>
    <row r="4580" spans="1:40" x14ac:dyDescent="0.25">
      <c r="A4580" t="str">
        <f>"20190304155506792"</f>
        <v>20190304155506792</v>
      </c>
      <c r="B4580" t="str">
        <f>"1551686106782302"</f>
        <v>1551686106782302</v>
      </c>
      <c r="C4580" t="s">
        <v>40</v>
      </c>
      <c r="D4580">
        <v>4.5593510000000004</v>
      </c>
      <c r="E4580">
        <v>0.55521880000000001</v>
      </c>
      <c r="F4580" t="s">
        <v>47</v>
      </c>
      <c r="G4580">
        <v>-317.28500000000003</v>
      </c>
      <c r="H4580">
        <v>-0.05</v>
      </c>
      <c r="I4580">
        <v>13.74968</v>
      </c>
      <c r="J4580">
        <v>-348.29910000000001</v>
      </c>
      <c r="K4580">
        <v>1.1105320000000001</v>
      </c>
      <c r="L4580">
        <v>17.208310000000001</v>
      </c>
      <c r="M4580">
        <v>0.99979090000000004</v>
      </c>
      <c r="N4580">
        <v>-1.3758370000000001E-2</v>
      </c>
      <c r="O4580">
        <v>-1.513859E-2</v>
      </c>
      <c r="P4580">
        <v>0.98365519999999995</v>
      </c>
      <c r="Q4580">
        <v>0.17613029999999999</v>
      </c>
      <c r="R4580">
        <v>3.7432479999999997E-2</v>
      </c>
      <c r="S4580">
        <v>3.083466</v>
      </c>
      <c r="T4580">
        <v>-0.1145062</v>
      </c>
      <c r="U4580">
        <v>-0.34161380000000002</v>
      </c>
      <c r="V4580">
        <v>-5.2302120000000001E-2</v>
      </c>
      <c r="W4580">
        <v>0.18964300000000001</v>
      </c>
      <c r="X4580">
        <v>0.98045910000000003</v>
      </c>
      <c r="Y4580">
        <v>9.4969819999999996E-2</v>
      </c>
      <c r="Z4580">
        <v>-2.0605659999999998E-3</v>
      </c>
      <c r="AA4580">
        <v>0.99547799999999997</v>
      </c>
      <c r="AB4580">
        <v>24</v>
      </c>
      <c r="AC4580">
        <v>31.0140999999999</v>
      </c>
      <c r="AD4580">
        <v>-1.1605319999999999</v>
      </c>
      <c r="AE4580">
        <v>-3.4586299999999999</v>
      </c>
      <c r="AF4580">
        <v>2.9845517769138099</v>
      </c>
      <c r="AG4580">
        <v>-1.1605319999999999</v>
      </c>
      <c r="AH4580">
        <v>31.0200077327302</v>
      </c>
      <c r="AI4580">
        <v>92.132732073768494</v>
      </c>
      <c r="AJ4580">
        <v>84.504273737437401</v>
      </c>
      <c r="AK4580">
        <v>31.184856317942899</v>
      </c>
      <c r="AL4580">
        <v>79.068049317782695</v>
      </c>
      <c r="AM4580">
        <v>93.053521641198401</v>
      </c>
      <c r="AN4580">
        <v>1.00000001298915</v>
      </c>
    </row>
    <row r="4581" spans="1:40" x14ac:dyDescent="0.25">
      <c r="A4581" t="str">
        <f>"20190304155506813"</f>
        <v>20190304155506813</v>
      </c>
      <c r="B4581" t="str">
        <f>"1551686106801826"</f>
        <v>1551686106801826</v>
      </c>
      <c r="C4581" t="s">
        <v>40</v>
      </c>
      <c r="D4581">
        <v>4.5606260000000001</v>
      </c>
      <c r="E4581">
        <v>0.55543540000000002</v>
      </c>
      <c r="F4581" t="s">
        <v>47</v>
      </c>
      <c r="G4581">
        <v>-317.02190000000002</v>
      </c>
      <c r="H4581">
        <v>-0.05</v>
      </c>
      <c r="I4581">
        <v>13.721730000000001</v>
      </c>
      <c r="J4581">
        <v>-348.0686</v>
      </c>
      <c r="K4581">
        <v>1.1105320000000001</v>
      </c>
      <c r="L4581">
        <v>17.20477</v>
      </c>
      <c r="M4581">
        <v>0.99979030000000002</v>
      </c>
      <c r="N4581">
        <v>-1.3756229999999999E-2</v>
      </c>
      <c r="O4581">
        <v>-1.5174699999999999E-2</v>
      </c>
      <c r="P4581">
        <v>0.98368849999999997</v>
      </c>
      <c r="Q4581">
        <v>0.1759848</v>
      </c>
      <c r="R4581">
        <v>3.7239420000000002E-2</v>
      </c>
      <c r="S4581">
        <v>3.083405</v>
      </c>
      <c r="T4581">
        <v>-0.11440889999999999</v>
      </c>
      <c r="U4581">
        <v>-0.34371950000000001</v>
      </c>
      <c r="V4581">
        <v>-5.214514E-2</v>
      </c>
      <c r="W4581">
        <v>0.189496</v>
      </c>
      <c r="X4581">
        <v>0.98049589999999998</v>
      </c>
      <c r="Y4581">
        <v>9.5607079999999997E-2</v>
      </c>
      <c r="Z4581">
        <v>-2.074752E-3</v>
      </c>
      <c r="AA4581">
        <v>0.995417</v>
      </c>
      <c r="AB4581">
        <v>24</v>
      </c>
      <c r="AC4581">
        <v>31.046699999999898</v>
      </c>
      <c r="AD4581">
        <v>-1.1605319999999999</v>
      </c>
      <c r="AE4581">
        <v>-3.4830399999999999</v>
      </c>
      <c r="AF4581">
        <v>3.0073201349145</v>
      </c>
      <c r="AG4581">
        <v>-1.1605319999999999</v>
      </c>
      <c r="AH4581">
        <v>31.053133020536801</v>
      </c>
      <c r="AI4581">
        <v>92.130330764914206</v>
      </c>
      <c r="AJ4581">
        <v>84.468478138431607</v>
      </c>
      <c r="AK4581">
        <v>31.219991660921998</v>
      </c>
      <c r="AL4581">
        <v>79.0766275255843</v>
      </c>
      <c r="AM4581">
        <v>93.044259996383104</v>
      </c>
      <c r="AN4581">
        <v>1.00000002977921</v>
      </c>
    </row>
    <row r="4582" spans="1:40" x14ac:dyDescent="0.25">
      <c r="A4582" t="str">
        <f>"20190304155506835"</f>
        <v>20190304155506835</v>
      </c>
      <c r="B4582" t="str">
        <f>"1551686106832078"</f>
        <v>1551686106832078</v>
      </c>
      <c r="C4582" t="s">
        <v>40</v>
      </c>
      <c r="D4582">
        <v>4.5488949999999999</v>
      </c>
      <c r="E4582">
        <v>0.55553900000000001</v>
      </c>
      <c r="F4582" t="s">
        <v>47</v>
      </c>
      <c r="G4582">
        <v>-316.62139999999999</v>
      </c>
      <c r="H4582">
        <v>-0.05</v>
      </c>
      <c r="I4582">
        <v>13.6707</v>
      </c>
      <c r="J4582">
        <v>-347.83859999999999</v>
      </c>
      <c r="K4582">
        <v>1.110533</v>
      </c>
      <c r="L4582">
        <v>17.201229999999999</v>
      </c>
      <c r="M4582">
        <v>0.99978979999999995</v>
      </c>
      <c r="N4582">
        <v>-1.375403E-2</v>
      </c>
      <c r="O4582">
        <v>-1.5210919999999999E-2</v>
      </c>
      <c r="P4582">
        <v>0.98375860000000004</v>
      </c>
      <c r="Q4582">
        <v>0.17566909999999999</v>
      </c>
      <c r="R4582">
        <v>3.6871729999999998E-2</v>
      </c>
      <c r="S4582">
        <v>3.083221</v>
      </c>
      <c r="T4582">
        <v>-0.1137836</v>
      </c>
      <c r="U4582">
        <v>-0.34649659999999999</v>
      </c>
      <c r="V4582">
        <v>-5.1814069999999997E-2</v>
      </c>
      <c r="W4582">
        <v>0.18917909999999999</v>
      </c>
      <c r="X4582">
        <v>0.98057459999999996</v>
      </c>
      <c r="Y4582">
        <v>9.6462980000000004E-2</v>
      </c>
      <c r="Z4582">
        <v>-2.0888669999999999E-3</v>
      </c>
      <c r="AA4582">
        <v>0.99533439999999995</v>
      </c>
      <c r="AB4582">
        <v>24</v>
      </c>
      <c r="AC4582">
        <v>31.217199999999899</v>
      </c>
      <c r="AD4582">
        <v>-1.160533</v>
      </c>
      <c r="AE4582">
        <v>-3.53052999999999</v>
      </c>
      <c r="AF4582">
        <v>3.0510707483636201</v>
      </c>
      <c r="AG4582">
        <v>-1.160533</v>
      </c>
      <c r="AH4582">
        <v>31.224685990622401</v>
      </c>
      <c r="AI4582">
        <v>92.118461669357501</v>
      </c>
      <c r="AJ4582">
        <v>84.419150451703501</v>
      </c>
      <c r="AK4582">
        <v>31.394854431396599</v>
      </c>
      <c r="AL4582">
        <v>79.095118569114703</v>
      </c>
      <c r="AM4582">
        <v>93.024725640580201</v>
      </c>
      <c r="AN4582">
        <v>0.99999998794596701</v>
      </c>
    </row>
    <row r="4583" spans="1:40" x14ac:dyDescent="0.25">
      <c r="A4583" t="str">
        <f>"20190304155506856"</f>
        <v>20190304155506856</v>
      </c>
      <c r="B4583" t="str">
        <f>"1551686106852574"</f>
        <v>1551686106852574</v>
      </c>
      <c r="C4583" t="s">
        <v>40</v>
      </c>
      <c r="D4583">
        <v>4.5565810000000004</v>
      </c>
      <c r="E4583">
        <v>0.55566380000000004</v>
      </c>
      <c r="F4583" t="s">
        <v>47</v>
      </c>
      <c r="G4583">
        <v>-316.58519999999999</v>
      </c>
      <c r="H4583">
        <v>-0.05</v>
      </c>
      <c r="I4583">
        <v>13.66858</v>
      </c>
      <c r="J4583">
        <v>-347.61200000000002</v>
      </c>
      <c r="K4583">
        <v>1.1105320000000001</v>
      </c>
      <c r="L4583">
        <v>17.197779999999899</v>
      </c>
      <c r="M4583">
        <v>0.99978920000000004</v>
      </c>
      <c r="N4583">
        <v>-1.375184E-2</v>
      </c>
      <c r="O4583">
        <v>-1.5246539999999999E-2</v>
      </c>
      <c r="P4583">
        <v>0.98372380000000004</v>
      </c>
      <c r="Q4583">
        <v>0.1758574</v>
      </c>
      <c r="R4583">
        <v>3.6902440000000002E-2</v>
      </c>
      <c r="S4583">
        <v>3.083008</v>
      </c>
      <c r="T4583">
        <v>-0.11448129999999999</v>
      </c>
      <c r="U4583">
        <v>-0.34848020000000002</v>
      </c>
      <c r="V4583">
        <v>-5.1879500000000002E-2</v>
      </c>
      <c r="W4583">
        <v>0.1893649</v>
      </c>
      <c r="X4583">
        <v>0.9805353</v>
      </c>
      <c r="Y4583">
        <v>9.706613E-2</v>
      </c>
      <c r="Z4583">
        <v>-2.1107230000000001E-3</v>
      </c>
      <c r="AA4583">
        <v>0.99527569999999999</v>
      </c>
      <c r="AB4583">
        <v>23</v>
      </c>
      <c r="AC4583">
        <v>31.026799999999898</v>
      </c>
      <c r="AD4583">
        <v>-1.1605319999999999</v>
      </c>
      <c r="AE4583">
        <v>-3.5291999999999901</v>
      </c>
      <c r="AF4583">
        <v>3.0514789153361002</v>
      </c>
      <c r="AG4583">
        <v>-1.1605319999999999</v>
      </c>
      <c r="AH4583">
        <v>31.034141662945402</v>
      </c>
      <c r="AI4583">
        <v>92.131328115318496</v>
      </c>
      <c r="AJ4583">
        <v>84.384356939740798</v>
      </c>
      <c r="AK4583">
        <v>31.2053890674276</v>
      </c>
      <c r="AL4583">
        <v>79.084277306425307</v>
      </c>
      <c r="AM4583">
        <v>93.028659269186406</v>
      </c>
      <c r="AN4583">
        <v>1.00000001120917</v>
      </c>
    </row>
    <row r="4584" spans="1:40" x14ac:dyDescent="0.25">
      <c r="A4584" t="str">
        <f>"20190304155506879"</f>
        <v>20190304155506879</v>
      </c>
      <c r="B4584" t="str">
        <f>"1551686106872751"</f>
        <v>1551686106872751</v>
      </c>
      <c r="C4584" t="s">
        <v>40</v>
      </c>
      <c r="D4584">
        <v>4.5408239999999997</v>
      </c>
      <c r="E4584">
        <v>0.55581749999999996</v>
      </c>
      <c r="F4584" t="s">
        <v>47</v>
      </c>
      <c r="G4584">
        <v>-316.1653</v>
      </c>
      <c r="H4584">
        <v>-0.05</v>
      </c>
      <c r="I4584">
        <v>13.636200000000001</v>
      </c>
      <c r="J4584">
        <v>-347.37189999999998</v>
      </c>
      <c r="K4584">
        <v>1.110536</v>
      </c>
      <c r="L4584">
        <v>17.19406</v>
      </c>
      <c r="M4584">
        <v>0.99978869999999997</v>
      </c>
      <c r="N4584">
        <v>-1.3749529999999999E-2</v>
      </c>
      <c r="O4584">
        <v>-1.528443E-2</v>
      </c>
      <c r="P4584">
        <v>0.98372859999999995</v>
      </c>
      <c r="Q4584">
        <v>0.1758847</v>
      </c>
      <c r="R4584">
        <v>3.664415E-2</v>
      </c>
      <c r="S4584">
        <v>3.0830690000000001</v>
      </c>
      <c r="T4584">
        <v>-0.11377950000000001</v>
      </c>
      <c r="U4584">
        <v>-0.3491821</v>
      </c>
      <c r="V4584">
        <v>-5.165811E-2</v>
      </c>
      <c r="W4584">
        <v>0.1893898</v>
      </c>
      <c r="X4584">
        <v>0.98054220000000003</v>
      </c>
      <c r="Y4584">
        <v>9.7250660000000003E-2</v>
      </c>
      <c r="Z4584">
        <v>-2.1067859999999998E-3</v>
      </c>
      <c r="AA4584">
        <v>0.99525770000000002</v>
      </c>
      <c r="AB4584">
        <v>23</v>
      </c>
      <c r="AC4584">
        <v>31.206599999999899</v>
      </c>
      <c r="AD4584">
        <v>-1.160536</v>
      </c>
      <c r="AE4584">
        <v>-3.5578599999999998</v>
      </c>
      <c r="AF4584">
        <v>3.0762243061932901</v>
      </c>
      <c r="AG4584">
        <v>-1.160536</v>
      </c>
      <c r="AH4584">
        <v>31.214722713771799</v>
      </c>
      <c r="AI4584">
        <v>92.118970470618294</v>
      </c>
      <c r="AJ4584">
        <v>84.3716506056019</v>
      </c>
      <c r="AK4584">
        <v>31.387400559571301</v>
      </c>
      <c r="AL4584">
        <v>79.082824571704194</v>
      </c>
      <c r="AM4584">
        <v>93.015737528569005</v>
      </c>
      <c r="AN4584">
        <v>1.00000003132682</v>
      </c>
    </row>
    <row r="4585" spans="1:40" x14ac:dyDescent="0.25">
      <c r="A4585" t="str">
        <f>"20190304155506903"</f>
        <v>20190304155506903</v>
      </c>
      <c r="B4585" t="str">
        <f>"1551686106892271"</f>
        <v>1551686106892271</v>
      </c>
      <c r="C4585" t="s">
        <v>40</v>
      </c>
      <c r="D4585">
        <v>4.5059189999999996</v>
      </c>
      <c r="E4585">
        <v>0.55593149999999902</v>
      </c>
      <c r="F4585" t="s">
        <v>47</v>
      </c>
      <c r="G4585">
        <v>-315.82470000000001</v>
      </c>
      <c r="H4585">
        <v>-0.05</v>
      </c>
      <c r="I4585">
        <v>13.60223</v>
      </c>
      <c r="J4585">
        <v>-347.13249999999999</v>
      </c>
      <c r="K4585">
        <v>1.110536</v>
      </c>
      <c r="L4585">
        <v>17.190339999999999</v>
      </c>
      <c r="M4585">
        <v>0.99978800000000001</v>
      </c>
      <c r="N4585">
        <v>-1.3747240000000001E-2</v>
      </c>
      <c r="O4585">
        <v>-1.532172E-2</v>
      </c>
      <c r="P4585">
        <v>0.98364529999999994</v>
      </c>
      <c r="Q4585">
        <v>0.1764202</v>
      </c>
      <c r="R4585">
        <v>3.630365E-2</v>
      </c>
      <c r="S4585">
        <v>3.0829770000000001</v>
      </c>
      <c r="T4585">
        <v>-0.11341420000000001</v>
      </c>
      <c r="U4585">
        <v>-0.35101320000000003</v>
      </c>
      <c r="V4585">
        <v>-5.135348E-2</v>
      </c>
      <c r="W4585">
        <v>0.1899216</v>
      </c>
      <c r="X4585">
        <v>0.98045530000000003</v>
      </c>
      <c r="Y4585">
        <v>9.7800349999999994E-2</v>
      </c>
      <c r="Z4585">
        <v>-2.1157260000000001E-3</v>
      </c>
      <c r="AA4585">
        <v>0.99520379999999997</v>
      </c>
      <c r="AB4585">
        <v>23</v>
      </c>
      <c r="AC4585">
        <v>31.307799999999901</v>
      </c>
      <c r="AD4585">
        <v>-1.160536</v>
      </c>
      <c r="AE4585">
        <v>-3.5881099999999999</v>
      </c>
      <c r="AF4585">
        <v>3.1037444985422602</v>
      </c>
      <c r="AG4585">
        <v>-1.160536</v>
      </c>
      <c r="AH4585">
        <v>31.3166317925063</v>
      </c>
      <c r="AI4585">
        <v>92.111966018124406</v>
      </c>
      <c r="AJ4585">
        <v>84.339984591748802</v>
      </c>
      <c r="AK4585">
        <v>31.4914512296106</v>
      </c>
      <c r="AL4585">
        <v>79.051791039722801</v>
      </c>
      <c r="AM4585">
        <v>92.998251372183006</v>
      </c>
      <c r="AN4585">
        <v>0.99999999467638001</v>
      </c>
    </row>
    <row r="4586" spans="1:40" x14ac:dyDescent="0.25">
      <c r="A4586" t="str">
        <f>"20190304155506915"</f>
        <v>20190304155506915</v>
      </c>
      <c r="B4586" t="str">
        <f>"1551686106911791"</f>
        <v>1551686106911791</v>
      </c>
      <c r="C4586" t="s">
        <v>40</v>
      </c>
      <c r="D4586">
        <v>4.7623829999999998</v>
      </c>
      <c r="E4586">
        <v>0.55593119999999996</v>
      </c>
      <c r="F4586" t="s">
        <v>47</v>
      </c>
      <c r="G4586">
        <v>-314.91300000000001</v>
      </c>
      <c r="H4586">
        <v>-0.05</v>
      </c>
      <c r="I4586">
        <v>13.50075</v>
      </c>
      <c r="J4586">
        <v>-346.98829999999998</v>
      </c>
      <c r="K4586">
        <v>1.1105389999999999</v>
      </c>
      <c r="L4586">
        <v>17.188110000000002</v>
      </c>
      <c r="M4586">
        <v>0.9997878</v>
      </c>
      <c r="N4586">
        <v>-1.374584E-2</v>
      </c>
      <c r="O4586">
        <v>-1.5344480000000001E-2</v>
      </c>
      <c r="P4586">
        <v>0.98365899999999995</v>
      </c>
      <c r="Q4586">
        <v>0.176347799999999</v>
      </c>
      <c r="R4586">
        <v>3.6283490000000002E-2</v>
      </c>
      <c r="S4586">
        <v>3.0828250000000001</v>
      </c>
      <c r="T4586">
        <v>-0.1110424</v>
      </c>
      <c r="U4586">
        <v>-0.35302729999999999</v>
      </c>
      <c r="V4586">
        <v>-5.1356100000000002E-2</v>
      </c>
      <c r="W4586">
        <v>0.18984809999999999</v>
      </c>
      <c r="X4586">
        <v>0.98046940000000005</v>
      </c>
      <c r="Y4586">
        <v>9.8427470000000003E-2</v>
      </c>
      <c r="Z4586">
        <v>-2.1050090000000001E-3</v>
      </c>
      <c r="AA4586">
        <v>0.99514199999999997</v>
      </c>
      <c r="AB4586">
        <v>23</v>
      </c>
      <c r="AC4586">
        <v>32.075299999999899</v>
      </c>
      <c r="AD4586">
        <v>-1.160539</v>
      </c>
      <c r="AE4586">
        <v>-3.68736</v>
      </c>
      <c r="AF4586">
        <v>3.1905781434940299</v>
      </c>
      <c r="AG4586">
        <v>-1.160539</v>
      </c>
      <c r="AH4586">
        <v>32.086651664000598</v>
      </c>
      <c r="AI4586">
        <v>92.061265984724898</v>
      </c>
      <c r="AJ4586">
        <v>84.321386102749699</v>
      </c>
      <c r="AK4586">
        <v>32.265769085319803</v>
      </c>
      <c r="AL4586">
        <v>79.056080345130496</v>
      </c>
      <c r="AM4586">
        <v>92.998361019692396</v>
      </c>
      <c r="AN4586">
        <v>0.99999999720859001</v>
      </c>
    </row>
    <row r="4587" spans="1:40" x14ac:dyDescent="0.25">
      <c r="A4587" t="str">
        <f>"20190304155506935"</f>
        <v>20190304155506935</v>
      </c>
      <c r="B4587" t="str">
        <f>"1551686106932287"</f>
        <v>1551686106932287</v>
      </c>
      <c r="C4587" t="s">
        <v>40</v>
      </c>
      <c r="D4587">
        <v>4.7444309999999996</v>
      </c>
      <c r="E4587">
        <v>0.58644619999999903</v>
      </c>
      <c r="F4587" t="s">
        <v>47</v>
      </c>
      <c r="G4587">
        <v>-314.70190000000002</v>
      </c>
      <c r="H4587">
        <v>-0.05</v>
      </c>
      <c r="I4587">
        <v>13.490069999999999</v>
      </c>
      <c r="J4587">
        <v>-346.7937</v>
      </c>
      <c r="K4587">
        <v>1.1105480000000001</v>
      </c>
      <c r="L4587">
        <v>17.185089999999999</v>
      </c>
      <c r="M4587">
        <v>0.99978739999999999</v>
      </c>
      <c r="N4587">
        <v>-1.374395E-2</v>
      </c>
      <c r="O4587">
        <v>-1.537522E-2</v>
      </c>
      <c r="P4587">
        <v>0.98359350000000001</v>
      </c>
      <c r="Q4587">
        <v>0.17681189999999999</v>
      </c>
      <c r="R4587">
        <v>3.5800760000000001E-2</v>
      </c>
      <c r="S4587">
        <v>3.082703</v>
      </c>
      <c r="T4587">
        <v>-0.110808</v>
      </c>
      <c r="U4587">
        <v>-0.35308840000000002</v>
      </c>
      <c r="V4587">
        <v>-5.0902639999999999E-2</v>
      </c>
      <c r="W4587">
        <v>0.1903097</v>
      </c>
      <c r="X4587">
        <v>0.98040349999999998</v>
      </c>
      <c r="Y4587">
        <v>9.8421090000000003E-2</v>
      </c>
      <c r="Z4587">
        <v>-2.1015309999999998E-3</v>
      </c>
      <c r="AA4587">
        <v>0.99514259999999999</v>
      </c>
      <c r="AB4587">
        <v>23</v>
      </c>
      <c r="AC4587">
        <v>32.0917999999999</v>
      </c>
      <c r="AD4587">
        <v>-1.1605479999999999</v>
      </c>
      <c r="AE4587">
        <v>-3.6950199999999902</v>
      </c>
      <c r="AF4587">
        <v>3.1969917931007101</v>
      </c>
      <c r="AG4587">
        <v>-1.1605479999999999</v>
      </c>
      <c r="AH4587">
        <v>32.103387770976099</v>
      </c>
      <c r="AI4587">
        <v>92.060178290233594</v>
      </c>
      <c r="AJ4587">
        <v>84.3129927045957</v>
      </c>
      <c r="AK4587">
        <v>32.283047169669601</v>
      </c>
      <c r="AL4587">
        <v>79.029140869651201</v>
      </c>
      <c r="AM4587">
        <v>92.972133409465201</v>
      </c>
      <c r="AN4587">
        <v>0.99999994174265305</v>
      </c>
    </row>
    <row r="4588" spans="1:40" x14ac:dyDescent="0.25">
      <c r="A4588" t="str">
        <f>"20190304155506959"</f>
        <v>20190304155506959</v>
      </c>
      <c r="B4588" t="str">
        <f>"1551686106951807"</f>
        <v>1551686106951807</v>
      </c>
      <c r="C4588" t="s">
        <v>40</v>
      </c>
      <c r="D4588">
        <v>4.7263419999999998</v>
      </c>
      <c r="E4588">
        <v>0.58886949999999905</v>
      </c>
      <c r="F4588" t="s">
        <v>90</v>
      </c>
      <c r="G4588">
        <v>-279.33690000000001</v>
      </c>
      <c r="H4588">
        <v>0.30050130000000003</v>
      </c>
      <c r="I4588">
        <v>4.1293470000000001</v>
      </c>
      <c r="J4588">
        <v>-346.54219999999998</v>
      </c>
      <c r="K4588">
        <v>1.1105499999999999</v>
      </c>
      <c r="L4588">
        <v>17.18121</v>
      </c>
      <c r="M4588">
        <v>0.99978690000000003</v>
      </c>
      <c r="N4588">
        <v>-1.37415E-2</v>
      </c>
      <c r="O4588">
        <v>-1.5414779999999999E-2</v>
      </c>
      <c r="P4588">
        <v>0.98362570000000005</v>
      </c>
      <c r="Q4588">
        <v>0.1767454</v>
      </c>
      <c r="R4588">
        <v>3.5243459999999997E-2</v>
      </c>
      <c r="S4588">
        <v>3.0783689999999999</v>
      </c>
      <c r="T4588">
        <v>-3.6966199999999998E-2</v>
      </c>
      <c r="U4588">
        <v>-0.59579469999999901</v>
      </c>
      <c r="V4588">
        <v>-5.0384859999999997E-2</v>
      </c>
      <c r="W4588">
        <v>0.1902414</v>
      </c>
      <c r="X4588">
        <v>0.98044350000000002</v>
      </c>
      <c r="Y4588">
        <v>0.17483170000000001</v>
      </c>
      <c r="Z4588">
        <v>-2.2790969999999999E-3</v>
      </c>
      <c r="AA4588">
        <v>0.98459569999999996</v>
      </c>
      <c r="AB4588">
        <v>23</v>
      </c>
      <c r="AC4588">
        <v>67.205299999999895</v>
      </c>
      <c r="AD4588">
        <v>-0.81004869999999995</v>
      </c>
      <c r="AE4588">
        <v>-13.051863000000001</v>
      </c>
      <c r="AF4588">
        <v>12.012577573483</v>
      </c>
      <c r="AG4588">
        <v>-0.81004869999999995</v>
      </c>
      <c r="AH4588">
        <v>67.389089425944704</v>
      </c>
      <c r="AI4588">
        <v>90.678002481234401</v>
      </c>
      <c r="AJ4588">
        <v>79.892787461488098</v>
      </c>
      <c r="AK4588">
        <v>68.456172639969395</v>
      </c>
      <c r="AL4588">
        <v>79.033126981923203</v>
      </c>
      <c r="AM4588">
        <v>92.941834532914299</v>
      </c>
      <c r="AN4588">
        <v>0.99999994054171304</v>
      </c>
    </row>
    <row r="4589" spans="1:40" x14ac:dyDescent="0.25">
      <c r="A4589" t="str">
        <f>"20190304155506991"</f>
        <v>20190304155506991</v>
      </c>
      <c r="B4589" t="str">
        <f>"1551686106982063"</f>
        <v>1551686106982063</v>
      </c>
      <c r="C4589" t="s">
        <v>40</v>
      </c>
      <c r="D4589">
        <v>4.6356789999999997</v>
      </c>
      <c r="E4589">
        <v>0.59131849999999997</v>
      </c>
      <c r="F4589" t="s">
        <v>90</v>
      </c>
      <c r="G4589">
        <v>-279.02</v>
      </c>
      <c r="H4589">
        <v>0.25845780000000002</v>
      </c>
      <c r="I4589">
        <v>3.6471939999999998</v>
      </c>
      <c r="J4589">
        <v>-346.20679999999999</v>
      </c>
      <c r="K4589">
        <v>1.1105510000000001</v>
      </c>
      <c r="L4589">
        <v>17.175929999999902</v>
      </c>
      <c r="M4589">
        <v>0.99978610000000001</v>
      </c>
      <c r="N4589">
        <v>-1.3738190000000001E-2</v>
      </c>
      <c r="O4589">
        <v>-1.546756E-2</v>
      </c>
      <c r="P4589">
        <v>0.98373480000000002</v>
      </c>
      <c r="Q4589">
        <v>0.17614739999999901</v>
      </c>
      <c r="R4589">
        <v>3.5190159999999998E-2</v>
      </c>
      <c r="S4589">
        <v>3.0790410000000001</v>
      </c>
      <c r="T4589">
        <v>-3.8855790000000001E-2</v>
      </c>
      <c r="U4589">
        <v>-0.61715699999999996</v>
      </c>
      <c r="V4589">
        <v>-5.038521E-2</v>
      </c>
      <c r="W4589">
        <v>0.18964120000000001</v>
      </c>
      <c r="X4589">
        <v>0.98055979999999998</v>
      </c>
      <c r="Y4589">
        <v>0.18130869999999999</v>
      </c>
      <c r="Z4589">
        <v>-2.4078720000000001E-3</v>
      </c>
      <c r="AA4589">
        <v>0.9834233</v>
      </c>
      <c r="AB4589">
        <v>23</v>
      </c>
      <c r="AC4589">
        <v>67.186800000000005</v>
      </c>
      <c r="AD4589">
        <v>-0.8520932</v>
      </c>
      <c r="AE4589">
        <v>-13.528735999999901</v>
      </c>
      <c r="AF4589">
        <v>12.4858733995977</v>
      </c>
      <c r="AG4589">
        <v>-0.8520932</v>
      </c>
      <c r="AH4589">
        <v>67.377622163686794</v>
      </c>
      <c r="AI4589">
        <v>90.712426238451002</v>
      </c>
      <c r="AJ4589">
        <v>79.501505110729696</v>
      </c>
      <c r="AK4589">
        <v>68.530044986157804</v>
      </c>
      <c r="AL4589">
        <v>79.068154076981401</v>
      </c>
      <c r="AM4589">
        <v>92.941506624554407</v>
      </c>
      <c r="AN4589">
        <v>0.99999998775011101</v>
      </c>
    </row>
    <row r="4590" spans="1:40" x14ac:dyDescent="0.25">
      <c r="A4590" t="str">
        <f>"20190304155507013"</f>
        <v>20190304155507013</v>
      </c>
      <c r="B4590" t="str">
        <f>"1551686107002560"</f>
        <v>1551686107002560</v>
      </c>
      <c r="C4590" t="s">
        <v>40</v>
      </c>
      <c r="D4590">
        <v>4.3439540000000001</v>
      </c>
      <c r="E4590">
        <v>0.59158639999999996</v>
      </c>
      <c r="F4590" t="s">
        <v>90</v>
      </c>
      <c r="G4590">
        <v>-279.02</v>
      </c>
      <c r="H4590">
        <v>0.24628939999999999</v>
      </c>
      <c r="I4590">
        <v>3.2579940000000001</v>
      </c>
      <c r="J4590">
        <v>-345.98</v>
      </c>
      <c r="K4590">
        <v>1.1105480000000001</v>
      </c>
      <c r="L4590">
        <v>17.17239</v>
      </c>
      <c r="M4590">
        <v>0.99978560000000005</v>
      </c>
      <c r="N4590">
        <v>-1.373592E-2</v>
      </c>
      <c r="O4590">
        <v>-1.550342E-2</v>
      </c>
      <c r="P4590">
        <v>0.9836741</v>
      </c>
      <c r="Q4590">
        <v>0.17649670000000001</v>
      </c>
      <c r="R4590">
        <v>3.513463E-2</v>
      </c>
      <c r="S4590">
        <v>3.0795590000000002</v>
      </c>
      <c r="T4590">
        <v>-3.9614080000000003E-2</v>
      </c>
      <c r="U4590">
        <v>-0.63793949999999999</v>
      </c>
      <c r="V4590">
        <v>-5.0363999999999999E-2</v>
      </c>
      <c r="W4590">
        <v>0.18998760000000001</v>
      </c>
      <c r="X4590">
        <v>0.98049379999999997</v>
      </c>
      <c r="Y4590">
        <v>0.18760789999999999</v>
      </c>
      <c r="Z4590">
        <v>-2.5096950000000002E-3</v>
      </c>
      <c r="AA4590">
        <v>0.98224080000000002</v>
      </c>
      <c r="AB4590">
        <v>23</v>
      </c>
      <c r="AC4590">
        <v>66.959999999999994</v>
      </c>
      <c r="AD4590">
        <v>-0.86425859999999899</v>
      </c>
      <c r="AE4590">
        <v>-13.914396</v>
      </c>
      <c r="AF4590">
        <v>12.8724608811472</v>
      </c>
      <c r="AG4590">
        <v>-0.86425859999999899</v>
      </c>
      <c r="AH4590">
        <v>67.156967165218006</v>
      </c>
      <c r="AI4590">
        <v>90.724131070780899</v>
      </c>
      <c r="AJ4590">
        <v>79.149312044109195</v>
      </c>
      <c r="AK4590">
        <v>68.384979570769104</v>
      </c>
      <c r="AL4590">
        <v>79.047938964685798</v>
      </c>
      <c r="AM4590">
        <v>92.940468121557501</v>
      </c>
      <c r="AN4590">
        <v>0.99999995624409899</v>
      </c>
    </row>
    <row r="4591" spans="1:40" x14ac:dyDescent="0.25">
      <c r="A4591" t="str">
        <f>"20190304155507035"</f>
        <v>20190304155507035</v>
      </c>
      <c r="B4591" t="str">
        <f>"1551686107031839"</f>
        <v>1551686107031839</v>
      </c>
      <c r="C4591" t="s">
        <v>40</v>
      </c>
      <c r="D4591">
        <v>4.6287919999999998</v>
      </c>
      <c r="E4591">
        <v>0.59193339999999905</v>
      </c>
      <c r="F4591" t="s">
        <v>90</v>
      </c>
      <c r="G4591">
        <v>-279.02</v>
      </c>
      <c r="H4591">
        <v>0.29067009999999899</v>
      </c>
      <c r="I4591">
        <v>3.253117</v>
      </c>
      <c r="J4591">
        <v>-345.7491</v>
      </c>
      <c r="K4591">
        <v>1.110544</v>
      </c>
      <c r="L4591">
        <v>17.168789999999898</v>
      </c>
      <c r="M4591">
        <v>0.99978489999999998</v>
      </c>
      <c r="N4591">
        <v>-1.373359E-2</v>
      </c>
      <c r="O4591">
        <v>-1.5539880000000001E-2</v>
      </c>
      <c r="P4591">
        <v>0.98362210000000005</v>
      </c>
      <c r="Q4591">
        <v>0.17676159999999999</v>
      </c>
      <c r="R4591">
        <v>3.5255170000000002E-2</v>
      </c>
      <c r="S4591">
        <v>3.079437</v>
      </c>
      <c r="T4591">
        <v>-3.7705540000000003E-2</v>
      </c>
      <c r="U4591">
        <v>-0.640136699999999</v>
      </c>
      <c r="V4591">
        <v>-5.0519429999999997E-2</v>
      </c>
      <c r="W4591">
        <v>0.1902498</v>
      </c>
      <c r="X4591">
        <v>0.98043499999999995</v>
      </c>
      <c r="Y4591">
        <v>0.1882538</v>
      </c>
      <c r="Z4591">
        <v>-2.469911E-3</v>
      </c>
      <c r="AA4591">
        <v>0.98211729999999997</v>
      </c>
      <c r="AB4591">
        <v>23</v>
      </c>
      <c r="AC4591">
        <v>66.729100000000003</v>
      </c>
      <c r="AD4591">
        <v>-0.81987389999999905</v>
      </c>
      <c r="AE4591">
        <v>-13.9156729999999</v>
      </c>
      <c r="AF4591">
        <v>12.875069683565499</v>
      </c>
      <c r="AG4591">
        <v>-0.81987389999999905</v>
      </c>
      <c r="AH4591">
        <v>66.927626790085398</v>
      </c>
      <c r="AI4591">
        <v>90.689211312345705</v>
      </c>
      <c r="AJ4591">
        <v>79.110863478801804</v>
      </c>
      <c r="AK4591">
        <v>68.159715670779605</v>
      </c>
      <c r="AL4591">
        <v>79.032637339862603</v>
      </c>
      <c r="AM4591">
        <v>92.9497033784764</v>
      </c>
      <c r="AN4591">
        <v>0.99999999421628205</v>
      </c>
    </row>
    <row r="4592" spans="1:40" x14ac:dyDescent="0.25">
      <c r="A4592" t="str">
        <f>"20190304155507057"</f>
        <v>20190304155507057</v>
      </c>
      <c r="B4592" t="str">
        <f>"1551686107052336"</f>
        <v>1551686107052336</v>
      </c>
      <c r="C4592" t="s">
        <v>40</v>
      </c>
      <c r="D4592">
        <v>4.6857369999999996</v>
      </c>
      <c r="E4592">
        <v>0.59576119999999899</v>
      </c>
      <c r="F4592" t="s">
        <v>47</v>
      </c>
      <c r="G4592">
        <v>-268.68220000000002</v>
      </c>
      <c r="H4592">
        <v>-0.05</v>
      </c>
      <c r="I4592">
        <v>1.0982510000000001</v>
      </c>
      <c r="J4592">
        <v>-345.52019999999999</v>
      </c>
      <c r="K4592">
        <v>1.1105430000000001</v>
      </c>
      <c r="L4592">
        <v>17.16516</v>
      </c>
      <c r="M4592">
        <v>0.99978440000000002</v>
      </c>
      <c r="N4592">
        <v>-1.373126E-2</v>
      </c>
      <c r="O4592">
        <v>-1.5576100000000001E-2</v>
      </c>
      <c r="P4592">
        <v>0.98371450000000005</v>
      </c>
      <c r="Q4592">
        <v>0.17621709999999999</v>
      </c>
      <c r="R4592">
        <v>3.540488E-2</v>
      </c>
      <c r="S4592">
        <v>3.0813600000000001</v>
      </c>
      <c r="T4592">
        <v>-4.6401980000000002E-2</v>
      </c>
      <c r="U4592">
        <v>-0.6425476</v>
      </c>
      <c r="V4592">
        <v>-5.0706269999999998E-2</v>
      </c>
      <c r="W4592">
        <v>0.1897035</v>
      </c>
      <c r="X4592">
        <v>0.98053120000000005</v>
      </c>
      <c r="Y4592">
        <v>0.18882189999999999</v>
      </c>
      <c r="Z4592">
        <v>-2.6966540000000002E-3</v>
      </c>
      <c r="AA4592">
        <v>0.98200759999999998</v>
      </c>
      <c r="AB4592">
        <v>23</v>
      </c>
      <c r="AC4592">
        <v>76.837999999999894</v>
      </c>
      <c r="AD4592">
        <v>-1.1605430000000001</v>
      </c>
      <c r="AE4592">
        <v>-16.066908999999999</v>
      </c>
      <c r="AF4592">
        <v>14.8647613164157</v>
      </c>
      <c r="AG4592">
        <v>-1.1605430000000001</v>
      </c>
      <c r="AH4592">
        <v>77.062116779852303</v>
      </c>
      <c r="AI4592">
        <v>90.847185268817896</v>
      </c>
      <c r="AJ4592">
        <v>79.082123584657197</v>
      </c>
      <c r="AK4592">
        <v>78.491259587551895</v>
      </c>
      <c r="AL4592">
        <v>79.064518569163994</v>
      </c>
      <c r="AM4592">
        <v>92.960303179940695</v>
      </c>
      <c r="AN4592">
        <v>0.999999988951501</v>
      </c>
    </row>
    <row r="4593" spans="1:40" x14ac:dyDescent="0.25">
      <c r="A4593" t="str">
        <f>"20190304155507080"</f>
        <v>20190304155507080</v>
      </c>
      <c r="B4593" t="str">
        <f>"1551686107071858"</f>
        <v>1551686107071858</v>
      </c>
      <c r="C4593" t="s">
        <v>40</v>
      </c>
      <c r="D4593">
        <v>4.6482219999999996</v>
      </c>
      <c r="E4593">
        <v>0.59696340000000003</v>
      </c>
      <c r="F4593" t="s">
        <v>90</v>
      </c>
      <c r="G4593">
        <v>-279.02</v>
      </c>
      <c r="H4593">
        <v>0.15298229999999999</v>
      </c>
      <c r="I4593">
        <v>2.6508289999999999</v>
      </c>
      <c r="J4593">
        <v>-345.27940000000001</v>
      </c>
      <c r="K4593">
        <v>1.1105389999999999</v>
      </c>
      <c r="L4593">
        <v>17.16141</v>
      </c>
      <c r="M4593">
        <v>0.9997838</v>
      </c>
      <c r="N4593">
        <v>-1.3728819999999999E-2</v>
      </c>
      <c r="O4593">
        <v>-1.561411E-2</v>
      </c>
      <c r="P4593">
        <v>0.98378189999999999</v>
      </c>
      <c r="Q4593">
        <v>0.1758574</v>
      </c>
      <c r="R4593">
        <v>3.532213E-2</v>
      </c>
      <c r="S4593">
        <v>3.0818180000000002</v>
      </c>
      <c r="T4593">
        <v>-4.4376249999999999E-2</v>
      </c>
      <c r="U4593">
        <v>-0.67263790000000001</v>
      </c>
      <c r="V4593">
        <v>-5.0662169999999999E-2</v>
      </c>
      <c r="W4593">
        <v>0.18934290000000001</v>
      </c>
      <c r="X4593">
        <v>0.98060320000000001</v>
      </c>
      <c r="Y4593">
        <v>0.1979186</v>
      </c>
      <c r="Z4593">
        <v>-2.7727749999999999E-3</v>
      </c>
      <c r="AA4593">
        <v>0.98021449999999999</v>
      </c>
      <c r="AB4593">
        <v>23</v>
      </c>
      <c r="AC4593">
        <v>66.259399999999999</v>
      </c>
      <c r="AD4593">
        <v>-0.95755670000000004</v>
      </c>
      <c r="AE4593">
        <v>-14.510581</v>
      </c>
      <c r="AF4593">
        <v>13.4714478554823</v>
      </c>
      <c r="AG4593">
        <v>-0.95755670000000004</v>
      </c>
      <c r="AH4593">
        <v>66.464666254954096</v>
      </c>
      <c r="AI4593">
        <v>90.8089563112337</v>
      </c>
      <c r="AJ4593">
        <v>78.542174739267594</v>
      </c>
      <c r="AK4593">
        <v>67.822921512856794</v>
      </c>
      <c r="AL4593">
        <v>79.085561052474503</v>
      </c>
      <c r="AM4593">
        <v>92.957516349996496</v>
      </c>
      <c r="AN4593">
        <v>1.00000001254987</v>
      </c>
    </row>
    <row r="4594" spans="1:40" x14ac:dyDescent="0.25">
      <c r="A4594" t="str">
        <f>"20190304155507103"</f>
        <v>20190304155507103</v>
      </c>
      <c r="B4594" t="str">
        <f>"1551686107092351"</f>
        <v>1551686107092351</v>
      </c>
      <c r="C4594" t="s">
        <v>40</v>
      </c>
      <c r="D4594">
        <v>4.6125259999999999</v>
      </c>
      <c r="E4594">
        <v>0.59695010000000004</v>
      </c>
      <c r="F4594" t="s">
        <v>90</v>
      </c>
      <c r="G4594">
        <v>-279.02</v>
      </c>
      <c r="H4594">
        <v>0.25081999999999999</v>
      </c>
      <c r="I4594">
        <v>2.4851399999999999</v>
      </c>
      <c r="J4594">
        <v>-345.05579999999998</v>
      </c>
      <c r="K4594">
        <v>1.110533</v>
      </c>
      <c r="L4594">
        <v>17.15784</v>
      </c>
      <c r="M4594">
        <v>0.99978330000000004</v>
      </c>
      <c r="N4594">
        <v>-1.37264E-2</v>
      </c>
      <c r="O4594">
        <v>-1.5649260000000002E-2</v>
      </c>
      <c r="P4594">
        <v>0.98386499999999999</v>
      </c>
      <c r="Q4594">
        <v>0.17533689999999999</v>
      </c>
      <c r="R4594">
        <v>3.5593229999999997E-2</v>
      </c>
      <c r="S4594">
        <v>3.0811459999999999</v>
      </c>
      <c r="T4594">
        <v>-3.9978029999999998E-2</v>
      </c>
      <c r="U4594">
        <v>-0.68246459999999998</v>
      </c>
      <c r="V4594">
        <v>-5.0969460000000001E-2</v>
      </c>
      <c r="W4594">
        <v>0.18882080000000001</v>
      </c>
      <c r="X4594">
        <v>0.98068789999999995</v>
      </c>
      <c r="Y4594">
        <v>0.2009148</v>
      </c>
      <c r="Z4594">
        <v>-2.6952199999999999E-3</v>
      </c>
      <c r="AA4594">
        <v>0.97960499999999995</v>
      </c>
      <c r="AB4594">
        <v>23</v>
      </c>
      <c r="AC4594">
        <v>66.035799999999995</v>
      </c>
      <c r="AD4594">
        <v>-0.85971299999999995</v>
      </c>
      <c r="AE4594">
        <v>-14.672700000000001</v>
      </c>
      <c r="AF4594">
        <v>13.635191769750399</v>
      </c>
      <c r="AG4594">
        <v>-0.85971299999999995</v>
      </c>
      <c r="AH4594">
        <v>66.246650462541297</v>
      </c>
      <c r="AI4594">
        <v>90.728247762243996</v>
      </c>
      <c r="AJ4594">
        <v>78.369539287918798</v>
      </c>
      <c r="AK4594">
        <v>67.640788423453202</v>
      </c>
      <c r="AL4594">
        <v>79.116024220547899</v>
      </c>
      <c r="AM4594">
        <v>92.975166427268107</v>
      </c>
      <c r="AN4594">
        <v>0.99999996878587005</v>
      </c>
    </row>
    <row r="4595" spans="1:40" x14ac:dyDescent="0.25">
      <c r="A4595" t="str">
        <f>"20190304155507125"</f>
        <v>20190304155507125</v>
      </c>
      <c r="B4595" t="str">
        <f>"1551686107122607"</f>
        <v>1551686107122607</v>
      </c>
      <c r="C4595" t="s">
        <v>40</v>
      </c>
      <c r="D4595">
        <v>4.5615050000000004</v>
      </c>
      <c r="E4595">
        <v>0.59806169999999903</v>
      </c>
      <c r="F4595" t="s">
        <v>90</v>
      </c>
      <c r="G4595">
        <v>-279.02</v>
      </c>
      <c r="H4595">
        <v>0.29423519999999997</v>
      </c>
      <c r="I4595">
        <v>2.5374409999999998</v>
      </c>
      <c r="J4595">
        <v>-344.82389999999998</v>
      </c>
      <c r="K4595">
        <v>1.11053</v>
      </c>
      <c r="L4595">
        <v>17.154170000000001</v>
      </c>
      <c r="M4595">
        <v>0.99978279999999997</v>
      </c>
      <c r="N4595">
        <v>-1.372402E-2</v>
      </c>
      <c r="O4595">
        <v>-1.568512E-2</v>
      </c>
      <c r="P4595">
        <v>0.98385290000000003</v>
      </c>
      <c r="Q4595">
        <v>0.17537920000000001</v>
      </c>
      <c r="R4595">
        <v>3.571527E-2</v>
      </c>
      <c r="S4595">
        <v>3.0806879999999999</v>
      </c>
      <c r="T4595">
        <v>-3.8081770000000001E-2</v>
      </c>
      <c r="U4595">
        <v>-0.68206789999999995</v>
      </c>
      <c r="V4595">
        <v>-5.112618E-2</v>
      </c>
      <c r="W4595">
        <v>0.18886069999999999</v>
      </c>
      <c r="X4595">
        <v>0.98067210000000005</v>
      </c>
      <c r="Y4595">
        <v>0.20079250000000001</v>
      </c>
      <c r="Z4595">
        <v>-2.6419719999999998E-3</v>
      </c>
      <c r="AA4595">
        <v>0.97963020000000001</v>
      </c>
      <c r="AB4595">
        <v>23</v>
      </c>
      <c r="AC4595">
        <v>65.803899999999999</v>
      </c>
      <c r="AD4595">
        <v>-0.81629479999999999</v>
      </c>
      <c r="AE4595">
        <v>-14.616728999999999</v>
      </c>
      <c r="AF4595">
        <v>13.580699676081</v>
      </c>
      <c r="AG4595">
        <v>-0.81629479999999999</v>
      </c>
      <c r="AH4595">
        <v>66.015409086585606</v>
      </c>
      <c r="AI4595">
        <v>90.693908825924197</v>
      </c>
      <c r="AJ4595">
        <v>78.375282071647803</v>
      </c>
      <c r="AK4595">
        <v>67.402789094826502</v>
      </c>
      <c r="AL4595">
        <v>79.113696676231697</v>
      </c>
      <c r="AM4595">
        <v>92.984345900011903</v>
      </c>
      <c r="AN4595">
        <v>1.0000000090021399</v>
      </c>
    </row>
    <row r="4596" spans="1:40" x14ac:dyDescent="0.25">
      <c r="A4596" t="str">
        <f>"20190304155507147"</f>
        <v>20190304155507147</v>
      </c>
      <c r="B4596" t="str">
        <f>"1551686107142128"</f>
        <v>1551686107142128</v>
      </c>
      <c r="C4596" t="s">
        <v>40</v>
      </c>
      <c r="D4596">
        <v>4.6777470000000001</v>
      </c>
      <c r="E4596">
        <v>0.59837189999999996</v>
      </c>
      <c r="F4596" t="s">
        <v>90</v>
      </c>
      <c r="G4596">
        <v>-279.02</v>
      </c>
      <c r="H4596">
        <v>0.38879740000000002</v>
      </c>
      <c r="I4596">
        <v>2.4067099999999999</v>
      </c>
      <c r="J4596">
        <v>-344.60039999999998</v>
      </c>
      <c r="K4596">
        <v>1.1105370000000001</v>
      </c>
      <c r="L4596">
        <v>17.15063</v>
      </c>
      <c r="M4596">
        <v>0.99978230000000001</v>
      </c>
      <c r="N4596">
        <v>-1.372172E-2</v>
      </c>
      <c r="O4596">
        <v>-1.5718699999999999E-2</v>
      </c>
      <c r="P4596">
        <v>0.98377530000000002</v>
      </c>
      <c r="Q4596">
        <v>0.17595559999999999</v>
      </c>
      <c r="R4596">
        <v>3.5011239999999999E-2</v>
      </c>
      <c r="S4596">
        <v>3.0803219999999998</v>
      </c>
      <c r="T4596">
        <v>-3.3784750000000002E-2</v>
      </c>
      <c r="U4596">
        <v>-0.69033809999999995</v>
      </c>
      <c r="V4596">
        <v>-5.0454600000000002E-2</v>
      </c>
      <c r="W4596">
        <v>0.18943380000000001</v>
      </c>
      <c r="X4596">
        <v>0.98059640000000003</v>
      </c>
      <c r="Y4596">
        <v>0.20329410000000001</v>
      </c>
      <c r="Z4596">
        <v>-2.5561389999999998E-3</v>
      </c>
      <c r="AA4596">
        <v>0.97911440000000005</v>
      </c>
      <c r="AB4596">
        <v>23</v>
      </c>
      <c r="AC4596">
        <v>65.580399999999997</v>
      </c>
      <c r="AD4596">
        <v>-0.72173959999999904</v>
      </c>
      <c r="AE4596">
        <v>-14.743919999999999</v>
      </c>
      <c r="AF4596">
        <v>13.709581809026499</v>
      </c>
      <c r="AG4596">
        <v>-0.72173959999999904</v>
      </c>
      <c r="AH4596">
        <v>65.796487533827502</v>
      </c>
      <c r="AI4596">
        <v>90.615255011050806</v>
      </c>
      <c r="AJ4596">
        <v>78.230058409795404</v>
      </c>
      <c r="AK4596">
        <v>67.213475681724105</v>
      </c>
      <c r="AL4596">
        <v>79.0802574574804</v>
      </c>
      <c r="AM4596">
        <v>92.945440761777206</v>
      </c>
      <c r="AN4596">
        <v>1.0000000654682699</v>
      </c>
    </row>
    <row r="4597" spans="1:40" x14ac:dyDescent="0.25">
      <c r="A4597" t="str">
        <f>"20190304155507171"</f>
        <v>20190304155507171</v>
      </c>
      <c r="B4597" t="str">
        <f>"1551686107162624"</f>
        <v>1551686107162624</v>
      </c>
      <c r="C4597" t="s">
        <v>40</v>
      </c>
      <c r="D4597">
        <v>4.5469670000000004</v>
      </c>
      <c r="E4597">
        <v>0.59764700000000004</v>
      </c>
      <c r="F4597" t="s">
        <v>90</v>
      </c>
      <c r="G4597">
        <v>-279.02</v>
      </c>
      <c r="H4597">
        <v>0.46988380000000002</v>
      </c>
      <c r="I4597">
        <v>2.3355269999999999</v>
      </c>
      <c r="J4597">
        <v>-344.35660000000001</v>
      </c>
      <c r="K4597">
        <v>1.1105480000000001</v>
      </c>
      <c r="L4597">
        <v>17.14676</v>
      </c>
      <c r="M4597">
        <v>0.9997817</v>
      </c>
      <c r="N4597">
        <v>-1.3719230000000001E-2</v>
      </c>
      <c r="O4597">
        <v>-1.5753349999999999E-2</v>
      </c>
      <c r="P4597">
        <v>0.9836859</v>
      </c>
      <c r="Q4597">
        <v>0.17657400000000001</v>
      </c>
      <c r="R4597">
        <v>3.440613E-2</v>
      </c>
      <c r="S4597">
        <v>3.0796199999999998</v>
      </c>
      <c r="T4597">
        <v>-3.008473E-2</v>
      </c>
      <c r="U4597">
        <v>-0.69570919999999903</v>
      </c>
      <c r="V4597">
        <v>-4.9882780000000002E-2</v>
      </c>
      <c r="W4597">
        <v>0.19004799999999999</v>
      </c>
      <c r="X4597">
        <v>0.98050669999999995</v>
      </c>
      <c r="Y4597">
        <v>0.2049367</v>
      </c>
      <c r="Z4597">
        <v>-2.473603E-3</v>
      </c>
      <c r="AA4597">
        <v>0.97877210000000003</v>
      </c>
      <c r="AB4597">
        <v>23</v>
      </c>
      <c r="AC4597">
        <v>65.336600000000004</v>
      </c>
      <c r="AD4597">
        <v>-0.64066419999999902</v>
      </c>
      <c r="AE4597">
        <v>-14.8112329999999</v>
      </c>
      <c r="AF4597">
        <v>13.7787673413769</v>
      </c>
      <c r="AG4597">
        <v>-0.64066419999999902</v>
      </c>
      <c r="AH4597">
        <v>65.555844167028795</v>
      </c>
      <c r="AI4597">
        <v>90.547950511905896</v>
      </c>
      <c r="AJ4597">
        <v>78.130142702690407</v>
      </c>
      <c r="AK4597">
        <v>66.991294841320396</v>
      </c>
      <c r="AL4597">
        <v>79.044414135416204</v>
      </c>
      <c r="AM4597">
        <v>92.912382769624998</v>
      </c>
      <c r="AN4597">
        <v>0.99999996139470804</v>
      </c>
    </row>
    <row r="4598" spans="1:40" x14ac:dyDescent="0.25">
      <c r="A4598" t="str">
        <f>"20190304155507193"</f>
        <v>20190304155507193</v>
      </c>
      <c r="B4598" t="str">
        <f>"1551686107182143"</f>
        <v>1551686107182143</v>
      </c>
      <c r="C4598" t="s">
        <v>40</v>
      </c>
      <c r="D4598">
        <v>4.6015889999999997</v>
      </c>
      <c r="E4598">
        <v>0.59724440000000001</v>
      </c>
      <c r="F4598" t="s">
        <v>90</v>
      </c>
      <c r="G4598">
        <v>-279.02</v>
      </c>
      <c r="H4598">
        <v>0.53648399999999996</v>
      </c>
      <c r="I4598">
        <v>2.4611450000000001</v>
      </c>
      <c r="J4598">
        <v>-344.11919999999998</v>
      </c>
      <c r="K4598">
        <v>1.110549</v>
      </c>
      <c r="L4598">
        <v>17.142969999999998</v>
      </c>
      <c r="M4598">
        <v>0.99978129999999998</v>
      </c>
      <c r="N4598">
        <v>-1.3716809999999999E-2</v>
      </c>
      <c r="O4598">
        <v>-1.5784179999999998E-2</v>
      </c>
      <c r="P4598">
        <v>0.98373089999999996</v>
      </c>
      <c r="Q4598">
        <v>0.17643589999999901</v>
      </c>
      <c r="R4598">
        <v>3.3822039999999998E-2</v>
      </c>
      <c r="S4598">
        <v>3.0787960000000001</v>
      </c>
      <c r="T4598">
        <v>-2.705109E-2</v>
      </c>
      <c r="U4598">
        <v>-0.69201659999999998</v>
      </c>
      <c r="V4598">
        <v>-4.9330560000000002E-2</v>
      </c>
      <c r="W4598">
        <v>0.18990799999999999</v>
      </c>
      <c r="X4598">
        <v>0.98056180000000004</v>
      </c>
      <c r="Y4598">
        <v>0.2038489</v>
      </c>
      <c r="Z4598">
        <v>-2.37697E-3</v>
      </c>
      <c r="AA4598">
        <v>0.97899950000000002</v>
      </c>
      <c r="AB4598">
        <v>23</v>
      </c>
      <c r="AC4598">
        <v>65.099199999999996</v>
      </c>
      <c r="AD4598">
        <v>-0.57406499999999905</v>
      </c>
      <c r="AE4598">
        <v>-14.681825</v>
      </c>
      <c r="AF4598">
        <v>13.6513512396754</v>
      </c>
      <c r="AG4598">
        <v>-0.57406499999999905</v>
      </c>
      <c r="AH4598">
        <v>65.318017477607</v>
      </c>
      <c r="AI4598">
        <v>90.492897093371994</v>
      </c>
      <c r="AJ4598">
        <v>78.195203820984005</v>
      </c>
      <c r="AK4598">
        <v>66.731794135166098</v>
      </c>
      <c r="AL4598">
        <v>79.052584744735995</v>
      </c>
      <c r="AM4598">
        <v>92.880034681325597</v>
      </c>
      <c r="AN4598">
        <v>0.99999999811657603</v>
      </c>
    </row>
    <row r="4599" spans="1:40" x14ac:dyDescent="0.25">
      <c r="A4599" t="str">
        <f>"20190304155507214"</f>
        <v>20190304155507214</v>
      </c>
      <c r="B4599" t="str">
        <f>"1551686107212400"</f>
        <v>1551686107212400</v>
      </c>
      <c r="C4599" t="s">
        <v>40</v>
      </c>
      <c r="D4599">
        <v>4.6140980000000003</v>
      </c>
      <c r="E4599">
        <v>0.59767840000000005</v>
      </c>
      <c r="F4599" t="s">
        <v>90</v>
      </c>
      <c r="G4599">
        <v>-279.02</v>
      </c>
      <c r="H4599">
        <v>0.55659969999999903</v>
      </c>
      <c r="I4599">
        <v>2.547625</v>
      </c>
      <c r="J4599">
        <v>-343.91289999999998</v>
      </c>
      <c r="K4599">
        <v>1.110547</v>
      </c>
      <c r="L4599">
        <v>17.139679999999998</v>
      </c>
      <c r="M4599">
        <v>0.99978109999999998</v>
      </c>
      <c r="N4599">
        <v>-1.371469E-2</v>
      </c>
      <c r="O4599">
        <v>-1.580604E-2</v>
      </c>
      <c r="P4599">
        <v>0.98376319999999995</v>
      </c>
      <c r="Q4599">
        <v>0.17640349999999999</v>
      </c>
      <c r="R4599">
        <v>3.3041719999999997E-2</v>
      </c>
      <c r="S4599">
        <v>3.0780029999999998</v>
      </c>
      <c r="T4599">
        <v>-2.619171E-2</v>
      </c>
      <c r="U4599">
        <v>-0.69009399999999999</v>
      </c>
      <c r="V4599">
        <v>-4.8573430000000001E-2</v>
      </c>
      <c r="W4599">
        <v>0.1898734</v>
      </c>
      <c r="X4599">
        <v>0.98060630000000004</v>
      </c>
      <c r="Y4599">
        <v>0.20330019999999999</v>
      </c>
      <c r="Z4599">
        <v>-2.3471239999999999E-3</v>
      </c>
      <c r="AA4599">
        <v>0.97911360000000003</v>
      </c>
      <c r="AB4599">
        <v>23</v>
      </c>
      <c r="AC4599">
        <v>64.892899999999997</v>
      </c>
      <c r="AD4599">
        <v>-0.55394730000000003</v>
      </c>
      <c r="AE4599">
        <v>-14.592054999999901</v>
      </c>
      <c r="AF4599">
        <v>13.563494820327801</v>
      </c>
      <c r="AG4599">
        <v>-0.55394730000000003</v>
      </c>
      <c r="AH4599">
        <v>65.110939913475804</v>
      </c>
      <c r="AI4599">
        <v>90.477202589319504</v>
      </c>
      <c r="AJ4599">
        <v>78.232794232550106</v>
      </c>
      <c r="AK4599">
        <v>66.510974626511796</v>
      </c>
      <c r="AL4599">
        <v>79.054603947524299</v>
      </c>
      <c r="AM4599">
        <v>92.835775878126299</v>
      </c>
      <c r="AN4599">
        <v>1.0000000008645999</v>
      </c>
    </row>
    <row r="4600" spans="1:40" x14ac:dyDescent="0.25">
      <c r="A4600" t="str">
        <f>"20190304155507235"</f>
        <v>20190304155507235</v>
      </c>
      <c r="B4600" t="str">
        <f>"1551686107231920"</f>
        <v>1551686107231920</v>
      </c>
      <c r="C4600" t="s">
        <v>40</v>
      </c>
      <c r="D4600">
        <v>4.5254469999999998</v>
      </c>
      <c r="E4600">
        <v>0.59775940000000005</v>
      </c>
      <c r="F4600" t="s">
        <v>90</v>
      </c>
      <c r="G4600">
        <v>-279.02</v>
      </c>
      <c r="H4600">
        <v>0.54661579999999999</v>
      </c>
      <c r="I4600">
        <v>2.4599419999999999</v>
      </c>
      <c r="J4600">
        <v>-343.68810000000002</v>
      </c>
      <c r="K4600">
        <v>1.1105529999999999</v>
      </c>
      <c r="L4600">
        <v>17.136109999999999</v>
      </c>
      <c r="M4600">
        <v>0.99978080000000003</v>
      </c>
      <c r="N4600">
        <v>-1.371237E-2</v>
      </c>
      <c r="O4600">
        <v>-1.5823110000000001E-2</v>
      </c>
      <c r="P4600">
        <v>0.98373999999999995</v>
      </c>
      <c r="Q4600">
        <v>0.17661289999999999</v>
      </c>
      <c r="R4600">
        <v>3.2612120000000001E-2</v>
      </c>
      <c r="S4600">
        <v>3.077728</v>
      </c>
      <c r="T4600">
        <v>-2.674603E-2</v>
      </c>
      <c r="U4600">
        <v>-0.69622799999999996</v>
      </c>
      <c r="V4600">
        <v>-4.8162780000000002E-2</v>
      </c>
      <c r="W4600">
        <v>0.19008030000000001</v>
      </c>
      <c r="X4600">
        <v>0.98058650000000003</v>
      </c>
      <c r="Y4600">
        <v>0.20515820000000001</v>
      </c>
      <c r="Z4600">
        <v>-2.3832390000000001E-3</v>
      </c>
      <c r="AA4600">
        <v>0.97872590000000004</v>
      </c>
      <c r="AB4600">
        <v>23</v>
      </c>
      <c r="AC4600">
        <v>64.668099999999995</v>
      </c>
      <c r="AD4600">
        <v>-0.56393720000000003</v>
      </c>
      <c r="AE4600">
        <v>-14.676168000000001</v>
      </c>
      <c r="AF4600">
        <v>13.6499964538159</v>
      </c>
      <c r="AG4600">
        <v>-0.56393720000000003</v>
      </c>
      <c r="AH4600">
        <v>64.887554124407401</v>
      </c>
      <c r="AI4600">
        <v>90.487280065409095</v>
      </c>
      <c r="AJ4600">
        <v>78.120255161041598</v>
      </c>
      <c r="AK4600">
        <v>66.310143331187504</v>
      </c>
      <c r="AL4600">
        <v>79.042529869887105</v>
      </c>
      <c r="AM4600">
        <v>92.811896956353806</v>
      </c>
      <c r="AN4600">
        <v>1.00000002890383</v>
      </c>
    </row>
    <row r="4601" spans="1:40" x14ac:dyDescent="0.25">
      <c r="A4601" t="str">
        <f>"20190304155507259"</f>
        <v>20190304155507259</v>
      </c>
      <c r="B4601" t="str">
        <f>"1551686107252416"</f>
        <v>1551686107252416</v>
      </c>
      <c r="C4601" t="s">
        <v>40</v>
      </c>
      <c r="D4601">
        <v>4.591399</v>
      </c>
      <c r="E4601">
        <v>0.59768009999999905</v>
      </c>
      <c r="F4601" t="s">
        <v>90</v>
      </c>
      <c r="G4601">
        <v>-279.02</v>
      </c>
      <c r="H4601">
        <v>0.52244369999999996</v>
      </c>
      <c r="I4601">
        <v>2.460556</v>
      </c>
      <c r="J4601">
        <v>-343.4529</v>
      </c>
      <c r="K4601">
        <v>1.1105579999999999</v>
      </c>
      <c r="L4601">
        <v>17.132349999999999</v>
      </c>
      <c r="M4601">
        <v>0.99978069999999997</v>
      </c>
      <c r="N4601">
        <v>-1.370993E-2</v>
      </c>
      <c r="O4601">
        <v>-1.5833360000000001E-2</v>
      </c>
      <c r="P4601">
        <v>0.98385319999999998</v>
      </c>
      <c r="Q4601">
        <v>0.17623929999999999</v>
      </c>
      <c r="R4601">
        <v>3.119181E-2</v>
      </c>
      <c r="S4601">
        <v>3.0777589999999999</v>
      </c>
      <c r="T4601">
        <v>-2.7989980000000001E-2</v>
      </c>
      <c r="U4601">
        <v>-0.69845579999999996</v>
      </c>
      <c r="V4601">
        <v>-4.6757369999999999E-2</v>
      </c>
      <c r="W4601">
        <v>0.18970529999999999</v>
      </c>
      <c r="X4601">
        <v>0.98072709999999996</v>
      </c>
      <c r="Y4601">
        <v>0.20581849999999999</v>
      </c>
      <c r="Z4601">
        <v>-2.4252000000000002E-3</v>
      </c>
      <c r="AA4601">
        <v>0.97858719999999999</v>
      </c>
      <c r="AB4601">
        <v>23</v>
      </c>
      <c r="AC4601">
        <v>64.432900000000004</v>
      </c>
      <c r="AD4601">
        <v>-0.58811429999999998</v>
      </c>
      <c r="AE4601">
        <v>-14.671793999999901</v>
      </c>
      <c r="AF4601">
        <v>13.6485882842002</v>
      </c>
      <c r="AG4601">
        <v>-0.58811429999999998</v>
      </c>
      <c r="AH4601">
        <v>64.652026300454196</v>
      </c>
      <c r="AI4601">
        <v>90.509944203857202</v>
      </c>
      <c r="AJ4601">
        <v>78.079408084826696</v>
      </c>
      <c r="AK4601">
        <v>66.079606122737204</v>
      </c>
      <c r="AL4601">
        <v>79.064413636024398</v>
      </c>
      <c r="AM4601">
        <v>92.729579835784904</v>
      </c>
      <c r="AN4601">
        <v>0.99999999858590805</v>
      </c>
    </row>
    <row r="4602" spans="1:40" x14ac:dyDescent="0.25">
      <c r="A4602" t="str">
        <f>"20190304155507282"</f>
        <v>20190304155507282</v>
      </c>
      <c r="B4602" t="str">
        <f>"1551686107271939"</f>
        <v>1551686107271939</v>
      </c>
      <c r="C4602" t="s">
        <v>40</v>
      </c>
      <c r="D4602">
        <v>4.5680560000000003</v>
      </c>
      <c r="E4602">
        <v>0.59728429999999999</v>
      </c>
      <c r="F4602" t="s">
        <v>90</v>
      </c>
      <c r="G4602">
        <v>-279.02</v>
      </c>
      <c r="H4602">
        <v>0.5267115</v>
      </c>
      <c r="I4602">
        <v>2.4174579999999999</v>
      </c>
      <c r="J4602">
        <v>-343.22019999999998</v>
      </c>
      <c r="K4602">
        <v>1.110562</v>
      </c>
      <c r="L4602">
        <v>17.12866</v>
      </c>
      <c r="M4602">
        <v>0.99978060000000002</v>
      </c>
      <c r="N4602">
        <v>-1.3707520000000001E-2</v>
      </c>
      <c r="O4602">
        <v>-1.583731E-2</v>
      </c>
      <c r="P4602">
        <v>0.98393799999999998</v>
      </c>
      <c r="Q4602">
        <v>0.1759067</v>
      </c>
      <c r="R4602">
        <v>3.0377959999999999E-2</v>
      </c>
      <c r="S4602">
        <v>3.0765380000000002</v>
      </c>
      <c r="T4602">
        <v>-2.7877450000000002E-2</v>
      </c>
      <c r="U4602">
        <v>-0.70260619999999996</v>
      </c>
      <c r="V4602">
        <v>-4.5951329999999999E-2</v>
      </c>
      <c r="W4602">
        <v>0.18937100000000001</v>
      </c>
      <c r="X4602">
        <v>0.98082979999999997</v>
      </c>
      <c r="Y4602">
        <v>0.20715330000000001</v>
      </c>
      <c r="Z4602">
        <v>-2.4373929999999999E-3</v>
      </c>
      <c r="AA4602">
        <v>0.97830550000000005</v>
      </c>
      <c r="AB4602">
        <v>23</v>
      </c>
      <c r="AC4602">
        <v>64.200199999999995</v>
      </c>
      <c r="AD4602">
        <v>-0.58385050000000005</v>
      </c>
      <c r="AE4602">
        <v>-14.711201999999901</v>
      </c>
      <c r="AF4602">
        <v>13.6914267238735</v>
      </c>
      <c r="AG4602">
        <v>-0.58385050000000005</v>
      </c>
      <c r="AH4602">
        <v>64.420092332490498</v>
      </c>
      <c r="AI4602">
        <v>90.5079231426365</v>
      </c>
      <c r="AJ4602">
        <v>78.001265049858006</v>
      </c>
      <c r="AK4602">
        <v>65.861554364197602</v>
      </c>
      <c r="AL4602">
        <v>79.083921221000693</v>
      </c>
      <c r="AM4602">
        <v>92.682314071108493</v>
      </c>
      <c r="AN4602">
        <v>0.99999999846890397</v>
      </c>
    </row>
    <row r="4603" spans="1:40" x14ac:dyDescent="0.25">
      <c r="A4603" t="str">
        <f>"20190304155507303"</f>
        <v>20190304155507303</v>
      </c>
      <c r="B4603" t="str">
        <f>"1551686107292431"</f>
        <v>1551686107292431</v>
      </c>
      <c r="C4603" t="s">
        <v>40</v>
      </c>
      <c r="D4603">
        <v>4.6548769999999999</v>
      </c>
      <c r="E4603">
        <v>0.59699789999999997</v>
      </c>
      <c r="F4603" t="s">
        <v>90</v>
      </c>
      <c r="G4603">
        <v>-279.02</v>
      </c>
      <c r="H4603">
        <v>0.51070190000000004</v>
      </c>
      <c r="I4603">
        <v>2.4858530000000001</v>
      </c>
      <c r="J4603">
        <v>-343.00119999999998</v>
      </c>
      <c r="K4603">
        <v>1.110565</v>
      </c>
      <c r="L4603">
        <v>17.125209999999999</v>
      </c>
      <c r="M4603">
        <v>0.99978069999999997</v>
      </c>
      <c r="N4603">
        <v>-1.370526E-2</v>
      </c>
      <c r="O4603">
        <v>-1.5836409999999999E-2</v>
      </c>
      <c r="P4603">
        <v>0.98401479999999997</v>
      </c>
      <c r="Q4603">
        <v>0.17567339999999901</v>
      </c>
      <c r="R4603">
        <v>2.9222359999999999E-2</v>
      </c>
      <c r="S4603">
        <v>3.0758359999999998</v>
      </c>
      <c r="T4603">
        <v>-2.873933E-2</v>
      </c>
      <c r="U4603">
        <v>-0.70153809999999905</v>
      </c>
      <c r="V4603">
        <v>-4.4797690000000001E-2</v>
      </c>
      <c r="W4603">
        <v>0.1891369</v>
      </c>
      <c r="X4603">
        <v>0.98092840000000003</v>
      </c>
      <c r="Y4603">
        <v>0.2068789</v>
      </c>
      <c r="Z4603">
        <v>-2.4583890000000001E-3</v>
      </c>
      <c r="AA4603">
        <v>0.97836350000000005</v>
      </c>
      <c r="AB4603">
        <v>23</v>
      </c>
      <c r="AC4603">
        <v>63.981200000000001</v>
      </c>
      <c r="AD4603">
        <v>-0.59986309999999998</v>
      </c>
      <c r="AE4603">
        <v>-14.639357</v>
      </c>
      <c r="AF4603">
        <v>13.623055250391999</v>
      </c>
      <c r="AG4603">
        <v>-0.59986309999999998</v>
      </c>
      <c r="AH4603">
        <v>64.199669089030607</v>
      </c>
      <c r="AI4603">
        <v>90.523679913319995</v>
      </c>
      <c r="AJ4603">
        <v>78.019645594668205</v>
      </c>
      <c r="AK4603">
        <v>65.631889971529901</v>
      </c>
      <c r="AL4603">
        <v>79.097581732132795</v>
      </c>
      <c r="AM4603">
        <v>92.614804906044299</v>
      </c>
      <c r="AN4603">
        <v>1.00000006294875</v>
      </c>
    </row>
    <row r="4604" spans="1:40" x14ac:dyDescent="0.25">
      <c r="A4604" t="str">
        <f>"20190304155507326"</f>
        <v>20190304155507326</v>
      </c>
      <c r="B4604" t="str">
        <f>"1551686107322688"</f>
        <v>1551686107322688</v>
      </c>
      <c r="C4604" t="s">
        <v>40</v>
      </c>
      <c r="D4604">
        <v>4.5297239999999999</v>
      </c>
      <c r="E4604">
        <v>0.59679839999999995</v>
      </c>
      <c r="F4604" t="s">
        <v>90</v>
      </c>
      <c r="G4604">
        <v>-279.02</v>
      </c>
      <c r="H4604">
        <v>0.51933830000000003</v>
      </c>
      <c r="I4604">
        <v>2.4995569999999998</v>
      </c>
      <c r="J4604">
        <v>-342.77229999999997</v>
      </c>
      <c r="K4604">
        <v>1.1105609999999999</v>
      </c>
      <c r="L4604">
        <v>17.121579999999899</v>
      </c>
      <c r="M4604">
        <v>0.99978080000000003</v>
      </c>
      <c r="N4604">
        <v>-1.3702870000000001E-2</v>
      </c>
      <c r="O4604">
        <v>-1.583232E-2</v>
      </c>
      <c r="P4604">
        <v>0.98410399999999998</v>
      </c>
      <c r="Q4604">
        <v>0.17526429999999901</v>
      </c>
      <c r="R4604">
        <v>2.8666850000000001E-2</v>
      </c>
      <c r="S4604">
        <v>3.0746769999999999</v>
      </c>
      <c r="T4604">
        <v>-2.841198E-2</v>
      </c>
      <c r="U4604">
        <v>-0.70285030000000004</v>
      </c>
      <c r="V4604">
        <v>-4.4240420000000003E-2</v>
      </c>
      <c r="W4604">
        <v>0.18872630000000001</v>
      </c>
      <c r="X4604">
        <v>0.98103269999999998</v>
      </c>
      <c r="Y4604">
        <v>0.20735999999999999</v>
      </c>
      <c r="Z4604">
        <v>-2.4547340000000001E-3</v>
      </c>
      <c r="AA4604">
        <v>0.97826159999999995</v>
      </c>
      <c r="AB4604">
        <v>23</v>
      </c>
      <c r="AC4604">
        <v>63.752299999999899</v>
      </c>
      <c r="AD4604">
        <v>-0.59122269999999999</v>
      </c>
      <c r="AE4604">
        <v>-14.622023</v>
      </c>
      <c r="AF4604">
        <v>13.6096364294135</v>
      </c>
      <c r="AG4604">
        <v>-0.59122269999999999</v>
      </c>
      <c r="AH4604">
        <v>63.970603446178799</v>
      </c>
      <c r="AI4604">
        <v>90.517927426308205</v>
      </c>
      <c r="AJ4604">
        <v>77.989490101922399</v>
      </c>
      <c r="AK4604">
        <v>65.404968108623606</v>
      </c>
      <c r="AL4604">
        <v>79.121538088667407</v>
      </c>
      <c r="AM4604">
        <v>92.582047642822303</v>
      </c>
      <c r="AN4604">
        <v>0.99999999477137802</v>
      </c>
    </row>
    <row r="4605" spans="1:40" x14ac:dyDescent="0.25">
      <c r="A4605" t="str">
        <f>"20190304155507349"</f>
        <v>20190304155507349</v>
      </c>
      <c r="B4605" t="str">
        <f>"1551686107342208"</f>
        <v>1551686107342208</v>
      </c>
      <c r="C4605" t="s">
        <v>40</v>
      </c>
      <c r="D4605">
        <v>4.6516549999999999</v>
      </c>
      <c r="E4605">
        <v>0.596692</v>
      </c>
      <c r="F4605" t="s">
        <v>90</v>
      </c>
      <c r="G4605">
        <v>-279.02</v>
      </c>
      <c r="H4605">
        <v>0.52808569999999999</v>
      </c>
      <c r="I4605">
        <v>2.544136</v>
      </c>
      <c r="J4605">
        <v>-342.54129999999998</v>
      </c>
      <c r="K4605">
        <v>1.11056</v>
      </c>
      <c r="L4605">
        <v>17.117920000000002</v>
      </c>
      <c r="M4605">
        <v>0.99978100000000003</v>
      </c>
      <c r="N4605">
        <v>-1.3700469999999999E-2</v>
      </c>
      <c r="O4605">
        <v>-1.5826699999999999E-2</v>
      </c>
      <c r="P4605">
        <v>0.98434429999999995</v>
      </c>
      <c r="Q4605">
        <v>0.17393459999999999</v>
      </c>
      <c r="R4605">
        <v>2.8519639999999999E-2</v>
      </c>
      <c r="S4605">
        <v>3.073944</v>
      </c>
      <c r="T4605">
        <v>-2.8085229999999999E-2</v>
      </c>
      <c r="U4605">
        <v>-0.70288090000000003</v>
      </c>
      <c r="V4605">
        <v>-4.4091859999999997E-2</v>
      </c>
      <c r="W4605">
        <v>0.18739720000000001</v>
      </c>
      <c r="X4605">
        <v>0.98129420000000001</v>
      </c>
      <c r="Y4605">
        <v>0.20742569999999999</v>
      </c>
      <c r="Z4605">
        <v>-2.4461449999999998E-3</v>
      </c>
      <c r="AA4605">
        <v>0.97824770000000005</v>
      </c>
      <c r="AB4605">
        <v>23</v>
      </c>
      <c r="AC4605">
        <v>63.521299999999997</v>
      </c>
      <c r="AD4605">
        <v>-0.5824743</v>
      </c>
      <c r="AE4605">
        <v>-14.573784</v>
      </c>
      <c r="AF4605">
        <v>13.565447883410901</v>
      </c>
      <c r="AG4605">
        <v>-0.5824743</v>
      </c>
      <c r="AH4605">
        <v>63.738927557386901</v>
      </c>
      <c r="AI4605">
        <v>90.512110243105397</v>
      </c>
      <c r="AJ4605">
        <v>77.985104142035894</v>
      </c>
      <c r="AK4605">
        <v>65.169099569915105</v>
      </c>
      <c r="AL4605">
        <v>79.199074018327494</v>
      </c>
      <c r="AM4605">
        <v>92.572703915750395</v>
      </c>
      <c r="AN4605">
        <v>1.00000005481986</v>
      </c>
    </row>
    <row r="4606" spans="1:40" x14ac:dyDescent="0.25">
      <c r="A4606" t="str">
        <f>"20190304155507371"</f>
        <v>20190304155507371</v>
      </c>
      <c r="B4606" t="str">
        <f>"1551686107362704"</f>
        <v>1551686107362704</v>
      </c>
      <c r="C4606" t="s">
        <v>40</v>
      </c>
      <c r="D4606">
        <v>4.6141100000000002</v>
      </c>
      <c r="E4606">
        <v>0.59662780000000004</v>
      </c>
      <c r="F4606" t="s">
        <v>90</v>
      </c>
      <c r="G4606">
        <v>-279.02</v>
      </c>
      <c r="H4606">
        <v>0.46219769999999999</v>
      </c>
      <c r="I4606">
        <v>2.5962619999999998</v>
      </c>
      <c r="J4606">
        <v>-342.30889999999999</v>
      </c>
      <c r="K4606">
        <v>1.1105590000000001</v>
      </c>
      <c r="L4606">
        <v>17.114260000000002</v>
      </c>
      <c r="M4606">
        <v>0.99978109999999998</v>
      </c>
      <c r="N4606">
        <v>-1.369806E-2</v>
      </c>
      <c r="O4606">
        <v>-1.5821209999999999E-2</v>
      </c>
      <c r="P4606">
        <v>0.98451330000000004</v>
      </c>
      <c r="Q4606">
        <v>0.17304439999999999</v>
      </c>
      <c r="R4606">
        <v>2.8093010000000002E-2</v>
      </c>
      <c r="S4606">
        <v>3.073639</v>
      </c>
      <c r="T4606">
        <v>-3.1372669999999998E-2</v>
      </c>
      <c r="U4606">
        <v>-0.70266719999999905</v>
      </c>
      <c r="V4606">
        <v>-4.366188E-2</v>
      </c>
      <c r="W4606">
        <v>0.18650710000000001</v>
      </c>
      <c r="X4606">
        <v>0.98148290000000005</v>
      </c>
      <c r="Y4606">
        <v>0.20738400000000001</v>
      </c>
      <c r="Z4606">
        <v>-2.5382270000000001E-3</v>
      </c>
      <c r="AA4606">
        <v>0.97825629999999997</v>
      </c>
      <c r="AB4606">
        <v>23</v>
      </c>
      <c r="AC4606">
        <v>63.288899999999998</v>
      </c>
      <c r="AD4606">
        <v>-0.64836130000000003</v>
      </c>
      <c r="AE4606">
        <v>-14.517998</v>
      </c>
      <c r="AF4606">
        <v>13.513432380428499</v>
      </c>
      <c r="AG4606">
        <v>-0.64836130000000003</v>
      </c>
      <c r="AH4606">
        <v>63.504359341757201</v>
      </c>
      <c r="AI4606">
        <v>90.572143587770697</v>
      </c>
      <c r="AJ4606">
        <v>77.986910482321605</v>
      </c>
      <c r="AK4606">
        <v>64.929476222150299</v>
      </c>
      <c r="AL4606">
        <v>79.250987373586895</v>
      </c>
      <c r="AM4606">
        <v>92.547159182451196</v>
      </c>
      <c r="AN4606">
        <v>0.99999997055397605</v>
      </c>
    </row>
    <row r="4607" spans="1:40" x14ac:dyDescent="0.25">
      <c r="A4607" t="str">
        <f>"20190304155507393"</f>
        <v>20190304155507393</v>
      </c>
      <c r="B4607" t="str">
        <f>"1551686107382223"</f>
        <v>1551686107382223</v>
      </c>
      <c r="C4607" t="s">
        <v>40</v>
      </c>
      <c r="D4607">
        <v>4.4817539999999996</v>
      </c>
      <c r="E4607">
        <v>0.55009759999999996</v>
      </c>
      <c r="F4607" t="s">
        <v>90</v>
      </c>
      <c r="G4607">
        <v>-279.02</v>
      </c>
      <c r="H4607">
        <v>0.41690270000000001</v>
      </c>
      <c r="I4607">
        <v>2.6266099999999999</v>
      </c>
      <c r="J4607">
        <v>-342.08690000000001</v>
      </c>
      <c r="K4607">
        <v>1.110554</v>
      </c>
      <c r="L4607">
        <v>17.110749999999999</v>
      </c>
      <c r="M4607">
        <v>0.99978120000000004</v>
      </c>
      <c r="N4607">
        <v>-1.369575E-2</v>
      </c>
      <c r="O4607">
        <v>-1.581751E-2</v>
      </c>
      <c r="P4607">
        <v>0.98452919999999999</v>
      </c>
      <c r="Q4607">
        <v>0.17293499999999901</v>
      </c>
      <c r="R4607">
        <v>2.8212060000000001E-2</v>
      </c>
      <c r="S4607">
        <v>3.0731809999999999</v>
      </c>
      <c r="T4607">
        <v>-3.3682579999999997E-2</v>
      </c>
      <c r="U4607">
        <v>-0.70349119999999998</v>
      </c>
      <c r="V4607">
        <v>-4.3777009999999998E-2</v>
      </c>
      <c r="W4607">
        <v>0.1863966</v>
      </c>
      <c r="X4607">
        <v>0.9814988</v>
      </c>
      <c r="Y4607">
        <v>0.20766580000000001</v>
      </c>
      <c r="Z4607">
        <v>-2.6067730000000002E-3</v>
      </c>
      <c r="AA4607">
        <v>0.97819639999999997</v>
      </c>
      <c r="AB4607">
        <v>23</v>
      </c>
      <c r="AC4607">
        <v>63.066899999999997</v>
      </c>
      <c r="AD4607">
        <v>-0.69365129999999997</v>
      </c>
      <c r="AE4607">
        <v>-14.48414</v>
      </c>
      <c r="AF4607">
        <v>13.4831235020807</v>
      </c>
      <c r="AG4607">
        <v>-0.69365129999999997</v>
      </c>
      <c r="AH4607">
        <v>63.280861477754797</v>
      </c>
      <c r="AI4607">
        <v>90.614234199903606</v>
      </c>
      <c r="AJ4607">
        <v>77.971969037452993</v>
      </c>
      <c r="AK4607">
        <v>64.705047723227494</v>
      </c>
      <c r="AL4607">
        <v>79.257431955511393</v>
      </c>
      <c r="AM4607">
        <v>92.5538254710751</v>
      </c>
      <c r="AN4607">
        <v>1.00000000674877</v>
      </c>
    </row>
    <row r="4608" spans="1:40" x14ac:dyDescent="0.25">
      <c r="A4608" t="str">
        <f>"20190304155507415"</f>
        <v>20190304155507415</v>
      </c>
      <c r="B4608" t="str">
        <f>"1551686107412479"</f>
        <v>1551686107412479</v>
      </c>
      <c r="C4608" t="s">
        <v>40</v>
      </c>
      <c r="D4608">
        <v>4.6536780000000002</v>
      </c>
      <c r="E4608">
        <v>0.51950450000000004</v>
      </c>
      <c r="F4608" t="s">
        <v>47</v>
      </c>
      <c r="G4608">
        <v>-285.64859999999999</v>
      </c>
      <c r="H4608">
        <v>-0.05</v>
      </c>
      <c r="I4608">
        <v>10.980420000000001</v>
      </c>
      <c r="J4608">
        <v>-341.86669999999998</v>
      </c>
      <c r="K4608">
        <v>1.1105529999999999</v>
      </c>
      <c r="L4608">
        <v>17.10727</v>
      </c>
      <c r="M4608">
        <v>0.99978120000000004</v>
      </c>
      <c r="N4608">
        <v>-1.3693439999999999E-2</v>
      </c>
      <c r="O4608">
        <v>-1.5815240000000001E-2</v>
      </c>
      <c r="P4608">
        <v>0.98459580000000002</v>
      </c>
      <c r="Q4608">
        <v>0.17256279999999999</v>
      </c>
      <c r="R4608">
        <v>2.816198E-2</v>
      </c>
      <c r="S4608">
        <v>3.06778</v>
      </c>
      <c r="T4608">
        <v>-6.3083410000000006E-2</v>
      </c>
      <c r="U4608">
        <v>-0.3332214</v>
      </c>
      <c r="V4608">
        <v>-4.372587E-2</v>
      </c>
      <c r="W4608">
        <v>0.18602270000000001</v>
      </c>
      <c r="X4608">
        <v>0.981572</v>
      </c>
      <c r="Y4608">
        <v>9.221501E-2</v>
      </c>
      <c r="Z4608">
        <v>-1.470442E-3</v>
      </c>
      <c r="AA4608">
        <v>0.99573800000000001</v>
      </c>
      <c r="AB4608">
        <v>23</v>
      </c>
      <c r="AC4608">
        <v>56.2180999999999</v>
      </c>
      <c r="AD4608">
        <v>-1.1605529999999999</v>
      </c>
      <c r="AE4608">
        <v>-6.1268499999999904</v>
      </c>
      <c r="AF4608">
        <v>5.2346928445624004</v>
      </c>
      <c r="AG4608">
        <v>-1.1605529999999999</v>
      </c>
      <c r="AH4608">
        <v>56.284269415522502</v>
      </c>
      <c r="AI4608">
        <v>91.176167987832997</v>
      </c>
      <c r="AJ4608">
        <v>84.686517208641405</v>
      </c>
      <c r="AK4608">
        <v>56.539082731167902</v>
      </c>
      <c r="AL4608">
        <v>79.279236063676194</v>
      </c>
      <c r="AM4608">
        <v>92.550656076565303</v>
      </c>
      <c r="AN4608">
        <v>0.99999999390327299</v>
      </c>
    </row>
    <row r="4609" spans="1:40" x14ac:dyDescent="0.25">
      <c r="A4609" t="str">
        <f>"20190304155507437"</f>
        <v>20190304155507437</v>
      </c>
      <c r="B4609" t="str">
        <f>"1551686107432000"</f>
        <v>1551686107432000</v>
      </c>
      <c r="C4609" t="s">
        <v>40</v>
      </c>
      <c r="D4609">
        <v>4.6243400000000001</v>
      </c>
      <c r="E4609">
        <v>0.52064009999999905</v>
      </c>
      <c r="F4609" t="s">
        <v>46</v>
      </c>
      <c r="G4609">
        <v>-322.05070000000001</v>
      </c>
      <c r="H4609" s="1">
        <v>-4.2894760000000004E-6</v>
      </c>
      <c r="I4609">
        <v>16.508189999999999</v>
      </c>
      <c r="J4609">
        <v>-341.64429999999999</v>
      </c>
      <c r="K4609">
        <v>1.1105499999999999</v>
      </c>
      <c r="L4609">
        <v>17.103760000000001</v>
      </c>
      <c r="M4609">
        <v>0.99978129999999998</v>
      </c>
      <c r="N4609">
        <v>-1.369109E-2</v>
      </c>
      <c r="O4609">
        <v>-1.5814760000000001E-2</v>
      </c>
      <c r="P4609">
        <v>0.9847475</v>
      </c>
      <c r="Q4609">
        <v>0.1716664</v>
      </c>
      <c r="R4609">
        <v>2.8340000000000001E-2</v>
      </c>
      <c r="S4609">
        <v>3.079834</v>
      </c>
      <c r="T4609">
        <v>-0.1726046</v>
      </c>
      <c r="U4609">
        <v>-9.3109129999999998E-2</v>
      </c>
      <c r="V4609">
        <v>-4.3905680000000002E-2</v>
      </c>
      <c r="W4609">
        <v>0.1851264</v>
      </c>
      <c r="X4609">
        <v>0.98173339999999998</v>
      </c>
      <c r="Y4609">
        <v>1.4391330000000001E-2</v>
      </c>
      <c r="Z4609">
        <v>1.6746109999999999E-4</v>
      </c>
      <c r="AA4609">
        <v>0.99989640000000002</v>
      </c>
      <c r="AB4609">
        <v>23</v>
      </c>
      <c r="AC4609">
        <v>19.593599999999899</v>
      </c>
      <c r="AD4609">
        <v>-1.1105542894760001</v>
      </c>
      <c r="AE4609">
        <v>-0.59557000000000204</v>
      </c>
      <c r="AF4609">
        <v>0.28468468493533</v>
      </c>
      <c r="AG4609">
        <v>-1.1105542894760001</v>
      </c>
      <c r="AH4609">
        <v>19.537860231098801</v>
      </c>
      <c r="AI4609">
        <v>93.252912335977797</v>
      </c>
      <c r="AJ4609">
        <v>89.165206602099502</v>
      </c>
      <c r="AK4609">
        <v>19.571467972782699</v>
      </c>
      <c r="AL4609">
        <v>79.3314979115261</v>
      </c>
      <c r="AM4609">
        <v>92.560710477269296</v>
      </c>
      <c r="AN4609">
        <v>0.999999980694391</v>
      </c>
    </row>
    <row r="4610" spans="1:40" x14ac:dyDescent="0.25">
      <c r="A4610" t="str">
        <f>"20190304155507460"</f>
        <v>20190304155507460</v>
      </c>
      <c r="B4610" t="str">
        <f>"1551686107452495"</f>
        <v>1551686107452495</v>
      </c>
      <c r="C4610" t="s">
        <v>40</v>
      </c>
      <c r="D4610">
        <v>4.560009</v>
      </c>
      <c r="E4610">
        <v>0.52098849999999997</v>
      </c>
      <c r="F4610" t="s">
        <v>46</v>
      </c>
      <c r="G4610">
        <v>-321.88639999999998</v>
      </c>
      <c r="H4610" s="1">
        <v>-4.3774650000000001E-6</v>
      </c>
      <c r="I4610">
        <v>16.450189999999999</v>
      </c>
      <c r="J4610">
        <v>-341.41930000000002</v>
      </c>
      <c r="K4610">
        <v>1.110549</v>
      </c>
      <c r="L4610">
        <v>17.100189999999898</v>
      </c>
      <c r="M4610">
        <v>0.99978129999999998</v>
      </c>
      <c r="N4610">
        <v>-1.368872E-2</v>
      </c>
      <c r="O4610">
        <v>-1.5814749999999999E-2</v>
      </c>
      <c r="P4610">
        <v>0.98482840000000005</v>
      </c>
      <c r="Q4610">
        <v>0.17118059999999999</v>
      </c>
      <c r="R4610">
        <v>2.8462810000000002E-2</v>
      </c>
      <c r="S4610">
        <v>3.079529</v>
      </c>
      <c r="T4610">
        <v>-0.17309459999999999</v>
      </c>
      <c r="U4610">
        <v>-0.10186770000000001</v>
      </c>
      <c r="V4610">
        <v>-4.4028680000000001E-2</v>
      </c>
      <c r="W4610">
        <v>0.18463950000000001</v>
      </c>
      <c r="X4610">
        <v>0.98181960000000001</v>
      </c>
      <c r="Y4610">
        <v>1.7229649999999999E-2</v>
      </c>
      <c r="Z4610" s="1">
        <v>6.9773789999999999E-5</v>
      </c>
      <c r="AA4610">
        <v>0.99985159999999995</v>
      </c>
      <c r="AB4610">
        <v>23</v>
      </c>
      <c r="AC4610">
        <v>19.532900000000001</v>
      </c>
      <c r="AD4610">
        <v>-1.110553377465</v>
      </c>
      <c r="AE4610">
        <v>-0.64999999999999802</v>
      </c>
      <c r="AF4610">
        <v>0.33988436162987201</v>
      </c>
      <c r="AG4610">
        <v>-1.110553377465</v>
      </c>
      <c r="AH4610">
        <v>19.477843806715299</v>
      </c>
      <c r="AI4610">
        <v>93.262761101713394</v>
      </c>
      <c r="AJ4610">
        <v>89.000301911045995</v>
      </c>
      <c r="AK4610">
        <v>19.5124383289807</v>
      </c>
      <c r="AL4610">
        <v>79.359884787699499</v>
      </c>
      <c r="AM4610">
        <v>92.567649468004305</v>
      </c>
      <c r="AN4610">
        <v>0.99999999828347597</v>
      </c>
    </row>
    <row r="4611" spans="1:40" x14ac:dyDescent="0.25">
      <c r="A4611" t="str">
        <f>"20190304155507482"</f>
        <v>20190304155507482</v>
      </c>
      <c r="B4611" t="str">
        <f>"1551686107472019"</f>
        <v>1551686107472019</v>
      </c>
      <c r="C4611" t="s">
        <v>40</v>
      </c>
      <c r="D4611">
        <v>4.6075480000000004</v>
      </c>
      <c r="E4611">
        <v>0.52160410000000001</v>
      </c>
      <c r="F4611" t="s">
        <v>46</v>
      </c>
      <c r="G4611">
        <v>-321.7525</v>
      </c>
      <c r="H4611" s="1">
        <v>-4.4436939999999997E-6</v>
      </c>
      <c r="I4611">
        <v>16.433440000000001</v>
      </c>
      <c r="J4611">
        <v>-341.19099999999997</v>
      </c>
      <c r="K4611">
        <v>1.1105510000000001</v>
      </c>
      <c r="L4611">
        <v>17.096589999999999</v>
      </c>
      <c r="M4611">
        <v>0.99978129999999998</v>
      </c>
      <c r="N4611">
        <v>-1.368632E-2</v>
      </c>
      <c r="O4611">
        <v>-1.5814990000000001E-2</v>
      </c>
      <c r="P4611">
        <v>0.98492009999999997</v>
      </c>
      <c r="Q4611">
        <v>0.17065529999999901</v>
      </c>
      <c r="R4611">
        <v>2.8450079999999999E-2</v>
      </c>
      <c r="S4611">
        <v>3.0794679999999999</v>
      </c>
      <c r="T4611">
        <v>-0.17389350000000001</v>
      </c>
      <c r="U4611">
        <v>-0.1044006</v>
      </c>
      <c r="V4611">
        <v>-4.401766E-2</v>
      </c>
      <c r="W4611">
        <v>0.1841132</v>
      </c>
      <c r="X4611">
        <v>0.98191890000000004</v>
      </c>
      <c r="Y4611">
        <v>1.8049820000000001E-2</v>
      </c>
      <c r="Z4611" s="1">
        <v>4.2955270000000003E-5</v>
      </c>
      <c r="AA4611">
        <v>0.99983710000000003</v>
      </c>
      <c r="AB4611">
        <v>23</v>
      </c>
      <c r="AC4611">
        <v>19.438499999999902</v>
      </c>
      <c r="AD4611">
        <v>-1.1105554436939999</v>
      </c>
      <c r="AE4611">
        <v>-0.66314999999999802</v>
      </c>
      <c r="AF4611">
        <v>0.35446294527565703</v>
      </c>
      <c r="AG4611">
        <v>-1.1105554436939999</v>
      </c>
      <c r="AH4611">
        <v>19.383362713350099</v>
      </c>
      <c r="AI4611">
        <v>93.278587461241301</v>
      </c>
      <c r="AJ4611">
        <v>88.952350651393004</v>
      </c>
      <c r="AK4611">
        <v>19.4183863245735</v>
      </c>
      <c r="AL4611">
        <v>79.390565312067295</v>
      </c>
      <c r="AM4611">
        <v>92.566748416712201</v>
      </c>
      <c r="AN4611">
        <v>0.99999997549166197</v>
      </c>
    </row>
    <row r="4612" spans="1:40" x14ac:dyDescent="0.25">
      <c r="A4612" t="str">
        <f>"20190304155507503"</f>
        <v>20190304155507503</v>
      </c>
      <c r="B4612" t="str">
        <f>"1551686107492512"</f>
        <v>1551686107492512</v>
      </c>
      <c r="C4612" t="s">
        <v>40</v>
      </c>
      <c r="D4612">
        <v>4.7668019999999904</v>
      </c>
      <c r="E4612">
        <v>0.52192249999999996</v>
      </c>
      <c r="F4612" t="s">
        <v>46</v>
      </c>
      <c r="G4612">
        <v>-321.12670000000003</v>
      </c>
      <c r="H4612" s="1">
        <v>-4.7484860000000004E-6</v>
      </c>
      <c r="I4612">
        <v>16.38297</v>
      </c>
      <c r="J4612">
        <v>-340.97809999999998</v>
      </c>
      <c r="K4612">
        <v>1.110549</v>
      </c>
      <c r="L4612">
        <v>17.093260000000001</v>
      </c>
      <c r="M4612">
        <v>0.99978140000000004</v>
      </c>
      <c r="N4612">
        <v>-1.368423E-2</v>
      </c>
      <c r="O4612">
        <v>-1.5815579999999999E-2</v>
      </c>
      <c r="P4612">
        <v>0.98496550000000005</v>
      </c>
      <c r="Q4612">
        <v>0.17035699999999901</v>
      </c>
      <c r="R4612">
        <v>2.8666480000000001E-2</v>
      </c>
      <c r="S4612">
        <v>3.0786739999999999</v>
      </c>
      <c r="T4612">
        <v>-0.170404</v>
      </c>
      <c r="U4612">
        <v>-0.1094971</v>
      </c>
      <c r="V4612">
        <v>-4.423556E-2</v>
      </c>
      <c r="W4612">
        <v>0.18381320000000001</v>
      </c>
      <c r="X4612">
        <v>0.98196539999999999</v>
      </c>
      <c r="Y4612">
        <v>1.9708420000000001E-2</v>
      </c>
      <c r="Z4612" s="1">
        <v>-2.1772689999999998E-5</v>
      </c>
      <c r="AA4612">
        <v>0.99980570000000002</v>
      </c>
      <c r="AB4612">
        <v>23</v>
      </c>
      <c r="AC4612">
        <v>19.851399999999899</v>
      </c>
      <c r="AD4612">
        <v>-1.110553748486</v>
      </c>
      <c r="AE4612">
        <v>-0.71028999999999998</v>
      </c>
      <c r="AF4612">
        <v>0.39497581837504298</v>
      </c>
      <c r="AG4612">
        <v>-1.110553748486</v>
      </c>
      <c r="AH4612">
        <v>19.798268751963601</v>
      </c>
      <c r="AI4612">
        <v>93.209917663138299</v>
      </c>
      <c r="AJ4612">
        <v>88.857099776119199</v>
      </c>
      <c r="AK4612">
        <v>19.833325013732701</v>
      </c>
      <c r="AL4612">
        <v>79.408053425127505</v>
      </c>
      <c r="AM4612">
        <v>92.579315454212093</v>
      </c>
      <c r="AN4612">
        <v>1.0000000620299501</v>
      </c>
    </row>
    <row r="4613" spans="1:40" x14ac:dyDescent="0.25">
      <c r="A4613" t="str">
        <f>"20190304155507526"</f>
        <v>20190304155507526</v>
      </c>
      <c r="B4613" t="str">
        <f>"1551686107521792"</f>
        <v>1551686107521792</v>
      </c>
      <c r="C4613" t="s">
        <v>40</v>
      </c>
      <c r="D4613">
        <v>4.605639</v>
      </c>
      <c r="E4613">
        <v>0.52300959999999996</v>
      </c>
      <c r="F4613" t="s">
        <v>46</v>
      </c>
      <c r="G4613">
        <v>-320.8098</v>
      </c>
      <c r="H4613" s="1">
        <v>-4.9018829999999998E-6</v>
      </c>
      <c r="I4613">
        <v>16.362679999999902</v>
      </c>
      <c r="J4613">
        <v>-340.74889999999999</v>
      </c>
      <c r="K4613">
        <v>1.1105480000000001</v>
      </c>
      <c r="L4613">
        <v>17.08963</v>
      </c>
      <c r="M4613">
        <v>0.99978129999999998</v>
      </c>
      <c r="N4613">
        <v>-1.3681840000000001E-2</v>
      </c>
      <c r="O4613">
        <v>-1.5816170000000001E-2</v>
      </c>
      <c r="P4613">
        <v>0.98507880000000003</v>
      </c>
      <c r="Q4613">
        <v>0.16967099999999999</v>
      </c>
      <c r="R4613">
        <v>2.8840870000000001E-2</v>
      </c>
      <c r="S4613">
        <v>3.0783689999999999</v>
      </c>
      <c r="T4613">
        <v>-0.16950850000000001</v>
      </c>
      <c r="U4613">
        <v>-0.1115112</v>
      </c>
      <c r="V4613">
        <v>-4.4411779999999998E-2</v>
      </c>
      <c r="W4613">
        <v>0.18312700000000001</v>
      </c>
      <c r="X4613">
        <v>0.9820856</v>
      </c>
      <c r="Y4613">
        <v>2.0363599999999999E-2</v>
      </c>
      <c r="Z4613" s="1">
        <v>-4.589558E-5</v>
      </c>
      <c r="AA4613">
        <v>0.99979260000000003</v>
      </c>
      <c r="AB4613">
        <v>22</v>
      </c>
      <c r="AC4613">
        <v>19.9391</v>
      </c>
      <c r="AD4613">
        <v>-1.1105529018829901</v>
      </c>
      <c r="AE4613">
        <v>-0.72695000000000198</v>
      </c>
      <c r="AF4613">
        <v>0.410198514701138</v>
      </c>
      <c r="AG4613">
        <v>-1.1105529018829901</v>
      </c>
      <c r="AH4613">
        <v>19.8864944727862</v>
      </c>
      <c r="AI4613">
        <v>93.195660345924907</v>
      </c>
      <c r="AJ4613">
        <v>88.818328122469495</v>
      </c>
      <c r="AK4613">
        <v>19.9217030643843</v>
      </c>
      <c r="AL4613">
        <v>79.448048193839696</v>
      </c>
      <c r="AM4613">
        <v>92.589260130030695</v>
      </c>
      <c r="AN4613">
        <v>1.00000001502956</v>
      </c>
    </row>
    <row r="4614" spans="1:40" x14ac:dyDescent="0.25">
      <c r="A4614" t="str">
        <f>"20190304155507549"</f>
        <v>20190304155507549</v>
      </c>
      <c r="B4614" t="str">
        <f>"1551686107542288"</f>
        <v>1551686107542288</v>
      </c>
      <c r="C4614" t="s">
        <v>40</v>
      </c>
      <c r="D4614">
        <v>4.6548619999999996</v>
      </c>
      <c r="E4614">
        <v>0.5234721</v>
      </c>
      <c r="F4614" t="s">
        <v>46</v>
      </c>
      <c r="G4614">
        <v>-320.23559999999998</v>
      </c>
      <c r="H4614" s="1">
        <v>-5.1861460000000002E-6</v>
      </c>
      <c r="I4614">
        <v>16.29045</v>
      </c>
      <c r="J4614">
        <v>-340.52330000000001</v>
      </c>
      <c r="K4614">
        <v>1.11054599999999</v>
      </c>
      <c r="L4614">
        <v>17.08606</v>
      </c>
      <c r="M4614">
        <v>0.99978129999999998</v>
      </c>
      <c r="N4614">
        <v>-1.36793E-2</v>
      </c>
      <c r="O4614">
        <v>-1.5816630000000002E-2</v>
      </c>
      <c r="P4614">
        <v>0.98517140000000003</v>
      </c>
      <c r="Q4614">
        <v>0.1691309</v>
      </c>
      <c r="R4614">
        <v>2.8847500000000002E-2</v>
      </c>
      <c r="S4614">
        <v>3.0776979999999998</v>
      </c>
      <c r="T4614">
        <v>-0.16662060000000001</v>
      </c>
      <c r="U4614">
        <v>-0.1199036</v>
      </c>
      <c r="V4614">
        <v>-4.4420550000000003E-2</v>
      </c>
      <c r="W4614">
        <v>0.18258550000000001</v>
      </c>
      <c r="X4614">
        <v>0.982186</v>
      </c>
      <c r="Y4614">
        <v>2.3088939999999999E-2</v>
      </c>
      <c r="Z4614">
        <v>-1.4338870000000001E-4</v>
      </c>
      <c r="AA4614">
        <v>0.99973339999999999</v>
      </c>
      <c r="AB4614">
        <v>22</v>
      </c>
      <c r="AC4614">
        <v>20.287700000000001</v>
      </c>
      <c r="AD4614">
        <v>-1.11055118614599</v>
      </c>
      <c r="AE4614">
        <v>-0.79560999999999904</v>
      </c>
      <c r="AF4614">
        <v>0.47318167413873402</v>
      </c>
      <c r="AG4614">
        <v>-1.11055118614599</v>
      </c>
      <c r="AH4614">
        <v>20.237199501583799</v>
      </c>
      <c r="AI4614">
        <v>93.1401975383463</v>
      </c>
      <c r="AJ4614">
        <v>88.660566950650704</v>
      </c>
      <c r="AK4614">
        <v>20.2731711505796</v>
      </c>
      <c r="AL4614">
        <v>79.479605712386103</v>
      </c>
      <c r="AM4614">
        <v>92.589506367016696</v>
      </c>
      <c r="AN4614">
        <v>0.999999994334276</v>
      </c>
    </row>
    <row r="4615" spans="1:40" x14ac:dyDescent="0.25">
      <c r="A4615" t="str">
        <f>"20190304155507563"</f>
        <v>20190304155507563</v>
      </c>
      <c r="B4615" t="str">
        <f>"1551686107552048"</f>
        <v>1551686107552048</v>
      </c>
      <c r="C4615" t="s">
        <v>40</v>
      </c>
      <c r="D4615">
        <v>4.660698</v>
      </c>
      <c r="E4615">
        <v>0.52366029999999997</v>
      </c>
      <c r="F4615" t="s">
        <v>47</v>
      </c>
      <c r="G4615">
        <v>-318.80549999999999</v>
      </c>
      <c r="H4615">
        <v>-0.05</v>
      </c>
      <c r="I4615">
        <v>16.211559999999999</v>
      </c>
      <c r="J4615">
        <v>-340.38159999999999</v>
      </c>
      <c r="K4615">
        <v>1.110544</v>
      </c>
      <c r="L4615">
        <v>17.0838</v>
      </c>
      <c r="M4615">
        <v>0.99978140000000004</v>
      </c>
      <c r="N4615">
        <v>-1.3677689999999999E-2</v>
      </c>
      <c r="O4615">
        <v>-1.5816739999999999E-2</v>
      </c>
      <c r="P4615">
        <v>0.98521579999999997</v>
      </c>
      <c r="Q4615">
        <v>0.16892579999999999</v>
      </c>
      <c r="R4615">
        <v>2.8534710000000001E-2</v>
      </c>
      <c r="S4615">
        <v>3.077026</v>
      </c>
      <c r="T4615">
        <v>-0.1644293</v>
      </c>
      <c r="U4615">
        <v>-0.12390139999999999</v>
      </c>
      <c r="V4615">
        <v>-4.4108469999999997E-2</v>
      </c>
      <c r="W4615">
        <v>0.18237919999999999</v>
      </c>
      <c r="X4615">
        <v>0.98223839999999996</v>
      </c>
      <c r="Y4615">
        <v>2.4392359999999998E-2</v>
      </c>
      <c r="Z4615">
        <v>-1.9004349999999999E-4</v>
      </c>
      <c r="AA4615">
        <v>0.99970250000000005</v>
      </c>
      <c r="AB4615">
        <v>22</v>
      </c>
      <c r="AC4615">
        <v>21.5761</v>
      </c>
      <c r="AD4615">
        <v>-1.160544</v>
      </c>
      <c r="AE4615">
        <v>-0.87223999999999702</v>
      </c>
      <c r="AF4615">
        <v>0.529306508340326</v>
      </c>
      <c r="AG4615">
        <v>-1.160544</v>
      </c>
      <c r="AH4615">
        <v>21.525023345659701</v>
      </c>
      <c r="AI4615">
        <v>93.085242510650602</v>
      </c>
      <c r="AJ4615">
        <v>88.591364200256905</v>
      </c>
      <c r="AK4615">
        <v>21.5627840917378</v>
      </c>
      <c r="AL4615">
        <v>79.491627773568695</v>
      </c>
      <c r="AM4615">
        <v>92.571201103816705</v>
      </c>
      <c r="AN4615">
        <v>1.0000000020764701</v>
      </c>
    </row>
    <row r="4616" spans="1:40" x14ac:dyDescent="0.25">
      <c r="A4616" t="str">
        <f>"20190304155507585"</f>
        <v>20190304155507585</v>
      </c>
      <c r="B4616" t="str">
        <f>"1551686107572543"</f>
        <v>1551686107572543</v>
      </c>
      <c r="C4616" t="s">
        <v>40</v>
      </c>
      <c r="D4616">
        <v>4.6440679999999999</v>
      </c>
      <c r="E4616">
        <v>0.5242057</v>
      </c>
      <c r="F4616" t="s">
        <v>47</v>
      </c>
      <c r="G4616">
        <v>-318.55549999999999</v>
      </c>
      <c r="H4616">
        <v>-0.05</v>
      </c>
      <c r="I4616">
        <v>16.18451</v>
      </c>
      <c r="J4616">
        <v>-340.16269999999997</v>
      </c>
      <c r="K4616">
        <v>1.110544</v>
      </c>
      <c r="L4616">
        <v>17.080349999999999</v>
      </c>
      <c r="M4616">
        <v>0.99978149999999999</v>
      </c>
      <c r="N4616">
        <v>-1.367521E-2</v>
      </c>
      <c r="O4616">
        <v>-1.5817080000000001E-2</v>
      </c>
      <c r="P4616">
        <v>0.98533110000000002</v>
      </c>
      <c r="Q4616">
        <v>0.1683315</v>
      </c>
      <c r="R4616">
        <v>2.806022E-2</v>
      </c>
      <c r="S4616">
        <v>3.0767519999999999</v>
      </c>
      <c r="T4616">
        <v>-0.16359779999999999</v>
      </c>
      <c r="U4616">
        <v>-0.12676999999999999</v>
      </c>
      <c r="V4616">
        <v>-4.3636090000000002E-2</v>
      </c>
      <c r="W4616">
        <v>0.18178420000000001</v>
      </c>
      <c r="X4616">
        <v>0.98236979999999996</v>
      </c>
      <c r="Y4616">
        <v>2.532471E-2</v>
      </c>
      <c r="Z4616">
        <v>-2.2206710000000001E-4</v>
      </c>
      <c r="AA4616">
        <v>0.99967930000000005</v>
      </c>
      <c r="AB4616">
        <v>22</v>
      </c>
      <c r="AC4616">
        <v>21.607199999999899</v>
      </c>
      <c r="AD4616">
        <v>-1.160544</v>
      </c>
      <c r="AE4616">
        <v>-0.89583999999999897</v>
      </c>
      <c r="AF4616">
        <v>0.55234247820205296</v>
      </c>
      <c r="AG4616">
        <v>-1.160544</v>
      </c>
      <c r="AH4616">
        <v>21.556586144917599</v>
      </c>
      <c r="AI4616">
        <v>93.080654192412993</v>
      </c>
      <c r="AJ4616">
        <v>88.532236523349496</v>
      </c>
      <c r="AK4616">
        <v>21.594868622254101</v>
      </c>
      <c r="AL4616">
        <v>79.526298461198294</v>
      </c>
      <c r="AM4616">
        <v>92.543361375521201</v>
      </c>
      <c r="AN4616">
        <v>1.0000000138360801</v>
      </c>
    </row>
    <row r="4617" spans="1:40" x14ac:dyDescent="0.25">
      <c r="A4617" t="str">
        <f>"20190304155507608"</f>
        <v>20190304155507608</v>
      </c>
      <c r="B4617" t="str">
        <f>"1551686107601824"</f>
        <v>1551686107601824</v>
      </c>
      <c r="C4617" t="s">
        <v>40</v>
      </c>
      <c r="D4617">
        <v>4.6435510000000004</v>
      </c>
      <c r="E4617">
        <v>0.52474730000000003</v>
      </c>
      <c r="F4617" t="s">
        <v>47</v>
      </c>
      <c r="G4617">
        <v>-318.17140000000001</v>
      </c>
      <c r="H4617">
        <v>-0.05</v>
      </c>
      <c r="I4617">
        <v>16.130459999999999</v>
      </c>
      <c r="J4617">
        <v>-339.93150000000003</v>
      </c>
      <c r="K4617">
        <v>1.110536</v>
      </c>
      <c r="L4617">
        <v>17.076689999999999</v>
      </c>
      <c r="M4617">
        <v>0.99978160000000005</v>
      </c>
      <c r="N4617">
        <v>-1.367263E-2</v>
      </c>
      <c r="O4617">
        <v>-1.581718E-2</v>
      </c>
      <c r="P4617">
        <v>0.98542149999999995</v>
      </c>
      <c r="Q4617">
        <v>0.16783139999999999</v>
      </c>
      <c r="R4617">
        <v>2.7885130000000001E-2</v>
      </c>
      <c r="S4617">
        <v>3.0762019999999999</v>
      </c>
      <c r="T4617">
        <v>-0.16234000000000001</v>
      </c>
      <c r="U4617">
        <v>-0.13287349999999901</v>
      </c>
      <c r="V4617">
        <v>-4.3463109999999999E-2</v>
      </c>
      <c r="W4617">
        <v>0.1812829</v>
      </c>
      <c r="X4617">
        <v>0.98247010000000001</v>
      </c>
      <c r="Y4617">
        <v>2.7308740000000001E-2</v>
      </c>
      <c r="Z4617">
        <v>-2.8912799999999999E-4</v>
      </c>
      <c r="AA4617">
        <v>0.99962700000000004</v>
      </c>
      <c r="AB4617">
        <v>22</v>
      </c>
      <c r="AC4617">
        <v>21.760100000000001</v>
      </c>
      <c r="AD4617">
        <v>-1.160536</v>
      </c>
      <c r="AE4617">
        <v>-0.94623000000000002</v>
      </c>
      <c r="AF4617">
        <v>0.60019209194780598</v>
      </c>
      <c r="AG4617">
        <v>-1.160536</v>
      </c>
      <c r="AH4617">
        <v>21.710707337946499</v>
      </c>
      <c r="AI4617">
        <v>93.058641402664506</v>
      </c>
      <c r="AJ4617">
        <v>88.416462585057005</v>
      </c>
      <c r="AK4617">
        <v>21.7499859188115</v>
      </c>
      <c r="AL4617">
        <v>79.555506135874296</v>
      </c>
      <c r="AM4617">
        <v>92.533033984759697</v>
      </c>
      <c r="AN4617">
        <v>1.0000000145786401</v>
      </c>
    </row>
    <row r="4618" spans="1:40" x14ac:dyDescent="0.25">
      <c r="A4618" t="str">
        <f>"20190304155507629"</f>
        <v>20190304155507629</v>
      </c>
      <c r="B4618" t="str">
        <f>"1551686107622320"</f>
        <v>1551686107622320</v>
      </c>
      <c r="C4618" t="s">
        <v>40</v>
      </c>
      <c r="D4618">
        <v>4.6417699999999904</v>
      </c>
      <c r="E4618">
        <v>0.52500550000000001</v>
      </c>
      <c r="F4618" t="s">
        <v>47</v>
      </c>
      <c r="G4618">
        <v>-317.64569999999998</v>
      </c>
      <c r="H4618">
        <v>-0.05</v>
      </c>
      <c r="I4618">
        <v>16.076929999999901</v>
      </c>
      <c r="J4618">
        <v>-339.72289999999998</v>
      </c>
      <c r="K4618">
        <v>1.110535</v>
      </c>
      <c r="L4618">
        <v>17.07339</v>
      </c>
      <c r="M4618">
        <v>0.99978149999999999</v>
      </c>
      <c r="N4618">
        <v>-1.367029E-2</v>
      </c>
      <c r="O4618">
        <v>-1.581716E-2</v>
      </c>
      <c r="P4618">
        <v>0.98545539999999998</v>
      </c>
      <c r="Q4618">
        <v>0.16770499999999999</v>
      </c>
      <c r="R4618">
        <v>2.7441759999999999E-2</v>
      </c>
      <c r="S4618">
        <v>3.0755309999999998</v>
      </c>
      <c r="T4618">
        <v>-0.16015850000000001</v>
      </c>
      <c r="U4618">
        <v>-0.13797000000000001</v>
      </c>
      <c r="V4618">
        <v>-4.3020019999999999E-2</v>
      </c>
      <c r="W4618">
        <v>0.18115500000000001</v>
      </c>
      <c r="X4618">
        <v>0.98251319999999998</v>
      </c>
      <c r="Y4618">
        <v>2.896926E-2</v>
      </c>
      <c r="Z4618">
        <v>-3.4512049999999998E-4</v>
      </c>
      <c r="AA4618">
        <v>0.99958029999999998</v>
      </c>
      <c r="AB4618">
        <v>22</v>
      </c>
      <c r="AC4618">
        <v>22.077200000000001</v>
      </c>
      <c r="AD4618">
        <v>-1.1605350000000001</v>
      </c>
      <c r="AE4618">
        <v>-0.99646000000000201</v>
      </c>
      <c r="AF4618">
        <v>0.64532449957411697</v>
      </c>
      <c r="AG4618">
        <v>-1.1605350000000001</v>
      </c>
      <c r="AH4618">
        <v>22.029450001168001</v>
      </c>
      <c r="AI4618">
        <v>93.014324632805497</v>
      </c>
      <c r="AJ4618">
        <v>88.322073428546403</v>
      </c>
      <c r="AK4618">
        <v>22.0694348035906</v>
      </c>
      <c r="AL4618">
        <v>79.562957722248996</v>
      </c>
      <c r="AM4618">
        <v>92.507133937220502</v>
      </c>
      <c r="AN4618">
        <v>1.00000002216001</v>
      </c>
    </row>
    <row r="4619" spans="1:40" x14ac:dyDescent="0.25">
      <c r="A4619" t="str">
        <f>"20190304155507650"</f>
        <v>20190304155507650</v>
      </c>
      <c r="B4619" t="str">
        <f>"1551686107641843"</f>
        <v>1551686107641843</v>
      </c>
      <c r="C4619" t="s">
        <v>40</v>
      </c>
      <c r="D4619">
        <v>4.7045789999999998</v>
      </c>
      <c r="E4619">
        <v>0.52519579999999999</v>
      </c>
      <c r="F4619" t="s">
        <v>47</v>
      </c>
      <c r="G4619">
        <v>-317.21969999999999</v>
      </c>
      <c r="H4619">
        <v>-0.05</v>
      </c>
      <c r="I4619">
        <v>16.037410000000001</v>
      </c>
      <c r="J4619">
        <v>-339.51029999999997</v>
      </c>
      <c r="K4619">
        <v>1.1105339999999999</v>
      </c>
      <c r="L4619">
        <v>17.070039999999999</v>
      </c>
      <c r="M4619">
        <v>0.99978160000000005</v>
      </c>
      <c r="N4619">
        <v>-1.366789E-2</v>
      </c>
      <c r="O4619">
        <v>-1.581714E-2</v>
      </c>
      <c r="P4619">
        <v>0.98570159999999996</v>
      </c>
      <c r="Q4619">
        <v>0.16632539999999901</v>
      </c>
      <c r="R4619">
        <v>2.6995390000000001E-2</v>
      </c>
      <c r="S4619">
        <v>3.0751650000000001</v>
      </c>
      <c r="T4619">
        <v>-0.15859229999999899</v>
      </c>
      <c r="U4619">
        <v>-0.141571</v>
      </c>
      <c r="V4619">
        <v>-4.2577450000000003E-2</v>
      </c>
      <c r="W4619">
        <v>0.17977650000000001</v>
      </c>
      <c r="X4619">
        <v>0.98278560000000004</v>
      </c>
      <c r="Y4619">
        <v>3.0141279999999999E-2</v>
      </c>
      <c r="Z4619">
        <v>-3.8392610000000002E-4</v>
      </c>
      <c r="AA4619">
        <v>0.99954560000000003</v>
      </c>
      <c r="AB4619">
        <v>22</v>
      </c>
      <c r="AC4619">
        <v>22.290599999999898</v>
      </c>
      <c r="AD4619">
        <v>-1.160534</v>
      </c>
      <c r="AE4619">
        <v>-1.0326299999999899</v>
      </c>
      <c r="AF4619">
        <v>0.67806031674984601</v>
      </c>
      <c r="AG4619">
        <v>-1.160534</v>
      </c>
      <c r="AH4619">
        <v>22.243979379037299</v>
      </c>
      <c r="AI4619">
        <v>92.985197801372905</v>
      </c>
      <c r="AJ4619">
        <v>88.254000903326599</v>
      </c>
      <c r="AK4619">
        <v>22.284551231140899</v>
      </c>
      <c r="AL4619">
        <v>79.643257978246695</v>
      </c>
      <c r="AM4619">
        <v>92.480687206010103</v>
      </c>
      <c r="AN4619">
        <v>0.99999998238405596</v>
      </c>
    </row>
    <row r="4620" spans="1:40" x14ac:dyDescent="0.25">
      <c r="A4620" t="str">
        <f>"20190304155507672"</f>
        <v>20190304155507672</v>
      </c>
      <c r="B4620" t="str">
        <f>"1551686107662336"</f>
        <v>1551686107662336</v>
      </c>
      <c r="C4620" t="s">
        <v>40</v>
      </c>
      <c r="D4620">
        <v>4.6666299999999996</v>
      </c>
      <c r="E4620">
        <v>0.525458599999999</v>
      </c>
      <c r="F4620" t="s">
        <v>47</v>
      </c>
      <c r="G4620">
        <v>-317.33440000000002</v>
      </c>
      <c r="H4620">
        <v>-0.05</v>
      </c>
      <c r="I4620">
        <v>16.031129999999902</v>
      </c>
      <c r="J4620">
        <v>-339.2962</v>
      </c>
      <c r="K4620">
        <v>1.1105290000000001</v>
      </c>
      <c r="L4620">
        <v>17.066649999999999</v>
      </c>
      <c r="M4620">
        <v>0.99978149999999999</v>
      </c>
      <c r="N4620">
        <v>-1.3665490000000001E-2</v>
      </c>
      <c r="O4620">
        <v>-1.5816650000000002E-2</v>
      </c>
      <c r="P4620">
        <v>0.98592500000000005</v>
      </c>
      <c r="Q4620">
        <v>0.16503789999999999</v>
      </c>
      <c r="R4620">
        <v>2.6730239999999999E-2</v>
      </c>
      <c r="S4620">
        <v>3.0746150000000001</v>
      </c>
      <c r="T4620">
        <v>-0.16090460000000001</v>
      </c>
      <c r="U4620">
        <v>-0.144043</v>
      </c>
      <c r="V4620">
        <v>-4.2315730000000003E-2</v>
      </c>
      <c r="W4620">
        <v>0.1784897</v>
      </c>
      <c r="X4620">
        <v>0.98303149999999995</v>
      </c>
      <c r="Y4620">
        <v>3.0949580000000001E-2</v>
      </c>
      <c r="Z4620">
        <v>-4.099641E-4</v>
      </c>
      <c r="AA4620">
        <v>0.99952079999999999</v>
      </c>
      <c r="AB4620">
        <v>22</v>
      </c>
      <c r="AC4620">
        <v>21.961799999999901</v>
      </c>
      <c r="AD4620">
        <v>-1.1605289999999999</v>
      </c>
      <c r="AE4620">
        <v>-1.03552</v>
      </c>
      <c r="AF4620">
        <v>0.68608432641375605</v>
      </c>
      <c r="AG4620">
        <v>-1.1605289999999999</v>
      </c>
      <c r="AH4620">
        <v>21.914374505988899</v>
      </c>
      <c r="AI4620">
        <v>93.029923848356006</v>
      </c>
      <c r="AJ4620">
        <v>88.206797982864401</v>
      </c>
      <c r="AK4620">
        <v>21.955804454666001</v>
      </c>
      <c r="AL4620">
        <v>79.718199194096997</v>
      </c>
      <c r="AM4620">
        <v>92.464841544583393</v>
      </c>
      <c r="AN4620">
        <v>1.0000000620018801</v>
      </c>
    </row>
    <row r="4621" spans="1:40" x14ac:dyDescent="0.25">
      <c r="A4621" t="str">
        <f>"20190304155507694"</f>
        <v>20190304155507694</v>
      </c>
      <c r="B4621" t="str">
        <f>"1551686107681856"</f>
        <v>1551686107681856</v>
      </c>
      <c r="C4621" t="s">
        <v>40</v>
      </c>
      <c r="D4621">
        <v>4.6665570000000001</v>
      </c>
      <c r="E4621">
        <v>0.52562050000000005</v>
      </c>
      <c r="F4621" t="s">
        <v>47</v>
      </c>
      <c r="G4621">
        <v>-317.40069999999997</v>
      </c>
      <c r="H4621">
        <v>-0.05</v>
      </c>
      <c r="I4621">
        <v>16.017199999999999</v>
      </c>
      <c r="J4621">
        <v>-339.0677</v>
      </c>
      <c r="K4621">
        <v>1.110528</v>
      </c>
      <c r="L4621">
        <v>17.063020000000002</v>
      </c>
      <c r="M4621">
        <v>0.9997817</v>
      </c>
      <c r="N4621">
        <v>-1.366297E-2</v>
      </c>
      <c r="O4621">
        <v>-1.5816630000000002E-2</v>
      </c>
      <c r="P4621">
        <v>0.98607979999999995</v>
      </c>
      <c r="Q4621">
        <v>0.1641176</v>
      </c>
      <c r="R4621">
        <v>2.6692509999999999E-2</v>
      </c>
      <c r="S4621">
        <v>3.074036</v>
      </c>
      <c r="T4621">
        <v>-0.162933299999999</v>
      </c>
      <c r="U4621">
        <v>-0.14733889999999999</v>
      </c>
      <c r="V4621">
        <v>-4.2280690000000003E-2</v>
      </c>
      <c r="W4621">
        <v>0.17756959999999999</v>
      </c>
      <c r="X4621">
        <v>0.98319959999999995</v>
      </c>
      <c r="Y4621">
        <v>3.2024950000000003E-2</v>
      </c>
      <c r="Z4621">
        <v>-4.4548189999999999E-4</v>
      </c>
      <c r="AA4621">
        <v>0.99948700000000001</v>
      </c>
      <c r="AB4621">
        <v>22</v>
      </c>
      <c r="AC4621">
        <v>21.667000000000002</v>
      </c>
      <c r="AD4621">
        <v>-1.160528</v>
      </c>
      <c r="AE4621">
        <v>-1.04582</v>
      </c>
      <c r="AF4621">
        <v>0.70095201032197696</v>
      </c>
      <c r="AG4621">
        <v>-1.160528</v>
      </c>
      <c r="AH4621">
        <v>21.6189538375063</v>
      </c>
      <c r="AI4621">
        <v>93.071137205695294</v>
      </c>
      <c r="AJ4621">
        <v>88.142947726608</v>
      </c>
      <c r="AK4621">
        <v>21.661424791268601</v>
      </c>
      <c r="AL4621">
        <v>79.771772608970295</v>
      </c>
      <c r="AM4621">
        <v>92.462382466898504</v>
      </c>
      <c r="AN4621">
        <v>1.0000000365155901</v>
      </c>
    </row>
    <row r="4622" spans="1:40" x14ac:dyDescent="0.25">
      <c r="A4622" t="str">
        <f>"20190304155507716"</f>
        <v>20190304155507716</v>
      </c>
      <c r="B4622" t="str">
        <f>"1551686107712112"</f>
        <v>1551686107712112</v>
      </c>
      <c r="C4622" t="s">
        <v>40</v>
      </c>
      <c r="D4622">
        <v>4.6692989999999996</v>
      </c>
      <c r="E4622">
        <v>0.52563700000000002</v>
      </c>
      <c r="F4622" t="s">
        <v>47</v>
      </c>
      <c r="G4622">
        <v>-317.37130000000002</v>
      </c>
      <c r="H4622">
        <v>-0.05</v>
      </c>
      <c r="I4622">
        <v>16.015270000000001</v>
      </c>
      <c r="J4622">
        <v>-338.8596</v>
      </c>
      <c r="K4622">
        <v>1.1105320000000001</v>
      </c>
      <c r="L4622">
        <v>17.059719999999999</v>
      </c>
      <c r="M4622">
        <v>0.9997817</v>
      </c>
      <c r="N4622">
        <v>-1.366069E-2</v>
      </c>
      <c r="O4622">
        <v>-1.5816500000000001E-2</v>
      </c>
      <c r="P4622">
        <v>0.98606890000000003</v>
      </c>
      <c r="Q4622">
        <v>0.16413329999999901</v>
      </c>
      <c r="R4622">
        <v>2.69906E-2</v>
      </c>
      <c r="S4622">
        <v>3.0737610000000002</v>
      </c>
      <c r="T4622">
        <v>-0.1644138</v>
      </c>
      <c r="U4622">
        <v>-0.1484375</v>
      </c>
      <c r="V4622">
        <v>-4.2577829999999997E-2</v>
      </c>
      <c r="W4622">
        <v>0.1775822</v>
      </c>
      <c r="X4622">
        <v>0.98318450000000002</v>
      </c>
      <c r="Y4622">
        <v>3.2384499999999997E-2</v>
      </c>
      <c r="Z4622">
        <v>-4.5757540000000002E-4</v>
      </c>
      <c r="AA4622">
        <v>0.99947540000000001</v>
      </c>
      <c r="AB4622">
        <v>22</v>
      </c>
      <c r="AC4622">
        <v>21.488299999999899</v>
      </c>
      <c r="AD4622">
        <v>-1.1605319999999999</v>
      </c>
      <c r="AE4622">
        <v>-1.0444500000000001</v>
      </c>
      <c r="AF4622">
        <v>0.70237407869511304</v>
      </c>
      <c r="AG4622">
        <v>-1.1605319999999999</v>
      </c>
      <c r="AH4622">
        <v>21.439744086720602</v>
      </c>
      <c r="AI4622">
        <v>93.096735064289007</v>
      </c>
      <c r="AJ4622">
        <v>88.123639788083295</v>
      </c>
      <c r="AK4622">
        <v>21.4826160039581</v>
      </c>
      <c r="AL4622">
        <v>79.771039009800703</v>
      </c>
      <c r="AM4622">
        <v>92.479704095454906</v>
      </c>
      <c r="AN4622">
        <v>1.00000003520229</v>
      </c>
    </row>
    <row r="4623" spans="1:40" x14ac:dyDescent="0.25">
      <c r="A4623" t="str">
        <f>"20190304155507730"</f>
        <v>20190304155507730</v>
      </c>
      <c r="B4623" t="str">
        <f>"1551686107721872"</f>
        <v>1551686107721872</v>
      </c>
      <c r="C4623" t="s">
        <v>40</v>
      </c>
      <c r="D4623">
        <v>4.6462309999999896</v>
      </c>
      <c r="E4623">
        <v>0.5257619</v>
      </c>
      <c r="F4623" t="s">
        <v>47</v>
      </c>
      <c r="G4623">
        <v>-316.88049999999998</v>
      </c>
      <c r="H4623">
        <v>-0.05</v>
      </c>
      <c r="I4623">
        <v>16.004519999999999</v>
      </c>
      <c r="J4623">
        <v>-338.71910000000003</v>
      </c>
      <c r="K4623">
        <v>1.110533</v>
      </c>
      <c r="L4623">
        <v>17.05753</v>
      </c>
      <c r="M4623">
        <v>0.9997817</v>
      </c>
      <c r="N4623">
        <v>-1.365917E-2</v>
      </c>
      <c r="O4623">
        <v>-1.581625E-2</v>
      </c>
      <c r="P4623">
        <v>0.98601749999999999</v>
      </c>
      <c r="Q4623">
        <v>0.16435359999999999</v>
      </c>
      <c r="R4623">
        <v>2.75263E-2</v>
      </c>
      <c r="S4623">
        <v>3.0733950000000001</v>
      </c>
      <c r="T4623">
        <v>-0.16228000000000001</v>
      </c>
      <c r="U4623">
        <v>-0.1475525</v>
      </c>
      <c r="V4623">
        <v>-4.3112890000000001E-2</v>
      </c>
      <c r="W4623">
        <v>0.1778005</v>
      </c>
      <c r="X4623">
        <v>0.98312169999999999</v>
      </c>
      <c r="Y4623">
        <v>3.2104729999999998E-2</v>
      </c>
      <c r="Z4623">
        <v>-4.479857E-4</v>
      </c>
      <c r="AA4623">
        <v>0.99948440000000005</v>
      </c>
      <c r="AB4623">
        <v>22</v>
      </c>
      <c r="AC4623">
        <v>21.8386</v>
      </c>
      <c r="AD4623">
        <v>-1.160533</v>
      </c>
      <c r="AE4623">
        <v>-1.05301</v>
      </c>
      <c r="AF4623">
        <v>0.70545372325410705</v>
      </c>
      <c r="AG4623">
        <v>-1.160533</v>
      </c>
      <c r="AH4623">
        <v>21.791128532374799</v>
      </c>
      <c r="AI4623">
        <v>93.046935617193895</v>
      </c>
      <c r="AJ4623">
        <v>88.145786282715093</v>
      </c>
      <c r="AK4623">
        <v>21.833409823346901</v>
      </c>
      <c r="AL4623">
        <v>79.758328798028003</v>
      </c>
      <c r="AM4623">
        <v>92.510986178103096</v>
      </c>
      <c r="AN4623">
        <v>1.0000000080476401</v>
      </c>
    </row>
    <row r="4624" spans="1:40" x14ac:dyDescent="0.25">
      <c r="A4624" t="str">
        <f>"20190304155507743"</f>
        <v>20190304155507743</v>
      </c>
      <c r="B4624" t="str">
        <f>"1551686107732609"</f>
        <v>1551686107732609</v>
      </c>
      <c r="C4624" t="s">
        <v>40</v>
      </c>
      <c r="D4624">
        <v>4.8170659999999996</v>
      </c>
      <c r="E4624">
        <v>0.5257619</v>
      </c>
      <c r="F4624" t="s">
        <v>47</v>
      </c>
      <c r="G4624">
        <v>-316.52609999999999</v>
      </c>
      <c r="H4624">
        <v>-0.05</v>
      </c>
      <c r="I4624">
        <v>15.997339999999999</v>
      </c>
      <c r="J4624">
        <v>-338.58760000000001</v>
      </c>
      <c r="K4624">
        <v>1.110536</v>
      </c>
      <c r="L4624">
        <v>17.05545</v>
      </c>
      <c r="M4624">
        <v>0.9997817</v>
      </c>
      <c r="N4624">
        <v>-1.365776E-2</v>
      </c>
      <c r="O4624">
        <v>-1.5816E-2</v>
      </c>
      <c r="P4624">
        <v>0.98603640000000004</v>
      </c>
      <c r="Q4624">
        <v>0.16422039999999999</v>
      </c>
      <c r="R4624">
        <v>2.7642650000000001E-2</v>
      </c>
      <c r="S4624">
        <v>3.0733950000000001</v>
      </c>
      <c r="T4624">
        <v>-0.16071579999999999</v>
      </c>
      <c r="U4624">
        <v>-0.14682010000000001</v>
      </c>
      <c r="V4624">
        <v>-4.3229280000000002E-2</v>
      </c>
      <c r="W4624">
        <v>0.1776662</v>
      </c>
      <c r="X4624">
        <v>0.98314080000000004</v>
      </c>
      <c r="Y4624">
        <v>3.186841E-2</v>
      </c>
      <c r="Z4624">
        <v>-4.400405E-4</v>
      </c>
      <c r="AA4624">
        <v>0.99949200000000005</v>
      </c>
      <c r="AB4624">
        <v>22</v>
      </c>
      <c r="AC4624">
        <v>22.061499999999999</v>
      </c>
      <c r="AD4624">
        <v>-1.160536</v>
      </c>
      <c r="AE4624">
        <v>-1.0581100000000001</v>
      </c>
      <c r="AF4624">
        <v>0.70706827813014805</v>
      </c>
      <c r="AG4624">
        <v>-1.160536</v>
      </c>
      <c r="AH4624">
        <v>22.014696463972101</v>
      </c>
      <c r="AI4624">
        <v>93.016082757037495</v>
      </c>
      <c r="AJ4624">
        <v>88.160405865221506</v>
      </c>
      <c r="AK4624">
        <v>22.056601047261601</v>
      </c>
      <c r="AL4624">
        <v>79.766147420892594</v>
      </c>
      <c r="AM4624">
        <v>92.517707416291998</v>
      </c>
      <c r="AN4624">
        <v>0.999999940948197</v>
      </c>
    </row>
    <row r="4625" spans="1:40" x14ac:dyDescent="0.25">
      <c r="A4625" t="str">
        <f>"20190304155507762"</f>
        <v>20190304155507762</v>
      </c>
      <c r="B4625" t="str">
        <f>"1551686107752131"</f>
        <v>1551686107752131</v>
      </c>
      <c r="C4625" t="s">
        <v>40</v>
      </c>
      <c r="D4625">
        <v>4.6260349999999999</v>
      </c>
      <c r="E4625">
        <v>0.52588690000000005</v>
      </c>
      <c r="F4625" t="s">
        <v>47</v>
      </c>
      <c r="G4625">
        <v>-316.45429999999999</v>
      </c>
      <c r="H4625">
        <v>-0.05</v>
      </c>
      <c r="I4625">
        <v>16.000989999999899</v>
      </c>
      <c r="J4625">
        <v>-338.39839999999998</v>
      </c>
      <c r="K4625">
        <v>1.1105339999999999</v>
      </c>
      <c r="L4625">
        <v>17.05246</v>
      </c>
      <c r="M4625">
        <v>0.9997817</v>
      </c>
      <c r="N4625">
        <v>-1.3655779999999999E-2</v>
      </c>
      <c r="O4625">
        <v>-1.581575E-2</v>
      </c>
      <c r="P4625">
        <v>0.98600010000000005</v>
      </c>
      <c r="Q4625">
        <v>0.16433729999999999</v>
      </c>
      <c r="R4625">
        <v>2.8238449999999998E-2</v>
      </c>
      <c r="S4625">
        <v>3.0734249999999999</v>
      </c>
      <c r="T4625">
        <v>-0.1611522</v>
      </c>
      <c r="U4625">
        <v>-0.14642330000000001</v>
      </c>
      <c r="V4625">
        <v>-4.3824179999999997E-2</v>
      </c>
      <c r="W4625">
        <v>0.17778070000000001</v>
      </c>
      <c r="X4625">
        <v>0.98309380000000002</v>
      </c>
      <c r="Y4625">
        <v>3.1739499999999997E-2</v>
      </c>
      <c r="Z4625">
        <v>-4.3574770000000002E-4</v>
      </c>
      <c r="AA4625">
        <v>0.9994961</v>
      </c>
      <c r="AB4625">
        <v>22</v>
      </c>
      <c r="AC4625">
        <v>21.944099999999899</v>
      </c>
      <c r="AD4625">
        <v>-1.160534</v>
      </c>
      <c r="AE4625">
        <v>-1.0514699999999999</v>
      </c>
      <c r="AF4625">
        <v>0.70228397482197102</v>
      </c>
      <c r="AG4625">
        <v>-1.160534</v>
      </c>
      <c r="AH4625">
        <v>21.896882567504001</v>
      </c>
      <c r="AI4625">
        <v>93.032279490161201</v>
      </c>
      <c r="AJ4625">
        <v>88.163020719209001</v>
      </c>
      <c r="AK4625">
        <v>21.938858405156601</v>
      </c>
      <c r="AL4625">
        <v>79.759481307964194</v>
      </c>
      <c r="AM4625">
        <v>92.552431215407395</v>
      </c>
      <c r="AN4625">
        <v>0.99999997782180094</v>
      </c>
    </row>
    <row r="4626" spans="1:40" x14ac:dyDescent="0.25">
      <c r="A4626" t="str">
        <f>"20190304155507785"</f>
        <v>20190304155507785</v>
      </c>
      <c r="B4626" t="str">
        <f>"1551686107782384"</f>
        <v>1551686107782384</v>
      </c>
      <c r="C4626" t="s">
        <v>40</v>
      </c>
      <c r="D4626">
        <v>4.765326</v>
      </c>
      <c r="E4626">
        <v>0.56244340000000004</v>
      </c>
      <c r="F4626" t="s">
        <v>47</v>
      </c>
      <c r="G4626">
        <v>-316.17770000000002</v>
      </c>
      <c r="H4626">
        <v>-0.05</v>
      </c>
      <c r="I4626">
        <v>16.000920000000001</v>
      </c>
      <c r="J4626">
        <v>-338.17660000000001</v>
      </c>
      <c r="K4626">
        <v>1.110536</v>
      </c>
      <c r="L4626">
        <v>17.048950000000001</v>
      </c>
      <c r="M4626">
        <v>0.9997817</v>
      </c>
      <c r="N4626">
        <v>-1.3653419999999999E-2</v>
      </c>
      <c r="O4626">
        <v>-1.5815969999999999E-2</v>
      </c>
      <c r="P4626">
        <v>0.98603620000000003</v>
      </c>
      <c r="Q4626">
        <v>0.16408429999999999</v>
      </c>
      <c r="R4626">
        <v>2.8445430000000001E-2</v>
      </c>
      <c r="S4626">
        <v>3.0735169999999998</v>
      </c>
      <c r="T4626">
        <v>-0.16052269999999999</v>
      </c>
      <c r="U4626">
        <v>-0.14544679999999999</v>
      </c>
      <c r="V4626">
        <v>-4.4031569999999999E-2</v>
      </c>
      <c r="W4626">
        <v>0.17752589999999999</v>
      </c>
      <c r="X4626">
        <v>0.98313059999999997</v>
      </c>
      <c r="Y4626">
        <v>3.1421810000000001E-2</v>
      </c>
      <c r="Z4626">
        <v>-4.2519409999999998E-4</v>
      </c>
      <c r="AA4626">
        <v>0.99950609999999995</v>
      </c>
      <c r="AB4626">
        <v>22</v>
      </c>
      <c r="AC4626">
        <v>21.9988999999999</v>
      </c>
      <c r="AD4626">
        <v>-1.160536</v>
      </c>
      <c r="AE4626">
        <v>-1.04803</v>
      </c>
      <c r="AF4626">
        <v>0.69799438296620597</v>
      </c>
      <c r="AG4626">
        <v>-1.160536</v>
      </c>
      <c r="AH4626">
        <v>21.951771279646699</v>
      </c>
      <c r="AI4626">
        <v>93.024743353571793</v>
      </c>
      <c r="AJ4626">
        <v>88.178795589702503</v>
      </c>
      <c r="AK4626">
        <v>21.993505911515602</v>
      </c>
      <c r="AL4626">
        <v>79.774316484649304</v>
      </c>
      <c r="AM4626">
        <v>92.564398181698195</v>
      </c>
      <c r="AN4626">
        <v>1.0000000004919101</v>
      </c>
    </row>
    <row r="4627" spans="1:40" x14ac:dyDescent="0.25">
      <c r="A4627" t="str">
        <f>"20190304155507805"</f>
        <v>20190304155507805</v>
      </c>
      <c r="B4627" t="str">
        <f>"1551686107801904"</f>
        <v>1551686107801904</v>
      </c>
      <c r="C4627" t="s">
        <v>40</v>
      </c>
      <c r="D4627">
        <v>4.5427850000000003</v>
      </c>
      <c r="E4627">
        <v>0.56485759999999996</v>
      </c>
      <c r="F4627" t="s">
        <v>47</v>
      </c>
      <c r="G4627">
        <v>-305.22370000000001</v>
      </c>
      <c r="H4627">
        <v>-0.05</v>
      </c>
      <c r="I4627">
        <v>12.3896</v>
      </c>
      <c r="J4627">
        <v>-337.97239999999999</v>
      </c>
      <c r="K4627">
        <v>1.1105389999999999</v>
      </c>
      <c r="L4627">
        <v>17.045719999999999</v>
      </c>
      <c r="M4627">
        <v>0.9997817</v>
      </c>
      <c r="N4627">
        <v>-1.365124E-2</v>
      </c>
      <c r="O4627">
        <v>-1.5815949999999999E-2</v>
      </c>
      <c r="P4627">
        <v>0.98593090000000005</v>
      </c>
      <c r="Q4627">
        <v>0.16472629999999999</v>
      </c>
      <c r="R4627">
        <v>2.8384409999999999E-2</v>
      </c>
      <c r="S4627">
        <v>3.073029</v>
      </c>
      <c r="T4627">
        <v>-0.1082258</v>
      </c>
      <c r="U4627">
        <v>-0.43450929999999999</v>
      </c>
      <c r="V4627">
        <v>-4.3968760000000003E-2</v>
      </c>
      <c r="W4627">
        <v>0.17816409999999999</v>
      </c>
      <c r="X4627">
        <v>0.98301799999999995</v>
      </c>
      <c r="Y4627">
        <v>0.1242211</v>
      </c>
      <c r="Z4627">
        <v>-2.6893669999999998E-3</v>
      </c>
      <c r="AA4627">
        <v>0.99225090000000005</v>
      </c>
      <c r="AB4627">
        <v>22</v>
      </c>
      <c r="AC4627">
        <v>32.7486999999999</v>
      </c>
      <c r="AD4627">
        <v>-1.160539</v>
      </c>
      <c r="AE4627">
        <v>-4.6561199999999996</v>
      </c>
      <c r="AF4627">
        <v>4.1324505861964402</v>
      </c>
      <c r="AG4627">
        <v>-1.160539</v>
      </c>
      <c r="AH4627">
        <v>32.777902942645802</v>
      </c>
      <c r="AI4627">
        <v>92.011862579550197</v>
      </c>
      <c r="AJ4627">
        <v>82.814386799856806</v>
      </c>
      <c r="AK4627">
        <v>33.057751283706303</v>
      </c>
      <c r="AL4627">
        <v>79.737158399902299</v>
      </c>
      <c r="AM4627">
        <v>92.561037931335306</v>
      </c>
      <c r="AN4627">
        <v>1.0000000433543701</v>
      </c>
    </row>
    <row r="4628" spans="1:40" x14ac:dyDescent="0.25">
      <c r="A4628" t="str">
        <f>"20190304155507821"</f>
        <v>20190304155507821</v>
      </c>
      <c r="B4628" t="str">
        <f>"1551686107812640"</f>
        <v>1551686107812640</v>
      </c>
      <c r="C4628" t="s">
        <v>40</v>
      </c>
      <c r="D4628">
        <v>4.4892269999999996</v>
      </c>
      <c r="E4628">
        <v>0.56681230000000005</v>
      </c>
      <c r="F4628" t="s">
        <v>47</v>
      </c>
      <c r="G4628">
        <v>-308.06240000000003</v>
      </c>
      <c r="H4628">
        <v>-0.05</v>
      </c>
      <c r="I4628">
        <v>12.623430000000001</v>
      </c>
      <c r="J4628">
        <v>-337.81990000000002</v>
      </c>
      <c r="K4628">
        <v>1.110541</v>
      </c>
      <c r="L4628">
        <v>17.043299999999999</v>
      </c>
      <c r="M4628">
        <v>0.99978180000000005</v>
      </c>
      <c r="N4628">
        <v>-1.3649619999999999E-2</v>
      </c>
      <c r="O4628">
        <v>-1.5815940000000001E-2</v>
      </c>
      <c r="P4628">
        <v>0.9858692</v>
      </c>
      <c r="Q4628">
        <v>0.16511670000000001</v>
      </c>
      <c r="R4628">
        <v>2.8256799999999999E-2</v>
      </c>
      <c r="S4628">
        <v>3.0758359999999998</v>
      </c>
      <c r="T4628">
        <v>-0.1193457</v>
      </c>
      <c r="U4628">
        <v>-0.45477289999999998</v>
      </c>
      <c r="V4628">
        <v>-4.3840469999999999E-2</v>
      </c>
      <c r="W4628">
        <v>0.17855209999999999</v>
      </c>
      <c r="X4628">
        <v>0.98295330000000003</v>
      </c>
      <c r="Y4628">
        <v>0.13047220000000001</v>
      </c>
      <c r="Z4628">
        <v>-3.0171690000000001E-3</v>
      </c>
      <c r="AA4628">
        <v>0.99144739999999998</v>
      </c>
      <c r="AB4628">
        <v>22</v>
      </c>
      <c r="AC4628">
        <v>29.7575</v>
      </c>
      <c r="AD4628">
        <v>-1.160541</v>
      </c>
      <c r="AE4628">
        <v>-4.4198699999999898</v>
      </c>
      <c r="AF4628">
        <v>3.9427629170099201</v>
      </c>
      <c r="AG4628">
        <v>-1.160541</v>
      </c>
      <c r="AH4628">
        <v>29.779371516946998</v>
      </c>
      <c r="AI4628">
        <v>92.212473845789006</v>
      </c>
      <c r="AJ4628">
        <v>82.457953943110297</v>
      </c>
      <c r="AK4628">
        <v>30.061656687161801</v>
      </c>
      <c r="AL4628">
        <v>79.714565074714898</v>
      </c>
      <c r="AM4628">
        <v>92.5537432189263</v>
      </c>
      <c r="AN4628">
        <v>1.0000000146025601</v>
      </c>
    </row>
    <row r="4629" spans="1:40" x14ac:dyDescent="0.25">
      <c r="A4629" t="str">
        <f>"20190304155507840"</f>
        <v>20190304155507840</v>
      </c>
      <c r="B4629" t="str">
        <f>"1551686107832163"</f>
        <v>1551686107832163</v>
      </c>
      <c r="C4629" t="s">
        <v>40</v>
      </c>
      <c r="D4629">
        <v>4.5182479999999998</v>
      </c>
      <c r="E4629">
        <v>0.5693433</v>
      </c>
      <c r="F4629" t="s">
        <v>47</v>
      </c>
      <c r="G4629">
        <v>-307.24880000000002</v>
      </c>
      <c r="H4629">
        <v>-0.05</v>
      </c>
      <c r="I4629">
        <v>12.3643</v>
      </c>
      <c r="J4629">
        <v>-337.63350000000003</v>
      </c>
      <c r="K4629">
        <v>1.1105449999999999</v>
      </c>
      <c r="L4629">
        <v>17.04034</v>
      </c>
      <c r="M4629">
        <v>0.99978180000000005</v>
      </c>
      <c r="N4629">
        <v>-1.3647640000000001E-2</v>
      </c>
      <c r="O4629">
        <v>-1.581569E-2</v>
      </c>
      <c r="P4629">
        <v>0.98578209999999999</v>
      </c>
      <c r="Q4629">
        <v>0.16567970000000001</v>
      </c>
      <c r="R4629">
        <v>2.8001689999999999E-2</v>
      </c>
      <c r="S4629">
        <v>3.0760190000000001</v>
      </c>
      <c r="T4629">
        <v>-0.1167719</v>
      </c>
      <c r="U4629">
        <v>-0.47079470000000001</v>
      </c>
      <c r="V4629">
        <v>-4.3583799999999999E-2</v>
      </c>
      <c r="W4629">
        <v>0.17911179999999999</v>
      </c>
      <c r="X4629">
        <v>0.98286289999999998</v>
      </c>
      <c r="Y4629">
        <v>0.13551170000000001</v>
      </c>
      <c r="Z4629">
        <v>-3.1050240000000001E-3</v>
      </c>
      <c r="AA4629">
        <v>0.99077090000000001</v>
      </c>
      <c r="AB4629">
        <v>22</v>
      </c>
      <c r="AC4629">
        <v>30.384699999999999</v>
      </c>
      <c r="AD4629">
        <v>-1.1605449999999999</v>
      </c>
      <c r="AE4629">
        <v>-4.6760400000000004</v>
      </c>
      <c r="AF4629">
        <v>4.1888856633333296</v>
      </c>
      <c r="AG4629">
        <v>-1.1605449999999999</v>
      </c>
      <c r="AH4629">
        <v>30.411520827565099</v>
      </c>
      <c r="AI4629">
        <v>92.165003067139295</v>
      </c>
      <c r="AJ4629">
        <v>82.157422947308504</v>
      </c>
      <c r="AK4629">
        <v>30.720583113654101</v>
      </c>
      <c r="AL4629">
        <v>79.681971386978006</v>
      </c>
      <c r="AM4629">
        <v>92.539044806551502</v>
      </c>
      <c r="AN4629">
        <v>1.0000000323590399</v>
      </c>
    </row>
    <row r="4630" spans="1:40" x14ac:dyDescent="0.25">
      <c r="A4630" t="str">
        <f>"20190304155507863"</f>
        <v>20190304155507863</v>
      </c>
      <c r="B4630" t="str">
        <f>"1551686107852656"</f>
        <v>1551686107852656</v>
      </c>
      <c r="C4630" t="s">
        <v>40</v>
      </c>
      <c r="D4630">
        <v>4.4678389999999997</v>
      </c>
      <c r="E4630">
        <v>0.56929869999999905</v>
      </c>
      <c r="F4630" t="s">
        <v>47</v>
      </c>
      <c r="G4630">
        <v>-305.03579999999999</v>
      </c>
      <c r="H4630">
        <v>-0.05</v>
      </c>
      <c r="I4630">
        <v>11.833159999999999</v>
      </c>
      <c r="J4630">
        <v>-337.41079999999999</v>
      </c>
      <c r="K4630">
        <v>1.110544</v>
      </c>
      <c r="L4630">
        <v>17.036799999999999</v>
      </c>
      <c r="M4630">
        <v>0.99978199999999995</v>
      </c>
      <c r="N4630">
        <v>-1.3645310000000001E-2</v>
      </c>
      <c r="O4630">
        <v>-1.5815559999999999E-2</v>
      </c>
      <c r="P4630">
        <v>0.985676</v>
      </c>
      <c r="Q4630">
        <v>0.16636999999999999</v>
      </c>
      <c r="R4630">
        <v>2.764749E-2</v>
      </c>
      <c r="S4630">
        <v>3.0756230000000002</v>
      </c>
      <c r="T4630">
        <v>-0.1094984</v>
      </c>
      <c r="U4630">
        <v>-0.49130249999999998</v>
      </c>
      <c r="V4630">
        <v>-4.3227740000000001E-2</v>
      </c>
      <c r="W4630">
        <v>0.17979809999999999</v>
      </c>
      <c r="X4630">
        <v>0.98275330000000005</v>
      </c>
      <c r="Y4630">
        <v>0.1419839</v>
      </c>
      <c r="Z4630">
        <v>-3.1413690000000002E-3</v>
      </c>
      <c r="AA4630">
        <v>0.98986399999999997</v>
      </c>
      <c r="AB4630">
        <v>22</v>
      </c>
      <c r="AC4630">
        <v>32.375</v>
      </c>
      <c r="AD4630">
        <v>-1.160544</v>
      </c>
      <c r="AE4630">
        <v>-5.2036399999999903</v>
      </c>
      <c r="AF4630">
        <v>4.6850440291683597</v>
      </c>
      <c r="AG4630">
        <v>-1.160544</v>
      </c>
      <c r="AH4630">
        <v>32.412654703152903</v>
      </c>
      <c r="AI4630">
        <v>92.029541146505494</v>
      </c>
      <c r="AJ4630">
        <v>81.775221879182297</v>
      </c>
      <c r="AK4630">
        <v>32.770057748453901</v>
      </c>
      <c r="AL4630">
        <v>79.642000298737997</v>
      </c>
      <c r="AM4630">
        <v>92.518609260501606</v>
      </c>
      <c r="AN4630">
        <v>1.000000021465</v>
      </c>
    </row>
    <row r="4631" spans="1:40" x14ac:dyDescent="0.25">
      <c r="A4631" t="str">
        <f>"20190304155507883"</f>
        <v>20190304155507883</v>
      </c>
      <c r="B4631" t="str">
        <f>"1551686107872176"</f>
        <v>1551686107872176</v>
      </c>
      <c r="C4631" t="s">
        <v>40</v>
      </c>
      <c r="D4631">
        <v>4.5427109999999997</v>
      </c>
      <c r="E4631">
        <v>0.5706618</v>
      </c>
      <c r="F4631" t="s">
        <v>47</v>
      </c>
      <c r="G4631">
        <v>-304.83960000000002</v>
      </c>
      <c r="H4631">
        <v>-0.05</v>
      </c>
      <c r="I4631">
        <v>11.82199</v>
      </c>
      <c r="J4631">
        <v>-337.19940000000003</v>
      </c>
      <c r="K4631">
        <v>1.11054599999999</v>
      </c>
      <c r="L4631">
        <v>17.033479999999901</v>
      </c>
      <c r="M4631">
        <v>0.9997819</v>
      </c>
      <c r="N4631">
        <v>-1.364314E-2</v>
      </c>
      <c r="O4631">
        <v>-1.5815539999999999E-2</v>
      </c>
      <c r="P4631">
        <v>0.98564929999999995</v>
      </c>
      <c r="Q4631">
        <v>0.1665816</v>
      </c>
      <c r="R4631">
        <v>2.7318269999999999E-2</v>
      </c>
      <c r="S4631">
        <v>3.0758670000000001</v>
      </c>
      <c r="T4631">
        <v>-0.1095961</v>
      </c>
      <c r="U4631">
        <v>-0.49246220000000002</v>
      </c>
      <c r="V4631">
        <v>-4.2898029999999997E-2</v>
      </c>
      <c r="W4631">
        <v>0.1800078</v>
      </c>
      <c r="X4631">
        <v>0.98272930000000003</v>
      </c>
      <c r="Y4631">
        <v>0.14233509999999999</v>
      </c>
      <c r="Z4631">
        <v>-3.1513600000000002E-3</v>
      </c>
      <c r="AA4631">
        <v>0.98981350000000001</v>
      </c>
      <c r="AB4631">
        <v>22</v>
      </c>
      <c r="AC4631">
        <v>32.3598</v>
      </c>
      <c r="AD4631">
        <v>-1.1605460000000001</v>
      </c>
      <c r="AE4631">
        <v>-5.2114899999999897</v>
      </c>
      <c r="AF4631">
        <v>4.6931189911271103</v>
      </c>
      <c r="AG4631">
        <v>-1.1605460000000001</v>
      </c>
      <c r="AH4631">
        <v>32.397565362131097</v>
      </c>
      <c r="AI4631">
        <v>92.030398094733499</v>
      </c>
      <c r="AJ4631">
        <v>81.757455868544099</v>
      </c>
      <c r="AK4631">
        <v>32.756289079756101</v>
      </c>
      <c r="AL4631">
        <v>79.629785479070804</v>
      </c>
      <c r="AM4631">
        <v>92.4994845450653</v>
      </c>
      <c r="AN4631">
        <v>0.99999996305860395</v>
      </c>
    </row>
    <row r="4632" spans="1:40" x14ac:dyDescent="0.25">
      <c r="A4632" t="str">
        <f>"20190304155507906"</f>
        <v>20190304155507906</v>
      </c>
      <c r="B4632" t="str">
        <f>"1551686107902432"</f>
        <v>1551686107902432</v>
      </c>
      <c r="C4632" t="s">
        <v>40</v>
      </c>
      <c r="D4632">
        <v>4.5113450000000004</v>
      </c>
      <c r="E4632">
        <v>0.57091219999999998</v>
      </c>
      <c r="F4632" t="s">
        <v>47</v>
      </c>
      <c r="G4632">
        <v>-302.90600000000001</v>
      </c>
      <c r="H4632">
        <v>-0.05</v>
      </c>
      <c r="I4632">
        <v>11.41588</v>
      </c>
      <c r="J4632">
        <v>-336.98790000000002</v>
      </c>
      <c r="K4632">
        <v>1.110547</v>
      </c>
      <c r="L4632">
        <v>17.03012</v>
      </c>
      <c r="M4632">
        <v>0.99978199999999995</v>
      </c>
      <c r="N4632">
        <v>-1.364108E-2</v>
      </c>
      <c r="O4632">
        <v>-1.5815530000000001E-2</v>
      </c>
      <c r="P4632">
        <v>0.9855931</v>
      </c>
      <c r="Q4632">
        <v>0.1670336</v>
      </c>
      <c r="R4632">
        <v>2.6569740000000001E-2</v>
      </c>
      <c r="S4632">
        <v>3.0752259999999998</v>
      </c>
      <c r="T4632">
        <v>-0.10407089999999899</v>
      </c>
      <c r="U4632">
        <v>-0.50375369999999997</v>
      </c>
      <c r="V4632">
        <v>-4.214847E-2</v>
      </c>
      <c r="W4632">
        <v>0.18045659999999999</v>
      </c>
      <c r="X4632">
        <v>0.98267950000000004</v>
      </c>
      <c r="Y4632">
        <v>0.14591479999999901</v>
      </c>
      <c r="Z4632">
        <v>-3.137234E-3</v>
      </c>
      <c r="AA4632">
        <v>0.98929219999999896</v>
      </c>
      <c r="AB4632">
        <v>22</v>
      </c>
      <c r="AC4632">
        <v>34.081899999999997</v>
      </c>
      <c r="AD4632">
        <v>-1.160547</v>
      </c>
      <c r="AE4632">
        <v>-5.6142399999999997</v>
      </c>
      <c r="AF4632">
        <v>5.0687422439782601</v>
      </c>
      <c r="AG4632">
        <v>-1.160547</v>
      </c>
      <c r="AH4632">
        <v>34.127910371197601</v>
      </c>
      <c r="AI4632">
        <v>91.926522229491596</v>
      </c>
      <c r="AJ4632">
        <v>81.552077367003903</v>
      </c>
      <c r="AK4632">
        <v>34.521779843739203</v>
      </c>
      <c r="AL4632">
        <v>79.6036438224412</v>
      </c>
      <c r="AM4632">
        <v>92.455989145619398</v>
      </c>
      <c r="AN4632">
        <v>1.0000000388635699</v>
      </c>
    </row>
    <row r="4633" spans="1:40" x14ac:dyDescent="0.25">
      <c r="A4633" t="str">
        <f>"20190304155507919"</f>
        <v>20190304155507919</v>
      </c>
      <c r="B4633" t="str">
        <f>"1551686107912194"</f>
        <v>1551686107912194</v>
      </c>
      <c r="C4633" t="s">
        <v>40</v>
      </c>
      <c r="D4633">
        <v>4.5506900000000003</v>
      </c>
      <c r="E4633">
        <v>0.57138880000000003</v>
      </c>
      <c r="F4633" t="s">
        <v>47</v>
      </c>
      <c r="G4633">
        <v>-302.40609999999998</v>
      </c>
      <c r="H4633">
        <v>-0.05</v>
      </c>
      <c r="I4633">
        <v>11.32375</v>
      </c>
      <c r="J4633">
        <v>-336.85700000000003</v>
      </c>
      <c r="K4633">
        <v>1.1105480000000001</v>
      </c>
      <c r="L4633">
        <v>17.02805</v>
      </c>
      <c r="M4633">
        <v>0.99978199999999995</v>
      </c>
      <c r="N4633">
        <v>-1.3639729999999999E-2</v>
      </c>
      <c r="O4633">
        <v>-1.581552E-2</v>
      </c>
      <c r="P4633">
        <v>0.98556589999999999</v>
      </c>
      <c r="Q4633">
        <v>0.16723689999999999</v>
      </c>
      <c r="R4633">
        <v>2.63036E-2</v>
      </c>
      <c r="S4633">
        <v>3.075043</v>
      </c>
      <c r="T4633">
        <v>-0.103197</v>
      </c>
      <c r="U4633">
        <v>-0.50741579999999997</v>
      </c>
      <c r="V4633">
        <v>-4.188215E-2</v>
      </c>
      <c r="W4633">
        <v>0.18065829999999999</v>
      </c>
      <c r="X4633">
        <v>0.98265380000000002</v>
      </c>
      <c r="Y4633">
        <v>0.14707200000000001</v>
      </c>
      <c r="Z4633">
        <v>-3.1482260000000001E-3</v>
      </c>
      <c r="AA4633">
        <v>0.98912080000000002</v>
      </c>
      <c r="AB4633">
        <v>22</v>
      </c>
      <c r="AC4633">
        <v>34.450899999999898</v>
      </c>
      <c r="AD4633">
        <v>-1.1605479999999999</v>
      </c>
      <c r="AE4633">
        <v>-5.7042999999999999</v>
      </c>
      <c r="AF4633">
        <v>5.1529852411286399</v>
      </c>
      <c r="AG4633">
        <v>-1.1605479999999999</v>
      </c>
      <c r="AH4633">
        <v>34.498710200726499</v>
      </c>
      <c r="AI4633">
        <v>91.905597903263597</v>
      </c>
      <c r="AJ4633">
        <v>81.5046811956163</v>
      </c>
      <c r="AK4633">
        <v>34.9007325721009</v>
      </c>
      <c r="AL4633">
        <v>79.591893882185104</v>
      </c>
      <c r="AM4633">
        <v>92.440553266496295</v>
      </c>
      <c r="AN4633">
        <v>1.0000000132509701</v>
      </c>
    </row>
    <row r="4634" spans="1:40" x14ac:dyDescent="0.25">
      <c r="A4634" t="str">
        <f>"20190304155507941"</f>
        <v>20190304155507941</v>
      </c>
      <c r="B4634" t="str">
        <f>"1551686107931715"</f>
        <v>1551686107931715</v>
      </c>
      <c r="C4634" t="s">
        <v>40</v>
      </c>
      <c r="D4634">
        <v>4.7201089999999999</v>
      </c>
      <c r="E4634">
        <v>0.5711543</v>
      </c>
      <c r="F4634" t="s">
        <v>47</v>
      </c>
      <c r="G4634">
        <v>-301.54969999999997</v>
      </c>
      <c r="H4634">
        <v>-0.05</v>
      </c>
      <c r="I4634">
        <v>11.148099999999999</v>
      </c>
      <c r="J4634">
        <v>-336.64800000000002</v>
      </c>
      <c r="K4634">
        <v>1.11054599999999</v>
      </c>
      <c r="L4634">
        <v>17.024750000000001</v>
      </c>
      <c r="M4634">
        <v>0.99978199999999995</v>
      </c>
      <c r="N4634">
        <v>-1.36376E-2</v>
      </c>
      <c r="O4634">
        <v>-1.5815269999999999E-2</v>
      </c>
      <c r="P4634">
        <v>0.98551219999999995</v>
      </c>
      <c r="Q4634">
        <v>0.16761670000000001</v>
      </c>
      <c r="R4634">
        <v>2.5897030000000001E-2</v>
      </c>
      <c r="S4634">
        <v>3.074738</v>
      </c>
      <c r="T4634">
        <v>-0.1010664</v>
      </c>
      <c r="U4634">
        <v>-0.51205440000000002</v>
      </c>
      <c r="V4634">
        <v>-4.1474850000000001E-2</v>
      </c>
      <c r="W4634">
        <v>0.1810358</v>
      </c>
      <c r="X4634">
        <v>0.98260159999999996</v>
      </c>
      <c r="Y4634">
        <v>0.148542799999999</v>
      </c>
      <c r="Z4634">
        <v>-3.1424869999999998E-3</v>
      </c>
      <c r="AA4634">
        <v>0.98890100000000003</v>
      </c>
      <c r="AB4634">
        <v>22</v>
      </c>
      <c r="AC4634">
        <v>35.098300000000002</v>
      </c>
      <c r="AD4634">
        <v>-1.1605460000000001</v>
      </c>
      <c r="AE4634">
        <v>-5.8766499999999997</v>
      </c>
      <c r="AF4634">
        <v>5.3151214716806701</v>
      </c>
      <c r="AG4634">
        <v>-1.1605460000000001</v>
      </c>
      <c r="AH4634">
        <v>35.149476795332497</v>
      </c>
      <c r="AI4634">
        <v>91.869831861738902</v>
      </c>
      <c r="AJ4634">
        <v>81.401174655991696</v>
      </c>
      <c r="AK4634">
        <v>35.568006723212001</v>
      </c>
      <c r="AL4634">
        <v>79.569902118262604</v>
      </c>
      <c r="AM4634">
        <v>92.416975636383796</v>
      </c>
      <c r="AN4634">
        <v>1.00000001419336</v>
      </c>
    </row>
    <row r="4635" spans="1:40" x14ac:dyDescent="0.25">
      <c r="A4635" t="str">
        <f>"20190304155507954"</f>
        <v>20190304155507954</v>
      </c>
      <c r="B4635" t="str">
        <f>"1551686107942448"</f>
        <v>1551686107942448</v>
      </c>
      <c r="C4635" t="s">
        <v>40</v>
      </c>
      <c r="D4635">
        <v>4.4927380000000001</v>
      </c>
      <c r="E4635">
        <v>0.57154579999999999</v>
      </c>
      <c r="F4635" t="s">
        <v>47</v>
      </c>
      <c r="G4635">
        <v>-301.20929999999998</v>
      </c>
      <c r="H4635">
        <v>-0.05</v>
      </c>
      <c r="I4635">
        <v>11.13022</v>
      </c>
      <c r="J4635">
        <v>-336.51530000000002</v>
      </c>
      <c r="K4635">
        <v>1.110547</v>
      </c>
      <c r="L4635">
        <v>17.022639999999999</v>
      </c>
      <c r="M4635">
        <v>0.99978199999999995</v>
      </c>
      <c r="N4635">
        <v>-1.3636240000000001E-2</v>
      </c>
      <c r="O4635">
        <v>-1.5815139999999998E-2</v>
      </c>
      <c r="P4635">
        <v>0.98551670000000002</v>
      </c>
      <c r="Q4635">
        <v>0.1676069</v>
      </c>
      <c r="R4635">
        <v>2.5792430000000002E-2</v>
      </c>
      <c r="S4635">
        <v>3.0746769999999999</v>
      </c>
      <c r="T4635">
        <v>-0.1006895</v>
      </c>
      <c r="U4635">
        <v>-0.51141359999999902</v>
      </c>
      <c r="V4635">
        <v>-4.1369980000000001E-2</v>
      </c>
      <c r="W4635">
        <v>0.18102460000000001</v>
      </c>
      <c r="X4635">
        <v>0.98260809999999998</v>
      </c>
      <c r="Y4635">
        <v>0.14834639999999999</v>
      </c>
      <c r="Z4635">
        <v>-3.1307679999999999E-3</v>
      </c>
      <c r="AA4635">
        <v>0.98893050000000005</v>
      </c>
      <c r="AB4635">
        <v>22</v>
      </c>
      <c r="AC4635">
        <v>35.305999999999997</v>
      </c>
      <c r="AD4635">
        <v>-1.160547</v>
      </c>
      <c r="AE4635">
        <v>-5.8924200000000004</v>
      </c>
      <c r="AF4635">
        <v>5.3276611062094998</v>
      </c>
      <c r="AG4635">
        <v>-1.160547</v>
      </c>
      <c r="AH4635">
        <v>35.357612752700597</v>
      </c>
      <c r="AI4635">
        <v>91.858981069444098</v>
      </c>
      <c r="AJ4635">
        <v>81.431172403076701</v>
      </c>
      <c r="AK4635">
        <v>35.775572976149</v>
      </c>
      <c r="AL4635">
        <v>79.570554774454394</v>
      </c>
      <c r="AM4635">
        <v>92.410855555357898</v>
      </c>
      <c r="AN4635">
        <v>1.0000000296179801</v>
      </c>
    </row>
    <row r="4636" spans="1:40" x14ac:dyDescent="0.25">
      <c r="A4636" t="str">
        <f>"20190304155507974"</f>
        <v>20190304155507974</v>
      </c>
      <c r="B4636" t="str">
        <f>"1551686107961972"</f>
        <v>1551686107961972</v>
      </c>
      <c r="C4636" t="s">
        <v>40</v>
      </c>
      <c r="D4636">
        <v>4.5440139999999998</v>
      </c>
      <c r="E4636">
        <v>0.57092949999999998</v>
      </c>
      <c r="F4636" t="s">
        <v>47</v>
      </c>
      <c r="G4636">
        <v>-300.77449999999999</v>
      </c>
      <c r="H4636">
        <v>-0.05</v>
      </c>
      <c r="I4636">
        <v>11.036820000000001</v>
      </c>
      <c r="J4636">
        <v>-336.3245</v>
      </c>
      <c r="K4636">
        <v>1.1105510000000001</v>
      </c>
      <c r="L4636">
        <v>17.019590000000001</v>
      </c>
      <c r="M4636">
        <v>0.99978199999999995</v>
      </c>
      <c r="N4636">
        <v>-1.363428E-2</v>
      </c>
      <c r="O4636">
        <v>-1.5814890000000002E-2</v>
      </c>
      <c r="P4636">
        <v>0.98554679999999995</v>
      </c>
      <c r="Q4636">
        <v>0.16751429999999901</v>
      </c>
      <c r="R4636">
        <v>2.5226809999999999E-2</v>
      </c>
      <c r="S4636">
        <v>3.074554</v>
      </c>
      <c r="T4636">
        <v>-9.9834320000000004E-2</v>
      </c>
      <c r="U4636">
        <v>-0.51492309999999997</v>
      </c>
      <c r="V4636">
        <v>-4.0804699999999999E-2</v>
      </c>
      <c r="W4636">
        <v>0.18093029999999999</v>
      </c>
      <c r="X4636">
        <v>0.98264910000000005</v>
      </c>
      <c r="Y4636">
        <v>0.149451799999999</v>
      </c>
      <c r="Z4636">
        <v>-3.1398649999999999E-3</v>
      </c>
      <c r="AA4636">
        <v>0.98876399999999998</v>
      </c>
      <c r="AB4636">
        <v>22</v>
      </c>
      <c r="AC4636">
        <v>35.549999999999997</v>
      </c>
      <c r="AD4636">
        <v>-1.1605510000000001</v>
      </c>
      <c r="AE4636">
        <v>-5.9827699999999897</v>
      </c>
      <c r="AF4636">
        <v>5.4141389289235198</v>
      </c>
      <c r="AG4636">
        <v>-1.1605510000000001</v>
      </c>
      <c r="AH4636">
        <v>35.603280202099903</v>
      </c>
      <c r="AI4636">
        <v>91.845789878875195</v>
      </c>
      <c r="AJ4636">
        <v>81.353358947496403</v>
      </c>
      <c r="AK4636">
        <v>36.031282798625497</v>
      </c>
      <c r="AL4636">
        <v>79.576048437727593</v>
      </c>
      <c r="AM4636">
        <v>92.377852563741399</v>
      </c>
      <c r="AN4636">
        <v>1.0000000253654899</v>
      </c>
    </row>
    <row r="4637" spans="1:40" x14ac:dyDescent="0.25">
      <c r="A4637" t="str">
        <f>"20190304155507996"</f>
        <v>20190304155507996</v>
      </c>
      <c r="B4637" t="str">
        <f>"1551686107991755"</f>
        <v>1551686107991755</v>
      </c>
      <c r="C4637" t="s">
        <v>40</v>
      </c>
      <c r="D4637">
        <v>4.5410849999999998</v>
      </c>
      <c r="E4637">
        <v>0.57063920000000001</v>
      </c>
      <c r="F4637" t="s">
        <v>47</v>
      </c>
      <c r="G4637">
        <v>-302.17559999999997</v>
      </c>
      <c r="H4637">
        <v>-0.05</v>
      </c>
      <c r="I4637">
        <v>11.337199999999999</v>
      </c>
      <c r="J4637">
        <v>-336.10449999999997</v>
      </c>
      <c r="K4637">
        <v>1.1105499999999999</v>
      </c>
      <c r="L4637">
        <v>17.016110000000001</v>
      </c>
      <c r="M4637">
        <v>0.99978199999999995</v>
      </c>
      <c r="N4637">
        <v>-1.363203E-2</v>
      </c>
      <c r="O4637">
        <v>-1.5814870000000002E-2</v>
      </c>
      <c r="P4637">
        <v>0.98556109999999997</v>
      </c>
      <c r="Q4637">
        <v>0.1675025</v>
      </c>
      <c r="R4637">
        <v>2.4742699999999999E-2</v>
      </c>
      <c r="S4637">
        <v>3.0748600000000001</v>
      </c>
      <c r="T4637">
        <v>-0.10449899999999999</v>
      </c>
      <c r="U4637">
        <v>-0.51165769999999999</v>
      </c>
      <c r="V4637">
        <v>-4.0320759999999997E-2</v>
      </c>
      <c r="W4637">
        <v>0.18091670000000001</v>
      </c>
      <c r="X4637">
        <v>0.98267159999999998</v>
      </c>
      <c r="Y4637">
        <v>0.1484067</v>
      </c>
      <c r="Z4637">
        <v>-3.2034810000000002E-3</v>
      </c>
      <c r="AA4637">
        <v>0.98892119999999994</v>
      </c>
      <c r="AB4637">
        <v>22</v>
      </c>
      <c r="AC4637">
        <v>33.928899999999999</v>
      </c>
      <c r="AD4637">
        <v>-1.16055</v>
      </c>
      <c r="AE4637">
        <v>-5.6789100000000001</v>
      </c>
      <c r="AF4637">
        <v>5.13572355924377</v>
      </c>
      <c r="AG4637">
        <v>-1.16055</v>
      </c>
      <c r="AH4637">
        <v>33.975806931917901</v>
      </c>
      <c r="AI4637">
        <v>91.934398429694895</v>
      </c>
      <c r="AJ4637">
        <v>81.404342846373495</v>
      </c>
      <c r="AK4637">
        <v>34.381361076234803</v>
      </c>
      <c r="AL4637">
        <v>79.576840939622997</v>
      </c>
      <c r="AM4637">
        <v>92.349629508277104</v>
      </c>
      <c r="AN4637">
        <v>1.0000000447362101</v>
      </c>
    </row>
    <row r="4638" spans="1:40" x14ac:dyDescent="0.25">
      <c r="A4638" t="str">
        <f>"20190304155508019"</f>
        <v>20190304155508019</v>
      </c>
      <c r="B4638" t="str">
        <f>"1551686108012252"</f>
        <v>1551686108012252</v>
      </c>
      <c r="C4638" t="s">
        <v>40</v>
      </c>
      <c r="D4638">
        <v>4.5184559999999996</v>
      </c>
      <c r="E4638">
        <v>0.57036980000000004</v>
      </c>
      <c r="F4638" t="s">
        <v>47</v>
      </c>
      <c r="G4638">
        <v>-303.3304</v>
      </c>
      <c r="H4638">
        <v>-0.05</v>
      </c>
      <c r="I4638">
        <v>11.575329999999999</v>
      </c>
      <c r="J4638">
        <v>-335.88889999999998</v>
      </c>
      <c r="K4638">
        <v>1.110552</v>
      </c>
      <c r="L4638">
        <v>17.012699999999999</v>
      </c>
      <c r="M4638">
        <v>0.99978210000000001</v>
      </c>
      <c r="N4638">
        <v>-1.3629799999999999E-2</v>
      </c>
      <c r="O4638">
        <v>-1.581486E-2</v>
      </c>
      <c r="P4638">
        <v>0.98561600000000005</v>
      </c>
      <c r="Q4638">
        <v>0.1672092</v>
      </c>
      <c r="R4638">
        <v>2.4544650000000001E-2</v>
      </c>
      <c r="S4638">
        <v>3.0753170000000001</v>
      </c>
      <c r="T4638">
        <v>-0.1088986</v>
      </c>
      <c r="U4638">
        <v>-0.5105286</v>
      </c>
      <c r="V4638">
        <v>-4.0123840000000001E-2</v>
      </c>
      <c r="W4638">
        <v>0.18062220000000001</v>
      </c>
      <c r="X4638">
        <v>0.98273379999999999</v>
      </c>
      <c r="Y4638">
        <v>0.14802170000000001</v>
      </c>
      <c r="Z4638">
        <v>-3.2765369999999999E-3</v>
      </c>
      <c r="AA4638">
        <v>0.98897869999999999</v>
      </c>
      <c r="AB4638">
        <v>22</v>
      </c>
      <c r="AC4638">
        <v>32.558499999999903</v>
      </c>
      <c r="AD4638">
        <v>-1.160552</v>
      </c>
      <c r="AE4638">
        <v>-5.4373699999999898</v>
      </c>
      <c r="AF4638">
        <v>4.9156576941405099</v>
      </c>
      <c r="AG4638">
        <v>-1.160552</v>
      </c>
      <c r="AH4638">
        <v>32.6001295815364</v>
      </c>
      <c r="AI4638">
        <v>92.016075217945797</v>
      </c>
      <c r="AJ4638">
        <v>81.425170960447701</v>
      </c>
      <c r="AK4638">
        <v>32.989074255632502</v>
      </c>
      <c r="AL4638">
        <v>79.593996838632407</v>
      </c>
      <c r="AM4638">
        <v>92.3380192440369</v>
      </c>
      <c r="AN4638">
        <v>1.0000000116658101</v>
      </c>
    </row>
    <row r="4639" spans="1:40" x14ac:dyDescent="0.25">
      <c r="A4639" t="str">
        <f>"20190304155508041"</f>
        <v>20190304155508041</v>
      </c>
      <c r="B4639" t="str">
        <f>"1551686108031774"</f>
        <v>1551686108031774</v>
      </c>
      <c r="C4639" t="s">
        <v>40</v>
      </c>
      <c r="D4639">
        <v>4.4637919999999998</v>
      </c>
      <c r="E4639">
        <v>0.57021080000000002</v>
      </c>
      <c r="F4639" t="s">
        <v>47</v>
      </c>
      <c r="G4639">
        <v>-303.70609999999999</v>
      </c>
      <c r="H4639">
        <v>-0.05</v>
      </c>
      <c r="I4639">
        <v>11.69008</v>
      </c>
      <c r="J4639">
        <v>-335.67239999999998</v>
      </c>
      <c r="K4639">
        <v>1.110555</v>
      </c>
      <c r="L4639">
        <v>17.00928</v>
      </c>
      <c r="M4639">
        <v>0.99978219999999995</v>
      </c>
      <c r="N4639">
        <v>-1.362754E-2</v>
      </c>
      <c r="O4639">
        <v>-1.581484E-2</v>
      </c>
      <c r="P4639">
        <v>0.98563559999999995</v>
      </c>
      <c r="Q4639">
        <v>0.16714300000000001</v>
      </c>
      <c r="R4639">
        <v>2.4211030000000001E-2</v>
      </c>
      <c r="S4639">
        <v>3.075256</v>
      </c>
      <c r="T4639">
        <v>-0.1108973</v>
      </c>
      <c r="U4639">
        <v>-0.508606</v>
      </c>
      <c r="V4639">
        <v>-3.9790220000000001E-2</v>
      </c>
      <c r="W4639">
        <v>0.18055370000000001</v>
      </c>
      <c r="X4639">
        <v>0.98275999999999997</v>
      </c>
      <c r="Y4639">
        <v>0.14741989999999999</v>
      </c>
      <c r="Z4639">
        <v>-3.299078E-3</v>
      </c>
      <c r="AA4639">
        <v>0.98906850000000002</v>
      </c>
      <c r="AB4639">
        <v>22</v>
      </c>
      <c r="AC4639">
        <v>31.966299999999901</v>
      </c>
      <c r="AD4639">
        <v>-1.160555</v>
      </c>
      <c r="AE4639">
        <v>-5.3192000000000004</v>
      </c>
      <c r="AF4639">
        <v>4.8067807552613804</v>
      </c>
      <c r="AG4639">
        <v>-1.160555</v>
      </c>
      <c r="AH4639">
        <v>32.005382061726799</v>
      </c>
      <c r="AI4639">
        <v>92.053694034264097</v>
      </c>
      <c r="AJ4639">
        <v>81.458776372979699</v>
      </c>
      <c r="AK4639">
        <v>32.385127914743201</v>
      </c>
      <c r="AL4639">
        <v>79.597987702500902</v>
      </c>
      <c r="AM4639">
        <v>92.318538740578106</v>
      </c>
      <c r="AN4639">
        <v>1.0000000588956599</v>
      </c>
    </row>
    <row r="4640" spans="1:40" x14ac:dyDescent="0.25">
      <c r="A4640" t="str">
        <f>"20190304155508063"</f>
        <v>20190304155508063</v>
      </c>
      <c r="B4640" t="str">
        <f>"1551686108052266"</f>
        <v>1551686108052266</v>
      </c>
      <c r="C4640" t="s">
        <v>40</v>
      </c>
      <c r="D4640">
        <v>4.3926080000000001</v>
      </c>
      <c r="E4640">
        <v>0.57026019999999999</v>
      </c>
      <c r="F4640" t="s">
        <v>47</v>
      </c>
      <c r="G4640">
        <v>-303.6884</v>
      </c>
      <c r="H4640">
        <v>-0.05</v>
      </c>
      <c r="I4640">
        <v>11.72639</v>
      </c>
      <c r="J4640">
        <v>-335.45659999999998</v>
      </c>
      <c r="K4640">
        <v>1.1105560000000001</v>
      </c>
      <c r="L4640">
        <v>17.005859999999998</v>
      </c>
      <c r="M4640">
        <v>0.99978219999999995</v>
      </c>
      <c r="N4640">
        <v>-1.362526E-2</v>
      </c>
      <c r="O4640">
        <v>-1.581459E-2</v>
      </c>
      <c r="P4640">
        <v>0.98562349999999999</v>
      </c>
      <c r="Q4640">
        <v>0.1672826</v>
      </c>
      <c r="R4640">
        <v>2.3731309999999999E-2</v>
      </c>
      <c r="S4640">
        <v>3.0751650000000001</v>
      </c>
      <c r="T4640">
        <v>-0.1115838</v>
      </c>
      <c r="U4640">
        <v>-0.50793459999999901</v>
      </c>
      <c r="V4640">
        <v>-3.9310280000000003E-2</v>
      </c>
      <c r="W4640">
        <v>0.18069160000000001</v>
      </c>
      <c r="X4640">
        <v>0.98275389999999996</v>
      </c>
      <c r="Y4640">
        <v>0.1472135</v>
      </c>
      <c r="Z4640">
        <v>-3.3066599999999999E-3</v>
      </c>
      <c r="AA4640">
        <v>0.98909919999999996</v>
      </c>
      <c r="AB4640">
        <v>22</v>
      </c>
      <c r="AC4640">
        <v>31.768199999999901</v>
      </c>
      <c r="AD4640">
        <v>-1.1605559999999999</v>
      </c>
      <c r="AE4640">
        <v>-5.2794699999999999</v>
      </c>
      <c r="AF4640">
        <v>4.7701668788208504</v>
      </c>
      <c r="AG4640">
        <v>-1.1605559999999999</v>
      </c>
      <c r="AH4640">
        <v>31.8064191765489</v>
      </c>
      <c r="AI4640">
        <v>92.066595598834695</v>
      </c>
      <c r="AJ4640">
        <v>81.470636744911204</v>
      </c>
      <c r="AK4640">
        <v>32.183065160349003</v>
      </c>
      <c r="AL4640">
        <v>79.589953765283695</v>
      </c>
      <c r="AM4640">
        <v>92.290617260444805</v>
      </c>
      <c r="AN4640">
        <v>0.99999999019472396</v>
      </c>
    </row>
    <row r="4641" spans="1:40" x14ac:dyDescent="0.25">
      <c r="A4641" t="str">
        <f>"20190304155508085"</f>
        <v>20190304155508085</v>
      </c>
      <c r="B4641" t="str">
        <f>"1551686108081980"</f>
        <v>1551686108081980</v>
      </c>
      <c r="C4641" t="s">
        <v>40</v>
      </c>
      <c r="D4641">
        <v>4.3885870000000002</v>
      </c>
      <c r="E4641">
        <v>0.57023950000000001</v>
      </c>
      <c r="F4641" t="s">
        <v>47</v>
      </c>
      <c r="G4641">
        <v>-303.68279999999999</v>
      </c>
      <c r="H4641">
        <v>-0.05</v>
      </c>
      <c r="I4641">
        <v>11.740880000000001</v>
      </c>
      <c r="J4641">
        <v>-335.24209999999999</v>
      </c>
      <c r="K4641">
        <v>1.1105579999999999</v>
      </c>
      <c r="L4641">
        <v>17.00244</v>
      </c>
      <c r="M4641">
        <v>0.99978210000000001</v>
      </c>
      <c r="N4641">
        <v>-1.362301E-2</v>
      </c>
      <c r="O4641">
        <v>-1.581457E-2</v>
      </c>
      <c r="P4641">
        <v>0.98559399999999997</v>
      </c>
      <c r="Q4641">
        <v>0.1676424</v>
      </c>
      <c r="R4641">
        <v>2.2380230000000001E-2</v>
      </c>
      <c r="S4641">
        <v>3.0751040000000001</v>
      </c>
      <c r="T4641">
        <v>-0.1123199</v>
      </c>
      <c r="U4641">
        <v>-0.509552</v>
      </c>
      <c r="V4641">
        <v>-3.7959039999999999E-2</v>
      </c>
      <c r="W4641">
        <v>0.1810485</v>
      </c>
      <c r="X4641">
        <v>0.98274139999999999</v>
      </c>
      <c r="Y4641">
        <v>0.1477212</v>
      </c>
      <c r="Z4641">
        <v>-3.3328670000000002E-3</v>
      </c>
      <c r="AA4641">
        <v>0.9890234</v>
      </c>
      <c r="AB4641">
        <v>22</v>
      </c>
      <c r="AC4641">
        <v>31.5593</v>
      </c>
      <c r="AD4641">
        <v>-1.160558</v>
      </c>
      <c r="AE4641">
        <v>-5.2615599999999896</v>
      </c>
      <c r="AF4641">
        <v>4.7555017469407304</v>
      </c>
      <c r="AG4641">
        <v>-1.160558</v>
      </c>
      <c r="AH4641">
        <v>31.596995912923301</v>
      </c>
      <c r="AI4641">
        <v>92.080122664808698</v>
      </c>
      <c r="AJ4641">
        <v>81.440946128162196</v>
      </c>
      <c r="AK4641">
        <v>31.973924414400798</v>
      </c>
      <c r="AL4641">
        <v>79.569162651967105</v>
      </c>
      <c r="AM4641">
        <v>92.211987964411904</v>
      </c>
      <c r="AN4641">
        <v>1.00000005367196</v>
      </c>
    </row>
    <row r="4642" spans="1:40" x14ac:dyDescent="0.25">
      <c r="A4642" t="str">
        <f>"20190304155508108"</f>
        <v>20190304155508108</v>
      </c>
      <c r="B4642" t="str">
        <f>"1551686108102476"</f>
        <v>1551686108102476</v>
      </c>
      <c r="C4642" t="s">
        <v>40</v>
      </c>
      <c r="D4642">
        <v>4.2256499999999999</v>
      </c>
      <c r="E4642">
        <v>0.57028219999999996</v>
      </c>
      <c r="F4642" t="s">
        <v>47</v>
      </c>
      <c r="G4642">
        <v>-302.90789999999998</v>
      </c>
      <c r="H4642">
        <v>-0.05</v>
      </c>
      <c r="I4642">
        <v>11.603300000000001</v>
      </c>
      <c r="J4642">
        <v>-335.02589999999998</v>
      </c>
      <c r="K4642">
        <v>1.1105579999999999</v>
      </c>
      <c r="L4642">
        <v>16.999020000000002</v>
      </c>
      <c r="M4642">
        <v>0.99978230000000001</v>
      </c>
      <c r="N4642">
        <v>-1.3620190000000001E-2</v>
      </c>
      <c r="O4642">
        <v>-1.581455E-2</v>
      </c>
      <c r="P4642">
        <v>0.98559399999999997</v>
      </c>
      <c r="Q4642">
        <v>0.167745799999999</v>
      </c>
      <c r="R4642">
        <v>2.158972E-2</v>
      </c>
      <c r="S4642">
        <v>3.074249</v>
      </c>
      <c r="T4642">
        <v>-0.1103427</v>
      </c>
      <c r="U4642">
        <v>-0.51333620000000002</v>
      </c>
      <c r="V4642">
        <v>-3.716825E-2</v>
      </c>
      <c r="W4642">
        <v>0.18114930000000001</v>
      </c>
      <c r="X4642">
        <v>0.98275299999999999</v>
      </c>
      <c r="Y4642">
        <v>0.14895269999999999</v>
      </c>
      <c r="Z4642">
        <v>-3.3263989999999998E-3</v>
      </c>
      <c r="AA4642">
        <v>0.98883869999999896</v>
      </c>
      <c r="AB4642">
        <v>22</v>
      </c>
      <c r="AC4642">
        <v>32.117999999999903</v>
      </c>
      <c r="AD4642">
        <v>-1.160558</v>
      </c>
      <c r="AE4642">
        <v>-5.3957199999999998</v>
      </c>
      <c r="AF4642">
        <v>4.8808683986472596</v>
      </c>
      <c r="AG4642">
        <v>-1.160558</v>
      </c>
      <c r="AH4642">
        <v>32.158485266024499</v>
      </c>
      <c r="AI4642">
        <v>92.043451295445195</v>
      </c>
      <c r="AJ4642">
        <v>81.369773371415903</v>
      </c>
      <c r="AK4642">
        <v>32.547472187581498</v>
      </c>
      <c r="AL4642">
        <v>79.563289603948604</v>
      </c>
      <c r="AM4642">
        <v>92.165925056040507</v>
      </c>
      <c r="AN4642">
        <v>1.0000000033537699</v>
      </c>
    </row>
    <row r="4643" spans="1:40" x14ac:dyDescent="0.25">
      <c r="A4643" t="str">
        <f>"20190304155508130"</f>
        <v>20190304155508130</v>
      </c>
      <c r="B4643" t="str">
        <f>"1551686108121998"</f>
        <v>1551686108121998</v>
      </c>
      <c r="C4643" t="s">
        <v>40</v>
      </c>
      <c r="D4643">
        <v>4.3613629999999999</v>
      </c>
      <c r="E4643">
        <v>0.57044340000000004</v>
      </c>
      <c r="F4643" t="s">
        <v>47</v>
      </c>
      <c r="G4643">
        <v>-302.89620000000002</v>
      </c>
      <c r="H4643">
        <v>-0.05</v>
      </c>
      <c r="I4643">
        <v>11.60538</v>
      </c>
      <c r="J4643">
        <v>-334.80860000000001</v>
      </c>
      <c r="K4643">
        <v>1.1105579999999999</v>
      </c>
      <c r="L4643">
        <v>16.995570000000001</v>
      </c>
      <c r="M4643">
        <v>0.99978230000000001</v>
      </c>
      <c r="N4643">
        <v>-1.3615149999999999E-2</v>
      </c>
      <c r="O4643">
        <v>-1.581428E-2</v>
      </c>
      <c r="P4643">
        <v>0.98557220000000001</v>
      </c>
      <c r="Q4643">
        <v>0.16801289999999999</v>
      </c>
      <c r="R4643">
        <v>2.048121E-2</v>
      </c>
      <c r="S4643">
        <v>3.0740970000000001</v>
      </c>
      <c r="T4643">
        <v>-0.1110395</v>
      </c>
      <c r="U4643">
        <v>-0.51605219999999996</v>
      </c>
      <c r="V4643">
        <v>-3.6059590000000002E-2</v>
      </c>
      <c r="W4643">
        <v>0.18141099999999999</v>
      </c>
      <c r="X4643">
        <v>0.98274609999999996</v>
      </c>
      <c r="Y4643">
        <v>0.14980869999999999</v>
      </c>
      <c r="Z4643">
        <v>-3.3603729999999998E-3</v>
      </c>
      <c r="AA4643">
        <v>0.98870930000000001</v>
      </c>
      <c r="AB4643">
        <v>22</v>
      </c>
      <c r="AC4643">
        <v>31.912399999999899</v>
      </c>
      <c r="AD4643">
        <v>-1.160558</v>
      </c>
      <c r="AE4643">
        <v>-5.3901899999999996</v>
      </c>
      <c r="AF4643">
        <v>4.8785242654469503</v>
      </c>
      <c r="AG4643">
        <v>-1.160558</v>
      </c>
      <c r="AH4643">
        <v>31.9525714170085</v>
      </c>
      <c r="AI4643">
        <v>92.056332181576593</v>
      </c>
      <c r="AJ4643">
        <v>81.319110052032499</v>
      </c>
      <c r="AK4643">
        <v>32.3436812072922</v>
      </c>
      <c r="AL4643">
        <v>79.548043394802306</v>
      </c>
      <c r="AM4643">
        <v>92.101393075928797</v>
      </c>
      <c r="AN4643">
        <v>1.0000000710085799</v>
      </c>
    </row>
    <row r="4644" spans="1:40" x14ac:dyDescent="0.25">
      <c r="A4644" t="str">
        <f>"20190304155508151"</f>
        <v>20190304155508151</v>
      </c>
      <c r="B4644" t="str">
        <f>"1551686108142492"</f>
        <v>1551686108142492</v>
      </c>
      <c r="C4644" t="s">
        <v>40</v>
      </c>
      <c r="D4644">
        <v>4.3822970000000003</v>
      </c>
      <c r="E4644">
        <v>0.57052209999999903</v>
      </c>
      <c r="F4644" t="s">
        <v>47</v>
      </c>
      <c r="G4644">
        <v>-302.16000000000003</v>
      </c>
      <c r="H4644">
        <v>-0.05</v>
      </c>
      <c r="I4644">
        <v>11.46097</v>
      </c>
      <c r="J4644">
        <v>-334.60140000000001</v>
      </c>
      <c r="K4644">
        <v>1.1105579999999999</v>
      </c>
      <c r="L4644">
        <v>16.99231</v>
      </c>
      <c r="M4644">
        <v>0.99978239999999996</v>
      </c>
      <c r="N4644">
        <v>-1.36066E-2</v>
      </c>
      <c r="O4644">
        <v>-1.581422E-2</v>
      </c>
      <c r="P4644">
        <v>0.98559450000000004</v>
      </c>
      <c r="Q4644">
        <v>0.16799359999999999</v>
      </c>
      <c r="R4644">
        <v>1.9541630000000001E-2</v>
      </c>
      <c r="S4644">
        <v>3.0733640000000002</v>
      </c>
      <c r="T4644">
        <v>-0.109248499999999</v>
      </c>
      <c r="U4644">
        <v>-0.52099609999999996</v>
      </c>
      <c r="V4644">
        <v>-3.5120190000000003E-2</v>
      </c>
      <c r="W4644">
        <v>0.18138380000000001</v>
      </c>
      <c r="X4644">
        <v>0.98278500000000002</v>
      </c>
      <c r="Y4644">
        <v>0.15139549999999999</v>
      </c>
      <c r="Z4644">
        <v>-3.3646219999999998E-3</v>
      </c>
      <c r="AA4644">
        <v>0.98846750000000005</v>
      </c>
      <c r="AB4644">
        <v>22</v>
      </c>
      <c r="AC4644">
        <v>32.441399999999902</v>
      </c>
      <c r="AD4644">
        <v>-1.160558</v>
      </c>
      <c r="AE4644">
        <v>-5.5313400000000001</v>
      </c>
      <c r="AF4644">
        <v>5.01133303358879</v>
      </c>
      <c r="AG4644">
        <v>-1.160558</v>
      </c>
      <c r="AH4644">
        <v>32.484425874758998</v>
      </c>
      <c r="AI4644">
        <v>92.022211529726704</v>
      </c>
      <c r="AJ4644">
        <v>81.230183932761307</v>
      </c>
      <c r="AK4644">
        <v>32.889181778475603</v>
      </c>
      <c r="AL4644">
        <v>79.549626677022303</v>
      </c>
      <c r="AM4644">
        <v>92.046615245532806</v>
      </c>
      <c r="AN4644">
        <v>0.99999993343653504</v>
      </c>
    </row>
    <row r="4645" spans="1:40" x14ac:dyDescent="0.25">
      <c r="A4645" t="str">
        <f>"20190304155508175"</f>
        <v>20190304155508175</v>
      </c>
      <c r="B4645" t="str">
        <f>"1551686108171773"</f>
        <v>1551686108171773</v>
      </c>
      <c r="C4645" t="s">
        <v>40</v>
      </c>
      <c r="D4645">
        <v>4.4110740000000002</v>
      </c>
      <c r="E4645">
        <v>0.57089069999999997</v>
      </c>
      <c r="F4645" t="s">
        <v>47</v>
      </c>
      <c r="G4645">
        <v>-301.87889999999999</v>
      </c>
      <c r="H4645">
        <v>-0.05</v>
      </c>
      <c r="I4645">
        <v>11.40878</v>
      </c>
      <c r="J4645">
        <v>-334.38080000000002</v>
      </c>
      <c r="K4645">
        <v>1.1105510000000001</v>
      </c>
      <c r="L4645">
        <v>16.98883</v>
      </c>
      <c r="M4645">
        <v>0.99978270000000002</v>
      </c>
      <c r="N4645">
        <v>-1.3591880000000001E-2</v>
      </c>
      <c r="O4645">
        <v>-1.5814129999999999E-2</v>
      </c>
      <c r="P4645">
        <v>0.98559399999999997</v>
      </c>
      <c r="Q4645">
        <v>0.16814270000000001</v>
      </c>
      <c r="R4645">
        <v>1.8234520000000001E-2</v>
      </c>
      <c r="S4645">
        <v>3.0728149999999999</v>
      </c>
      <c r="T4645">
        <v>-0.1089826</v>
      </c>
      <c r="U4645">
        <v>-0.52432250000000002</v>
      </c>
      <c r="V4645">
        <v>-3.381323E-2</v>
      </c>
      <c r="W4645">
        <v>0.18151929999999999</v>
      </c>
      <c r="X4645">
        <v>0.98280590000000001</v>
      </c>
      <c r="Y4645">
        <v>0.15246419999999999</v>
      </c>
      <c r="Z4645">
        <v>-3.3845139999999999E-3</v>
      </c>
      <c r="AA4645">
        <v>0.98830320000000005</v>
      </c>
      <c r="AB4645">
        <v>22</v>
      </c>
      <c r="AC4645">
        <v>32.501899999999999</v>
      </c>
      <c r="AD4645">
        <v>-1.1605510000000001</v>
      </c>
      <c r="AE4645">
        <v>-5.58005</v>
      </c>
      <c r="AF4645">
        <v>5.0590497754504797</v>
      </c>
      <c r="AG4645">
        <v>-1.1605510000000001</v>
      </c>
      <c r="AH4645">
        <v>32.545778770831099</v>
      </c>
      <c r="AI4645">
        <v>92.018031969007396</v>
      </c>
      <c r="AJ4645">
        <v>81.164419770467305</v>
      </c>
      <c r="AK4645">
        <v>32.957071760913003</v>
      </c>
      <c r="AL4645">
        <v>79.541732897941102</v>
      </c>
      <c r="AM4645">
        <v>91.970471996605895</v>
      </c>
      <c r="AN4645">
        <v>1.0000000139351599</v>
      </c>
    </row>
    <row r="4646" spans="1:40" x14ac:dyDescent="0.25">
      <c r="A4646" t="str">
        <f>"20190304155508198"</f>
        <v>20190304155508198</v>
      </c>
      <c r="B4646" t="str">
        <f>"1551686108192268"</f>
        <v>1551686108192268</v>
      </c>
      <c r="C4646" t="s">
        <v>40</v>
      </c>
      <c r="D4646">
        <v>4.3880860000000004</v>
      </c>
      <c r="E4646">
        <v>0.62000440000000001</v>
      </c>
      <c r="F4646" t="s">
        <v>47</v>
      </c>
      <c r="G4646">
        <v>-301.3245</v>
      </c>
      <c r="H4646">
        <v>-0.05</v>
      </c>
      <c r="I4646">
        <v>11.27148</v>
      </c>
      <c r="J4646">
        <v>-334.16109999999998</v>
      </c>
      <c r="K4646">
        <v>1.1105480000000001</v>
      </c>
      <c r="L4646">
        <v>16.98535</v>
      </c>
      <c r="M4646">
        <v>0.99978290000000003</v>
      </c>
      <c r="N4646">
        <v>-1.357129E-2</v>
      </c>
      <c r="O4646">
        <v>-1.581399E-2</v>
      </c>
      <c r="P4646">
        <v>0.98567570000000004</v>
      </c>
      <c r="Q4646">
        <v>0.16777779999999901</v>
      </c>
      <c r="R4646">
        <v>1.7153660000000001E-2</v>
      </c>
      <c r="S4646">
        <v>3.0720830000000001</v>
      </c>
      <c r="T4646">
        <v>-0.1078558</v>
      </c>
      <c r="U4646">
        <v>-0.53134159999999997</v>
      </c>
      <c r="V4646">
        <v>-3.2733949999999998E-2</v>
      </c>
      <c r="W4646">
        <v>0.1811352</v>
      </c>
      <c r="X4646">
        <v>0.98291329999999999</v>
      </c>
      <c r="Y4646">
        <v>0.15469669999999999</v>
      </c>
      <c r="Z4646">
        <v>-3.4150370000000001E-3</v>
      </c>
      <c r="AA4646">
        <v>0.9879561</v>
      </c>
      <c r="AB4646">
        <v>22</v>
      </c>
      <c r="AC4646">
        <v>32.836599999999898</v>
      </c>
      <c r="AD4646">
        <v>-1.1605479999999999</v>
      </c>
      <c r="AE4646">
        <v>-5.71387</v>
      </c>
      <c r="AF4646">
        <v>5.1875403882681503</v>
      </c>
      <c r="AG4646">
        <v>-1.1605479999999999</v>
      </c>
      <c r="AH4646">
        <v>32.882992296503602</v>
      </c>
      <c r="AI4646">
        <v>91.996643243165593</v>
      </c>
      <c r="AJ4646">
        <v>81.035042431741303</v>
      </c>
      <c r="AK4646">
        <v>33.309887860996099</v>
      </c>
      <c r="AL4646">
        <v>79.564111173523401</v>
      </c>
      <c r="AM4646">
        <v>91.907415711024996</v>
      </c>
      <c r="AN4646">
        <v>1.00000001373926</v>
      </c>
    </row>
    <row r="4647" spans="1:40" x14ac:dyDescent="0.25">
      <c r="A4647" t="str">
        <f>"20190304155508219"</f>
        <v>20190304155508219</v>
      </c>
      <c r="B4647" t="str">
        <f>"1551686108211788"</f>
        <v>1551686108211788</v>
      </c>
      <c r="C4647" t="s">
        <v>40</v>
      </c>
      <c r="D4647">
        <v>4.5873140000000001</v>
      </c>
      <c r="E4647">
        <v>0.62203199999999903</v>
      </c>
      <c r="F4647" t="s">
        <v>90</v>
      </c>
      <c r="G4647">
        <v>-279.02</v>
      </c>
      <c r="H4647">
        <v>1.024583</v>
      </c>
      <c r="I4647">
        <v>0.35180850000000002</v>
      </c>
      <c r="J4647">
        <v>-333.94990000000001</v>
      </c>
      <c r="K4647">
        <v>1.110536</v>
      </c>
      <c r="L4647">
        <v>16.98199</v>
      </c>
      <c r="M4647">
        <v>0.99978330000000004</v>
      </c>
      <c r="N4647">
        <v>-1.354296E-2</v>
      </c>
      <c r="O4647">
        <v>-1.5813799999999999E-2</v>
      </c>
      <c r="P4647">
        <v>0.98570310000000005</v>
      </c>
      <c r="Q4647">
        <v>0.167744</v>
      </c>
      <c r="R4647">
        <v>1.586454E-2</v>
      </c>
      <c r="S4647">
        <v>3.0605159999999998</v>
      </c>
      <c r="T4647">
        <v>-4.7713520000000004E-3</v>
      </c>
      <c r="U4647">
        <v>-0.92321779999999998</v>
      </c>
      <c r="V4647">
        <v>-3.1444920000000001E-2</v>
      </c>
      <c r="W4647">
        <v>0.18107380000000001</v>
      </c>
      <c r="X4647">
        <v>0.98296669999999997</v>
      </c>
      <c r="Y4647">
        <v>0.27362039999999999</v>
      </c>
      <c r="Z4647">
        <v>-2.2874390000000001E-3</v>
      </c>
      <c r="AA4647">
        <v>0.961835</v>
      </c>
      <c r="AB4647">
        <v>22</v>
      </c>
      <c r="AC4647">
        <v>54.929900000000004</v>
      </c>
      <c r="AD4647">
        <v>-8.5952999999999904E-2</v>
      </c>
      <c r="AE4647">
        <v>-16.630181499999999</v>
      </c>
      <c r="AF4647">
        <v>15.7593361693639</v>
      </c>
      <c r="AG4647">
        <v>-8.5952999999999904E-2</v>
      </c>
      <c r="AH4647">
        <v>55.185916667635503</v>
      </c>
      <c r="AI4647">
        <v>90.085808826095899</v>
      </c>
      <c r="AJ4647">
        <v>74.062349236926707</v>
      </c>
      <c r="AK4647">
        <v>57.392067943788597</v>
      </c>
      <c r="AL4647">
        <v>79.567688338038707</v>
      </c>
      <c r="AM4647">
        <v>91.832256377247603</v>
      </c>
      <c r="AN4647">
        <v>1.0000000186745599</v>
      </c>
    </row>
    <row r="4648" spans="1:40" x14ac:dyDescent="0.25">
      <c r="A4648" t="str">
        <f>"20190304155508243"</f>
        <v>20190304155508243</v>
      </c>
      <c r="B4648" t="str">
        <f>"1551686108232285"</f>
        <v>1551686108232285</v>
      </c>
      <c r="C4648" t="s">
        <v>40</v>
      </c>
      <c r="D4648">
        <v>4.3530470000000001</v>
      </c>
      <c r="E4648">
        <v>0.62403390000000003</v>
      </c>
      <c r="F4648" t="s">
        <v>90</v>
      </c>
      <c r="G4648">
        <v>-279.02</v>
      </c>
      <c r="H4648">
        <v>1.1950289999999999</v>
      </c>
      <c r="I4648">
        <v>4.1080470000000001E-2</v>
      </c>
      <c r="J4648">
        <v>-333.73020000000002</v>
      </c>
      <c r="K4648">
        <v>1.110522</v>
      </c>
      <c r="L4648">
        <v>16.97852</v>
      </c>
      <c r="M4648">
        <v>0.99978400000000001</v>
      </c>
      <c r="N4648">
        <v>-1.3491599999999999E-2</v>
      </c>
      <c r="O4648">
        <v>-1.5813689999999998E-2</v>
      </c>
      <c r="P4648">
        <v>0.98576090000000005</v>
      </c>
      <c r="Q4648">
        <v>0.167496799999999</v>
      </c>
      <c r="R4648">
        <v>1.4846989999999999E-2</v>
      </c>
      <c r="S4648">
        <v>3.0578919999999998</v>
      </c>
      <c r="T4648">
        <v>4.7036409999999997E-3</v>
      </c>
      <c r="U4648">
        <v>-0.9430847</v>
      </c>
      <c r="V4648">
        <v>-3.042808E-2</v>
      </c>
      <c r="W4648">
        <v>0.1807774</v>
      </c>
      <c r="X4648">
        <v>0.98305319999999996</v>
      </c>
      <c r="Y4648">
        <v>0.27956639999999999</v>
      </c>
      <c r="Z4648">
        <v>-1.951089E-3</v>
      </c>
      <c r="AA4648">
        <v>0.96012439999999999</v>
      </c>
      <c r="AB4648">
        <v>22</v>
      </c>
      <c r="AC4648">
        <v>54.7102</v>
      </c>
      <c r="AD4648">
        <v>8.4507000000000096E-2</v>
      </c>
      <c r="AE4648">
        <v>-16.937439529999999</v>
      </c>
      <c r="AF4648">
        <v>16.070037395837801</v>
      </c>
      <c r="AG4648">
        <v>8.4507000000000096E-2</v>
      </c>
      <c r="AH4648">
        <v>54.971105656966103</v>
      </c>
      <c r="AI4648">
        <v>89.915457800775201</v>
      </c>
      <c r="AJ4648">
        <v>73.704454233473299</v>
      </c>
      <c r="AK4648">
        <v>57.271945143202601</v>
      </c>
      <c r="AL4648">
        <v>79.584955212064301</v>
      </c>
      <c r="AM4648">
        <v>91.772888912549107</v>
      </c>
      <c r="AN4648">
        <v>0.99999996521674195</v>
      </c>
    </row>
    <row r="4649" spans="1:40" x14ac:dyDescent="0.25">
      <c r="A4649" t="str">
        <f>"20190304155508264"</f>
        <v>20190304155508264</v>
      </c>
      <c r="B4649" t="str">
        <f>"1551686108251804"</f>
        <v>1551686108251804</v>
      </c>
      <c r="C4649" t="s">
        <v>40</v>
      </c>
      <c r="D4649">
        <v>4.435117</v>
      </c>
      <c r="E4649">
        <v>0.62497840000000005</v>
      </c>
      <c r="F4649" t="s">
        <v>90</v>
      </c>
      <c r="G4649">
        <v>-279.02</v>
      </c>
      <c r="H4649">
        <v>1.224877</v>
      </c>
      <c r="I4649">
        <v>-0.24554819999999999</v>
      </c>
      <c r="J4649">
        <v>-333.52140000000003</v>
      </c>
      <c r="K4649">
        <v>1.1105069999999999</v>
      </c>
      <c r="L4649">
        <v>16.97522</v>
      </c>
      <c r="M4649">
        <v>0.99978509999999998</v>
      </c>
      <c r="N4649">
        <v>-1.341704E-2</v>
      </c>
      <c r="O4649">
        <v>-1.5813669999999998E-2</v>
      </c>
      <c r="P4649">
        <v>0.98576589999999997</v>
      </c>
      <c r="Q4649">
        <v>0.167525799999999</v>
      </c>
      <c r="R4649">
        <v>1.4177800000000001E-2</v>
      </c>
      <c r="S4649">
        <v>3.0567630000000001</v>
      </c>
      <c r="T4649">
        <v>6.3892599999999999E-3</v>
      </c>
      <c r="U4649">
        <v>-0.96234129999999996</v>
      </c>
      <c r="V4649">
        <v>-2.9759399999999998E-2</v>
      </c>
      <c r="W4649">
        <v>0.18073330000000001</v>
      </c>
      <c r="X4649">
        <v>0.98308180000000001</v>
      </c>
      <c r="Y4649">
        <v>0.28517530000000002</v>
      </c>
      <c r="Z4649">
        <v>-1.906935E-3</v>
      </c>
      <c r="AA4649">
        <v>0.95847349999999998</v>
      </c>
      <c r="AB4649">
        <v>21</v>
      </c>
      <c r="AC4649">
        <v>54.501399999999997</v>
      </c>
      <c r="AD4649">
        <v>0.11437</v>
      </c>
      <c r="AE4649">
        <v>-17.220768199999998</v>
      </c>
      <c r="AF4649">
        <v>16.3566043757443</v>
      </c>
      <c r="AG4649">
        <v>0.11437</v>
      </c>
      <c r="AH4649">
        <v>54.7667124430236</v>
      </c>
      <c r="AI4649">
        <v>89.885352609786594</v>
      </c>
      <c r="AJ4649">
        <v>73.371239826163304</v>
      </c>
      <c r="AK4649">
        <v>57.1571900902971</v>
      </c>
      <c r="AL4649">
        <v>79.587524498034099</v>
      </c>
      <c r="AM4649">
        <v>91.733901979175201</v>
      </c>
      <c r="AN4649">
        <v>0.99999998655424405</v>
      </c>
    </row>
    <row r="4650" spans="1:40" x14ac:dyDescent="0.25">
      <c r="A4650" t="str">
        <f>"20190304155508285"</f>
        <v>20190304155508285</v>
      </c>
      <c r="B4650" t="str">
        <f>"1551686108282061"</f>
        <v>1551686108282061</v>
      </c>
      <c r="C4650" t="s">
        <v>40</v>
      </c>
      <c r="D4650">
        <v>4.4200949999999999</v>
      </c>
      <c r="E4650">
        <v>0.62603030000000004</v>
      </c>
      <c r="F4650" t="s">
        <v>90</v>
      </c>
      <c r="G4650">
        <v>-279.02</v>
      </c>
      <c r="H4650">
        <v>1.304076</v>
      </c>
      <c r="I4650">
        <v>-0.35720249999999998</v>
      </c>
      <c r="J4650">
        <v>-333.31279999999998</v>
      </c>
      <c r="K4650">
        <v>1.1104940000000001</v>
      </c>
      <c r="L4650">
        <v>16.971920000000001</v>
      </c>
      <c r="M4650">
        <v>0.99978599999999995</v>
      </c>
      <c r="N4650">
        <v>-1.333405E-2</v>
      </c>
      <c r="O4650">
        <v>-1.5813239999999999E-2</v>
      </c>
      <c r="P4650">
        <v>0.98577219999999999</v>
      </c>
      <c r="Q4650">
        <v>0.16752230000000001</v>
      </c>
      <c r="R4650">
        <v>1.3763859999999999E-2</v>
      </c>
      <c r="S4650">
        <v>3.0554199999999998</v>
      </c>
      <c r="T4650">
        <v>1.085174E-2</v>
      </c>
      <c r="U4650">
        <v>-0.97167969999999904</v>
      </c>
      <c r="V4650">
        <v>-2.9345E-2</v>
      </c>
      <c r="W4650">
        <v>0.18064839999999999</v>
      </c>
      <c r="X4650">
        <v>0.98310989999999998</v>
      </c>
      <c r="Y4650">
        <v>0.28795979999999999</v>
      </c>
      <c r="Z4650">
        <v>-1.7277879999999901E-3</v>
      </c>
      <c r="AA4650">
        <v>0.95764090000000002</v>
      </c>
      <c r="AB4650">
        <v>21</v>
      </c>
      <c r="AC4650">
        <v>54.2928</v>
      </c>
      <c r="AD4650">
        <v>0.193581999999999</v>
      </c>
      <c r="AE4650">
        <v>-17.3291225</v>
      </c>
      <c r="AF4650">
        <v>16.468143876911601</v>
      </c>
      <c r="AG4650">
        <v>0.193581999999999</v>
      </c>
      <c r="AH4650">
        <v>54.559434647226198</v>
      </c>
      <c r="AI4650">
        <v>89.805382229743998</v>
      </c>
      <c r="AJ4650">
        <v>73.2041583618538</v>
      </c>
      <c r="AK4650">
        <v>56.990956701623503</v>
      </c>
      <c r="AL4650">
        <v>79.592470717205501</v>
      </c>
      <c r="AM4650">
        <v>91.7097229647228</v>
      </c>
      <c r="AN4650">
        <v>1.00000002446278</v>
      </c>
    </row>
    <row r="4651" spans="1:40" x14ac:dyDescent="0.25">
      <c r="A4651" t="str">
        <f>"20190304155508309"</f>
        <v>20190304155508309</v>
      </c>
      <c r="B4651" t="str">
        <f>"1551686108302557"</f>
        <v>1551686108302557</v>
      </c>
      <c r="C4651" t="s">
        <v>40</v>
      </c>
      <c r="D4651">
        <v>4.477417</v>
      </c>
      <c r="E4651">
        <v>0.62650799999999995</v>
      </c>
      <c r="F4651" t="s">
        <v>90</v>
      </c>
      <c r="G4651">
        <v>-279.02</v>
      </c>
      <c r="H4651">
        <v>1.270219</v>
      </c>
      <c r="I4651">
        <v>-0.4697132</v>
      </c>
      <c r="J4651">
        <v>-333.0924</v>
      </c>
      <c r="K4651">
        <v>1.110476</v>
      </c>
      <c r="L4651">
        <v>16.968440000000001</v>
      </c>
      <c r="M4651">
        <v>0.99978739999999999</v>
      </c>
      <c r="N4651">
        <v>-1.323858E-2</v>
      </c>
      <c r="O4651">
        <v>-1.581333E-2</v>
      </c>
      <c r="P4651">
        <v>0.98571439999999999</v>
      </c>
      <c r="Q4651">
        <v>0.16792379999999901</v>
      </c>
      <c r="R4651">
        <v>1.2993630000000001E-2</v>
      </c>
      <c r="S4651">
        <v>3.05545</v>
      </c>
      <c r="T4651">
        <v>8.9888569999999994E-3</v>
      </c>
      <c r="U4651">
        <v>-0.98156739999999998</v>
      </c>
      <c r="V4651">
        <v>-2.8574080000000002E-2</v>
      </c>
      <c r="W4651">
        <v>0.18095559999999999</v>
      </c>
      <c r="X4651">
        <v>0.98307610000000001</v>
      </c>
      <c r="Y4651">
        <v>0.29076669999999999</v>
      </c>
      <c r="Z4651">
        <v>-1.8044910000000001E-3</v>
      </c>
      <c r="AA4651">
        <v>0.95679230000000004</v>
      </c>
      <c r="AB4651">
        <v>21</v>
      </c>
      <c r="AC4651">
        <v>54.072400000000002</v>
      </c>
      <c r="AD4651">
        <v>0.159742999999999</v>
      </c>
      <c r="AE4651">
        <v>-17.438153199999999</v>
      </c>
      <c r="AF4651">
        <v>16.580701727791901</v>
      </c>
      <c r="AG4651">
        <v>0.159742999999999</v>
      </c>
      <c r="AH4651">
        <v>54.340987513604702</v>
      </c>
      <c r="AI4651">
        <v>89.838903611371805</v>
      </c>
      <c r="AJ4651">
        <v>73.031830734506201</v>
      </c>
      <c r="AK4651">
        <v>56.8145061719786</v>
      </c>
      <c r="AL4651">
        <v>79.574574393139699</v>
      </c>
      <c r="AM4651">
        <v>91.664889803997198</v>
      </c>
      <c r="AN4651">
        <v>1.0000000128052</v>
      </c>
    </row>
    <row r="4652" spans="1:40" x14ac:dyDescent="0.25">
      <c r="A4652" t="str">
        <f>"20190304155508331"</f>
        <v>20190304155508331</v>
      </c>
      <c r="B4652" t="str">
        <f>"1551686108322080"</f>
        <v>1551686108322080</v>
      </c>
      <c r="C4652" t="s">
        <v>40</v>
      </c>
      <c r="D4652">
        <v>4.4544670000000002</v>
      </c>
      <c r="E4652">
        <v>0.62740739999999995</v>
      </c>
      <c r="F4652" t="s">
        <v>90</v>
      </c>
      <c r="G4652">
        <v>-279.02</v>
      </c>
      <c r="H4652">
        <v>1.3491949999999999</v>
      </c>
      <c r="I4652">
        <v>-0.51646040000000004</v>
      </c>
      <c r="J4652">
        <v>-332.87909999999999</v>
      </c>
      <c r="K4652">
        <v>1.1104609999999999</v>
      </c>
      <c r="L4652">
        <v>16.965060000000001</v>
      </c>
      <c r="M4652">
        <v>0.99978880000000003</v>
      </c>
      <c r="N4652">
        <v>-1.3132889999999999E-2</v>
      </c>
      <c r="O4652">
        <v>-1.5813000000000001E-2</v>
      </c>
      <c r="P4652">
        <v>0.98569899999999999</v>
      </c>
      <c r="Q4652">
        <v>0.16803969999999999</v>
      </c>
      <c r="R4652">
        <v>1.2651219999999999E-2</v>
      </c>
      <c r="S4652">
        <v>3.0541990000000001</v>
      </c>
      <c r="T4652">
        <v>1.348364E-2</v>
      </c>
      <c r="U4652">
        <v>-0.98760990000000004</v>
      </c>
      <c r="V4652">
        <v>-2.823088E-2</v>
      </c>
      <c r="W4652">
        <v>0.18096690000000001</v>
      </c>
      <c r="X4652">
        <v>0.98308390000000001</v>
      </c>
      <c r="Y4652">
        <v>0.292597099999999</v>
      </c>
      <c r="Z4652">
        <v>-1.6100120000000001E-3</v>
      </c>
      <c r="AA4652">
        <v>0.95623449999999999</v>
      </c>
      <c r="AB4652">
        <v>21</v>
      </c>
      <c r="AC4652">
        <v>53.859099999999998</v>
      </c>
      <c r="AD4652">
        <v>0.238734</v>
      </c>
      <c r="AE4652">
        <v>-17.481520400000001</v>
      </c>
      <c r="AF4652">
        <v>16.6272913693339</v>
      </c>
      <c r="AG4652">
        <v>0.238734</v>
      </c>
      <c r="AH4652">
        <v>54.127861635376902</v>
      </c>
      <c r="AI4652">
        <v>89.758435682592904</v>
      </c>
      <c r="AJ4652">
        <v>72.923804137681699</v>
      </c>
      <c r="AK4652">
        <v>56.6246343689916</v>
      </c>
      <c r="AL4652">
        <v>79.573915714915898</v>
      </c>
      <c r="AM4652">
        <v>91.644891012084997</v>
      </c>
      <c r="AN4652">
        <v>0.99999997796019602</v>
      </c>
    </row>
    <row r="4653" spans="1:40" x14ac:dyDescent="0.25">
      <c r="A4653" t="str">
        <f>"20190304155508353"</f>
        <v>20190304155508353</v>
      </c>
      <c r="B4653" t="str">
        <f>"1551686108342572"</f>
        <v>1551686108342572</v>
      </c>
      <c r="C4653" t="s">
        <v>40</v>
      </c>
      <c r="D4653">
        <v>4.4877129999999896</v>
      </c>
      <c r="E4653">
        <v>0.62802500000000006</v>
      </c>
      <c r="F4653" t="s">
        <v>90</v>
      </c>
      <c r="G4653">
        <v>-279.02</v>
      </c>
      <c r="H4653">
        <v>1.3555090000000001</v>
      </c>
      <c r="I4653">
        <v>-0.60512159999999904</v>
      </c>
      <c r="J4653">
        <v>-332.66899999999998</v>
      </c>
      <c r="K4653">
        <v>1.1104449999999999</v>
      </c>
      <c r="L4653">
        <v>16.961729999999999</v>
      </c>
      <c r="M4653">
        <v>0.99979019999999996</v>
      </c>
      <c r="N4653">
        <v>-1.301855E-2</v>
      </c>
      <c r="O4653">
        <v>-1.5812860000000001E-2</v>
      </c>
      <c r="P4653">
        <v>0.9855138</v>
      </c>
      <c r="Q4653">
        <v>0.16913329999999999</v>
      </c>
      <c r="R4653">
        <v>1.251246E-2</v>
      </c>
      <c r="S4653">
        <v>3.0539550000000002</v>
      </c>
      <c r="T4653">
        <v>1.389492E-2</v>
      </c>
      <c r="U4653">
        <v>-0.99627690000000002</v>
      </c>
      <c r="V4653">
        <v>-2.8089309999999999E-2</v>
      </c>
      <c r="W4653">
        <v>0.181946</v>
      </c>
      <c r="X4653">
        <v>0.98290719999999998</v>
      </c>
      <c r="Y4653">
        <v>0.29507339999999999</v>
      </c>
      <c r="Z4653">
        <v>-1.58592E-3</v>
      </c>
      <c r="AA4653">
        <v>0.95547320000000002</v>
      </c>
      <c r="AB4653">
        <v>21</v>
      </c>
      <c r="AC4653">
        <v>53.649000000000001</v>
      </c>
      <c r="AD4653">
        <v>0.245063999999999</v>
      </c>
      <c r="AE4653">
        <v>-17.5668516</v>
      </c>
      <c r="AF4653">
        <v>16.7159237720867</v>
      </c>
      <c r="AG4653">
        <v>0.245063999999999</v>
      </c>
      <c r="AH4653">
        <v>53.919080660275299</v>
      </c>
      <c r="AI4653">
        <v>89.751269205852907</v>
      </c>
      <c r="AJ4653">
        <v>72.775585854215393</v>
      </c>
      <c r="AK4653">
        <v>56.451301341666003</v>
      </c>
      <c r="AL4653">
        <v>79.516870213014897</v>
      </c>
      <c r="AM4653">
        <v>91.636940903944094</v>
      </c>
      <c r="AN4653">
        <v>0.99999996003205704</v>
      </c>
    </row>
    <row r="4654" spans="1:40" x14ac:dyDescent="0.25">
      <c r="A4654" t="str">
        <f>"20190304155508374"</f>
        <v>20190304155508374</v>
      </c>
      <c r="B4654" t="str">
        <f>"1551686108371852"</f>
        <v>1551686108371852</v>
      </c>
      <c r="C4654" t="s">
        <v>40</v>
      </c>
      <c r="D4654">
        <v>4.4955639999999999</v>
      </c>
      <c r="E4654">
        <v>0.62901109999999905</v>
      </c>
      <c r="F4654" t="s">
        <v>90</v>
      </c>
      <c r="G4654">
        <v>-279.02</v>
      </c>
      <c r="H4654">
        <v>1.430995</v>
      </c>
      <c r="I4654">
        <v>-0.62746999999999997</v>
      </c>
      <c r="J4654">
        <v>-332.46510000000001</v>
      </c>
      <c r="K4654">
        <v>1.1104320000000001</v>
      </c>
      <c r="L4654">
        <v>16.95853</v>
      </c>
      <c r="M4654">
        <v>0.99979169999999995</v>
      </c>
      <c r="N4654">
        <v>-1.2901040000000001E-2</v>
      </c>
      <c r="O4654">
        <v>-1.5812710000000001E-2</v>
      </c>
      <c r="P4654">
        <v>0.98559370000000002</v>
      </c>
      <c r="Q4654">
        <v>0.16870750000000001</v>
      </c>
      <c r="R4654">
        <v>1.1949319999999999E-2</v>
      </c>
      <c r="S4654">
        <v>3.053741</v>
      </c>
      <c r="T4654">
        <v>1.8245939999999999E-2</v>
      </c>
      <c r="U4654">
        <v>-1.00119</v>
      </c>
      <c r="V4654">
        <v>-2.7527329999999999E-2</v>
      </c>
      <c r="W4654">
        <v>0.18140580000000001</v>
      </c>
      <c r="X4654">
        <v>0.98302299999999998</v>
      </c>
      <c r="Y4654">
        <v>0.29648269999999999</v>
      </c>
      <c r="Z4654">
        <v>-1.389153E-3</v>
      </c>
      <c r="AA4654">
        <v>0.95503720000000003</v>
      </c>
      <c r="AB4654">
        <v>21</v>
      </c>
      <c r="AC4654">
        <v>53.445099999999996</v>
      </c>
      <c r="AD4654">
        <v>0.32056299999999999</v>
      </c>
      <c r="AE4654">
        <v>-17.585999999999999</v>
      </c>
      <c r="AF4654">
        <v>16.738075303151899</v>
      </c>
      <c r="AG4654">
        <v>0.32056299999999999</v>
      </c>
      <c r="AH4654">
        <v>53.714778542677003</v>
      </c>
      <c r="AI4654">
        <v>89.673551826787303</v>
      </c>
      <c r="AJ4654">
        <v>72.692430809654297</v>
      </c>
      <c r="AK4654">
        <v>56.263161654672302</v>
      </c>
      <c r="AL4654">
        <v>79.548345803114998</v>
      </c>
      <c r="AM4654">
        <v>91.604019202786404</v>
      </c>
      <c r="AN4654">
        <v>1.0000000183497799</v>
      </c>
    </row>
    <row r="4655" spans="1:40" x14ac:dyDescent="0.25">
      <c r="A4655" t="str">
        <f>"20190304155508399"</f>
        <v>20190304155508399</v>
      </c>
      <c r="B4655" t="str">
        <f>"1551686108392349"</f>
        <v>1551686108392349</v>
      </c>
      <c r="C4655" t="s">
        <v>40</v>
      </c>
      <c r="D4655">
        <v>4.5015809999999998</v>
      </c>
      <c r="E4655">
        <v>0.62948319999999902</v>
      </c>
      <c r="F4655" t="s">
        <v>90</v>
      </c>
      <c r="G4655">
        <v>-279.02</v>
      </c>
      <c r="H4655">
        <v>1.446618</v>
      </c>
      <c r="I4655">
        <v>-0.73627469999999995</v>
      </c>
      <c r="J4655">
        <v>-332.2319</v>
      </c>
      <c r="K4655">
        <v>1.110409</v>
      </c>
      <c r="L4655">
        <v>16.954829999999902</v>
      </c>
      <c r="M4655">
        <v>0.99979359999999995</v>
      </c>
      <c r="N4655">
        <v>-1.276361E-2</v>
      </c>
      <c r="O4655">
        <v>-1.5812670000000001E-2</v>
      </c>
      <c r="P4655">
        <v>0.98564430000000003</v>
      </c>
      <c r="Q4655">
        <v>0.16843949999999999</v>
      </c>
      <c r="R4655">
        <v>1.158057E-2</v>
      </c>
      <c r="S4655">
        <v>3.052826</v>
      </c>
      <c r="T4655">
        <v>1.9203189999999998E-2</v>
      </c>
      <c r="U4655">
        <v>-1.010742</v>
      </c>
      <c r="V4655">
        <v>-2.7159539999999999E-2</v>
      </c>
      <c r="W4655">
        <v>0.181003</v>
      </c>
      <c r="X4655">
        <v>0.98310739999999996</v>
      </c>
      <c r="Y4655">
        <v>0.29926190000000003</v>
      </c>
      <c r="Z4655">
        <v>-1.3363330000000001E-3</v>
      </c>
      <c r="AA4655">
        <v>0.95416999999999996</v>
      </c>
      <c r="AB4655">
        <v>21</v>
      </c>
      <c r="AC4655">
        <v>53.2119</v>
      </c>
      <c r="AD4655">
        <v>0.33620899999999998</v>
      </c>
      <c r="AE4655">
        <v>-17.691104699999901</v>
      </c>
      <c r="AF4655">
        <v>16.846796173682801</v>
      </c>
      <c r="AG4655">
        <v>0.33620899999999998</v>
      </c>
      <c r="AH4655">
        <v>53.4830897107204</v>
      </c>
      <c r="AI4655">
        <v>89.656467481302997</v>
      </c>
      <c r="AJ4655">
        <v>72.515940178946806</v>
      </c>
      <c r="AK4655">
        <v>56.074668637578696</v>
      </c>
      <c r="AL4655">
        <v>79.571812240492704</v>
      </c>
      <c r="AM4655">
        <v>91.5824632322594</v>
      </c>
      <c r="AN4655">
        <v>0.99999994327838404</v>
      </c>
    </row>
    <row r="4656" spans="1:40" x14ac:dyDescent="0.25">
      <c r="A4656" t="str">
        <f>"20190304155508421"</f>
        <v>20190304155508421</v>
      </c>
      <c r="B4656" t="str">
        <f>"1551686108411869"</f>
        <v>1551686108411869</v>
      </c>
      <c r="C4656" t="s">
        <v>40</v>
      </c>
      <c r="D4656">
        <v>4.4269759999999998</v>
      </c>
      <c r="E4656">
        <v>0.63184010000000002</v>
      </c>
      <c r="F4656" t="s">
        <v>90</v>
      </c>
      <c r="G4656">
        <v>-279.02</v>
      </c>
      <c r="H4656">
        <v>1.4864299999999999</v>
      </c>
      <c r="I4656">
        <v>-0.75549509999999998</v>
      </c>
      <c r="J4656">
        <v>-332.01659999999998</v>
      </c>
      <c r="K4656">
        <v>1.1103959999999999</v>
      </c>
      <c r="L4656">
        <v>16.951419999999999</v>
      </c>
      <c r="M4656">
        <v>0.99979510000000005</v>
      </c>
      <c r="N4656">
        <v>-1.263863E-2</v>
      </c>
      <c r="O4656">
        <v>-1.5812360000000001E-2</v>
      </c>
      <c r="P4656">
        <v>0.98566500000000001</v>
      </c>
      <c r="Q4656">
        <v>0.16836960000000001</v>
      </c>
      <c r="R4656">
        <v>1.079313E-2</v>
      </c>
      <c r="S4656">
        <v>3.051971</v>
      </c>
      <c r="T4656">
        <v>2.1566749999999999E-2</v>
      </c>
      <c r="U4656">
        <v>-1.0157780000000001</v>
      </c>
      <c r="V4656">
        <v>-2.6371990000000001E-2</v>
      </c>
      <c r="W4656">
        <v>0.18081069999999999</v>
      </c>
      <c r="X4656">
        <v>0.98316429999999999</v>
      </c>
      <c r="Y4656">
        <v>0.30075960000000002</v>
      </c>
      <c r="Z4656">
        <v>-1.2192839999999999E-3</v>
      </c>
      <c r="AA4656">
        <v>0.95369919999999997</v>
      </c>
      <c r="AB4656">
        <v>21</v>
      </c>
      <c r="AC4656">
        <v>52.996600000000001</v>
      </c>
      <c r="AD4656">
        <v>0.37603399999999998</v>
      </c>
      <c r="AE4656">
        <v>-17.7069151</v>
      </c>
      <c r="AF4656">
        <v>16.865868873704201</v>
      </c>
      <c r="AG4656">
        <v>0.37603399999999998</v>
      </c>
      <c r="AH4656">
        <v>53.267571158502697</v>
      </c>
      <c r="AI4656">
        <v>89.614402441301706</v>
      </c>
      <c r="AJ4656">
        <v>72.430887379545197</v>
      </c>
      <c r="AK4656">
        <v>55.8751561211267</v>
      </c>
      <c r="AL4656">
        <v>79.583015828905005</v>
      </c>
      <c r="AM4656">
        <v>91.536509705778599</v>
      </c>
      <c r="AN4656">
        <v>1.00000001594277</v>
      </c>
    </row>
    <row r="4657" spans="1:40" x14ac:dyDescent="0.25">
      <c r="A4657" t="str">
        <f>"20190304155508453"</f>
        <v>20190304155508453</v>
      </c>
      <c r="B4657" t="str">
        <f>"1551686108442124"</f>
        <v>1551686108442124</v>
      </c>
      <c r="C4657" t="s">
        <v>40</v>
      </c>
      <c r="D4657">
        <v>4.5024569999999997</v>
      </c>
      <c r="E4657">
        <v>0.63228779999999996</v>
      </c>
      <c r="F4657" t="s">
        <v>90</v>
      </c>
      <c r="G4657">
        <v>-279.02</v>
      </c>
      <c r="H4657">
        <v>1.5311429999999999</v>
      </c>
      <c r="I4657">
        <v>-1.0652189999999999</v>
      </c>
      <c r="J4657">
        <v>-331.70549999999997</v>
      </c>
      <c r="K4657">
        <v>1.110371</v>
      </c>
      <c r="L4657">
        <v>16.9465</v>
      </c>
      <c r="M4657">
        <v>0.9997973</v>
      </c>
      <c r="N4657">
        <v>-1.2458840000000001E-2</v>
      </c>
      <c r="O4657">
        <v>-1.5812320000000001E-2</v>
      </c>
      <c r="P4657">
        <v>0.98577590000000004</v>
      </c>
      <c r="Q4657">
        <v>0.16782149999999901</v>
      </c>
      <c r="R4657">
        <v>9.0503560000000007E-3</v>
      </c>
      <c r="S4657">
        <v>3.0508730000000002</v>
      </c>
      <c r="T4657">
        <v>2.4221300000000001E-2</v>
      </c>
      <c r="U4657">
        <v>-1.0371699999999999</v>
      </c>
      <c r="V4657">
        <v>-2.463129E-2</v>
      </c>
      <c r="W4657">
        <v>0.180088</v>
      </c>
      <c r="X4657">
        <v>0.9833421</v>
      </c>
      <c r="Y4657">
        <v>0.30686370000000002</v>
      </c>
      <c r="Z4657">
        <v>-1.0928680000000001E-3</v>
      </c>
      <c r="AA4657">
        <v>0.95175279999999995</v>
      </c>
      <c r="AB4657">
        <v>21</v>
      </c>
      <c r="AC4657">
        <v>52.685499999999898</v>
      </c>
      <c r="AD4657">
        <v>0.42077199999999898</v>
      </c>
      <c r="AE4657">
        <v>-18.011718999999999</v>
      </c>
      <c r="AF4657">
        <v>17.1753412150434</v>
      </c>
      <c r="AG4657">
        <v>0.42077199999999898</v>
      </c>
      <c r="AH4657">
        <v>52.960716742798198</v>
      </c>
      <c r="AI4657">
        <v>89.566995641806997</v>
      </c>
      <c r="AJ4657">
        <v>72.031944344865906</v>
      </c>
      <c r="AK4657">
        <v>55.677705707401998</v>
      </c>
      <c r="AL4657">
        <v>79.625114790294703</v>
      </c>
      <c r="AM4657">
        <v>91.434875934519496</v>
      </c>
      <c r="AN4657">
        <v>1.0000000369117299</v>
      </c>
    </row>
    <row r="4658" spans="1:40" x14ac:dyDescent="0.25">
      <c r="A4658" t="str">
        <f>"20190304155508476"</f>
        <v>20190304155508476</v>
      </c>
      <c r="B4658" t="str">
        <f>"1551686108472502"</f>
        <v>1551686108472502</v>
      </c>
      <c r="C4658" t="s">
        <v>40</v>
      </c>
      <c r="D4658">
        <v>4.5460529999999997</v>
      </c>
      <c r="E4658">
        <v>0.63205889999999998</v>
      </c>
      <c r="F4658" t="s">
        <v>90</v>
      </c>
      <c r="G4658">
        <v>-279.02</v>
      </c>
      <c r="H4658">
        <v>1.5030709999999901</v>
      </c>
      <c r="I4658">
        <v>-1.132471</v>
      </c>
      <c r="J4658">
        <v>-331.48860000000002</v>
      </c>
      <c r="K4658">
        <v>1.1103499999999999</v>
      </c>
      <c r="L4658">
        <v>16.943079999999998</v>
      </c>
      <c r="M4658">
        <v>0.99979899999999999</v>
      </c>
      <c r="N4658">
        <v>-1.233506E-2</v>
      </c>
      <c r="O4658">
        <v>-1.5812039999999999E-2</v>
      </c>
      <c r="P4658">
        <v>0.9859002</v>
      </c>
      <c r="Q4658">
        <v>0.1671444</v>
      </c>
      <c r="R4658">
        <v>7.9897590000000008E-3</v>
      </c>
      <c r="S4658">
        <v>3.0490110000000001</v>
      </c>
      <c r="T4658">
        <v>2.2726300000000001E-2</v>
      </c>
      <c r="U4658">
        <v>-1.046265</v>
      </c>
      <c r="V4658">
        <v>-2.3572249999999999E-2</v>
      </c>
      <c r="W4658">
        <v>0.17929049999999999</v>
      </c>
      <c r="X4658">
        <v>0.98351370000000005</v>
      </c>
      <c r="Y4658">
        <v>0.30958170000000002</v>
      </c>
      <c r="Z4658">
        <v>-1.1451429999999999E-3</v>
      </c>
      <c r="AA4658">
        <v>0.9508721</v>
      </c>
      <c r="AB4658">
        <v>21</v>
      </c>
      <c r="AC4658">
        <v>52.468600000000002</v>
      </c>
      <c r="AD4658">
        <v>0.39272099999999899</v>
      </c>
      <c r="AE4658">
        <v>-18.075551000000001</v>
      </c>
      <c r="AF4658">
        <v>17.242728736383299</v>
      </c>
      <c r="AG4658">
        <v>0.39272099999999899</v>
      </c>
      <c r="AH4658">
        <v>52.745231056838399</v>
      </c>
      <c r="AI4658">
        <v>89.594520882451405</v>
      </c>
      <c r="AJ4658">
        <v>71.897124626550607</v>
      </c>
      <c r="AK4658">
        <v>55.4934709970426</v>
      </c>
      <c r="AL4658">
        <v>79.671563473556105</v>
      </c>
      <c r="AM4658">
        <v>91.372967065639401</v>
      </c>
      <c r="AN4658">
        <v>0.999999966224</v>
      </c>
    </row>
    <row r="4659" spans="1:40" x14ac:dyDescent="0.25">
      <c r="A4659" t="str">
        <f>"20190304155508498"</f>
        <v>20190304155508498</v>
      </c>
      <c r="B4659" t="str">
        <f>"1551686108492001"</f>
        <v>1551686108492001</v>
      </c>
      <c r="C4659" t="s">
        <v>40</v>
      </c>
      <c r="D4659">
        <v>4.5505389999999997</v>
      </c>
      <c r="E4659">
        <v>0.63198699999999997</v>
      </c>
      <c r="F4659" t="s">
        <v>90</v>
      </c>
      <c r="G4659">
        <v>-279.02</v>
      </c>
      <c r="H4659">
        <v>1.455511</v>
      </c>
      <c r="I4659">
        <v>-1.0989</v>
      </c>
      <c r="J4659">
        <v>-331.2765</v>
      </c>
      <c r="K4659">
        <v>1.110333</v>
      </c>
      <c r="L4659">
        <v>16.939729999999901</v>
      </c>
      <c r="M4659">
        <v>0.99980049999999998</v>
      </c>
      <c r="N4659">
        <v>-1.2219219999999999E-2</v>
      </c>
      <c r="O4659">
        <v>-1.581217E-2</v>
      </c>
      <c r="P4659">
        <v>0.98602420000000002</v>
      </c>
      <c r="Q4659">
        <v>0.16647319999999999</v>
      </c>
      <c r="R4659">
        <v>6.586929E-3</v>
      </c>
      <c r="S4659">
        <v>3.0480040000000002</v>
      </c>
      <c r="T4659">
        <v>2.0051119999999999E-2</v>
      </c>
      <c r="U4659">
        <v>-1.0480959999999999</v>
      </c>
      <c r="V4659">
        <v>-2.2171799999999998E-2</v>
      </c>
      <c r="W4659">
        <v>0.17850750000000001</v>
      </c>
      <c r="X4659">
        <v>0.98368869999999997</v>
      </c>
      <c r="Y4659">
        <v>0.31018869999999998</v>
      </c>
      <c r="Z4659">
        <v>-1.2453480000000001E-3</v>
      </c>
      <c r="AA4659">
        <v>0.95067420000000002</v>
      </c>
      <c r="AB4659">
        <v>21</v>
      </c>
      <c r="AC4659">
        <v>52.256500000000003</v>
      </c>
      <c r="AD4659">
        <v>0.34517799999999998</v>
      </c>
      <c r="AE4659">
        <v>-18.038630000000001</v>
      </c>
      <c r="AF4659">
        <v>17.209353339236198</v>
      </c>
      <c r="AG4659">
        <v>0.34517799999999998</v>
      </c>
      <c r="AH4659">
        <v>52.5331689545147</v>
      </c>
      <c r="AI4659">
        <v>89.642240780988999</v>
      </c>
      <c r="AJ4659">
        <v>71.861709244657703</v>
      </c>
      <c r="AK4659">
        <v>55.281233982337497</v>
      </c>
      <c r="AL4659">
        <v>79.717161907521202</v>
      </c>
      <c r="AM4659">
        <v>91.291196600870705</v>
      </c>
      <c r="AN4659">
        <v>0.99999998738958995</v>
      </c>
    </row>
    <row r="4660" spans="1:40" x14ac:dyDescent="0.25">
      <c r="A4660" t="str">
        <f>"20190304155508521"</f>
        <v>20190304155508521</v>
      </c>
      <c r="B4660" t="str">
        <f>"1551686108512496"</f>
        <v>1551686108512496</v>
      </c>
      <c r="C4660" t="s">
        <v>40</v>
      </c>
      <c r="D4660">
        <v>4.5372760000000003</v>
      </c>
      <c r="E4660">
        <v>0.63187899999999997</v>
      </c>
      <c r="F4660" t="s">
        <v>90</v>
      </c>
      <c r="G4660">
        <v>-279.02</v>
      </c>
      <c r="H4660">
        <v>1.4069929999999999</v>
      </c>
      <c r="I4660">
        <v>-1.106007</v>
      </c>
      <c r="J4660">
        <v>-331.06079999999997</v>
      </c>
      <c r="K4660">
        <v>1.1103289999999999</v>
      </c>
      <c r="L4660">
        <v>16.936339999999898</v>
      </c>
      <c r="M4660">
        <v>0.99980179999999996</v>
      </c>
      <c r="N4660">
        <v>-1.2108310000000001E-2</v>
      </c>
      <c r="O4660">
        <v>-1.5812219999999998E-2</v>
      </c>
      <c r="P4660">
        <v>0.98606609999999995</v>
      </c>
      <c r="Q4660">
        <v>0.166258399999999</v>
      </c>
      <c r="R4660">
        <v>5.6705130000000003E-3</v>
      </c>
      <c r="S4660">
        <v>3.0466310000000001</v>
      </c>
      <c r="T4660">
        <v>1.7295720000000001E-2</v>
      </c>
      <c r="U4660">
        <v>-1.0520940000000001</v>
      </c>
      <c r="V4660">
        <v>-2.125604E-2</v>
      </c>
      <c r="W4660">
        <v>0.17818429999999999</v>
      </c>
      <c r="X4660">
        <v>0.98376750000000002</v>
      </c>
      <c r="Y4660">
        <v>0.31143470000000001</v>
      </c>
      <c r="Z4660">
        <v>-1.3528940000000001E-3</v>
      </c>
      <c r="AA4660">
        <v>0.95026659999999996</v>
      </c>
      <c r="AB4660">
        <v>21</v>
      </c>
      <c r="AC4660">
        <v>52.040799999999898</v>
      </c>
      <c r="AD4660">
        <v>0.29666399999999898</v>
      </c>
      <c r="AE4660">
        <v>-18.042346999999999</v>
      </c>
      <c r="AF4660">
        <v>17.216650751081499</v>
      </c>
      <c r="AG4660">
        <v>0.29666399999999898</v>
      </c>
      <c r="AH4660">
        <v>52.318085548164397</v>
      </c>
      <c r="AI4660">
        <v>89.691393925090793</v>
      </c>
      <c r="AJ4660">
        <v>71.784841214056101</v>
      </c>
      <c r="AK4660">
        <v>55.078881143671197</v>
      </c>
      <c r="AL4660">
        <v>79.735981537479901</v>
      </c>
      <c r="AM4660">
        <v>91.237784243266503</v>
      </c>
      <c r="AN4660">
        <v>0.99999997902961002</v>
      </c>
    </row>
    <row r="4661" spans="1:40" x14ac:dyDescent="0.25">
      <c r="A4661" t="str">
        <f>"20190304155508542"</f>
        <v>20190304155508542</v>
      </c>
      <c r="B4661" t="str">
        <f>"1551686108532020"</f>
        <v>1551686108532020</v>
      </c>
      <c r="C4661" t="s">
        <v>40</v>
      </c>
      <c r="D4661">
        <v>4.5861669999999997</v>
      </c>
      <c r="E4661">
        <v>0.63174490000000005</v>
      </c>
      <c r="F4661" t="s">
        <v>90</v>
      </c>
      <c r="G4661">
        <v>-279.02</v>
      </c>
      <c r="H4661">
        <v>1.4093639999999901</v>
      </c>
      <c r="I4661">
        <v>-1.083801</v>
      </c>
      <c r="J4661">
        <v>-330.8492</v>
      </c>
      <c r="K4661">
        <v>1.1103190000000001</v>
      </c>
      <c r="L4661">
        <v>16.932980000000001</v>
      </c>
      <c r="M4661">
        <v>0.999803</v>
      </c>
      <c r="N4661">
        <v>-1.200415E-2</v>
      </c>
      <c r="O4661">
        <v>-1.581196E-2</v>
      </c>
      <c r="P4661">
        <v>0.986147</v>
      </c>
      <c r="Q4661">
        <v>0.16582189999999999</v>
      </c>
      <c r="R4661">
        <v>4.1724989999999997E-3</v>
      </c>
      <c r="S4661">
        <v>3.0455019999999999</v>
      </c>
      <c r="T4661">
        <v>1.7499919999999999E-2</v>
      </c>
      <c r="U4661">
        <v>-1.054565</v>
      </c>
      <c r="V4661">
        <v>-1.975967E-2</v>
      </c>
      <c r="W4661">
        <v>0.17764649999999901</v>
      </c>
      <c r="X4661">
        <v>0.98389599999999999</v>
      </c>
      <c r="Y4661">
        <v>0.31223230000000002</v>
      </c>
      <c r="Z4661">
        <v>-1.328264E-3</v>
      </c>
      <c r="AA4661">
        <v>0.95000490000000004</v>
      </c>
      <c r="AB4661">
        <v>21</v>
      </c>
      <c r="AC4661">
        <v>51.8292</v>
      </c>
      <c r="AD4661">
        <v>0.29904499999999901</v>
      </c>
      <c r="AE4661">
        <v>-18.016780999999899</v>
      </c>
      <c r="AF4661">
        <v>17.194437344916999</v>
      </c>
      <c r="AG4661">
        <v>0.29904499999999901</v>
      </c>
      <c r="AH4661">
        <v>52.106073031632199</v>
      </c>
      <c r="AI4661">
        <v>89.687736122600199</v>
      </c>
      <c r="AJ4661">
        <v>71.7376720613712</v>
      </c>
      <c r="AK4661">
        <v>54.870583651881198</v>
      </c>
      <c r="AL4661">
        <v>79.767295326317594</v>
      </c>
      <c r="AM4661">
        <v>91.150521521373506</v>
      </c>
      <c r="AN4661">
        <v>1.0000000311683701</v>
      </c>
    </row>
    <row r="4662" spans="1:40" x14ac:dyDescent="0.25">
      <c r="A4662" t="str">
        <f>"20190304155508556"</f>
        <v>20190304155508556</v>
      </c>
      <c r="B4662" t="str">
        <f>"1551686108552513"</f>
        <v>1551686108552513</v>
      </c>
      <c r="C4662" t="s">
        <v>40</v>
      </c>
      <c r="D4662">
        <v>4.6278620000000004</v>
      </c>
      <c r="E4662">
        <v>0.63174940000000002</v>
      </c>
      <c r="F4662" t="s">
        <v>90</v>
      </c>
      <c r="G4662">
        <v>-279.02</v>
      </c>
      <c r="H4662">
        <v>1.377885</v>
      </c>
      <c r="I4662">
        <v>-1.089734</v>
      </c>
      <c r="J4662">
        <v>-330.71519999999998</v>
      </c>
      <c r="K4662">
        <v>1.1103149999999999</v>
      </c>
      <c r="L4662">
        <v>16.930879999999998</v>
      </c>
      <c r="M4662">
        <v>0.99980369999999996</v>
      </c>
      <c r="N4662">
        <v>-1.194106E-2</v>
      </c>
      <c r="O4662">
        <v>-1.581171E-2</v>
      </c>
      <c r="P4662">
        <v>0.98616519999999996</v>
      </c>
      <c r="Q4662">
        <v>0.16573299999999999</v>
      </c>
      <c r="R4662">
        <v>3.3300970000000002E-3</v>
      </c>
      <c r="S4662">
        <v>3.044006</v>
      </c>
      <c r="T4662">
        <v>1.5714530000000001E-2</v>
      </c>
      <c r="U4662">
        <v>-1.0585020000000001</v>
      </c>
      <c r="V4662">
        <v>-1.891758E-2</v>
      </c>
      <c r="W4662">
        <v>0.17749589999999901</v>
      </c>
      <c r="X4662">
        <v>0.98393969999999997</v>
      </c>
      <c r="Y4662">
        <v>0.3134728</v>
      </c>
      <c r="Z4662">
        <v>-1.4017960000000001E-3</v>
      </c>
      <c r="AA4662">
        <v>0.9495962</v>
      </c>
      <c r="AB4662">
        <v>22</v>
      </c>
      <c r="AC4662">
        <v>51.6952</v>
      </c>
      <c r="AD4662">
        <v>0.26756999999999997</v>
      </c>
      <c r="AE4662">
        <v>-18.020613999999998</v>
      </c>
      <c r="AF4662">
        <v>17.200502217801098</v>
      </c>
      <c r="AG4662">
        <v>0.26756999999999997</v>
      </c>
      <c r="AH4662">
        <v>51.9724520602309</v>
      </c>
      <c r="AI4662">
        <v>89.719964090679795</v>
      </c>
      <c r="AJ4662">
        <v>71.6878205661544</v>
      </c>
      <c r="AK4662">
        <v>54.745453175606102</v>
      </c>
      <c r="AL4662">
        <v>79.77606310454</v>
      </c>
      <c r="AM4662">
        <v>91.101453642848696</v>
      </c>
      <c r="AN4662">
        <v>1.00000000129297</v>
      </c>
    </row>
    <row r="4663" spans="1:40" x14ac:dyDescent="0.25">
      <c r="A4663" t="str">
        <f>"20190304155508577"</f>
        <v>20190304155508577</v>
      </c>
      <c r="B4663" t="str">
        <f>"1551686108572032"</f>
        <v>1551686108572032</v>
      </c>
      <c r="C4663" t="s">
        <v>40</v>
      </c>
      <c r="D4663">
        <v>4.616384</v>
      </c>
      <c r="E4663">
        <v>0.63168449999999998</v>
      </c>
      <c r="F4663" t="s">
        <v>90</v>
      </c>
      <c r="G4663">
        <v>-279.02</v>
      </c>
      <c r="H4663">
        <v>1.3267100000000001</v>
      </c>
      <c r="I4663">
        <v>-1.102759</v>
      </c>
      <c r="J4663">
        <v>-330.51429999999999</v>
      </c>
      <c r="K4663">
        <v>1.1103099999999999</v>
      </c>
      <c r="L4663">
        <v>16.927669999999999</v>
      </c>
      <c r="M4663">
        <v>0.99980480000000005</v>
      </c>
      <c r="N4663">
        <v>-1.185255E-2</v>
      </c>
      <c r="O4663">
        <v>-1.5811660000000002E-2</v>
      </c>
      <c r="P4663">
        <v>0.98618479999999997</v>
      </c>
      <c r="Q4663">
        <v>0.16564100000000001</v>
      </c>
      <c r="R4663">
        <v>1.6583069999999999E-3</v>
      </c>
      <c r="S4663">
        <v>3.043488</v>
      </c>
      <c r="T4663">
        <v>1.2740019999999999E-2</v>
      </c>
      <c r="U4663">
        <v>-1.061707</v>
      </c>
      <c r="V4663">
        <v>-1.7245969999999999E-2</v>
      </c>
      <c r="W4663">
        <v>0.17731710000000001</v>
      </c>
      <c r="X4663">
        <v>0.98400259999999995</v>
      </c>
      <c r="Y4663">
        <v>0.31441380000000002</v>
      </c>
      <c r="Z4663">
        <v>-1.5240710000000001E-3</v>
      </c>
      <c r="AA4663">
        <v>0.94928480000000004</v>
      </c>
      <c r="AB4663">
        <v>22</v>
      </c>
      <c r="AC4663">
        <v>51.494300000000003</v>
      </c>
      <c r="AD4663">
        <v>0.21639999999999901</v>
      </c>
      <c r="AE4663">
        <v>-18.030429000000002</v>
      </c>
      <c r="AF4663">
        <v>17.213636356760698</v>
      </c>
      <c r="AG4663">
        <v>0.21639999999999901</v>
      </c>
      <c r="AH4663">
        <v>51.772158252107602</v>
      </c>
      <c r="AI4663">
        <v>89.772745451838802</v>
      </c>
      <c r="AJ4663">
        <v>71.608637903383098</v>
      </c>
      <c r="AK4663">
        <v>54.559256553439802</v>
      </c>
      <c r="AL4663">
        <v>79.786472151398996</v>
      </c>
      <c r="AM4663">
        <v>91.004082853632099</v>
      </c>
      <c r="AN4663">
        <v>0.99999994712020401</v>
      </c>
    </row>
    <row r="4664" spans="1:40" x14ac:dyDescent="0.25">
      <c r="A4664" t="str">
        <f>"20190304155508600"</f>
        <v>20190304155508600</v>
      </c>
      <c r="B4664" t="str">
        <f>"1551686108592529"</f>
        <v>1551686108592529</v>
      </c>
      <c r="C4664" t="s">
        <v>40</v>
      </c>
      <c r="D4664">
        <v>4.6577010000000003</v>
      </c>
      <c r="E4664">
        <v>0.63165660000000001</v>
      </c>
      <c r="F4664" t="s">
        <v>90</v>
      </c>
      <c r="G4664">
        <v>-279.02</v>
      </c>
      <c r="H4664">
        <v>1.318503</v>
      </c>
      <c r="I4664">
        <v>-1.136568</v>
      </c>
      <c r="J4664">
        <v>-330.29860000000002</v>
      </c>
      <c r="K4664">
        <v>1.110304</v>
      </c>
      <c r="L4664">
        <v>16.924289999999999</v>
      </c>
      <c r="M4664">
        <v>0.99980590000000003</v>
      </c>
      <c r="N4664">
        <v>-1.176309E-2</v>
      </c>
      <c r="O4664">
        <v>-1.5811740000000001E-2</v>
      </c>
      <c r="P4664">
        <v>0.98611000000000004</v>
      </c>
      <c r="Q4664">
        <v>0.1660944</v>
      </c>
      <c r="R4664" s="1">
        <v>8.3539629999999896E-5</v>
      </c>
      <c r="S4664">
        <v>3.0417480000000001</v>
      </c>
      <c r="T4664">
        <v>1.2297870000000001E-2</v>
      </c>
      <c r="U4664">
        <v>-1.0670470000000001</v>
      </c>
      <c r="V4664">
        <v>-1.567023E-2</v>
      </c>
      <c r="W4664">
        <v>0.1776817</v>
      </c>
      <c r="X4664">
        <v>0.98396329999999999</v>
      </c>
      <c r="Y4664">
        <v>0.31606679999999998</v>
      </c>
      <c r="Z4664">
        <v>-1.5353039999999999E-3</v>
      </c>
      <c r="AA4664">
        <v>0.94873569999999996</v>
      </c>
      <c r="AB4664">
        <v>22</v>
      </c>
      <c r="AC4664">
        <v>51.278599999999997</v>
      </c>
      <c r="AD4664">
        <v>0.208198999999999</v>
      </c>
      <c r="AE4664">
        <v>-18.060858</v>
      </c>
      <c r="AF4664">
        <v>17.2474869919055</v>
      </c>
      <c r="AG4664">
        <v>0.208198999999999</v>
      </c>
      <c r="AH4664">
        <v>51.557025810068701</v>
      </c>
      <c r="AI4664">
        <v>89.780580045887604</v>
      </c>
      <c r="AJ4664">
        <v>71.503250706137905</v>
      </c>
      <c r="AK4664">
        <v>54.365853849081098</v>
      </c>
      <c r="AL4664">
        <v>79.765246201017405</v>
      </c>
      <c r="AM4664">
        <v>90.912393937527398</v>
      </c>
      <c r="AN4664">
        <v>1.00000005918501</v>
      </c>
    </row>
    <row r="4665" spans="1:40" x14ac:dyDescent="0.25">
      <c r="A4665" t="str">
        <f>"20190304155508623"</f>
        <v>20190304155508623</v>
      </c>
      <c r="B4665" t="str">
        <f>"1551686108612048"</f>
        <v>1551686108612048</v>
      </c>
      <c r="C4665" t="s">
        <v>40</v>
      </c>
      <c r="D4665">
        <v>4.658372</v>
      </c>
      <c r="E4665">
        <v>0.63151369999999996</v>
      </c>
      <c r="F4665" t="s">
        <v>90</v>
      </c>
      <c r="G4665">
        <v>-279.02</v>
      </c>
      <c r="H4665">
        <v>1.3347180000000001</v>
      </c>
      <c r="I4665">
        <v>-1.158463</v>
      </c>
      <c r="J4665">
        <v>-330.07909999999998</v>
      </c>
      <c r="K4665">
        <v>1.1102970000000001</v>
      </c>
      <c r="L4665">
        <v>16.920809999999999</v>
      </c>
      <c r="M4665">
        <v>0.9998068</v>
      </c>
      <c r="N4665">
        <v>-1.167692E-2</v>
      </c>
      <c r="O4665">
        <v>-1.5811599999999999E-2</v>
      </c>
      <c r="P4665">
        <v>0.98603830000000003</v>
      </c>
      <c r="Q4665">
        <v>0.16651009999999999</v>
      </c>
      <c r="R4665">
        <v>-1.660522E-3</v>
      </c>
      <c r="S4665">
        <v>3.0400999999999998</v>
      </c>
      <c r="T4665">
        <v>1.330459E-2</v>
      </c>
      <c r="U4665">
        <v>-1.072052</v>
      </c>
      <c r="V4665">
        <v>-1.392444E-2</v>
      </c>
      <c r="W4665">
        <v>0.17801210000000001</v>
      </c>
      <c r="X4665">
        <v>0.98392979999999997</v>
      </c>
      <c r="Y4665">
        <v>0.31761719999999999</v>
      </c>
      <c r="Z4665">
        <v>-1.4806089999999999E-3</v>
      </c>
      <c r="AA4665">
        <v>0.94821789999999995</v>
      </c>
      <c r="AB4665">
        <v>22</v>
      </c>
      <c r="AC4665">
        <v>51.059100000000001</v>
      </c>
      <c r="AD4665">
        <v>0.22442100000000001</v>
      </c>
      <c r="AE4665">
        <v>-18.079273000000001</v>
      </c>
      <c r="AF4665">
        <v>17.269335012976399</v>
      </c>
      <c r="AG4665">
        <v>0.22442100000000001</v>
      </c>
      <c r="AH4665">
        <v>51.337716605350998</v>
      </c>
      <c r="AI4665">
        <v>89.762606376903406</v>
      </c>
      <c r="AJ4665">
        <v>71.407735181150898</v>
      </c>
      <c r="AK4665">
        <v>54.164946624426697</v>
      </c>
      <c r="AL4665">
        <v>79.746008641356696</v>
      </c>
      <c r="AM4665">
        <v>90.810787913776295</v>
      </c>
      <c r="AN4665">
        <v>1.0000000245518801</v>
      </c>
    </row>
    <row r="4666" spans="1:40" x14ac:dyDescent="0.25">
      <c r="A4666" t="str">
        <f>"20190304155508644"</f>
        <v>20190304155508644</v>
      </c>
      <c r="B4666" t="str">
        <f>"1551686108642305"</f>
        <v>1551686108642305</v>
      </c>
      <c r="C4666" t="s">
        <v>40</v>
      </c>
      <c r="D4666">
        <v>4.6730159999999996</v>
      </c>
      <c r="E4666">
        <v>0.63135090000000005</v>
      </c>
      <c r="F4666" t="s">
        <v>90</v>
      </c>
      <c r="G4666">
        <v>-279.02</v>
      </c>
      <c r="H4666">
        <v>1.3439479999999999</v>
      </c>
      <c r="I4666">
        <v>-1.1743110000000001</v>
      </c>
      <c r="J4666">
        <v>-329.87110000000001</v>
      </c>
      <c r="K4666">
        <v>1.1102829999999999</v>
      </c>
      <c r="L4666">
        <v>16.91751</v>
      </c>
      <c r="M4666">
        <v>0.99980769999999997</v>
      </c>
      <c r="N4666">
        <v>-1.160304E-2</v>
      </c>
      <c r="O4666">
        <v>-1.581142E-2</v>
      </c>
      <c r="P4666">
        <v>0.98596439999999996</v>
      </c>
      <c r="Q4666">
        <v>0.16692670000000001</v>
      </c>
      <c r="R4666">
        <v>-3.1451420000000001E-3</v>
      </c>
      <c r="S4666">
        <v>3.0383610000000001</v>
      </c>
      <c r="T4666">
        <v>1.3903860000000001E-2</v>
      </c>
      <c r="U4666">
        <v>-1.0767819999999999</v>
      </c>
      <c r="V4666">
        <v>-1.2439169999999999E-2</v>
      </c>
      <c r="W4666">
        <v>0.17835509999999999</v>
      </c>
      <c r="X4666">
        <v>0.98388759999999997</v>
      </c>
      <c r="Y4666">
        <v>0.31909949999999998</v>
      </c>
      <c r="Z4666">
        <v>-1.445867E-3</v>
      </c>
      <c r="AA4666">
        <v>0.94772009999999995</v>
      </c>
      <c r="AB4666">
        <v>22</v>
      </c>
      <c r="AC4666">
        <v>50.851100000000002</v>
      </c>
      <c r="AD4666">
        <v>0.23366500000000001</v>
      </c>
      <c r="AE4666">
        <v>-18.091820999999999</v>
      </c>
      <c r="AF4666">
        <v>17.285152901816499</v>
      </c>
      <c r="AG4666">
        <v>0.23366500000000001</v>
      </c>
      <c r="AH4666">
        <v>51.129860667444603</v>
      </c>
      <c r="AI4666">
        <v>89.751949319391699</v>
      </c>
      <c r="AJ4666">
        <v>71.321468231076395</v>
      </c>
      <c r="AK4666">
        <v>53.973083681069198</v>
      </c>
      <c r="AL4666">
        <v>79.726036763287198</v>
      </c>
      <c r="AM4666">
        <v>90.724344906307095</v>
      </c>
      <c r="AN4666">
        <v>1.0000000420400199</v>
      </c>
    </row>
    <row r="4667" spans="1:40" x14ac:dyDescent="0.25">
      <c r="A4667" t="str">
        <f>"20190304155508665"</f>
        <v>20190304155508665</v>
      </c>
      <c r="B4667" t="str">
        <f>"1551686108661825"</f>
        <v>1551686108661825</v>
      </c>
      <c r="C4667" t="s">
        <v>40</v>
      </c>
      <c r="D4667">
        <v>4.6453480000000003</v>
      </c>
      <c r="E4667">
        <v>0.6312335</v>
      </c>
      <c r="F4667" t="s">
        <v>90</v>
      </c>
      <c r="G4667">
        <v>-279.02</v>
      </c>
      <c r="H4667">
        <v>1.3429450000000001</v>
      </c>
      <c r="I4667">
        <v>-1.170839</v>
      </c>
      <c r="J4667">
        <v>-329.66609999999997</v>
      </c>
      <c r="K4667">
        <v>1.110276</v>
      </c>
      <c r="L4667">
        <v>16.914279999999899</v>
      </c>
      <c r="M4667">
        <v>0.99980849999999999</v>
      </c>
      <c r="N4667">
        <v>-1.1537530000000001E-2</v>
      </c>
      <c r="O4667">
        <v>-1.58114E-2</v>
      </c>
      <c r="P4667">
        <v>0.98602880000000004</v>
      </c>
      <c r="Q4667">
        <v>0.16652749999999999</v>
      </c>
      <c r="R4667">
        <v>-3.9847190000000003E-3</v>
      </c>
      <c r="S4667">
        <v>3.036896</v>
      </c>
      <c r="T4667">
        <v>1.389492E-2</v>
      </c>
      <c r="U4667">
        <v>-1.0802609999999999</v>
      </c>
      <c r="V4667">
        <v>-1.160037E-2</v>
      </c>
      <c r="W4667">
        <v>0.17789289999999999</v>
      </c>
      <c r="X4667">
        <v>0.98398149999999995</v>
      </c>
      <c r="Y4667">
        <v>0.32020729999999997</v>
      </c>
      <c r="Z4667">
        <v>-1.4388039999999999E-3</v>
      </c>
      <c r="AA4667">
        <v>0.94734640000000003</v>
      </c>
      <c r="AB4667">
        <v>22</v>
      </c>
      <c r="AC4667">
        <v>50.646099999999898</v>
      </c>
      <c r="AD4667">
        <v>0.23266899999999999</v>
      </c>
      <c r="AE4667">
        <v>-18.085118999999999</v>
      </c>
      <c r="AF4667">
        <v>17.281695444450499</v>
      </c>
      <c r="AG4667">
        <v>0.23266899999999999</v>
      </c>
      <c r="AH4667">
        <v>50.924784833439801</v>
      </c>
      <c r="AI4667">
        <v>89.752109433897701</v>
      </c>
      <c r="AJ4667">
        <v>71.254983542981094</v>
      </c>
      <c r="AK4667">
        <v>53.777735566221402</v>
      </c>
      <c r="AL4667">
        <v>79.7529490514993</v>
      </c>
      <c r="AM4667">
        <v>90.675441003711398</v>
      </c>
      <c r="AN4667">
        <v>1.00000002239839</v>
      </c>
    </row>
    <row r="4668" spans="1:40" x14ac:dyDescent="0.25">
      <c r="A4668" t="str">
        <f>"20190304155508678"</f>
        <v>20190304155508678</v>
      </c>
      <c r="B4668" t="str">
        <f>"1551686108672561"</f>
        <v>1551686108672561</v>
      </c>
      <c r="C4668" t="s">
        <v>40</v>
      </c>
      <c r="D4668">
        <v>4.6373509999999998</v>
      </c>
      <c r="E4668">
        <v>0.63116300000000003</v>
      </c>
      <c r="F4668" t="s">
        <v>90</v>
      </c>
      <c r="G4668">
        <v>-279.02</v>
      </c>
      <c r="H4668">
        <v>1.33005</v>
      </c>
      <c r="I4668">
        <v>-1.1476710000000001</v>
      </c>
      <c r="J4668">
        <v>-329.5351</v>
      </c>
      <c r="K4668">
        <v>1.110269</v>
      </c>
      <c r="L4668">
        <v>16.912199999999999</v>
      </c>
      <c r="M4668">
        <v>0.9998089</v>
      </c>
      <c r="N4668">
        <v>-1.1496960000000001E-2</v>
      </c>
      <c r="O4668">
        <v>-1.5811169999999999E-2</v>
      </c>
      <c r="P4668">
        <v>0.98598490000000005</v>
      </c>
      <c r="Q4668">
        <v>0.16677320000000001</v>
      </c>
      <c r="R4668">
        <v>-4.5650719999999999E-3</v>
      </c>
      <c r="S4668">
        <v>3.0359189999999998</v>
      </c>
      <c r="T4668">
        <v>1.317406E-2</v>
      </c>
      <c r="U4668">
        <v>-1.082703</v>
      </c>
      <c r="V4668">
        <v>-1.1019559999999999E-2</v>
      </c>
      <c r="W4668">
        <v>0.17809739999999999</v>
      </c>
      <c r="X4668">
        <v>0.98395120000000003</v>
      </c>
      <c r="Y4668">
        <v>0.32097949999999997</v>
      </c>
      <c r="Z4668">
        <v>-1.467805E-3</v>
      </c>
      <c r="AA4668">
        <v>0.94708499999999995</v>
      </c>
      <c r="AB4668">
        <v>22</v>
      </c>
      <c r="AC4668">
        <v>50.515099999999997</v>
      </c>
      <c r="AD4668">
        <v>0.219781</v>
      </c>
      <c r="AE4668">
        <v>-18.059871000000001</v>
      </c>
      <c r="AF4668">
        <v>17.258567847150601</v>
      </c>
      <c r="AG4668">
        <v>0.219781</v>
      </c>
      <c r="AH4668">
        <v>50.793498594487197</v>
      </c>
      <c r="AI4668">
        <v>89.765265350232497</v>
      </c>
      <c r="AJ4668">
        <v>71.233314087617202</v>
      </c>
      <c r="AK4668">
        <v>53.6459315073458</v>
      </c>
      <c r="AL4668">
        <v>79.741042099382099</v>
      </c>
      <c r="AM4668">
        <v>90.641645526258301</v>
      </c>
      <c r="AN4668">
        <v>1.0000000392853901</v>
      </c>
    </row>
    <row r="4669" spans="1:40" x14ac:dyDescent="0.25">
      <c r="A4669" t="str">
        <f>"20190304155508699"</f>
        <v>20190304155508699</v>
      </c>
      <c r="B4669" t="str">
        <f>"1551686108692081"</f>
        <v>1551686108692081</v>
      </c>
      <c r="C4669" t="s">
        <v>40</v>
      </c>
      <c r="D4669">
        <v>4.5928820000000004</v>
      </c>
      <c r="E4669">
        <v>0.63106219999999902</v>
      </c>
      <c r="F4669" t="s">
        <v>90</v>
      </c>
      <c r="G4669">
        <v>-279.02</v>
      </c>
      <c r="H4669">
        <v>1.340727</v>
      </c>
      <c r="I4669">
        <v>-1.1302080000000001</v>
      </c>
      <c r="J4669">
        <v>-329.33409999999998</v>
      </c>
      <c r="K4669">
        <v>1.11026</v>
      </c>
      <c r="L4669">
        <v>16.909029999999898</v>
      </c>
      <c r="M4669">
        <v>0.99980959999999997</v>
      </c>
      <c r="N4669">
        <v>-1.1435860000000001E-2</v>
      </c>
      <c r="O4669">
        <v>-1.5811059999999998E-2</v>
      </c>
      <c r="P4669">
        <v>0.98597500000000005</v>
      </c>
      <c r="Q4669">
        <v>0.16679249999999901</v>
      </c>
      <c r="R4669">
        <v>-5.7721040000000001E-3</v>
      </c>
      <c r="S4669">
        <v>3.0352779999999999</v>
      </c>
      <c r="T4669">
        <v>1.3847470000000001E-2</v>
      </c>
      <c r="U4669">
        <v>-1.084106</v>
      </c>
      <c r="V4669">
        <v>-9.8119390000000004E-3</v>
      </c>
      <c r="W4669">
        <v>0.1780571</v>
      </c>
      <c r="X4669">
        <v>0.98397120000000005</v>
      </c>
      <c r="Y4669">
        <v>0.32143139999999998</v>
      </c>
      <c r="Z4669">
        <v>-1.4273560000000001E-3</v>
      </c>
      <c r="AA4669">
        <v>0.94693179999999999</v>
      </c>
      <c r="AB4669">
        <v>22</v>
      </c>
      <c r="AC4669">
        <v>50.314100000000003</v>
      </c>
      <c r="AD4669">
        <v>0.23046700000000001</v>
      </c>
      <c r="AE4669">
        <v>-18.039238000000001</v>
      </c>
      <c r="AF4669">
        <v>17.241090936174999</v>
      </c>
      <c r="AG4669">
        <v>0.23046700000000001</v>
      </c>
      <c r="AH4669">
        <v>50.592107315740698</v>
      </c>
      <c r="AI4669">
        <v>89.752948489374404</v>
      </c>
      <c r="AJ4669">
        <v>71.181599318829598</v>
      </c>
      <c r="AK4669">
        <v>53.449692743316803</v>
      </c>
      <c r="AL4669">
        <v>79.7433878414204</v>
      </c>
      <c r="AM4669">
        <v>90.571321661512698</v>
      </c>
      <c r="AN4669">
        <v>0.99999996371839395</v>
      </c>
    </row>
    <row r="4670" spans="1:40" x14ac:dyDescent="0.25">
      <c r="A4670" t="str">
        <f>"20190304155508722"</f>
        <v>20190304155508722</v>
      </c>
      <c r="B4670" t="str">
        <f>"1551686108712576"</f>
        <v>1551686108712576</v>
      </c>
      <c r="C4670" t="s">
        <v>40</v>
      </c>
      <c r="D4670">
        <v>4.6580589999999997</v>
      </c>
      <c r="E4670">
        <v>0.63090619999999997</v>
      </c>
      <c r="F4670" t="s">
        <v>90</v>
      </c>
      <c r="G4670">
        <v>-279.02</v>
      </c>
      <c r="H4670">
        <v>1.336757</v>
      </c>
      <c r="I4670">
        <v>-1.127562</v>
      </c>
      <c r="J4670">
        <v>-329.1198</v>
      </c>
      <c r="K4670">
        <v>1.110258</v>
      </c>
      <c r="L4670">
        <v>16.905639999999998</v>
      </c>
      <c r="M4670">
        <v>0.99981050000000005</v>
      </c>
      <c r="N4670">
        <v>-1.137055E-2</v>
      </c>
      <c r="O4670">
        <v>-1.5810930000000001E-2</v>
      </c>
      <c r="P4670">
        <v>0.98604230000000004</v>
      </c>
      <c r="Q4670">
        <v>0.1663414</v>
      </c>
      <c r="R4670">
        <v>-7.1709310000000002E-3</v>
      </c>
      <c r="S4670">
        <v>3.0339659999999999</v>
      </c>
      <c r="T4670">
        <v>1.365793E-2</v>
      </c>
      <c r="U4670">
        <v>-1.0876159999999999</v>
      </c>
      <c r="V4670">
        <v>-8.4145269999999998E-3</v>
      </c>
      <c r="W4670">
        <v>0.1775428</v>
      </c>
      <c r="X4670">
        <v>0.98407710000000004</v>
      </c>
      <c r="Y4670">
        <v>0.32253199999999999</v>
      </c>
      <c r="Z4670">
        <v>-1.4285649999999999E-3</v>
      </c>
      <c r="AA4670">
        <v>0.94655750000000005</v>
      </c>
      <c r="AB4670">
        <v>22</v>
      </c>
      <c r="AC4670">
        <v>50.099800000000002</v>
      </c>
      <c r="AD4670">
        <v>0.22649899999999901</v>
      </c>
      <c r="AE4670">
        <v>-18.033201999999999</v>
      </c>
      <c r="AF4670">
        <v>17.238460104979399</v>
      </c>
      <c r="AG4670">
        <v>0.22649899999999901</v>
      </c>
      <c r="AH4670">
        <v>50.377765202643097</v>
      </c>
      <c r="AI4670">
        <v>89.756273160600003</v>
      </c>
      <c r="AJ4670">
        <v>71.109879298963094</v>
      </c>
      <c r="AK4670">
        <v>53.245986096612</v>
      </c>
      <c r="AL4670">
        <v>79.773332493119398</v>
      </c>
      <c r="AM4670">
        <v>90.489905856325905</v>
      </c>
      <c r="AN4670">
        <v>0.99999999442044096</v>
      </c>
    </row>
    <row r="4671" spans="1:40" x14ac:dyDescent="0.25">
      <c r="A4671" t="str">
        <f>"20190304155508744"</f>
        <v>20190304155508744</v>
      </c>
      <c r="B4671" t="str">
        <f>"1551686108741857"</f>
        <v>1551686108741857</v>
      </c>
      <c r="C4671" t="s">
        <v>40</v>
      </c>
      <c r="D4671">
        <v>4.6383289999999997</v>
      </c>
      <c r="E4671">
        <v>0.63078210000000001</v>
      </c>
      <c r="F4671" t="s">
        <v>90</v>
      </c>
      <c r="G4671">
        <v>-279.02</v>
      </c>
      <c r="H4671">
        <v>1.3031140000000001</v>
      </c>
      <c r="I4671">
        <v>-1.115076</v>
      </c>
      <c r="J4671">
        <v>-328.90629999999999</v>
      </c>
      <c r="K4671">
        <v>1.1102459999999901</v>
      </c>
      <c r="L4671">
        <v>16.902249999999999</v>
      </c>
      <c r="M4671">
        <v>0.99981120000000001</v>
      </c>
      <c r="N4671">
        <v>-1.1302609999999999E-2</v>
      </c>
      <c r="O4671">
        <v>-1.5810790000000002E-2</v>
      </c>
      <c r="P4671">
        <v>0.98605359999999997</v>
      </c>
      <c r="Q4671">
        <v>0.16622809999999999</v>
      </c>
      <c r="R4671">
        <v>-8.1629379999999998E-3</v>
      </c>
      <c r="S4671">
        <v>3.0325319999999998</v>
      </c>
      <c r="T4671">
        <v>1.1673569999999999E-2</v>
      </c>
      <c r="U4671">
        <v>-1.0907899999999999</v>
      </c>
      <c r="V4671">
        <v>-7.422316E-3</v>
      </c>
      <c r="W4671">
        <v>0.17736260000000001</v>
      </c>
      <c r="X4671">
        <v>0.98411760000000004</v>
      </c>
      <c r="Y4671">
        <v>0.32355099999999998</v>
      </c>
      <c r="Z4671">
        <v>-1.5127020000000001E-3</v>
      </c>
      <c r="AA4671">
        <v>0.94620950000000004</v>
      </c>
      <c r="AB4671">
        <v>22</v>
      </c>
      <c r="AC4671">
        <v>49.886299999999999</v>
      </c>
      <c r="AD4671">
        <v>0.19286800000000001</v>
      </c>
      <c r="AE4671">
        <v>-18.017326000000001</v>
      </c>
      <c r="AF4671">
        <v>17.226053674111601</v>
      </c>
      <c r="AG4671">
        <v>0.19286800000000001</v>
      </c>
      <c r="AH4671">
        <v>50.164286539744197</v>
      </c>
      <c r="AI4671">
        <v>89.791655920140499</v>
      </c>
      <c r="AJ4671">
        <v>71.047898630904598</v>
      </c>
      <c r="AK4671">
        <v>53.039888454731503</v>
      </c>
      <c r="AL4671">
        <v>79.783823924513698</v>
      </c>
      <c r="AM4671">
        <v>90.432122459499197</v>
      </c>
      <c r="AN4671">
        <v>1.00000001664166</v>
      </c>
    </row>
    <row r="4672" spans="1:40" x14ac:dyDescent="0.25">
      <c r="A4672" t="str">
        <f>"20190304155508766"</f>
        <v>20190304155508766</v>
      </c>
      <c r="B4672" t="str">
        <f>"1551686108762353"</f>
        <v>1551686108762353</v>
      </c>
      <c r="C4672" t="s">
        <v>40</v>
      </c>
      <c r="D4672">
        <v>4.6274069999999998</v>
      </c>
      <c r="E4672">
        <v>0.63080550000000002</v>
      </c>
      <c r="F4672" t="s">
        <v>90</v>
      </c>
      <c r="G4672">
        <v>-279.02</v>
      </c>
      <c r="H4672">
        <v>1.281704</v>
      </c>
      <c r="I4672">
        <v>-1.0786880000000001</v>
      </c>
      <c r="J4672">
        <v>-328.69619999999998</v>
      </c>
      <c r="K4672">
        <v>1.110236</v>
      </c>
      <c r="L4672">
        <v>16.89893</v>
      </c>
      <c r="M4672">
        <v>0.99981189999999998</v>
      </c>
      <c r="N4672">
        <v>-1.123651E-2</v>
      </c>
      <c r="O4672">
        <v>-1.5810540000000001E-2</v>
      </c>
      <c r="P4672">
        <v>0.98608379999999995</v>
      </c>
      <c r="Q4672">
        <v>0.16597909999999999</v>
      </c>
      <c r="R4672">
        <v>-9.4787020000000003E-3</v>
      </c>
      <c r="S4672">
        <v>3.0316160000000001</v>
      </c>
      <c r="T4672">
        <v>1.0419609999999999E-2</v>
      </c>
      <c r="U4672">
        <v>-1.0927119999999999</v>
      </c>
      <c r="V4672">
        <v>-6.1073119999999897E-3</v>
      </c>
      <c r="W4672">
        <v>0.17704909999999999</v>
      </c>
      <c r="X4672">
        <v>0.98418309999999998</v>
      </c>
      <c r="Y4672">
        <v>0.32417299999999999</v>
      </c>
      <c r="Z4672">
        <v>-1.5618629999999999E-3</v>
      </c>
      <c r="AA4672">
        <v>0.94599650000000002</v>
      </c>
      <c r="AB4672">
        <v>22</v>
      </c>
      <c r="AC4672">
        <v>49.676200000000001</v>
      </c>
      <c r="AD4672">
        <v>0.17146800000000001</v>
      </c>
      <c r="AE4672">
        <v>-17.977618</v>
      </c>
      <c r="AF4672">
        <v>17.189732419838901</v>
      </c>
      <c r="AG4672">
        <v>0.17146800000000001</v>
      </c>
      <c r="AH4672">
        <v>49.953717510385502</v>
      </c>
      <c r="AI4672">
        <v>89.814033335229695</v>
      </c>
      <c r="AJ4672">
        <v>71.010984754217901</v>
      </c>
      <c r="AK4672">
        <v>52.828876526461102</v>
      </c>
      <c r="AL4672">
        <v>79.802075120373104</v>
      </c>
      <c r="AM4672">
        <v>90.355542287086195</v>
      </c>
      <c r="AN4672">
        <v>1.0000000286981401</v>
      </c>
    </row>
    <row r="4673" spans="1:40" x14ac:dyDescent="0.25">
      <c r="A4673" t="str">
        <f>"20190304155508778"</f>
        <v>20190304155508778</v>
      </c>
      <c r="B4673" t="str">
        <f>"1551686108772113"</f>
        <v>1551686108772113</v>
      </c>
      <c r="C4673" t="s">
        <v>40</v>
      </c>
      <c r="D4673">
        <v>4.6989769999999904</v>
      </c>
      <c r="E4673">
        <v>0.63088919999999904</v>
      </c>
      <c r="F4673" t="s">
        <v>90</v>
      </c>
      <c r="G4673">
        <v>-279.02</v>
      </c>
      <c r="H4673">
        <v>1.286127</v>
      </c>
      <c r="I4673">
        <v>-1.0887209999999901</v>
      </c>
      <c r="J4673">
        <v>-328.56229999999999</v>
      </c>
      <c r="K4673">
        <v>1.1102369999999999</v>
      </c>
      <c r="L4673">
        <v>16.896820000000002</v>
      </c>
      <c r="M4673">
        <v>0.99981249999999999</v>
      </c>
      <c r="N4673">
        <v>-1.119478E-2</v>
      </c>
      <c r="O4673">
        <v>-1.581055E-2</v>
      </c>
      <c r="P4673">
        <v>0.98609539999999996</v>
      </c>
      <c r="Q4673">
        <v>0.16587360000000001</v>
      </c>
      <c r="R4673">
        <v>-1.0098579999999999E-2</v>
      </c>
      <c r="S4673">
        <v>3.0300289999999999</v>
      </c>
      <c r="T4673">
        <v>1.07286E-2</v>
      </c>
      <c r="U4673">
        <v>-1.0971679999999999</v>
      </c>
      <c r="V4673">
        <v>-5.4875180000000003E-3</v>
      </c>
      <c r="W4673">
        <v>0.17690320000000001</v>
      </c>
      <c r="X4673">
        <v>0.98421289999999995</v>
      </c>
      <c r="Y4673">
        <v>0.3255612</v>
      </c>
      <c r="Z4673">
        <v>-1.5457330000000001E-3</v>
      </c>
      <c r="AA4673">
        <v>0.94551969999999996</v>
      </c>
      <c r="AB4673">
        <v>22</v>
      </c>
      <c r="AC4673">
        <v>49.542299999999997</v>
      </c>
      <c r="AD4673">
        <v>0.17588999999999899</v>
      </c>
      <c r="AE4673">
        <v>-17.985541000000001</v>
      </c>
      <c r="AF4673">
        <v>17.1997611047593</v>
      </c>
      <c r="AG4673">
        <v>0.17588999999999899</v>
      </c>
      <c r="AH4673">
        <v>49.819930938744797</v>
      </c>
      <c r="AI4673">
        <v>89.808791496282595</v>
      </c>
      <c r="AJ4673">
        <v>70.953352024263197</v>
      </c>
      <c r="AK4673">
        <v>52.705675577628199</v>
      </c>
      <c r="AL4673">
        <v>79.810567768879395</v>
      </c>
      <c r="AM4673">
        <v>90.319451577460796</v>
      </c>
      <c r="AN4673">
        <v>0.99999994377522305</v>
      </c>
    </row>
    <row r="4674" spans="1:40" x14ac:dyDescent="0.25">
      <c r="A4674" t="str">
        <f>"20190304155508793"</f>
        <v>20190304155508793</v>
      </c>
      <c r="B4674" t="str">
        <f>"1551686108781872"</f>
        <v>1551686108781872</v>
      </c>
      <c r="C4674" t="s">
        <v>40</v>
      </c>
      <c r="D4674">
        <v>4.6355000000000004</v>
      </c>
      <c r="E4674">
        <v>0.63090459999999904</v>
      </c>
      <c r="F4674" t="s">
        <v>90</v>
      </c>
      <c r="G4674">
        <v>-279.02</v>
      </c>
      <c r="H4674">
        <v>1.2762579999999999</v>
      </c>
      <c r="I4674">
        <v>-1.0872820000000001</v>
      </c>
      <c r="J4674">
        <v>-328.42759999999998</v>
      </c>
      <c r="K4674">
        <v>1.1102320000000001</v>
      </c>
      <c r="L4674">
        <v>16.894679999999902</v>
      </c>
      <c r="M4674">
        <v>0.9998129</v>
      </c>
      <c r="N4674">
        <v>-1.11539E-2</v>
      </c>
      <c r="O4674">
        <v>-1.5810319999999999E-2</v>
      </c>
      <c r="P4674">
        <v>0.98609009999999997</v>
      </c>
      <c r="Q4674">
        <v>0.16585329999999901</v>
      </c>
      <c r="R4674">
        <v>-1.092513E-2</v>
      </c>
      <c r="S4674">
        <v>3.0292659999999998</v>
      </c>
      <c r="T4674">
        <v>1.015139E-2</v>
      </c>
      <c r="U4674">
        <v>-1.09964</v>
      </c>
      <c r="V4674">
        <v>-4.6606449999999997E-3</v>
      </c>
      <c r="W4674">
        <v>0.1768422</v>
      </c>
      <c r="X4674">
        <v>0.9842282</v>
      </c>
      <c r="Y4674">
        <v>0.32631929999999998</v>
      </c>
      <c r="Z4674">
        <v>-1.568699E-3</v>
      </c>
      <c r="AA4674">
        <v>0.9452583</v>
      </c>
      <c r="AB4674">
        <v>22</v>
      </c>
      <c r="AC4674">
        <v>49.407600000000002</v>
      </c>
      <c r="AD4674">
        <v>0.16602600000000001</v>
      </c>
      <c r="AE4674">
        <v>-17.9819619999999</v>
      </c>
      <c r="AF4674">
        <v>17.1983441731015</v>
      </c>
      <c r="AG4674">
        <v>0.16602600000000001</v>
      </c>
      <c r="AH4674">
        <v>49.685246546557103</v>
      </c>
      <c r="AI4674">
        <v>89.819075942048599</v>
      </c>
      <c r="AJ4674">
        <v>70.906914781633304</v>
      </c>
      <c r="AK4674">
        <v>52.577888235657603</v>
      </c>
      <c r="AL4674">
        <v>79.814119556997696</v>
      </c>
      <c r="AM4674">
        <v>90.2713123769405</v>
      </c>
      <c r="AN4674">
        <v>1.0000000174939401</v>
      </c>
    </row>
    <row r="4675" spans="1:40" x14ac:dyDescent="0.25">
      <c r="A4675" t="str">
        <f>"20190304155508815"</f>
        <v>20190304155508815</v>
      </c>
      <c r="B4675" t="str">
        <f>"1551686108802368"</f>
        <v>1551686108802368</v>
      </c>
      <c r="C4675" t="s">
        <v>40</v>
      </c>
      <c r="D4675">
        <v>4.6571259999999999</v>
      </c>
      <c r="E4675">
        <v>0.63191239999999904</v>
      </c>
      <c r="F4675" t="s">
        <v>90</v>
      </c>
      <c r="G4675">
        <v>-279.02</v>
      </c>
      <c r="H4675">
        <v>1.2884089999999999</v>
      </c>
      <c r="I4675">
        <v>-1.0938060000000001</v>
      </c>
      <c r="J4675">
        <v>-328.22809999999998</v>
      </c>
      <c r="K4675">
        <v>1.11022</v>
      </c>
      <c r="L4675">
        <v>16.891539999999999</v>
      </c>
      <c r="M4675">
        <v>0.99981359999999997</v>
      </c>
      <c r="N4675">
        <v>-1.109039E-2</v>
      </c>
      <c r="O4675">
        <v>-1.5810089999999999E-2</v>
      </c>
      <c r="P4675">
        <v>0.98607239999999996</v>
      </c>
      <c r="Q4675">
        <v>0.16587489999999999</v>
      </c>
      <c r="R4675">
        <v>-1.213156E-2</v>
      </c>
      <c r="S4675">
        <v>3.0282589999999998</v>
      </c>
      <c r="T4675">
        <v>1.092076E-2</v>
      </c>
      <c r="U4675">
        <v>-1.1025389999999999</v>
      </c>
      <c r="V4675">
        <v>-3.4540560000000001E-3</v>
      </c>
      <c r="W4675">
        <v>0.1768014</v>
      </c>
      <c r="X4675">
        <v>0.98424049999999996</v>
      </c>
      <c r="Y4675">
        <v>0.3272196</v>
      </c>
      <c r="Z4675">
        <v>-1.5245460000000001E-3</v>
      </c>
      <c r="AA4675">
        <v>0.94494710000000004</v>
      </c>
      <c r="AB4675">
        <v>22</v>
      </c>
      <c r="AC4675">
        <v>49.208100000000002</v>
      </c>
      <c r="AD4675">
        <v>0.17818899999999899</v>
      </c>
      <c r="AE4675">
        <v>-17.985346</v>
      </c>
      <c r="AF4675">
        <v>17.204866504876399</v>
      </c>
      <c r="AG4675">
        <v>0.17818899999999899</v>
      </c>
      <c r="AH4675">
        <v>49.485743839629897</v>
      </c>
      <c r="AI4675">
        <v>89.805130964778201</v>
      </c>
      <c r="AJ4675">
        <v>70.828807139976902</v>
      </c>
      <c r="AK4675">
        <v>52.391583542891802</v>
      </c>
      <c r="AL4675">
        <v>79.816494610245599</v>
      </c>
      <c r="AM4675">
        <v>90.201070793749906</v>
      </c>
      <c r="AN4675">
        <v>1.00000001369253</v>
      </c>
    </row>
    <row r="4676" spans="1:40" x14ac:dyDescent="0.25">
      <c r="A4676" t="str">
        <f>"20190304155508834"</f>
        <v>20190304155508834</v>
      </c>
      <c r="B4676" t="str">
        <f>"1551686108821889"</f>
        <v>1551686108821889</v>
      </c>
      <c r="C4676" t="s">
        <v>40</v>
      </c>
      <c r="D4676">
        <v>4.6964220000000001</v>
      </c>
      <c r="E4676">
        <v>0.63177340000000004</v>
      </c>
      <c r="F4676" t="s">
        <v>90</v>
      </c>
      <c r="G4676">
        <v>-279.02</v>
      </c>
      <c r="H4676">
        <v>1.3258669999999999</v>
      </c>
      <c r="I4676">
        <v>-1.219554</v>
      </c>
      <c r="J4676">
        <v>-328.03050000000002</v>
      </c>
      <c r="K4676">
        <v>1.1102129999999999</v>
      </c>
      <c r="L4676">
        <v>16.888400000000001</v>
      </c>
      <c r="M4676">
        <v>0.99981430000000004</v>
      </c>
      <c r="N4676">
        <v>-1.1020189999999999E-2</v>
      </c>
      <c r="O4676">
        <v>-1.580995E-2</v>
      </c>
      <c r="P4676">
        <v>0.98600149999999998</v>
      </c>
      <c r="Q4676">
        <v>0.16615639999999901</v>
      </c>
      <c r="R4676">
        <v>-1.3901520000000001E-2</v>
      </c>
      <c r="S4676">
        <v>3.026459</v>
      </c>
      <c r="T4676">
        <v>1.3262990000000001E-2</v>
      </c>
      <c r="U4676">
        <v>-1.1138920000000001</v>
      </c>
      <c r="V4676">
        <v>-1.683232E-3</v>
      </c>
      <c r="W4676">
        <v>0.1770139</v>
      </c>
      <c r="X4676">
        <v>0.9842069</v>
      </c>
      <c r="Y4676">
        <v>0.330524599999999</v>
      </c>
      <c r="Z4676">
        <v>-1.4137170000000001E-3</v>
      </c>
      <c r="AA4676">
        <v>0.94379630000000003</v>
      </c>
      <c r="AB4676">
        <v>22</v>
      </c>
      <c r="AC4676">
        <v>49.0105</v>
      </c>
      <c r="AD4676">
        <v>0.21565399999999901</v>
      </c>
      <c r="AE4676">
        <v>-18.107953999999999</v>
      </c>
      <c r="AF4676">
        <v>17.330494664810601</v>
      </c>
      <c r="AG4676">
        <v>0.21565399999999901</v>
      </c>
      <c r="AH4676">
        <v>49.2898372088044</v>
      </c>
      <c r="AI4676">
        <v>89.763511755706503</v>
      </c>
      <c r="AJ4676">
        <v>70.628131351071104</v>
      </c>
      <c r="AK4676">
        <v>52.248259339859203</v>
      </c>
      <c r="AL4676">
        <v>79.804123879109298</v>
      </c>
      <c r="AM4676">
        <v>90.097989554343499</v>
      </c>
      <c r="AN4676">
        <v>0.99999998803539203</v>
      </c>
    </row>
    <row r="4677" spans="1:40" x14ac:dyDescent="0.25">
      <c r="A4677" t="str">
        <f>"20190304155508856"</f>
        <v>20190304155508856</v>
      </c>
      <c r="B4677" t="str">
        <f>"1551686108852145"</f>
        <v>1551686108852145</v>
      </c>
      <c r="C4677" t="s">
        <v>40</v>
      </c>
      <c r="D4677">
        <v>4.6704990000000004</v>
      </c>
      <c r="E4677">
        <v>0.63273979999999996</v>
      </c>
      <c r="F4677" t="s">
        <v>90</v>
      </c>
      <c r="G4677">
        <v>-279.02</v>
      </c>
      <c r="H4677">
        <v>1.3375509999999999</v>
      </c>
      <c r="I4677">
        <v>-1.2342949999999999</v>
      </c>
      <c r="J4677">
        <v>-327.82029999999997</v>
      </c>
      <c r="K4677">
        <v>1.1101970000000001</v>
      </c>
      <c r="L4677">
        <v>16.885069999999999</v>
      </c>
      <c r="M4677">
        <v>0.99981529999999996</v>
      </c>
      <c r="N4677">
        <v>-1.093832E-2</v>
      </c>
      <c r="O4677">
        <v>-1.5809739999999999E-2</v>
      </c>
      <c r="P4677">
        <v>0.9859308</v>
      </c>
      <c r="Q4677">
        <v>0.16644990000000001</v>
      </c>
      <c r="R4677">
        <v>-1.534816E-2</v>
      </c>
      <c r="S4677">
        <v>3.0245060000000001</v>
      </c>
      <c r="T4677">
        <v>1.4029379999999999E-2</v>
      </c>
      <c r="U4677">
        <v>-1.1183780000000001</v>
      </c>
      <c r="V4677">
        <v>-2.3541130000000001E-4</v>
      </c>
      <c r="W4677">
        <v>0.17722560000000001</v>
      </c>
      <c r="X4677">
        <v>0.9841702</v>
      </c>
      <c r="Y4677">
        <v>0.33195419999999998</v>
      </c>
      <c r="Z4677">
        <v>-1.366927E-3</v>
      </c>
      <c r="AA4677">
        <v>0.94329450000000004</v>
      </c>
      <c r="AB4677">
        <v>22</v>
      </c>
      <c r="AC4677">
        <v>48.800299999999901</v>
      </c>
      <c r="AD4677">
        <v>0.227354</v>
      </c>
      <c r="AE4677">
        <v>-18.119364999999998</v>
      </c>
      <c r="AF4677">
        <v>17.345203149124401</v>
      </c>
      <c r="AG4677">
        <v>0.227354</v>
      </c>
      <c r="AH4677">
        <v>49.079743470031602</v>
      </c>
      <c r="AI4677">
        <v>89.749755993589005</v>
      </c>
      <c r="AJ4677">
        <v>70.536154114913003</v>
      </c>
      <c r="AK4677">
        <v>52.055057210705499</v>
      </c>
      <c r="AL4677">
        <v>79.791799377656304</v>
      </c>
      <c r="AM4677">
        <v>90.013705021430695</v>
      </c>
      <c r="AN4677">
        <v>0.99999997564093901</v>
      </c>
    </row>
    <row r="4678" spans="1:40" x14ac:dyDescent="0.25">
      <c r="A4678" t="str">
        <f>"20190304155508869"</f>
        <v>20190304155508869</v>
      </c>
      <c r="B4678" t="str">
        <f>"1551686108861905"</f>
        <v>1551686108861905</v>
      </c>
      <c r="C4678" t="s">
        <v>40</v>
      </c>
      <c r="D4678">
        <v>4.6749099999999997</v>
      </c>
      <c r="E4678">
        <v>0.632795199999999</v>
      </c>
      <c r="F4678" t="s">
        <v>90</v>
      </c>
      <c r="G4678">
        <v>-279.02</v>
      </c>
      <c r="H4678">
        <v>1.3759939999999999</v>
      </c>
      <c r="I4678">
        <v>-1.360843</v>
      </c>
      <c r="J4678">
        <v>-327.68610000000001</v>
      </c>
      <c r="K4678">
        <v>1.110187</v>
      </c>
      <c r="L4678">
        <v>16.88297</v>
      </c>
      <c r="M4678">
        <v>0.99981580000000003</v>
      </c>
      <c r="N4678">
        <v>-1.088372E-2</v>
      </c>
      <c r="O4678">
        <v>-1.5810040000000001E-2</v>
      </c>
      <c r="P4678">
        <v>0.98591410000000002</v>
      </c>
      <c r="Q4678">
        <v>0.1664823</v>
      </c>
      <c r="R4678">
        <v>-1.6038259999999999E-2</v>
      </c>
      <c r="S4678">
        <v>3.0224609999999998</v>
      </c>
      <c r="T4678">
        <v>1.6462210000000001E-2</v>
      </c>
      <c r="U4678">
        <v>-1.130066</v>
      </c>
      <c r="V4678">
        <v>4.548496E-4</v>
      </c>
      <c r="W4678">
        <v>0.17720449999999999</v>
      </c>
      <c r="X4678">
        <v>0.98417399999999999</v>
      </c>
      <c r="Y4678">
        <v>0.3353643</v>
      </c>
      <c r="Z4678">
        <v>-1.2511060000000001E-3</v>
      </c>
      <c r="AA4678">
        <v>0.94208769999999997</v>
      </c>
      <c r="AB4678">
        <v>22</v>
      </c>
      <c r="AC4678">
        <v>48.6661</v>
      </c>
      <c r="AD4678">
        <v>0.26580700000000002</v>
      </c>
      <c r="AE4678">
        <v>-18.243812999999999</v>
      </c>
      <c r="AF4678">
        <v>17.471616967233601</v>
      </c>
      <c r="AG4678">
        <v>0.26580700000000002</v>
      </c>
      <c r="AH4678">
        <v>48.947188901514899</v>
      </c>
      <c r="AI4678">
        <v>89.706967251806503</v>
      </c>
      <c r="AJ4678">
        <v>70.356061706013605</v>
      </c>
      <c r="AK4678">
        <v>51.972640438711203</v>
      </c>
      <c r="AL4678">
        <v>79.793028548968607</v>
      </c>
      <c r="AM4678">
        <v>89.973519966451306</v>
      </c>
      <c r="AN4678">
        <v>1.0000000519922001</v>
      </c>
    </row>
    <row r="4679" spans="1:40" x14ac:dyDescent="0.25">
      <c r="A4679" t="str">
        <f>"20190304155508884"</f>
        <v>20190304155508884</v>
      </c>
      <c r="B4679" t="str">
        <f>"1551686108871666"</f>
        <v>1551686108871666</v>
      </c>
      <c r="C4679" t="s">
        <v>40</v>
      </c>
      <c r="D4679">
        <v>4.6613629999999997</v>
      </c>
      <c r="E4679">
        <v>0.6328222</v>
      </c>
      <c r="F4679" t="s">
        <v>90</v>
      </c>
      <c r="G4679">
        <v>-279.02</v>
      </c>
      <c r="H4679">
        <v>1.372781</v>
      </c>
      <c r="I4679">
        <v>-1.358941</v>
      </c>
      <c r="J4679">
        <v>-327.54599999999999</v>
      </c>
      <c r="K4679">
        <v>1.1101760000000001</v>
      </c>
      <c r="L4679">
        <v>16.880739999999999</v>
      </c>
      <c r="M4679">
        <v>0.99981640000000005</v>
      </c>
      <c r="N4679">
        <v>-1.082632E-2</v>
      </c>
      <c r="O4679">
        <v>-1.58119E-2</v>
      </c>
      <c r="P4679">
        <v>0.98587550000000002</v>
      </c>
      <c r="Q4679">
        <v>0.16664779999999901</v>
      </c>
      <c r="R4679">
        <v>-1.66737E-2</v>
      </c>
      <c r="S4679">
        <v>3.0217290000000001</v>
      </c>
      <c r="T4679">
        <v>1.630473E-2</v>
      </c>
      <c r="U4679">
        <v>-1.13266</v>
      </c>
      <c r="V4679">
        <v>1.089294E-3</v>
      </c>
      <c r="W4679">
        <v>0.1773129</v>
      </c>
      <c r="X4679">
        <v>0.98415390000000003</v>
      </c>
      <c r="Y4679">
        <v>0.33614650000000001</v>
      </c>
      <c r="Z4679">
        <v>-1.2504969999999999E-3</v>
      </c>
      <c r="AA4679">
        <v>0.94180889999999995</v>
      </c>
      <c r="AB4679">
        <v>22</v>
      </c>
      <c r="AC4679">
        <v>48.526000000000003</v>
      </c>
      <c r="AD4679">
        <v>0.26260499999999998</v>
      </c>
      <c r="AE4679">
        <v>-18.239681000000001</v>
      </c>
      <c r="AF4679">
        <v>17.469618997080101</v>
      </c>
      <c r="AG4679">
        <v>0.26260499999999998</v>
      </c>
      <c r="AH4679">
        <v>48.807101262163897</v>
      </c>
      <c r="AI4679">
        <v>89.709756730319995</v>
      </c>
      <c r="AJ4679">
        <v>70.3060907320627</v>
      </c>
      <c r="AK4679">
        <v>51.840039379849003</v>
      </c>
      <c r="AL4679">
        <v>79.786716955820296</v>
      </c>
      <c r="AM4679">
        <v>89.936583167162695</v>
      </c>
      <c r="AN4679">
        <v>0.99999997497651805</v>
      </c>
    </row>
    <row r="4680" spans="1:40" x14ac:dyDescent="0.25">
      <c r="A4680" t="str">
        <f>"20190304155508900"</f>
        <v>20190304155508900</v>
      </c>
      <c r="B4680" t="str">
        <f>"1551686108892161"</f>
        <v>1551686108892161</v>
      </c>
      <c r="C4680" t="s">
        <v>40</v>
      </c>
      <c r="D4680">
        <v>4.6320009999999998</v>
      </c>
      <c r="E4680">
        <v>0.63295619999999997</v>
      </c>
      <c r="F4680" t="s">
        <v>90</v>
      </c>
      <c r="G4680">
        <v>-279.02</v>
      </c>
      <c r="H4680">
        <v>1.3776729999999999</v>
      </c>
      <c r="I4680">
        <v>-1.348565</v>
      </c>
      <c r="J4680">
        <v>-327.38240000000002</v>
      </c>
      <c r="K4680">
        <v>1.110161</v>
      </c>
      <c r="L4680">
        <v>16.878139999999998</v>
      </c>
      <c r="M4680">
        <v>0.99981710000000001</v>
      </c>
      <c r="N4680">
        <v>-1.076117E-2</v>
      </c>
      <c r="O4680">
        <v>-1.582078E-2</v>
      </c>
      <c r="P4680">
        <v>0.98583869999999896</v>
      </c>
      <c r="Q4680">
        <v>0.16675110000000001</v>
      </c>
      <c r="R4680">
        <v>-1.7791970000000001E-2</v>
      </c>
      <c r="S4680">
        <v>3.020966</v>
      </c>
      <c r="T4680">
        <v>1.6652940000000001E-2</v>
      </c>
      <c r="U4680">
        <v>-1.134857</v>
      </c>
      <c r="V4680">
        <v>2.2010110000000001E-3</v>
      </c>
      <c r="W4680">
        <v>0.177351799999999</v>
      </c>
      <c r="X4680">
        <v>0.98414500000000005</v>
      </c>
      <c r="Y4680">
        <v>0.33681660000000002</v>
      </c>
      <c r="Z4680">
        <v>-1.2234259999999999E-3</v>
      </c>
      <c r="AA4680">
        <v>0.9415694</v>
      </c>
      <c r="AB4680">
        <v>22</v>
      </c>
      <c r="AC4680">
        <v>48.362400000000001</v>
      </c>
      <c r="AD4680">
        <v>0.26751200000000003</v>
      </c>
      <c r="AE4680">
        <v>-18.226704999999999</v>
      </c>
      <c r="AF4680">
        <v>17.458780738956801</v>
      </c>
      <c r="AG4680">
        <v>0.26751200000000003</v>
      </c>
      <c r="AH4680">
        <v>48.643420566786702</v>
      </c>
      <c r="AI4680">
        <v>89.703430982681994</v>
      </c>
      <c r="AJ4680">
        <v>70.256251941699801</v>
      </c>
      <c r="AK4680">
        <v>51.682327269564801</v>
      </c>
      <c r="AL4680">
        <v>79.784451928874105</v>
      </c>
      <c r="AM4680">
        <v>89.871859908137694</v>
      </c>
      <c r="AN4680">
        <v>0.99999994321882901</v>
      </c>
    </row>
    <row r="4681" spans="1:40" x14ac:dyDescent="0.25">
      <c r="A4681" t="str">
        <f>"20190304155508923"</f>
        <v>20190304155508923</v>
      </c>
      <c r="B4681" t="str">
        <f>"1551686108911681"</f>
        <v>1551686108911681</v>
      </c>
      <c r="C4681" t="s">
        <v>40</v>
      </c>
      <c r="D4681">
        <v>4.6419730000000001</v>
      </c>
      <c r="E4681">
        <v>0.63385080000000005</v>
      </c>
      <c r="F4681" t="s">
        <v>90</v>
      </c>
      <c r="G4681">
        <v>-279.02</v>
      </c>
      <c r="H4681">
        <v>1.4025069999999999</v>
      </c>
      <c r="I4681">
        <v>-1.3746350000000001</v>
      </c>
      <c r="J4681">
        <v>-327.16640000000001</v>
      </c>
      <c r="K4681">
        <v>1.110136</v>
      </c>
      <c r="L4681">
        <v>16.874690000000001</v>
      </c>
      <c r="M4681">
        <v>0.99981739999999997</v>
      </c>
      <c r="N4681">
        <v>-1.0676649999999999E-2</v>
      </c>
      <c r="O4681">
        <v>-1.5853280000000001E-2</v>
      </c>
      <c r="P4681">
        <v>0.98583549999999998</v>
      </c>
      <c r="Q4681">
        <v>0.166655</v>
      </c>
      <c r="R4681">
        <v>-1.8834500000000001E-2</v>
      </c>
      <c r="S4681">
        <v>3.0194399999999999</v>
      </c>
      <c r="T4681">
        <v>1.8252250000000001E-2</v>
      </c>
      <c r="U4681">
        <v>-1.1395869999999999</v>
      </c>
      <c r="V4681">
        <v>3.21682E-3</v>
      </c>
      <c r="W4681">
        <v>0.17717249999999901</v>
      </c>
      <c r="X4681">
        <v>0.98417449999999995</v>
      </c>
      <c r="Y4681">
        <v>0.33823419999999998</v>
      </c>
      <c r="Z4681">
        <v>-1.1337980000000001E-3</v>
      </c>
      <c r="AA4681">
        <v>0.94106129999999999</v>
      </c>
      <c r="AB4681">
        <v>22</v>
      </c>
      <c r="AC4681">
        <v>48.1464</v>
      </c>
      <c r="AD4681">
        <v>0.29237099999999899</v>
      </c>
      <c r="AE4681">
        <v>-18.249324999999999</v>
      </c>
      <c r="AF4681">
        <v>17.4831458003361</v>
      </c>
      <c r="AG4681">
        <v>0.29237099999999899</v>
      </c>
      <c r="AH4681">
        <v>48.428115341243</v>
      </c>
      <c r="AI4681">
        <v>89.6746490464934</v>
      </c>
      <c r="AJ4681">
        <v>70.149793632185506</v>
      </c>
      <c r="AK4681">
        <v>51.488136724707701</v>
      </c>
      <c r="AL4681">
        <v>79.794890383265297</v>
      </c>
      <c r="AM4681">
        <v>89.8127267541431</v>
      </c>
      <c r="AN4681">
        <v>0.999999944568704</v>
      </c>
    </row>
    <row r="4682" spans="1:40" x14ac:dyDescent="0.25">
      <c r="A4682" t="str">
        <f>"20190304155508936"</f>
        <v>20190304155508936</v>
      </c>
      <c r="B4682" t="str">
        <f>"1551686108932178"</f>
        <v>1551686108932178</v>
      </c>
      <c r="C4682" t="s">
        <v>40</v>
      </c>
      <c r="D4682">
        <v>4.6768470000000004</v>
      </c>
      <c r="E4682">
        <v>0.63489099999999998</v>
      </c>
      <c r="F4682" t="s">
        <v>90</v>
      </c>
      <c r="G4682">
        <v>-279.02</v>
      </c>
      <c r="H4682">
        <v>1.412793</v>
      </c>
      <c r="I4682">
        <v>-1.4665140000000001</v>
      </c>
      <c r="J4682">
        <v>-327.03739999999999</v>
      </c>
      <c r="K4682">
        <v>1.110117</v>
      </c>
      <c r="L4682">
        <v>16.87265</v>
      </c>
      <c r="M4682">
        <v>0.99981730000000002</v>
      </c>
      <c r="N4682">
        <v>-1.062749E-2</v>
      </c>
      <c r="O4682">
        <v>-1.589517E-2</v>
      </c>
      <c r="P4682">
        <v>0.98580639999999997</v>
      </c>
      <c r="Q4682">
        <v>0.1667526</v>
      </c>
      <c r="R4682">
        <v>-1.948014E-2</v>
      </c>
      <c r="S4682">
        <v>3.0179749999999999</v>
      </c>
      <c r="T4682">
        <v>1.8971559999999998E-2</v>
      </c>
      <c r="U4682">
        <v>-1.149689</v>
      </c>
      <c r="V4682">
        <v>3.8281560000000001E-3</v>
      </c>
      <c r="W4682">
        <v>0.1772213</v>
      </c>
      <c r="X4682">
        <v>0.98416360000000003</v>
      </c>
      <c r="Y4682">
        <v>0.34109780000000001</v>
      </c>
      <c r="Z4682">
        <v>-1.0979410000000001E-3</v>
      </c>
      <c r="AA4682">
        <v>0.94002719999999995</v>
      </c>
      <c r="AB4682">
        <v>22</v>
      </c>
      <c r="AC4682">
        <v>48.017400000000002</v>
      </c>
      <c r="AD4682">
        <v>0.302675999999999</v>
      </c>
      <c r="AE4682">
        <v>-18.339164</v>
      </c>
      <c r="AF4682">
        <v>17.572949733867802</v>
      </c>
      <c r="AG4682">
        <v>0.302675999999999</v>
      </c>
      <c r="AH4682">
        <v>48.301178667167498</v>
      </c>
      <c r="AI4682">
        <v>89.662600364388993</v>
      </c>
      <c r="AJ4682">
        <v>70.007585615950205</v>
      </c>
      <c r="AK4682">
        <v>51.399455597775102</v>
      </c>
      <c r="AL4682">
        <v>79.792050146690698</v>
      </c>
      <c r="AM4682">
        <v>89.777134537466495</v>
      </c>
      <c r="AN4682">
        <v>1.0000000177585</v>
      </c>
    </row>
    <row r="4683" spans="1:40" x14ac:dyDescent="0.25">
      <c r="A4683" t="str">
        <f>"20190304155508948"</f>
        <v>20190304155508948</v>
      </c>
      <c r="B4683" t="str">
        <f>"1551686108942914"</f>
        <v>1551686108942914</v>
      </c>
      <c r="C4683" t="s">
        <v>40</v>
      </c>
      <c r="D4683">
        <v>4.6320059999999996</v>
      </c>
      <c r="E4683">
        <v>0.63509799999999905</v>
      </c>
      <c r="F4683" t="s">
        <v>90</v>
      </c>
      <c r="G4683">
        <v>-279.02</v>
      </c>
      <c r="H4683">
        <v>1.4394129999999901</v>
      </c>
      <c r="I4683">
        <v>-1.590832</v>
      </c>
      <c r="J4683">
        <v>-326.91480000000001</v>
      </c>
      <c r="K4683">
        <v>1.1100950000000001</v>
      </c>
      <c r="L4683">
        <v>16.870639999999899</v>
      </c>
      <c r="M4683">
        <v>0.99981679999999995</v>
      </c>
      <c r="N4683">
        <v>-1.0582579999999999E-2</v>
      </c>
      <c r="O4683">
        <v>-1.5947369999999999E-2</v>
      </c>
      <c r="P4683">
        <v>0.98579660000000002</v>
      </c>
      <c r="Q4683">
        <v>0.1666945</v>
      </c>
      <c r="R4683">
        <v>-2.0448879999999999E-2</v>
      </c>
      <c r="S4683">
        <v>3.016785</v>
      </c>
      <c r="T4683">
        <v>2.0688649999999999E-2</v>
      </c>
      <c r="U4683">
        <v>-1.160004</v>
      </c>
      <c r="V4683">
        <v>4.7526649999999997E-3</v>
      </c>
      <c r="W4683">
        <v>0.1771191</v>
      </c>
      <c r="X4683">
        <v>0.98417790000000005</v>
      </c>
      <c r="Y4683">
        <v>0.3439738</v>
      </c>
      <c r="Z4683">
        <v>-1.0126149999999999E-3</v>
      </c>
      <c r="AA4683">
        <v>0.93897870000000005</v>
      </c>
      <c r="AB4683">
        <v>22</v>
      </c>
      <c r="AC4683">
        <v>47.894799999999996</v>
      </c>
      <c r="AD4683">
        <v>0.329317999999999</v>
      </c>
      <c r="AE4683">
        <v>-18.461472000000001</v>
      </c>
      <c r="AF4683">
        <v>17.6945568101312</v>
      </c>
      <c r="AG4683">
        <v>0.329317999999999</v>
      </c>
      <c r="AH4683">
        <v>48.181153861658899</v>
      </c>
      <c r="AI4683">
        <v>89.632395079404304</v>
      </c>
      <c r="AJ4683">
        <v>69.834211140386799</v>
      </c>
      <c r="AK4683">
        <v>51.328640918038502</v>
      </c>
      <c r="AL4683">
        <v>79.797999211948706</v>
      </c>
      <c r="AM4683">
        <v>89.7233167608847</v>
      </c>
      <c r="AN4683">
        <v>0.99999995112890905</v>
      </c>
    </row>
    <row r="4684" spans="1:40" x14ac:dyDescent="0.25">
      <c r="A4684" t="str">
        <f>"20190304155508961"</f>
        <v>20190304155508961</v>
      </c>
      <c r="B4684" t="str">
        <f>"1551686108952673"</f>
        <v>1551686108952673</v>
      </c>
      <c r="C4684" t="s">
        <v>40</v>
      </c>
      <c r="D4684">
        <v>4.6152470000000001</v>
      </c>
      <c r="E4684">
        <v>0.63518609999999998</v>
      </c>
      <c r="F4684" t="s">
        <v>90</v>
      </c>
      <c r="G4684">
        <v>-279.02</v>
      </c>
      <c r="H4684">
        <v>1.4317789999999999</v>
      </c>
      <c r="I4684">
        <v>-1.628406</v>
      </c>
      <c r="J4684">
        <v>-326.78829999999999</v>
      </c>
      <c r="K4684">
        <v>1.1100699999999999</v>
      </c>
      <c r="L4684">
        <v>16.868559999999999</v>
      </c>
      <c r="M4684">
        <v>0.99981629999999999</v>
      </c>
      <c r="N4684">
        <v>-1.0537680000000001E-2</v>
      </c>
      <c r="O4684">
        <v>-1.6011399999999999E-2</v>
      </c>
      <c r="P4684">
        <v>0.98577170000000003</v>
      </c>
      <c r="Q4684">
        <v>0.1667362</v>
      </c>
      <c r="R4684">
        <v>-2.1289499999999999E-2</v>
      </c>
      <c r="S4684">
        <v>3.015625</v>
      </c>
      <c r="T4684">
        <v>2.0254370000000001E-2</v>
      </c>
      <c r="U4684">
        <v>-1.1647639999999999</v>
      </c>
      <c r="V4684">
        <v>5.5387989999999996E-3</v>
      </c>
      <c r="W4684">
        <v>0.17711579999999999</v>
      </c>
      <c r="X4684">
        <v>0.9841744</v>
      </c>
      <c r="Y4684">
        <v>0.34532479999999999</v>
      </c>
      <c r="Z4684">
        <v>-1.0300699999999999E-3</v>
      </c>
      <c r="AA4684">
        <v>0.93848259999999994</v>
      </c>
      <c r="AB4684">
        <v>22</v>
      </c>
      <c r="AC4684">
        <v>47.768300000000004</v>
      </c>
      <c r="AD4684">
        <v>0.32170900000000002</v>
      </c>
      <c r="AE4684">
        <v>-18.496966</v>
      </c>
      <c r="AF4684">
        <v>17.7290154994242</v>
      </c>
      <c r="AG4684">
        <v>0.32170900000000002</v>
      </c>
      <c r="AH4684">
        <v>48.056459132992899</v>
      </c>
      <c r="AI4684">
        <v>89.640151554639601</v>
      </c>
      <c r="AJ4684">
        <v>69.749945718926398</v>
      </c>
      <c r="AK4684">
        <v>51.223478519723002</v>
      </c>
      <c r="AL4684">
        <v>79.798191491722207</v>
      </c>
      <c r="AM4684">
        <v>89.677550588719001</v>
      </c>
      <c r="AN4684">
        <v>0.99999996725967999</v>
      </c>
    </row>
    <row r="4685" spans="1:40" x14ac:dyDescent="0.25">
      <c r="A4685" t="str">
        <f>"20190304155508979"</f>
        <v>20190304155508979</v>
      </c>
      <c r="B4685" t="str">
        <f>"1551686108972192"</f>
        <v>1551686108972192</v>
      </c>
      <c r="C4685" t="s">
        <v>40</v>
      </c>
      <c r="D4685">
        <v>4.679989</v>
      </c>
      <c r="E4685">
        <v>0.6362333</v>
      </c>
      <c r="F4685" t="s">
        <v>90</v>
      </c>
      <c r="G4685">
        <v>-279.02</v>
      </c>
      <c r="H4685">
        <v>1.428582</v>
      </c>
      <c r="I4685">
        <v>-1.6357549999999901</v>
      </c>
      <c r="J4685">
        <v>-326.61149999999998</v>
      </c>
      <c r="K4685">
        <v>1.110023</v>
      </c>
      <c r="L4685">
        <v>16.865600000000001</v>
      </c>
      <c r="M4685">
        <v>0.99981469999999995</v>
      </c>
      <c r="N4685">
        <v>-1.04806E-2</v>
      </c>
      <c r="O4685">
        <v>-1.6151180000000001E-2</v>
      </c>
      <c r="P4685">
        <v>0.98568509999999998</v>
      </c>
      <c r="Q4685">
        <v>0.16700670000000001</v>
      </c>
      <c r="R4685">
        <v>-2.3105589999999999E-2</v>
      </c>
      <c r="S4685">
        <v>3.0146790000000001</v>
      </c>
      <c r="T4685">
        <v>2.010143E-2</v>
      </c>
      <c r="U4685">
        <v>-1.167816</v>
      </c>
      <c r="V4685">
        <v>7.2344969999999899E-3</v>
      </c>
      <c r="W4685">
        <v>0.17732890000000001</v>
      </c>
      <c r="X4685">
        <v>0.98412509999999997</v>
      </c>
      <c r="Y4685">
        <v>0.3461188</v>
      </c>
      <c r="Z4685">
        <v>-1.030918E-3</v>
      </c>
      <c r="AA4685">
        <v>0.93819010000000003</v>
      </c>
      <c r="AB4685">
        <v>22</v>
      </c>
      <c r="AC4685">
        <v>47.591500000000003</v>
      </c>
      <c r="AD4685">
        <v>0.31855899999999998</v>
      </c>
      <c r="AE4685">
        <v>-18.501355</v>
      </c>
      <c r="AF4685">
        <v>17.7295503187005</v>
      </c>
      <c r="AG4685">
        <v>0.31855899999999998</v>
      </c>
      <c r="AH4685">
        <v>47.882262966139699</v>
      </c>
      <c r="AI4685">
        <v>89.642535961034994</v>
      </c>
      <c r="AJ4685">
        <v>69.681725951227193</v>
      </c>
      <c r="AK4685">
        <v>51.060254025008199</v>
      </c>
      <c r="AL4685">
        <v>79.785786180658704</v>
      </c>
      <c r="AM4685">
        <v>89.578815052484302</v>
      </c>
      <c r="AN4685">
        <v>1.00000004458603</v>
      </c>
    </row>
    <row r="4686" spans="1:40" x14ac:dyDescent="0.25">
      <c r="A4686" t="str">
        <f>"20190304155508993"</f>
        <v>20190304155508993</v>
      </c>
      <c r="B4686" t="str">
        <f>"1551686108981953"</f>
        <v>1551686108981953</v>
      </c>
      <c r="C4686" t="s">
        <v>40</v>
      </c>
      <c r="D4686">
        <v>4.672987</v>
      </c>
      <c r="E4686">
        <v>0.63634959999999996</v>
      </c>
      <c r="F4686" t="s">
        <v>90</v>
      </c>
      <c r="G4686">
        <v>-279.02</v>
      </c>
      <c r="H4686">
        <v>1.470259</v>
      </c>
      <c r="I4686">
        <v>-1.810106</v>
      </c>
      <c r="J4686">
        <v>-326.46960000000001</v>
      </c>
      <c r="K4686">
        <v>1.1099810000000001</v>
      </c>
      <c r="L4686">
        <v>16.863160000000001</v>
      </c>
      <c r="M4686">
        <v>0.99981249999999999</v>
      </c>
      <c r="N4686">
        <v>-1.04391E-2</v>
      </c>
      <c r="O4686">
        <v>-1.631324E-2</v>
      </c>
      <c r="P4686">
        <v>0.98565440000000004</v>
      </c>
      <c r="Q4686">
        <v>0.16706860000000001</v>
      </c>
      <c r="R4686">
        <v>-2.3951150000000001E-2</v>
      </c>
      <c r="S4686">
        <v>3.0119630000000002</v>
      </c>
      <c r="T4686">
        <v>2.2798539999999999E-2</v>
      </c>
      <c r="U4686">
        <v>-1.1819459999999999</v>
      </c>
      <c r="V4686">
        <v>7.9374819999999992E-3</v>
      </c>
      <c r="W4686">
        <v>0.17734849999999999</v>
      </c>
      <c r="X4686">
        <v>0.98411610000000005</v>
      </c>
      <c r="Y4686">
        <v>0.3500685</v>
      </c>
      <c r="Z4686">
        <v>-8.9848580000000003E-4</v>
      </c>
      <c r="AA4686">
        <v>0.93672370000000005</v>
      </c>
      <c r="AB4686">
        <v>22</v>
      </c>
      <c r="AC4686">
        <v>47.449599999999997</v>
      </c>
      <c r="AD4686">
        <v>0.36027799999999999</v>
      </c>
      <c r="AE4686">
        <v>-18.673266000000002</v>
      </c>
      <c r="AF4686">
        <v>17.895788680032702</v>
      </c>
      <c r="AG4686">
        <v>0.36027799999999999</v>
      </c>
      <c r="AH4686">
        <v>47.745539789067799</v>
      </c>
      <c r="AI4686">
        <v>89.595167681926895</v>
      </c>
      <c r="AJ4686">
        <v>69.453201759554503</v>
      </c>
      <c r="AK4686">
        <v>50.9904463842702</v>
      </c>
      <c r="AL4686">
        <v>79.784644597287098</v>
      </c>
      <c r="AM4686">
        <v>89.537885461757597</v>
      </c>
      <c r="AN4686">
        <v>0.99999999617598001</v>
      </c>
    </row>
    <row r="4687" spans="1:40" x14ac:dyDescent="0.25">
      <c r="A4687" t="str">
        <f>"20190304155509015"</f>
        <v>20190304155509015</v>
      </c>
      <c r="B4687" t="str">
        <f>"1551686109002449"</f>
        <v>1551686109002449</v>
      </c>
      <c r="C4687" t="s">
        <v>40</v>
      </c>
      <c r="D4687">
        <v>4.6818160000000004</v>
      </c>
      <c r="E4687">
        <v>0.63661129999999999</v>
      </c>
      <c r="F4687" t="s">
        <v>90</v>
      </c>
      <c r="G4687">
        <v>-279.02</v>
      </c>
      <c r="H4687">
        <v>1.4746109999999999</v>
      </c>
      <c r="I4687">
        <v>-1.820514</v>
      </c>
      <c r="J4687">
        <v>-326.26929999999999</v>
      </c>
      <c r="K4687">
        <v>1.1099190000000001</v>
      </c>
      <c r="L4687">
        <v>16.859590000000001</v>
      </c>
      <c r="M4687">
        <v>0.99980820000000004</v>
      </c>
      <c r="N4687">
        <v>-1.0385149999999999E-2</v>
      </c>
      <c r="O4687">
        <v>-1.6614819999999999E-2</v>
      </c>
      <c r="P4687">
        <v>0.98551180000000005</v>
      </c>
      <c r="Q4687">
        <v>0.16763039999999901</v>
      </c>
      <c r="R4687">
        <v>-2.5827369999999999E-2</v>
      </c>
      <c r="S4687">
        <v>3.0109249999999999</v>
      </c>
      <c r="T4687">
        <v>2.3137689999999999E-2</v>
      </c>
      <c r="U4687">
        <v>-1.1855770000000001</v>
      </c>
      <c r="V4687">
        <v>9.5472490000000007E-3</v>
      </c>
      <c r="W4687">
        <v>0.17785390000000001</v>
      </c>
      <c r="X4687">
        <v>0.98401059999999996</v>
      </c>
      <c r="Y4687">
        <v>0.35087410000000002</v>
      </c>
      <c r="Z4687">
        <v>-8.7747629999999997E-4</v>
      </c>
      <c r="AA4687">
        <v>0.93642219999999998</v>
      </c>
      <c r="AB4687">
        <v>22</v>
      </c>
      <c r="AC4687">
        <v>47.249299999999998</v>
      </c>
      <c r="AD4687">
        <v>0.36469200000000002</v>
      </c>
      <c r="AE4687">
        <v>-18.680104</v>
      </c>
      <c r="AF4687">
        <v>17.891522583041802</v>
      </c>
      <c r="AG4687">
        <v>0.36469200000000002</v>
      </c>
      <c r="AH4687">
        <v>47.550710569321303</v>
      </c>
      <c r="AI4687">
        <v>89.588724777947206</v>
      </c>
      <c r="AJ4687">
        <v>69.3805914557759</v>
      </c>
      <c r="AK4687">
        <v>50.806590677211602</v>
      </c>
      <c r="AL4687">
        <v>79.755219672400401</v>
      </c>
      <c r="AM4687">
        <v>89.444111770832606</v>
      </c>
      <c r="AN4687">
        <v>1.00000001031051</v>
      </c>
    </row>
    <row r="4688" spans="1:40" x14ac:dyDescent="0.25">
      <c r="A4688" t="str">
        <f>"20190304155509035"</f>
        <v>20190304155509035</v>
      </c>
      <c r="B4688" t="str">
        <f>"1551686109032705"</f>
        <v>1551686109032705</v>
      </c>
      <c r="C4688" t="s">
        <v>40</v>
      </c>
      <c r="D4688">
        <v>4.7506059999999897</v>
      </c>
      <c r="E4688">
        <v>0.63684079999999998</v>
      </c>
      <c r="F4688" t="s">
        <v>90</v>
      </c>
      <c r="G4688">
        <v>-279.02</v>
      </c>
      <c r="H4688">
        <v>1.5197050000000001</v>
      </c>
      <c r="I4688">
        <v>-1.898064</v>
      </c>
      <c r="J4688">
        <v>-326.0573</v>
      </c>
      <c r="K4688">
        <v>1.1098440000000001</v>
      </c>
      <c r="L4688">
        <v>16.855650000000001</v>
      </c>
      <c r="M4688">
        <v>0.99980139999999995</v>
      </c>
      <c r="N4688">
        <v>-1.0334100000000001E-2</v>
      </c>
      <c r="O4688">
        <v>-1.704464E-2</v>
      </c>
      <c r="P4688">
        <v>0.98488560000000003</v>
      </c>
      <c r="Q4688">
        <v>0.170958</v>
      </c>
      <c r="R4688">
        <v>-2.7826210000000001E-2</v>
      </c>
      <c r="S4688">
        <v>3.0083009999999999</v>
      </c>
      <c r="T4688">
        <v>2.6090499999999999E-2</v>
      </c>
      <c r="U4688">
        <v>-1.194275</v>
      </c>
      <c r="V4688">
        <v>1.116987E-2</v>
      </c>
      <c r="W4688">
        <v>0.18112210000000001</v>
      </c>
      <c r="X4688">
        <v>0.98339719999999997</v>
      </c>
      <c r="Y4688">
        <v>0.353089599999999</v>
      </c>
      <c r="Z4688">
        <v>-7.2822070000000004E-4</v>
      </c>
      <c r="AA4688">
        <v>0.93558920000000001</v>
      </c>
      <c r="AB4688">
        <v>22</v>
      </c>
      <c r="AC4688">
        <v>47.037300000000002</v>
      </c>
      <c r="AD4688">
        <v>0.40986099999999898</v>
      </c>
      <c r="AE4688">
        <v>-18.753713999999999</v>
      </c>
      <c r="AF4688">
        <v>17.948036943418199</v>
      </c>
      <c r="AG4688">
        <v>0.40986099999999898</v>
      </c>
      <c r="AH4688">
        <v>47.347031700996602</v>
      </c>
      <c r="AI4688">
        <v>89.536231282205407</v>
      </c>
      <c r="AJ4688">
        <v>69.239575826823</v>
      </c>
      <c r="AK4688">
        <v>50.636364670627799</v>
      </c>
      <c r="AL4688">
        <v>79.564874406764304</v>
      </c>
      <c r="AM4688">
        <v>89.349236617365506</v>
      </c>
      <c r="AN4688">
        <v>1.0000000170360299</v>
      </c>
    </row>
    <row r="4689" spans="1:40" x14ac:dyDescent="0.25">
      <c r="A4689" t="str">
        <f>"20190304155509056"</f>
        <v>20190304155509056</v>
      </c>
      <c r="B4689" t="str">
        <f>"1551686109052225"</f>
        <v>1551686109052225</v>
      </c>
      <c r="C4689" t="s">
        <v>40</v>
      </c>
      <c r="D4689">
        <v>4.7721419999999997</v>
      </c>
      <c r="E4689">
        <v>0.63694319999999904</v>
      </c>
      <c r="F4689" t="s">
        <v>90</v>
      </c>
      <c r="G4689">
        <v>-279.02</v>
      </c>
      <c r="H4689">
        <v>1.7215499999999999</v>
      </c>
      <c r="I4689">
        <v>-1.9874430000000001</v>
      </c>
      <c r="J4689">
        <v>-325.8562</v>
      </c>
      <c r="K4689">
        <v>1.1097699999999999</v>
      </c>
      <c r="L4689">
        <v>16.851679999999899</v>
      </c>
      <c r="M4689">
        <v>0.99979280000000004</v>
      </c>
      <c r="N4689">
        <v>-1.0291450000000001E-2</v>
      </c>
      <c r="O4689">
        <v>-1.7566709999999999E-2</v>
      </c>
      <c r="P4689">
        <v>0.9841221</v>
      </c>
      <c r="Q4689">
        <v>0.17472389999999999</v>
      </c>
      <c r="R4689">
        <v>-3.123339E-2</v>
      </c>
      <c r="S4689">
        <v>3.0052189999999999</v>
      </c>
      <c r="T4689">
        <v>3.9081930000000001E-2</v>
      </c>
      <c r="U4689">
        <v>-1.2038879999999901</v>
      </c>
      <c r="V4689">
        <v>1.4115539999999999E-2</v>
      </c>
      <c r="W4689">
        <v>0.18483350000000001</v>
      </c>
      <c r="X4689">
        <v>0.98266849999999994</v>
      </c>
      <c r="Y4689">
        <v>0.35550530000000002</v>
      </c>
      <c r="Z4689" s="1">
        <v>-6.5835660000000001E-5</v>
      </c>
      <c r="AA4689">
        <v>0.93467429999999996</v>
      </c>
      <c r="AB4689">
        <v>22</v>
      </c>
      <c r="AC4689">
        <v>46.836199999999998</v>
      </c>
      <c r="AD4689">
        <v>0.61177999999999899</v>
      </c>
      <c r="AE4689">
        <v>-18.839123000000001</v>
      </c>
      <c r="AF4689">
        <v>18.010769202982601</v>
      </c>
      <c r="AG4689">
        <v>0.61177999999999899</v>
      </c>
      <c r="AH4689">
        <v>47.153006202076803</v>
      </c>
      <c r="AI4689">
        <v>89.305592337552596</v>
      </c>
      <c r="AJ4689">
        <v>69.094923666439996</v>
      </c>
      <c r="AK4689">
        <v>50.479382681889</v>
      </c>
      <c r="AL4689">
        <v>79.348575037988596</v>
      </c>
      <c r="AM4689">
        <v>89.177031472788897</v>
      </c>
      <c r="AN4689">
        <v>1.0000000260419899</v>
      </c>
    </row>
    <row r="4690" spans="1:40" x14ac:dyDescent="0.25">
      <c r="A4690" t="str">
        <f>"20190304155509079"</f>
        <v>20190304155509079</v>
      </c>
      <c r="B4690" t="str">
        <f>"1551686109072721"</f>
        <v>1551686109072721</v>
      </c>
      <c r="C4690" t="s">
        <v>40</v>
      </c>
      <c r="D4690">
        <v>4.6828349999999999</v>
      </c>
      <c r="E4690">
        <v>0.63714059999999995</v>
      </c>
      <c r="F4690" t="s">
        <v>90</v>
      </c>
      <c r="G4690">
        <v>-279.02</v>
      </c>
      <c r="H4690">
        <v>1.9694750000000001</v>
      </c>
      <c r="I4690">
        <v>-2.155799</v>
      </c>
      <c r="J4690">
        <v>-325.62419999999997</v>
      </c>
      <c r="K4690">
        <v>1.109664</v>
      </c>
      <c r="L4690">
        <v>16.846829999999901</v>
      </c>
      <c r="M4690">
        <v>0.99977969999999905</v>
      </c>
      <c r="N4690">
        <v>-1.0248729999999999E-2</v>
      </c>
      <c r="O4690">
        <v>-1.831816E-2</v>
      </c>
      <c r="P4690">
        <v>0.98363449999999997</v>
      </c>
      <c r="Q4690">
        <v>0.176820799999999</v>
      </c>
      <c r="R4690">
        <v>-3.4605219999999999E-2</v>
      </c>
      <c r="S4690">
        <v>3.0000309999999999</v>
      </c>
      <c r="T4690">
        <v>5.50673E-2</v>
      </c>
      <c r="U4690">
        <v>-1.2174990000000001</v>
      </c>
      <c r="V4690">
        <v>1.680427E-2</v>
      </c>
      <c r="W4690">
        <v>0.18687719999999999</v>
      </c>
      <c r="X4690">
        <v>0.98223950000000004</v>
      </c>
      <c r="Y4690">
        <v>0.3589907</v>
      </c>
      <c r="Z4690">
        <v>7.5534820000000005E-4</v>
      </c>
      <c r="AA4690">
        <v>0.93334079999999997</v>
      </c>
      <c r="AB4690">
        <v>22</v>
      </c>
      <c r="AC4690">
        <v>46.604199999999899</v>
      </c>
      <c r="AD4690">
        <v>0.85981099999999999</v>
      </c>
      <c r="AE4690">
        <v>-19.002628999999999</v>
      </c>
      <c r="AF4690">
        <v>18.140397867337299</v>
      </c>
      <c r="AG4690">
        <v>0.85981099999999999</v>
      </c>
      <c r="AH4690">
        <v>46.930794036311902</v>
      </c>
      <c r="AI4690">
        <v>89.020987824654298</v>
      </c>
      <c r="AJ4690">
        <v>68.8667346179964</v>
      </c>
      <c r="AK4690">
        <v>50.322089966730701</v>
      </c>
      <c r="AL4690">
        <v>79.229402526006297</v>
      </c>
      <c r="AM4690">
        <v>89.019872616910803</v>
      </c>
      <c r="AN4690">
        <v>0.99999995336516001</v>
      </c>
    </row>
    <row r="4691" spans="1:40" x14ac:dyDescent="0.25">
      <c r="A4691" t="str">
        <f>"20190304155509102"</f>
        <v>20190304155509102</v>
      </c>
      <c r="B4691" t="str">
        <f>"1551686109092240"</f>
        <v>1551686109092240</v>
      </c>
      <c r="C4691" t="s">
        <v>40</v>
      </c>
      <c r="D4691">
        <v>4.6571800000000003</v>
      </c>
      <c r="E4691">
        <v>0.63736389999999998</v>
      </c>
      <c r="F4691" t="s">
        <v>90</v>
      </c>
      <c r="G4691">
        <v>-279.02</v>
      </c>
      <c r="H4691">
        <v>2.122325</v>
      </c>
      <c r="I4691">
        <v>-2.3063950000000002</v>
      </c>
      <c r="J4691">
        <v>-325.40199999999999</v>
      </c>
      <c r="K4691">
        <v>1.109567</v>
      </c>
      <c r="L4691">
        <v>16.84186</v>
      </c>
      <c r="M4691">
        <v>0.99976330000000002</v>
      </c>
      <c r="N4691">
        <v>-1.021386E-2</v>
      </c>
      <c r="O4691">
        <v>-1.9208360000000001E-2</v>
      </c>
      <c r="P4691">
        <v>0.98327880000000001</v>
      </c>
      <c r="Q4691">
        <v>0.17808060000000001</v>
      </c>
      <c r="R4691">
        <v>-3.8077970000000003E-2</v>
      </c>
      <c r="S4691">
        <v>2.994904</v>
      </c>
      <c r="T4691">
        <v>6.5076229999999999E-2</v>
      </c>
      <c r="U4691">
        <v>-1.2308349999999999</v>
      </c>
      <c r="V4691">
        <v>1.9456480000000002E-2</v>
      </c>
      <c r="W4691">
        <v>0.18809219999999999</v>
      </c>
      <c r="X4691">
        <v>0.98195860000000001</v>
      </c>
      <c r="Y4691">
        <v>0.36226199999999997</v>
      </c>
      <c r="Z4691">
        <v>1.270207E-3</v>
      </c>
      <c r="AA4691">
        <v>0.9320754</v>
      </c>
      <c r="AB4691">
        <v>22</v>
      </c>
      <c r="AC4691">
        <v>46.381999999999998</v>
      </c>
      <c r="AD4691">
        <v>1.012758</v>
      </c>
      <c r="AE4691">
        <v>-19.148254999999999</v>
      </c>
      <c r="AF4691">
        <v>18.2463205765205</v>
      </c>
      <c r="AG4691">
        <v>1.012758</v>
      </c>
      <c r="AH4691">
        <v>46.722235329372502</v>
      </c>
      <c r="AI4691">
        <v>88.8432939437469</v>
      </c>
      <c r="AJ4691">
        <v>68.667984647676604</v>
      </c>
      <c r="AK4691">
        <v>50.1689263142135</v>
      </c>
      <c r="AL4691">
        <v>79.158531511596493</v>
      </c>
      <c r="AM4691">
        <v>88.864892737355504</v>
      </c>
      <c r="AN4691">
        <v>0.99999996121439405</v>
      </c>
    </row>
    <row r="4692" spans="1:40" x14ac:dyDescent="0.25">
      <c r="A4692" t="str">
        <f>"20190304155509123"</f>
        <v>20190304155509123</v>
      </c>
      <c r="B4692" t="str">
        <f>"1551686109112741"</f>
        <v>1551686109112741</v>
      </c>
      <c r="C4692" t="s">
        <v>40</v>
      </c>
      <c r="D4692">
        <v>4.6037990000000004</v>
      </c>
      <c r="E4692">
        <v>0.63820779999999999</v>
      </c>
      <c r="F4692" t="s">
        <v>90</v>
      </c>
      <c r="G4692">
        <v>-279.02</v>
      </c>
      <c r="H4692">
        <v>2.2161729999999999</v>
      </c>
      <c r="I4692">
        <v>-2.461862</v>
      </c>
      <c r="J4692">
        <v>-325.18310000000002</v>
      </c>
      <c r="K4692">
        <v>1.1094569999999999</v>
      </c>
      <c r="L4692">
        <v>16.83652</v>
      </c>
      <c r="M4692">
        <v>0.99974260000000004</v>
      </c>
      <c r="N4692">
        <v>-1.018544E-2</v>
      </c>
      <c r="O4692">
        <v>-2.027576E-2</v>
      </c>
      <c r="P4692">
        <v>0.98301459999999996</v>
      </c>
      <c r="Q4692">
        <v>0.17878839999999999</v>
      </c>
      <c r="R4692">
        <v>-4.1440230000000002E-2</v>
      </c>
      <c r="S4692">
        <v>2.989868</v>
      </c>
      <c r="T4692">
        <v>7.1333889999999997E-2</v>
      </c>
      <c r="U4692">
        <v>-1.244354</v>
      </c>
      <c r="V4692">
        <v>2.182574E-2</v>
      </c>
      <c r="W4692">
        <v>0.18876039999999999</v>
      </c>
      <c r="X4692">
        <v>0.9817806</v>
      </c>
      <c r="Y4692">
        <v>0.36540489999999998</v>
      </c>
      <c r="Z4692">
        <v>1.5867850000000001E-3</v>
      </c>
      <c r="AA4692">
        <v>0.93084730000000004</v>
      </c>
      <c r="AB4692">
        <v>22</v>
      </c>
      <c r="AC4692">
        <v>46.1631</v>
      </c>
      <c r="AD4692">
        <v>1.106716</v>
      </c>
      <c r="AE4692">
        <v>-19.298382</v>
      </c>
      <c r="AF4692">
        <v>18.3493964361755</v>
      </c>
      <c r="AG4692">
        <v>1.106716</v>
      </c>
      <c r="AH4692">
        <v>46.522157686513303</v>
      </c>
      <c r="AI4692">
        <v>88.7322602856636</v>
      </c>
      <c r="AJ4692">
        <v>68.474596815394705</v>
      </c>
      <c r="AK4692">
        <v>50.022358257937</v>
      </c>
      <c r="AL4692">
        <v>79.119548590344706</v>
      </c>
      <c r="AM4692">
        <v>88.726480394877896</v>
      </c>
      <c r="AN4692">
        <v>0.99999999903553305</v>
      </c>
    </row>
    <row r="4693" spans="1:40" x14ac:dyDescent="0.25">
      <c r="A4693" t="str">
        <f>"20190304155509145"</f>
        <v>20190304155509145</v>
      </c>
      <c r="B4693" t="str">
        <f>"1551686109142017"</f>
        <v>1551686109142017</v>
      </c>
      <c r="C4693" t="s">
        <v>40</v>
      </c>
      <c r="D4693">
        <v>4.6584640000000004</v>
      </c>
      <c r="E4693">
        <v>0.63866179999999995</v>
      </c>
      <c r="F4693" t="s">
        <v>90</v>
      </c>
      <c r="G4693">
        <v>-279.02</v>
      </c>
      <c r="H4693">
        <v>2.2814199999999998</v>
      </c>
      <c r="I4693">
        <v>-2.6735899999999999</v>
      </c>
      <c r="J4693">
        <v>-324.96530000000001</v>
      </c>
      <c r="K4693">
        <v>1.1093470000000001</v>
      </c>
      <c r="L4693">
        <v>16.83081</v>
      </c>
      <c r="M4693">
        <v>0.99971759999999998</v>
      </c>
      <c r="N4693">
        <v>-1.0161379999999999E-2</v>
      </c>
      <c r="O4693">
        <v>-2.1483789999999999E-2</v>
      </c>
      <c r="P4693">
        <v>0.98279380000000005</v>
      </c>
      <c r="Q4693">
        <v>0.17932719999999999</v>
      </c>
      <c r="R4693">
        <v>-4.4256040000000003E-2</v>
      </c>
      <c r="S4693">
        <v>2.9848629999999998</v>
      </c>
      <c r="T4693">
        <v>7.5778010000000007E-2</v>
      </c>
      <c r="U4693">
        <v>-1.2615050000000001</v>
      </c>
      <c r="V4693">
        <v>2.3506530000000001E-2</v>
      </c>
      <c r="W4693">
        <v>0.18926519999999999</v>
      </c>
      <c r="X4693">
        <v>0.98164459999999998</v>
      </c>
      <c r="Y4693">
        <v>0.36936980000000003</v>
      </c>
      <c r="Z4693">
        <v>1.8096900000000001E-3</v>
      </c>
      <c r="AA4693">
        <v>0.92928080000000002</v>
      </c>
      <c r="AB4693">
        <v>22</v>
      </c>
      <c r="AC4693">
        <v>45.945300000000003</v>
      </c>
      <c r="AD4693">
        <v>1.1720729999999999</v>
      </c>
      <c r="AE4693">
        <v>-19.5044</v>
      </c>
      <c r="AF4693">
        <v>18.502565433538599</v>
      </c>
      <c r="AG4693">
        <v>1.1720729999999999</v>
      </c>
      <c r="AH4693">
        <v>46.328199235363201</v>
      </c>
      <c r="AI4693">
        <v>88.654090821976794</v>
      </c>
      <c r="AJ4693">
        <v>68.229210828299102</v>
      </c>
      <c r="AK4693">
        <v>49.900107486168999</v>
      </c>
      <c r="AL4693">
        <v>79.090094739432899</v>
      </c>
      <c r="AM4693">
        <v>88.628253423910493</v>
      </c>
      <c r="AN4693">
        <v>0.99999999679642004</v>
      </c>
    </row>
    <row r="4694" spans="1:40" x14ac:dyDescent="0.25">
      <c r="A4694" t="str">
        <f>"20190304155509168"</f>
        <v>20190304155509168</v>
      </c>
      <c r="B4694" t="str">
        <f>"1551686109162514"</f>
        <v>1551686109162514</v>
      </c>
      <c r="C4694" t="s">
        <v>40</v>
      </c>
      <c r="D4694">
        <v>4.6890669999999997</v>
      </c>
      <c r="E4694">
        <v>0.63940350000000001</v>
      </c>
      <c r="F4694" t="s">
        <v>90</v>
      </c>
      <c r="G4694">
        <v>-279.02</v>
      </c>
      <c r="H4694">
        <v>2.318092</v>
      </c>
      <c r="I4694">
        <v>-2.8126519999999999</v>
      </c>
      <c r="J4694">
        <v>-324.73790000000002</v>
      </c>
      <c r="K4694">
        <v>1.109232</v>
      </c>
      <c r="L4694">
        <v>16.824400000000001</v>
      </c>
      <c r="M4694">
        <v>0.99968619999999997</v>
      </c>
      <c r="N4694">
        <v>-1.014016E-2</v>
      </c>
      <c r="O4694">
        <v>-2.290524E-2</v>
      </c>
      <c r="P4694">
        <v>0.98263769999999995</v>
      </c>
      <c r="Q4694">
        <v>0.17951049999999999</v>
      </c>
      <c r="R4694">
        <v>-4.689724E-2</v>
      </c>
      <c r="S4694">
        <v>2.980804</v>
      </c>
      <c r="T4694">
        <v>7.8420039999999996E-2</v>
      </c>
      <c r="U4694">
        <v>-1.2744139999999999</v>
      </c>
      <c r="V4694">
        <v>2.480164E-2</v>
      </c>
      <c r="W4694">
        <v>0.1894188</v>
      </c>
      <c r="X4694">
        <v>0.98158310000000004</v>
      </c>
      <c r="Y4694">
        <v>0.37190390000000001</v>
      </c>
      <c r="Z4694">
        <v>1.9220050000000001E-3</v>
      </c>
      <c r="AA4694">
        <v>0.92826929999999996</v>
      </c>
      <c r="AB4694">
        <v>22</v>
      </c>
      <c r="AC4694">
        <v>45.7179</v>
      </c>
      <c r="AD4694">
        <v>1.20886</v>
      </c>
      <c r="AE4694">
        <v>-19.637052000000001</v>
      </c>
      <c r="AF4694">
        <v>18.573702771821502</v>
      </c>
      <c r="AG4694">
        <v>1.20886</v>
      </c>
      <c r="AH4694">
        <v>46.128490737373099</v>
      </c>
      <c r="AI4694">
        <v>88.6074305904678</v>
      </c>
      <c r="AJ4694">
        <v>68.067748502480399</v>
      </c>
      <c r="AK4694">
        <v>49.742149479726798</v>
      </c>
      <c r="AL4694">
        <v>79.081131936569605</v>
      </c>
      <c r="AM4694">
        <v>88.552616677935205</v>
      </c>
      <c r="AN4694">
        <v>0.99999999267286899</v>
      </c>
    </row>
    <row r="4695" spans="1:40" x14ac:dyDescent="0.25">
      <c r="A4695" t="str">
        <f>"20190304155511335"</f>
        <v>20190304155511335</v>
      </c>
      <c r="B4695" t="str">
        <f>"1551686111322679"</f>
        <v>1551686111322679</v>
      </c>
      <c r="C4695" t="s">
        <v>40</v>
      </c>
      <c r="D4695">
        <v>5.3698290000000002</v>
      </c>
      <c r="E4695">
        <v>0.60160009999999997</v>
      </c>
      <c r="F4695" t="s">
        <v>90</v>
      </c>
      <c r="G4695">
        <v>-279.02</v>
      </c>
      <c r="H4695">
        <v>2.3401960000000002</v>
      </c>
      <c r="I4695">
        <v>-2.968172</v>
      </c>
      <c r="J4695">
        <v>-304.36419999999998</v>
      </c>
      <c r="K4695">
        <v>1.047941</v>
      </c>
      <c r="L4695">
        <v>7.7919009999999904</v>
      </c>
      <c r="M4695">
        <v>0.51149</v>
      </c>
      <c r="N4695">
        <v>-1.2759670000000001E-2</v>
      </c>
      <c r="O4695">
        <v>-0.85919469999999998</v>
      </c>
      <c r="P4695">
        <v>0.35290549999999998</v>
      </c>
      <c r="Q4695">
        <v>0.17503299999999999</v>
      </c>
      <c r="R4695">
        <v>-0.91914209999999996</v>
      </c>
      <c r="S4695">
        <v>2.9768370000000002</v>
      </c>
      <c r="T4695">
        <v>8.0151920000000001E-2</v>
      </c>
      <c r="U4695">
        <v>-1.2887569999999999</v>
      </c>
      <c r="V4695">
        <v>0.1723489</v>
      </c>
      <c r="W4695">
        <v>0.18242939999999999</v>
      </c>
      <c r="X4695">
        <v>0.96799559999999996</v>
      </c>
      <c r="Y4695">
        <v>-0.584731</v>
      </c>
      <c r="Z4695">
        <v>-3.415845E-2</v>
      </c>
      <c r="AA4695">
        <v>0.8105078</v>
      </c>
      <c r="AB4695">
        <v>25</v>
      </c>
      <c r="AC4695">
        <v>25.344200000000001</v>
      </c>
      <c r="AD4695">
        <v>1.2922549999999899</v>
      </c>
      <c r="AE4695">
        <v>-10.760072999999901</v>
      </c>
      <c r="AF4695">
        <v>-16.237487250119798</v>
      </c>
      <c r="AG4695">
        <v>1.2922549999999899</v>
      </c>
      <c r="AH4695">
        <v>22.1612907880716</v>
      </c>
      <c r="AI4695">
        <v>87.306971027042707</v>
      </c>
      <c r="AJ4695">
        <v>126.23008109620901</v>
      </c>
      <c r="AK4695">
        <v>27.503612936781501</v>
      </c>
      <c r="AL4695">
        <v>79.488703016654895</v>
      </c>
      <c r="AM4695">
        <v>79.904439237335794</v>
      </c>
      <c r="AN4695">
        <v>1.00000005546746</v>
      </c>
    </row>
    <row r="4696" spans="1:40" x14ac:dyDescent="0.25">
      <c r="A4696" t="str">
        <f>"20190304155511357"</f>
        <v>20190304155511357</v>
      </c>
      <c r="B4696" t="str">
        <f>"1551686111352936"</f>
        <v>1551686111352936</v>
      </c>
      <c r="C4696" t="s">
        <v>40</v>
      </c>
      <c r="D4696">
        <v>4.9760350000000004</v>
      </c>
      <c r="E4696">
        <v>0.61677380000000004</v>
      </c>
      <c r="F4696" t="s">
        <v>46</v>
      </c>
      <c r="G4696">
        <v>-302.9547</v>
      </c>
      <c r="H4696" s="1">
        <v>-1.6817769999999999E-6</v>
      </c>
      <c r="I4696">
        <v>-7.5680479999999903</v>
      </c>
      <c r="J4696">
        <v>-304.2448</v>
      </c>
      <c r="K4696">
        <v>1.047966</v>
      </c>
      <c r="L4696">
        <v>7.5527340000000001</v>
      </c>
      <c r="M4696">
        <v>0.49558390000000002</v>
      </c>
      <c r="N4696">
        <v>-1.2752960000000001E-2</v>
      </c>
      <c r="O4696">
        <v>-0.86846639999999997</v>
      </c>
      <c r="P4696">
        <v>0.33940759999999998</v>
      </c>
      <c r="Q4696">
        <v>0.17499970000000001</v>
      </c>
      <c r="R4696">
        <v>-0.92421759999999997</v>
      </c>
      <c r="S4696">
        <v>0.29299930000000002</v>
      </c>
      <c r="T4696">
        <v>-0.2178378</v>
      </c>
      <c r="U4696">
        <v>-3.1929020000000001</v>
      </c>
      <c r="V4696">
        <v>0.16867929999999901</v>
      </c>
      <c r="W4696">
        <v>0.18251890000000001</v>
      </c>
      <c r="X4696">
        <v>0.96862490000000001</v>
      </c>
      <c r="Y4696">
        <v>0.41398049999999997</v>
      </c>
      <c r="Z4696">
        <v>3.9177950000000003E-2</v>
      </c>
      <c r="AA4696">
        <v>0.90944219999999998</v>
      </c>
      <c r="AB4696">
        <v>25</v>
      </c>
      <c r="AC4696">
        <v>1.29009999999999</v>
      </c>
      <c r="AD4696">
        <v>-1.0479676817770001</v>
      </c>
      <c r="AE4696">
        <v>-15.120781999999901</v>
      </c>
      <c r="AF4696">
        <v>6.3434762208526001</v>
      </c>
      <c r="AG4696">
        <v>-1.0479676817770001</v>
      </c>
      <c r="AH4696">
        <v>13.707000229395099</v>
      </c>
      <c r="AI4696">
        <v>93.969098560065504</v>
      </c>
      <c r="AJ4696">
        <v>65.165725551255704</v>
      </c>
      <c r="AK4696">
        <v>15.1400060143716</v>
      </c>
      <c r="AL4696">
        <v>79.483487165810899</v>
      </c>
      <c r="AM4696">
        <v>80.121401717738195</v>
      </c>
      <c r="AN4696">
        <v>1.0000000260028501</v>
      </c>
    </row>
    <row r="4697" spans="1:40" x14ac:dyDescent="0.25">
      <c r="A4697" t="str">
        <f>"20190304155511383"</f>
        <v>20190304155511383</v>
      </c>
      <c r="B4697" t="str">
        <f>"1551686111372456"</f>
        <v>1551686111372456</v>
      </c>
      <c r="C4697" t="s">
        <v>40</v>
      </c>
      <c r="D4697">
        <v>4.9600210000000002</v>
      </c>
      <c r="E4697">
        <v>0.62274180000000001</v>
      </c>
      <c r="F4697" t="s">
        <v>46</v>
      </c>
      <c r="G4697">
        <v>-302.6259</v>
      </c>
      <c r="H4697" s="1">
        <v>-4.4994020000000001E-6</v>
      </c>
      <c r="I4697">
        <v>-31.160240000000002</v>
      </c>
      <c r="J4697">
        <v>-304.1216</v>
      </c>
      <c r="K4697">
        <v>1.0480389999999999</v>
      </c>
      <c r="L4697">
        <v>7.294098</v>
      </c>
      <c r="M4697">
        <v>0.47852070000000002</v>
      </c>
      <c r="N4697">
        <v>-1.273138E-2</v>
      </c>
      <c r="O4697">
        <v>-0.87798399999999999</v>
      </c>
      <c r="P4697">
        <v>0.32421709999999998</v>
      </c>
      <c r="Q4697">
        <v>0.17412929999999999</v>
      </c>
      <c r="R4697">
        <v>-0.9298187</v>
      </c>
      <c r="S4697">
        <v>0.13436890000000001</v>
      </c>
      <c r="T4697">
        <v>-8.6979630000000002E-2</v>
      </c>
      <c r="U4697">
        <v>-3.213104</v>
      </c>
      <c r="V4697">
        <v>0.16563329999999901</v>
      </c>
      <c r="W4697">
        <v>0.18175839999999999</v>
      </c>
      <c r="X4697">
        <v>0.96929330000000002</v>
      </c>
      <c r="Y4697">
        <v>0.44132919999999998</v>
      </c>
      <c r="Z4697">
        <v>8.1368610000000004E-3</v>
      </c>
      <c r="AA4697">
        <v>0.89730840000000001</v>
      </c>
      <c r="AB4697">
        <v>25</v>
      </c>
      <c r="AC4697">
        <v>1.49569999999999</v>
      </c>
      <c r="AD4697">
        <v>-1.048043499402</v>
      </c>
      <c r="AE4697">
        <v>-38.454338</v>
      </c>
      <c r="AF4697">
        <v>17.076715359743599</v>
      </c>
      <c r="AG4697">
        <v>-1.048043499402</v>
      </c>
      <c r="AH4697">
        <v>34.455256104212403</v>
      </c>
      <c r="AI4697">
        <v>91.561143512281902</v>
      </c>
      <c r="AJ4697">
        <v>63.636062990234699</v>
      </c>
      <c r="AK4697">
        <v>38.469173059232901</v>
      </c>
      <c r="AL4697">
        <v>79.527801628582793</v>
      </c>
      <c r="AM4697">
        <v>80.3029312804954</v>
      </c>
      <c r="AN4697">
        <v>1.0000000037321699</v>
      </c>
    </row>
    <row r="4698" spans="1:40" x14ac:dyDescent="0.25">
      <c r="A4698" t="str">
        <f>"20190304155511424"</f>
        <v>20190304155511424</v>
      </c>
      <c r="B4698" t="str">
        <f>"1551686111412471"</f>
        <v>1551686111412471</v>
      </c>
      <c r="C4698" t="s">
        <v>40</v>
      </c>
      <c r="D4698">
        <v>5.2198669999999998</v>
      </c>
      <c r="E4698">
        <v>0.62459399999999998</v>
      </c>
      <c r="F4698" t="s">
        <v>74</v>
      </c>
      <c r="G4698">
        <v>-303.32650000000001</v>
      </c>
      <c r="H4698" s="1">
        <v>-9.9878159999999999E-6</v>
      </c>
      <c r="I4698">
        <v>-60.142650000000003</v>
      </c>
      <c r="J4698">
        <v>-303.92930000000001</v>
      </c>
      <c r="K4698">
        <v>1.0482750000000001</v>
      </c>
      <c r="L4698">
        <v>6.8630369999999896</v>
      </c>
      <c r="M4698">
        <v>0.45055030000000001</v>
      </c>
      <c r="N4698">
        <v>-1.2664109999999999E-2</v>
      </c>
      <c r="O4698">
        <v>-0.89266139999999905</v>
      </c>
      <c r="P4698">
        <v>0.29914950000000001</v>
      </c>
      <c r="Q4698">
        <v>0.17323910000000001</v>
      </c>
      <c r="R4698">
        <v>-0.93834879999999998</v>
      </c>
      <c r="S4698">
        <v>3.7994380000000001E-2</v>
      </c>
      <c r="T4698">
        <v>-5.0082559999999998E-2</v>
      </c>
      <c r="U4698">
        <v>-3.2225649999999999</v>
      </c>
      <c r="V4698">
        <v>0.16095299999999901</v>
      </c>
      <c r="W4698">
        <v>0.18104290000000001</v>
      </c>
      <c r="X4698">
        <v>0.9702153</v>
      </c>
      <c r="Y4698">
        <v>0.43994640000000002</v>
      </c>
      <c r="Z4698">
        <v>-3.79424E-4</v>
      </c>
      <c r="AA4698">
        <v>0.89802399999999905</v>
      </c>
      <c r="AB4698">
        <v>25</v>
      </c>
      <c r="AC4698">
        <v>0.602800000000002</v>
      </c>
      <c r="AD4698">
        <v>-1.0482849878159901</v>
      </c>
      <c r="AE4698">
        <v>-67.005686999999995</v>
      </c>
      <c r="AF4698">
        <v>29.6464536575422</v>
      </c>
      <c r="AG4698">
        <v>-1.0482849878159901</v>
      </c>
      <c r="AH4698">
        <v>60.075088409799903</v>
      </c>
      <c r="AI4698">
        <v>90.896486167869398</v>
      </c>
      <c r="AJ4698">
        <v>63.734122897141802</v>
      </c>
      <c r="AK4698">
        <v>67.000204203642198</v>
      </c>
      <c r="AL4698">
        <v>79.569489009666597</v>
      </c>
      <c r="AM4698">
        <v>80.580751298538502</v>
      </c>
      <c r="AN4698">
        <v>1.0000000641017399</v>
      </c>
    </row>
    <row r="4699" spans="1:40" x14ac:dyDescent="0.25">
      <c r="A4699" t="str">
        <f>"20190304155511448"</f>
        <v>20190304155511448</v>
      </c>
      <c r="B4699" t="str">
        <f>"1551686111442728"</f>
        <v>1551686111442728</v>
      </c>
      <c r="C4699" t="s">
        <v>40</v>
      </c>
      <c r="D4699">
        <v>5.2154749999999996</v>
      </c>
      <c r="E4699">
        <v>0.62167059999999996</v>
      </c>
      <c r="F4699" t="s">
        <v>74</v>
      </c>
      <c r="G4699">
        <v>-305.30220000000003</v>
      </c>
      <c r="H4699" s="1">
        <v>-8.6225899999999902E-6</v>
      </c>
      <c r="I4699">
        <v>-67.074359999999999</v>
      </c>
      <c r="J4699">
        <v>-303.81630000000001</v>
      </c>
      <c r="K4699">
        <v>1.048457</v>
      </c>
      <c r="L4699">
        <v>6.5919800000000004</v>
      </c>
      <c r="M4699">
        <v>0.43329960000000001</v>
      </c>
      <c r="N4699">
        <v>-1.261322E-2</v>
      </c>
      <c r="O4699">
        <v>-0.90116180000000001</v>
      </c>
      <c r="P4699">
        <v>0.28266039999999998</v>
      </c>
      <c r="Q4699">
        <v>0.17288290000000001</v>
      </c>
      <c r="R4699">
        <v>-0.94351189999999996</v>
      </c>
      <c r="S4699">
        <v>-5.9875490000000003E-2</v>
      </c>
      <c r="T4699">
        <v>-4.5718910000000001E-2</v>
      </c>
      <c r="U4699">
        <v>-3.22464</v>
      </c>
      <c r="V4699">
        <v>0.15922709999999901</v>
      </c>
      <c r="W4699">
        <v>0.18076010000000001</v>
      </c>
      <c r="X4699">
        <v>0.97055270000000005</v>
      </c>
      <c r="Y4699">
        <v>0.44991029999999999</v>
      </c>
      <c r="Z4699">
        <v>-1.3518969999999999E-3</v>
      </c>
      <c r="AA4699">
        <v>0.89307269999999905</v>
      </c>
      <c r="AB4699">
        <v>25</v>
      </c>
      <c r="AC4699">
        <v>-1.48590000000001</v>
      </c>
      <c r="AD4699">
        <v>-1.04846562259</v>
      </c>
      <c r="AE4699">
        <v>-73.666340000000005</v>
      </c>
      <c r="AF4699">
        <v>33.254540579804797</v>
      </c>
      <c r="AG4699">
        <v>-1.04846562259</v>
      </c>
      <c r="AH4699">
        <v>65.733364328111605</v>
      </c>
      <c r="AI4699">
        <v>90.815413715420107</v>
      </c>
      <c r="AJ4699">
        <v>63.1651295567465</v>
      </c>
      <c r="AK4699">
        <v>73.673868740740701</v>
      </c>
      <c r="AL4699">
        <v>79.5859635386403</v>
      </c>
      <c r="AM4699">
        <v>80.683155510470399</v>
      </c>
      <c r="AN4699">
        <v>1.0000000133018501</v>
      </c>
    </row>
    <row r="4700" spans="1:40" x14ac:dyDescent="0.25">
      <c r="A4700" t="str">
        <f>"20190304155511476"</f>
        <v>20190304155511476</v>
      </c>
      <c r="B4700" t="str">
        <f>"1551686111472984"</f>
        <v>1551686111472984</v>
      </c>
      <c r="C4700" t="s">
        <v>40</v>
      </c>
      <c r="D4700">
        <v>5.1627359999999998</v>
      </c>
      <c r="E4700">
        <v>0.57217819999999997</v>
      </c>
      <c r="F4700" t="s">
        <v>74</v>
      </c>
      <c r="G4700">
        <v>-305.81760000000003</v>
      </c>
      <c r="H4700" s="1">
        <v>-8.9567849999999993E-6</v>
      </c>
      <c r="I4700">
        <v>-62.34395</v>
      </c>
      <c r="J4700">
        <v>-303.69589999999999</v>
      </c>
      <c r="K4700">
        <v>1.0486709999999999</v>
      </c>
      <c r="L4700">
        <v>6.2880250000000002</v>
      </c>
      <c r="M4700">
        <v>0.4142844</v>
      </c>
      <c r="N4700">
        <v>-1.2551140000000001E-2</v>
      </c>
      <c r="O4700">
        <v>-0.91006100000000001</v>
      </c>
      <c r="P4700">
        <v>0.26497330000000002</v>
      </c>
      <c r="Q4700">
        <v>0.1737081</v>
      </c>
      <c r="R4700">
        <v>-0.9484804</v>
      </c>
      <c r="S4700">
        <v>-9.3383789999999994E-2</v>
      </c>
      <c r="T4700">
        <v>-4.8921470000000002E-2</v>
      </c>
      <c r="U4700">
        <v>-3.2165530000000002</v>
      </c>
      <c r="V4700">
        <v>0.15684960000000001</v>
      </c>
      <c r="W4700">
        <v>0.1816759</v>
      </c>
      <c r="X4700">
        <v>0.97076879999999999</v>
      </c>
      <c r="Y4700">
        <v>0.44047360000000002</v>
      </c>
      <c r="Z4700">
        <v>-2.5666609999999999E-4</v>
      </c>
      <c r="AA4700">
        <v>0.89776559999999905</v>
      </c>
      <c r="AB4700">
        <v>25</v>
      </c>
      <c r="AC4700">
        <v>-2.1217000000000299</v>
      </c>
      <c r="AD4700">
        <v>-1.04867995678499</v>
      </c>
      <c r="AE4700">
        <v>-68.631974999999997</v>
      </c>
      <c r="AF4700">
        <v>30.3593418656998</v>
      </c>
      <c r="AG4700">
        <v>-1.04867995678499</v>
      </c>
      <c r="AH4700">
        <v>61.570782638837102</v>
      </c>
      <c r="AI4700">
        <v>90.875183630569097</v>
      </c>
      <c r="AJ4700">
        <v>63.753000165851702</v>
      </c>
      <c r="AK4700">
        <v>68.656759630273299</v>
      </c>
      <c r="AL4700">
        <v>79.532608483701495</v>
      </c>
      <c r="AM4700">
        <v>80.821892667110404</v>
      </c>
      <c r="AN4700">
        <v>0.99999999635720405</v>
      </c>
    </row>
    <row r="4701" spans="1:40" x14ac:dyDescent="0.25">
      <c r="A4701" t="str">
        <f>"20190304155511513"</f>
        <v>20190304155511513</v>
      </c>
      <c r="B4701" t="str">
        <f>"1551686111502263"</f>
        <v>1551686111502263</v>
      </c>
      <c r="C4701" t="s">
        <v>40</v>
      </c>
      <c r="D4701">
        <v>5.0955529999999998</v>
      </c>
      <c r="E4701">
        <v>0.56731769999999904</v>
      </c>
      <c r="F4701" t="s">
        <v>46</v>
      </c>
      <c r="G4701">
        <v>-302.65989999999999</v>
      </c>
      <c r="H4701" s="1">
        <v>-1.2925619999999999E-6</v>
      </c>
      <c r="I4701">
        <v>-8.2254749999999994</v>
      </c>
      <c r="J4701">
        <v>-303.55040000000002</v>
      </c>
      <c r="K4701">
        <v>1.0490649999999999</v>
      </c>
      <c r="L4701">
        <v>5.8960569999999999</v>
      </c>
      <c r="M4701">
        <v>0.39062720000000001</v>
      </c>
      <c r="N4701">
        <v>-1.2438579999999999E-2</v>
      </c>
      <c r="O4701">
        <v>-0.92046490000000003</v>
      </c>
      <c r="P4701">
        <v>0.24423120000000001</v>
      </c>
      <c r="Q4701">
        <v>0.17729990000000001</v>
      </c>
      <c r="R4701">
        <v>-0.95337099999999997</v>
      </c>
      <c r="S4701">
        <v>0.22427369999999999</v>
      </c>
      <c r="T4701">
        <v>-0.2270161</v>
      </c>
      <c r="U4701">
        <v>-3.1418759999999999</v>
      </c>
      <c r="V4701">
        <v>0.15257579999999901</v>
      </c>
      <c r="W4701">
        <v>0.18541830000000001</v>
      </c>
      <c r="X4701">
        <v>0.97074229999999995</v>
      </c>
      <c r="Y4701">
        <v>0.32401180000000002</v>
      </c>
      <c r="Z4701">
        <v>4.9271240000000001E-2</v>
      </c>
      <c r="AA4701">
        <v>0.94476910000000003</v>
      </c>
      <c r="AB4701">
        <v>25</v>
      </c>
      <c r="AC4701">
        <v>0.89050000000003104</v>
      </c>
      <c r="AD4701">
        <v>-1.049066292562</v>
      </c>
      <c r="AE4701">
        <v>-14.121531999999901</v>
      </c>
      <c r="AF4701">
        <v>4.6712664372882298</v>
      </c>
      <c r="AG4701">
        <v>-1.049066292562</v>
      </c>
      <c r="AH4701">
        <v>13.274293298711299</v>
      </c>
      <c r="AI4701">
        <v>94.263439558495705</v>
      </c>
      <c r="AJ4701">
        <v>70.612865862524004</v>
      </c>
      <c r="AK4701">
        <v>14.1112767953342</v>
      </c>
      <c r="AL4701">
        <v>79.314478472212301</v>
      </c>
      <c r="AM4701">
        <v>81.067648409477897</v>
      </c>
      <c r="AN4701">
        <v>0.999999966864909</v>
      </c>
    </row>
    <row r="4702" spans="1:40" x14ac:dyDescent="0.25">
      <c r="A4702" t="str">
        <f>"20190304155511541"</f>
        <v>20190304155511541</v>
      </c>
      <c r="B4702" t="str">
        <f>"1551686111532520"</f>
        <v>1551686111532520</v>
      </c>
      <c r="C4702" t="s">
        <v>40</v>
      </c>
      <c r="D4702">
        <v>4.9269150000000002</v>
      </c>
      <c r="E4702">
        <v>0.56650659999999997</v>
      </c>
      <c r="F4702" t="s">
        <v>46</v>
      </c>
      <c r="G4702">
        <v>-302.6157</v>
      </c>
      <c r="H4702" s="1">
        <v>-9.0253479999999996E-7</v>
      </c>
      <c r="I4702">
        <v>-9.0257020000000008</v>
      </c>
      <c r="J4702">
        <v>-303.44130000000001</v>
      </c>
      <c r="K4702">
        <v>1.049445</v>
      </c>
      <c r="L4702">
        <v>5.5833440000000003</v>
      </c>
      <c r="M4702">
        <v>0.37245650000000002</v>
      </c>
      <c r="N4702">
        <v>-1.232694E-2</v>
      </c>
      <c r="O4702">
        <v>-0.92796780000000001</v>
      </c>
      <c r="P4702">
        <v>0.2282989</v>
      </c>
      <c r="Q4702">
        <v>0.17658399999999999</v>
      </c>
      <c r="R4702">
        <v>-0.95744339999999994</v>
      </c>
      <c r="S4702">
        <v>0.19653319999999999</v>
      </c>
      <c r="T4702">
        <v>-0.2205725</v>
      </c>
      <c r="U4702">
        <v>-3.1373899999999999</v>
      </c>
      <c r="V4702">
        <v>0.149529299999999</v>
      </c>
      <c r="W4702">
        <v>0.18481520000000001</v>
      </c>
      <c r="X4702">
        <v>0.97133119999999995</v>
      </c>
      <c r="Y4702">
        <v>0.31362630000000002</v>
      </c>
      <c r="Z4702">
        <v>4.8615640000000002E-2</v>
      </c>
      <c r="AA4702">
        <v>0.94830110000000001</v>
      </c>
      <c r="AB4702">
        <v>25</v>
      </c>
      <c r="AC4702">
        <v>0.82560000000000799</v>
      </c>
      <c r="AD4702">
        <v>-1.0494459025348</v>
      </c>
      <c r="AE4702">
        <v>-14.609045999999999</v>
      </c>
      <c r="AF4702">
        <v>4.6515321165356696</v>
      </c>
      <c r="AG4702">
        <v>-1.0494459025348</v>
      </c>
      <c r="AH4702">
        <v>13.7943211357822</v>
      </c>
      <c r="AI4702">
        <v>94.123310332705401</v>
      </c>
      <c r="AJ4702">
        <v>71.365569112522394</v>
      </c>
      <c r="AK4702">
        <v>14.595252081776399</v>
      </c>
      <c r="AL4702">
        <v>79.349641488348894</v>
      </c>
      <c r="AM4702">
        <v>81.248436767299594</v>
      </c>
      <c r="AN4702">
        <v>0.99999998490148401</v>
      </c>
    </row>
    <row r="4703" spans="1:40" x14ac:dyDescent="0.25">
      <c r="A4703" t="str">
        <f>"20190304155511580"</f>
        <v>20190304155511580</v>
      </c>
      <c r="B4703" t="str">
        <f>"1551686111572536"</f>
        <v>1551686111572536</v>
      </c>
      <c r="C4703" t="s">
        <v>40</v>
      </c>
      <c r="D4703">
        <v>4.7567269999999997</v>
      </c>
      <c r="E4703">
        <v>0.58235689999999996</v>
      </c>
      <c r="F4703" t="s">
        <v>46</v>
      </c>
      <c r="G4703">
        <v>-302.71359999999999</v>
      </c>
      <c r="H4703" s="1">
        <v>-7.3610890000000003E-7</v>
      </c>
      <c r="I4703">
        <v>-9.4328669999999999</v>
      </c>
      <c r="J4703">
        <v>-303.30180000000001</v>
      </c>
      <c r="K4703">
        <v>1.050044</v>
      </c>
      <c r="L4703">
        <v>5.1555790000000004</v>
      </c>
      <c r="M4703">
        <v>0.34885820000000001</v>
      </c>
      <c r="N4703">
        <v>-1.2165860000000001E-2</v>
      </c>
      <c r="O4703">
        <v>-0.9370967</v>
      </c>
      <c r="P4703">
        <v>0.21078060000000001</v>
      </c>
      <c r="Q4703">
        <v>0.17690620000000001</v>
      </c>
      <c r="R4703">
        <v>-0.96139289999999999</v>
      </c>
      <c r="S4703">
        <v>0.1520386</v>
      </c>
      <c r="T4703">
        <v>-0.219273</v>
      </c>
      <c r="U4703">
        <v>-3.1375120000000001</v>
      </c>
      <c r="V4703">
        <v>0.1423866</v>
      </c>
      <c r="W4703">
        <v>0.18537190000000001</v>
      </c>
      <c r="X4703">
        <v>0.972298</v>
      </c>
      <c r="Y4703">
        <v>0.3030021</v>
      </c>
      <c r="Z4703">
        <v>4.9460690000000002E-2</v>
      </c>
      <c r="AA4703">
        <v>0.95170549999999998</v>
      </c>
      <c r="AB4703">
        <v>25</v>
      </c>
      <c r="AC4703">
        <v>0.58820000000002803</v>
      </c>
      <c r="AD4703">
        <v>-1.0500447361089</v>
      </c>
      <c r="AE4703">
        <v>-14.588445999999999</v>
      </c>
      <c r="AF4703">
        <v>4.5150801795598001</v>
      </c>
      <c r="AG4703">
        <v>-1.0500447361089</v>
      </c>
      <c r="AH4703">
        <v>13.8055999850093</v>
      </c>
      <c r="AI4703">
        <v>94.134798928156002</v>
      </c>
      <c r="AJ4703">
        <v>71.889822068695693</v>
      </c>
      <c r="AK4703">
        <v>14.563074329336301</v>
      </c>
      <c r="AL4703">
        <v>79.317184720311801</v>
      </c>
      <c r="AM4703">
        <v>81.668633112771303</v>
      </c>
      <c r="AN4703">
        <v>1.0000000429865801</v>
      </c>
    </row>
    <row r="4704" spans="1:40" x14ac:dyDescent="0.25">
      <c r="A4704" t="str">
        <f>"20190304155511613"</f>
        <v>20190304155511613</v>
      </c>
      <c r="B4704" t="str">
        <f>"1551686111602792"</f>
        <v>1551686111602792</v>
      </c>
      <c r="C4704" t="s">
        <v>40</v>
      </c>
      <c r="D4704">
        <v>5.1674429999999996</v>
      </c>
      <c r="E4704">
        <v>0.5748972</v>
      </c>
      <c r="F4704" t="s">
        <v>74</v>
      </c>
      <c r="G4704">
        <v>-303.67599999999999</v>
      </c>
      <c r="H4704" s="1">
        <v>-2.4975790000000001E-6</v>
      </c>
      <c r="I4704">
        <v>-43.500959999999999</v>
      </c>
      <c r="J4704">
        <v>-303.19110000000001</v>
      </c>
      <c r="K4704">
        <v>1.0505469999999999</v>
      </c>
      <c r="L4704">
        <v>4.7915340000000004</v>
      </c>
      <c r="M4704">
        <v>0.32993099999999997</v>
      </c>
      <c r="N4704">
        <v>-1.202336E-2</v>
      </c>
      <c r="O4704">
        <v>-0.94392849999999995</v>
      </c>
      <c r="P4704">
        <v>0.19488469999999999</v>
      </c>
      <c r="Q4704">
        <v>0.17793349999999999</v>
      </c>
      <c r="R4704">
        <v>-0.96455150000000001</v>
      </c>
      <c r="S4704">
        <v>-2.4139399999999998E-2</v>
      </c>
      <c r="T4704">
        <v>-6.7725779999999999E-2</v>
      </c>
      <c r="U4704">
        <v>-3.138245</v>
      </c>
      <c r="V4704">
        <v>0.13859350000000001</v>
      </c>
      <c r="W4704">
        <v>0.18651789999999999</v>
      </c>
      <c r="X4704">
        <v>0.97262680000000001</v>
      </c>
      <c r="Y4704">
        <v>0.33713419999999999</v>
      </c>
      <c r="Z4704">
        <v>7.093093E-3</v>
      </c>
      <c r="AA4704">
        <v>0.94142990000000004</v>
      </c>
      <c r="AB4704">
        <v>25</v>
      </c>
      <c r="AC4704">
        <v>-0.48489999999998101</v>
      </c>
      <c r="AD4704">
        <v>-1.050549497579</v>
      </c>
      <c r="AE4704">
        <v>-48.292493999999998</v>
      </c>
      <c r="AF4704">
        <v>16.384333516635799</v>
      </c>
      <c r="AG4704">
        <v>-1.050549497579</v>
      </c>
      <c r="AH4704">
        <v>45.406475057842201</v>
      </c>
      <c r="AI4704">
        <v>91.246736077496607</v>
      </c>
      <c r="AJ4704">
        <v>70.1586835476255</v>
      </c>
      <c r="AK4704">
        <v>48.283517024028697</v>
      </c>
      <c r="AL4704">
        <v>79.250357724034401</v>
      </c>
      <c r="AM4704">
        <v>81.890288135996599</v>
      </c>
      <c r="AN4704">
        <v>0.99999998867044904</v>
      </c>
    </row>
    <row r="4705" spans="1:40" x14ac:dyDescent="0.25">
      <c r="A4705" t="str">
        <f>"20190304155511646"</f>
        <v>20190304155511646</v>
      </c>
      <c r="B4705" t="str">
        <f>"1551686111642808"</f>
        <v>1551686111642808</v>
      </c>
      <c r="C4705" t="s">
        <v>40</v>
      </c>
      <c r="D4705">
        <v>5.1616169999999997</v>
      </c>
      <c r="E4705">
        <v>0.53728739999999997</v>
      </c>
      <c r="F4705" t="s">
        <v>46</v>
      </c>
      <c r="G4705">
        <v>-303.36900000000003</v>
      </c>
      <c r="H4705" s="1">
        <v>-2.4432269999999999E-6</v>
      </c>
      <c r="I4705">
        <v>-26.80518</v>
      </c>
      <c r="J4705">
        <v>-303.08330000000001</v>
      </c>
      <c r="K4705">
        <v>1.051026</v>
      </c>
      <c r="L4705">
        <v>4.4151920000000002</v>
      </c>
      <c r="M4705">
        <v>0.31139220000000001</v>
      </c>
      <c r="N4705">
        <v>-1.187879E-2</v>
      </c>
      <c r="O4705">
        <v>-0.95020720000000003</v>
      </c>
      <c r="P4705">
        <v>0.1838494</v>
      </c>
      <c r="Q4705">
        <v>0.17762700000000001</v>
      </c>
      <c r="R4705">
        <v>-0.96677199999999996</v>
      </c>
      <c r="S4705">
        <v>-1.7639160000000001E-2</v>
      </c>
      <c r="T4705">
        <v>-0.104169</v>
      </c>
      <c r="U4705">
        <v>-3.1330260000000001</v>
      </c>
      <c r="V4705">
        <v>0.13043750000000001</v>
      </c>
      <c r="W4705">
        <v>0.18641949999999999</v>
      </c>
      <c r="X4705">
        <v>0.973773</v>
      </c>
      <c r="Y4705">
        <v>0.31666739999999999</v>
      </c>
      <c r="Z4705">
        <v>1.8011039999999999E-2</v>
      </c>
      <c r="AA4705">
        <v>0.94836560000000003</v>
      </c>
      <c r="AB4705">
        <v>25</v>
      </c>
      <c r="AC4705">
        <v>-0.28570000000001899</v>
      </c>
      <c r="AD4705">
        <v>-1.0510284432269901</v>
      </c>
      <c r="AE4705">
        <v>-31.220371999999902</v>
      </c>
      <c r="AF4705">
        <v>9.9826473989063693</v>
      </c>
      <c r="AG4705">
        <v>-1.0510284432269901</v>
      </c>
      <c r="AH4705">
        <v>29.545463805197102</v>
      </c>
      <c r="AI4705">
        <v>91.930226959450707</v>
      </c>
      <c r="AJ4705">
        <v>71.331220210672797</v>
      </c>
      <c r="AK4705">
        <v>31.2040436697486</v>
      </c>
      <c r="AL4705">
        <v>79.256096547343702</v>
      </c>
      <c r="AM4705">
        <v>82.370609136868794</v>
      </c>
      <c r="AN4705">
        <v>1.00000001345775</v>
      </c>
    </row>
    <row r="4706" spans="1:40" x14ac:dyDescent="0.25">
      <c r="A4706" t="str">
        <f>"20190304155511677"</f>
        <v>20190304155511677</v>
      </c>
      <c r="B4706" t="str">
        <f>"1551686111672087"</f>
        <v>1551686111672087</v>
      </c>
      <c r="C4706" t="s">
        <v>40</v>
      </c>
      <c r="D4706">
        <v>4.8075619999999999</v>
      </c>
      <c r="E4706">
        <v>0.56293419999999905</v>
      </c>
      <c r="F4706" t="s">
        <v>46</v>
      </c>
      <c r="G4706">
        <v>-302.1807</v>
      </c>
      <c r="H4706" s="1">
        <v>-1.589139E-6</v>
      </c>
      <c r="I4706">
        <v>-7.3283469999999999</v>
      </c>
      <c r="J4706">
        <v>-302.98509999999999</v>
      </c>
      <c r="K4706">
        <v>1.051466</v>
      </c>
      <c r="L4706">
        <v>4.0495000000000001</v>
      </c>
      <c r="M4706">
        <v>0.2943867</v>
      </c>
      <c r="N4706">
        <v>-1.1743150000000001E-2</v>
      </c>
      <c r="O4706">
        <v>-0.95561430000000003</v>
      </c>
      <c r="P4706">
        <v>0.17045660000000001</v>
      </c>
      <c r="Q4706">
        <v>0.17685090000000001</v>
      </c>
      <c r="R4706">
        <v>-0.96936489999999997</v>
      </c>
      <c r="S4706">
        <v>0.23895259999999999</v>
      </c>
      <c r="T4706">
        <v>-0.27823199999999998</v>
      </c>
      <c r="U4706">
        <v>-3.1087950000000002</v>
      </c>
      <c r="V4706">
        <v>0.1263483</v>
      </c>
      <c r="W4706">
        <v>0.1857374</v>
      </c>
      <c r="X4706">
        <v>0.97444219999999904</v>
      </c>
      <c r="Y4706">
        <v>0.22035199999999999</v>
      </c>
      <c r="Z4706">
        <v>7.0463810000000002E-2</v>
      </c>
      <c r="AA4706">
        <v>0.97287199999999996</v>
      </c>
      <c r="AB4706">
        <v>26</v>
      </c>
      <c r="AC4706">
        <v>0.80439999999998602</v>
      </c>
      <c r="AD4706">
        <v>-1.051467589139</v>
      </c>
      <c r="AE4706">
        <v>-11.377846999999999</v>
      </c>
      <c r="AF4706">
        <v>2.5592207639580402</v>
      </c>
      <c r="AG4706">
        <v>-1.051467589139</v>
      </c>
      <c r="AH4706">
        <v>11.016784998652801</v>
      </c>
      <c r="AI4706">
        <v>95.311341205159096</v>
      </c>
      <c r="AJ4706">
        <v>76.922032545809799</v>
      </c>
      <c r="AK4706">
        <v>11.358906052795099</v>
      </c>
      <c r="AL4706">
        <v>79.295871875381707</v>
      </c>
      <c r="AM4706">
        <v>82.612122675028502</v>
      </c>
      <c r="AN4706">
        <v>0.99999993790624198</v>
      </c>
    </row>
    <row r="4707" spans="1:40" x14ac:dyDescent="0.25">
      <c r="A4707" t="str">
        <f>"20190304155511714"</f>
        <v>20190304155511714</v>
      </c>
      <c r="B4707" t="str">
        <f>"1551686111702344"</f>
        <v>1551686111702344</v>
      </c>
      <c r="C4707" t="s">
        <v>40</v>
      </c>
      <c r="D4707">
        <v>4.829199</v>
      </c>
      <c r="E4707">
        <v>0.56580439999999999</v>
      </c>
      <c r="F4707" t="s">
        <v>46</v>
      </c>
      <c r="G4707">
        <v>-302.98779999999999</v>
      </c>
      <c r="H4707" s="1">
        <v>-4.5079109999999997E-6</v>
      </c>
      <c r="I4707">
        <v>-21.323889999999999</v>
      </c>
      <c r="J4707">
        <v>-302.88459999999998</v>
      </c>
      <c r="K4707">
        <v>1.0519510000000001</v>
      </c>
      <c r="L4707">
        <v>3.6499329999999999</v>
      </c>
      <c r="M4707">
        <v>0.27694819999999998</v>
      </c>
      <c r="N4707">
        <v>-1.1597990000000001E-2</v>
      </c>
      <c r="O4707">
        <v>-0.96081510000000003</v>
      </c>
      <c r="P4707">
        <v>0.16264329999999999</v>
      </c>
      <c r="Q4707">
        <v>0.17421510000000001</v>
      </c>
      <c r="R4707">
        <v>-0.97118309999999997</v>
      </c>
      <c r="S4707">
        <v>-3.3569339999999902E-4</v>
      </c>
      <c r="T4707">
        <v>-0.1292278</v>
      </c>
      <c r="U4707">
        <v>-3.118439</v>
      </c>
      <c r="V4707">
        <v>0.1162947</v>
      </c>
      <c r="W4707">
        <v>0.1833205</v>
      </c>
      <c r="X4707">
        <v>0.97615019999999997</v>
      </c>
      <c r="Y4707">
        <v>0.27697889999999997</v>
      </c>
      <c r="Z4707">
        <v>2.6574589999999999E-2</v>
      </c>
      <c r="AA4707">
        <v>0.96050849999999999</v>
      </c>
      <c r="AB4707">
        <v>26</v>
      </c>
      <c r="AC4707">
        <v>-0.103200000000015</v>
      </c>
      <c r="AD4707">
        <v>-1.0519555079109999</v>
      </c>
      <c r="AE4707">
        <v>-24.973822999999999</v>
      </c>
      <c r="AF4707">
        <v>7.0036553664944297</v>
      </c>
      <c r="AG4707">
        <v>-1.0519555079109999</v>
      </c>
      <c r="AH4707">
        <v>23.925800980147201</v>
      </c>
      <c r="AI4707">
        <v>92.416259482771494</v>
      </c>
      <c r="AJ4707">
        <v>73.683981728712496</v>
      </c>
      <c r="AK4707">
        <v>24.951988927235099</v>
      </c>
      <c r="AL4707">
        <v>79.436770789043905</v>
      </c>
      <c r="AM4707">
        <v>83.206028347539004</v>
      </c>
      <c r="AN4707">
        <v>1.00000003796418</v>
      </c>
    </row>
    <row r="4708" spans="1:40" x14ac:dyDescent="0.25">
      <c r="A4708" t="str">
        <f>"20190304155511758"</f>
        <v>20190304155511758</v>
      </c>
      <c r="B4708" t="str">
        <f>"1551686111752120"</f>
        <v>1551686111752120</v>
      </c>
      <c r="C4708" t="s">
        <v>40</v>
      </c>
      <c r="D4708">
        <v>4.847448</v>
      </c>
      <c r="E4708">
        <v>0.56442369999999897</v>
      </c>
      <c r="F4708" t="s">
        <v>46</v>
      </c>
      <c r="G4708">
        <v>-303.34809999999999</v>
      </c>
      <c r="H4708" s="1">
        <v>-2.5435599999999998E-6</v>
      </c>
      <c r="I4708">
        <v>-26.55837</v>
      </c>
      <c r="J4708">
        <v>-302.76490000000001</v>
      </c>
      <c r="K4708">
        <v>1.052681</v>
      </c>
      <c r="L4708">
        <v>3.1393740000000001</v>
      </c>
      <c r="M4708">
        <v>0.2564321</v>
      </c>
      <c r="N4708">
        <v>-1.140876E-2</v>
      </c>
      <c r="O4708">
        <v>-0.9664952</v>
      </c>
      <c r="P4708">
        <v>0.14951249999999999</v>
      </c>
      <c r="Q4708">
        <v>0.17255789999999999</v>
      </c>
      <c r="R4708">
        <v>-0.97358639999999996</v>
      </c>
      <c r="S4708">
        <v>-4.7821040000000002E-2</v>
      </c>
      <c r="T4708">
        <v>-0.10852630000000001</v>
      </c>
      <c r="U4708">
        <v>-3.1164860000000001</v>
      </c>
      <c r="V4708">
        <v>0.1083987</v>
      </c>
      <c r="W4708">
        <v>0.18182970000000001</v>
      </c>
      <c r="X4708">
        <v>0.97733709999999996</v>
      </c>
      <c r="Y4708">
        <v>0.2711694</v>
      </c>
      <c r="Z4708">
        <v>2.097487E-2</v>
      </c>
      <c r="AA4708">
        <v>0.96230309999999997</v>
      </c>
      <c r="AB4708">
        <v>26</v>
      </c>
      <c r="AC4708">
        <v>-0.58319999999997596</v>
      </c>
      <c r="AD4708">
        <v>-1.0526835435599999</v>
      </c>
      <c r="AE4708">
        <v>-29.697744</v>
      </c>
      <c r="AF4708">
        <v>8.1693843947209999</v>
      </c>
      <c r="AG4708">
        <v>-1.0526835435599999</v>
      </c>
      <c r="AH4708">
        <v>28.519206908240399</v>
      </c>
      <c r="AI4708">
        <v>92.032245748129995</v>
      </c>
      <c r="AJ4708">
        <v>74.015532837087804</v>
      </c>
      <c r="AK4708">
        <v>29.684880776358501</v>
      </c>
      <c r="AL4708">
        <v>79.523647835571595</v>
      </c>
      <c r="AM4708">
        <v>83.671060948385701</v>
      </c>
      <c r="AN4708">
        <v>1.00000006250009</v>
      </c>
    </row>
    <row r="4709" spans="1:40" x14ac:dyDescent="0.25">
      <c r="A4709" t="str">
        <f>"20190304155511786"</f>
        <v>20190304155511786</v>
      </c>
      <c r="B4709" t="str">
        <f>"1551686111782377"</f>
        <v>1551686111782377</v>
      </c>
      <c r="C4709" t="s">
        <v>40</v>
      </c>
      <c r="D4709">
        <v>4.8939180000000002</v>
      </c>
      <c r="E4709">
        <v>0.5632026</v>
      </c>
      <c r="F4709" t="s">
        <v>46</v>
      </c>
      <c r="G4709">
        <v>-303.58760000000001</v>
      </c>
      <c r="H4709" s="1">
        <v>-1.0217749999999901E-6</v>
      </c>
      <c r="I4709">
        <v>-30.254200000000001</v>
      </c>
      <c r="J4709">
        <v>-302.6952</v>
      </c>
      <c r="K4709">
        <v>1.0531429999999999</v>
      </c>
      <c r="L4709">
        <v>2.822632</v>
      </c>
      <c r="M4709">
        <v>0.24470439999999999</v>
      </c>
      <c r="N4709">
        <v>-1.129874E-2</v>
      </c>
      <c r="O4709">
        <v>-0.96953210000000001</v>
      </c>
      <c r="P4709">
        <v>0.1406684</v>
      </c>
      <c r="Q4709">
        <v>0.1724483</v>
      </c>
      <c r="R4709">
        <v>-0.97492299999999998</v>
      </c>
      <c r="S4709">
        <v>-7.6629639999999999E-2</v>
      </c>
      <c r="T4709">
        <v>-9.8054890000000006E-2</v>
      </c>
      <c r="U4709">
        <v>-3.110535</v>
      </c>
      <c r="V4709">
        <v>0.10522239999999999</v>
      </c>
      <c r="W4709">
        <v>0.18178559999999999</v>
      </c>
      <c r="X4709">
        <v>0.97769229999999996</v>
      </c>
      <c r="Y4709">
        <v>0.26845289999999999</v>
      </c>
      <c r="Z4709">
        <v>1.815713E-2</v>
      </c>
      <c r="AA4709">
        <v>0.96312169999999997</v>
      </c>
      <c r="AB4709">
        <v>26</v>
      </c>
      <c r="AC4709">
        <v>-0.89240000000000896</v>
      </c>
      <c r="AD4709">
        <v>-1.0531440217750001</v>
      </c>
      <c r="AE4709">
        <v>-33.076832000000003</v>
      </c>
      <c r="AF4709">
        <v>8.9507597560244498</v>
      </c>
      <c r="AG4709">
        <v>-1.0531440217750001</v>
      </c>
      <c r="AH4709">
        <v>31.820468791456801</v>
      </c>
      <c r="AI4709">
        <v>91.824825443464206</v>
      </c>
      <c r="AJ4709">
        <v>74.289271582225496</v>
      </c>
      <c r="AK4709">
        <v>33.0721551557914</v>
      </c>
      <c r="AL4709">
        <v>79.526216695377897</v>
      </c>
      <c r="AM4709">
        <v>83.857287043346403</v>
      </c>
      <c r="AN4709">
        <v>0.99999999565420505</v>
      </c>
    </row>
    <row r="4710" spans="1:40" x14ac:dyDescent="0.25">
      <c r="A4710" t="str">
        <f>"20190304155511809"</f>
        <v>20190304155511809</v>
      </c>
      <c r="B4710" t="str">
        <f>"1551686111802402"</f>
        <v>1551686111802402</v>
      </c>
      <c r="C4710" t="s">
        <v>40</v>
      </c>
      <c r="D4710">
        <v>4.8766699999999998</v>
      </c>
      <c r="E4710">
        <v>0.56205249999999995</v>
      </c>
      <c r="F4710" t="s">
        <v>46</v>
      </c>
      <c r="G4710">
        <v>-303.64710000000002</v>
      </c>
      <c r="H4710" s="1">
        <v>-1.584094E-6</v>
      </c>
      <c r="I4710">
        <v>-28.980350000000001</v>
      </c>
      <c r="J4710">
        <v>-302.6388</v>
      </c>
      <c r="K4710">
        <v>1.0535559999999999</v>
      </c>
      <c r="L4710">
        <v>2.5552670000000002</v>
      </c>
      <c r="M4710">
        <v>0.2354764</v>
      </c>
      <c r="N4710">
        <v>-1.1209E-2</v>
      </c>
      <c r="O4710">
        <v>-0.97181550000000005</v>
      </c>
      <c r="P4710">
        <v>0.13532060000000001</v>
      </c>
      <c r="Q4710">
        <v>0.17220269999999999</v>
      </c>
      <c r="R4710">
        <v>-0.97572270000000005</v>
      </c>
      <c r="S4710">
        <v>-9.3048099999999995E-2</v>
      </c>
      <c r="T4710">
        <v>-0.1029466</v>
      </c>
      <c r="U4710">
        <v>-3.1087950000000002</v>
      </c>
      <c r="V4710">
        <v>0.1011065</v>
      </c>
      <c r="W4710">
        <v>0.18162239999999999</v>
      </c>
      <c r="X4710">
        <v>0.97815680000000005</v>
      </c>
      <c r="Y4710">
        <v>0.26438699999999998</v>
      </c>
      <c r="Z4710">
        <v>1.9858150000000001E-2</v>
      </c>
      <c r="AA4710">
        <v>0.96421219999999996</v>
      </c>
      <c r="AB4710">
        <v>26</v>
      </c>
      <c r="AC4710">
        <v>-1.00830000000001</v>
      </c>
      <c r="AD4710">
        <v>-1.0535575840939999</v>
      </c>
      <c r="AE4710">
        <v>-31.535616999999998</v>
      </c>
      <c r="AF4710">
        <v>8.3969401530895595</v>
      </c>
      <c r="AG4710">
        <v>-1.0535575840939999</v>
      </c>
      <c r="AH4710">
        <v>30.377408459293299</v>
      </c>
      <c r="AI4710">
        <v>91.914608455912301</v>
      </c>
      <c r="AJ4710">
        <v>74.548106870146</v>
      </c>
      <c r="AK4710">
        <v>31.534196235520501</v>
      </c>
      <c r="AL4710">
        <v>79.535725419591998</v>
      </c>
      <c r="AM4710">
        <v>84.098619034518094</v>
      </c>
      <c r="AN4710">
        <v>0.99999997295512399</v>
      </c>
    </row>
    <row r="4711" spans="1:40" x14ac:dyDescent="0.25">
      <c r="A4711" t="str">
        <f>"20190304155511836"</f>
        <v>20190304155511836</v>
      </c>
      <c r="B4711" t="str">
        <f>"1551686111832658"</f>
        <v>1551686111832658</v>
      </c>
      <c r="C4711" t="s">
        <v>40</v>
      </c>
      <c r="D4711">
        <v>4.8740690000000004</v>
      </c>
      <c r="E4711">
        <v>0.56004919999999903</v>
      </c>
      <c r="F4711" t="s">
        <v>46</v>
      </c>
      <c r="G4711">
        <v>-303.61059999999998</v>
      </c>
      <c r="H4711" s="1">
        <v>-2.1439619999999999E-6</v>
      </c>
      <c r="I4711">
        <v>-27.652650000000001</v>
      </c>
      <c r="J4711">
        <v>-302.57709999999997</v>
      </c>
      <c r="K4711">
        <v>1.054006</v>
      </c>
      <c r="L4711">
        <v>2.2519529999999999</v>
      </c>
      <c r="M4711">
        <v>0.2256832</v>
      </c>
      <c r="N4711">
        <v>-1.111007E-2</v>
      </c>
      <c r="O4711">
        <v>-0.97413749999999999</v>
      </c>
      <c r="P4711">
        <v>0.12928410000000001</v>
      </c>
      <c r="Q4711">
        <v>0.17176250000000001</v>
      </c>
      <c r="R4711">
        <v>-0.9766186</v>
      </c>
      <c r="S4711">
        <v>-9.9975590000000003E-2</v>
      </c>
      <c r="T4711">
        <v>-0.1083846</v>
      </c>
      <c r="U4711">
        <v>-3.1076350000000001</v>
      </c>
      <c r="V4711">
        <v>9.7114989999999998E-2</v>
      </c>
      <c r="W4711">
        <v>0.18125430000000001</v>
      </c>
      <c r="X4711">
        <v>0.97862939999999998</v>
      </c>
      <c r="Y4711">
        <v>0.25682870000000002</v>
      </c>
      <c r="Z4711">
        <v>2.176587E-2</v>
      </c>
      <c r="AA4711">
        <v>0.96621179999999995</v>
      </c>
      <c r="AB4711">
        <v>26</v>
      </c>
      <c r="AC4711">
        <v>-1.0335000000000001</v>
      </c>
      <c r="AD4711">
        <v>-1.0540081439619999</v>
      </c>
      <c r="AE4711">
        <v>-29.904603000000002</v>
      </c>
      <c r="AF4711">
        <v>7.7466036966980596</v>
      </c>
      <c r="AG4711">
        <v>-1.0540081439619999</v>
      </c>
      <c r="AH4711">
        <v>28.863918585257899</v>
      </c>
      <c r="AI4711">
        <v>92.019890902396995</v>
      </c>
      <c r="AJ4711">
        <v>74.976777659785199</v>
      </c>
      <c r="AK4711">
        <v>29.903956228192101</v>
      </c>
      <c r="AL4711">
        <v>79.557171955238204</v>
      </c>
      <c r="AM4711">
        <v>84.332766770148794</v>
      </c>
      <c r="AN4711">
        <v>0.99999997254777395</v>
      </c>
    </row>
    <row r="4712" spans="1:40" x14ac:dyDescent="0.25">
      <c r="A4712" t="str">
        <f>"20190304155511870"</f>
        <v>20190304155511870</v>
      </c>
      <c r="B4712" t="str">
        <f>"1551686111862914"</f>
        <v>1551686111862914</v>
      </c>
      <c r="C4712" t="s">
        <v>40</v>
      </c>
      <c r="D4712">
        <v>4.8382050000000003</v>
      </c>
      <c r="E4712">
        <v>0.55766769999999999</v>
      </c>
      <c r="F4712" t="s">
        <v>46</v>
      </c>
      <c r="G4712">
        <v>-303.52370000000002</v>
      </c>
      <c r="H4712" s="1">
        <v>-2.6901400000000001E-6</v>
      </c>
      <c r="I4712">
        <v>-26.325610000000001</v>
      </c>
      <c r="J4712">
        <v>-302.4991</v>
      </c>
      <c r="K4712">
        <v>1.0546310000000001</v>
      </c>
      <c r="L4712">
        <v>1.8515010000000001</v>
      </c>
      <c r="M4712">
        <v>0.21398120000000001</v>
      </c>
      <c r="N4712">
        <v>-1.098474E-2</v>
      </c>
      <c r="O4712">
        <v>-0.97677590000000003</v>
      </c>
      <c r="P4712">
        <v>0.1231627</v>
      </c>
      <c r="Q4712">
        <v>0.1729762</v>
      </c>
      <c r="R4712">
        <v>-0.97719500000000004</v>
      </c>
      <c r="S4712">
        <v>-0.1028748</v>
      </c>
      <c r="T4712">
        <v>-0.1145415</v>
      </c>
      <c r="U4712">
        <v>-3.105591</v>
      </c>
      <c r="V4712">
        <v>9.1194650000000002E-2</v>
      </c>
      <c r="W4712">
        <v>0.1825667</v>
      </c>
      <c r="X4712">
        <v>0.97895500000000002</v>
      </c>
      <c r="Y4712">
        <v>0.2461401</v>
      </c>
      <c r="Z4712">
        <v>2.3979940000000002E-2</v>
      </c>
      <c r="AA4712">
        <v>0.96893759999999995</v>
      </c>
      <c r="AB4712">
        <v>26</v>
      </c>
      <c r="AC4712">
        <v>-1.0246000000000199</v>
      </c>
      <c r="AD4712">
        <v>-1.05463369014</v>
      </c>
      <c r="AE4712">
        <v>-28.177111</v>
      </c>
      <c r="AF4712">
        <v>7.0207790847629798</v>
      </c>
      <c r="AG4712">
        <v>-1.05463369014</v>
      </c>
      <c r="AH4712">
        <v>27.266980135315901</v>
      </c>
      <c r="AI4712">
        <v>92.145087818674995</v>
      </c>
      <c r="AJ4712">
        <v>75.560957725923103</v>
      </c>
      <c r="AK4712">
        <v>28.176085549223</v>
      </c>
      <c r="AL4712">
        <v>79.480701114862399</v>
      </c>
      <c r="AM4712">
        <v>84.677965166583604</v>
      </c>
      <c r="AN4712">
        <v>0.99999997808125596</v>
      </c>
    </row>
    <row r="4713" spans="1:40" x14ac:dyDescent="0.25">
      <c r="A4713" t="str">
        <f>"20190304155511915"</f>
        <v>20190304155511915</v>
      </c>
      <c r="B4713" t="str">
        <f>"1551686111902463"</f>
        <v>1551686111902463</v>
      </c>
      <c r="C4713" t="s">
        <v>40</v>
      </c>
      <c r="D4713">
        <v>4.8916029999999999</v>
      </c>
      <c r="E4713">
        <v>0.55570010000000003</v>
      </c>
      <c r="F4713" t="s">
        <v>46</v>
      </c>
      <c r="G4713">
        <v>-303.39569999999998</v>
      </c>
      <c r="H4713" s="1">
        <v>-2.8435060000000001E-6</v>
      </c>
      <c r="I4713">
        <v>-25.8887</v>
      </c>
      <c r="J4713">
        <v>-302.40440000000001</v>
      </c>
      <c r="K4713">
        <v>1.0554059999999901</v>
      </c>
      <c r="L4713">
        <v>1.340851</v>
      </c>
      <c r="M4713">
        <v>0.20095199999999999</v>
      </c>
      <c r="N4713">
        <v>-1.0838479999999999E-2</v>
      </c>
      <c r="O4713">
        <v>-0.9795412</v>
      </c>
      <c r="P4713">
        <v>0.1157692</v>
      </c>
      <c r="Q4713">
        <v>0.17438999999999999</v>
      </c>
      <c r="R4713">
        <v>-0.97784749999999998</v>
      </c>
      <c r="S4713">
        <v>-0.10031130000000001</v>
      </c>
      <c r="T4713">
        <v>-0.11799129999999999</v>
      </c>
      <c r="U4713">
        <v>-3.1035460000000001</v>
      </c>
      <c r="V4713">
        <v>8.5173239999999997E-2</v>
      </c>
      <c r="W4713">
        <v>0.18407100000000001</v>
      </c>
      <c r="X4713">
        <v>0.97921570000000002</v>
      </c>
      <c r="Y4713">
        <v>0.23242989999999999</v>
      </c>
      <c r="Z4713">
        <v>2.5429090000000001E-2</v>
      </c>
      <c r="AA4713">
        <v>0.9722807</v>
      </c>
      <c r="AB4713">
        <v>26</v>
      </c>
      <c r="AC4713">
        <v>-0.99129999999996699</v>
      </c>
      <c r="AD4713">
        <v>-1.0554088435059901</v>
      </c>
      <c r="AE4713">
        <v>-27.229551000000001</v>
      </c>
      <c r="AF4713">
        <v>6.4335774753040296</v>
      </c>
      <c r="AG4713">
        <v>-1.0554088435059901</v>
      </c>
      <c r="AH4713">
        <v>26.4351552319444</v>
      </c>
      <c r="AI4713">
        <v>92.221512014969207</v>
      </c>
      <c r="AJ4713">
        <v>76.321726168863904</v>
      </c>
      <c r="AK4713">
        <v>27.227233408752401</v>
      </c>
      <c r="AL4713">
        <v>79.393025504824706</v>
      </c>
      <c r="AM4713">
        <v>85.028862699881898</v>
      </c>
      <c r="AN4713">
        <v>1.00000000048979</v>
      </c>
    </row>
    <row r="4714" spans="1:40" x14ac:dyDescent="0.25">
      <c r="A4714" t="str">
        <f>"20190304155511960"</f>
        <v>20190304155511960</v>
      </c>
      <c r="B4714" t="str">
        <f>"1551686111952238"</f>
        <v>1551686111952238</v>
      </c>
      <c r="C4714" t="s">
        <v>40</v>
      </c>
      <c r="D4714">
        <v>4.9105780000000001</v>
      </c>
      <c r="E4714">
        <v>0.53384100000000001</v>
      </c>
      <c r="F4714" t="s">
        <v>46</v>
      </c>
      <c r="G4714">
        <v>-303.33010000000002</v>
      </c>
      <c r="H4714" s="1">
        <v>-2.740996E-6</v>
      </c>
      <c r="I4714">
        <v>-26.086960000000001</v>
      </c>
      <c r="J4714">
        <v>-302.31240000000003</v>
      </c>
      <c r="K4714">
        <v>1.056317</v>
      </c>
      <c r="L4714">
        <v>0.81994630000000002</v>
      </c>
      <c r="M4714">
        <v>0.188614</v>
      </c>
      <c r="N4714">
        <v>-1.1153069999999999E-2</v>
      </c>
      <c r="O4714">
        <v>-0.98198799999999997</v>
      </c>
      <c r="P4714">
        <v>0.1103056</v>
      </c>
      <c r="Q4714">
        <v>0.17566099999999901</v>
      </c>
      <c r="R4714">
        <v>-0.9782516</v>
      </c>
      <c r="S4714">
        <v>-0.1046753</v>
      </c>
      <c r="T4714">
        <v>-0.1193501</v>
      </c>
      <c r="U4714">
        <v>-3.1016539999999999</v>
      </c>
      <c r="V4714">
        <v>7.7935389999999993E-2</v>
      </c>
      <c r="W4714">
        <v>0.18587790000000001</v>
      </c>
      <c r="X4714">
        <v>0.97947720000000005</v>
      </c>
      <c r="Y4714">
        <v>0.22156719999999999</v>
      </c>
      <c r="Z4714">
        <v>2.5743490000000001E-2</v>
      </c>
      <c r="AA4714">
        <v>0.97480520000000004</v>
      </c>
      <c r="AB4714">
        <v>26</v>
      </c>
      <c r="AC4714">
        <v>-1.0176999999999901</v>
      </c>
      <c r="AD4714">
        <v>-1.0563197409959999</v>
      </c>
      <c r="AE4714">
        <v>-26.906906299999999</v>
      </c>
      <c r="AF4714">
        <v>6.0654312722897403</v>
      </c>
      <c r="AG4714">
        <v>-1.0563197409959999</v>
      </c>
      <c r="AH4714">
        <v>26.191628086330901</v>
      </c>
      <c r="AI4714">
        <v>92.250030354490605</v>
      </c>
      <c r="AJ4714">
        <v>76.961340073870801</v>
      </c>
      <c r="AK4714">
        <v>26.905513370436999</v>
      </c>
      <c r="AL4714">
        <v>79.287680387738206</v>
      </c>
      <c r="AM4714">
        <v>85.450653718576604</v>
      </c>
      <c r="AN4714">
        <v>1.0000000520213399</v>
      </c>
    </row>
    <row r="4715" spans="1:40" x14ac:dyDescent="0.25">
      <c r="A4715" t="str">
        <f>"20190304155511987"</f>
        <v>20190304155511987</v>
      </c>
      <c r="B4715" t="str">
        <f>"1551686111982495"</f>
        <v>1551686111982495</v>
      </c>
      <c r="C4715" t="s">
        <v>40</v>
      </c>
      <c r="D4715">
        <v>4.761139</v>
      </c>
      <c r="E4715">
        <v>0.53242529999999999</v>
      </c>
      <c r="F4715" t="s">
        <v>46</v>
      </c>
      <c r="G4715">
        <v>-301.91489999999999</v>
      </c>
      <c r="H4715" s="1">
        <v>-4.0054720000000001E-6</v>
      </c>
      <c r="I4715">
        <v>-22.24108</v>
      </c>
      <c r="J4715">
        <v>-302.25850000000003</v>
      </c>
      <c r="K4715">
        <v>1.0571079999999999</v>
      </c>
      <c r="L4715">
        <v>0.50585939999999996</v>
      </c>
      <c r="M4715">
        <v>0.18226290000000001</v>
      </c>
      <c r="N4715">
        <v>-1.243727E-2</v>
      </c>
      <c r="O4715">
        <v>-0.98317140000000003</v>
      </c>
      <c r="P4715">
        <v>0.1077018</v>
      </c>
      <c r="Q4715">
        <v>0.17425860000000001</v>
      </c>
      <c r="R4715">
        <v>-0.97879249999999995</v>
      </c>
      <c r="S4715">
        <v>5.3192139999999999E-2</v>
      </c>
      <c r="T4715">
        <v>-0.14135980000000001</v>
      </c>
      <c r="U4715">
        <v>-3.08609</v>
      </c>
      <c r="V4715">
        <v>7.4183440000000003E-2</v>
      </c>
      <c r="W4715">
        <v>0.18580060000000001</v>
      </c>
      <c r="X4715">
        <v>0.97978310000000002</v>
      </c>
      <c r="Y4715">
        <v>0.16525239999999999</v>
      </c>
      <c r="Z4715">
        <v>3.1882790000000001E-2</v>
      </c>
      <c r="AA4715">
        <v>0.98573580000000005</v>
      </c>
      <c r="AB4715">
        <v>26</v>
      </c>
      <c r="AC4715">
        <v>0.34360000000003699</v>
      </c>
      <c r="AD4715">
        <v>-1.057112005472</v>
      </c>
      <c r="AE4715">
        <v>-22.746939399999999</v>
      </c>
      <c r="AF4715">
        <v>3.80019369485046</v>
      </c>
      <c r="AG4715">
        <v>-1.057112005472</v>
      </c>
      <c r="AH4715">
        <v>22.380171742759401</v>
      </c>
      <c r="AI4715">
        <v>92.6662091624423</v>
      </c>
      <c r="AJ4715">
        <v>80.362991479231397</v>
      </c>
      <c r="AK4715">
        <v>22.725119254822399</v>
      </c>
      <c r="AL4715">
        <v>79.292187138132107</v>
      </c>
      <c r="AM4715">
        <v>85.670160206734906</v>
      </c>
      <c r="AN4715">
        <v>0.999999984388101</v>
      </c>
    </row>
    <row r="4716" spans="1:40" x14ac:dyDescent="0.25">
      <c r="A4716" t="str">
        <f>"20190304155512026"</f>
        <v>20190304155512026</v>
      </c>
      <c r="B4716" t="str">
        <f>"1551686112022511"</f>
        <v>1551686112022511</v>
      </c>
      <c r="C4716" t="s">
        <v>40</v>
      </c>
      <c r="D4716">
        <v>4.8900690000000004</v>
      </c>
      <c r="E4716">
        <v>0.53036430000000001</v>
      </c>
      <c r="F4716" t="s">
        <v>46</v>
      </c>
      <c r="G4716">
        <v>-301.85019999999997</v>
      </c>
      <c r="H4716" s="1">
        <v>-4.2061149999999996E-6</v>
      </c>
      <c r="I4716">
        <v>-21.617740000000001</v>
      </c>
      <c r="J4716">
        <v>-302.18529999999998</v>
      </c>
      <c r="K4716">
        <v>1.05799</v>
      </c>
      <c r="L4716">
        <v>6.2713619999999998E-2</v>
      </c>
      <c r="M4716">
        <v>0.1775862</v>
      </c>
      <c r="N4716">
        <v>-1.113724E-2</v>
      </c>
      <c r="O4716">
        <v>-0.98404239999999998</v>
      </c>
      <c r="P4716">
        <v>0.1105302</v>
      </c>
      <c r="Q4716">
        <v>0.174257</v>
      </c>
      <c r="R4716">
        <v>-0.97847729999999999</v>
      </c>
      <c r="S4716">
        <v>5.6945799999999998E-2</v>
      </c>
      <c r="T4716">
        <v>-0.14740739999999999</v>
      </c>
      <c r="U4716">
        <v>-3.084991</v>
      </c>
      <c r="V4716">
        <v>6.6765439999999995E-2</v>
      </c>
      <c r="W4716">
        <v>0.18456069999999999</v>
      </c>
      <c r="X4716">
        <v>0.9805507</v>
      </c>
      <c r="Y4716">
        <v>0.15936220000000001</v>
      </c>
      <c r="Z4716">
        <v>3.517269E-2</v>
      </c>
      <c r="AA4716">
        <v>0.98659339999999995</v>
      </c>
      <c r="AB4716">
        <v>25</v>
      </c>
      <c r="AC4716">
        <v>0.335100000000011</v>
      </c>
      <c r="AD4716">
        <v>-1.0579942061150001</v>
      </c>
      <c r="AE4716">
        <v>-21.680453620000002</v>
      </c>
      <c r="AF4716">
        <v>3.5122524828733699</v>
      </c>
      <c r="AG4716">
        <v>-1.0579942061150001</v>
      </c>
      <c r="AH4716">
        <v>21.344500692401802</v>
      </c>
      <c r="AI4716">
        <v>92.800093226544107</v>
      </c>
      <c r="AJ4716">
        <v>80.655677549808601</v>
      </c>
      <c r="AK4716">
        <v>21.657400099078401</v>
      </c>
      <c r="AL4716">
        <v>79.364478402609294</v>
      </c>
      <c r="AM4716">
        <v>86.104757698793904</v>
      </c>
      <c r="AN4716">
        <v>0.99999997561668597</v>
      </c>
    </row>
    <row r="4717" spans="1:40" x14ac:dyDescent="0.25">
      <c r="A4717" t="str">
        <f>"20190304155512057"</f>
        <v>20190304155512057</v>
      </c>
      <c r="B4717" t="str">
        <f>"1551686112052767"</f>
        <v>1551686112052767</v>
      </c>
      <c r="C4717" t="s">
        <v>40</v>
      </c>
      <c r="D4717">
        <v>4.7771949999999999</v>
      </c>
      <c r="E4717">
        <v>0.52192799999999995</v>
      </c>
      <c r="F4717" t="s">
        <v>46</v>
      </c>
      <c r="G4717">
        <v>-301.60469999999998</v>
      </c>
      <c r="H4717" s="1">
        <v>-4.1824750000000001E-6</v>
      </c>
      <c r="I4717">
        <v>-21.559280000000001</v>
      </c>
      <c r="J4717">
        <v>-302.1277</v>
      </c>
      <c r="K4717">
        <v>1.0598810000000001</v>
      </c>
      <c r="L4717">
        <v>-0.29605100000000001</v>
      </c>
      <c r="M4717">
        <v>0.17332139999999999</v>
      </c>
      <c r="N4717">
        <v>-8.1462329999999993E-3</v>
      </c>
      <c r="O4717">
        <v>-0.98483169999999998</v>
      </c>
      <c r="P4717">
        <v>0.110148</v>
      </c>
      <c r="Q4717">
        <v>0.17622879999999999</v>
      </c>
      <c r="R4717">
        <v>-0.97816720000000001</v>
      </c>
      <c r="S4717">
        <v>8.2794190000000004E-2</v>
      </c>
      <c r="T4717">
        <v>-0.15087970000000001</v>
      </c>
      <c r="U4717">
        <v>-3.0834959999999998</v>
      </c>
      <c r="V4717">
        <v>6.2569620000000006E-2</v>
      </c>
      <c r="W4717">
        <v>0.18371950000000001</v>
      </c>
      <c r="X4717">
        <v>0.98098529999999995</v>
      </c>
      <c r="Y4717">
        <v>0.14681559999999999</v>
      </c>
      <c r="Z4717">
        <v>3.9372299999999999E-2</v>
      </c>
      <c r="AA4717">
        <v>0.98838000000000004</v>
      </c>
      <c r="AB4717">
        <v>26</v>
      </c>
      <c r="AC4717">
        <v>0.523000000000024</v>
      </c>
      <c r="AD4717">
        <v>-1.05988518247499</v>
      </c>
      <c r="AE4717">
        <v>-21.263228999999999</v>
      </c>
      <c r="AF4717">
        <v>3.1625576167131602</v>
      </c>
      <c r="AG4717">
        <v>-1.05988518247499</v>
      </c>
      <c r="AH4717">
        <v>20.979949791947099</v>
      </c>
      <c r="AI4717">
        <v>92.859809511630502</v>
      </c>
      <c r="AJ4717">
        <v>81.427666231822599</v>
      </c>
      <c r="AK4717">
        <v>21.2434324098456</v>
      </c>
      <c r="AL4717">
        <v>79.413514230701907</v>
      </c>
      <c r="AM4717">
        <v>86.350479949698297</v>
      </c>
      <c r="AN4717">
        <v>0.99999998542164203</v>
      </c>
    </row>
    <row r="4718" spans="1:40" x14ac:dyDescent="0.25">
      <c r="A4718" t="str">
        <f>"20190304155512094"</f>
        <v>20190304155512094</v>
      </c>
      <c r="B4718" t="str">
        <f>"1551686112082046"</f>
        <v>1551686112082046</v>
      </c>
      <c r="C4718" t="s">
        <v>40</v>
      </c>
      <c r="D4718">
        <v>4.8464739999999997</v>
      </c>
      <c r="E4718">
        <v>0.5241825</v>
      </c>
      <c r="F4718" t="s">
        <v>46</v>
      </c>
      <c r="G4718">
        <v>-301.06630000000001</v>
      </c>
      <c r="H4718" s="1">
        <v>-3.8298040000000003E-6</v>
      </c>
      <c r="I4718">
        <v>-22.144850000000002</v>
      </c>
      <c r="J4718">
        <v>-302.05959999999999</v>
      </c>
      <c r="K4718">
        <v>1.0632109999999999</v>
      </c>
      <c r="L4718">
        <v>-0.72341919999999904</v>
      </c>
      <c r="M4718">
        <v>0.16714309999999999</v>
      </c>
      <c r="N4718">
        <v>-5.2752479999999997E-3</v>
      </c>
      <c r="O4718">
        <v>-0.98591850000000003</v>
      </c>
      <c r="P4718">
        <v>0.1115102</v>
      </c>
      <c r="Q4718">
        <v>0.1771073</v>
      </c>
      <c r="R4718">
        <v>-0.97785409999999995</v>
      </c>
      <c r="S4718">
        <v>0.1494751</v>
      </c>
      <c r="T4718">
        <v>-0.1492665</v>
      </c>
      <c r="U4718">
        <v>-3.077026</v>
      </c>
      <c r="V4718">
        <v>5.4609030000000003E-2</v>
      </c>
      <c r="W4718">
        <v>0.1819605</v>
      </c>
      <c r="X4718">
        <v>0.98178829999999995</v>
      </c>
      <c r="Y4718">
        <v>0.1191363</v>
      </c>
      <c r="Z4718">
        <v>4.198387E-2</v>
      </c>
      <c r="AA4718">
        <v>0.99198989999999998</v>
      </c>
      <c r="AB4718">
        <v>26</v>
      </c>
      <c r="AC4718">
        <v>0.99329999999997598</v>
      </c>
      <c r="AD4718">
        <v>-1.0632148298040001</v>
      </c>
      <c r="AE4718">
        <v>-21.4214308</v>
      </c>
      <c r="AF4718">
        <v>2.5947893457473401</v>
      </c>
      <c r="AG4718">
        <v>-1.0632148298040001</v>
      </c>
      <c r="AH4718">
        <v>21.233908453613601</v>
      </c>
      <c r="AI4718">
        <v>92.845363946738303</v>
      </c>
      <c r="AJ4718">
        <v>83.032982520387606</v>
      </c>
      <c r="AK4718">
        <v>21.4182685047032</v>
      </c>
      <c r="AL4718">
        <v>79.516025933744203</v>
      </c>
      <c r="AM4718">
        <v>86.816374553173404</v>
      </c>
      <c r="AN4718">
        <v>1.0000000178673401</v>
      </c>
    </row>
    <row r="4719" spans="1:40" x14ac:dyDescent="0.25">
      <c r="A4719" t="str">
        <f>"20190304155512138"</f>
        <v>20190304155512138</v>
      </c>
      <c r="B4719" t="str">
        <f>"1551686112132330"</f>
        <v>1551686112132330</v>
      </c>
      <c r="C4719" t="s">
        <v>40</v>
      </c>
      <c r="D4719">
        <v>4.8300929999999997</v>
      </c>
      <c r="E4719">
        <v>0.52418589999999998</v>
      </c>
      <c r="F4719" t="s">
        <v>46</v>
      </c>
      <c r="G4719">
        <v>-300.90750000000003</v>
      </c>
      <c r="H4719" s="1">
        <v>-1.760504E-6</v>
      </c>
      <c r="I4719">
        <v>-26.869949999999999</v>
      </c>
      <c r="J4719">
        <v>-301.97919999999999</v>
      </c>
      <c r="K4719">
        <v>1.066881</v>
      </c>
      <c r="L4719">
        <v>-1.2370909999999999</v>
      </c>
      <c r="M4719">
        <v>0.1608243</v>
      </c>
      <c r="N4719">
        <v>-2.0929989999999999E-3</v>
      </c>
      <c r="O4719">
        <v>-0.986981</v>
      </c>
      <c r="P4719">
        <v>0.11008220000000001</v>
      </c>
      <c r="Q4719">
        <v>0.18094470000000001</v>
      </c>
      <c r="R4719">
        <v>-0.9773134</v>
      </c>
      <c r="S4719">
        <v>0.13549800000000001</v>
      </c>
      <c r="T4719">
        <v>-0.12504609999999999</v>
      </c>
      <c r="U4719">
        <v>-3.0751339999999998</v>
      </c>
      <c r="V4719">
        <v>4.9440860000000003E-2</v>
      </c>
      <c r="W4719">
        <v>0.18275569999999999</v>
      </c>
      <c r="X4719">
        <v>0.98191450000000002</v>
      </c>
      <c r="Y4719">
        <v>0.1172478</v>
      </c>
      <c r="Z4719">
        <v>3.759469E-2</v>
      </c>
      <c r="AA4719">
        <v>0.99239089999999996</v>
      </c>
      <c r="AB4719">
        <v>26</v>
      </c>
      <c r="AC4719">
        <v>1.0716999999999599</v>
      </c>
      <c r="AD4719">
        <v>-1.0668827605040001</v>
      </c>
      <c r="AE4719">
        <v>-25.632859</v>
      </c>
      <c r="AF4719">
        <v>3.0593546048838798</v>
      </c>
      <c r="AG4719">
        <v>-1.0668827605040001</v>
      </c>
      <c r="AH4719">
        <v>25.427578822622301</v>
      </c>
      <c r="AI4719">
        <v>92.385406503165498</v>
      </c>
      <c r="AJ4719">
        <v>83.139356525630006</v>
      </c>
      <c r="AK4719">
        <v>25.633174875612902</v>
      </c>
      <c r="AL4719">
        <v>79.469687833183102</v>
      </c>
      <c r="AM4719">
        <v>87.117506346031703</v>
      </c>
      <c r="AN4719">
        <v>1.0000000649151299</v>
      </c>
    </row>
    <row r="4720" spans="1:40" x14ac:dyDescent="0.25">
      <c r="A4720" t="str">
        <f>"20190304155512183"</f>
        <v>20190304155512183</v>
      </c>
      <c r="B4720" t="str">
        <f>"1551686112172346"</f>
        <v>1551686112172346</v>
      </c>
      <c r="C4720" t="s">
        <v>40</v>
      </c>
      <c r="D4720">
        <v>4.8429029999999997</v>
      </c>
      <c r="E4720">
        <v>0.52344789999999997</v>
      </c>
      <c r="F4720" t="s">
        <v>46</v>
      </c>
      <c r="G4720">
        <v>-300.68900000000002</v>
      </c>
      <c r="H4720" s="1">
        <v>-3.9453860000000004E-6</v>
      </c>
      <c r="I4720">
        <v>-31.641390000000001</v>
      </c>
      <c r="J4720">
        <v>-301.9008</v>
      </c>
      <c r="K4720">
        <v>1.0702430000000001</v>
      </c>
      <c r="L4720">
        <v>-1.7541500000000001</v>
      </c>
      <c r="M4720">
        <v>0.15521299999999999</v>
      </c>
      <c r="N4720">
        <v>3.4329599999999999E-4</v>
      </c>
      <c r="O4720">
        <v>-0.98788100000000001</v>
      </c>
      <c r="P4720">
        <v>0.1073134</v>
      </c>
      <c r="Q4720">
        <v>0.1823061</v>
      </c>
      <c r="R4720">
        <v>-0.97736809999999996</v>
      </c>
      <c r="S4720">
        <v>0.1304932</v>
      </c>
      <c r="T4720">
        <v>-0.1078987</v>
      </c>
      <c r="U4720">
        <v>-3.0749209999999998</v>
      </c>
      <c r="V4720">
        <v>4.6516170000000003E-2</v>
      </c>
      <c r="W4720">
        <v>0.1817589</v>
      </c>
      <c r="X4720">
        <v>0.98224230000000001</v>
      </c>
      <c r="Y4720">
        <v>0.1132136</v>
      </c>
      <c r="Z4720">
        <v>3.4645509999999997E-2</v>
      </c>
      <c r="AA4720">
        <v>0.99296649999999997</v>
      </c>
      <c r="AB4720">
        <v>26</v>
      </c>
      <c r="AC4720">
        <v>1.21179999999998</v>
      </c>
      <c r="AD4720">
        <v>-1.070246945386</v>
      </c>
      <c r="AE4720">
        <v>-29.887239999999998</v>
      </c>
      <c r="AF4720">
        <v>3.4373735020725702</v>
      </c>
      <c r="AG4720">
        <v>-1.070246945386</v>
      </c>
      <c r="AH4720">
        <v>29.675133902050401</v>
      </c>
      <c r="AI4720">
        <v>92.051795457475194</v>
      </c>
      <c r="AJ4720">
        <v>83.392677501514996</v>
      </c>
      <c r="AK4720">
        <v>29.892717126776599</v>
      </c>
      <c r="AL4720">
        <v>79.5277723908236</v>
      </c>
      <c r="AM4720">
        <v>87.288662380487693</v>
      </c>
      <c r="AN4720">
        <v>0.99999999385498395</v>
      </c>
    </row>
    <row r="4721" spans="1:40" x14ac:dyDescent="0.25">
      <c r="A4721" t="str">
        <f>"20190304155512212"</f>
        <v>20190304155512212</v>
      </c>
      <c r="B4721" t="str">
        <f>"1551686112202602"</f>
        <v>1551686112202602</v>
      </c>
      <c r="C4721" t="s">
        <v>40</v>
      </c>
      <c r="D4721">
        <v>4.8428050000000002</v>
      </c>
      <c r="E4721">
        <v>0.5231363</v>
      </c>
      <c r="F4721" t="s">
        <v>46</v>
      </c>
      <c r="G4721">
        <v>-300.58260000000001</v>
      </c>
      <c r="H4721" s="1">
        <v>-3.0987699999999999E-6</v>
      </c>
      <c r="I4721">
        <v>-33.548949999999998</v>
      </c>
      <c r="J4721">
        <v>-301.8492</v>
      </c>
      <c r="K4721">
        <v>1.0727679999999999</v>
      </c>
      <c r="L4721">
        <v>-2.0980219999999998</v>
      </c>
      <c r="M4721">
        <v>0.1514972</v>
      </c>
      <c r="N4721">
        <v>1.801781E-4</v>
      </c>
      <c r="O4721">
        <v>-0.9884579</v>
      </c>
      <c r="P4721">
        <v>0.10620889999999999</v>
      </c>
      <c r="Q4721">
        <v>0.1816614</v>
      </c>
      <c r="R4721">
        <v>-0.97760899999999995</v>
      </c>
      <c r="S4721">
        <v>0.1274719</v>
      </c>
      <c r="T4721">
        <v>-0.10349990000000001</v>
      </c>
      <c r="U4721">
        <v>-3.0747680000000002</v>
      </c>
      <c r="V4721">
        <v>4.4027730000000001E-2</v>
      </c>
      <c r="W4721">
        <v>0.1812665</v>
      </c>
      <c r="X4721">
        <v>0.98244799999999999</v>
      </c>
      <c r="Y4721">
        <v>0.1104464</v>
      </c>
      <c r="Z4721">
        <v>3.3122739999999998E-2</v>
      </c>
      <c r="AA4721">
        <v>0.99333000000000005</v>
      </c>
      <c r="AB4721">
        <v>26</v>
      </c>
      <c r="AC4721">
        <v>1.26659999999998</v>
      </c>
      <c r="AD4721">
        <v>-1.0727710987700001</v>
      </c>
      <c r="AE4721">
        <v>-31.450928000000001</v>
      </c>
      <c r="AF4721">
        <v>3.5086704648465101</v>
      </c>
      <c r="AG4721">
        <v>-1.0727710987700001</v>
      </c>
      <c r="AH4721">
        <v>31.243506647708799</v>
      </c>
      <c r="AI4721">
        <v>91.954249662054906</v>
      </c>
      <c r="AJ4721">
        <v>83.592484785128804</v>
      </c>
      <c r="AK4721">
        <v>31.458199470196401</v>
      </c>
      <c r="AL4721">
        <v>79.5564617674722</v>
      </c>
      <c r="AM4721">
        <v>87.434045965738093</v>
      </c>
      <c r="AN4721">
        <v>1.0000000288676001</v>
      </c>
    </row>
    <row r="4722" spans="1:40" x14ac:dyDescent="0.25">
      <c r="A4722" t="str">
        <f>"20190304155512234"</f>
        <v>20190304155512234</v>
      </c>
      <c r="B4722" t="str">
        <f>"1551686112222122"</f>
        <v>1551686112222122</v>
      </c>
      <c r="C4722" t="s">
        <v>40</v>
      </c>
      <c r="D4722">
        <v>4.8651859999999996</v>
      </c>
      <c r="E4722">
        <v>0.52293239999999996</v>
      </c>
      <c r="F4722" t="s">
        <v>46</v>
      </c>
      <c r="G4722">
        <v>-300.5523</v>
      </c>
      <c r="H4722" s="1">
        <v>-2.8290820000000001E-6</v>
      </c>
      <c r="I4722">
        <v>-34.158799999999999</v>
      </c>
      <c r="J4722">
        <v>-301.81139999999999</v>
      </c>
      <c r="K4722">
        <v>1.0748249999999999</v>
      </c>
      <c r="L4722">
        <v>-2.3564759999999998</v>
      </c>
      <c r="M4722">
        <v>0.14983060000000001</v>
      </c>
      <c r="N4722">
        <v>-1.673624E-4</v>
      </c>
      <c r="O4722">
        <v>-0.98871189999999998</v>
      </c>
      <c r="P4722">
        <v>0.1067241</v>
      </c>
      <c r="Q4722">
        <v>0.18129190000000001</v>
      </c>
      <c r="R4722">
        <v>-0.97762150000000003</v>
      </c>
      <c r="S4722">
        <v>0.1243591</v>
      </c>
      <c r="T4722">
        <v>-0.1028681</v>
      </c>
      <c r="U4722">
        <v>-3.0743100000000001</v>
      </c>
      <c r="V4722">
        <v>4.2000849999999999E-2</v>
      </c>
      <c r="W4722">
        <v>0.18121780000000001</v>
      </c>
      <c r="X4722">
        <v>0.98254569999999997</v>
      </c>
      <c r="Y4722">
        <v>0.1097675</v>
      </c>
      <c r="Z4722">
        <v>3.2595099999999898E-2</v>
      </c>
      <c r="AA4722">
        <v>0.99342269999999999</v>
      </c>
      <c r="AB4722">
        <v>26</v>
      </c>
      <c r="AC4722">
        <v>1.2590999999999799</v>
      </c>
      <c r="AD4722">
        <v>-1.0748278290819999</v>
      </c>
      <c r="AE4722">
        <v>-31.802323999999999</v>
      </c>
      <c r="AF4722">
        <v>3.51606344836993</v>
      </c>
      <c r="AG4722">
        <v>-1.0748278290819999</v>
      </c>
      <c r="AH4722">
        <v>31.595947197007899</v>
      </c>
      <c r="AI4722">
        <v>91.936387135882001</v>
      </c>
      <c r="AJ4722">
        <v>83.650130802797804</v>
      </c>
      <c r="AK4722">
        <v>31.8091470541296</v>
      </c>
      <c r="AL4722">
        <v>79.559298836242405</v>
      </c>
      <c r="AM4722">
        <v>87.552269312746802</v>
      </c>
      <c r="AN4722">
        <v>1.00000000751302</v>
      </c>
    </row>
    <row r="4723" spans="1:40" x14ac:dyDescent="0.25">
      <c r="A4723" t="str">
        <f>"20190304155512259"</f>
        <v>20190304155512259</v>
      </c>
      <c r="B4723" t="str">
        <f>"1551686112252377"</f>
        <v>1551686112252377</v>
      </c>
      <c r="C4723" t="s">
        <v>40</v>
      </c>
      <c r="D4723">
        <v>4.8715510000000002</v>
      </c>
      <c r="E4723">
        <v>0.5224453</v>
      </c>
      <c r="F4723" t="s">
        <v>46</v>
      </c>
      <c r="G4723">
        <v>-300.48939999999999</v>
      </c>
      <c r="H4723" s="1">
        <v>-2.6771869999999998E-6</v>
      </c>
      <c r="I4723">
        <v>-34.473849999999999</v>
      </c>
      <c r="J4723">
        <v>-301.7713</v>
      </c>
      <c r="K4723">
        <v>1.077402</v>
      </c>
      <c r="L4723">
        <v>-2.6366879999999999</v>
      </c>
      <c r="M4723">
        <v>0.14847289999999999</v>
      </c>
      <c r="N4723">
        <v>-2.8157159999999998E-4</v>
      </c>
      <c r="O4723">
        <v>-0.98891669999999998</v>
      </c>
      <c r="P4723">
        <v>0.1074474</v>
      </c>
      <c r="Q4723">
        <v>0.18095639999999999</v>
      </c>
      <c r="R4723">
        <v>-0.97760429999999998</v>
      </c>
      <c r="S4723">
        <v>0.1265259</v>
      </c>
      <c r="T4723">
        <v>-0.1028714</v>
      </c>
      <c r="U4723">
        <v>-3.073944</v>
      </c>
      <c r="V4723">
        <v>3.999631E-2</v>
      </c>
      <c r="W4723">
        <v>0.18099270000000001</v>
      </c>
      <c r="X4723">
        <v>0.98267079999999996</v>
      </c>
      <c r="Y4723">
        <v>0.1076983</v>
      </c>
      <c r="Z4723">
        <v>3.249983E-2</v>
      </c>
      <c r="AA4723">
        <v>0.99365230000000004</v>
      </c>
      <c r="AB4723">
        <v>26</v>
      </c>
      <c r="AC4723">
        <v>1.2819</v>
      </c>
      <c r="AD4723">
        <v>-1.0774046771870001</v>
      </c>
      <c r="AE4723">
        <v>-31.837161999999999</v>
      </c>
      <c r="AF4723">
        <v>3.45531200005026</v>
      </c>
      <c r="AG4723">
        <v>-1.0774046771870001</v>
      </c>
      <c r="AH4723">
        <v>31.6384472553747</v>
      </c>
      <c r="AI4723">
        <v>91.938857288919394</v>
      </c>
      <c r="AJ4723">
        <v>83.767289751230294</v>
      </c>
      <c r="AK4723">
        <v>31.8448006209372</v>
      </c>
      <c r="AL4723">
        <v>79.572412703245803</v>
      </c>
      <c r="AM4723">
        <v>87.669254479472997</v>
      </c>
      <c r="AN4723">
        <v>0.999999981719772</v>
      </c>
    </row>
    <row r="4724" spans="1:40" x14ac:dyDescent="0.25">
      <c r="A4724" t="str">
        <f>"20190304155512296"</f>
        <v>20190304155512296</v>
      </c>
      <c r="B4724" t="str">
        <f>"1551686112292394"</f>
        <v>1551686112292394</v>
      </c>
      <c r="C4724" t="s">
        <v>40</v>
      </c>
      <c r="D4724">
        <v>4.8399700000000001</v>
      </c>
      <c r="E4724">
        <v>0.52172089999999904</v>
      </c>
      <c r="F4724" t="s">
        <v>46</v>
      </c>
      <c r="G4724">
        <v>-300.36939999999998</v>
      </c>
      <c r="H4724" s="1">
        <v>-2.35241E-6</v>
      </c>
      <c r="I4724">
        <v>-35.156480000000002</v>
      </c>
      <c r="J4724">
        <v>-301.71089999999998</v>
      </c>
      <c r="K4724">
        <v>1.0821350000000001</v>
      </c>
      <c r="L4724">
        <v>-3.0690919999999999</v>
      </c>
      <c r="M4724">
        <v>0.145374799999999</v>
      </c>
      <c r="N4724">
        <v>-6.3696010000000003E-4</v>
      </c>
      <c r="O4724">
        <v>-0.98937649999999999</v>
      </c>
      <c r="P4724">
        <v>0.10803400000000001</v>
      </c>
      <c r="Q4724">
        <v>0.18177889999999999</v>
      </c>
      <c r="R4724">
        <v>-0.97738689999999995</v>
      </c>
      <c r="S4724">
        <v>0.13247679999999901</v>
      </c>
      <c r="T4724">
        <v>-0.1018116</v>
      </c>
      <c r="U4724">
        <v>-3.073029</v>
      </c>
      <c r="V4724">
        <v>3.6198590000000003E-2</v>
      </c>
      <c r="W4724">
        <v>0.1822095</v>
      </c>
      <c r="X4724">
        <v>0.98259319999999895</v>
      </c>
      <c r="Y4724">
        <v>0.1026487</v>
      </c>
      <c r="Z4724">
        <v>3.1848439999999999E-2</v>
      </c>
      <c r="AA4724">
        <v>0.99420770000000003</v>
      </c>
      <c r="AB4724">
        <v>26</v>
      </c>
      <c r="AC4724">
        <v>1.3414999999999899</v>
      </c>
      <c r="AD4724">
        <v>-1.08213735241</v>
      </c>
      <c r="AE4724">
        <v>-32.087387999999997</v>
      </c>
      <c r="AF4724">
        <v>3.3336646090345199</v>
      </c>
      <c r="AG4724">
        <v>-1.08213735241</v>
      </c>
      <c r="AH4724">
        <v>31.905308512651899</v>
      </c>
      <c r="AI4724">
        <v>91.932055461742294</v>
      </c>
      <c r="AJ4724">
        <v>84.035025863661801</v>
      </c>
      <c r="AK4724">
        <v>32.097243686374497</v>
      </c>
      <c r="AL4724">
        <v>79.501516735577098</v>
      </c>
      <c r="AM4724">
        <v>87.890185966623307</v>
      </c>
      <c r="AN4724">
        <v>1.0000000182472299</v>
      </c>
    </row>
    <row r="4725" spans="1:40" x14ac:dyDescent="0.25">
      <c r="A4725" t="str">
        <f>"20190304155512339"</f>
        <v>20190304155512339</v>
      </c>
      <c r="B4725" t="str">
        <f>"1551686112332410"</f>
        <v>1551686112332410</v>
      </c>
      <c r="C4725" t="s">
        <v>40</v>
      </c>
      <c r="D4725">
        <v>4.7241470000000003</v>
      </c>
      <c r="E4725">
        <v>0.52222309999999905</v>
      </c>
      <c r="F4725" t="s">
        <v>46</v>
      </c>
      <c r="G4725">
        <v>-300.18220000000002</v>
      </c>
      <c r="H4725" s="1">
        <v>-1.652481E-6</v>
      </c>
      <c r="I4725">
        <v>-36.671900000000001</v>
      </c>
      <c r="J4725">
        <v>-301.64069999999998</v>
      </c>
      <c r="K4725">
        <v>1.087845</v>
      </c>
      <c r="L4725">
        <v>-3.5828250000000001</v>
      </c>
      <c r="M4725">
        <v>0.14083809999999999</v>
      </c>
      <c r="N4725">
        <v>-1.8227849999999999E-3</v>
      </c>
      <c r="O4725">
        <v>-0.9900312</v>
      </c>
      <c r="P4725">
        <v>0.1058456</v>
      </c>
      <c r="Q4725">
        <v>0.18065419999999999</v>
      </c>
      <c r="R4725">
        <v>-0.97783489999999995</v>
      </c>
      <c r="S4725">
        <v>0.13977049999999999</v>
      </c>
      <c r="T4725">
        <v>-9.894145E-2</v>
      </c>
      <c r="U4725">
        <v>-3.0723569999999998</v>
      </c>
      <c r="V4725">
        <v>3.3750629999999997E-2</v>
      </c>
      <c r="W4725">
        <v>0.18229480000000001</v>
      </c>
      <c r="X4725">
        <v>0.98266450000000005</v>
      </c>
      <c r="Y4725">
        <v>9.5717070000000001E-2</v>
      </c>
      <c r="Z4725">
        <v>2.9800190000000001E-2</v>
      </c>
      <c r="AA4725">
        <v>0.99496240000000002</v>
      </c>
      <c r="AB4725">
        <v>26</v>
      </c>
      <c r="AC4725">
        <v>1.4584999999999499</v>
      </c>
      <c r="AD4725">
        <v>-1.087846652481</v>
      </c>
      <c r="AE4725">
        <v>-33.089075000000001</v>
      </c>
      <c r="AF4725">
        <v>3.21278073004388</v>
      </c>
      <c r="AG4725">
        <v>-1.087846652481</v>
      </c>
      <c r="AH4725">
        <v>32.929153500185798</v>
      </c>
      <c r="AI4725">
        <v>91.883198160980697</v>
      </c>
      <c r="AJ4725">
        <v>84.427491284594595</v>
      </c>
      <c r="AK4725">
        <v>33.1033913760728</v>
      </c>
      <c r="AL4725">
        <v>79.496546063019395</v>
      </c>
      <c r="AM4725">
        <v>88.032890368505207</v>
      </c>
      <c r="AN4725">
        <v>1.0000000093463399</v>
      </c>
    </row>
    <row r="4726" spans="1:40" x14ac:dyDescent="0.25">
      <c r="A4726" t="str">
        <f>"20190304155512369"</f>
        <v>20190304155512369</v>
      </c>
      <c r="B4726" t="str">
        <f>"1551686112362666"</f>
        <v>1551686112362666</v>
      </c>
      <c r="C4726" t="s">
        <v>40</v>
      </c>
      <c r="D4726">
        <v>4.7090079999999999</v>
      </c>
      <c r="E4726">
        <v>0.52305990000000002</v>
      </c>
      <c r="F4726" t="s">
        <v>46</v>
      </c>
      <c r="G4726">
        <v>-300.19459999999998</v>
      </c>
      <c r="H4726" s="1">
        <v>-1.267417E-6</v>
      </c>
      <c r="I4726">
        <v>-37.577219999999997</v>
      </c>
      <c r="J4726">
        <v>-301.59379999999999</v>
      </c>
      <c r="K4726">
        <v>1.091272</v>
      </c>
      <c r="L4726">
        <v>-3.9356689999999999</v>
      </c>
      <c r="M4726">
        <v>0.13796</v>
      </c>
      <c r="N4726">
        <v>-2.7796969999999998E-3</v>
      </c>
      <c r="O4726">
        <v>-0.99043400000000004</v>
      </c>
      <c r="P4726">
        <v>0.1033685</v>
      </c>
      <c r="Q4726">
        <v>0.17896049999999999</v>
      </c>
      <c r="R4726">
        <v>-0.97841129999999998</v>
      </c>
      <c r="S4726">
        <v>0.1306763</v>
      </c>
      <c r="T4726">
        <v>-9.830701E-2</v>
      </c>
      <c r="U4726">
        <v>-3.0720209999999999</v>
      </c>
      <c r="V4726">
        <v>3.3374750000000002E-2</v>
      </c>
      <c r="W4726">
        <v>0.18155260000000001</v>
      </c>
      <c r="X4726">
        <v>0.98281470000000004</v>
      </c>
      <c r="Y4726">
        <v>9.5755989999999999E-2</v>
      </c>
      <c r="Z4726">
        <v>2.8668260000000001E-2</v>
      </c>
      <c r="AA4726">
        <v>0.99499190000000004</v>
      </c>
      <c r="AB4726">
        <v>27</v>
      </c>
      <c r="AC4726">
        <v>1.3992</v>
      </c>
      <c r="AD4726">
        <v>-1.091273267417</v>
      </c>
      <c r="AE4726">
        <v>-33.641551</v>
      </c>
      <c r="AF4726">
        <v>3.2519694349023598</v>
      </c>
      <c r="AG4726">
        <v>-1.091273267417</v>
      </c>
      <c r="AH4726">
        <v>33.477729940349498</v>
      </c>
      <c r="AI4726">
        <v>91.858268525374498</v>
      </c>
      <c r="AJ4726">
        <v>84.451792945878793</v>
      </c>
      <c r="AK4726">
        <v>33.653002607623101</v>
      </c>
      <c r="AL4726">
        <v>79.539792325766001</v>
      </c>
      <c r="AM4726">
        <v>88.055078151085894</v>
      </c>
      <c r="AN4726">
        <v>0.99999997752020597</v>
      </c>
    </row>
    <row r="4727" spans="1:40" x14ac:dyDescent="0.25">
      <c r="A4727" t="str">
        <f>"20190304155512406"</f>
        <v>20190304155512406</v>
      </c>
      <c r="B4727" t="str">
        <f>"1551686112402682"</f>
        <v>1551686112402682</v>
      </c>
      <c r="C4727" t="s">
        <v>40</v>
      </c>
      <c r="D4727">
        <v>4.708145</v>
      </c>
      <c r="E4727">
        <v>0.52388049999999997</v>
      </c>
      <c r="F4727" t="s">
        <v>46</v>
      </c>
      <c r="G4727">
        <v>-300.30439999999999</v>
      </c>
      <c r="H4727" s="1">
        <v>-1.3230300000000001E-6</v>
      </c>
      <c r="I4727">
        <v>-37.515700000000002</v>
      </c>
      <c r="J4727">
        <v>-301.5367</v>
      </c>
      <c r="K4727">
        <v>1.0949340000000001</v>
      </c>
      <c r="L4727">
        <v>-4.3762819999999998</v>
      </c>
      <c r="M4727">
        <v>0.1345219</v>
      </c>
      <c r="N4727">
        <v>-3.955592E-3</v>
      </c>
      <c r="O4727">
        <v>-0.99090279999999997</v>
      </c>
      <c r="P4727">
        <v>0.1016823</v>
      </c>
      <c r="Q4727">
        <v>0.17235500000000001</v>
      </c>
      <c r="R4727">
        <v>-0.9797728</v>
      </c>
      <c r="S4727">
        <v>0.1179504</v>
      </c>
      <c r="T4727">
        <v>-9.9832530000000003E-2</v>
      </c>
      <c r="U4727">
        <v>-3.0719910000000001</v>
      </c>
      <c r="V4727">
        <v>3.177907E-2</v>
      </c>
      <c r="W4727">
        <v>0.176117</v>
      </c>
      <c r="X4727">
        <v>0.98385610000000001</v>
      </c>
      <c r="Y4727">
        <v>9.6413540000000006E-2</v>
      </c>
      <c r="Z4727">
        <v>2.8007210000000001E-2</v>
      </c>
      <c r="AA4727">
        <v>0.99494729999999998</v>
      </c>
      <c r="AB4727">
        <v>27</v>
      </c>
      <c r="AC4727">
        <v>1.2323</v>
      </c>
      <c r="AD4727">
        <v>-1.0949353230299901</v>
      </c>
      <c r="AE4727">
        <v>-33.139417999999999</v>
      </c>
      <c r="AF4727">
        <v>3.2333881542630998</v>
      </c>
      <c r="AG4727">
        <v>-1.0949353230299901</v>
      </c>
      <c r="AH4727">
        <v>32.968029031068802</v>
      </c>
      <c r="AI4727">
        <v>91.893133642645594</v>
      </c>
      <c r="AJ4727">
        <v>84.398546057077695</v>
      </c>
      <c r="AK4727">
        <v>33.144299970147799</v>
      </c>
      <c r="AL4727">
        <v>79.856332501254698</v>
      </c>
      <c r="AM4727">
        <v>88.14995937562</v>
      </c>
      <c r="AN4727">
        <v>0.99999996624313603</v>
      </c>
    </row>
    <row r="4728" spans="1:40" x14ac:dyDescent="0.25">
      <c r="A4728" t="str">
        <f>"20190304155512434"</f>
        <v>20190304155512434</v>
      </c>
      <c r="B4728" t="str">
        <f>"1551686112422202"</f>
        <v>1551686112422202</v>
      </c>
      <c r="C4728" t="s">
        <v>40</v>
      </c>
      <c r="D4728">
        <v>4.6221199999999998</v>
      </c>
      <c r="E4728">
        <v>0.52412049999999999</v>
      </c>
      <c r="F4728" t="s">
        <v>46</v>
      </c>
      <c r="G4728">
        <v>-300.56450000000001</v>
      </c>
      <c r="H4728" s="1">
        <v>-3.2518240000000002E-6</v>
      </c>
      <c r="I4728">
        <v>-33.180929999999996</v>
      </c>
      <c r="J4728">
        <v>-301.49329999999998</v>
      </c>
      <c r="K4728">
        <v>1.0973299999999999</v>
      </c>
      <c r="L4728">
        <v>-4.7201839999999997</v>
      </c>
      <c r="M4728">
        <v>0.13174629999999901</v>
      </c>
      <c r="N4728">
        <v>-4.8013719999999999E-3</v>
      </c>
      <c r="O4728">
        <v>-0.99127200000000004</v>
      </c>
      <c r="P4728">
        <v>0.10012600000000001</v>
      </c>
      <c r="Q4728">
        <v>0.17013320000000001</v>
      </c>
      <c r="R4728">
        <v>-0.9803212</v>
      </c>
      <c r="S4728">
        <v>0.1036682</v>
      </c>
      <c r="T4728">
        <v>-0.1167637</v>
      </c>
      <c r="U4728">
        <v>-3.0717159999999999</v>
      </c>
      <c r="V4728">
        <v>3.0629529999999999E-2</v>
      </c>
      <c r="W4728">
        <v>0.17473449999999999</v>
      </c>
      <c r="X4728">
        <v>0.98413910000000004</v>
      </c>
      <c r="Y4728">
        <v>9.8244529999999997E-2</v>
      </c>
      <c r="Z4728">
        <v>3.2598799999999997E-2</v>
      </c>
      <c r="AA4728">
        <v>0.99462830000000002</v>
      </c>
      <c r="AB4728">
        <v>27</v>
      </c>
      <c r="AC4728">
        <v>0.92879999999996699</v>
      </c>
      <c r="AD4728">
        <v>-1.097333251824</v>
      </c>
      <c r="AE4728">
        <v>-28.460746</v>
      </c>
      <c r="AF4728">
        <v>2.8247420033057602</v>
      </c>
      <c r="AG4728">
        <v>-1.097333251824</v>
      </c>
      <c r="AH4728">
        <v>28.293013946755199</v>
      </c>
      <c r="AI4728">
        <v>92.210104056427298</v>
      </c>
      <c r="AJ4728">
        <v>84.298548749388601</v>
      </c>
      <c r="AK4728">
        <v>28.454840464182599</v>
      </c>
      <c r="AL4728">
        <v>79.936792391919198</v>
      </c>
      <c r="AM4728">
        <v>88.217349068100901</v>
      </c>
      <c r="AN4728">
        <v>1.0000000408735299</v>
      </c>
    </row>
    <row r="4729" spans="1:40" x14ac:dyDescent="0.25">
      <c r="A4729" t="str">
        <f>"20190304155512474"</f>
        <v>20190304155512474</v>
      </c>
      <c r="B4729" t="str">
        <f>"1551686112462218"</f>
        <v>1551686112462218</v>
      </c>
      <c r="C4729" t="s">
        <v>40</v>
      </c>
      <c r="D4729">
        <v>4.7372949999999996</v>
      </c>
      <c r="E4729">
        <v>0.52451429999999999</v>
      </c>
      <c r="F4729" t="s">
        <v>46</v>
      </c>
      <c r="G4729">
        <v>-300.6395</v>
      </c>
      <c r="H4729" s="1">
        <v>-3.6493200000000001E-6</v>
      </c>
      <c r="I4729">
        <v>-32.300829999999998</v>
      </c>
      <c r="J4729">
        <v>-301.43529999999998</v>
      </c>
      <c r="K4729">
        <v>1.100014</v>
      </c>
      <c r="L4729">
        <v>-5.1943659999999996</v>
      </c>
      <c r="M4729">
        <v>0.12764159999999999</v>
      </c>
      <c r="N4729">
        <v>-5.8232240000000001E-3</v>
      </c>
      <c r="O4729">
        <v>-0.9918034</v>
      </c>
      <c r="P4729">
        <v>9.7873249999999995E-2</v>
      </c>
      <c r="Q4729">
        <v>0.16920569999999999</v>
      </c>
      <c r="R4729">
        <v>-0.98070939999999995</v>
      </c>
      <c r="S4729">
        <v>9.5092769999999993E-2</v>
      </c>
      <c r="T4729">
        <v>-0.1222124</v>
      </c>
      <c r="U4729">
        <v>-3.0717159999999999</v>
      </c>
      <c r="V4729">
        <v>2.8851330000000001E-2</v>
      </c>
      <c r="W4729">
        <v>0.174819</v>
      </c>
      <c r="X4729">
        <v>0.98417779999999999</v>
      </c>
      <c r="Y4729">
        <v>9.6897289999999997E-2</v>
      </c>
      <c r="Z4729">
        <v>3.3356940000000002E-2</v>
      </c>
      <c r="AA4729">
        <v>0.99473520000000004</v>
      </c>
      <c r="AB4729">
        <v>27</v>
      </c>
      <c r="AC4729">
        <v>0.79579999999998496</v>
      </c>
      <c r="AD4729">
        <v>-1.10001764932</v>
      </c>
      <c r="AE4729">
        <v>-27.1064639999999</v>
      </c>
      <c r="AF4729">
        <v>2.66629300924847</v>
      </c>
      <c r="AG4729">
        <v>-1.10001764932</v>
      </c>
      <c r="AH4729">
        <v>26.941983078079101</v>
      </c>
      <c r="AI4729">
        <v>92.326684713115995</v>
      </c>
      <c r="AJ4729">
        <v>84.348169700187299</v>
      </c>
      <c r="AK4729">
        <v>27.0959334480191</v>
      </c>
      <c r="AL4729">
        <v>79.931874920337094</v>
      </c>
      <c r="AM4729">
        <v>88.320845936875997</v>
      </c>
      <c r="AN4729">
        <v>1.0000000120082999</v>
      </c>
    </row>
    <row r="4730" spans="1:40" x14ac:dyDescent="0.25">
      <c r="A4730" t="str">
        <f>"20190304155512529"</f>
        <v>20190304155512529</v>
      </c>
      <c r="B4730" t="str">
        <f>"1551686112522730"</f>
        <v>1551686112522730</v>
      </c>
      <c r="C4730" t="s">
        <v>40</v>
      </c>
      <c r="D4730">
        <v>4.894857</v>
      </c>
      <c r="E4730">
        <v>0.52422659999999999</v>
      </c>
      <c r="F4730" t="s">
        <v>46</v>
      </c>
      <c r="G4730">
        <v>-300.68040000000002</v>
      </c>
      <c r="H4730" s="1">
        <v>-3.261109E-6</v>
      </c>
      <c r="I4730">
        <v>-33.231160000000003</v>
      </c>
      <c r="J4730">
        <v>-301.35890000000001</v>
      </c>
      <c r="K4730">
        <v>1.102598</v>
      </c>
      <c r="L4730">
        <v>-5.8516539999999999</v>
      </c>
      <c r="M4730">
        <v>0.1213144</v>
      </c>
      <c r="N4730">
        <v>-6.9555140000000003E-3</v>
      </c>
      <c r="O4730">
        <v>-0.99258979999999997</v>
      </c>
      <c r="P4730">
        <v>9.2863940000000006E-2</v>
      </c>
      <c r="Q4730">
        <v>0.16793259999999999</v>
      </c>
      <c r="R4730">
        <v>-0.98141509999999998</v>
      </c>
      <c r="S4730">
        <v>8.2702639999999994E-2</v>
      </c>
      <c r="T4730">
        <v>-0.1205121</v>
      </c>
      <c r="U4730">
        <v>-3.071564</v>
      </c>
      <c r="V4730">
        <v>2.7701010000000002E-2</v>
      </c>
      <c r="W4730">
        <v>0.17465520000000001</v>
      </c>
      <c r="X4730">
        <v>0.98423989999999995</v>
      </c>
      <c r="Y4730">
        <v>9.4554910000000006E-2</v>
      </c>
      <c r="Z4730">
        <v>3.1736069999999998E-2</v>
      </c>
      <c r="AA4730">
        <v>0.9950137</v>
      </c>
      <c r="AB4730">
        <v>27</v>
      </c>
      <c r="AC4730">
        <v>0.678499999999985</v>
      </c>
      <c r="AD4730">
        <v>-1.1026012611089999</v>
      </c>
      <c r="AE4730">
        <v>-27.379505999999999</v>
      </c>
      <c r="AF4730">
        <v>2.6438350969496098</v>
      </c>
      <c r="AG4730">
        <v>-1.1026012611089999</v>
      </c>
      <c r="AH4730">
        <v>27.215478802088001</v>
      </c>
      <c r="AI4730">
        <v>92.309140138449607</v>
      </c>
      <c r="AJ4730">
        <v>84.451438337568604</v>
      </c>
      <c r="AK4730">
        <v>27.365815902102501</v>
      </c>
      <c r="AL4730">
        <v>79.941406315926301</v>
      </c>
      <c r="AM4730">
        <v>88.387860428526295</v>
      </c>
      <c r="AN4730">
        <v>0.99999998279703395</v>
      </c>
    </row>
    <row r="4731" spans="1:40" x14ac:dyDescent="0.25">
      <c r="A4731" t="str">
        <f>"20190304155512562"</f>
        <v>20190304155512562</v>
      </c>
      <c r="B4731" t="str">
        <f>"1551686112552986"</f>
        <v>1551686112552986</v>
      </c>
      <c r="C4731" t="s">
        <v>40</v>
      </c>
      <c r="D4731">
        <v>4.7245929999999996</v>
      </c>
      <c r="E4731">
        <v>0.52434780000000003</v>
      </c>
      <c r="F4731" t="s">
        <v>46</v>
      </c>
      <c r="G4731">
        <v>-300.76690000000002</v>
      </c>
      <c r="H4731" s="1">
        <v>-3.3044160000000001E-6</v>
      </c>
      <c r="I4731">
        <v>-33.183860000000003</v>
      </c>
      <c r="J4731">
        <v>-301.31450000000001</v>
      </c>
      <c r="K4731">
        <v>1.103731</v>
      </c>
      <c r="L4731">
        <v>-6.2543030000000002</v>
      </c>
      <c r="M4731">
        <v>0.1171061</v>
      </c>
      <c r="N4731">
        <v>-7.4923150000000003E-3</v>
      </c>
      <c r="O4731">
        <v>-0.99309139999999996</v>
      </c>
      <c r="P4731">
        <v>9.0150800000000003E-2</v>
      </c>
      <c r="Q4731">
        <v>0.16491430000000001</v>
      </c>
      <c r="R4731">
        <v>-0.98217960000000004</v>
      </c>
      <c r="S4731">
        <v>6.6528320000000002E-2</v>
      </c>
      <c r="T4731">
        <v>-0.12391530000000001</v>
      </c>
      <c r="U4731">
        <v>-3.0717159999999999</v>
      </c>
      <c r="V4731">
        <v>2.6348739999999999E-2</v>
      </c>
      <c r="W4731">
        <v>0.1721676</v>
      </c>
      <c r="X4731">
        <v>0.98471520000000001</v>
      </c>
      <c r="Y4731">
        <v>9.5571610000000001E-2</v>
      </c>
      <c r="Z4731">
        <v>3.2317489999999997E-2</v>
      </c>
      <c r="AA4731">
        <v>0.99489780000000005</v>
      </c>
      <c r="AB4731">
        <v>27</v>
      </c>
      <c r="AC4731">
        <v>0.54759999999998799</v>
      </c>
      <c r="AD4731">
        <v>-1.103734304416</v>
      </c>
      <c r="AE4731">
        <v>-26.929556999999999</v>
      </c>
      <c r="AF4731">
        <v>2.60549610711645</v>
      </c>
      <c r="AG4731">
        <v>-1.103734304416</v>
      </c>
      <c r="AH4731">
        <v>26.763444476834501</v>
      </c>
      <c r="AI4731">
        <v>92.350461318710003</v>
      </c>
      <c r="AJ4731">
        <v>84.439617878188898</v>
      </c>
      <c r="AK4731">
        <v>26.912614136191799</v>
      </c>
      <c r="AL4731">
        <v>80.086127940386802</v>
      </c>
      <c r="AM4731">
        <v>88.467260933910097</v>
      </c>
      <c r="AN4731">
        <v>0.99999998185019301</v>
      </c>
    </row>
    <row r="4732" spans="1:40" x14ac:dyDescent="0.25">
      <c r="A4732" t="str">
        <f>"20190304155512595"</f>
        <v>20190304155512595</v>
      </c>
      <c r="B4732" t="str">
        <f>"1551686112582266"</f>
        <v>1551686112582266</v>
      </c>
      <c r="C4732" t="s">
        <v>40</v>
      </c>
      <c r="D4732">
        <v>4.8914609999999996</v>
      </c>
      <c r="E4732">
        <v>0.52431359999999905</v>
      </c>
      <c r="F4732" t="s">
        <v>46</v>
      </c>
      <c r="G4732">
        <v>-300.84930000000003</v>
      </c>
      <c r="H4732" s="1">
        <v>-3.985333E-6</v>
      </c>
      <c r="I4732">
        <v>-31.64771</v>
      </c>
      <c r="J4732">
        <v>-301.2724</v>
      </c>
      <c r="K4732">
        <v>1.104568</v>
      </c>
      <c r="L4732">
        <v>-6.6553339999999999</v>
      </c>
      <c r="M4732">
        <v>0.11265459999999999</v>
      </c>
      <c r="N4732">
        <v>-7.913448E-3</v>
      </c>
      <c r="O4732">
        <v>-0.99360280000000001</v>
      </c>
      <c r="P4732">
        <v>8.6602219999999994E-2</v>
      </c>
      <c r="Q4732">
        <v>0.1635597</v>
      </c>
      <c r="R4732">
        <v>-0.98272519999999997</v>
      </c>
      <c r="S4732">
        <v>5.6274409999999997E-2</v>
      </c>
      <c r="T4732">
        <v>-0.13351209999999999</v>
      </c>
      <c r="U4732">
        <v>-3.0716860000000001</v>
      </c>
      <c r="V4732">
        <v>2.5559040000000002E-2</v>
      </c>
      <c r="W4732">
        <v>0.17122760000000001</v>
      </c>
      <c r="X4732">
        <v>0.98489990000000005</v>
      </c>
      <c r="Y4732">
        <v>9.4430319999999998E-2</v>
      </c>
      <c r="Z4732">
        <v>3.5010270000000003E-2</v>
      </c>
      <c r="AA4732">
        <v>0.99491569999999996</v>
      </c>
      <c r="AB4732">
        <v>27</v>
      </c>
      <c r="AC4732">
        <v>0.423099999999976</v>
      </c>
      <c r="AD4732">
        <v>-1.1045719853330001</v>
      </c>
      <c r="AE4732">
        <v>-24.992376</v>
      </c>
      <c r="AF4732">
        <v>2.39051942114585</v>
      </c>
      <c r="AG4732">
        <v>-1.1045719853330001</v>
      </c>
      <c r="AH4732">
        <v>24.832443679314299</v>
      </c>
      <c r="AI4732">
        <v>92.535190367366098</v>
      </c>
      <c r="AJ4732">
        <v>84.501309812513895</v>
      </c>
      <c r="AK4732">
        <v>24.971682391460401</v>
      </c>
      <c r="AL4732">
        <v>80.140797864843094</v>
      </c>
      <c r="AM4732">
        <v>88.513456530457702</v>
      </c>
      <c r="AN4732">
        <v>0.99999998427374504</v>
      </c>
    </row>
    <row r="4733" spans="1:40" x14ac:dyDescent="0.25">
      <c r="A4733" t="str">
        <f>"20190304155512631"</f>
        <v>20190304155512631</v>
      </c>
      <c r="B4733" t="str">
        <f>"1551686112622282"</f>
        <v>1551686112622282</v>
      </c>
      <c r="C4733" t="s">
        <v>40</v>
      </c>
      <c r="D4733">
        <v>4.7047189999999999</v>
      </c>
      <c r="E4733">
        <v>0.54876480000000005</v>
      </c>
      <c r="F4733" t="s">
        <v>46</v>
      </c>
      <c r="G4733">
        <v>-300.89870000000002</v>
      </c>
      <c r="H4733" s="1">
        <v>-4.1510230000000002E-6</v>
      </c>
      <c r="I4733">
        <v>-31.2837</v>
      </c>
      <c r="J4733">
        <v>-301.23050000000001</v>
      </c>
      <c r="K4733">
        <v>1.10524</v>
      </c>
      <c r="L4733">
        <v>-7.0737920000000001</v>
      </c>
      <c r="M4733">
        <v>0.107805399999999</v>
      </c>
      <c r="N4733">
        <v>-8.2660649999999995E-3</v>
      </c>
      <c r="O4733">
        <v>-0.99413770000000001</v>
      </c>
      <c r="P4733">
        <v>8.1475399999999906E-2</v>
      </c>
      <c r="Q4733">
        <v>0.1632634</v>
      </c>
      <c r="R4733">
        <v>-0.98321259999999999</v>
      </c>
      <c r="S4733">
        <v>4.6600339999999997E-2</v>
      </c>
      <c r="T4733">
        <v>-0.137758399999999</v>
      </c>
      <c r="U4733">
        <v>-3.071564</v>
      </c>
      <c r="V4733">
        <v>2.593933E-2</v>
      </c>
      <c r="W4733">
        <v>0.17127039999999999</v>
      </c>
      <c r="X4733">
        <v>0.98488249999999999</v>
      </c>
      <c r="Y4733">
        <v>9.2704560000000005E-2</v>
      </c>
      <c r="Z4733">
        <v>3.6061570000000001E-2</v>
      </c>
      <c r="AA4733">
        <v>0.99504040000000005</v>
      </c>
      <c r="AB4733">
        <v>27</v>
      </c>
      <c r="AC4733">
        <v>0.33179999999998699</v>
      </c>
      <c r="AD4733">
        <v>-1.105244151023</v>
      </c>
      <c r="AE4733">
        <v>-24.209907999999999</v>
      </c>
      <c r="AF4733">
        <v>2.2754402345528302</v>
      </c>
      <c r="AG4733">
        <v>-1.105244151023</v>
      </c>
      <c r="AH4733">
        <v>24.054450612680299</v>
      </c>
      <c r="AI4733">
        <v>92.619077329646899</v>
      </c>
      <c r="AJ4733">
        <v>84.596163240122394</v>
      </c>
      <c r="AK4733">
        <v>24.187099602314198</v>
      </c>
      <c r="AL4733">
        <v>80.138308682669404</v>
      </c>
      <c r="AM4733">
        <v>88.491321927921703</v>
      </c>
      <c r="AN4733">
        <v>0.999999968781629</v>
      </c>
    </row>
    <row r="4734" spans="1:40" x14ac:dyDescent="0.25">
      <c r="A4734" t="str">
        <f>"20190304155512663"</f>
        <v>20190304155512663</v>
      </c>
      <c r="B4734" t="str">
        <f>"1551686112652540"</f>
        <v>1551686112652540</v>
      </c>
      <c r="C4734" t="s">
        <v>40</v>
      </c>
      <c r="D4734">
        <v>4.7125640000000004</v>
      </c>
      <c r="E4734">
        <v>0.55052159999999895</v>
      </c>
      <c r="F4734" t="s">
        <v>74</v>
      </c>
      <c r="G4734">
        <v>-304.11180000000002</v>
      </c>
      <c r="H4734" s="1">
        <v>-9.5197270000000002E-6</v>
      </c>
      <c r="I4734">
        <v>-62.662329999999997</v>
      </c>
      <c r="J4734">
        <v>-301.19310000000002</v>
      </c>
      <c r="K4734">
        <v>1.1057399999999999</v>
      </c>
      <c r="L4734">
        <v>-7.4672549999999998</v>
      </c>
      <c r="M4734">
        <v>0.10312209999999999</v>
      </c>
      <c r="N4734">
        <v>-8.5311999999999992E-3</v>
      </c>
      <c r="O4734">
        <v>-0.99463239999999997</v>
      </c>
      <c r="P4734">
        <v>7.7542349999999996E-2</v>
      </c>
      <c r="Q4734">
        <v>0.1625434</v>
      </c>
      <c r="R4734">
        <v>-0.98365009999999997</v>
      </c>
      <c r="S4734">
        <v>-0.1593628</v>
      </c>
      <c r="T4734">
        <v>-6.1130999999999998E-2</v>
      </c>
      <c r="U4734">
        <v>-3.0745849999999999</v>
      </c>
      <c r="V4734">
        <v>2.5281720000000001E-2</v>
      </c>
      <c r="W4734">
        <v>0.17081189999999999</v>
      </c>
      <c r="X4734">
        <v>0.9849793</v>
      </c>
      <c r="Y4734">
        <v>0.15445239999999999</v>
      </c>
      <c r="Z4734">
        <v>1.103413E-2</v>
      </c>
      <c r="AA4734">
        <v>0.9879386</v>
      </c>
      <c r="AB4734">
        <v>27</v>
      </c>
      <c r="AC4734">
        <v>-2.9186999999999999</v>
      </c>
      <c r="AD4734">
        <v>-1.105749519727</v>
      </c>
      <c r="AE4734">
        <v>-55.195075000000003</v>
      </c>
      <c r="AF4734">
        <v>8.5917374168194804</v>
      </c>
      <c r="AG4734">
        <v>-1.105749519727</v>
      </c>
      <c r="AH4734">
        <v>54.577955855384502</v>
      </c>
      <c r="AI4734">
        <v>91.146538163241402</v>
      </c>
      <c r="AJ4734">
        <v>81.053836658245501</v>
      </c>
      <c r="AK4734">
        <v>55.261142760462803</v>
      </c>
      <c r="AL4734">
        <v>80.164972474936803</v>
      </c>
      <c r="AM4734">
        <v>88.529697143830603</v>
      </c>
      <c r="AN4734">
        <v>1.00000004598812</v>
      </c>
    </row>
    <row r="4735" spans="1:40" x14ac:dyDescent="0.25">
      <c r="A4735" t="str">
        <f>"20190304155512697"</f>
        <v>20190304155512697</v>
      </c>
      <c r="B4735" t="str">
        <f>"1551686112692554"</f>
        <v>1551686112692554</v>
      </c>
      <c r="C4735" t="s">
        <v>40</v>
      </c>
      <c r="D4735">
        <v>4.7468399999999997</v>
      </c>
      <c r="E4735">
        <v>0.55057829999999996</v>
      </c>
      <c r="F4735" t="s">
        <v>74</v>
      </c>
      <c r="G4735">
        <v>-304.73180000000002</v>
      </c>
      <c r="H4735" s="1">
        <v>-8.9564380000000001E-6</v>
      </c>
      <c r="I4735">
        <v>-65.808430000000001</v>
      </c>
      <c r="J4735">
        <v>-301.15609999999998</v>
      </c>
      <c r="K4735">
        <v>1.106149</v>
      </c>
      <c r="L4735">
        <v>-7.8804319999999999</v>
      </c>
      <c r="M4735">
        <v>9.8130400000000007E-2</v>
      </c>
      <c r="N4735">
        <v>-8.7524609999999996E-3</v>
      </c>
      <c r="O4735">
        <v>-0.99513510000000005</v>
      </c>
      <c r="P4735">
        <v>7.1829610000000002E-2</v>
      </c>
      <c r="Q4735">
        <v>0.1639256</v>
      </c>
      <c r="R4735">
        <v>-0.98385400000000001</v>
      </c>
      <c r="S4735">
        <v>-0.1864624</v>
      </c>
      <c r="T4735">
        <v>-5.8265570000000003E-2</v>
      </c>
      <c r="U4735">
        <v>-3.0741879999999999</v>
      </c>
      <c r="V4735">
        <v>2.6069749999999999E-2</v>
      </c>
      <c r="W4735">
        <v>0.172402</v>
      </c>
      <c r="X4735">
        <v>0.98468160000000005</v>
      </c>
      <c r="Y4735">
        <v>0.15818260000000001</v>
      </c>
      <c r="Z4735">
        <v>9.8982480000000001E-3</v>
      </c>
      <c r="AA4735">
        <v>0.98736020000000002</v>
      </c>
      <c r="AB4735">
        <v>27</v>
      </c>
      <c r="AC4735">
        <v>-3.5757000000000398</v>
      </c>
      <c r="AD4735">
        <v>-1.106157956438</v>
      </c>
      <c r="AE4735">
        <v>-57.927997999999903</v>
      </c>
      <c r="AF4735">
        <v>9.23979965699235</v>
      </c>
      <c r="AG4735">
        <v>-1.106157956438</v>
      </c>
      <c r="AH4735">
        <v>57.276686766818798</v>
      </c>
      <c r="AI4735">
        <v>91.0922714355804</v>
      </c>
      <c r="AJ4735">
        <v>80.836069247477795</v>
      </c>
      <c r="AK4735">
        <v>58.027720359412903</v>
      </c>
      <c r="AL4735">
        <v>80.072493798006803</v>
      </c>
      <c r="AM4735">
        <v>88.483430787416097</v>
      </c>
      <c r="AN4735">
        <v>0.99999996742381003</v>
      </c>
    </row>
    <row r="4736" spans="1:40" x14ac:dyDescent="0.25">
      <c r="A4736" t="str">
        <f>"20190304155512730"</f>
        <v>20190304155512730</v>
      </c>
      <c r="B4736" t="str">
        <f>"1551686112722810"</f>
        <v>1551686112722810</v>
      </c>
      <c r="C4736" t="s">
        <v>40</v>
      </c>
      <c r="D4736">
        <v>4.7210910000000004</v>
      </c>
      <c r="E4736">
        <v>0.55001849999999997</v>
      </c>
      <c r="F4736" t="s">
        <v>74</v>
      </c>
      <c r="G4736">
        <v>-305.18400000000003</v>
      </c>
      <c r="H4736" s="1">
        <v>-8.5015940000000003E-6</v>
      </c>
      <c r="I4736">
        <v>-68.715649999999997</v>
      </c>
      <c r="J4736">
        <v>-301.12200000000001</v>
      </c>
      <c r="K4736">
        <v>1.106439</v>
      </c>
      <c r="L4736">
        <v>-8.2830509999999897</v>
      </c>
      <c r="M4736">
        <v>9.3231610000000006E-2</v>
      </c>
      <c r="N4736">
        <v>-8.9200540000000002E-3</v>
      </c>
      <c r="O4736">
        <v>-0.99560459999999995</v>
      </c>
      <c r="P4736">
        <v>6.6461989999999999E-2</v>
      </c>
      <c r="Q4736">
        <v>0.16443920000000001</v>
      </c>
      <c r="R4736">
        <v>-0.98414559999999995</v>
      </c>
      <c r="S4736">
        <v>-0.20349120000000001</v>
      </c>
      <c r="T4736">
        <v>-5.5883049999999997E-2</v>
      </c>
      <c r="U4736">
        <v>-3.0733950000000001</v>
      </c>
      <c r="V4736">
        <v>2.6605670000000001E-2</v>
      </c>
      <c r="W4736">
        <v>0.1730746</v>
      </c>
      <c r="X4736">
        <v>0.98454929999999996</v>
      </c>
      <c r="Y4736">
        <v>0.15878780000000001</v>
      </c>
      <c r="Z4736">
        <v>8.9790959999999902E-3</v>
      </c>
      <c r="AA4736">
        <v>0.98727189999999998</v>
      </c>
      <c r="AB4736">
        <v>27</v>
      </c>
      <c r="AC4736">
        <v>-4.06200000000001</v>
      </c>
      <c r="AD4736">
        <v>-1.1064475015939901</v>
      </c>
      <c r="AE4736">
        <v>-60.432599000000003</v>
      </c>
      <c r="AF4736">
        <v>9.67552962318765</v>
      </c>
      <c r="AG4736">
        <v>-1.1064475015939901</v>
      </c>
      <c r="AH4736">
        <v>59.770693197421899</v>
      </c>
      <c r="AI4736">
        <v>91.046887221885498</v>
      </c>
      <c r="AJ4736">
        <v>80.804866922625095</v>
      </c>
      <c r="AK4736">
        <v>60.558862810189098</v>
      </c>
      <c r="AL4736">
        <v>80.033368856712599</v>
      </c>
      <c r="AM4736">
        <v>88.452061567229606</v>
      </c>
      <c r="AN4736">
        <v>1.0000000014858901</v>
      </c>
    </row>
    <row r="4737" spans="1:40" x14ac:dyDescent="0.25">
      <c r="A4737" t="str">
        <f>"20190304155512763"</f>
        <v>20190304155512763</v>
      </c>
      <c r="B4737" t="str">
        <f>"1551686112752090"</f>
        <v>1551686112752090</v>
      </c>
      <c r="C4737" t="s">
        <v>40</v>
      </c>
      <c r="D4737">
        <v>4.7228899999999996</v>
      </c>
      <c r="E4737">
        <v>0.54958929999999995</v>
      </c>
      <c r="F4737" t="s">
        <v>74</v>
      </c>
      <c r="G4737">
        <v>-305.45760000000001</v>
      </c>
      <c r="H4737" s="1">
        <v>-8.3100599999999992E-6</v>
      </c>
      <c r="I4737">
        <v>-69.637019999999893</v>
      </c>
      <c r="J4737">
        <v>-301.08920000000001</v>
      </c>
      <c r="K4737">
        <v>1.106665</v>
      </c>
      <c r="L4737">
        <v>-8.693695</v>
      </c>
      <c r="M4737">
        <v>8.8214710000000002E-2</v>
      </c>
      <c r="N4737">
        <v>-9.0436920000000007E-3</v>
      </c>
      <c r="O4737">
        <v>-0.99606059999999996</v>
      </c>
      <c r="P4737">
        <v>6.0859690000000001E-2</v>
      </c>
      <c r="Q4737">
        <v>0.16419909999999999</v>
      </c>
      <c r="R4737">
        <v>-0.98454830000000004</v>
      </c>
      <c r="S4737">
        <v>-0.21710209999999999</v>
      </c>
      <c r="T4737">
        <v>-5.5404189999999999E-2</v>
      </c>
      <c r="U4737">
        <v>-3.072235</v>
      </c>
      <c r="V4737">
        <v>2.7264409999999999E-2</v>
      </c>
      <c r="W4737">
        <v>0.17295060000000001</v>
      </c>
      <c r="X4737">
        <v>0.98455300000000001</v>
      </c>
      <c r="Y4737">
        <v>0.158192</v>
      </c>
      <c r="Z4737">
        <v>8.7184559999999994E-3</v>
      </c>
      <c r="AA4737">
        <v>0.98736990000000002</v>
      </c>
      <c r="AB4737">
        <v>27</v>
      </c>
      <c r="AC4737">
        <v>-4.3684000000000003</v>
      </c>
      <c r="AD4737">
        <v>-1.1066733100599999</v>
      </c>
      <c r="AE4737">
        <v>-60.943325000000002</v>
      </c>
      <c r="AF4737">
        <v>9.7244947415609797</v>
      </c>
      <c r="AG4737">
        <v>-1.1066733100599999</v>
      </c>
      <c r="AH4737">
        <v>60.300561654526298</v>
      </c>
      <c r="AI4737">
        <v>91.038001588963397</v>
      </c>
      <c r="AJ4737">
        <v>80.838951598274406</v>
      </c>
      <c r="AK4737">
        <v>61.089673919944801</v>
      </c>
      <c r="AL4737">
        <v>80.040581635659507</v>
      </c>
      <c r="AM4737">
        <v>88.413760867780894</v>
      </c>
      <c r="AN4737">
        <v>0.99999993395100095</v>
      </c>
    </row>
    <row r="4738" spans="1:40" x14ac:dyDescent="0.25">
      <c r="A4738" t="str">
        <f>"20190304155512796"</f>
        <v>20190304155512796</v>
      </c>
      <c r="B4738" t="str">
        <f>"1551686112792106"</f>
        <v>1551686112792106</v>
      </c>
      <c r="C4738" t="s">
        <v>40</v>
      </c>
      <c r="D4738">
        <v>4.6770370000000003</v>
      </c>
      <c r="E4738">
        <v>0.54913339999999999</v>
      </c>
      <c r="F4738" t="s">
        <v>74</v>
      </c>
      <c r="G4738">
        <v>-305.6123</v>
      </c>
      <c r="H4738" s="1">
        <v>-8.3748490000000006E-6</v>
      </c>
      <c r="I4738">
        <v>-68.425399999999996</v>
      </c>
      <c r="J4738">
        <v>-301.05840000000001</v>
      </c>
      <c r="K4738">
        <v>1.106819</v>
      </c>
      <c r="L4738">
        <v>-9.1078799999999998</v>
      </c>
      <c r="M4738">
        <v>8.3142350000000004E-2</v>
      </c>
      <c r="N4738">
        <v>-9.1295219999999993E-3</v>
      </c>
      <c r="O4738">
        <v>-0.99649580000000004</v>
      </c>
      <c r="P4738">
        <v>5.5433610000000001E-2</v>
      </c>
      <c r="Q4738">
        <v>0.1612181</v>
      </c>
      <c r="R4738">
        <v>-0.98536100000000004</v>
      </c>
      <c r="S4738">
        <v>-0.2325439</v>
      </c>
      <c r="T4738">
        <v>-5.6896809999999999E-2</v>
      </c>
      <c r="U4738">
        <v>-3.0709529999999998</v>
      </c>
      <c r="V4738">
        <v>2.771231E-2</v>
      </c>
      <c r="W4738">
        <v>0.1700545</v>
      </c>
      <c r="X4738">
        <v>0.98504499999999995</v>
      </c>
      <c r="Y4738">
        <v>0.15813139999999901</v>
      </c>
      <c r="Z4738">
        <v>9.127708E-3</v>
      </c>
      <c r="AA4738">
        <v>0.98737589999999997</v>
      </c>
      <c r="AB4738">
        <v>27</v>
      </c>
      <c r="AC4738">
        <v>-4.5538999999999898</v>
      </c>
      <c r="AD4738">
        <v>-1.1068273748490001</v>
      </c>
      <c r="AE4738">
        <v>-59.317520000000002</v>
      </c>
      <c r="AF4738">
        <v>9.4668586960229995</v>
      </c>
      <c r="AG4738">
        <v>-1.1068273748490001</v>
      </c>
      <c r="AH4738">
        <v>58.713166397596602</v>
      </c>
      <c r="AI4738">
        <v>91.066212130097597</v>
      </c>
      <c r="AJ4738">
        <v>80.840512843081996</v>
      </c>
      <c r="AK4738">
        <v>59.481781991127697</v>
      </c>
      <c r="AL4738">
        <v>80.209012960903607</v>
      </c>
      <c r="AM4738">
        <v>88.388520620675493</v>
      </c>
      <c r="AN4738">
        <v>1.00000007856039</v>
      </c>
    </row>
    <row r="4739" spans="1:40" x14ac:dyDescent="0.25">
      <c r="A4739" t="str">
        <f>"20190304155512831"</f>
        <v>20190304155512831</v>
      </c>
      <c r="B4739" t="str">
        <f>"1551686112822362"</f>
        <v>1551686112822362</v>
      </c>
      <c r="C4739" t="s">
        <v>40</v>
      </c>
      <c r="D4739">
        <v>4.7297000000000002</v>
      </c>
      <c r="E4739">
        <v>0.54863079999999997</v>
      </c>
      <c r="F4739" t="s">
        <v>74</v>
      </c>
      <c r="G4739">
        <v>-304.94940000000003</v>
      </c>
      <c r="H4739" s="1">
        <v>-8.9892530000000002E-6</v>
      </c>
      <c r="I4739">
        <v>-57.53199</v>
      </c>
      <c r="J4739">
        <v>-301.0301</v>
      </c>
      <c r="K4739">
        <v>1.1069089999999999</v>
      </c>
      <c r="L4739">
        <v>-9.5164790000000004</v>
      </c>
      <c r="M4739">
        <v>7.8112360000000006E-2</v>
      </c>
      <c r="N4739">
        <v>-9.1825989999999996E-3</v>
      </c>
      <c r="O4739">
        <v>-0.99690230000000002</v>
      </c>
      <c r="P4739">
        <v>5.0483519999999997E-2</v>
      </c>
      <c r="Q4739">
        <v>0.1603067</v>
      </c>
      <c r="R4739">
        <v>-0.98577559999999997</v>
      </c>
      <c r="S4739">
        <v>-0.24667359999999999</v>
      </c>
      <c r="T4739">
        <v>-7.0168969999999997E-2</v>
      </c>
      <c r="U4739">
        <v>-3.0699160000000001</v>
      </c>
      <c r="V4739">
        <v>2.7708030000000002E-2</v>
      </c>
      <c r="W4739">
        <v>0.1691945</v>
      </c>
      <c r="X4739">
        <v>0.98519310000000004</v>
      </c>
      <c r="Y4739">
        <v>0.1576833</v>
      </c>
      <c r="Z4739">
        <v>1.335687E-2</v>
      </c>
      <c r="AA4739">
        <v>0.98739940000000004</v>
      </c>
      <c r="AB4739">
        <v>27</v>
      </c>
      <c r="AC4739">
        <v>-3.9193000000000202</v>
      </c>
      <c r="AD4739">
        <v>-1.1069179892529999</v>
      </c>
      <c r="AE4739">
        <v>-48.015510999999996</v>
      </c>
      <c r="AF4739">
        <v>7.6540458508528397</v>
      </c>
      <c r="AG4739">
        <v>-1.1069179892529999</v>
      </c>
      <c r="AH4739">
        <v>47.5375345969763</v>
      </c>
      <c r="AI4739">
        <v>91.316943831832603</v>
      </c>
      <c r="AJ4739">
        <v>80.8532755143721</v>
      </c>
      <c r="AK4739">
        <v>48.162504927387303</v>
      </c>
      <c r="AL4739">
        <v>80.259010895884003</v>
      </c>
      <c r="AM4739">
        <v>88.389011454779407</v>
      </c>
      <c r="AN4739">
        <v>0.99999997902216997</v>
      </c>
    </row>
    <row r="4740" spans="1:40" x14ac:dyDescent="0.25">
      <c r="A4740" t="str">
        <f>"20190304155512864"</f>
        <v>20190304155512864</v>
      </c>
      <c r="B4740" t="str">
        <f>"1551686112852619"</f>
        <v>1551686112852619</v>
      </c>
      <c r="C4740" t="s">
        <v>40</v>
      </c>
      <c r="D4740">
        <v>4.7629330000000003</v>
      </c>
      <c r="E4740">
        <v>0.54783479999999996</v>
      </c>
      <c r="F4740" t="s">
        <v>74</v>
      </c>
      <c r="G4740">
        <v>-305.09890000000001</v>
      </c>
      <c r="H4740" s="1">
        <v>-9.116037E-6</v>
      </c>
      <c r="I4740">
        <v>-57.792000000000002</v>
      </c>
      <c r="J4740">
        <v>-301.00360000000001</v>
      </c>
      <c r="K4740">
        <v>1.106976</v>
      </c>
      <c r="L4740">
        <v>-9.9289550000000002</v>
      </c>
      <c r="M4740">
        <v>7.298528E-2</v>
      </c>
      <c r="N4740">
        <v>-9.2078960000000001E-3</v>
      </c>
      <c r="O4740">
        <v>-0.99729069999999997</v>
      </c>
      <c r="P4740">
        <v>4.7423420000000001E-2</v>
      </c>
      <c r="Q4740">
        <v>0.16009709999999999</v>
      </c>
      <c r="R4740">
        <v>-0.98596200000000001</v>
      </c>
      <c r="S4740">
        <v>-0.25857540000000001</v>
      </c>
      <c r="T4740">
        <v>-7.034588E-2</v>
      </c>
      <c r="U4740">
        <v>-3.0679630000000002</v>
      </c>
      <c r="V4740">
        <v>2.5715040000000002E-2</v>
      </c>
      <c r="W4740">
        <v>0.16902059999999999</v>
      </c>
      <c r="X4740">
        <v>0.98527699999999996</v>
      </c>
      <c r="Y4740">
        <v>0.1564604</v>
      </c>
      <c r="Z4740">
        <v>1.341528E-2</v>
      </c>
      <c r="AA4740">
        <v>0.9875931</v>
      </c>
      <c r="AB4740">
        <v>27</v>
      </c>
      <c r="AC4740">
        <v>-4.0952999999999999</v>
      </c>
      <c r="AD4740">
        <v>-1.1069851160369999</v>
      </c>
      <c r="AE4740">
        <v>-47.863045</v>
      </c>
      <c r="AF4740">
        <v>7.5738002902892196</v>
      </c>
      <c r="AG4740">
        <v>-1.1069851160369999</v>
      </c>
      <c r="AH4740">
        <v>47.411298512371602</v>
      </c>
      <c r="AI4740">
        <v>91.320789982733999</v>
      </c>
      <c r="AJ4740">
        <v>80.923872266368207</v>
      </c>
      <c r="AK4740">
        <v>48.025192279818299</v>
      </c>
      <c r="AL4740">
        <v>80.269120403704207</v>
      </c>
      <c r="AM4740">
        <v>88.504959661069407</v>
      </c>
      <c r="AN4740">
        <v>0.99999999661778005</v>
      </c>
    </row>
    <row r="4741" spans="1:40" x14ac:dyDescent="0.25">
      <c r="A4741" t="str">
        <f>"20190304155512964"</f>
        <v>20190304155512964</v>
      </c>
      <c r="B4741" t="str">
        <f>"1551686112952170"</f>
        <v>1551686112952170</v>
      </c>
      <c r="C4741" t="s">
        <v>40</v>
      </c>
      <c r="D4741">
        <v>4.7393679999999998</v>
      </c>
      <c r="E4741">
        <v>0.54121459999999999</v>
      </c>
      <c r="F4741" t="s">
        <v>74</v>
      </c>
      <c r="G4741">
        <v>-304.9529</v>
      </c>
      <c r="H4741" s="1">
        <v>-8.4506839999999998E-6</v>
      </c>
      <c r="I4741">
        <v>-56.299160000000001</v>
      </c>
      <c r="J4741">
        <v>-300.93680000000001</v>
      </c>
      <c r="K4741">
        <v>1.1069899999999999</v>
      </c>
      <c r="L4741">
        <v>-11.181240000000001</v>
      </c>
      <c r="M4741">
        <v>5.6950309999999997E-2</v>
      </c>
      <c r="N4741">
        <v>-9.1898110000000009E-3</v>
      </c>
      <c r="O4741">
        <v>-0.99833490000000003</v>
      </c>
      <c r="P4741">
        <v>3.82961E-2</v>
      </c>
      <c r="Q4741">
        <v>0.1625308</v>
      </c>
      <c r="R4741">
        <v>-0.98596039999999996</v>
      </c>
      <c r="S4741">
        <v>-0.26123049999999998</v>
      </c>
      <c r="T4741">
        <v>-7.3221800000000004E-2</v>
      </c>
      <c r="U4741">
        <v>-3.0671689999999998</v>
      </c>
      <c r="V4741">
        <v>1.9051419999999999E-2</v>
      </c>
      <c r="W4741">
        <v>0.1714677</v>
      </c>
      <c r="X4741">
        <v>0.98500549999999998</v>
      </c>
      <c r="Y4741">
        <v>0.14144179999999901</v>
      </c>
      <c r="Z4741">
        <v>1.4434580000000001E-2</v>
      </c>
      <c r="AA4741">
        <v>0.98984130000000004</v>
      </c>
      <c r="AB4741">
        <v>28</v>
      </c>
      <c r="AC4741">
        <v>-4.01609999999999</v>
      </c>
      <c r="AD4741">
        <v>-1.1069984506839901</v>
      </c>
      <c r="AE4741">
        <v>-45.117919999999998</v>
      </c>
      <c r="AF4741">
        <v>6.57524177469337</v>
      </c>
      <c r="AG4741">
        <v>-1.1069984506839901</v>
      </c>
      <c r="AH4741">
        <v>44.789209222842999</v>
      </c>
      <c r="AI4741">
        <v>91.400811125941402</v>
      </c>
      <c r="AJ4741">
        <v>81.648397250947696</v>
      </c>
      <c r="AK4741">
        <v>45.282805928664501</v>
      </c>
      <c r="AL4741">
        <v>80.126834616830905</v>
      </c>
      <c r="AM4741">
        <v>88.891955552296096</v>
      </c>
      <c r="AN4741">
        <v>0.99999998188877803</v>
      </c>
    </row>
    <row r="4742" spans="1:40" x14ac:dyDescent="0.25">
      <c r="A4742" t="str">
        <f>"20190304155512998"</f>
        <v>20190304155512998</v>
      </c>
      <c r="B4742" t="str">
        <f>"1551686112992190"</f>
        <v>1551686112992190</v>
      </c>
      <c r="C4742" t="s">
        <v>40</v>
      </c>
      <c r="D4742">
        <v>4.8339639999999999</v>
      </c>
      <c r="E4742">
        <v>0.52738509999999905</v>
      </c>
      <c r="F4742" t="s">
        <v>74</v>
      </c>
      <c r="G4742">
        <v>-305.74329999999998</v>
      </c>
      <c r="H4742">
        <v>7.9987559999999999E-2</v>
      </c>
      <c r="I4742">
        <v>-73.816220000000001</v>
      </c>
      <c r="J4742">
        <v>-300.91910000000001</v>
      </c>
      <c r="K4742">
        <v>1.106965</v>
      </c>
      <c r="L4742">
        <v>-11.60107</v>
      </c>
      <c r="M4742">
        <v>5.1410280000000003E-2</v>
      </c>
      <c r="N4742">
        <v>-9.1708859999999996E-3</v>
      </c>
      <c r="O4742">
        <v>-0.99863570000000002</v>
      </c>
      <c r="P4742">
        <v>3.5960880000000001E-2</v>
      </c>
      <c r="Q4742">
        <v>0.16264189999999901</v>
      </c>
      <c r="R4742">
        <v>-0.98602990000000001</v>
      </c>
      <c r="S4742">
        <v>-0.23483280000000001</v>
      </c>
      <c r="T4742">
        <v>-5.0175669999999999E-2</v>
      </c>
      <c r="U4742">
        <v>-3.06012</v>
      </c>
      <c r="V4742">
        <v>1.5936220000000001E-2</v>
      </c>
      <c r="W4742">
        <v>0.1715795</v>
      </c>
      <c r="X4742">
        <v>0.98504139999999996</v>
      </c>
      <c r="Y4742">
        <v>0.12765839999999901</v>
      </c>
      <c r="Z4742">
        <v>7.0824769999999898E-3</v>
      </c>
      <c r="AA4742">
        <v>0.99179289999999998</v>
      </c>
      <c r="AB4742">
        <v>28</v>
      </c>
      <c r="AC4742">
        <v>-4.8241999999999603</v>
      </c>
      <c r="AD4742">
        <v>-1.02697744</v>
      </c>
      <c r="AE4742">
        <v>-62.215150000000001</v>
      </c>
      <c r="AF4742">
        <v>8.0142815541016201</v>
      </c>
      <c r="AG4742">
        <v>-1.02697744</v>
      </c>
      <c r="AH4742">
        <v>61.868090140856701</v>
      </c>
      <c r="AI4742">
        <v>90.943113738215004</v>
      </c>
      <c r="AJ4742">
        <v>82.619108394513006</v>
      </c>
      <c r="AK4742">
        <v>62.3934609487874</v>
      </c>
      <c r="AL4742">
        <v>80.120333007004803</v>
      </c>
      <c r="AM4742">
        <v>89.073136927623807</v>
      </c>
      <c r="AN4742">
        <v>1.00000002382104</v>
      </c>
    </row>
    <row r="4743" spans="1:40" x14ac:dyDescent="0.25">
      <c r="A4743" t="str">
        <f>"20190304155513031"</f>
        <v>20190304155513031</v>
      </c>
      <c r="B4743" t="str">
        <f>"1551686113022444"</f>
        <v>1551686113022444</v>
      </c>
      <c r="C4743" t="s">
        <v>40</v>
      </c>
      <c r="D4743">
        <v>4.6784730000000003</v>
      </c>
      <c r="E4743">
        <v>0.5229608</v>
      </c>
      <c r="F4743" t="s">
        <v>74</v>
      </c>
      <c r="G4743">
        <v>-303.09199999999998</v>
      </c>
      <c r="H4743" s="1">
        <v>-1.0011890000000001E-5</v>
      </c>
      <c r="I4743">
        <v>-61.4692199999999</v>
      </c>
      <c r="J4743">
        <v>-300.90379999999999</v>
      </c>
      <c r="K4743">
        <v>1.1069370000000001</v>
      </c>
      <c r="L4743">
        <v>-12.0213</v>
      </c>
      <c r="M4743">
        <v>4.5817950000000003E-2</v>
      </c>
      <c r="N4743">
        <v>-9.1456769999999996E-3</v>
      </c>
      <c r="O4743">
        <v>-0.99890809999999997</v>
      </c>
      <c r="P4743">
        <v>3.3372640000000002E-2</v>
      </c>
      <c r="Q4743">
        <v>0.16055520000000001</v>
      </c>
      <c r="R4743">
        <v>-0.98646270000000003</v>
      </c>
      <c r="S4743">
        <v>-0.13327030000000001</v>
      </c>
      <c r="T4743">
        <v>-6.7894099999999999E-2</v>
      </c>
      <c r="U4743">
        <v>-3.0585629999999999</v>
      </c>
      <c r="V4743">
        <v>1.301888E-2</v>
      </c>
      <c r="W4743">
        <v>0.1694901</v>
      </c>
      <c r="X4743">
        <v>0.98544589999999999</v>
      </c>
      <c r="Y4743">
        <v>8.92458E-2</v>
      </c>
      <c r="Z4743">
        <v>1.294936E-2</v>
      </c>
      <c r="AA4743">
        <v>0.99592539999999996</v>
      </c>
      <c r="AB4743">
        <v>28</v>
      </c>
      <c r="AC4743">
        <v>-2.1881999999999899</v>
      </c>
      <c r="AD4743">
        <v>-1.10694701189</v>
      </c>
      <c r="AE4743">
        <v>-49.447920000000003</v>
      </c>
      <c r="AF4743">
        <v>4.4493731018255298</v>
      </c>
      <c r="AG4743">
        <v>-1.10694701189</v>
      </c>
      <c r="AH4743">
        <v>49.271079392976802</v>
      </c>
      <c r="AI4743">
        <v>91.281803089806701</v>
      </c>
      <c r="AJ4743">
        <v>84.839960774019204</v>
      </c>
      <c r="AK4743">
        <v>49.483952118190899</v>
      </c>
      <c r="AL4743">
        <v>80.241826309150099</v>
      </c>
      <c r="AM4743">
        <v>89.243100523494704</v>
      </c>
      <c r="AN4743">
        <v>1.00000000353063</v>
      </c>
    </row>
    <row r="4744" spans="1:40" x14ac:dyDescent="0.25">
      <c r="A4744" t="str">
        <f>"20190304155513064"</f>
        <v>20190304155513064</v>
      </c>
      <c r="B4744" t="str">
        <f>"1551686113052699"</f>
        <v>1551686113052699</v>
      </c>
      <c r="C4744" t="s">
        <v>40</v>
      </c>
      <c r="D4744">
        <v>4.6578989999999996</v>
      </c>
      <c r="E4744">
        <v>0.51934309999999995</v>
      </c>
      <c r="F4744" t="s">
        <v>74</v>
      </c>
      <c r="G4744">
        <v>-302.2817</v>
      </c>
      <c r="H4744" s="1">
        <v>-6.3336819999999999E-6</v>
      </c>
      <c r="I4744">
        <v>-51.548810000000003</v>
      </c>
      <c r="J4744">
        <v>-300.89069999999998</v>
      </c>
      <c r="K4744">
        <v>1.106914</v>
      </c>
      <c r="L4744">
        <v>-12.44162</v>
      </c>
      <c r="M4744">
        <v>4.0204450000000003E-2</v>
      </c>
      <c r="N4744">
        <v>-9.1172030000000008E-3</v>
      </c>
      <c r="O4744">
        <v>-0.99914990000000004</v>
      </c>
      <c r="P4744">
        <v>3.1440019999999999E-2</v>
      </c>
      <c r="Q4744">
        <v>0.15898789999999999</v>
      </c>
      <c r="R4744">
        <v>-0.98677969999999904</v>
      </c>
      <c r="S4744">
        <v>-0.106628399999999</v>
      </c>
      <c r="T4744">
        <v>-8.5657479999999994E-2</v>
      </c>
      <c r="U4744">
        <v>-3.058716</v>
      </c>
      <c r="V4744">
        <v>9.4165329999999995E-3</v>
      </c>
      <c r="W4744">
        <v>0.16792170000000001</v>
      </c>
      <c r="X4744">
        <v>0.98575539999999995</v>
      </c>
      <c r="Y4744">
        <v>7.497405E-2</v>
      </c>
      <c r="Z4744">
        <v>1.8790419999999999E-2</v>
      </c>
      <c r="AA4744">
        <v>0.99700840000000002</v>
      </c>
      <c r="AB4744">
        <v>28</v>
      </c>
      <c r="AC4744">
        <v>-1.39100000000001</v>
      </c>
      <c r="AD4744">
        <v>-1.1069203336819999</v>
      </c>
      <c r="AE4744">
        <v>-39.107190000000003</v>
      </c>
      <c r="AF4744">
        <v>2.9598553057596999</v>
      </c>
      <c r="AG4744">
        <v>-1.1069203336819999</v>
      </c>
      <c r="AH4744">
        <v>38.988444955896803</v>
      </c>
      <c r="AI4744">
        <v>91.621583136487303</v>
      </c>
      <c r="AJ4744">
        <v>85.658648435210196</v>
      </c>
      <c r="AK4744">
        <v>39.116299110922398</v>
      </c>
      <c r="AL4744">
        <v>80.332996145239704</v>
      </c>
      <c r="AM4744">
        <v>89.452692637136394</v>
      </c>
      <c r="AN4744">
        <v>1.0000000385268899</v>
      </c>
    </row>
    <row r="4745" spans="1:40" x14ac:dyDescent="0.25">
      <c r="A4745" t="str">
        <f>"20190304155513098"</f>
        <v>20190304155513098</v>
      </c>
      <c r="B4745" t="str">
        <f>"1551686113092714"</f>
        <v>1551686113092714</v>
      </c>
      <c r="C4745" t="s">
        <v>40</v>
      </c>
      <c r="D4745">
        <v>4.6524449999999904</v>
      </c>
      <c r="E4745">
        <v>0.51665109999999903</v>
      </c>
      <c r="F4745" t="s">
        <v>74</v>
      </c>
      <c r="G4745">
        <v>-301.86360000000002</v>
      </c>
      <c r="H4745" s="1">
        <v>-4.482044E-6</v>
      </c>
      <c r="I4745">
        <v>-47.728679999999997</v>
      </c>
      <c r="J4745">
        <v>-300.87990000000002</v>
      </c>
      <c r="K4745">
        <v>1.106903</v>
      </c>
      <c r="L4745">
        <v>-12.875</v>
      </c>
      <c r="M4745">
        <v>3.4413649999999997E-2</v>
      </c>
      <c r="N4745">
        <v>-9.0923240000000006E-3</v>
      </c>
      <c r="O4745">
        <v>-0.99936630000000004</v>
      </c>
      <c r="P4745">
        <v>2.88261E-2</v>
      </c>
      <c r="Q4745">
        <v>0.15860189999999999</v>
      </c>
      <c r="R4745">
        <v>-0.98692210000000002</v>
      </c>
      <c r="S4745">
        <v>-8.4320069999999997E-2</v>
      </c>
      <c r="T4745">
        <v>-9.5937250000000002E-2</v>
      </c>
      <c r="U4745">
        <v>-3.0583499999999999</v>
      </c>
      <c r="V4745">
        <v>6.317418E-3</v>
      </c>
      <c r="W4745">
        <v>0.16753289999999901</v>
      </c>
      <c r="X4745">
        <v>0.98584620000000001</v>
      </c>
      <c r="Y4745">
        <v>6.1927459999999997E-2</v>
      </c>
      <c r="Z4745">
        <v>2.2196190000000001E-2</v>
      </c>
      <c r="AA4745">
        <v>0.99783379999999999</v>
      </c>
      <c r="AB4745">
        <v>28</v>
      </c>
      <c r="AC4745">
        <v>-0.98369999999999802</v>
      </c>
      <c r="AD4745">
        <v>-1.1069074820439999</v>
      </c>
      <c r="AE4745">
        <v>-34.853679999999997</v>
      </c>
      <c r="AF4745">
        <v>2.1804117805261298</v>
      </c>
      <c r="AG4745">
        <v>-1.1069074820439999</v>
      </c>
      <c r="AH4745">
        <v>34.764143752264999</v>
      </c>
      <c r="AI4745">
        <v>91.820135628701806</v>
      </c>
      <c r="AJ4745">
        <v>86.411102082437196</v>
      </c>
      <c r="AK4745">
        <v>34.850037740791699</v>
      </c>
      <c r="AL4745">
        <v>80.355592059993697</v>
      </c>
      <c r="AM4745">
        <v>89.632846954810304</v>
      </c>
      <c r="AN4745">
        <v>0.999999956203517</v>
      </c>
    </row>
    <row r="4746" spans="1:40" x14ac:dyDescent="0.25">
      <c r="A4746" t="str">
        <f>"20190304155513132"</f>
        <v>20190304155513132</v>
      </c>
      <c r="B4746" t="str">
        <f>"1551686113121995"</f>
        <v>1551686113121995</v>
      </c>
      <c r="C4746" t="s">
        <v>40</v>
      </c>
      <c r="D4746">
        <v>4.6659189999999997</v>
      </c>
      <c r="E4746">
        <v>0.51525350000000003</v>
      </c>
      <c r="F4746" t="s">
        <v>74</v>
      </c>
      <c r="G4746">
        <v>-301.67290000000003</v>
      </c>
      <c r="H4746" s="1">
        <v>-4.1271489999999997E-6</v>
      </c>
      <c r="I4746">
        <v>-47.053890000000003</v>
      </c>
      <c r="J4746">
        <v>-300.8716</v>
      </c>
      <c r="K4746">
        <v>1.1069020000000001</v>
      </c>
      <c r="L4746">
        <v>-13.30362</v>
      </c>
      <c r="M4746">
        <v>2.8699550000000001E-2</v>
      </c>
      <c r="N4746">
        <v>-9.0722949999999993E-3</v>
      </c>
      <c r="O4746">
        <v>-0.99954690000000002</v>
      </c>
      <c r="P4746">
        <v>2.6002299999999999E-2</v>
      </c>
      <c r="Q4746">
        <v>0.15967590000000001</v>
      </c>
      <c r="R4746">
        <v>-0.98682729999999996</v>
      </c>
      <c r="S4746">
        <v>-7.0953370000000002E-2</v>
      </c>
      <c r="T4746">
        <v>-9.9027039999999997E-2</v>
      </c>
      <c r="U4746">
        <v>-3.0577390000000002</v>
      </c>
      <c r="V4746">
        <v>3.5067520000000001E-3</v>
      </c>
      <c r="W4746">
        <v>0.1686047</v>
      </c>
      <c r="X4746">
        <v>0.98567749999999998</v>
      </c>
      <c r="Y4746">
        <v>5.1865689999999999E-2</v>
      </c>
      <c r="Z4746">
        <v>2.3250710000000001E-2</v>
      </c>
      <c r="AA4746">
        <v>0.99838329999999997</v>
      </c>
      <c r="AB4746">
        <v>28</v>
      </c>
      <c r="AC4746">
        <v>-0.80130000000002599</v>
      </c>
      <c r="AD4746">
        <v>-1.1069061271489999</v>
      </c>
      <c r="AE4746">
        <v>-33.75027</v>
      </c>
      <c r="AF4746">
        <v>1.7677269737965799</v>
      </c>
      <c r="AG4746">
        <v>-1.1069061271489999</v>
      </c>
      <c r="AH4746">
        <v>33.677164542654197</v>
      </c>
      <c r="AI4746">
        <v>91.879942412486002</v>
      </c>
      <c r="AJ4746">
        <v>86.9952806339478</v>
      </c>
      <c r="AK4746">
        <v>33.741688035147398</v>
      </c>
      <c r="AL4746">
        <v>80.293296609401693</v>
      </c>
      <c r="AM4746">
        <v>89.796159249149497</v>
      </c>
      <c r="AN4746">
        <v>0.99999998808896395</v>
      </c>
    </row>
    <row r="4747" spans="1:40" x14ac:dyDescent="0.25">
      <c r="A4747" t="str">
        <f>"20190304155513165"</f>
        <v>20190304155513165</v>
      </c>
      <c r="B4747" t="str">
        <f>"1551686113162011"</f>
        <v>1551686113162011</v>
      </c>
      <c r="C4747" t="s">
        <v>40</v>
      </c>
      <c r="D4747">
        <v>4.6472540000000002</v>
      </c>
      <c r="E4747">
        <v>0.51333430000000002</v>
      </c>
      <c r="F4747" t="s">
        <v>74</v>
      </c>
      <c r="G4747">
        <v>-301.65559999999999</v>
      </c>
      <c r="H4747" s="1">
        <v>-4.7577000000000002E-6</v>
      </c>
      <c r="I4747">
        <v>-48.293370000000003</v>
      </c>
      <c r="J4747">
        <v>-300.86579999999998</v>
      </c>
      <c r="K4747">
        <v>1.106894</v>
      </c>
      <c r="L4747">
        <v>-13.716430000000001</v>
      </c>
      <c r="M4747">
        <v>2.3210080000000001E-2</v>
      </c>
      <c r="N4747">
        <v>-9.0568579999999992E-3</v>
      </c>
      <c r="O4747">
        <v>-0.99968959999999996</v>
      </c>
      <c r="P4747">
        <v>2.3682470000000001E-2</v>
      </c>
      <c r="Q4747">
        <v>0.16067219999999999</v>
      </c>
      <c r="R4747">
        <v>-0.98672349999999998</v>
      </c>
      <c r="S4747">
        <v>-6.8511959999999997E-2</v>
      </c>
      <c r="T4747">
        <v>-9.6724389999999993E-2</v>
      </c>
      <c r="U4747">
        <v>-3.0574949999999999</v>
      </c>
      <c r="V4747">
        <v>4.1534120000000002E-4</v>
      </c>
      <c r="W4747">
        <v>0.16960610000000001</v>
      </c>
      <c r="X4747">
        <v>0.98551180000000005</v>
      </c>
      <c r="Y4747">
        <v>4.5587320000000001E-2</v>
      </c>
      <c r="Z4747">
        <v>2.25302E-2</v>
      </c>
      <c r="AA4747">
        <v>0.99870630000000005</v>
      </c>
      <c r="AB4747">
        <v>28</v>
      </c>
      <c r="AC4747">
        <v>-0.78980000000001305</v>
      </c>
      <c r="AD4747">
        <v>-1.1068987577</v>
      </c>
      <c r="AE4747">
        <v>-34.57694</v>
      </c>
      <c r="AF4747">
        <v>1.5905245330153499</v>
      </c>
      <c r="AG4747">
        <v>-1.1068987577</v>
      </c>
      <c r="AH4747">
        <v>34.513940742208597</v>
      </c>
      <c r="AI4747">
        <v>91.834960845137005</v>
      </c>
      <c r="AJ4747">
        <v>87.3614744613933</v>
      </c>
      <c r="AK4747">
        <v>34.568296149891601</v>
      </c>
      <c r="AL4747">
        <v>80.235081878767303</v>
      </c>
      <c r="AM4747">
        <v>89.975852854923701</v>
      </c>
      <c r="AN4747">
        <v>0.99999995480238002</v>
      </c>
    </row>
    <row r="4748" spans="1:40" x14ac:dyDescent="0.25">
      <c r="A4748" t="str">
        <f>"20190304155513199"</f>
        <v>20190304155513199</v>
      </c>
      <c r="B4748" t="str">
        <f>"1551686113192267"</f>
        <v>1551686113192267</v>
      </c>
      <c r="C4748" t="s">
        <v>40</v>
      </c>
      <c r="D4748">
        <v>4.7858289999999997</v>
      </c>
      <c r="E4748">
        <v>0.51215259999999996</v>
      </c>
      <c r="F4748" t="s">
        <v>74</v>
      </c>
      <c r="G4748">
        <v>-301.59089999999998</v>
      </c>
      <c r="H4748" s="1">
        <v>-5.7500930000000002E-6</v>
      </c>
      <c r="I4748">
        <v>-50.248399999999997</v>
      </c>
      <c r="J4748">
        <v>-300.86219999999997</v>
      </c>
      <c r="K4748">
        <v>1.1068800000000001</v>
      </c>
      <c r="L4748">
        <v>-14.15085</v>
      </c>
      <c r="M4748">
        <v>1.7451069999999999E-2</v>
      </c>
      <c r="N4748">
        <v>-9.0448200000000003E-3</v>
      </c>
      <c r="O4748">
        <v>-0.99980690000000005</v>
      </c>
      <c r="P4748">
        <v>2.0622850000000002E-2</v>
      </c>
      <c r="Q4748">
        <v>0.16104879999999999</v>
      </c>
      <c r="R4748">
        <v>-0.98673140000000004</v>
      </c>
      <c r="S4748">
        <v>-6.0668949999999999E-2</v>
      </c>
      <c r="T4748">
        <v>-9.2622999999999997E-2</v>
      </c>
      <c r="U4748">
        <v>-3.056915</v>
      </c>
      <c r="V4748">
        <v>-2.2036439999999998E-3</v>
      </c>
      <c r="W4748">
        <v>0.1699891</v>
      </c>
      <c r="X4748">
        <v>0.98544350000000003</v>
      </c>
      <c r="Y4748">
        <v>3.7276770000000001E-2</v>
      </c>
      <c r="Z4748">
        <v>2.12217E-2</v>
      </c>
      <c r="AA4748">
        <v>0.99907959999999996</v>
      </c>
      <c r="AB4748">
        <v>28</v>
      </c>
      <c r="AC4748">
        <v>-0.72870000000000301</v>
      </c>
      <c r="AD4748">
        <v>-1.1068857500929901</v>
      </c>
      <c r="AE4748">
        <v>-36.097549999999998</v>
      </c>
      <c r="AF4748">
        <v>1.3572799230780499</v>
      </c>
      <c r="AG4748">
        <v>-1.1068857500929901</v>
      </c>
      <c r="AH4748">
        <v>36.045456982389801</v>
      </c>
      <c r="AI4748">
        <v>91.757644183959698</v>
      </c>
      <c r="AJ4748">
        <v>87.843564914480396</v>
      </c>
      <c r="AK4748">
        <v>36.0879810175446</v>
      </c>
      <c r="AL4748">
        <v>80.212814898337697</v>
      </c>
      <c r="AM4748">
        <v>90.128124332134206</v>
      </c>
      <c r="AN4748">
        <v>1.0000000209289599</v>
      </c>
    </row>
    <row r="4749" spans="1:40" x14ac:dyDescent="0.25">
      <c r="A4749" t="str">
        <f>"20190304155513232"</f>
        <v>20190304155513232</v>
      </c>
      <c r="B4749" t="str">
        <f>"1551686113222523"</f>
        <v>1551686113222523</v>
      </c>
      <c r="C4749" t="s">
        <v>40</v>
      </c>
      <c r="D4749">
        <v>4.7535809999999996</v>
      </c>
      <c r="E4749">
        <v>0.51118889999999995</v>
      </c>
      <c r="F4749" t="s">
        <v>74</v>
      </c>
      <c r="G4749">
        <v>-301.5797</v>
      </c>
      <c r="H4749" s="1">
        <v>-6.0648190000000003E-6</v>
      </c>
      <c r="I4749">
        <v>-50.98874</v>
      </c>
      <c r="J4749">
        <v>-300.86110000000002</v>
      </c>
      <c r="K4749">
        <v>1.106878</v>
      </c>
      <c r="L4749">
        <v>-14.578029999999901</v>
      </c>
      <c r="M4749">
        <v>1.181463E-2</v>
      </c>
      <c r="N4749">
        <v>-9.0365919999999995E-3</v>
      </c>
      <c r="O4749">
        <v>-0.99988960000000005</v>
      </c>
      <c r="P4749">
        <v>1.8188329999999999E-2</v>
      </c>
      <c r="Q4749">
        <v>0.16100789999999901</v>
      </c>
      <c r="R4749">
        <v>-0.98678569999999999</v>
      </c>
      <c r="S4749">
        <v>-5.9539790000000002E-2</v>
      </c>
      <c r="T4749">
        <v>-9.1842530000000006E-2</v>
      </c>
      <c r="U4749">
        <v>-3.0565799999999999</v>
      </c>
      <c r="V4749">
        <v>-5.3303419999999897E-3</v>
      </c>
      <c r="W4749">
        <v>0.16996140000000001</v>
      </c>
      <c r="X4749">
        <v>0.98543630000000004</v>
      </c>
      <c r="Y4749">
        <v>3.1277230000000003E-2</v>
      </c>
      <c r="Z4749">
        <v>2.0985819999999999E-2</v>
      </c>
      <c r="AA4749">
        <v>0.99929040000000002</v>
      </c>
      <c r="AB4749">
        <v>28</v>
      </c>
      <c r="AC4749">
        <v>-0.71859999999998003</v>
      </c>
      <c r="AD4749">
        <v>-1.1068840648189999</v>
      </c>
      <c r="AE4749">
        <v>-36.410709999999902</v>
      </c>
      <c r="AF4749">
        <v>1.14768614488663</v>
      </c>
      <c r="AG4749">
        <v>-1.1068840648189999</v>
      </c>
      <c r="AH4749">
        <v>36.366083262057202</v>
      </c>
      <c r="AI4749">
        <v>91.742521494702004</v>
      </c>
      <c r="AJ4749">
        <v>88.192388394857602</v>
      </c>
      <c r="AK4749">
        <v>36.401021793941297</v>
      </c>
      <c r="AL4749">
        <v>80.214425177938097</v>
      </c>
      <c r="AM4749">
        <v>90.309916654614895</v>
      </c>
      <c r="AN4749">
        <v>0.99999999569674303</v>
      </c>
    </row>
    <row r="4750" spans="1:40" x14ac:dyDescent="0.25">
      <c r="A4750" t="str">
        <f>"20190304155513266"</f>
        <v>20190304155513266</v>
      </c>
      <c r="B4750" t="str">
        <f>"1551686113262539"</f>
        <v>1551686113262539</v>
      </c>
      <c r="C4750" t="s">
        <v>40</v>
      </c>
      <c r="D4750">
        <v>4.7365069999999996</v>
      </c>
      <c r="E4750">
        <v>0.51034000000000002</v>
      </c>
      <c r="F4750" t="s">
        <v>74</v>
      </c>
      <c r="G4750">
        <v>-301.55259999999998</v>
      </c>
      <c r="H4750" s="1">
        <v>-5.7077389999999996E-6</v>
      </c>
      <c r="I4750">
        <v>-50.169629999999998</v>
      </c>
      <c r="J4750">
        <v>-300.8623</v>
      </c>
      <c r="K4750">
        <v>1.106876</v>
      </c>
      <c r="L4750">
        <v>-15.00742</v>
      </c>
      <c r="M4750">
        <v>6.189338E-3</v>
      </c>
      <c r="N4750">
        <v>-9.0308609999999994E-3</v>
      </c>
      <c r="O4750">
        <v>-0.9999403</v>
      </c>
      <c r="P4750">
        <v>1.561853E-2</v>
      </c>
      <c r="Q4750">
        <v>0.16095499999999999</v>
      </c>
      <c r="R4750">
        <v>-0.9868384</v>
      </c>
      <c r="S4750">
        <v>-5.9387210000000003E-2</v>
      </c>
      <c r="T4750">
        <v>-9.5064999999999997E-2</v>
      </c>
      <c r="U4750">
        <v>-3.0567929999999999</v>
      </c>
      <c r="V4750">
        <v>-8.3137149999999993E-3</v>
      </c>
      <c r="W4750">
        <v>0.16992380000000001</v>
      </c>
      <c r="X4750">
        <v>0.98542209999999997</v>
      </c>
      <c r="Y4750">
        <v>2.5602969999999999E-2</v>
      </c>
      <c r="Z4750">
        <v>2.2047339999999999E-2</v>
      </c>
      <c r="AA4750">
        <v>0.99942900000000001</v>
      </c>
      <c r="AB4750">
        <v>28</v>
      </c>
      <c r="AC4750">
        <v>-0.69029999999997904</v>
      </c>
      <c r="AD4750">
        <v>-1.1068817077390001</v>
      </c>
      <c r="AE4750">
        <v>-35.162209999999902</v>
      </c>
      <c r="AF4750">
        <v>0.90702793392139802</v>
      </c>
      <c r="AG4750">
        <v>-1.1068817077390001</v>
      </c>
      <c r="AH4750">
        <v>35.122472696964699</v>
      </c>
      <c r="AI4750">
        <v>91.804472912637294</v>
      </c>
      <c r="AJ4750">
        <v>88.520681484328193</v>
      </c>
      <c r="AK4750">
        <v>35.1516141185135</v>
      </c>
      <c r="AL4750">
        <v>80.216610999489106</v>
      </c>
      <c r="AM4750">
        <v>90.483376088681894</v>
      </c>
      <c r="AN4750">
        <v>0.99999996541597402</v>
      </c>
    </row>
    <row r="4751" spans="1:40" x14ac:dyDescent="0.25">
      <c r="A4751" t="str">
        <f>"20190304155513300"</f>
        <v>20190304155513300</v>
      </c>
      <c r="B4751" t="str">
        <f>"1551686113292795"</f>
        <v>1551686113292795</v>
      </c>
      <c r="C4751" t="s">
        <v>40</v>
      </c>
      <c r="D4751">
        <v>4.7354200000000004</v>
      </c>
      <c r="E4751">
        <v>0.50965859999999996</v>
      </c>
      <c r="F4751" t="s">
        <v>74</v>
      </c>
      <c r="G4751">
        <v>-301.5489</v>
      </c>
      <c r="H4751" s="1">
        <v>-5.5322280000000001E-6</v>
      </c>
      <c r="I4751">
        <v>-49.825600000000001</v>
      </c>
      <c r="J4751">
        <v>-300.86599999999999</v>
      </c>
      <c r="K4751">
        <v>1.1068880000000001</v>
      </c>
      <c r="L4751">
        <v>-15.44791</v>
      </c>
      <c r="M4751">
        <v>4.7705369999999998E-4</v>
      </c>
      <c r="N4751">
        <v>-9.0273249999999992E-3</v>
      </c>
      <c r="O4751">
        <v>-0.9999593</v>
      </c>
      <c r="P4751">
        <v>1.3585379999999999E-2</v>
      </c>
      <c r="Q4751">
        <v>0.16116759999999999</v>
      </c>
      <c r="R4751">
        <v>-0.98683359999999998</v>
      </c>
      <c r="S4751">
        <v>-6.0272220000000001E-2</v>
      </c>
      <c r="T4751">
        <v>-9.7177390000000002E-2</v>
      </c>
      <c r="U4751">
        <v>-3.0568240000000002</v>
      </c>
      <c r="V4751">
        <v>-1.192142E-2</v>
      </c>
      <c r="W4751">
        <v>0.17015729999999901</v>
      </c>
      <c r="X4751">
        <v>0.98534480000000002</v>
      </c>
      <c r="Y4751">
        <v>2.0181600000000001E-2</v>
      </c>
      <c r="Z4751">
        <v>2.2743840000000001E-2</v>
      </c>
      <c r="AA4751">
        <v>0.99953760000000003</v>
      </c>
      <c r="AB4751">
        <v>29</v>
      </c>
      <c r="AC4751">
        <v>-0.68290000000001705</v>
      </c>
      <c r="AD4751">
        <v>-1.10689353222799</v>
      </c>
      <c r="AE4751">
        <v>-34.377690000000001</v>
      </c>
      <c r="AF4751">
        <v>0.69857665468653996</v>
      </c>
      <c r="AG4751">
        <v>-1.10689353222799</v>
      </c>
      <c r="AH4751">
        <v>34.3417717953294</v>
      </c>
      <c r="AI4751">
        <v>91.845719434352404</v>
      </c>
      <c r="AJ4751">
        <v>88.834656090624904</v>
      </c>
      <c r="AK4751">
        <v>34.366706456636798</v>
      </c>
      <c r="AL4751">
        <v>80.203035075546396</v>
      </c>
      <c r="AM4751">
        <v>90.693172305529799</v>
      </c>
      <c r="AN4751">
        <v>1.00000000094257</v>
      </c>
    </row>
    <row r="4752" spans="1:40" x14ac:dyDescent="0.25">
      <c r="A4752" t="str">
        <f>"20190304155513345"</f>
        <v>20190304155513345</v>
      </c>
      <c r="B4752" t="str">
        <f>"1551686113332811"</f>
        <v>1551686113332811</v>
      </c>
      <c r="C4752" t="s">
        <v>40</v>
      </c>
      <c r="D4752">
        <v>4.745546</v>
      </c>
      <c r="E4752">
        <v>0.50889680000000004</v>
      </c>
      <c r="F4752" t="s">
        <v>74</v>
      </c>
      <c r="G4752">
        <v>-301.5652</v>
      </c>
      <c r="H4752" s="1">
        <v>-5.9198329999999999E-6</v>
      </c>
      <c r="I4752">
        <v>-50.63485</v>
      </c>
      <c r="J4752">
        <v>-300.87450000000001</v>
      </c>
      <c r="K4752">
        <v>1.1069340000000001</v>
      </c>
      <c r="L4752">
        <v>-16.020229999999898</v>
      </c>
      <c r="M4752">
        <v>-6.7914200000000003E-3</v>
      </c>
      <c r="N4752">
        <v>-9.0493959999999995E-3</v>
      </c>
      <c r="O4752">
        <v>-0.99993620000000005</v>
      </c>
      <c r="P4752">
        <v>1.160197E-2</v>
      </c>
      <c r="Q4752">
        <v>0.1614293</v>
      </c>
      <c r="R4752">
        <v>-0.98681600000000003</v>
      </c>
      <c r="S4752">
        <v>-6.0729980000000003E-2</v>
      </c>
      <c r="T4752">
        <v>-9.6151470000000003E-2</v>
      </c>
      <c r="U4752">
        <v>-3.056549</v>
      </c>
      <c r="V4752">
        <v>-1.7126200000000001E-2</v>
      </c>
      <c r="W4752">
        <v>0.1704745</v>
      </c>
      <c r="X4752">
        <v>0.98521320000000001</v>
      </c>
      <c r="Y4752">
        <v>1.3066700000000001E-2</v>
      </c>
      <c r="Z4752">
        <v>2.239085E-2</v>
      </c>
      <c r="AA4752">
        <v>0.99966390000000005</v>
      </c>
      <c r="AB4752">
        <v>29</v>
      </c>
      <c r="AC4752">
        <v>-0.69069999999999199</v>
      </c>
      <c r="AD4752">
        <v>-1.1069399198330001</v>
      </c>
      <c r="AE4752">
        <v>-34.614620000000002</v>
      </c>
      <c r="AF4752">
        <v>0.455126818005962</v>
      </c>
      <c r="AG4752">
        <v>-1.1069399198330001</v>
      </c>
      <c r="AH4752">
        <v>34.5831601282365</v>
      </c>
      <c r="AI4752">
        <v>91.833142298786399</v>
      </c>
      <c r="AJ4752">
        <v>89.246010474045804</v>
      </c>
      <c r="AK4752">
        <v>34.603864247535</v>
      </c>
      <c r="AL4752">
        <v>80.184590934090494</v>
      </c>
      <c r="AM4752">
        <v>90.995886128006205</v>
      </c>
      <c r="AN4752">
        <v>0.99999995566546396</v>
      </c>
    </row>
    <row r="4753" spans="1:40" x14ac:dyDescent="0.25">
      <c r="A4753" t="str">
        <f>"20190304155513374"</f>
        <v>20190304155513374</v>
      </c>
      <c r="B4753" t="str">
        <f>"1551686113363066"</f>
        <v>1551686113363066</v>
      </c>
      <c r="C4753" t="s">
        <v>40</v>
      </c>
      <c r="D4753">
        <v>4.7954840000000001</v>
      </c>
      <c r="E4753">
        <v>0.50841119999999995</v>
      </c>
      <c r="F4753" t="s">
        <v>74</v>
      </c>
      <c r="G4753">
        <v>-301.5591</v>
      </c>
      <c r="H4753" s="1">
        <v>-6.1004110000000002E-6</v>
      </c>
      <c r="I4753">
        <v>-51.079059999999998</v>
      </c>
      <c r="J4753">
        <v>-300.88260000000002</v>
      </c>
      <c r="K4753">
        <v>1.1069830000000001</v>
      </c>
      <c r="L4753">
        <v>-16.41855</v>
      </c>
      <c r="M4753">
        <v>-1.171759E-2</v>
      </c>
      <c r="N4753">
        <v>-9.0868579999999997E-3</v>
      </c>
      <c r="O4753">
        <v>-0.99989019999999995</v>
      </c>
      <c r="P4753">
        <v>9.4660019999999994E-3</v>
      </c>
      <c r="Q4753">
        <v>0.16140379999999999</v>
      </c>
      <c r="R4753">
        <v>-0.98684320000000003</v>
      </c>
      <c r="S4753">
        <v>-5.9692380000000003E-2</v>
      </c>
      <c r="T4753">
        <v>-9.6507789999999996E-2</v>
      </c>
      <c r="U4753">
        <v>-3.0565799999999999</v>
      </c>
      <c r="V4753">
        <v>-1.9870059999999998E-2</v>
      </c>
      <c r="W4753">
        <v>0.17050219999999999</v>
      </c>
      <c r="X4753">
        <v>0.98515699999999995</v>
      </c>
      <c r="Y4753">
        <v>7.8018669999999997E-3</v>
      </c>
      <c r="Z4753">
        <v>2.2468740000000001E-2</v>
      </c>
      <c r="AA4753">
        <v>0.99971710000000003</v>
      </c>
      <c r="AB4753">
        <v>29</v>
      </c>
      <c r="AC4753">
        <v>-0.67649999999997501</v>
      </c>
      <c r="AD4753">
        <v>-1.106989100411</v>
      </c>
      <c r="AE4753">
        <v>-34.660509999999903</v>
      </c>
      <c r="AF4753">
        <v>0.27002386608390699</v>
      </c>
      <c r="AG4753">
        <v>-1.106989100411</v>
      </c>
      <c r="AH4753">
        <v>34.630746259802898</v>
      </c>
      <c r="AI4753">
        <v>91.830809174852405</v>
      </c>
      <c r="AJ4753">
        <v>89.553260728020206</v>
      </c>
      <c r="AK4753">
        <v>34.6494866378643</v>
      </c>
      <c r="AL4753">
        <v>80.182981364644107</v>
      </c>
      <c r="AM4753">
        <v>91.155466829566393</v>
      </c>
      <c r="AN4753">
        <v>1.00000006706911</v>
      </c>
    </row>
    <row r="4754" spans="1:40" x14ac:dyDescent="0.25">
      <c r="A4754" t="str">
        <f>"20190304155513399"</f>
        <v>20190304155513399</v>
      </c>
      <c r="B4754" t="str">
        <f>"1551686113392348"</f>
        <v>1551686113392348</v>
      </c>
      <c r="C4754" t="s">
        <v>40</v>
      </c>
      <c r="D4754">
        <v>4.8241040000000002</v>
      </c>
      <c r="E4754">
        <v>0.50800159999999905</v>
      </c>
      <c r="F4754" t="s">
        <v>74</v>
      </c>
      <c r="G4754">
        <v>-301.59679999999997</v>
      </c>
      <c r="H4754" s="1">
        <v>-6.2529160000000003E-6</v>
      </c>
      <c r="I4754">
        <v>-51.44811</v>
      </c>
      <c r="J4754">
        <v>-300.89019999999999</v>
      </c>
      <c r="K4754">
        <v>1.1070329999999999</v>
      </c>
      <c r="L4754">
        <v>-16.728670000000001</v>
      </c>
      <c r="M4754">
        <v>-1.547687E-2</v>
      </c>
      <c r="N4754">
        <v>-9.1279220000000001E-3</v>
      </c>
      <c r="O4754">
        <v>-0.99983869999999997</v>
      </c>
      <c r="P4754">
        <v>8.0370379999999998E-3</v>
      </c>
      <c r="Q4754">
        <v>0.16167870000000001</v>
      </c>
      <c r="R4754">
        <v>-0.98681099999999999</v>
      </c>
      <c r="S4754">
        <v>-6.231689E-2</v>
      </c>
      <c r="T4754">
        <v>-9.6586939999999996E-2</v>
      </c>
      <c r="U4754">
        <v>-3.0563959999999999</v>
      </c>
      <c r="V4754">
        <v>-2.216303E-2</v>
      </c>
      <c r="W4754">
        <v>0.1708297</v>
      </c>
      <c r="X4754">
        <v>0.98505129999999996</v>
      </c>
      <c r="Y4754">
        <v>4.9019770000000001E-3</v>
      </c>
      <c r="Z4754">
        <v>2.245343E-2</v>
      </c>
      <c r="AA4754">
        <v>0.99973590000000001</v>
      </c>
      <c r="AB4754">
        <v>29</v>
      </c>
      <c r="AC4754">
        <v>-0.70659999999998002</v>
      </c>
      <c r="AD4754">
        <v>-1.107039252916</v>
      </c>
      <c r="AE4754">
        <v>-34.719439999999999</v>
      </c>
      <c r="AF4754">
        <v>0.16897307017771701</v>
      </c>
      <c r="AG4754">
        <v>-1.107039252916</v>
      </c>
      <c r="AH4754">
        <v>34.690962873034501</v>
      </c>
      <c r="AI4754">
        <v>91.827750011119804</v>
      </c>
      <c r="AJ4754">
        <v>89.720925382045905</v>
      </c>
      <c r="AK4754">
        <v>34.709033303510502</v>
      </c>
      <c r="AL4754">
        <v>80.163937187818505</v>
      </c>
      <c r="AM4754">
        <v>91.288901268886093</v>
      </c>
      <c r="AN4754">
        <v>1.0000000249662799</v>
      </c>
    </row>
    <row r="4755" spans="1:40" x14ac:dyDescent="0.25">
      <c r="A4755" t="str">
        <f>"20190304155513433"</f>
        <v>20190304155513433</v>
      </c>
      <c r="B4755" t="str">
        <f>"1551686113422603"</f>
        <v>1551686113422603</v>
      </c>
      <c r="C4755" t="s">
        <v>40</v>
      </c>
      <c r="D4755">
        <v>4.6800569999999997</v>
      </c>
      <c r="E4755">
        <v>0.50758890000000001</v>
      </c>
      <c r="F4755" t="s">
        <v>74</v>
      </c>
      <c r="G4755">
        <v>-301.62090000000001</v>
      </c>
      <c r="H4755" s="1">
        <v>-6.5459259999999997E-6</v>
      </c>
      <c r="I4755">
        <v>-52.164079999999998</v>
      </c>
      <c r="J4755">
        <v>-300.90320000000003</v>
      </c>
      <c r="K4755">
        <v>1.107146</v>
      </c>
      <c r="L4755">
        <v>-17.177859999999999</v>
      </c>
      <c r="M4755">
        <v>-2.0710969999999999E-2</v>
      </c>
      <c r="N4755">
        <v>-9.232166E-3</v>
      </c>
      <c r="O4755">
        <v>-0.99974300000000005</v>
      </c>
      <c r="P4755">
        <v>7.709329E-3</v>
      </c>
      <c r="Q4755">
        <v>0.16083039999999901</v>
      </c>
      <c r="R4755">
        <v>-0.98695200000000005</v>
      </c>
      <c r="S4755">
        <v>-6.30188E-2</v>
      </c>
      <c r="T4755">
        <v>-9.5480319999999994E-2</v>
      </c>
      <c r="U4755">
        <v>-3.056244</v>
      </c>
      <c r="V4755">
        <v>-2.7042670000000001E-2</v>
      </c>
      <c r="W4755">
        <v>0.17011180000000001</v>
      </c>
      <c r="X4755">
        <v>0.98505370000000003</v>
      </c>
      <c r="Y4755">
        <v>-1.0153379999999999E-4</v>
      </c>
      <c r="Z4755">
        <v>2.1985459999999998E-2</v>
      </c>
      <c r="AA4755">
        <v>0.99975829999999999</v>
      </c>
      <c r="AB4755">
        <v>29</v>
      </c>
      <c r="AC4755">
        <v>-0.71769999999997902</v>
      </c>
      <c r="AD4755">
        <v>-1.1071525459260001</v>
      </c>
      <c r="AE4755">
        <v>-34.986220000000003</v>
      </c>
      <c r="AF4755">
        <v>-7.0762193814013497E-3</v>
      </c>
      <c r="AG4755">
        <v>-1.1071525459260001</v>
      </c>
      <c r="AH4755">
        <v>34.958586009032999</v>
      </c>
      <c r="AI4755">
        <v>91.813974135018995</v>
      </c>
      <c r="AJ4755">
        <v>90.011597651570298</v>
      </c>
      <c r="AK4755">
        <v>34.976114315112099</v>
      </c>
      <c r="AL4755">
        <v>80.205681198993403</v>
      </c>
      <c r="AM4755">
        <v>91.572545519307297</v>
      </c>
      <c r="AN4755">
        <v>1.0000000611918201</v>
      </c>
    </row>
    <row r="4756" spans="1:40" x14ac:dyDescent="0.25">
      <c r="A4756" t="str">
        <f>"20190304155513478"</f>
        <v>20190304155513478</v>
      </c>
      <c r="B4756" t="str">
        <f>"1551686113472379"</f>
        <v>1551686113472379</v>
      </c>
      <c r="C4756" t="s">
        <v>40</v>
      </c>
      <c r="D4756">
        <v>4.7844769999999999</v>
      </c>
      <c r="E4756">
        <v>0.50701309999999999</v>
      </c>
      <c r="F4756" t="s">
        <v>74</v>
      </c>
      <c r="G4756">
        <v>-301.56189999999998</v>
      </c>
      <c r="H4756" s="1">
        <v>-6.0649299999999997E-6</v>
      </c>
      <c r="I4756">
        <v>-50.991549999999997</v>
      </c>
      <c r="J4756">
        <v>-300.92320000000001</v>
      </c>
      <c r="K4756">
        <v>1.107308</v>
      </c>
      <c r="L4756">
        <v>-17.764589999999998</v>
      </c>
      <c r="M4756">
        <v>-2.7201070000000001E-2</v>
      </c>
      <c r="N4756">
        <v>-9.4123450000000008E-3</v>
      </c>
      <c r="O4756">
        <v>-0.99958570000000002</v>
      </c>
      <c r="P4756">
        <v>7.2061709999999999E-3</v>
      </c>
      <c r="Q4756">
        <v>0.1596236</v>
      </c>
      <c r="R4756">
        <v>-0.98715169999999997</v>
      </c>
      <c r="S4756">
        <v>-5.9539790000000002E-2</v>
      </c>
      <c r="T4756">
        <v>-0.1000757</v>
      </c>
      <c r="U4756">
        <v>-3.0564269999999998</v>
      </c>
      <c r="V4756">
        <v>-3.3013229999999998E-2</v>
      </c>
      <c r="W4756">
        <v>0.16910989999999901</v>
      </c>
      <c r="X4756">
        <v>0.98504409999999998</v>
      </c>
      <c r="Y4756">
        <v>-7.7315769999999999E-3</v>
      </c>
      <c r="Z4756">
        <v>2.3297180000000001E-2</v>
      </c>
      <c r="AA4756">
        <v>0.99969870000000005</v>
      </c>
      <c r="AB4756">
        <v>29</v>
      </c>
      <c r="AC4756">
        <v>-0.63869999999997096</v>
      </c>
      <c r="AD4756">
        <v>-1.10731406493</v>
      </c>
      <c r="AE4756">
        <v>-33.226959999999998</v>
      </c>
      <c r="AF4756">
        <v>-0.26509092271780099</v>
      </c>
      <c r="AG4756">
        <v>-1.10731406493</v>
      </c>
      <c r="AH4756">
        <v>33.195185256385201</v>
      </c>
      <c r="AI4756">
        <v>91.9104844505964</v>
      </c>
      <c r="AJ4756">
        <v>90.4575443118636</v>
      </c>
      <c r="AK4756">
        <v>33.2147067101522</v>
      </c>
      <c r="AL4756">
        <v>80.263928755626097</v>
      </c>
      <c r="AM4756">
        <v>91.9195191636489</v>
      </c>
      <c r="AN4756">
        <v>0.99999995528892505</v>
      </c>
    </row>
    <row r="4757" spans="1:40" x14ac:dyDescent="0.25">
      <c r="A4757" t="str">
        <f>"20190304155513525"</f>
        <v>20190304155513525</v>
      </c>
      <c r="B4757" t="str">
        <f>"1551686113512395"</f>
        <v>1551686113512395</v>
      </c>
      <c r="C4757" t="s">
        <v>40</v>
      </c>
      <c r="D4757">
        <v>4.8904009999999998</v>
      </c>
      <c r="E4757">
        <v>0.50658449999999999</v>
      </c>
      <c r="F4757" t="s">
        <v>74</v>
      </c>
      <c r="G4757">
        <v>-301.52670000000001</v>
      </c>
      <c r="H4757" s="1">
        <v>-5.4735899999999997E-6</v>
      </c>
      <c r="I4757">
        <v>-49.713039999999999</v>
      </c>
      <c r="J4757">
        <v>-300.94670000000002</v>
      </c>
      <c r="K4757">
        <v>1.1074740000000001</v>
      </c>
      <c r="L4757">
        <v>-18.35455</v>
      </c>
      <c r="M4757">
        <v>-3.3314419999999997E-2</v>
      </c>
      <c r="N4757">
        <v>-9.6235910000000008E-3</v>
      </c>
      <c r="O4757">
        <v>-0.99939860000000003</v>
      </c>
      <c r="P4757">
        <v>7.4683859999999996E-3</v>
      </c>
      <c r="Q4757">
        <v>0.1578611</v>
      </c>
      <c r="R4757">
        <v>-0.98743329999999996</v>
      </c>
      <c r="S4757">
        <v>-5.7739260000000001E-2</v>
      </c>
      <c r="T4757">
        <v>-0.1059402</v>
      </c>
      <c r="U4757">
        <v>-3.05661</v>
      </c>
      <c r="V4757">
        <v>-3.938415E-2</v>
      </c>
      <c r="W4757">
        <v>0.16758129999999999</v>
      </c>
      <c r="X4757">
        <v>0.98507120000000004</v>
      </c>
      <c r="Y4757">
        <v>-1.443673E-2</v>
      </c>
      <c r="Z4757">
        <v>2.4988469999999999E-2</v>
      </c>
      <c r="AA4757">
        <v>0.99958349999999996</v>
      </c>
      <c r="AB4757">
        <v>29</v>
      </c>
      <c r="AC4757">
        <v>-0.57999999999998397</v>
      </c>
      <c r="AD4757">
        <v>-1.10747947359</v>
      </c>
      <c r="AE4757">
        <v>-31.35849</v>
      </c>
      <c r="AF4757">
        <v>-0.46448111231002198</v>
      </c>
      <c r="AG4757">
        <v>-1.10747947359</v>
      </c>
      <c r="AH4757">
        <v>31.3213523175435</v>
      </c>
      <c r="AI4757">
        <v>92.024833012235007</v>
      </c>
      <c r="AJ4757">
        <v>90.849607530782805</v>
      </c>
      <c r="AK4757">
        <v>31.344367348660999</v>
      </c>
      <c r="AL4757">
        <v>80.352778982066198</v>
      </c>
      <c r="AM4757">
        <v>92.289524226782902</v>
      </c>
      <c r="AN4757">
        <v>0.99999993622517402</v>
      </c>
    </row>
    <row r="4758" spans="1:40" x14ac:dyDescent="0.25">
      <c r="A4758" t="str">
        <f>"20190304155513568"</f>
        <v>20190304155513568</v>
      </c>
      <c r="B4758" t="str">
        <f>"1551686113562171"</f>
        <v>1551686113562171</v>
      </c>
      <c r="C4758" t="s">
        <v>40</v>
      </c>
      <c r="D4758">
        <v>4.4029499999999997</v>
      </c>
      <c r="E4758">
        <v>0.45108579999999998</v>
      </c>
      <c r="F4758" t="s">
        <v>74</v>
      </c>
      <c r="G4758">
        <v>-301.48750000000001</v>
      </c>
      <c r="H4758" s="1">
        <v>-5.0241309999999997E-6</v>
      </c>
      <c r="I4758">
        <v>-48.835410000000003</v>
      </c>
      <c r="J4758">
        <v>-300.97269999999997</v>
      </c>
      <c r="K4758">
        <v>1.107631</v>
      </c>
      <c r="L4758">
        <v>-18.93045</v>
      </c>
      <c r="M4758">
        <v>-3.8901850000000002E-2</v>
      </c>
      <c r="N4758">
        <v>-9.8525809999999991E-3</v>
      </c>
      <c r="O4758">
        <v>-0.99919440000000004</v>
      </c>
      <c r="P4758">
        <v>9.0899810000000004E-3</v>
      </c>
      <c r="Q4758">
        <v>0.15841150000000001</v>
      </c>
      <c r="R4758">
        <v>-0.98733159999999998</v>
      </c>
      <c r="S4758">
        <v>-5.4229739999999999E-2</v>
      </c>
      <c r="T4758">
        <v>-0.1110476</v>
      </c>
      <c r="U4758">
        <v>-3.0563349999999998</v>
      </c>
      <c r="V4758">
        <v>-4.6563300000000002E-2</v>
      </c>
      <c r="W4758">
        <v>0.1683809</v>
      </c>
      <c r="X4758">
        <v>0.98462159999999999</v>
      </c>
      <c r="Y4758">
        <v>-2.1171829999999999E-2</v>
      </c>
      <c r="Z4758">
        <v>2.6417039999999999E-2</v>
      </c>
      <c r="AA4758">
        <v>0.99942679999999995</v>
      </c>
      <c r="AB4758">
        <v>29</v>
      </c>
      <c r="AC4758">
        <v>-0.51480000000003601</v>
      </c>
      <c r="AD4758">
        <v>-1.1076360241309999</v>
      </c>
      <c r="AE4758">
        <v>-29.904959999999999</v>
      </c>
      <c r="AF4758">
        <v>-0.64811567622709099</v>
      </c>
      <c r="AG4758">
        <v>-1.1076360241309999</v>
      </c>
      <c r="AH4758">
        <v>29.861395163047501</v>
      </c>
      <c r="AI4758">
        <v>92.123774386708703</v>
      </c>
      <c r="AJ4758">
        <v>91.243359976526904</v>
      </c>
      <c r="AK4758">
        <v>29.8889583722049</v>
      </c>
      <c r="AL4758">
        <v>80.306305331470298</v>
      </c>
      <c r="AM4758">
        <v>92.707531930814596</v>
      </c>
      <c r="AN4758">
        <v>0.99999998178912897</v>
      </c>
    </row>
    <row r="4759" spans="1:40" x14ac:dyDescent="0.25">
      <c r="A4759" t="str">
        <f>"20190304155513612"</f>
        <v>20190304155513612</v>
      </c>
      <c r="B4759" t="str">
        <f>"1551686113602921"</f>
        <v>1551686113602921</v>
      </c>
      <c r="C4759" t="s">
        <v>40</v>
      </c>
      <c r="D4759">
        <v>4.3898089999999996</v>
      </c>
      <c r="E4759">
        <v>0.42475839999999998</v>
      </c>
      <c r="F4759" t="s">
        <v>93</v>
      </c>
      <c r="G4759">
        <v>-291.4957</v>
      </c>
      <c r="H4759">
        <v>0.14369009999999999</v>
      </c>
      <c r="I4759">
        <v>-91.564989999999995</v>
      </c>
      <c r="J4759">
        <v>-301.00240000000002</v>
      </c>
      <c r="K4759">
        <v>1.107809</v>
      </c>
      <c r="L4759">
        <v>-19.5213</v>
      </c>
      <c r="M4759">
        <v>-4.428733E-2</v>
      </c>
      <c r="N4759">
        <v>-1.015657E-2</v>
      </c>
      <c r="O4759">
        <v>-0.9989673</v>
      </c>
      <c r="P4759">
        <v>1.394227E-2</v>
      </c>
      <c r="Q4759">
        <v>0.15896589999999999</v>
      </c>
      <c r="R4759">
        <v>-0.9871858</v>
      </c>
      <c r="S4759">
        <v>0.39682010000000001</v>
      </c>
      <c r="T4759">
        <v>-4.0361170000000002E-2</v>
      </c>
      <c r="U4759">
        <v>-3.0413209999999999</v>
      </c>
      <c r="V4759">
        <v>-5.6767810000000002E-2</v>
      </c>
      <c r="W4759">
        <v>0.16926640000000001</v>
      </c>
      <c r="X4759">
        <v>0.98393410000000003</v>
      </c>
      <c r="Y4759">
        <v>-0.173149</v>
      </c>
      <c r="Z4759">
        <v>2.9088759999999999E-3</v>
      </c>
      <c r="AA4759">
        <v>0.98489139999999997</v>
      </c>
      <c r="AB4759">
        <v>29</v>
      </c>
      <c r="AC4759">
        <v>9.5067000000000199</v>
      </c>
      <c r="AD4759">
        <v>-0.9641189</v>
      </c>
      <c r="AE4759">
        <v>-72.043689999999998</v>
      </c>
      <c r="AF4759">
        <v>-12.685925316706101</v>
      </c>
      <c r="AG4759">
        <v>-0.9641189</v>
      </c>
      <c r="AH4759">
        <v>71.539355272463197</v>
      </c>
      <c r="AI4759">
        <v>90.760255621353593</v>
      </c>
      <c r="AJ4759">
        <v>100.055610951254</v>
      </c>
      <c r="AK4759">
        <v>72.661830276934893</v>
      </c>
      <c r="AL4759">
        <v>80.254831304472305</v>
      </c>
      <c r="AM4759">
        <v>93.302003872164903</v>
      </c>
      <c r="AN4759">
        <v>1.00000000578198</v>
      </c>
    </row>
    <row r="4760" spans="1:40" x14ac:dyDescent="0.25">
      <c r="A4760" t="str">
        <f>"20190304155513657"</f>
        <v>20190304155513657</v>
      </c>
      <c r="B4760" t="str">
        <f>"1551686113652696"</f>
        <v>1551686113652696</v>
      </c>
      <c r="C4760" t="s">
        <v>40</v>
      </c>
      <c r="D4760">
        <v>4.3360149999999997</v>
      </c>
      <c r="E4760">
        <v>0.41918610000000001</v>
      </c>
      <c r="F4760" t="s">
        <v>93</v>
      </c>
      <c r="G4760">
        <v>-288.13979999999998</v>
      </c>
      <c r="H4760">
        <v>0.2321491</v>
      </c>
      <c r="I4760">
        <v>-82.253140000000002</v>
      </c>
      <c r="J4760">
        <v>-301.03399999999999</v>
      </c>
      <c r="K4760">
        <v>1.1080159999999999</v>
      </c>
      <c r="L4760">
        <v>-20.096129999999999</v>
      </c>
      <c r="M4760">
        <v>-4.9163079999999998E-2</v>
      </c>
      <c r="N4760">
        <v>-1.051408E-2</v>
      </c>
      <c r="O4760">
        <v>-0.9987355</v>
      </c>
      <c r="P4760">
        <v>2.0612700000000001E-2</v>
      </c>
      <c r="Q4760">
        <v>0.16174520000000001</v>
      </c>
      <c r="R4760">
        <v>-0.98661759999999998</v>
      </c>
      <c r="S4760">
        <v>0.62271119999999902</v>
      </c>
      <c r="T4760">
        <v>-4.2392020000000002E-2</v>
      </c>
      <c r="U4760">
        <v>-3.0369869999999999</v>
      </c>
      <c r="V4760">
        <v>-6.825763E-2</v>
      </c>
      <c r="W4760">
        <v>0.17242080000000001</v>
      </c>
      <c r="X4760">
        <v>0.98265559999999996</v>
      </c>
      <c r="Y4760">
        <v>-0.2487521</v>
      </c>
      <c r="Z4760">
        <v>3.004919E-3</v>
      </c>
      <c r="AA4760">
        <v>0.96856249999999999</v>
      </c>
      <c r="AB4760">
        <v>29</v>
      </c>
      <c r="AC4760">
        <v>12.8942</v>
      </c>
      <c r="AD4760">
        <v>-0.875866899999999</v>
      </c>
      <c r="AE4760">
        <v>-62.15701</v>
      </c>
      <c r="AF4760">
        <v>-15.9315720073897</v>
      </c>
      <c r="AG4760">
        <v>-0.875866899999999</v>
      </c>
      <c r="AH4760">
        <v>61.436190079718699</v>
      </c>
      <c r="AI4760">
        <v>90.790635963684906</v>
      </c>
      <c r="AJ4760">
        <v>104.53766289804101</v>
      </c>
      <c r="AK4760">
        <v>63.4743064630444</v>
      </c>
      <c r="AL4760">
        <v>80.071400911981797</v>
      </c>
      <c r="AM4760">
        <v>93.973520571634296</v>
      </c>
      <c r="AN4760">
        <v>1.0000000322686</v>
      </c>
    </row>
    <row r="4761" spans="1:40" x14ac:dyDescent="0.25">
      <c r="A4761" t="str">
        <f>"20190304155513686"</f>
        <v>20190304155513686</v>
      </c>
      <c r="B4761" t="str">
        <f>"1551686113682953"</f>
        <v>1551686113682953</v>
      </c>
      <c r="C4761" t="s">
        <v>40</v>
      </c>
      <c r="D4761">
        <v>4.3196680000000001</v>
      </c>
      <c r="E4761">
        <v>0.41723339999999998</v>
      </c>
      <c r="F4761" t="s">
        <v>93</v>
      </c>
      <c r="G4761">
        <v>-287.36090000000002</v>
      </c>
      <c r="H4761">
        <v>0.254158</v>
      </c>
      <c r="I4761">
        <v>-80.464519999999993</v>
      </c>
      <c r="J4761">
        <v>-301.05669999999998</v>
      </c>
      <c r="K4761">
        <v>1.1081700000000001</v>
      </c>
      <c r="L4761">
        <v>-20.486630000000002</v>
      </c>
      <c r="M4761">
        <v>-5.2246729999999998E-2</v>
      </c>
      <c r="N4761">
        <v>-1.0769219999999999E-2</v>
      </c>
      <c r="O4761">
        <v>-0.99857620000000002</v>
      </c>
      <c r="P4761">
        <v>2.2473010000000002E-2</v>
      </c>
      <c r="Q4761">
        <v>0.16255229999999901</v>
      </c>
      <c r="R4761">
        <v>-0.98644419999999999</v>
      </c>
      <c r="S4761">
        <v>0.68704219999999905</v>
      </c>
      <c r="T4761">
        <v>-4.2903900000000002E-2</v>
      </c>
      <c r="U4761">
        <v>-3.0333860000000001</v>
      </c>
      <c r="V4761">
        <v>-7.3186810000000005E-2</v>
      </c>
      <c r="W4761">
        <v>0.17347699999999999</v>
      </c>
      <c r="X4761">
        <v>0.98211479999999995</v>
      </c>
      <c r="Y4761">
        <v>-0.27151920000000002</v>
      </c>
      <c r="Z4761">
        <v>2.8425490000000002E-3</v>
      </c>
      <c r="AA4761">
        <v>0.96242879999999997</v>
      </c>
      <c r="AB4761">
        <v>29</v>
      </c>
      <c r="AC4761">
        <v>13.695799999999901</v>
      </c>
      <c r="AD4761">
        <v>-0.85401199999999999</v>
      </c>
      <c r="AE4761">
        <v>-59.977890000000002</v>
      </c>
      <c r="AF4761">
        <v>-16.807683601813402</v>
      </c>
      <c r="AG4761">
        <v>-0.85401199999999999</v>
      </c>
      <c r="AH4761">
        <v>59.168959319493297</v>
      </c>
      <c r="AI4761">
        <v>90.795451857077794</v>
      </c>
      <c r="AJ4761">
        <v>105.857861074423</v>
      </c>
      <c r="AK4761">
        <v>61.515797251654497</v>
      </c>
      <c r="AL4761">
        <v>80.009959203836402</v>
      </c>
      <c r="AM4761">
        <v>94.261781880447003</v>
      </c>
      <c r="AN4761">
        <v>1.000000029533</v>
      </c>
    </row>
    <row r="4762" spans="1:40" x14ac:dyDescent="0.25">
      <c r="A4762" t="str">
        <f>"20190304155513713"</f>
        <v>20190304155513713</v>
      </c>
      <c r="B4762" t="str">
        <f>"1551686113702473"</f>
        <v>1551686113702473</v>
      </c>
      <c r="C4762" t="s">
        <v>40</v>
      </c>
      <c r="D4762">
        <v>4.4467299999999996</v>
      </c>
      <c r="E4762">
        <v>0.41625109999999899</v>
      </c>
      <c r="F4762" t="s">
        <v>93</v>
      </c>
      <c r="G4762">
        <v>-287.03730000000002</v>
      </c>
      <c r="H4762">
        <v>0.29265980000000003</v>
      </c>
      <c r="I4762">
        <v>-80.464519999999993</v>
      </c>
      <c r="J4762">
        <v>-301.07760000000002</v>
      </c>
      <c r="K4762">
        <v>1.1083130000000001</v>
      </c>
      <c r="L4762">
        <v>-20.8291</v>
      </c>
      <c r="M4762">
        <v>-5.4778710000000001E-2</v>
      </c>
      <c r="N4762">
        <v>-1.101183E-2</v>
      </c>
      <c r="O4762">
        <v>-0.99843780000000004</v>
      </c>
      <c r="P4762">
        <v>2.4897590000000001E-2</v>
      </c>
      <c r="Q4762">
        <v>0.16355939999999999</v>
      </c>
      <c r="R4762">
        <v>-0.98621939999999997</v>
      </c>
      <c r="S4762">
        <v>0.70867919999999995</v>
      </c>
      <c r="T4762">
        <v>-4.1223049999999997E-2</v>
      </c>
      <c r="U4762">
        <v>-3.03186</v>
      </c>
      <c r="V4762">
        <v>-7.8129229999999994E-2</v>
      </c>
      <c r="W4762">
        <v>0.17471900000000001</v>
      </c>
      <c r="X4762">
        <v>0.98151370000000004</v>
      </c>
      <c r="Y4762">
        <v>-0.28057369999999998</v>
      </c>
      <c r="Z4762">
        <v>2.0334390000000002E-3</v>
      </c>
      <c r="AA4762">
        <v>0.95983030000000003</v>
      </c>
      <c r="AB4762">
        <v>29</v>
      </c>
      <c r="AC4762">
        <v>14.0403</v>
      </c>
      <c r="AD4762">
        <v>-0.81565319999999897</v>
      </c>
      <c r="AE4762">
        <v>-59.635420000000003</v>
      </c>
      <c r="AF4762">
        <v>-17.283102310742599</v>
      </c>
      <c r="AG4762">
        <v>-0.81565319999999897</v>
      </c>
      <c r="AH4762">
        <v>58.766295532143403</v>
      </c>
      <c r="AI4762">
        <v>90.762887498986501</v>
      </c>
      <c r="AJ4762">
        <v>106.38855121674401</v>
      </c>
      <c r="AK4762">
        <v>61.260496294084099</v>
      </c>
      <c r="AL4762">
        <v>79.937694184000406</v>
      </c>
      <c r="AM4762">
        <v>94.551190864903703</v>
      </c>
      <c r="AN4762">
        <v>1.0000000244145399</v>
      </c>
    </row>
    <row r="4763" spans="1:40" x14ac:dyDescent="0.25">
      <c r="A4763" t="str">
        <f>"20190304155513746"</f>
        <v>20190304155513746</v>
      </c>
      <c r="B4763" t="str">
        <f>"1551686113742489"</f>
        <v>1551686113742489</v>
      </c>
      <c r="C4763" t="s">
        <v>40</v>
      </c>
      <c r="D4763">
        <v>4.3074519999999996</v>
      </c>
      <c r="E4763">
        <v>0.41571809999999998</v>
      </c>
      <c r="F4763" t="s">
        <v>93</v>
      </c>
      <c r="G4763">
        <v>-286.82850000000002</v>
      </c>
      <c r="H4763">
        <v>0.35690690000000003</v>
      </c>
      <c r="I4763">
        <v>-80.464519999999993</v>
      </c>
      <c r="J4763">
        <v>-301.10480000000001</v>
      </c>
      <c r="K4763">
        <v>1.1084940000000001</v>
      </c>
      <c r="L4763">
        <v>-21.260349999999999</v>
      </c>
      <c r="M4763">
        <v>-5.7754029999999998E-2</v>
      </c>
      <c r="N4763">
        <v>-1.1330939999999999E-2</v>
      </c>
      <c r="O4763">
        <v>-0.99826669999999995</v>
      </c>
      <c r="P4763">
        <v>3.1694799999999898E-2</v>
      </c>
      <c r="Q4763">
        <v>0.16453119999999999</v>
      </c>
      <c r="R4763">
        <v>-0.98586260000000003</v>
      </c>
      <c r="S4763">
        <v>0.72396850000000001</v>
      </c>
      <c r="T4763">
        <v>-3.8176769999999999E-2</v>
      </c>
      <c r="U4763">
        <v>-3.0299680000000002</v>
      </c>
      <c r="V4763">
        <v>-8.7876570000000001E-2</v>
      </c>
      <c r="W4763">
        <v>0.17600669999999999</v>
      </c>
      <c r="X4763">
        <v>0.98045870000000002</v>
      </c>
      <c r="Y4763">
        <v>-0.28814469999999998</v>
      </c>
      <c r="Z4763">
        <v>7.2098490000000002E-4</v>
      </c>
      <c r="AA4763">
        <v>0.95758659999999995</v>
      </c>
      <c r="AB4763">
        <v>29</v>
      </c>
      <c r="AC4763">
        <v>14.2762999999999</v>
      </c>
      <c r="AD4763">
        <v>-0.75158709999999995</v>
      </c>
      <c r="AE4763">
        <v>-59.204169999999898</v>
      </c>
      <c r="AF4763">
        <v>-17.669274858525501</v>
      </c>
      <c r="AG4763">
        <v>-0.75158709999999995</v>
      </c>
      <c r="AH4763">
        <v>58.271894638518198</v>
      </c>
      <c r="AI4763">
        <v>90.707164990571599</v>
      </c>
      <c r="AJ4763">
        <v>106.868416865738</v>
      </c>
      <c r="AK4763">
        <v>60.896484807889998</v>
      </c>
      <c r="AL4763">
        <v>79.862752409411002</v>
      </c>
      <c r="AM4763">
        <v>95.121622105552703</v>
      </c>
      <c r="AN4763">
        <v>0.99999995620277105</v>
      </c>
    </row>
    <row r="4764" spans="1:40" x14ac:dyDescent="0.25">
      <c r="A4764" t="str">
        <f>"20190304155513776"</f>
        <v>20190304155513776</v>
      </c>
      <c r="B4764" t="str">
        <f>"1551686113772745"</f>
        <v>1551686113772745</v>
      </c>
      <c r="C4764" t="s">
        <v>40</v>
      </c>
      <c r="D4764">
        <v>4.3796929999999996</v>
      </c>
      <c r="E4764">
        <v>0.41546680000000002</v>
      </c>
      <c r="F4764" t="s">
        <v>93</v>
      </c>
      <c r="G4764">
        <v>-286.45209999999997</v>
      </c>
      <c r="H4764">
        <v>0.27388570000000001</v>
      </c>
      <c r="I4764">
        <v>-80.464519999999993</v>
      </c>
      <c r="J4764">
        <v>-301.1309</v>
      </c>
      <c r="K4764">
        <v>1.1086609999999999</v>
      </c>
      <c r="L4764">
        <v>-21.66095</v>
      </c>
      <c r="M4764">
        <v>-6.0281889999999998E-2</v>
      </c>
      <c r="N4764">
        <v>-1.164221E-2</v>
      </c>
      <c r="O4764">
        <v>-0.99811380000000005</v>
      </c>
      <c r="P4764">
        <v>3.3330850000000002E-2</v>
      </c>
      <c r="Q4764">
        <v>0.16488889999999901</v>
      </c>
      <c r="R4764">
        <v>-0.98574919999999999</v>
      </c>
      <c r="S4764">
        <v>0.74893189999999998</v>
      </c>
      <c r="T4764">
        <v>-4.2658090000000003E-2</v>
      </c>
      <c r="U4764">
        <v>-3.026062</v>
      </c>
      <c r="V4764">
        <v>-9.2042669999999993E-2</v>
      </c>
      <c r="W4764">
        <v>0.17665259999999999</v>
      </c>
      <c r="X4764">
        <v>0.97996019999999995</v>
      </c>
      <c r="Y4764">
        <v>-0.29828490000000002</v>
      </c>
      <c r="Z4764">
        <v>1.8040650000000001E-3</v>
      </c>
      <c r="AA4764">
        <v>0.95447519999999997</v>
      </c>
      <c r="AB4764">
        <v>29</v>
      </c>
      <c r="AC4764">
        <v>14.678800000000001</v>
      </c>
      <c r="AD4764">
        <v>-0.8347753</v>
      </c>
      <c r="AE4764">
        <v>-58.803569999999901</v>
      </c>
      <c r="AF4764">
        <v>-18.193679512712102</v>
      </c>
      <c r="AG4764">
        <v>-0.8347753</v>
      </c>
      <c r="AH4764">
        <v>57.800724362751303</v>
      </c>
      <c r="AI4764">
        <v>90.789254988875797</v>
      </c>
      <c r="AJ4764">
        <v>107.472208530001</v>
      </c>
      <c r="AK4764">
        <v>60.602232309309599</v>
      </c>
      <c r="AL4764">
        <v>79.825156358363103</v>
      </c>
      <c r="AM4764">
        <v>95.3657589649805</v>
      </c>
      <c r="AN4764">
        <v>0.99999999388576399</v>
      </c>
    </row>
    <row r="4765" spans="1:40" x14ac:dyDescent="0.25">
      <c r="A4765" t="str">
        <f>"20190304155513814"</f>
        <v>20190304155513814</v>
      </c>
      <c r="B4765" t="str">
        <f>"1551686113802550"</f>
        <v>1551686113802550</v>
      </c>
      <c r="C4765" t="s">
        <v>40</v>
      </c>
      <c r="D4765">
        <v>4.3963089999999996</v>
      </c>
      <c r="E4765">
        <v>0.41546949999999999</v>
      </c>
      <c r="F4765" t="s">
        <v>93</v>
      </c>
      <c r="G4765">
        <v>-286.43049999999999</v>
      </c>
      <c r="H4765">
        <v>0.2445698</v>
      </c>
      <c r="I4765">
        <v>-80.464519999999993</v>
      </c>
      <c r="J4765">
        <v>-301.1635</v>
      </c>
      <c r="K4765">
        <v>1.10887</v>
      </c>
      <c r="L4765">
        <v>-22.143650000000001</v>
      </c>
      <c r="M4765">
        <v>-6.3033629999999993E-2</v>
      </c>
      <c r="N4765">
        <v>-1.203077E-2</v>
      </c>
      <c r="O4765">
        <v>-0.99793920000000003</v>
      </c>
      <c r="P4765">
        <v>3.8766620000000002E-2</v>
      </c>
      <c r="Q4765">
        <v>0.1649062</v>
      </c>
      <c r="R4765">
        <v>-0.98554739999999996</v>
      </c>
      <c r="S4765">
        <v>0.75628660000000003</v>
      </c>
      <c r="T4765">
        <v>-4.4453739999999999E-2</v>
      </c>
      <c r="U4765">
        <v>-3.0252379999999999</v>
      </c>
      <c r="V4765">
        <v>-0.100228</v>
      </c>
      <c r="W4765">
        <v>0.17703269999999999</v>
      </c>
      <c r="X4765">
        <v>0.97908819999999996</v>
      </c>
      <c r="Y4765">
        <v>-0.3031547</v>
      </c>
      <c r="Z4765">
        <v>1.9620110000000001E-3</v>
      </c>
      <c r="AA4765">
        <v>0.95293930000000004</v>
      </c>
      <c r="AB4765">
        <v>29</v>
      </c>
      <c r="AC4765">
        <v>14.733000000000001</v>
      </c>
      <c r="AD4765">
        <v>-0.86430019999999996</v>
      </c>
      <c r="AE4765">
        <v>-58.3208699999999</v>
      </c>
      <c r="AF4765">
        <v>-18.376345052822401</v>
      </c>
      <c r="AG4765">
        <v>-0.86430019999999996</v>
      </c>
      <c r="AH4765">
        <v>57.264312987417298</v>
      </c>
      <c r="AI4765">
        <v>90.823359694021704</v>
      </c>
      <c r="AJ4765">
        <v>107.79164163858501</v>
      </c>
      <c r="AK4765">
        <v>60.146808845166497</v>
      </c>
      <c r="AL4765">
        <v>79.803029207591507</v>
      </c>
      <c r="AM4765">
        <v>95.844934968116306</v>
      </c>
      <c r="AN4765">
        <v>0.99999996611626396</v>
      </c>
    </row>
    <row r="4766" spans="1:40" x14ac:dyDescent="0.25">
      <c r="A4766" t="str">
        <f>"20190304155513858"</f>
        <v>20190304155513858</v>
      </c>
      <c r="B4766" t="str">
        <f>"1551686113852308"</f>
        <v>1551686113852308</v>
      </c>
      <c r="C4766" t="s">
        <v>40</v>
      </c>
      <c r="D4766">
        <v>4.4012250000000002</v>
      </c>
      <c r="E4766">
        <v>0.41531649999999998</v>
      </c>
      <c r="F4766" t="s">
        <v>93</v>
      </c>
      <c r="G4766">
        <v>-286.23869999999999</v>
      </c>
      <c r="H4766">
        <v>0.18347550000000001</v>
      </c>
      <c r="I4766">
        <v>-80.464519999999993</v>
      </c>
      <c r="J4766">
        <v>-301.20299999999997</v>
      </c>
      <c r="K4766">
        <v>1.1091169999999999</v>
      </c>
      <c r="L4766">
        <v>-22.710940000000001</v>
      </c>
      <c r="M4766">
        <v>-6.5843609999999997E-2</v>
      </c>
      <c r="N4766">
        <v>-1.248078E-2</v>
      </c>
      <c r="O4766">
        <v>-0.99775199999999997</v>
      </c>
      <c r="P4766">
        <v>4.3482319999999998E-2</v>
      </c>
      <c r="Q4766">
        <v>0.1627632</v>
      </c>
      <c r="R4766">
        <v>-0.98570690000000005</v>
      </c>
      <c r="S4766">
        <v>0.77325440000000001</v>
      </c>
      <c r="T4766">
        <v>-4.7943949999999999E-2</v>
      </c>
      <c r="U4766">
        <v>-3.0216059999999998</v>
      </c>
      <c r="V4766">
        <v>-0.10779610000000001</v>
      </c>
      <c r="W4766">
        <v>0.17529829999999999</v>
      </c>
      <c r="X4766">
        <v>0.97859620000000003</v>
      </c>
      <c r="Y4766">
        <v>-0.3111198</v>
      </c>
      <c r="Z4766">
        <v>2.5906570000000001E-3</v>
      </c>
      <c r="AA4766">
        <v>0.95036719999999997</v>
      </c>
      <c r="AB4766">
        <v>29</v>
      </c>
      <c r="AC4766">
        <v>14.9642999999999</v>
      </c>
      <c r="AD4766">
        <v>-0.92564150000000001</v>
      </c>
      <c r="AE4766">
        <v>-57.7535799999999</v>
      </c>
      <c r="AF4766">
        <v>-18.7303130356601</v>
      </c>
      <c r="AG4766">
        <v>-0.92564150000000001</v>
      </c>
      <c r="AH4766">
        <v>56.629220770470099</v>
      </c>
      <c r="AI4766">
        <v>90.889091253858496</v>
      </c>
      <c r="AJ4766">
        <v>108.301813874811</v>
      </c>
      <c r="AK4766">
        <v>59.653583996864597</v>
      </c>
      <c r="AL4766">
        <v>79.903982294320798</v>
      </c>
      <c r="AM4766">
        <v>96.286005656279002</v>
      </c>
      <c r="AN4766">
        <v>1.0000000079062601</v>
      </c>
    </row>
    <row r="4767" spans="1:40" x14ac:dyDescent="0.25">
      <c r="A4767" t="str">
        <f>"20190304155513889"</f>
        <v>20190304155513889</v>
      </c>
      <c r="B4767" t="str">
        <f>"1551686113882564"</f>
        <v>1551686113882564</v>
      </c>
      <c r="C4767" t="s">
        <v>40</v>
      </c>
      <c r="D4767">
        <v>4.4058599999999997</v>
      </c>
      <c r="E4767">
        <v>0.41525600000000001</v>
      </c>
      <c r="F4767" t="s">
        <v>74</v>
      </c>
      <c r="G4767">
        <v>-287.5607</v>
      </c>
      <c r="H4767">
        <v>7.9986570000000007E-2</v>
      </c>
      <c r="I4767">
        <v>-74.929259999999999</v>
      </c>
      <c r="J4767">
        <v>-301.23149999999998</v>
      </c>
      <c r="K4767">
        <v>1.1092759999999999</v>
      </c>
      <c r="L4767">
        <v>-23.110900000000001</v>
      </c>
      <c r="M4767">
        <v>-6.7558709999999994E-2</v>
      </c>
      <c r="N4767">
        <v>-1.2756409999999999E-2</v>
      </c>
      <c r="O4767">
        <v>-0.99763380000000002</v>
      </c>
      <c r="P4767">
        <v>4.5013869999999997E-2</v>
      </c>
      <c r="Q4767">
        <v>0.16255910000000001</v>
      </c>
      <c r="R4767">
        <v>-0.98567159999999998</v>
      </c>
      <c r="S4767">
        <v>0.78860469999999905</v>
      </c>
      <c r="T4767">
        <v>-5.9489729999999998E-2</v>
      </c>
      <c r="U4767">
        <v>-3.0185240000000002</v>
      </c>
      <c r="V4767">
        <v>-0.1110635</v>
      </c>
      <c r="W4767">
        <v>0.17533409999999999</v>
      </c>
      <c r="X4767">
        <v>0.97822430000000005</v>
      </c>
      <c r="Y4767">
        <v>-0.31749559999999999</v>
      </c>
      <c r="Z4767">
        <v>5.9444759999999998E-3</v>
      </c>
      <c r="AA4767">
        <v>0.94824109999999995</v>
      </c>
      <c r="AB4767">
        <v>29</v>
      </c>
      <c r="AC4767">
        <v>13.6707999999999</v>
      </c>
      <c r="AD4767">
        <v>-1.0292894299999999</v>
      </c>
      <c r="AE4767">
        <v>-51.818359999999998</v>
      </c>
      <c r="AF4767">
        <v>-17.134306975626199</v>
      </c>
      <c r="AG4767">
        <v>-1.0292894299999999</v>
      </c>
      <c r="AH4767">
        <v>50.757571145328697</v>
      </c>
      <c r="AI4767">
        <v>91.1007080897039</v>
      </c>
      <c r="AJ4767">
        <v>108.653213921025</v>
      </c>
      <c r="AK4767">
        <v>53.581479457353701</v>
      </c>
      <c r="AL4767">
        <v>79.901898393107004</v>
      </c>
      <c r="AM4767">
        <v>96.4773864570043</v>
      </c>
      <c r="AN4767">
        <v>0.99999996438277405</v>
      </c>
    </row>
    <row r="4768" spans="1:40" x14ac:dyDescent="0.25">
      <c r="A4768" t="str">
        <f>"20190304155513926"</f>
        <v>20190304155513926</v>
      </c>
      <c r="B4768" t="str">
        <f>"1551686113923089"</f>
        <v>1551686113923089</v>
      </c>
      <c r="C4768" t="s">
        <v>40</v>
      </c>
      <c r="D4768">
        <v>4.4333390000000001</v>
      </c>
      <c r="E4768">
        <v>0.41513410000000001</v>
      </c>
      <c r="F4768" t="s">
        <v>74</v>
      </c>
      <c r="G4768">
        <v>-288.06299999999999</v>
      </c>
      <c r="H4768">
        <v>7.9986570000000007E-2</v>
      </c>
      <c r="I4768">
        <v>-73.166600000000003</v>
      </c>
      <c r="J4768">
        <v>-301.26560000000001</v>
      </c>
      <c r="K4768">
        <v>1.1094389999999901</v>
      </c>
      <c r="L4768">
        <v>-23.581150000000001</v>
      </c>
      <c r="M4768">
        <v>-6.9301130000000002E-2</v>
      </c>
      <c r="N4768">
        <v>-1.303409E-2</v>
      </c>
      <c r="O4768">
        <v>-0.99751060000000003</v>
      </c>
      <c r="P4768">
        <v>5.00443E-2</v>
      </c>
      <c r="Q4768">
        <v>0.1630287</v>
      </c>
      <c r="R4768">
        <v>-0.98535099999999998</v>
      </c>
      <c r="S4768">
        <v>0.79385380000000005</v>
      </c>
      <c r="T4768">
        <v>-6.2050099999999997E-2</v>
      </c>
      <c r="U4768">
        <v>-3.0175779999999999</v>
      </c>
      <c r="V4768">
        <v>-0.11783399999999999</v>
      </c>
      <c r="W4768">
        <v>0.17603869999999999</v>
      </c>
      <c r="X4768">
        <v>0.97730519999999999</v>
      </c>
      <c r="Y4768">
        <v>-0.32076100000000002</v>
      </c>
      <c r="Z4768">
        <v>6.4569969999999999E-3</v>
      </c>
      <c r="AA4768">
        <v>0.94713809999999998</v>
      </c>
      <c r="AB4768">
        <v>29</v>
      </c>
      <c r="AC4768">
        <v>13.2026</v>
      </c>
      <c r="AD4768">
        <v>-1.0294524300000001</v>
      </c>
      <c r="AE4768">
        <v>-49.585450000000002</v>
      </c>
      <c r="AF4768">
        <v>-16.600790806794802</v>
      </c>
      <c r="AG4768">
        <v>-1.0294524300000001</v>
      </c>
      <c r="AH4768">
        <v>48.531649234332001</v>
      </c>
      <c r="AI4768">
        <v>91.149788192905802</v>
      </c>
      <c r="AJ4768">
        <v>108.8838236614</v>
      </c>
      <c r="AK4768">
        <v>51.302699783937598</v>
      </c>
      <c r="AL4768">
        <v>79.860889949850005</v>
      </c>
      <c r="AM4768">
        <v>96.874984256417903</v>
      </c>
      <c r="AN4768">
        <v>0.99999996470036401</v>
      </c>
    </row>
    <row r="4769" spans="1:40" x14ac:dyDescent="0.25">
      <c r="A4769" t="str">
        <f>"20190304155513969"</f>
        <v>20190304155513969</v>
      </c>
      <c r="B4769" t="str">
        <f>"1551686113963105"</f>
        <v>1551686113963105</v>
      </c>
      <c r="C4769" t="s">
        <v>40</v>
      </c>
      <c r="D4769">
        <v>4.4232659999999999</v>
      </c>
      <c r="E4769">
        <v>0.41521059999999999</v>
      </c>
      <c r="F4769" t="s">
        <v>74</v>
      </c>
      <c r="G4769">
        <v>-288.12049999999999</v>
      </c>
      <c r="H4769">
        <v>7.9986570000000007E-2</v>
      </c>
      <c r="I4769">
        <v>-72.523209999999906</v>
      </c>
      <c r="J4769">
        <v>-301.30790000000002</v>
      </c>
      <c r="K4769">
        <v>1.1096239999999999</v>
      </c>
      <c r="L4769">
        <v>-24.154820000000001</v>
      </c>
      <c r="M4769">
        <v>-7.1058109999999994E-2</v>
      </c>
      <c r="N4769">
        <v>-1.330545E-2</v>
      </c>
      <c r="O4769">
        <v>-0.99738360000000004</v>
      </c>
      <c r="P4769">
        <v>5.3406380000000003E-2</v>
      </c>
      <c r="Q4769">
        <v>0.16310769999999999</v>
      </c>
      <c r="R4769">
        <v>-0.98516210000000004</v>
      </c>
      <c r="S4769">
        <v>0.80950929999999999</v>
      </c>
      <c r="T4769">
        <v>-6.3396330000000001E-2</v>
      </c>
      <c r="U4769">
        <v>-3.0139770000000001</v>
      </c>
      <c r="V4769">
        <v>-0.1229696</v>
      </c>
      <c r="W4769">
        <v>0.17633579999999999</v>
      </c>
      <c r="X4769">
        <v>0.97661880000000001</v>
      </c>
      <c r="Y4769">
        <v>-0.32729039999999998</v>
      </c>
      <c r="Z4769">
        <v>6.5859589999999997E-3</v>
      </c>
      <c r="AA4769">
        <v>0.94490090000000004</v>
      </c>
      <c r="AB4769">
        <v>29</v>
      </c>
      <c r="AC4769">
        <v>13.1874</v>
      </c>
      <c r="AD4769">
        <v>-1.02963743</v>
      </c>
      <c r="AE4769">
        <v>-48.368389999999899</v>
      </c>
      <c r="AF4769">
        <v>-16.584333512793599</v>
      </c>
      <c r="AG4769">
        <v>-1.02963743</v>
      </c>
      <c r="AH4769">
        <v>47.289000689109898</v>
      </c>
      <c r="AI4769">
        <v>91.177056863993997</v>
      </c>
      <c r="AJ4769">
        <v>109.325855885948</v>
      </c>
      <c r="AK4769">
        <v>50.123346431333403</v>
      </c>
      <c r="AL4769">
        <v>79.843597816233796</v>
      </c>
      <c r="AM4769">
        <v>97.176551289258299</v>
      </c>
      <c r="AN4769">
        <v>1.0000000586996101</v>
      </c>
    </row>
    <row r="4770" spans="1:40" x14ac:dyDescent="0.25">
      <c r="A4770" t="str">
        <f>"20190304155513999"</f>
        <v>20190304155513999</v>
      </c>
      <c r="B4770" t="str">
        <f>"1551686113992385"</f>
        <v>1551686113992385</v>
      </c>
      <c r="C4770" t="s">
        <v>40</v>
      </c>
      <c r="D4770">
        <v>4.6677679999999997</v>
      </c>
      <c r="E4770">
        <v>0.45872859999999999</v>
      </c>
      <c r="F4770" t="s">
        <v>74</v>
      </c>
      <c r="G4770">
        <v>-288.45940000000002</v>
      </c>
      <c r="H4770">
        <v>7.9986570000000007E-2</v>
      </c>
      <c r="I4770">
        <v>-71.426280000000006</v>
      </c>
      <c r="J4770">
        <v>-301.33620000000002</v>
      </c>
      <c r="K4770">
        <v>1.1097349999999999</v>
      </c>
      <c r="L4770">
        <v>-24.534790000000001</v>
      </c>
      <c r="M4770">
        <v>-7.2033239999999998E-2</v>
      </c>
      <c r="N4770">
        <v>-1.3450770000000001E-2</v>
      </c>
      <c r="O4770">
        <v>-0.99731170000000002</v>
      </c>
      <c r="P4770">
        <v>5.4721730000000003E-2</v>
      </c>
      <c r="Q4770">
        <v>0.16381229999999999</v>
      </c>
      <c r="R4770">
        <v>-0.98497299999999999</v>
      </c>
      <c r="S4770">
        <v>0.818573</v>
      </c>
      <c r="T4770">
        <v>-6.5598009999999998E-2</v>
      </c>
      <c r="U4770">
        <v>-3.0116580000000002</v>
      </c>
      <c r="V4770">
        <v>-0.1252665</v>
      </c>
      <c r="W4770">
        <v>0.17715049999999999</v>
      </c>
      <c r="X4770">
        <v>0.97617929999999997</v>
      </c>
      <c r="Y4770">
        <v>-0.33103959999999999</v>
      </c>
      <c r="Z4770">
        <v>7.1221430000000001E-3</v>
      </c>
      <c r="AA4770">
        <v>0.94359000000000004</v>
      </c>
      <c r="AB4770">
        <v>29</v>
      </c>
      <c r="AC4770">
        <v>12.876799999999999</v>
      </c>
      <c r="AD4770">
        <v>-1.0297484299999999</v>
      </c>
      <c r="AE4770">
        <v>-46.891489999999997</v>
      </c>
      <c r="AF4770">
        <v>-16.2141229988584</v>
      </c>
      <c r="AG4770">
        <v>-1.0297484299999999</v>
      </c>
      <c r="AH4770">
        <v>45.821465385413802</v>
      </c>
      <c r="AI4770">
        <v>91.213675227801403</v>
      </c>
      <c r="AJ4770">
        <v>109.486544864129</v>
      </c>
      <c r="AK4770">
        <v>48.616508065860401</v>
      </c>
      <c r="AL4770">
        <v>79.796171832044294</v>
      </c>
      <c r="AM4770">
        <v>97.312417851889094</v>
      </c>
      <c r="AN4770">
        <v>1.0000000107104901</v>
      </c>
    </row>
    <row r="4771" spans="1:40" x14ac:dyDescent="0.25">
      <c r="A4771" t="str">
        <f>"20190304155514024"</f>
        <v>20190304155514024</v>
      </c>
      <c r="B4771" t="str">
        <f>"1551686114012238"</f>
        <v>1551686114012238</v>
      </c>
      <c r="C4771" t="s">
        <v>40</v>
      </c>
      <c r="D4771">
        <v>4.5469580000000001</v>
      </c>
      <c r="E4771">
        <v>0.52056349999999996</v>
      </c>
      <c r="F4771" t="s">
        <v>46</v>
      </c>
      <c r="G4771">
        <v>-299.15910000000002</v>
      </c>
      <c r="H4771" s="1">
        <v>-8.6274090000000004E-7</v>
      </c>
      <c r="I4771">
        <v>-38.703850000000003</v>
      </c>
      <c r="J4771">
        <v>-301.35989999999998</v>
      </c>
      <c r="K4771">
        <v>1.1098410000000001</v>
      </c>
      <c r="L4771">
        <v>-24.851500000000001</v>
      </c>
      <c r="M4771">
        <v>-7.2696170000000004E-2</v>
      </c>
      <c r="N4771">
        <v>-1.355223E-2</v>
      </c>
      <c r="O4771">
        <v>-0.99726210000000004</v>
      </c>
      <c r="P4771">
        <v>5.5471310000000003E-2</v>
      </c>
      <c r="Q4771">
        <v>0.16417129999999999</v>
      </c>
      <c r="R4771">
        <v>-0.98487080000000005</v>
      </c>
      <c r="S4771">
        <v>0.47009279999999998</v>
      </c>
      <c r="T4771">
        <v>-0.2396239</v>
      </c>
      <c r="U4771">
        <v>-3.0595089999999998</v>
      </c>
      <c r="V4771">
        <v>-0.12669620000000001</v>
      </c>
      <c r="W4771">
        <v>0.17757899999999999</v>
      </c>
      <c r="X4771">
        <v>0.97591689999999998</v>
      </c>
      <c r="Y4771">
        <v>-0.22288569999999999</v>
      </c>
      <c r="Z4771">
        <v>6.2750470000000003E-2</v>
      </c>
      <c r="AA4771">
        <v>0.97282290000000005</v>
      </c>
      <c r="AB4771">
        <v>29</v>
      </c>
      <c r="AC4771">
        <v>2.2007999999999499</v>
      </c>
      <c r="AD4771">
        <v>-1.1098418627408999</v>
      </c>
      <c r="AE4771">
        <v>-13.852349999999999</v>
      </c>
      <c r="AF4771">
        <v>-3.18215740116116</v>
      </c>
      <c r="AG4771">
        <v>-1.1098418627408999</v>
      </c>
      <c r="AH4771">
        <v>13.5707200289079</v>
      </c>
      <c r="AI4771">
        <v>94.552423096437806</v>
      </c>
      <c r="AJ4771">
        <v>103.196693435017</v>
      </c>
      <c r="AK4771">
        <v>13.9829294780836</v>
      </c>
      <c r="AL4771">
        <v>79.771225077740496</v>
      </c>
      <c r="AM4771">
        <v>97.396924095789302</v>
      </c>
      <c r="AN4771">
        <v>1.0000000120205199</v>
      </c>
    </row>
    <row r="4772" spans="1:40" x14ac:dyDescent="0.25">
      <c r="A4772" t="str">
        <f>"20190304155514059"</f>
        <v>20190304155514059</v>
      </c>
      <c r="B4772" t="str">
        <f>"1551686114052258"</f>
        <v>1551686114052258</v>
      </c>
      <c r="C4772" t="s">
        <v>40</v>
      </c>
      <c r="D4772">
        <v>4.549823</v>
      </c>
      <c r="E4772">
        <v>0.52312749999999997</v>
      </c>
      <c r="F4772" t="s">
        <v>74</v>
      </c>
      <c r="G4772">
        <v>-301.5883</v>
      </c>
      <c r="H4772">
        <v>7.9986420000000003E-2</v>
      </c>
      <c r="I4772">
        <v>-74.047529999999995</v>
      </c>
      <c r="J4772">
        <v>-301.39319999999998</v>
      </c>
      <c r="K4772">
        <v>1.1100049999999999</v>
      </c>
      <c r="L4772">
        <v>-25.295169999999999</v>
      </c>
      <c r="M4772">
        <v>-7.3347490000000001E-2</v>
      </c>
      <c r="N4772">
        <v>-1.366973E-2</v>
      </c>
      <c r="O4772">
        <v>-0.99721289999999996</v>
      </c>
      <c r="P4772">
        <v>5.6602819999999998E-2</v>
      </c>
      <c r="Q4772">
        <v>0.16370950000000001</v>
      </c>
      <c r="R4772">
        <v>-0.98488379999999998</v>
      </c>
      <c r="S4772">
        <v>-1.4190670000000001E-2</v>
      </c>
      <c r="T4772">
        <v>-6.4005969999999995E-2</v>
      </c>
      <c r="U4772">
        <v>-3.0575559999999999</v>
      </c>
      <c r="V4772">
        <v>-0.12853510000000001</v>
      </c>
      <c r="W4772">
        <v>0.17718100000000001</v>
      </c>
      <c r="X4772">
        <v>0.97574879999999997</v>
      </c>
      <c r="Y4772">
        <v>-6.8708749999999999E-2</v>
      </c>
      <c r="Z4772">
        <v>7.1533569999999999E-3</v>
      </c>
      <c r="AA4772">
        <v>0.99761109999999997</v>
      </c>
      <c r="AB4772">
        <v>29</v>
      </c>
      <c r="AC4772">
        <v>-0.195100000000024</v>
      </c>
      <c r="AD4772">
        <v>-1.0300185799999999</v>
      </c>
      <c r="AE4772">
        <v>-48.752360000000003</v>
      </c>
      <c r="AF4772">
        <v>-3.3801137128115801</v>
      </c>
      <c r="AG4772">
        <v>-1.0300185799999999</v>
      </c>
      <c r="AH4772">
        <v>48.613630230374</v>
      </c>
      <c r="AI4772">
        <v>91.210870553101302</v>
      </c>
      <c r="AJ4772">
        <v>93.977383744475702</v>
      </c>
      <c r="AK4772">
        <v>48.741882925900804</v>
      </c>
      <c r="AL4772">
        <v>79.794396624616397</v>
      </c>
      <c r="AM4772">
        <v>97.504348158089897</v>
      </c>
      <c r="AN4772">
        <v>1.0000000496972199</v>
      </c>
    </row>
    <row r="4773" spans="1:40" x14ac:dyDescent="0.25">
      <c r="A4773" t="str">
        <f>"20190304155514104"</f>
        <v>20190304155514104</v>
      </c>
      <c r="B4773" t="str">
        <f>"1551686114092270"</f>
        <v>1551686114092270</v>
      </c>
      <c r="C4773" t="s">
        <v>40</v>
      </c>
      <c r="D4773">
        <v>4.5396609999999997</v>
      </c>
      <c r="E4773">
        <v>0.52450220000000003</v>
      </c>
      <c r="F4773" t="s">
        <v>74</v>
      </c>
      <c r="G4773">
        <v>-301.82650000000001</v>
      </c>
      <c r="H4773" s="1">
        <v>-9.7527429999999999E-6</v>
      </c>
      <c r="I4773">
        <v>-68.411500000000004</v>
      </c>
      <c r="J4773">
        <v>-301.43549999999999</v>
      </c>
      <c r="K4773">
        <v>1.1102459999999901</v>
      </c>
      <c r="L4773">
        <v>-25.861329999999999</v>
      </c>
      <c r="M4773">
        <v>-7.3733290000000007E-2</v>
      </c>
      <c r="N4773">
        <v>-1.3785759999999999E-2</v>
      </c>
      <c r="O4773">
        <v>-0.99718280000000004</v>
      </c>
      <c r="P4773">
        <v>5.7170289999999999E-2</v>
      </c>
      <c r="Q4773">
        <v>0.16409960000000001</v>
      </c>
      <c r="R4773">
        <v>-0.98478600000000005</v>
      </c>
      <c r="S4773">
        <v>-3.0761719999999999E-2</v>
      </c>
      <c r="T4773">
        <v>-7.8802109999999995E-2</v>
      </c>
      <c r="U4773">
        <v>-3.0609130000000002</v>
      </c>
      <c r="V4773">
        <v>-0.12956409999999999</v>
      </c>
      <c r="W4773">
        <v>0.17761559999999901</v>
      </c>
      <c r="X4773">
        <v>0.9755336</v>
      </c>
      <c r="Y4773">
        <v>-6.3697889999999993E-2</v>
      </c>
      <c r="Z4773">
        <v>1.1825749999999999E-2</v>
      </c>
      <c r="AA4773">
        <v>0.99789919999999999</v>
      </c>
      <c r="AB4773">
        <v>29</v>
      </c>
      <c r="AC4773">
        <v>-0.391000000000019</v>
      </c>
      <c r="AD4773">
        <v>-1.1102557527429999</v>
      </c>
      <c r="AE4773">
        <v>-42.550170000000001</v>
      </c>
      <c r="AF4773">
        <v>-2.7458570861193601</v>
      </c>
      <c r="AG4773">
        <v>-1.1102557527429999</v>
      </c>
      <c r="AH4773">
        <v>42.434270306700697</v>
      </c>
      <c r="AI4773">
        <v>91.495625737290396</v>
      </c>
      <c r="AJ4773">
        <v>93.702361005880107</v>
      </c>
      <c r="AK4773">
        <v>42.5375092763555</v>
      </c>
      <c r="AL4773">
        <v>79.769093857583201</v>
      </c>
      <c r="AM4773">
        <v>97.565381308162301</v>
      </c>
      <c r="AN4773">
        <v>0.99999998105056398</v>
      </c>
    </row>
    <row r="4774" spans="1:40" x14ac:dyDescent="0.25">
      <c r="A4774" t="str">
        <f>"20190304155514139"</f>
        <v>20190304155514139</v>
      </c>
      <c r="B4774" t="str">
        <f>"1551686114132791"</f>
        <v>1551686114132791</v>
      </c>
      <c r="C4774" t="s">
        <v>40</v>
      </c>
      <c r="D4774">
        <v>4.5767360000000004</v>
      </c>
      <c r="E4774">
        <v>0.52520230000000001</v>
      </c>
      <c r="F4774" t="s">
        <v>74</v>
      </c>
      <c r="G4774">
        <v>-301.99829999999997</v>
      </c>
      <c r="H4774">
        <v>2.673501E-2</v>
      </c>
      <c r="I4774">
        <v>-70.383700000000005</v>
      </c>
      <c r="J4774">
        <v>-301.46859999999998</v>
      </c>
      <c r="K4774">
        <v>1.110395</v>
      </c>
      <c r="L4774">
        <v>-26.307919999999999</v>
      </c>
      <c r="M4774">
        <v>-7.3719259999999995E-2</v>
      </c>
      <c r="N4774">
        <v>-1.385551E-2</v>
      </c>
      <c r="O4774">
        <v>-0.99718300000000004</v>
      </c>
      <c r="P4774">
        <v>5.7082029999999999E-2</v>
      </c>
      <c r="Q4774">
        <v>0.16454559999999999</v>
      </c>
      <c r="R4774">
        <v>-0.98471690000000001</v>
      </c>
      <c r="S4774">
        <v>-3.8696290000000001E-2</v>
      </c>
      <c r="T4774">
        <v>-7.4493649999999995E-2</v>
      </c>
      <c r="U4774">
        <v>-3.0610050000000002</v>
      </c>
      <c r="V4774">
        <v>-0.12951379999999901</v>
      </c>
      <c r="W4774">
        <v>0.1780872</v>
      </c>
      <c r="X4774">
        <v>0.9754543</v>
      </c>
      <c r="Y4774">
        <v>-6.1098630000000001E-2</v>
      </c>
      <c r="Z4774">
        <v>1.0358880000000001E-2</v>
      </c>
      <c r="AA4774">
        <v>0.99807800000000002</v>
      </c>
      <c r="AB4774">
        <v>29</v>
      </c>
      <c r="AC4774">
        <v>-0.52969999999999096</v>
      </c>
      <c r="AD4774">
        <v>-1.0836599899999999</v>
      </c>
      <c r="AE4774">
        <v>-44.075780000000002</v>
      </c>
      <c r="AF4774">
        <v>-2.7196429260427402</v>
      </c>
      <c r="AG4774">
        <v>-1.0836599899999999</v>
      </c>
      <c r="AH4774">
        <v>43.9683067295123</v>
      </c>
      <c r="AI4774">
        <v>91.409156192267005</v>
      </c>
      <c r="AJ4774">
        <v>93.539499258977301</v>
      </c>
      <c r="AK4774">
        <v>44.065664334939697</v>
      </c>
      <c r="AL4774">
        <v>79.741635430077906</v>
      </c>
      <c r="AM4774">
        <v>97.563085917737993</v>
      </c>
      <c r="AN4774">
        <v>0.99999998329138395</v>
      </c>
    </row>
    <row r="4775" spans="1:40" x14ac:dyDescent="0.25">
      <c r="A4775" t="str">
        <f>"20190304155514170"</f>
        <v>20190304155514170</v>
      </c>
      <c r="B4775" t="str">
        <f>"1551686114163047"</f>
        <v>1551686114163047</v>
      </c>
      <c r="C4775" t="s">
        <v>40</v>
      </c>
      <c r="D4775">
        <v>4.5822190000000003</v>
      </c>
      <c r="E4775">
        <v>0.52563760000000004</v>
      </c>
      <c r="F4775" t="s">
        <v>74</v>
      </c>
      <c r="G4775">
        <v>-302.10599999999999</v>
      </c>
      <c r="H4775">
        <v>1.2049010000000001E-2</v>
      </c>
      <c r="I4775">
        <v>-70.383700000000005</v>
      </c>
      <c r="J4775">
        <v>-301.49790000000002</v>
      </c>
      <c r="K4775">
        <v>1.110509</v>
      </c>
      <c r="L4775">
        <v>-26.706019999999999</v>
      </c>
      <c r="M4775">
        <v>-7.3468779999999997E-2</v>
      </c>
      <c r="N4775">
        <v>-1.390454E-2</v>
      </c>
      <c r="O4775">
        <v>-0.99720070000000005</v>
      </c>
      <c r="P4775">
        <v>5.7331989999999999E-2</v>
      </c>
      <c r="Q4775">
        <v>0.16488800000000001</v>
      </c>
      <c r="R4775">
        <v>-0.98464450000000003</v>
      </c>
      <c r="S4775">
        <v>-4.4281010000000003E-2</v>
      </c>
      <c r="T4775">
        <v>-7.6300740000000006E-2</v>
      </c>
      <c r="U4775">
        <v>-3.06189</v>
      </c>
      <c r="V4775">
        <v>-0.1295598</v>
      </c>
      <c r="W4775">
        <v>0.17844179999999901</v>
      </c>
      <c r="X4775">
        <v>0.97538340000000001</v>
      </c>
      <c r="Y4775">
        <v>-5.9031710000000001E-2</v>
      </c>
      <c r="Z4775">
        <v>1.0892539999999999E-2</v>
      </c>
      <c r="AA4775">
        <v>0.99819669999999905</v>
      </c>
      <c r="AB4775">
        <v>28</v>
      </c>
      <c r="AC4775">
        <v>-0.60809999999997899</v>
      </c>
      <c r="AD4775">
        <v>-1.0984599900000001</v>
      </c>
      <c r="AE4775">
        <v>-43.677680000000002</v>
      </c>
      <c r="AF4775">
        <v>-2.6011545634311601</v>
      </c>
      <c r="AG4775">
        <v>-1.0984599900000001</v>
      </c>
      <c r="AH4775">
        <v>43.576743443607</v>
      </c>
      <c r="AI4775">
        <v>91.441412010507705</v>
      </c>
      <c r="AJ4775">
        <v>93.416009024224095</v>
      </c>
      <c r="AK4775">
        <v>43.668125544410998</v>
      </c>
      <c r="AL4775">
        <v>79.720987768491497</v>
      </c>
      <c r="AM4775">
        <v>97.566284599551906</v>
      </c>
      <c r="AN4775">
        <v>0.99999999737941903</v>
      </c>
    </row>
    <row r="4776" spans="1:40" x14ac:dyDescent="0.25">
      <c r="A4776" t="str">
        <f>"20190304155514204"</f>
        <v>20190304155514204</v>
      </c>
      <c r="B4776" t="str">
        <f>"1551686114192327"</f>
        <v>1551686114192327</v>
      </c>
      <c r="C4776" t="s">
        <v>40</v>
      </c>
      <c r="D4776">
        <v>4.5949759999999999</v>
      </c>
      <c r="E4776">
        <v>0.52590170000000003</v>
      </c>
      <c r="F4776" t="s">
        <v>74</v>
      </c>
      <c r="G4776">
        <v>-302.16210000000001</v>
      </c>
      <c r="H4776">
        <v>4.1096199999999999E-2</v>
      </c>
      <c r="I4776">
        <v>-70.383700000000005</v>
      </c>
      <c r="J4776">
        <v>-301.52870000000001</v>
      </c>
      <c r="K4776">
        <v>1.1106640000000001</v>
      </c>
      <c r="L4776">
        <v>-27.131039999999999</v>
      </c>
      <c r="M4776">
        <v>-7.2931770000000007E-2</v>
      </c>
      <c r="N4776">
        <v>-1.3947019999999999E-2</v>
      </c>
      <c r="O4776">
        <v>-0.99723949999999995</v>
      </c>
      <c r="P4776">
        <v>5.7420369999999998E-2</v>
      </c>
      <c r="Q4776">
        <v>0.16455549999999999</v>
      </c>
      <c r="R4776">
        <v>-0.98469519999999999</v>
      </c>
      <c r="S4776">
        <v>-4.6569819999999998E-2</v>
      </c>
      <c r="T4776">
        <v>-7.4971679999999999E-2</v>
      </c>
      <c r="U4776">
        <v>-3.0620419999999999</v>
      </c>
      <c r="V4776">
        <v>-0.1291901</v>
      </c>
      <c r="W4776">
        <v>0.1781054</v>
      </c>
      <c r="X4776">
        <v>0.97549390000000002</v>
      </c>
      <c r="Y4776">
        <v>-5.7749259999999997E-2</v>
      </c>
      <c r="Z4776">
        <v>1.041981E-2</v>
      </c>
      <c r="AA4776">
        <v>0.99827679999999996</v>
      </c>
      <c r="AB4776">
        <v>28</v>
      </c>
      <c r="AC4776">
        <v>-0.63339999999999397</v>
      </c>
      <c r="AD4776">
        <v>-1.0695678</v>
      </c>
      <c r="AE4776">
        <v>-43.252659999999999</v>
      </c>
      <c r="AF4776">
        <v>-2.5215451527581698</v>
      </c>
      <c r="AG4776">
        <v>-1.0695678</v>
      </c>
      <c r="AH4776">
        <v>43.157267621547803</v>
      </c>
      <c r="AI4776">
        <v>91.417256343144601</v>
      </c>
      <c r="AJ4776">
        <v>93.343813035780002</v>
      </c>
      <c r="AK4776">
        <v>43.2440968664406</v>
      </c>
      <c r="AL4776">
        <v>79.740575693717204</v>
      </c>
      <c r="AM4776">
        <v>97.544098406310795</v>
      </c>
      <c r="AN4776">
        <v>0.999999982192189</v>
      </c>
    </row>
    <row r="4777" spans="1:40" x14ac:dyDescent="0.25">
      <c r="A4777" t="str">
        <f>"20190304155514237"</f>
        <v>20190304155514237</v>
      </c>
      <c r="B4777" t="str">
        <f>"1551686114232344"</f>
        <v>1551686114232344</v>
      </c>
      <c r="C4777" t="s">
        <v>40</v>
      </c>
      <c r="D4777">
        <v>4.603548</v>
      </c>
      <c r="E4777">
        <v>0.52592169999999905</v>
      </c>
      <c r="F4777" t="s">
        <v>74</v>
      </c>
      <c r="G4777">
        <v>-302.20679999999999</v>
      </c>
      <c r="H4777">
        <v>3.3967579999999997E-2</v>
      </c>
      <c r="I4777">
        <v>-70.383700000000005</v>
      </c>
      <c r="J4777">
        <v>-301.55869999999999</v>
      </c>
      <c r="K4777">
        <v>1.1108260000000001</v>
      </c>
      <c r="L4777">
        <v>-27.551570000000002</v>
      </c>
      <c r="M4777">
        <v>-7.214218E-2</v>
      </c>
      <c r="N4777">
        <v>-1.3980080000000001E-2</v>
      </c>
      <c r="O4777">
        <v>-0.99729659999999998</v>
      </c>
      <c r="P4777">
        <v>5.7546239999999999E-2</v>
      </c>
      <c r="Q4777">
        <v>0.16389189999999901</v>
      </c>
      <c r="R4777">
        <v>-0.98479859999999997</v>
      </c>
      <c r="S4777">
        <v>-4.8004150000000002E-2</v>
      </c>
      <c r="T4777">
        <v>-7.6227069999999994E-2</v>
      </c>
      <c r="U4777">
        <v>-3.0621640000000001</v>
      </c>
      <c r="V4777">
        <v>-0.1286139</v>
      </c>
      <c r="W4777">
        <v>0.1774297</v>
      </c>
      <c r="X4777">
        <v>0.97569320000000004</v>
      </c>
      <c r="Y4777">
        <v>-5.649212E-2</v>
      </c>
      <c r="Z4777">
        <v>1.079659E-2</v>
      </c>
      <c r="AA4777">
        <v>0.99834469999999997</v>
      </c>
      <c r="AB4777">
        <v>28</v>
      </c>
      <c r="AC4777">
        <v>-0.64809999999999901</v>
      </c>
      <c r="AD4777">
        <v>-1.07685842</v>
      </c>
      <c r="AE4777">
        <v>-42.832129999999999</v>
      </c>
      <c r="AF4777">
        <v>-2.4423501659400202</v>
      </c>
      <c r="AG4777">
        <v>-1.07685842</v>
      </c>
      <c r="AH4777">
        <v>42.740253486626798</v>
      </c>
      <c r="AI4777">
        <v>91.440935852009503</v>
      </c>
      <c r="AJ4777">
        <v>93.270554688424397</v>
      </c>
      <c r="AK4777">
        <v>42.823521182767102</v>
      </c>
      <c r="AL4777">
        <v>79.779917526986907</v>
      </c>
      <c r="AM4777">
        <v>97.509319319884696</v>
      </c>
      <c r="AN4777">
        <v>1.0000000271207601</v>
      </c>
    </row>
    <row r="4778" spans="1:40" x14ac:dyDescent="0.25">
      <c r="A4778" t="str">
        <f>"20190304155514271"</f>
        <v>20190304155514271</v>
      </c>
      <c r="B4778" t="str">
        <f>"1551686114262599"</f>
        <v>1551686114262599</v>
      </c>
      <c r="C4778" t="s">
        <v>40</v>
      </c>
      <c r="D4778">
        <v>4.6622009999999996</v>
      </c>
      <c r="E4778">
        <v>0.52508250000000001</v>
      </c>
      <c r="F4778" t="s">
        <v>74</v>
      </c>
      <c r="G4778">
        <v>-302.23180000000002</v>
      </c>
      <c r="H4778">
        <v>7.2819089999999996E-3</v>
      </c>
      <c r="I4778">
        <v>-70.383700000000005</v>
      </c>
      <c r="J4778">
        <v>-301.58800000000002</v>
      </c>
      <c r="K4778">
        <v>1.110962</v>
      </c>
      <c r="L4778">
        <v>-27.972930000000002</v>
      </c>
      <c r="M4778">
        <v>-7.1096370000000006E-2</v>
      </c>
      <c r="N4778">
        <v>-1.400589E-2</v>
      </c>
      <c r="O4778">
        <v>-0.99737109999999995</v>
      </c>
      <c r="P4778">
        <v>5.8388509999999998E-2</v>
      </c>
      <c r="Q4778">
        <v>0.1638464</v>
      </c>
      <c r="R4778">
        <v>-0.98475650000000003</v>
      </c>
      <c r="S4778">
        <v>-4.8126219999999997E-2</v>
      </c>
      <c r="T4778">
        <v>-7.8897239999999993E-2</v>
      </c>
      <c r="U4778">
        <v>-3.0622560000000001</v>
      </c>
      <c r="V4778">
        <v>-0.12848129999999999</v>
      </c>
      <c r="W4778">
        <v>0.1773701</v>
      </c>
      <c r="X4778">
        <v>0.97572150000000002</v>
      </c>
      <c r="Y4778">
        <v>-5.5405940000000001E-2</v>
      </c>
      <c r="Z4778">
        <v>1.164082E-2</v>
      </c>
      <c r="AA4778">
        <v>0.99839599999999995</v>
      </c>
      <c r="AB4778">
        <v>28</v>
      </c>
      <c r="AC4778">
        <v>-0.64380000000005499</v>
      </c>
      <c r="AD4778">
        <v>-1.103680091</v>
      </c>
      <c r="AE4778">
        <v>-42.410769999999999</v>
      </c>
      <c r="AF4778">
        <v>-2.3717712586886601</v>
      </c>
      <c r="AG4778">
        <v>-1.103680091</v>
      </c>
      <c r="AH4778">
        <v>42.320548721045697</v>
      </c>
      <c r="AI4778">
        <v>91.491541973415494</v>
      </c>
      <c r="AJ4778">
        <v>93.207672949344698</v>
      </c>
      <c r="AK4778">
        <v>42.401323713974001</v>
      </c>
      <c r="AL4778">
        <v>79.783387330179593</v>
      </c>
      <c r="AM4778">
        <v>97.501450384083995</v>
      </c>
      <c r="AN4778">
        <v>1.00000002119297</v>
      </c>
    </row>
    <row r="4779" spans="1:40" x14ac:dyDescent="0.25">
      <c r="A4779" t="str">
        <f>"20190304155514305"</f>
        <v>20190304155514305</v>
      </c>
      <c r="B4779" t="str">
        <f>"1551686114292855"</f>
        <v>1551686114292855</v>
      </c>
      <c r="C4779" t="s">
        <v>40</v>
      </c>
      <c r="D4779">
        <v>4.626423</v>
      </c>
      <c r="E4779">
        <v>0.52452469999999995</v>
      </c>
      <c r="F4779" t="s">
        <v>74</v>
      </c>
      <c r="G4779">
        <v>-302.10980000000001</v>
      </c>
      <c r="H4779" s="1">
        <v>-9.5799350000000003E-6</v>
      </c>
      <c r="I4779">
        <v>-69.110010000000003</v>
      </c>
      <c r="J4779">
        <v>-301.61689999999999</v>
      </c>
      <c r="K4779">
        <v>1.111089</v>
      </c>
      <c r="L4779">
        <v>-28.398219999999998</v>
      </c>
      <c r="M4779">
        <v>-6.9788329999999996E-2</v>
      </c>
      <c r="N4779">
        <v>-1.4026540000000001E-2</v>
      </c>
      <c r="O4779">
        <v>-0.99746349999999995</v>
      </c>
      <c r="P4779">
        <v>6.0384439999999998E-2</v>
      </c>
      <c r="Q4779">
        <v>0.16512470000000001</v>
      </c>
      <c r="R4779">
        <v>-0.98442269999999998</v>
      </c>
      <c r="S4779">
        <v>-3.8848880000000002E-2</v>
      </c>
      <c r="T4779">
        <v>-8.2707639999999999E-2</v>
      </c>
      <c r="U4779">
        <v>-3.0625</v>
      </c>
      <c r="V4779">
        <v>-0.12921820000000001</v>
      </c>
      <c r="W4779">
        <v>0.1786267</v>
      </c>
      <c r="X4779">
        <v>0.97539489999999995</v>
      </c>
      <c r="Y4779">
        <v>-5.712076E-2</v>
      </c>
      <c r="Z4779">
        <v>1.285703E-2</v>
      </c>
      <c r="AA4779">
        <v>0.99828450000000002</v>
      </c>
      <c r="AB4779">
        <v>28</v>
      </c>
      <c r="AC4779">
        <v>-0.49290000000001999</v>
      </c>
      <c r="AD4779">
        <v>-1.1110985799349999</v>
      </c>
      <c r="AE4779">
        <v>-40.711790000000001</v>
      </c>
      <c r="AF4779">
        <v>-2.34803988419374</v>
      </c>
      <c r="AG4779">
        <v>-1.1110985799349999</v>
      </c>
      <c r="AH4779">
        <v>40.616661353229603</v>
      </c>
      <c r="AI4779">
        <v>91.564366749128595</v>
      </c>
      <c r="AJ4779">
        <v>93.3085734441011</v>
      </c>
      <c r="AK4779">
        <v>40.699643866194101</v>
      </c>
      <c r="AL4779">
        <v>79.710221091616404</v>
      </c>
      <c r="AM4779">
        <v>97.546477453542906</v>
      </c>
      <c r="AN4779">
        <v>1.0000000260550601</v>
      </c>
    </row>
    <row r="4780" spans="1:40" x14ac:dyDescent="0.25">
      <c r="A4780" t="str">
        <f>"20190304155514341"</f>
        <v>20190304155514341</v>
      </c>
      <c r="B4780" t="str">
        <f>"1551686114332871"</f>
        <v>1551686114332871</v>
      </c>
      <c r="C4780" t="s">
        <v>40</v>
      </c>
      <c r="D4780">
        <v>4.735557</v>
      </c>
      <c r="E4780">
        <v>0.52397539999999998</v>
      </c>
      <c r="F4780" t="s">
        <v>74</v>
      </c>
      <c r="G4780">
        <v>-302.00830000000002</v>
      </c>
      <c r="H4780" s="1">
        <v>-9.5005910000000005E-6</v>
      </c>
      <c r="I4780">
        <v>-70.274050000000003</v>
      </c>
      <c r="J4780">
        <v>-301.64690000000002</v>
      </c>
      <c r="K4780">
        <v>1.1112070000000001</v>
      </c>
      <c r="L4780">
        <v>-28.853090000000002</v>
      </c>
      <c r="M4780">
        <v>-6.8160579999999998E-2</v>
      </c>
      <c r="N4780">
        <v>-1.4043419999999999E-2</v>
      </c>
      <c r="O4780">
        <v>-0.99757549999999995</v>
      </c>
      <c r="P4780">
        <v>6.2898640000000006E-2</v>
      </c>
      <c r="Q4780">
        <v>0.16525519999999999</v>
      </c>
      <c r="R4780">
        <v>-0.98424319999999998</v>
      </c>
      <c r="S4780">
        <v>-2.862549E-2</v>
      </c>
      <c r="T4780">
        <v>-8.1267599999999995E-2</v>
      </c>
      <c r="U4780">
        <v>-3.0628660000000001</v>
      </c>
      <c r="V4780">
        <v>-0.13016659999999999</v>
      </c>
      <c r="W4780">
        <v>0.17873510000000001</v>
      </c>
      <c r="X4780">
        <v>0.97524889999999997</v>
      </c>
      <c r="Y4780">
        <v>-5.8824429999999997E-2</v>
      </c>
      <c r="Z4780">
        <v>1.2371170000000001E-2</v>
      </c>
      <c r="AA4780">
        <v>0.99819170000000002</v>
      </c>
      <c r="AB4780">
        <v>28</v>
      </c>
      <c r="AC4780">
        <v>-0.361400000000003</v>
      </c>
      <c r="AD4780">
        <v>-1.111216500591</v>
      </c>
      <c r="AE4780">
        <v>-41.420960000000001</v>
      </c>
      <c r="AF4780">
        <v>-2.46122457469815</v>
      </c>
      <c r="AG4780">
        <v>-1.111216500591</v>
      </c>
      <c r="AH4780">
        <v>41.319510766570097</v>
      </c>
      <c r="AI4780">
        <v>91.537774855278101</v>
      </c>
      <c r="AJ4780">
        <v>93.408834030152306</v>
      </c>
      <c r="AK4780">
        <v>41.407661108869497</v>
      </c>
      <c r="AL4780">
        <v>79.703908355064399</v>
      </c>
      <c r="AM4780">
        <v>97.602344342438997</v>
      </c>
      <c r="AN4780">
        <v>0.99999999833939002</v>
      </c>
    </row>
    <row r="4781" spans="1:40" x14ac:dyDescent="0.25">
      <c r="A4781" t="str">
        <f>"20190304155514371"</f>
        <v>20190304155514371</v>
      </c>
      <c r="B4781" t="str">
        <f>"1551686114363128"</f>
        <v>1551686114363128</v>
      </c>
      <c r="C4781" t="s">
        <v>40</v>
      </c>
      <c r="D4781">
        <v>4.723014</v>
      </c>
      <c r="E4781">
        <v>0.52369079999999901</v>
      </c>
      <c r="F4781" t="s">
        <v>74</v>
      </c>
      <c r="G4781">
        <v>-301.863</v>
      </c>
      <c r="H4781" s="1">
        <v>-9.6331070000000001E-6</v>
      </c>
      <c r="I4781">
        <v>-69.476190000000003</v>
      </c>
      <c r="J4781">
        <v>-301.67140000000001</v>
      </c>
      <c r="K4781">
        <v>1.1113029999999999</v>
      </c>
      <c r="L4781">
        <v>-29.238160000000001</v>
      </c>
      <c r="M4781">
        <v>-6.6594390000000003E-2</v>
      </c>
      <c r="N4781">
        <v>-1.40541E-2</v>
      </c>
      <c r="O4781">
        <v>-0.99768140000000005</v>
      </c>
      <c r="P4781">
        <v>6.4921259999999995E-2</v>
      </c>
      <c r="Q4781">
        <v>0.16655329999999999</v>
      </c>
      <c r="R4781">
        <v>-0.98389289999999996</v>
      </c>
      <c r="S4781">
        <v>-1.6296390000000001E-2</v>
      </c>
      <c r="T4781">
        <v>-8.379006E-2</v>
      </c>
      <c r="U4781">
        <v>-3.0631409999999999</v>
      </c>
      <c r="V4781">
        <v>-0.13066910000000001</v>
      </c>
      <c r="W4781">
        <v>0.18000959999999999</v>
      </c>
      <c r="X4781">
        <v>0.97494720000000001</v>
      </c>
      <c r="Y4781">
        <v>-6.1274349999999998E-2</v>
      </c>
      <c r="Z4781">
        <v>1.317809E-2</v>
      </c>
      <c r="AA4781">
        <v>0.99803390000000003</v>
      </c>
      <c r="AB4781">
        <v>28</v>
      </c>
      <c r="AC4781">
        <v>-0.191599999999994</v>
      </c>
      <c r="AD4781">
        <v>-1.111312633107</v>
      </c>
      <c r="AE4781">
        <v>-40.238030000000002</v>
      </c>
      <c r="AF4781">
        <v>-2.4868196188171998</v>
      </c>
      <c r="AG4781">
        <v>-1.111312633107</v>
      </c>
      <c r="AH4781">
        <v>40.130839621000199</v>
      </c>
      <c r="AI4781">
        <v>91.583207484622605</v>
      </c>
      <c r="AJ4781">
        <v>93.545958887134503</v>
      </c>
      <c r="AK4781">
        <v>40.223172130893403</v>
      </c>
      <c r="AL4781">
        <v>79.629680563025303</v>
      </c>
      <c r="AM4781">
        <v>97.633681199496095</v>
      </c>
      <c r="AN4781">
        <v>0.99999995628740401</v>
      </c>
    </row>
    <row r="4782" spans="1:40" x14ac:dyDescent="0.25">
      <c r="A4782" t="str">
        <f>"20190304155514405"</f>
        <v>20190304155514405</v>
      </c>
      <c r="B4782" t="str">
        <f>"1551686114393383"</f>
        <v>1551686114393383</v>
      </c>
      <c r="C4782" t="s">
        <v>40</v>
      </c>
      <c r="D4782">
        <v>4.6762649999999999</v>
      </c>
      <c r="E4782">
        <v>0.52337730000000005</v>
      </c>
      <c r="F4782" t="s">
        <v>74</v>
      </c>
      <c r="G4782">
        <v>-301.75749999999999</v>
      </c>
      <c r="H4782">
        <v>1.712986E-2</v>
      </c>
      <c r="I4782">
        <v>-70.383700000000005</v>
      </c>
      <c r="J4782">
        <v>-301.69690000000003</v>
      </c>
      <c r="K4782">
        <v>1.111423</v>
      </c>
      <c r="L4782">
        <v>-29.651209999999999</v>
      </c>
      <c r="M4782">
        <v>-6.4709829999999996E-2</v>
      </c>
      <c r="N4782">
        <v>-1.406365E-2</v>
      </c>
      <c r="O4782">
        <v>-0.99780519999999995</v>
      </c>
      <c r="P4782">
        <v>6.8180420000000005E-2</v>
      </c>
      <c r="Q4782">
        <v>0.1663317</v>
      </c>
      <c r="R4782">
        <v>-0.98370999999999997</v>
      </c>
      <c r="S4782">
        <v>-6.4086909999999898E-3</v>
      </c>
      <c r="T4782">
        <v>-8.1462259999999995E-2</v>
      </c>
      <c r="U4782">
        <v>-3.0633240000000002</v>
      </c>
      <c r="V4782">
        <v>-0.13211120000000001</v>
      </c>
      <c r="W4782">
        <v>0.17975679999999999</v>
      </c>
      <c r="X4782">
        <v>0.97479950000000004</v>
      </c>
      <c r="Y4782">
        <v>-6.261063E-2</v>
      </c>
      <c r="Z4782">
        <v>1.241335E-2</v>
      </c>
      <c r="AA4782">
        <v>0.99796079999999998</v>
      </c>
      <c r="AB4782">
        <v>28</v>
      </c>
      <c r="AC4782">
        <v>-6.05999999999653E-2</v>
      </c>
      <c r="AD4782">
        <v>-1.09429314</v>
      </c>
      <c r="AE4782">
        <v>-40.732489999999999</v>
      </c>
      <c r="AF4782">
        <v>-2.5737221831907702</v>
      </c>
      <c r="AG4782">
        <v>-1.09429314</v>
      </c>
      <c r="AH4782">
        <v>40.621706062925298</v>
      </c>
      <c r="AI4782">
        <v>91.540010225909995</v>
      </c>
      <c r="AJ4782">
        <v>93.625317284394896</v>
      </c>
      <c r="AK4782">
        <v>40.717864958949001</v>
      </c>
      <c r="AL4782">
        <v>79.6444052756612</v>
      </c>
      <c r="AM4782">
        <v>97.718074040735402</v>
      </c>
      <c r="AN4782">
        <v>0.99999997075596403</v>
      </c>
    </row>
    <row r="4783" spans="1:40" x14ac:dyDescent="0.25">
      <c r="A4783" t="str">
        <f>"20190304155514438"</f>
        <v>20190304155514438</v>
      </c>
      <c r="B4783" t="str">
        <f>"1551686114432423"</f>
        <v>1551686114432423</v>
      </c>
      <c r="C4783" t="s">
        <v>40</v>
      </c>
      <c r="D4783">
        <v>4.738632</v>
      </c>
      <c r="E4783">
        <v>0.52321980000000001</v>
      </c>
      <c r="F4783" t="s">
        <v>74</v>
      </c>
      <c r="G4783">
        <v>-301.62099999999998</v>
      </c>
      <c r="H4783" s="1">
        <v>6.1750259999999996E-6</v>
      </c>
      <c r="I4783">
        <v>-70.383700000000005</v>
      </c>
      <c r="J4783">
        <v>-301.7217</v>
      </c>
      <c r="K4783">
        <v>1.1115440000000001</v>
      </c>
      <c r="L4783">
        <v>-30.073</v>
      </c>
      <c r="M4783">
        <v>-6.2548090000000001E-2</v>
      </c>
      <c r="N4783">
        <v>-1.4072029999999999E-2</v>
      </c>
      <c r="O4783">
        <v>-0.99794269999999996</v>
      </c>
      <c r="P4783">
        <v>7.1087250000000005E-2</v>
      </c>
      <c r="Q4783">
        <v>0.16576759999999999</v>
      </c>
      <c r="R4783">
        <v>-0.98359940000000001</v>
      </c>
      <c r="S4783">
        <v>5.7067869999999996E-3</v>
      </c>
      <c r="T4783">
        <v>-8.3587649999999999E-2</v>
      </c>
      <c r="U4783">
        <v>-3.0634160000000001</v>
      </c>
      <c r="V4783">
        <v>-0.1329398</v>
      </c>
      <c r="W4783">
        <v>0.17916009999999999</v>
      </c>
      <c r="X4783">
        <v>0.97479669999999896</v>
      </c>
      <c r="Y4783">
        <v>-6.4394469999999995E-2</v>
      </c>
      <c r="Z4783">
        <v>1.309687E-2</v>
      </c>
      <c r="AA4783">
        <v>0.99783860000000002</v>
      </c>
      <c r="AB4783">
        <v>28</v>
      </c>
      <c r="AC4783">
        <v>0.100700000000017</v>
      </c>
      <c r="AD4783">
        <v>-1.111537824974</v>
      </c>
      <c r="AE4783">
        <v>-40.310699999999997</v>
      </c>
      <c r="AF4783">
        <v>-2.6201176917482298</v>
      </c>
      <c r="AG4783">
        <v>-1.111537824974</v>
      </c>
      <c r="AH4783">
        <v>40.194893219836601</v>
      </c>
      <c r="AI4783">
        <v>91.580684033933395</v>
      </c>
      <c r="AJ4783">
        <v>93.729568242200997</v>
      </c>
      <c r="AK4783">
        <v>40.295532928713399</v>
      </c>
      <c r="AL4783">
        <v>79.679157840487505</v>
      </c>
      <c r="AM4783">
        <v>97.765914859541894</v>
      </c>
      <c r="AN4783">
        <v>0.999999969093469</v>
      </c>
    </row>
    <row r="4784" spans="1:40" x14ac:dyDescent="0.25">
      <c r="A4784" t="str">
        <f>"20190304155514472"</f>
        <v>20190304155514472</v>
      </c>
      <c r="B4784" t="str">
        <f>"1551686114462680"</f>
        <v>1551686114462680</v>
      </c>
      <c r="C4784" t="s">
        <v>40</v>
      </c>
      <c r="D4784">
        <v>4.7433050000000003</v>
      </c>
      <c r="E4784">
        <v>0.52281319999999998</v>
      </c>
      <c r="F4784" t="s">
        <v>74</v>
      </c>
      <c r="G4784">
        <v>-301.50420000000003</v>
      </c>
      <c r="H4784" s="1">
        <v>-9.783102E-6</v>
      </c>
      <c r="I4784">
        <v>-69.280640000000005</v>
      </c>
      <c r="J4784">
        <v>-301.74520000000001</v>
      </c>
      <c r="K4784">
        <v>1.111677</v>
      </c>
      <c r="L4784">
        <v>-30.491119999999999</v>
      </c>
      <c r="M4784">
        <v>-6.0112230000000003E-2</v>
      </c>
      <c r="N4784">
        <v>-1.4078729999999999E-2</v>
      </c>
      <c r="O4784">
        <v>-0.99809250000000005</v>
      </c>
      <c r="P4784">
        <v>7.2774710000000006E-2</v>
      </c>
      <c r="Q4784">
        <v>0.1642091</v>
      </c>
      <c r="R4784">
        <v>-0.98373730000000004</v>
      </c>
      <c r="S4784">
        <v>1.6998289999999999E-2</v>
      </c>
      <c r="T4784">
        <v>-8.6849209999999996E-2</v>
      </c>
      <c r="U4784">
        <v>-3.0634160000000001</v>
      </c>
      <c r="V4784">
        <v>-0.13230120000000001</v>
      </c>
      <c r="W4784">
        <v>0.17757139999999999</v>
      </c>
      <c r="X4784">
        <v>0.97517419999999999</v>
      </c>
      <c r="Y4784">
        <v>-6.5635750000000007E-2</v>
      </c>
      <c r="Z4784">
        <v>1.415319E-2</v>
      </c>
      <c r="AA4784">
        <v>0.99774320000000005</v>
      </c>
      <c r="AB4784">
        <v>28</v>
      </c>
      <c r="AC4784">
        <v>0.240999999999985</v>
      </c>
      <c r="AD4784">
        <v>-1.1116867831020001</v>
      </c>
      <c r="AE4784">
        <v>-38.789520000000003</v>
      </c>
      <c r="AF4784">
        <v>-2.5704082183217101</v>
      </c>
      <c r="AG4784">
        <v>-1.1116867831020001</v>
      </c>
      <c r="AH4784">
        <v>38.673108114167299</v>
      </c>
      <c r="AI4784">
        <v>91.642932754798494</v>
      </c>
      <c r="AJ4784">
        <v>93.802571287449794</v>
      </c>
      <c r="AK4784">
        <v>38.774374748313001</v>
      </c>
      <c r="AL4784">
        <v>79.771667071595601</v>
      </c>
      <c r="AM4784">
        <v>97.726106040831695</v>
      </c>
      <c r="AN4784">
        <v>0.99999996498251897</v>
      </c>
    </row>
    <row r="4785" spans="1:40" x14ac:dyDescent="0.25">
      <c r="A4785" t="str">
        <f>"20190304155514505"</f>
        <v>20190304155514505</v>
      </c>
      <c r="B4785" t="str">
        <f>"1551686114492935"</f>
        <v>1551686114492935</v>
      </c>
      <c r="C4785" t="s">
        <v>40</v>
      </c>
      <c r="D4785">
        <v>4.7973850000000002</v>
      </c>
      <c r="E4785">
        <v>0.52258930000000003</v>
      </c>
      <c r="F4785" t="s">
        <v>74</v>
      </c>
      <c r="G4785">
        <v>-301.43540000000002</v>
      </c>
      <c r="H4785" s="1">
        <v>-1.007075E-5</v>
      </c>
      <c r="I4785">
        <v>-66.651600000000002</v>
      </c>
      <c r="J4785">
        <v>-301.76679999999999</v>
      </c>
      <c r="K4785">
        <v>1.1118380000000001</v>
      </c>
      <c r="L4785">
        <v>-30.899809999999999</v>
      </c>
      <c r="M4785">
        <v>-5.7394899999999999E-2</v>
      </c>
      <c r="N4785">
        <v>-1.408557E-2</v>
      </c>
      <c r="O4785">
        <v>-0.99825229999999998</v>
      </c>
      <c r="P4785">
        <v>7.4233690000000005E-2</v>
      </c>
      <c r="Q4785">
        <v>0.16390639999999901</v>
      </c>
      <c r="R4785">
        <v>-0.98367890000000002</v>
      </c>
      <c r="S4785">
        <v>2.624512E-2</v>
      </c>
      <c r="T4785">
        <v>-9.4178079999999997E-2</v>
      </c>
      <c r="U4785">
        <v>-3.0633849999999998</v>
      </c>
      <c r="V4785">
        <v>-0.1311631</v>
      </c>
      <c r="W4785">
        <v>0.17722979999999899</v>
      </c>
      <c r="X4785">
        <v>0.97539010000000004</v>
      </c>
      <c r="Y4785">
        <v>-6.5929379999999996E-2</v>
      </c>
      <c r="Z4785">
        <v>1.6533220000000001E-2</v>
      </c>
      <c r="AA4785">
        <v>0.99768730000000005</v>
      </c>
      <c r="AB4785">
        <v>28</v>
      </c>
      <c r="AC4785">
        <v>0.33139999999997299</v>
      </c>
      <c r="AD4785">
        <v>-1.11184807074999</v>
      </c>
      <c r="AE4785">
        <v>-35.75179</v>
      </c>
      <c r="AF4785">
        <v>-2.38072503102928</v>
      </c>
      <c r="AG4785">
        <v>-1.11184807074999</v>
      </c>
      <c r="AH4785">
        <v>35.639355102207404</v>
      </c>
      <c r="AI4785">
        <v>91.782917352835995</v>
      </c>
      <c r="AJ4785">
        <v>93.821706185973497</v>
      </c>
      <c r="AK4785">
        <v>35.736083863611</v>
      </c>
      <c r="AL4785">
        <v>79.791555157246805</v>
      </c>
      <c r="AM4785">
        <v>97.658760528188097</v>
      </c>
      <c r="AN4785">
        <v>1.0000000039938299</v>
      </c>
    </row>
    <row r="4786" spans="1:40" x14ac:dyDescent="0.25">
      <c r="A4786" t="str">
        <f>"20190304155514539"</f>
        <v>20190304155514539</v>
      </c>
      <c r="B4786" t="str">
        <f>"1551686114532951"</f>
        <v>1551686114532951</v>
      </c>
      <c r="C4786" t="s">
        <v>40</v>
      </c>
      <c r="D4786">
        <v>4.8062930000000001</v>
      </c>
      <c r="E4786">
        <v>0.52239440000000004</v>
      </c>
      <c r="F4786" t="s">
        <v>74</v>
      </c>
      <c r="G4786">
        <v>-301.37920000000003</v>
      </c>
      <c r="H4786" s="1">
        <v>-1.0132489999999999E-5</v>
      </c>
      <c r="I4786">
        <v>-66.238280000000003</v>
      </c>
      <c r="J4786">
        <v>-301.7876</v>
      </c>
      <c r="K4786">
        <v>1.112031</v>
      </c>
      <c r="L4786">
        <v>-31.325500000000002</v>
      </c>
      <c r="M4786">
        <v>-5.419918E-2</v>
      </c>
      <c r="N4786">
        <v>-1.4092779999999999E-2</v>
      </c>
      <c r="O4786">
        <v>-0.99843079999999995</v>
      </c>
      <c r="P4786">
        <v>7.6260679999999997E-2</v>
      </c>
      <c r="Q4786">
        <v>0.16484969999999999</v>
      </c>
      <c r="R4786">
        <v>-0.98336630000000003</v>
      </c>
      <c r="S4786">
        <v>3.3599850000000001E-2</v>
      </c>
      <c r="T4786">
        <v>-9.6379880000000001E-2</v>
      </c>
      <c r="U4786">
        <v>-3.0632929999999998</v>
      </c>
      <c r="V4786">
        <v>-0.13012169999999901</v>
      </c>
      <c r="W4786">
        <v>0.1781256</v>
      </c>
      <c r="X4786">
        <v>0.97536639999999997</v>
      </c>
      <c r="Y4786">
        <v>-6.5130489999999999E-2</v>
      </c>
      <c r="Z4786">
        <v>1.725049E-2</v>
      </c>
      <c r="AA4786">
        <v>0.99772760000000005</v>
      </c>
      <c r="AB4786">
        <v>28</v>
      </c>
      <c r="AC4786">
        <v>0.40839999999997101</v>
      </c>
      <c r="AD4786">
        <v>-1.1120411324899999</v>
      </c>
      <c r="AE4786">
        <v>-34.912779999999998</v>
      </c>
      <c r="AF4786">
        <v>-2.2979003524535</v>
      </c>
      <c r="AG4786">
        <v>-1.1120411324899999</v>
      </c>
      <c r="AH4786">
        <v>34.804010389314101</v>
      </c>
      <c r="AI4786">
        <v>91.826091712214406</v>
      </c>
      <c r="AJ4786">
        <v>93.777414724793104</v>
      </c>
      <c r="AK4786">
        <v>34.8975088034897</v>
      </c>
      <c r="AL4786">
        <v>79.739399698262503</v>
      </c>
      <c r="AM4786">
        <v>97.598847800384902</v>
      </c>
      <c r="AN4786">
        <v>1.0000000002175999</v>
      </c>
    </row>
    <row r="4787" spans="1:40" x14ac:dyDescent="0.25">
      <c r="A4787" t="str">
        <f>"20190304155514575"</f>
        <v>20190304155514575</v>
      </c>
      <c r="B4787" t="str">
        <f>"1551686114562232"</f>
        <v>1551686114562232</v>
      </c>
      <c r="C4787" t="s">
        <v>40</v>
      </c>
      <c r="D4787">
        <v>4.7003539999999999</v>
      </c>
      <c r="E4787">
        <v>0.52243260000000002</v>
      </c>
      <c r="F4787" t="s">
        <v>74</v>
      </c>
      <c r="G4787">
        <v>-301.28530000000001</v>
      </c>
      <c r="H4787" s="1">
        <v>-1.0031289999999999E-5</v>
      </c>
      <c r="I4787">
        <v>-67.592740000000006</v>
      </c>
      <c r="J4787">
        <v>-301.80689999999998</v>
      </c>
      <c r="K4787">
        <v>1.1122110000000001</v>
      </c>
      <c r="L4787">
        <v>-31.760929999999998</v>
      </c>
      <c r="M4787">
        <v>-5.052007E-2</v>
      </c>
      <c r="N4787">
        <v>-1.4099240000000001E-2</v>
      </c>
      <c r="O4787">
        <v>-0.9986235</v>
      </c>
      <c r="P4787">
        <v>7.8275449999999996E-2</v>
      </c>
      <c r="Q4787">
        <v>0.16501150000000001</v>
      </c>
      <c r="R4787">
        <v>-0.98318079999999997</v>
      </c>
      <c r="S4787">
        <v>4.2419430000000001E-2</v>
      </c>
      <c r="T4787">
        <v>-9.3925120000000001E-2</v>
      </c>
      <c r="U4787">
        <v>-3.063202</v>
      </c>
      <c r="V4787">
        <v>-0.12859970000000001</v>
      </c>
      <c r="W4787">
        <v>0.17824619999999999</v>
      </c>
      <c r="X4787">
        <v>0.97554620000000003</v>
      </c>
      <c r="Y4787">
        <v>-6.4327110000000007E-2</v>
      </c>
      <c r="Z4787">
        <v>1.645549E-2</v>
      </c>
      <c r="AA4787">
        <v>0.99779320000000005</v>
      </c>
      <c r="AB4787">
        <v>28</v>
      </c>
      <c r="AC4787">
        <v>0.52159999999997797</v>
      </c>
      <c r="AD4787">
        <v>-1.1122210312899901</v>
      </c>
      <c r="AE4787">
        <v>-35.831809999999997</v>
      </c>
      <c r="AF4787">
        <v>-2.3290957738995002</v>
      </c>
      <c r="AG4787">
        <v>-1.1122210312899901</v>
      </c>
      <c r="AH4787">
        <v>35.725277973972098</v>
      </c>
      <c r="AI4787">
        <v>91.779415896252004</v>
      </c>
      <c r="AJ4787">
        <v>93.730097587024204</v>
      </c>
      <c r="AK4787">
        <v>35.8183920502305</v>
      </c>
      <c r="AL4787">
        <v>79.732377337792002</v>
      </c>
      <c r="AM4787">
        <v>97.509618196187901</v>
      </c>
      <c r="AN4787">
        <v>0.99999998949448499</v>
      </c>
    </row>
    <row r="4788" spans="1:40" x14ac:dyDescent="0.25">
      <c r="A4788" t="str">
        <f>"20190304155514607"</f>
        <v>20190304155514607</v>
      </c>
      <c r="B4788" t="str">
        <f>"1551686114602249"</f>
        <v>1551686114602249</v>
      </c>
      <c r="C4788" t="s">
        <v>40</v>
      </c>
      <c r="D4788">
        <v>4.7405010000000001</v>
      </c>
      <c r="E4788">
        <v>0.52238079999999998</v>
      </c>
      <c r="F4788" t="s">
        <v>74</v>
      </c>
      <c r="G4788">
        <v>-301.24009999999998</v>
      </c>
      <c r="H4788" s="1">
        <v>-1.002125E-5</v>
      </c>
      <c r="I4788">
        <v>-67.857709999999997</v>
      </c>
      <c r="J4788">
        <v>-301.82229999999998</v>
      </c>
      <c r="K4788">
        <v>1.112365</v>
      </c>
      <c r="L4788">
        <v>-32.144009999999902</v>
      </c>
      <c r="M4788">
        <v>-4.6968459999999997E-2</v>
      </c>
      <c r="N4788">
        <v>-1.410491E-2</v>
      </c>
      <c r="O4788">
        <v>-0.99879689999999999</v>
      </c>
      <c r="P4788">
        <v>8.1159869999999995E-2</v>
      </c>
      <c r="Q4788">
        <v>0.16510949999999999</v>
      </c>
      <c r="R4788">
        <v>-0.98293039999999998</v>
      </c>
      <c r="S4788">
        <v>4.8095699999999998E-2</v>
      </c>
      <c r="T4788">
        <v>-9.4388600000000003E-2</v>
      </c>
      <c r="U4788">
        <v>-3.0633539999999999</v>
      </c>
      <c r="V4788">
        <v>-0.1280559</v>
      </c>
      <c r="W4788">
        <v>0.1783063</v>
      </c>
      <c r="X4788">
        <v>0.97560670000000005</v>
      </c>
      <c r="Y4788">
        <v>-6.2626370000000001E-2</v>
      </c>
      <c r="Z4788">
        <v>1.6607980000000001E-2</v>
      </c>
      <c r="AA4788">
        <v>0.99789890000000003</v>
      </c>
      <c r="AB4788">
        <v>28</v>
      </c>
      <c r="AC4788">
        <v>0.58220000000000005</v>
      </c>
      <c r="AD4788">
        <v>-1.1123750212500001</v>
      </c>
      <c r="AE4788">
        <v>-35.713700000000003</v>
      </c>
      <c r="AF4788">
        <v>-2.25695255045401</v>
      </c>
      <c r="AG4788">
        <v>-1.1123750212500001</v>
      </c>
      <c r="AH4788">
        <v>35.612390105253802</v>
      </c>
      <c r="AI4788">
        <v>91.785507612355005</v>
      </c>
      <c r="AJ4788">
        <v>93.626298142262101</v>
      </c>
      <c r="AK4788">
        <v>35.701170037012503</v>
      </c>
      <c r="AL4788">
        <v>79.728877303370396</v>
      </c>
      <c r="AM4788">
        <v>97.4777645005111</v>
      </c>
      <c r="AN4788">
        <v>0.99999994161469297</v>
      </c>
    </row>
    <row r="4789" spans="1:40" x14ac:dyDescent="0.25">
      <c r="A4789" t="str">
        <f>"20190304155514640"</f>
        <v>20190304155514640</v>
      </c>
      <c r="B4789" t="str">
        <f>"1551686114632504"</f>
        <v>1551686114632504</v>
      </c>
      <c r="C4789" t="s">
        <v>40</v>
      </c>
      <c r="D4789">
        <v>4.8229199999999999</v>
      </c>
      <c r="E4789">
        <v>0.52234440000000004</v>
      </c>
      <c r="F4789" t="s">
        <v>74</v>
      </c>
      <c r="G4789">
        <v>-301.15940000000001</v>
      </c>
      <c r="H4789" s="1">
        <v>-1.003457E-5</v>
      </c>
      <c r="I4789">
        <v>-68.018419999999907</v>
      </c>
      <c r="J4789">
        <v>-301.83730000000003</v>
      </c>
      <c r="K4789">
        <v>1.112519</v>
      </c>
      <c r="L4789">
        <v>-32.567540000000001</v>
      </c>
      <c r="M4789">
        <v>-4.2762630000000003E-2</v>
      </c>
      <c r="N4789">
        <v>-1.4110360000000001E-2</v>
      </c>
      <c r="O4789">
        <v>-0.99898549999999997</v>
      </c>
      <c r="P4789">
        <v>8.5466639999999997E-2</v>
      </c>
      <c r="Q4789">
        <v>0.1666503</v>
      </c>
      <c r="R4789">
        <v>-0.98230499999999998</v>
      </c>
      <c r="S4789">
        <v>5.6610109999999998E-2</v>
      </c>
      <c r="T4789">
        <v>-9.4987870000000002E-2</v>
      </c>
      <c r="U4789">
        <v>-3.0633849999999998</v>
      </c>
      <c r="V4789">
        <v>-0.12828039999999999</v>
      </c>
      <c r="W4789">
        <v>0.17980470000000001</v>
      </c>
      <c r="X4789">
        <v>0.97530220000000001</v>
      </c>
      <c r="Y4789">
        <v>-6.1197010000000003E-2</v>
      </c>
      <c r="Z4789">
        <v>1.6806140000000001E-2</v>
      </c>
      <c r="AA4789">
        <v>0.99798419999999999</v>
      </c>
      <c r="AB4789">
        <v>28</v>
      </c>
      <c r="AC4789">
        <v>0.67790000000002204</v>
      </c>
      <c r="AD4789">
        <v>-1.1125290345700001</v>
      </c>
      <c r="AE4789">
        <v>-35.450879999999898</v>
      </c>
      <c r="AF4789">
        <v>-2.1912464964146801</v>
      </c>
      <c r="AG4789">
        <v>-1.1125290345700001</v>
      </c>
      <c r="AH4789">
        <v>35.354647347099103</v>
      </c>
      <c r="AI4789">
        <v>91.798921393817693</v>
      </c>
      <c r="AJ4789">
        <v>93.546599769401197</v>
      </c>
      <c r="AK4789">
        <v>35.439954445491999</v>
      </c>
      <c r="AL4789">
        <v>79.641615512887199</v>
      </c>
      <c r="AM4789">
        <v>97.493037444250305</v>
      </c>
      <c r="AN4789">
        <v>0.99999998624554398</v>
      </c>
    </row>
    <row r="4790" spans="1:40" x14ac:dyDescent="0.25">
      <c r="A4790" t="str">
        <f>"20190304155514673"</f>
        <v>20190304155514673</v>
      </c>
      <c r="B4790" t="str">
        <f>"1551686114662760"</f>
        <v>1551686114662760</v>
      </c>
      <c r="C4790" t="s">
        <v>40</v>
      </c>
      <c r="D4790">
        <v>4.8311539999999997</v>
      </c>
      <c r="E4790">
        <v>0.52230390000000004</v>
      </c>
      <c r="F4790" t="s">
        <v>74</v>
      </c>
      <c r="G4790">
        <v>-300.98149999999998</v>
      </c>
      <c r="H4790" s="1">
        <v>-9.8782499999999998E-6</v>
      </c>
      <c r="I4790">
        <v>-70.230609999999999</v>
      </c>
      <c r="J4790">
        <v>-301.84949999999998</v>
      </c>
      <c r="K4790">
        <v>1.1126149999999999</v>
      </c>
      <c r="L4790">
        <v>-32.965269999999997</v>
      </c>
      <c r="M4790">
        <v>-3.8602049999999999E-2</v>
      </c>
      <c r="N4790">
        <v>-1.411372E-2</v>
      </c>
      <c r="O4790">
        <v>-0.99915489999999996</v>
      </c>
      <c r="P4790">
        <v>9.0110839999999998E-2</v>
      </c>
      <c r="Q4790">
        <v>0.1662382</v>
      </c>
      <c r="R4790">
        <v>-0.9819599</v>
      </c>
      <c r="S4790">
        <v>6.9610599999999995E-2</v>
      </c>
      <c r="T4790">
        <v>-9.0487479999999995E-2</v>
      </c>
      <c r="U4790">
        <v>-3.0633240000000002</v>
      </c>
      <c r="V4790">
        <v>-0.1288736</v>
      </c>
      <c r="W4790">
        <v>0.17936369999999999</v>
      </c>
      <c r="X4790">
        <v>0.97530519999999998</v>
      </c>
      <c r="Y4790">
        <v>-6.1275450000000002E-2</v>
      </c>
      <c r="Z4790">
        <v>1.534485E-2</v>
      </c>
      <c r="AA4790">
        <v>0.99800290000000003</v>
      </c>
      <c r="AB4790">
        <v>28</v>
      </c>
      <c r="AC4790">
        <v>0.867999999999994</v>
      </c>
      <c r="AD4790">
        <v>-1.1126248782499999</v>
      </c>
      <c r="AE4790">
        <v>-37.265340000000002</v>
      </c>
      <c r="AF4790">
        <v>-2.3039621470279301</v>
      </c>
      <c r="AG4790">
        <v>-1.1126248782499999</v>
      </c>
      <c r="AH4790">
        <v>37.170931981530302</v>
      </c>
      <c r="AI4790">
        <v>91.711221136183298</v>
      </c>
      <c r="AJ4790">
        <v>93.5468210427819</v>
      </c>
      <c r="AK4790">
        <v>37.258882968631603</v>
      </c>
      <c r="AL4790">
        <v>79.667300535648295</v>
      </c>
      <c r="AM4790">
        <v>97.527267775013897</v>
      </c>
      <c r="AN4790">
        <v>0.99999998740084395</v>
      </c>
    </row>
    <row r="4791" spans="1:40" x14ac:dyDescent="0.25">
      <c r="A4791" t="str">
        <f>"20190304155514706"</f>
        <v>20190304155514706</v>
      </c>
      <c r="B4791" t="str">
        <f>"1551686114702776"</f>
        <v>1551686114702776</v>
      </c>
      <c r="C4791" t="s">
        <v>40</v>
      </c>
      <c r="D4791">
        <v>4.801844</v>
      </c>
      <c r="E4791">
        <v>0.52224329999999997</v>
      </c>
      <c r="F4791" t="s">
        <v>74</v>
      </c>
      <c r="G4791">
        <v>-300.83940000000001</v>
      </c>
      <c r="H4791" s="1">
        <v>-9.9495869999999998E-6</v>
      </c>
      <c r="I4791">
        <v>-70.033439999999999</v>
      </c>
      <c r="J4791">
        <v>-301.86020000000002</v>
      </c>
      <c r="K4791">
        <v>1.112681</v>
      </c>
      <c r="L4791">
        <v>-33.372100000000003</v>
      </c>
      <c r="M4791">
        <v>-3.4208769999999999E-2</v>
      </c>
      <c r="N4791">
        <v>-1.411599E-2</v>
      </c>
      <c r="O4791">
        <v>-0.99931510000000001</v>
      </c>
      <c r="P4791">
        <v>9.5516279999999995E-2</v>
      </c>
      <c r="Q4791">
        <v>0.16666249999999999</v>
      </c>
      <c r="R4791">
        <v>-0.98137719999999995</v>
      </c>
      <c r="S4791">
        <v>8.3465579999999998E-2</v>
      </c>
      <c r="T4791">
        <v>-9.1938500000000006E-2</v>
      </c>
      <c r="U4791">
        <v>-3.0630190000000002</v>
      </c>
      <c r="V4791">
        <v>-0.12998660000000001</v>
      </c>
      <c r="W4791">
        <v>0.17976059999999999</v>
      </c>
      <c r="X4791">
        <v>0.97508439999999996</v>
      </c>
      <c r="Y4791">
        <v>-6.1400330000000003E-2</v>
      </c>
      <c r="Z4791">
        <v>1.582273E-2</v>
      </c>
      <c r="AA4791">
        <v>0.99798779999999998</v>
      </c>
      <c r="AB4791">
        <v>28</v>
      </c>
      <c r="AC4791">
        <v>1.0207999999999999</v>
      </c>
      <c r="AD4791">
        <v>-1.1126909495870001</v>
      </c>
      <c r="AE4791">
        <v>-36.661340000000003</v>
      </c>
      <c r="AF4791">
        <v>-2.2723750394518301</v>
      </c>
      <c r="AG4791">
        <v>-1.1126909495870001</v>
      </c>
      <c r="AH4791">
        <v>36.571292664704998</v>
      </c>
      <c r="AI4791">
        <v>91.739348813263405</v>
      </c>
      <c r="AJ4791">
        <v>93.555530048935495</v>
      </c>
      <c r="AK4791">
        <v>36.658712697484702</v>
      </c>
      <c r="AL4791">
        <v>79.644184130168895</v>
      </c>
      <c r="AM4791">
        <v>97.593220042056402</v>
      </c>
      <c r="AN4791">
        <v>0.99999998830763903</v>
      </c>
    </row>
    <row r="4792" spans="1:40" x14ac:dyDescent="0.25">
      <c r="A4792" t="str">
        <f>"20190304155514740"</f>
        <v>20190304155514740</v>
      </c>
      <c r="B4792" t="str">
        <f>"1551686114733032"</f>
        <v>1551686114733032</v>
      </c>
      <c r="C4792" t="s">
        <v>40</v>
      </c>
      <c r="D4792">
        <v>4.7194609999999999</v>
      </c>
      <c r="E4792">
        <v>0.5221616</v>
      </c>
      <c r="F4792" t="s">
        <v>74</v>
      </c>
      <c r="G4792">
        <v>-300.64830000000001</v>
      </c>
      <c r="H4792">
        <v>5.8725799999999996E-3</v>
      </c>
      <c r="I4792">
        <v>-70.383700000000005</v>
      </c>
      <c r="J4792">
        <v>-301.8691</v>
      </c>
      <c r="K4792">
        <v>1.112722</v>
      </c>
      <c r="L4792">
        <v>-33.790469999999999</v>
      </c>
      <c r="M4792">
        <v>-2.9600129999999999E-2</v>
      </c>
      <c r="N4792">
        <v>-1.411711E-2</v>
      </c>
      <c r="O4792">
        <v>-0.99946219999999997</v>
      </c>
      <c r="P4792">
        <v>0.1008686</v>
      </c>
      <c r="Q4792">
        <v>0.1660837</v>
      </c>
      <c r="R4792">
        <v>-0.98093969999999997</v>
      </c>
      <c r="S4792">
        <v>0.1002808</v>
      </c>
      <c r="T4792">
        <v>-9.1589450000000003E-2</v>
      </c>
      <c r="U4792">
        <v>-3.0627439999999999</v>
      </c>
      <c r="V4792">
        <v>-0.13083</v>
      </c>
      <c r="W4792">
        <v>0.179165299999999</v>
      </c>
      <c r="X4792">
        <v>0.97508119999999998</v>
      </c>
      <c r="Y4792">
        <v>-6.2274070000000001E-2</v>
      </c>
      <c r="Z4792">
        <v>1.571376E-2</v>
      </c>
      <c r="AA4792">
        <v>0.99793540000000003</v>
      </c>
      <c r="AB4792">
        <v>27</v>
      </c>
      <c r="AC4792">
        <v>1.2207999999999899</v>
      </c>
      <c r="AD4792">
        <v>-1.1068494200000001</v>
      </c>
      <c r="AE4792">
        <v>-36.593229999999998</v>
      </c>
      <c r="AF4792">
        <v>-2.30143394647139</v>
      </c>
      <c r="AG4792">
        <v>-1.1068494200000001</v>
      </c>
      <c r="AH4792">
        <v>36.507689049698101</v>
      </c>
      <c r="AI4792">
        <v>91.733137859916496</v>
      </c>
      <c r="AJ4792">
        <v>93.607135831250005</v>
      </c>
      <c r="AK4792">
        <v>36.596899781237902</v>
      </c>
      <c r="AL4792">
        <v>79.678855534645706</v>
      </c>
      <c r="AM4792">
        <v>97.641932005728705</v>
      </c>
      <c r="AN4792">
        <v>1.00000002010876</v>
      </c>
    </row>
    <row r="4793" spans="1:40" x14ac:dyDescent="0.25">
      <c r="A4793" t="str">
        <f>"20190304155514778"</f>
        <v>20190304155514778</v>
      </c>
      <c r="B4793" t="str">
        <f>"1551686114772072"</f>
        <v>1551686114772072</v>
      </c>
      <c r="C4793" t="s">
        <v>40</v>
      </c>
      <c r="D4793">
        <v>4.8520969999999997</v>
      </c>
      <c r="E4793">
        <v>0.52220219999999995</v>
      </c>
      <c r="F4793" t="s">
        <v>74</v>
      </c>
      <c r="G4793">
        <v>-300.476</v>
      </c>
      <c r="H4793" s="1">
        <v>-1.0084759999999999E-5</v>
      </c>
      <c r="I4793">
        <v>-70.003069999999994</v>
      </c>
      <c r="J4793">
        <v>-301.87670000000003</v>
      </c>
      <c r="K4793">
        <v>1.1127479999999901</v>
      </c>
      <c r="L4793">
        <v>-34.2562</v>
      </c>
      <c r="M4793">
        <v>-2.4398759999999999E-2</v>
      </c>
      <c r="N4793">
        <v>-1.4117029999999999E-2</v>
      </c>
      <c r="O4793">
        <v>-0.99960260000000001</v>
      </c>
      <c r="P4793">
        <v>0.1071385</v>
      </c>
      <c r="Q4793">
        <v>0.16732149999999901</v>
      </c>
      <c r="R4793">
        <v>-0.98006369999999998</v>
      </c>
      <c r="S4793">
        <v>0.1177979</v>
      </c>
      <c r="T4793">
        <v>-9.4091530000000007E-2</v>
      </c>
      <c r="U4793">
        <v>-3.062103</v>
      </c>
      <c r="V4793">
        <v>-0.13200709999999999</v>
      </c>
      <c r="W4793">
        <v>0.1803825</v>
      </c>
      <c r="X4793">
        <v>0.97469810000000001</v>
      </c>
      <c r="Y4793">
        <v>-6.2787739999999995E-2</v>
      </c>
      <c r="Z4793">
        <v>1.653785E-2</v>
      </c>
      <c r="AA4793">
        <v>0.9978899</v>
      </c>
      <c r="AB4793">
        <v>27</v>
      </c>
      <c r="AC4793">
        <v>1.40070000000002</v>
      </c>
      <c r="AD4793">
        <v>-1.1127580847599901</v>
      </c>
      <c r="AE4793">
        <v>-35.746869999999902</v>
      </c>
      <c r="AF4793">
        <v>-2.2703525752721498</v>
      </c>
      <c r="AG4793">
        <v>-1.1127580847599901</v>
      </c>
      <c r="AH4793">
        <v>35.667538501581198</v>
      </c>
      <c r="AI4793">
        <v>91.783330893410195</v>
      </c>
      <c r="AJ4793">
        <v>93.642145400441194</v>
      </c>
      <c r="AK4793">
        <v>35.757041741914598</v>
      </c>
      <c r="AL4793">
        <v>79.607960426867393</v>
      </c>
      <c r="AM4793">
        <v>97.712858274785603</v>
      </c>
      <c r="AN4793">
        <v>1.0000000534501301</v>
      </c>
    </row>
    <row r="4794" spans="1:40" x14ac:dyDescent="0.25">
      <c r="A4794" t="str">
        <f>"20190304155514808"</f>
        <v>20190304155514808</v>
      </c>
      <c r="B4794" t="str">
        <f>"1551686114802328"</f>
        <v>1551686114802328</v>
      </c>
      <c r="C4794" t="s">
        <v>40</v>
      </c>
      <c r="D4794">
        <v>4.8724160000000003</v>
      </c>
      <c r="E4794">
        <v>0.52222360000000001</v>
      </c>
      <c r="F4794" t="s">
        <v>74</v>
      </c>
      <c r="G4794">
        <v>-300.2724</v>
      </c>
      <c r="H4794">
        <v>4.2394710000000002E-2</v>
      </c>
      <c r="I4794">
        <v>-70.383700000000005</v>
      </c>
      <c r="J4794">
        <v>-301.88060000000002</v>
      </c>
      <c r="K4794">
        <v>1.112776</v>
      </c>
      <c r="L4794">
        <v>-34.606290000000001</v>
      </c>
      <c r="M4794">
        <v>-2.0434359999999999E-2</v>
      </c>
      <c r="N4794">
        <v>-1.411683E-2</v>
      </c>
      <c r="O4794">
        <v>-0.99969169999999996</v>
      </c>
      <c r="P4794">
        <v>0.11142000000000001</v>
      </c>
      <c r="Q4794">
        <v>0.16760129999999901</v>
      </c>
      <c r="R4794">
        <v>-0.97953869999999998</v>
      </c>
      <c r="S4794">
        <v>0.13595579999999999</v>
      </c>
      <c r="T4794">
        <v>-9.0707659999999996E-2</v>
      </c>
      <c r="U4794">
        <v>-3.0616460000000001</v>
      </c>
      <c r="V4794">
        <v>-0.13241220000000001</v>
      </c>
      <c r="W4794">
        <v>0.1806508</v>
      </c>
      <c r="X4794">
        <v>0.97459340000000005</v>
      </c>
      <c r="Y4794">
        <v>-6.4744170000000004E-2</v>
      </c>
      <c r="Z4794">
        <v>1.543922E-2</v>
      </c>
      <c r="AA4794">
        <v>0.99778250000000002</v>
      </c>
      <c r="AB4794">
        <v>27</v>
      </c>
      <c r="AC4794">
        <v>1.6082000000000101</v>
      </c>
      <c r="AD4794">
        <v>-1.07038129</v>
      </c>
      <c r="AE4794">
        <v>-35.777409999999897</v>
      </c>
      <c r="AF4794">
        <v>-2.3369378285914899</v>
      </c>
      <c r="AG4794">
        <v>-1.07038129</v>
      </c>
      <c r="AH4794">
        <v>35.705177909782101</v>
      </c>
      <c r="AI4794">
        <v>91.713453057364404</v>
      </c>
      <c r="AJ4794">
        <v>93.744722071074406</v>
      </c>
      <c r="AK4794">
        <v>35.797579863586797</v>
      </c>
      <c r="AL4794">
        <v>79.592330636906794</v>
      </c>
      <c r="AM4794">
        <v>97.737062131059503</v>
      </c>
      <c r="AN4794">
        <v>0.99999999878652002</v>
      </c>
    </row>
    <row r="4795" spans="1:40" x14ac:dyDescent="0.25">
      <c r="A4795" t="str">
        <f>"20190304155514840"</f>
        <v>20190304155514840</v>
      </c>
      <c r="B4795" t="str">
        <f>"1551686114832584"</f>
        <v>1551686114832584</v>
      </c>
      <c r="C4795" t="s">
        <v>40</v>
      </c>
      <c r="D4795">
        <v>4.8276409999999998</v>
      </c>
      <c r="E4795">
        <v>0.52231530000000004</v>
      </c>
      <c r="F4795" t="s">
        <v>74</v>
      </c>
      <c r="G4795">
        <v>-300.1232</v>
      </c>
      <c r="H4795">
        <v>5.1278949999999997E-2</v>
      </c>
      <c r="I4795">
        <v>-70.384990000000002</v>
      </c>
      <c r="J4795">
        <v>-301.88350000000003</v>
      </c>
      <c r="K4795">
        <v>1.1128180000000001</v>
      </c>
      <c r="L4795">
        <v>-35.004730000000002</v>
      </c>
      <c r="M4795">
        <v>-1.5845109999999999E-2</v>
      </c>
      <c r="N4795">
        <v>-1.411681E-2</v>
      </c>
      <c r="O4795">
        <v>-0.99977479999999996</v>
      </c>
      <c r="P4795">
        <v>0.11700720000000001</v>
      </c>
      <c r="Q4795">
        <v>0.1662515</v>
      </c>
      <c r="R4795">
        <v>-0.97911700000000002</v>
      </c>
      <c r="S4795">
        <v>0.1503601</v>
      </c>
      <c r="T4795">
        <v>-9.0817809999999999E-2</v>
      </c>
      <c r="U4795">
        <v>-3.061096</v>
      </c>
      <c r="V4795">
        <v>-0.13351450000000001</v>
      </c>
      <c r="W4795">
        <v>0.179284</v>
      </c>
      <c r="X4795">
        <v>0.97469539999999999</v>
      </c>
      <c r="Y4795">
        <v>-6.48561E-2</v>
      </c>
      <c r="Z4795">
        <v>1.5481669999999999E-2</v>
      </c>
      <c r="AA4795">
        <v>0.99777450000000001</v>
      </c>
      <c r="AB4795">
        <v>27</v>
      </c>
      <c r="AC4795">
        <v>1.76030000000002</v>
      </c>
      <c r="AD4795">
        <v>-1.0615390499999999</v>
      </c>
      <c r="AE4795">
        <v>-35.38026</v>
      </c>
      <c r="AF4795">
        <v>-2.3186567909749098</v>
      </c>
      <c r="AG4795">
        <v>-1.0615390499999999</v>
      </c>
      <c r="AH4795">
        <v>35.316208549003697</v>
      </c>
      <c r="AI4795">
        <v>91.717988915443001</v>
      </c>
      <c r="AJ4795">
        <v>93.7563165724046</v>
      </c>
      <c r="AK4795">
        <v>35.408157545200403</v>
      </c>
      <c r="AL4795">
        <v>79.671942367749196</v>
      </c>
      <c r="AM4795">
        <v>97.799875273691896</v>
      </c>
      <c r="AN4795">
        <v>0.99999999857370503</v>
      </c>
    </row>
    <row r="4796" spans="1:40" x14ac:dyDescent="0.25">
      <c r="A4796" t="str">
        <f>"20190304155514874"</f>
        <v>20190304155514874</v>
      </c>
      <c r="B4796" t="str">
        <f>"1551686114862840"</f>
        <v>1551686114862840</v>
      </c>
      <c r="C4796" t="s">
        <v>40</v>
      </c>
      <c r="D4796">
        <v>4.9257439999999999</v>
      </c>
      <c r="E4796">
        <v>0.52248090000000003</v>
      </c>
      <c r="F4796" t="s">
        <v>74</v>
      </c>
      <c r="G4796">
        <v>-299.9554</v>
      </c>
      <c r="H4796">
        <v>1.0700960000000001E-2</v>
      </c>
      <c r="I4796">
        <v>-70.383700000000005</v>
      </c>
      <c r="J4796">
        <v>-301.88420000000002</v>
      </c>
      <c r="K4796">
        <v>1.1128769999999999</v>
      </c>
      <c r="L4796">
        <v>-35.413240000000002</v>
      </c>
      <c r="M4796">
        <v>-1.099702E-2</v>
      </c>
      <c r="N4796">
        <v>-1.4117319999999999E-2</v>
      </c>
      <c r="O4796">
        <v>-0.99983999999999995</v>
      </c>
      <c r="P4796">
        <v>0.1232506</v>
      </c>
      <c r="Q4796">
        <v>0.1657429</v>
      </c>
      <c r="R4796">
        <v>-0.97843729999999995</v>
      </c>
      <c r="S4796">
        <v>0.1667786</v>
      </c>
      <c r="T4796">
        <v>-9.5331910000000006E-2</v>
      </c>
      <c r="U4796">
        <v>-3.0602420000000001</v>
      </c>
      <c r="V4796">
        <v>-0.13503319999999999</v>
      </c>
      <c r="W4796">
        <v>0.1787463</v>
      </c>
      <c r="X4796">
        <v>0.97458489999999998</v>
      </c>
      <c r="Y4796">
        <v>-6.5367590000000003E-2</v>
      </c>
      <c r="Z4796">
        <v>1.6959700000000001E-2</v>
      </c>
      <c r="AA4796">
        <v>0.99771710000000002</v>
      </c>
      <c r="AB4796">
        <v>27</v>
      </c>
      <c r="AC4796">
        <v>1.9288000000000201</v>
      </c>
      <c r="AD4796">
        <v>-1.10217604</v>
      </c>
      <c r="AE4796">
        <v>-34.970459999999903</v>
      </c>
      <c r="AF4796">
        <v>-2.3110038131006898</v>
      </c>
      <c r="AG4796">
        <v>-1.10217604</v>
      </c>
      <c r="AH4796">
        <v>34.912556820685197</v>
      </c>
      <c r="AI4796">
        <v>91.804259371524495</v>
      </c>
      <c r="AJ4796">
        <v>93.787115328190794</v>
      </c>
      <c r="AK4796">
        <v>35.006315921628897</v>
      </c>
      <c r="AL4796">
        <v>79.703255803471706</v>
      </c>
      <c r="AM4796">
        <v>97.888369772785197</v>
      </c>
      <c r="AN4796">
        <v>0.99999996608696895</v>
      </c>
    </row>
    <row r="4797" spans="1:40" x14ac:dyDescent="0.25">
      <c r="A4797" t="str">
        <f>"20190304155514907"</f>
        <v>20190304155514907</v>
      </c>
      <c r="B4797" t="str">
        <f>"1551686114902859"</f>
        <v>1551686114902859</v>
      </c>
      <c r="C4797" t="s">
        <v>40</v>
      </c>
      <c r="D4797">
        <v>4.8481969999999999</v>
      </c>
      <c r="E4797">
        <v>0.52270839999999996</v>
      </c>
      <c r="F4797" t="s">
        <v>74</v>
      </c>
      <c r="G4797">
        <v>-299.76459999999997</v>
      </c>
      <c r="H4797">
        <v>3.4210209999999998E-3</v>
      </c>
      <c r="I4797">
        <v>-70.383700000000005</v>
      </c>
      <c r="J4797">
        <v>-301.88279999999997</v>
      </c>
      <c r="K4797">
        <v>1.1129560000000001</v>
      </c>
      <c r="L4797">
        <v>-35.818019999999997</v>
      </c>
      <c r="M4797">
        <v>-6.0064970000000004E-3</v>
      </c>
      <c r="N4797">
        <v>-1.411901E-2</v>
      </c>
      <c r="O4797">
        <v>-0.99988250000000001</v>
      </c>
      <c r="P4797">
        <v>0.13022400000000001</v>
      </c>
      <c r="Q4797">
        <v>0.16616429999999999</v>
      </c>
      <c r="R4797">
        <v>-0.9774621</v>
      </c>
      <c r="S4797">
        <v>0.1854248</v>
      </c>
      <c r="T4797">
        <v>-9.7054840000000003E-2</v>
      </c>
      <c r="U4797">
        <v>-3.0592039999999998</v>
      </c>
      <c r="V4797">
        <v>-0.1371609</v>
      </c>
      <c r="W4797">
        <v>0.1791249</v>
      </c>
      <c r="X4797">
        <v>0.97421820000000003</v>
      </c>
      <c r="Y4797">
        <v>-6.6465300000000005E-2</v>
      </c>
      <c r="Z4797">
        <v>1.7527009999999999E-2</v>
      </c>
      <c r="AA4797">
        <v>0.99763480000000004</v>
      </c>
      <c r="AB4797">
        <v>27</v>
      </c>
      <c r="AC4797">
        <v>2.1181999999999999</v>
      </c>
      <c r="AD4797">
        <v>-1.109534979</v>
      </c>
      <c r="AE4797">
        <v>-34.56568</v>
      </c>
      <c r="AF4797">
        <v>-2.3234160726926398</v>
      </c>
      <c r="AG4797">
        <v>-1.109534979</v>
      </c>
      <c r="AH4797">
        <v>34.516900107789702</v>
      </c>
      <c r="AI4797">
        <v>91.836966937120906</v>
      </c>
      <c r="AJ4797">
        <v>93.850908471644104</v>
      </c>
      <c r="AK4797">
        <v>34.612797101182203</v>
      </c>
      <c r="AL4797">
        <v>79.6812078418466</v>
      </c>
      <c r="AM4797">
        <v>98.014040622458495</v>
      </c>
      <c r="AN4797">
        <v>0.99999997175002897</v>
      </c>
    </row>
    <row r="4798" spans="1:40" x14ac:dyDescent="0.25">
      <c r="A4798" t="str">
        <f>"20190304155514941"</f>
        <v>20190304155514941</v>
      </c>
      <c r="B4798" t="str">
        <f>"1551686114932136"</f>
        <v>1551686114932136</v>
      </c>
      <c r="C4798" t="s">
        <v>40</v>
      </c>
      <c r="D4798">
        <v>4.9551439999999998</v>
      </c>
      <c r="E4798">
        <v>0.52281709999999904</v>
      </c>
      <c r="F4798" t="s">
        <v>74</v>
      </c>
      <c r="G4798">
        <v>-299.56939999999997</v>
      </c>
      <c r="H4798">
        <v>2.9958229999999999E-2</v>
      </c>
      <c r="I4798">
        <v>-70.383700000000005</v>
      </c>
      <c r="J4798">
        <v>-301.87920000000003</v>
      </c>
      <c r="K4798">
        <v>1.1130519999999999</v>
      </c>
      <c r="L4798">
        <v>-36.228729999999999</v>
      </c>
      <c r="M4798">
        <v>-7.2045460000000003E-4</v>
      </c>
      <c r="N4798">
        <v>-1.4121720000000001E-2</v>
      </c>
      <c r="O4798">
        <v>-0.99990020000000002</v>
      </c>
      <c r="P4798">
        <v>0.13773440000000001</v>
      </c>
      <c r="Q4798">
        <v>0.16500000000000001</v>
      </c>
      <c r="R4798">
        <v>-0.97662930000000003</v>
      </c>
      <c r="S4798">
        <v>0.20468140000000001</v>
      </c>
      <c r="T4798">
        <v>-9.5818159999999999E-2</v>
      </c>
      <c r="U4798">
        <v>-3.0581969999999998</v>
      </c>
      <c r="V4798">
        <v>-0.13954229999999901</v>
      </c>
      <c r="W4798">
        <v>0.17791309999999999</v>
      </c>
      <c r="X4798">
        <v>0.97410209999999997</v>
      </c>
      <c r="Y4798">
        <v>-6.7466890000000002E-2</v>
      </c>
      <c r="Z4798">
        <v>1.712735E-2</v>
      </c>
      <c r="AA4798">
        <v>0.99757450000000003</v>
      </c>
      <c r="AB4798">
        <v>27</v>
      </c>
      <c r="AC4798">
        <v>2.3098000000000498</v>
      </c>
      <c r="AD4798">
        <v>-1.0830937700000001</v>
      </c>
      <c r="AE4798">
        <v>-34.154969999999999</v>
      </c>
      <c r="AF4798">
        <v>-2.3320745028415302</v>
      </c>
      <c r="AG4798">
        <v>-1.0830937700000001</v>
      </c>
      <c r="AH4798">
        <v>34.1191429287679</v>
      </c>
      <c r="AI4798">
        <v>91.813983452624299</v>
      </c>
      <c r="AJ4798">
        <v>93.910137108125696</v>
      </c>
      <c r="AK4798">
        <v>34.215896565706203</v>
      </c>
      <c r="AL4798">
        <v>79.751772817030499</v>
      </c>
      <c r="AM4798">
        <v>98.152285326457104</v>
      </c>
      <c r="AN4798">
        <v>1.0000000129326501</v>
      </c>
    </row>
    <row r="4799" spans="1:40" x14ac:dyDescent="0.25">
      <c r="A4799" t="str">
        <f>"20190304155514979"</f>
        <v>20190304155514979</v>
      </c>
      <c r="B4799" t="str">
        <f>"1551686114972152"</f>
        <v>1551686114972152</v>
      </c>
      <c r="C4799" t="s">
        <v>40</v>
      </c>
      <c r="D4799">
        <v>5.6578650000000001</v>
      </c>
      <c r="E4799">
        <v>0.52311859999999999</v>
      </c>
      <c r="F4799" t="s">
        <v>74</v>
      </c>
      <c r="G4799">
        <v>-299.34530000000001</v>
      </c>
      <c r="H4799" s="1">
        <v>-1.48556399999999E-5</v>
      </c>
      <c r="I4799">
        <v>-70.275729999999996</v>
      </c>
      <c r="J4799">
        <v>-301.87200000000001</v>
      </c>
      <c r="K4799">
        <v>1.1131949999999999</v>
      </c>
      <c r="L4799">
        <v>-36.686920000000001</v>
      </c>
      <c r="M4799">
        <v>5.5396580000000003E-3</v>
      </c>
      <c r="N4799">
        <v>-1.4126029999999999E-2</v>
      </c>
      <c r="O4799">
        <v>-0.99988489999999997</v>
      </c>
      <c r="P4799">
        <v>0.147425</v>
      </c>
      <c r="Q4799">
        <v>0.164077799999999</v>
      </c>
      <c r="R4799">
        <v>-0.97536909999999999</v>
      </c>
      <c r="S4799">
        <v>0.22747800000000001</v>
      </c>
      <c r="T4799">
        <v>-9.992695E-2</v>
      </c>
      <c r="U4799">
        <v>-3.05661</v>
      </c>
      <c r="V4799">
        <v>-0.1431769</v>
      </c>
      <c r="W4799">
        <v>0.1769201</v>
      </c>
      <c r="X4799">
        <v>0.97375540000000005</v>
      </c>
      <c r="Y4799">
        <v>-6.8655069999999999E-2</v>
      </c>
      <c r="Z4799">
        <v>1.8471459999999999E-2</v>
      </c>
      <c r="AA4799">
        <v>0.99746939999999995</v>
      </c>
      <c r="AB4799">
        <v>27</v>
      </c>
      <c r="AC4799">
        <v>2.5266999999999999</v>
      </c>
      <c r="AD4799">
        <v>-1.1132098556399901</v>
      </c>
      <c r="AE4799">
        <v>-33.588810000000002</v>
      </c>
      <c r="AF4799">
        <v>-2.3380184846125398</v>
      </c>
      <c r="AG4799">
        <v>-1.1132098556399901</v>
      </c>
      <c r="AH4799">
        <v>33.565631559601201</v>
      </c>
      <c r="AI4799">
        <v>91.894939939323393</v>
      </c>
      <c r="AJ4799">
        <v>93.984509316603507</v>
      </c>
      <c r="AK4799">
        <v>33.665370763025599</v>
      </c>
      <c r="AL4799">
        <v>79.8095841476093</v>
      </c>
      <c r="AM4799">
        <v>98.364594648746305</v>
      </c>
      <c r="AN4799">
        <v>0.99999996275338898</v>
      </c>
    </row>
    <row r="4800" spans="1:40" x14ac:dyDescent="0.25">
      <c r="A4800" t="str">
        <f>"20190304155515009"</f>
        <v>20190304155515009</v>
      </c>
      <c r="B4800" t="str">
        <f>"1551686115002408"</f>
        <v>1551686115002408</v>
      </c>
      <c r="C4800" t="s">
        <v>40</v>
      </c>
      <c r="D4800">
        <v>4.6988329999999996</v>
      </c>
      <c r="E4800">
        <v>0.43477090000000002</v>
      </c>
      <c r="F4800" t="s">
        <v>74</v>
      </c>
      <c r="G4800">
        <v>-299.11059999999998</v>
      </c>
      <c r="H4800" s="1">
        <v>-1.4714129999999901E-5</v>
      </c>
      <c r="I4800">
        <v>-69.947800000000001</v>
      </c>
      <c r="J4800">
        <v>-301.86450000000002</v>
      </c>
      <c r="K4800">
        <v>1.113324</v>
      </c>
      <c r="L4800">
        <v>-37.026789999999998</v>
      </c>
      <c r="M4800">
        <v>1.0465790000000001E-2</v>
      </c>
      <c r="N4800">
        <v>-1.413149E-2</v>
      </c>
      <c r="O4800">
        <v>-0.9998454</v>
      </c>
      <c r="P4800">
        <v>0.15752639999999901</v>
      </c>
      <c r="Q4800">
        <v>0.1640239</v>
      </c>
      <c r="R4800">
        <v>-0.97379769999999999</v>
      </c>
      <c r="S4800">
        <v>0.25360110000000002</v>
      </c>
      <c r="T4800">
        <v>-0.1022354</v>
      </c>
      <c r="U4800">
        <v>-3.0546259999999998</v>
      </c>
      <c r="V4800">
        <v>-0.14853629999999901</v>
      </c>
      <c r="W4800">
        <v>0.1767802</v>
      </c>
      <c r="X4800">
        <v>0.9729778</v>
      </c>
      <c r="Y4800">
        <v>-7.226233E-2</v>
      </c>
      <c r="Z4800">
        <v>1.9225740000000002E-2</v>
      </c>
      <c r="AA4800">
        <v>0.99720039999999999</v>
      </c>
      <c r="AB4800">
        <v>27</v>
      </c>
      <c r="AC4800">
        <v>2.7539000000000402</v>
      </c>
      <c r="AD4800">
        <v>-1.11333871413</v>
      </c>
      <c r="AE4800">
        <v>-32.921009999999903</v>
      </c>
      <c r="AF4800">
        <v>-2.4064372761278001</v>
      </c>
      <c r="AG4800">
        <v>-1.11333871413</v>
      </c>
      <c r="AH4800">
        <v>32.9106532149112</v>
      </c>
      <c r="AI4800">
        <v>91.932372421352198</v>
      </c>
      <c r="AJ4800">
        <v>94.182042740283094</v>
      </c>
      <c r="AK4800">
        <v>33.017291810329702</v>
      </c>
      <c r="AL4800">
        <v>79.817728943397</v>
      </c>
      <c r="AM4800">
        <v>98.679847052280195</v>
      </c>
      <c r="AN4800">
        <v>1.0000000354112799</v>
      </c>
    </row>
    <row r="4801" spans="1:40" x14ac:dyDescent="0.25">
      <c r="A4801" t="str">
        <f>"20190304155515041"</f>
        <v>20190304155515041</v>
      </c>
      <c r="B4801" t="str">
        <f>"1551686115032198"</f>
        <v>1551686115032198</v>
      </c>
      <c r="C4801" t="s">
        <v>40</v>
      </c>
      <c r="D4801">
        <v>4.372992</v>
      </c>
      <c r="E4801">
        <v>0.41766969999999998</v>
      </c>
      <c r="F4801" t="s">
        <v>74</v>
      </c>
      <c r="G4801">
        <v>-295.01229999999998</v>
      </c>
      <c r="H4801" s="1">
        <v>-8.2320509999999996E-6</v>
      </c>
      <c r="I4801">
        <v>-57.662939999999999</v>
      </c>
      <c r="J4801">
        <v>-301.85340000000002</v>
      </c>
      <c r="K4801">
        <v>1.113494</v>
      </c>
      <c r="L4801">
        <v>-37.425539999999998</v>
      </c>
      <c r="M4801">
        <v>1.6547610000000001E-2</v>
      </c>
      <c r="N4801">
        <v>-1.4139209999999999E-2</v>
      </c>
      <c r="O4801">
        <v>-0.99976330000000002</v>
      </c>
      <c r="P4801">
        <v>0.16733909999999999</v>
      </c>
      <c r="Q4801">
        <v>0.16455229999999901</v>
      </c>
      <c r="R4801">
        <v>-0.9720704</v>
      </c>
      <c r="S4801">
        <v>0.97924800000000001</v>
      </c>
      <c r="T4801">
        <v>-0.1591071</v>
      </c>
      <c r="U4801">
        <v>-2.9491269999999998</v>
      </c>
      <c r="V4801">
        <v>-0.15251329999999999</v>
      </c>
      <c r="W4801">
        <v>0.1772204</v>
      </c>
      <c r="X4801">
        <v>0.97228219999999999</v>
      </c>
      <c r="Y4801">
        <v>-0.2990274</v>
      </c>
      <c r="Z4801">
        <v>3.7169899999999999E-2</v>
      </c>
      <c r="AA4801">
        <v>0.95352029999999999</v>
      </c>
      <c r="AB4801">
        <v>27</v>
      </c>
      <c r="AC4801">
        <v>6.8411000000000399</v>
      </c>
      <c r="AD4801">
        <v>-1.113502232051</v>
      </c>
      <c r="AE4801">
        <v>-20.237399999999901</v>
      </c>
      <c r="AF4801">
        <v>-6.4876225761706996</v>
      </c>
      <c r="AG4801">
        <v>-1.113502232051</v>
      </c>
      <c r="AH4801">
        <v>20.292709441496999</v>
      </c>
      <c r="AI4801">
        <v>92.991896940588106</v>
      </c>
      <c r="AJ4801">
        <v>107.729189257627</v>
      </c>
      <c r="AK4801">
        <v>21.333616439522</v>
      </c>
      <c r="AL4801">
        <v>79.792102633938995</v>
      </c>
      <c r="AM4801">
        <v>98.914837528522696</v>
      </c>
      <c r="AN4801">
        <v>1.00000002664494</v>
      </c>
    </row>
    <row r="4802" spans="1:40" x14ac:dyDescent="0.25">
      <c r="A4802" t="str">
        <f>"20190304155515075"</f>
        <v>20190304155515075</v>
      </c>
      <c r="B4802" t="str">
        <f>"1551686115072212"</f>
        <v>1551686115072212</v>
      </c>
      <c r="C4802" t="s">
        <v>40</v>
      </c>
      <c r="D4802">
        <v>4.3247910000000003</v>
      </c>
      <c r="E4802">
        <v>0.41205849999999999</v>
      </c>
      <c r="F4802" t="s">
        <v>74</v>
      </c>
      <c r="G4802">
        <v>-290.27800000000002</v>
      </c>
      <c r="H4802" s="1">
        <v>-1.11202399999999E-5</v>
      </c>
      <c r="I4802">
        <v>-66.850659999999905</v>
      </c>
      <c r="J4802">
        <v>-301.83909999999997</v>
      </c>
      <c r="K4802">
        <v>1.1136699999999999</v>
      </c>
      <c r="L4802">
        <v>-37.824370000000002</v>
      </c>
      <c r="M4802">
        <v>2.3038820000000002E-2</v>
      </c>
      <c r="N4802">
        <v>-1.414819E-2</v>
      </c>
      <c r="O4802">
        <v>-0.99963460000000004</v>
      </c>
      <c r="P4802">
        <v>0.1750041</v>
      </c>
      <c r="Q4802">
        <v>0.16492370000000001</v>
      </c>
      <c r="R4802">
        <v>-0.97065650000000003</v>
      </c>
      <c r="S4802">
        <v>1.143921</v>
      </c>
      <c r="T4802">
        <v>-0.1100405</v>
      </c>
      <c r="U4802">
        <v>-2.9078979999999999</v>
      </c>
      <c r="V4802">
        <v>-0.1539529</v>
      </c>
      <c r="W4802">
        <v>0.17752309999999999</v>
      </c>
      <c r="X4802">
        <v>0.97199999999999998</v>
      </c>
      <c r="Y4802">
        <v>-0.34433989999999998</v>
      </c>
      <c r="Z4802">
        <v>2.1247269999999999E-2</v>
      </c>
      <c r="AA4802">
        <v>0.93860460000000001</v>
      </c>
      <c r="AB4802">
        <v>27</v>
      </c>
      <c r="AC4802">
        <v>11.5610999999999</v>
      </c>
      <c r="AD4802">
        <v>-1.1136811202399901</v>
      </c>
      <c r="AE4802">
        <v>-29.0262899999999</v>
      </c>
      <c r="AF4802">
        <v>-10.8754147283029</v>
      </c>
      <c r="AG4802">
        <v>-1.1136811202399901</v>
      </c>
      <c r="AH4802">
        <v>29.247804141569901</v>
      </c>
      <c r="AI4802">
        <v>92.044017784053807</v>
      </c>
      <c r="AJ4802">
        <v>110.396994927493</v>
      </c>
      <c r="AK4802">
        <v>31.224172979500999</v>
      </c>
      <c r="AL4802">
        <v>79.774479220333106</v>
      </c>
      <c r="AM4802">
        <v>99.000185392279803</v>
      </c>
      <c r="AN4802">
        <v>0.99999997322600898</v>
      </c>
    </row>
    <row r="4803" spans="1:40" x14ac:dyDescent="0.25">
      <c r="A4803" t="str">
        <f>"20190304155515109"</f>
        <v>20190304155515109</v>
      </c>
      <c r="B4803" t="str">
        <f>"1551686115102468"</f>
        <v>1551686115102468</v>
      </c>
      <c r="C4803" t="s">
        <v>40</v>
      </c>
      <c r="D4803">
        <v>4.3141400000000001</v>
      </c>
      <c r="E4803">
        <v>0.41084340000000003</v>
      </c>
      <c r="F4803" t="s">
        <v>74</v>
      </c>
      <c r="G4803">
        <v>-288.16809999999998</v>
      </c>
      <c r="H4803">
        <v>6.0607899999999999E-2</v>
      </c>
      <c r="I4803">
        <v>-70.394359999999907</v>
      </c>
      <c r="J4803">
        <v>-301.82170000000002</v>
      </c>
      <c r="K4803">
        <v>1.1138650000000001</v>
      </c>
      <c r="L4803">
        <v>-38.228450000000002</v>
      </c>
      <c r="M4803">
        <v>3.0037660000000001E-2</v>
      </c>
      <c r="N4803">
        <v>-1.4160259999999999E-2</v>
      </c>
      <c r="O4803">
        <v>-0.99944869999999997</v>
      </c>
      <c r="P4803">
        <v>0.1851815</v>
      </c>
      <c r="Q4803">
        <v>0.1653115</v>
      </c>
      <c r="R4803">
        <v>-0.96870049999999996</v>
      </c>
      <c r="S4803">
        <v>1.2122189999999999</v>
      </c>
      <c r="T4803">
        <v>-9.3375680000000003E-2</v>
      </c>
      <c r="U4803">
        <v>-2.8879999999999999</v>
      </c>
      <c r="V4803">
        <v>-0.15744320000000001</v>
      </c>
      <c r="W4803">
        <v>0.177815</v>
      </c>
      <c r="X4803">
        <v>0.97138740000000001</v>
      </c>
      <c r="Y4803">
        <v>-0.35900140000000003</v>
      </c>
      <c r="Z4803">
        <v>1.5880979999999999E-2</v>
      </c>
      <c r="AA4803">
        <v>0.93320190000000003</v>
      </c>
      <c r="AB4803">
        <v>27</v>
      </c>
      <c r="AC4803">
        <v>13.653600000000001</v>
      </c>
      <c r="AD4803">
        <v>-1.0532570999999999</v>
      </c>
      <c r="AE4803">
        <v>-32.165909999999897</v>
      </c>
      <c r="AF4803">
        <v>-12.6696420134632</v>
      </c>
      <c r="AG4803">
        <v>-1.0532570999999999</v>
      </c>
      <c r="AH4803">
        <v>32.5320003874535</v>
      </c>
      <c r="AI4803">
        <v>91.728025047324707</v>
      </c>
      <c r="AJ4803">
        <v>111.278509432703</v>
      </c>
      <c r="AK4803">
        <v>34.9279290608144</v>
      </c>
      <c r="AL4803">
        <v>79.757484557663204</v>
      </c>
      <c r="AM4803">
        <v>99.206481524216301</v>
      </c>
      <c r="AN4803">
        <v>1.000000008165</v>
      </c>
    </row>
    <row r="4804" spans="1:40" x14ac:dyDescent="0.25">
      <c r="A4804" t="str">
        <f>"20190304155515143"</f>
        <v>20190304155515143</v>
      </c>
      <c r="B4804" t="str">
        <f>"1551686115132724"</f>
        <v>1551686115132724</v>
      </c>
      <c r="C4804" t="s">
        <v>40</v>
      </c>
      <c r="D4804">
        <v>4.2899039999999999</v>
      </c>
      <c r="E4804">
        <v>0.41020380000000001</v>
      </c>
      <c r="F4804" t="s">
        <v>74</v>
      </c>
      <c r="G4804">
        <v>-287.6284</v>
      </c>
      <c r="H4804">
        <v>7.9986570000000007E-2</v>
      </c>
      <c r="I4804">
        <v>-70.816829999999996</v>
      </c>
      <c r="J4804">
        <v>-301.80090000000001</v>
      </c>
      <c r="K4804">
        <v>1.114061</v>
      </c>
      <c r="L4804">
        <v>-38.63382</v>
      </c>
      <c r="M4804">
        <v>3.7482380000000003E-2</v>
      </c>
      <c r="N4804">
        <v>-1.4174320000000001E-2</v>
      </c>
      <c r="O4804">
        <v>-0.9991968</v>
      </c>
      <c r="P4804">
        <v>0.19639780000000001</v>
      </c>
      <c r="Q4804">
        <v>0.16681770000000001</v>
      </c>
      <c r="R4804">
        <v>-0.96622989999999997</v>
      </c>
      <c r="S4804">
        <v>1.251404</v>
      </c>
      <c r="T4804">
        <v>-9.115529E-2</v>
      </c>
      <c r="U4804">
        <v>-2.8732600000000001</v>
      </c>
      <c r="V4804">
        <v>-0.1615828</v>
      </c>
      <c r="W4804">
        <v>0.1792117</v>
      </c>
      <c r="X4804">
        <v>0.97045049999999999</v>
      </c>
      <c r="Y4804">
        <v>-0.36450440000000001</v>
      </c>
      <c r="Z4804">
        <v>1.519887E-2</v>
      </c>
      <c r="AA4804">
        <v>0.93107770000000001</v>
      </c>
      <c r="AB4804">
        <v>27</v>
      </c>
      <c r="AC4804">
        <v>14.172499999999999</v>
      </c>
      <c r="AD4804">
        <v>-1.03407443</v>
      </c>
      <c r="AE4804">
        <v>-32.183010000000003</v>
      </c>
      <c r="AF4804">
        <v>-12.944928210967101</v>
      </c>
      <c r="AG4804">
        <v>-1.03407443</v>
      </c>
      <c r="AH4804">
        <v>32.663417968963103</v>
      </c>
      <c r="AI4804">
        <v>91.685810695766193</v>
      </c>
      <c r="AJ4804">
        <v>111.619053027333</v>
      </c>
      <c r="AK4804">
        <v>35.150239682384203</v>
      </c>
      <c r="AL4804">
        <v>79.676153103694702</v>
      </c>
      <c r="AM4804">
        <v>99.453191129349605</v>
      </c>
      <c r="AN4804">
        <v>1.00000000381149</v>
      </c>
    </row>
    <row r="4805" spans="1:40" x14ac:dyDescent="0.25">
      <c r="A4805" t="str">
        <f>"20190304155515179"</f>
        <v>20190304155515179</v>
      </c>
      <c r="B4805" t="str">
        <f>"1551686115172740"</f>
        <v>1551686115172740</v>
      </c>
      <c r="C4805" t="s">
        <v>40</v>
      </c>
      <c r="D4805">
        <v>4.2941919999999998</v>
      </c>
      <c r="E4805">
        <v>0.40949570000000002</v>
      </c>
      <c r="F4805" t="s">
        <v>74</v>
      </c>
      <c r="G4805">
        <v>-286.53030000000001</v>
      </c>
      <c r="H4805">
        <v>7.9986559999999998E-2</v>
      </c>
      <c r="I4805">
        <v>-72.502650000000003</v>
      </c>
      <c r="J4805">
        <v>-301.7747</v>
      </c>
      <c r="K4805">
        <v>1.114255</v>
      </c>
      <c r="L4805">
        <v>-39.067140000000002</v>
      </c>
      <c r="M4805">
        <v>4.5944789999999999E-2</v>
      </c>
      <c r="N4805">
        <v>-1.41902E-2</v>
      </c>
      <c r="O4805">
        <v>-0.99884320000000004</v>
      </c>
      <c r="P4805">
        <v>0.20961299999999999</v>
      </c>
      <c r="Q4805">
        <v>0.1659535</v>
      </c>
      <c r="R4805">
        <v>-0.96359850000000002</v>
      </c>
      <c r="S4805">
        <v>1.288605</v>
      </c>
      <c r="T4805">
        <v>-8.725977E-2</v>
      </c>
      <c r="U4805">
        <v>-2.8580019999999999</v>
      </c>
      <c r="V4805">
        <v>-0.16673949999999901</v>
      </c>
      <c r="W4805">
        <v>0.17822650000000001</v>
      </c>
      <c r="X4805">
        <v>0.96975940000000005</v>
      </c>
      <c r="Y4805">
        <v>-0.36856129999999998</v>
      </c>
      <c r="Z4805">
        <v>1.3989939999999999E-2</v>
      </c>
      <c r="AA4805">
        <v>0.92949809999999999</v>
      </c>
      <c r="AB4805">
        <v>27</v>
      </c>
      <c r="AC4805">
        <v>15.244399999999899</v>
      </c>
      <c r="AD4805">
        <v>-1.03426844</v>
      </c>
      <c r="AE4805">
        <v>-33.435510000000001</v>
      </c>
      <c r="AF4805">
        <v>-13.6811182014764</v>
      </c>
      <c r="AG4805">
        <v>-1.03426844</v>
      </c>
      <c r="AH4805">
        <v>34.073672860724599</v>
      </c>
      <c r="AI4805">
        <v>91.613488315332305</v>
      </c>
      <c r="AJ4805">
        <v>111.87624037493001</v>
      </c>
      <c r="AK4805">
        <v>36.7322458974187</v>
      </c>
      <c r="AL4805">
        <v>79.733524749119397</v>
      </c>
      <c r="AM4805">
        <v>99.755988827559094</v>
      </c>
      <c r="AN4805">
        <v>1.00000002002543</v>
      </c>
    </row>
    <row r="4806" spans="1:40" x14ac:dyDescent="0.25">
      <c r="A4806" t="str">
        <f>"20190304155515209"</f>
        <v>20190304155515209</v>
      </c>
      <c r="B4806" t="str">
        <f>"1551686115202997"</f>
        <v>1551686115202997</v>
      </c>
      <c r="C4806" t="s">
        <v>40</v>
      </c>
      <c r="D4806">
        <v>4.6000620000000003</v>
      </c>
      <c r="E4806">
        <v>0.4096746</v>
      </c>
      <c r="F4806" t="s">
        <v>74</v>
      </c>
      <c r="G4806">
        <v>-285.91460000000001</v>
      </c>
      <c r="H4806">
        <v>7.9986559999999998E-2</v>
      </c>
      <c r="I4806">
        <v>-72.801119999999997</v>
      </c>
      <c r="J4806">
        <v>-301.75049999999999</v>
      </c>
      <c r="K4806">
        <v>1.114428</v>
      </c>
      <c r="L4806">
        <v>-39.414369999999998</v>
      </c>
      <c r="M4806">
        <v>5.3132169999999999E-2</v>
      </c>
      <c r="N4806">
        <v>-1.4204700000000001E-2</v>
      </c>
      <c r="O4806">
        <v>-0.99848650000000005</v>
      </c>
      <c r="P4806">
        <v>0.22082969999999999</v>
      </c>
      <c r="Q4806">
        <v>0.16584889999999999</v>
      </c>
      <c r="R4806">
        <v>-0.96110790000000001</v>
      </c>
      <c r="S4806">
        <v>1.33432</v>
      </c>
      <c r="T4806">
        <v>-8.7013129999999994E-2</v>
      </c>
      <c r="U4806">
        <v>-2.8380429999999999</v>
      </c>
      <c r="V4806">
        <v>-0.17114570000000001</v>
      </c>
      <c r="W4806">
        <v>0.1780139</v>
      </c>
      <c r="X4806">
        <v>0.96903059999999996</v>
      </c>
      <c r="Y4806">
        <v>-0.37663930000000001</v>
      </c>
      <c r="Z4806">
        <v>1.395037E-2</v>
      </c>
      <c r="AA4806">
        <v>0.92625489999999999</v>
      </c>
      <c r="AB4806">
        <v>27</v>
      </c>
      <c r="AC4806">
        <v>15.835899999999899</v>
      </c>
      <c r="AD4806">
        <v>-1.0344414399999999</v>
      </c>
      <c r="AE4806">
        <v>-33.386749999999999</v>
      </c>
      <c r="AF4806">
        <v>-14.028443974715501</v>
      </c>
      <c r="AG4806">
        <v>-1.0344414399999999</v>
      </c>
      <c r="AH4806">
        <v>34.154296054331198</v>
      </c>
      <c r="AI4806">
        <v>91.604786041784607</v>
      </c>
      <c r="AJ4806">
        <v>112.329785566951</v>
      </c>
      <c r="AK4806">
        <v>36.937558777096001</v>
      </c>
      <c r="AL4806">
        <v>79.745904114102999</v>
      </c>
      <c r="AM4806">
        <v>100.016024571343</v>
      </c>
      <c r="AN4806">
        <v>1.0000000514790199</v>
      </c>
    </row>
    <row r="4807" spans="1:40" x14ac:dyDescent="0.25">
      <c r="A4807" t="str">
        <f>"20190304155515242"</f>
        <v>20190304155515242</v>
      </c>
      <c r="B4807" t="str">
        <f>"1551686115232276"</f>
        <v>1551686115232276</v>
      </c>
      <c r="C4807" t="s">
        <v>40</v>
      </c>
      <c r="D4807">
        <v>4.341901</v>
      </c>
      <c r="E4807">
        <v>0.40966000000000002</v>
      </c>
      <c r="F4807" t="s">
        <v>74</v>
      </c>
      <c r="G4807">
        <v>-285.69479999999999</v>
      </c>
      <c r="H4807">
        <v>7.9986570000000007E-2</v>
      </c>
      <c r="I4807">
        <v>-72.566810000000004</v>
      </c>
      <c r="J4807">
        <v>-301.7199</v>
      </c>
      <c r="K4807">
        <v>1.1146659999999999</v>
      </c>
      <c r="L4807">
        <v>-39.805660000000003</v>
      </c>
      <c r="M4807">
        <v>6.1706410000000003E-2</v>
      </c>
      <c r="N4807">
        <v>-1.422615E-2</v>
      </c>
      <c r="O4807">
        <v>-0.99799289999999996</v>
      </c>
      <c r="P4807">
        <v>0.23378740000000001</v>
      </c>
      <c r="Q4807">
        <v>0.1645797</v>
      </c>
      <c r="R4807">
        <v>-0.95825729999999998</v>
      </c>
      <c r="S4807">
        <v>1.366943</v>
      </c>
      <c r="T4807">
        <v>-8.8069560000000005E-2</v>
      </c>
      <c r="U4807">
        <v>-2.8225099999999999</v>
      </c>
      <c r="V4807">
        <v>-0.17599339999999999</v>
      </c>
      <c r="W4807">
        <v>0.17661079999999901</v>
      </c>
      <c r="X4807">
        <v>0.96841880000000002</v>
      </c>
      <c r="Y4807">
        <v>-0.37934899999999999</v>
      </c>
      <c r="Z4807">
        <v>1.433656E-2</v>
      </c>
      <c r="AA4807">
        <v>0.92514260000000004</v>
      </c>
      <c r="AB4807">
        <v>27</v>
      </c>
      <c r="AC4807">
        <v>16.025099999999998</v>
      </c>
      <c r="AD4807">
        <v>-1.03467943</v>
      </c>
      <c r="AE4807">
        <v>-32.761150000000001</v>
      </c>
      <c r="AF4807">
        <v>-13.9615405232811</v>
      </c>
      <c r="AG4807">
        <v>-1.03467943</v>
      </c>
      <c r="AH4807">
        <v>33.660564830919199</v>
      </c>
      <c r="AI4807">
        <v>91.626370822315494</v>
      </c>
      <c r="AJ4807">
        <v>112.52742224402201</v>
      </c>
      <c r="AK4807">
        <v>36.455847268203797</v>
      </c>
      <c r="AL4807">
        <v>79.827589764214693</v>
      </c>
      <c r="AM4807">
        <v>100.300107482458</v>
      </c>
      <c r="AN4807">
        <v>1.00000001185682</v>
      </c>
    </row>
    <row r="4808" spans="1:40" x14ac:dyDescent="0.25">
      <c r="A4808" t="str">
        <f>"20190304155515276"</f>
        <v>20190304155515276</v>
      </c>
      <c r="B4808" t="str">
        <f>"1551686115272293"</f>
        <v>1551686115272293</v>
      </c>
      <c r="C4808" t="s">
        <v>40</v>
      </c>
      <c r="D4808">
        <v>4.3141049999999996</v>
      </c>
      <c r="E4808">
        <v>0.40969489999999997</v>
      </c>
      <c r="F4808" t="s">
        <v>74</v>
      </c>
      <c r="G4808">
        <v>-286.40940000000001</v>
      </c>
      <c r="H4808">
        <v>7.7922370000000005E-2</v>
      </c>
      <c r="I4808">
        <v>-70.411680000000004</v>
      </c>
      <c r="J4808">
        <v>-301.68520000000001</v>
      </c>
      <c r="K4808">
        <v>1.1149169999999999</v>
      </c>
      <c r="L4808">
        <v>-40.195680000000003</v>
      </c>
      <c r="M4808">
        <v>7.0819560000000004E-2</v>
      </c>
      <c r="N4808">
        <v>-1.4252539999999999E-2</v>
      </c>
      <c r="O4808">
        <v>-0.99738729999999998</v>
      </c>
      <c r="P4808">
        <v>0.2468766</v>
      </c>
      <c r="Q4808">
        <v>0.1612854</v>
      </c>
      <c r="R4808">
        <v>-0.95553080000000001</v>
      </c>
      <c r="S4808">
        <v>1.403046</v>
      </c>
      <c r="T4808">
        <v>-9.5006590000000002E-2</v>
      </c>
      <c r="U4808">
        <v>-2.8047179999999998</v>
      </c>
      <c r="V4808">
        <v>-0.18044109999999999</v>
      </c>
      <c r="W4808">
        <v>0.173184</v>
      </c>
      <c r="X4808">
        <v>0.96821919999999995</v>
      </c>
      <c r="Y4808">
        <v>-0.38274589999999997</v>
      </c>
      <c r="Z4808">
        <v>1.661961E-2</v>
      </c>
      <c r="AA4808">
        <v>0.92370410000000003</v>
      </c>
      <c r="AB4808">
        <v>27</v>
      </c>
      <c r="AC4808">
        <v>15.2758</v>
      </c>
      <c r="AD4808">
        <v>-1.0369946299999999</v>
      </c>
      <c r="AE4808">
        <v>-30.216000000000001</v>
      </c>
      <c r="AF4808">
        <v>-13.085060965461601</v>
      </c>
      <c r="AG4808">
        <v>-1.0369946299999999</v>
      </c>
      <c r="AH4808">
        <v>31.192790960941299</v>
      </c>
      <c r="AI4808">
        <v>91.755943170633302</v>
      </c>
      <c r="AJ4808">
        <v>112.75755744496701</v>
      </c>
      <c r="AK4808">
        <v>33.842050562362203</v>
      </c>
      <c r="AL4808">
        <v>80.027005119780995</v>
      </c>
      <c r="AM4808">
        <v>100.556759001266</v>
      </c>
      <c r="AN4808">
        <v>1.00000005383692</v>
      </c>
    </row>
    <row r="4809" spans="1:40" x14ac:dyDescent="0.25">
      <c r="A4809" t="str">
        <f>"20190304155515310"</f>
        <v>20190304155515310</v>
      </c>
      <c r="B4809" t="str">
        <f>"1551686115302547"</f>
        <v>1551686115302547</v>
      </c>
      <c r="C4809" t="s">
        <v>40</v>
      </c>
      <c r="D4809">
        <v>4.3217410000000003</v>
      </c>
      <c r="E4809">
        <v>0.40978579999999998</v>
      </c>
      <c r="F4809" t="s">
        <v>74</v>
      </c>
      <c r="G4809">
        <v>-286.52140000000003</v>
      </c>
      <c r="H4809" s="1">
        <v>-3.5391009999999999E-6</v>
      </c>
      <c r="I4809">
        <v>-69.508039999999994</v>
      </c>
      <c r="J4809">
        <v>-301.64519999999999</v>
      </c>
      <c r="K4809">
        <v>1.1151789999999999</v>
      </c>
      <c r="L4809">
        <v>-40.595120000000001</v>
      </c>
      <c r="M4809">
        <v>8.073582E-2</v>
      </c>
      <c r="N4809">
        <v>-1.428017E-2</v>
      </c>
      <c r="O4809">
        <v>-0.9966332</v>
      </c>
      <c r="P4809">
        <v>0.26099070000000002</v>
      </c>
      <c r="Q4809">
        <v>0.16011919999999999</v>
      </c>
      <c r="R4809">
        <v>-0.95196959999999997</v>
      </c>
      <c r="S4809">
        <v>1.4408570000000001</v>
      </c>
      <c r="T4809">
        <v>-0.1059393</v>
      </c>
      <c r="U4809">
        <v>-2.7852480000000002</v>
      </c>
      <c r="V4809">
        <v>-0.18523110000000001</v>
      </c>
      <c r="W4809">
        <v>0.17186699999999999</v>
      </c>
      <c r="X4809">
        <v>0.96754899999999999</v>
      </c>
      <c r="Y4809">
        <v>-0.386042</v>
      </c>
      <c r="Z4809">
        <v>2.0204429999999999E-2</v>
      </c>
      <c r="AA4809">
        <v>0.92225990000000002</v>
      </c>
      <c r="AB4809">
        <v>27</v>
      </c>
      <c r="AC4809">
        <v>15.1237999999999</v>
      </c>
      <c r="AD4809">
        <v>-1.115182539101</v>
      </c>
      <c r="AE4809">
        <v>-28.91292</v>
      </c>
      <c r="AF4809">
        <v>-12.7250086191486</v>
      </c>
      <c r="AG4809">
        <v>-1.115182539101</v>
      </c>
      <c r="AH4809">
        <v>30.004624843558499</v>
      </c>
      <c r="AI4809">
        <v>91.959725994335002</v>
      </c>
      <c r="AJ4809">
        <v>112.981877253874</v>
      </c>
      <c r="AK4809">
        <v>32.610534930534499</v>
      </c>
      <c r="AL4809">
        <v>80.103611314884006</v>
      </c>
      <c r="AM4809">
        <v>100.83777829362</v>
      </c>
      <c r="AN4809">
        <v>0.99999994674860304</v>
      </c>
    </row>
    <row r="4810" spans="1:40" x14ac:dyDescent="0.25">
      <c r="A4810" t="str">
        <f>"20190304155515344"</f>
        <v>20190304155515344</v>
      </c>
      <c r="B4810" t="str">
        <f>"1551686115332805"</f>
        <v>1551686115332805</v>
      </c>
      <c r="C4810" t="s">
        <v>40</v>
      </c>
      <c r="D4810">
        <v>4.7225650000000003</v>
      </c>
      <c r="E4810">
        <v>0.41009279999999998</v>
      </c>
      <c r="F4810" t="s">
        <v>74</v>
      </c>
      <c r="G4810">
        <v>-286.80360000000002</v>
      </c>
      <c r="H4810" s="1">
        <v>-3.638332E-6</v>
      </c>
      <c r="I4810">
        <v>-68.310580000000002</v>
      </c>
      <c r="J4810">
        <v>-301.60129999999998</v>
      </c>
      <c r="K4810">
        <v>1.115462</v>
      </c>
      <c r="L4810">
        <v>-40.988039999999998</v>
      </c>
      <c r="M4810">
        <v>9.1177069999999999E-2</v>
      </c>
      <c r="N4810">
        <v>-1.431467E-2</v>
      </c>
      <c r="O4810">
        <v>-0.9957319</v>
      </c>
      <c r="P4810">
        <v>0.27628419999999998</v>
      </c>
      <c r="Q4810">
        <v>0.15937509999999999</v>
      </c>
      <c r="R4810">
        <v>-0.94776950000000004</v>
      </c>
      <c r="S4810">
        <v>1.4802550000000001</v>
      </c>
      <c r="T4810">
        <v>-0.1112248</v>
      </c>
      <c r="U4810">
        <v>-2.7642519999999999</v>
      </c>
      <c r="V4810">
        <v>-0.1907816</v>
      </c>
      <c r="W4810">
        <v>0.17094570000000001</v>
      </c>
      <c r="X4810">
        <v>0.96663330000000003</v>
      </c>
      <c r="Y4810">
        <v>-0.38947799999999999</v>
      </c>
      <c r="Z4810">
        <v>2.1972330000000002E-2</v>
      </c>
      <c r="AA4810">
        <v>0.92077359999999997</v>
      </c>
      <c r="AB4810">
        <v>26</v>
      </c>
      <c r="AC4810">
        <v>14.797699999999899</v>
      </c>
      <c r="AD4810">
        <v>-1.1154656383319901</v>
      </c>
      <c r="AE4810">
        <v>-27.32254</v>
      </c>
      <c r="AF4810">
        <v>-12.228846520988901</v>
      </c>
      <c r="AG4810">
        <v>-1.1154656383319901</v>
      </c>
      <c r="AH4810">
        <v>28.521302656924099</v>
      </c>
      <c r="AI4810">
        <v>92.058622084886196</v>
      </c>
      <c r="AJ4810">
        <v>113.20780728774101</v>
      </c>
      <c r="AK4810">
        <v>31.052433979836</v>
      </c>
      <c r="AL4810">
        <v>80.157191345972393</v>
      </c>
      <c r="AM4810">
        <v>101.16480668663399</v>
      </c>
      <c r="AN4810">
        <v>0.99999999395797001</v>
      </c>
    </row>
    <row r="4811" spans="1:40" x14ac:dyDescent="0.25">
      <c r="A4811" t="str">
        <f>"20190304155515382"</f>
        <v>20190304155515382</v>
      </c>
      <c r="B4811" t="str">
        <f>"1551686115372821"</f>
        <v>1551686115372821</v>
      </c>
      <c r="C4811" t="s">
        <v>40</v>
      </c>
      <c r="D4811">
        <v>4.692526</v>
      </c>
      <c r="E4811">
        <v>0.41105370000000002</v>
      </c>
      <c r="F4811" t="s">
        <v>74</v>
      </c>
      <c r="G4811">
        <v>-286.98050000000001</v>
      </c>
      <c r="H4811" s="1">
        <v>-3.7513859999999998E-6</v>
      </c>
      <c r="I4811">
        <v>-67.331100000000006</v>
      </c>
      <c r="J4811">
        <v>-301.54629999999997</v>
      </c>
      <c r="K4811">
        <v>1.115823</v>
      </c>
      <c r="L4811">
        <v>-41.427149999999997</v>
      </c>
      <c r="M4811">
        <v>0.1037033</v>
      </c>
      <c r="N4811">
        <v>-1.4362120000000001E-2</v>
      </c>
      <c r="O4811">
        <v>-0.99450490000000002</v>
      </c>
      <c r="P4811">
        <v>0.29369430000000002</v>
      </c>
      <c r="Q4811">
        <v>0.156136</v>
      </c>
      <c r="R4811">
        <v>-0.94306219999999996</v>
      </c>
      <c r="S4811">
        <v>1.5214840000000001</v>
      </c>
      <c r="T4811">
        <v>-0.1160785</v>
      </c>
      <c r="U4811">
        <v>-2.741333</v>
      </c>
      <c r="V4811">
        <v>-0.19648019999999999</v>
      </c>
      <c r="W4811">
        <v>0.16750660000000001</v>
      </c>
      <c r="X4811">
        <v>0.96609370000000006</v>
      </c>
      <c r="Y4811">
        <v>-0.39171319999999998</v>
      </c>
      <c r="Z4811">
        <v>2.3607739999999999E-2</v>
      </c>
      <c r="AA4811">
        <v>0.9197845</v>
      </c>
      <c r="AB4811">
        <v>26</v>
      </c>
      <c r="AC4811">
        <v>14.5657999999999</v>
      </c>
      <c r="AD4811">
        <v>-1.1158267513860001</v>
      </c>
      <c r="AE4811">
        <v>-25.903949999999998</v>
      </c>
      <c r="AF4811">
        <v>-11.7840350356679</v>
      </c>
      <c r="AG4811">
        <v>-1.1158267513860001</v>
      </c>
      <c r="AH4811">
        <v>27.236534117158801</v>
      </c>
      <c r="AI4811">
        <v>92.153291243403103</v>
      </c>
      <c r="AJ4811">
        <v>113.395985323185</v>
      </c>
      <c r="AK4811">
        <v>29.697429885027301</v>
      </c>
      <c r="AL4811">
        <v>80.357120805197496</v>
      </c>
      <c r="AM4811">
        <v>101.495797945017</v>
      </c>
      <c r="AN4811">
        <v>0.99999998360764497</v>
      </c>
    </row>
    <row r="4812" spans="1:40" x14ac:dyDescent="0.25">
      <c r="A4812" t="str">
        <f>"20190304155515409"</f>
        <v>20190304155515409</v>
      </c>
      <c r="B4812" t="str">
        <f>"1551686115402100"</f>
        <v>1551686115402100</v>
      </c>
      <c r="C4812" t="s">
        <v>40</v>
      </c>
      <c r="D4812">
        <v>4.7930029999999997</v>
      </c>
      <c r="E4812">
        <v>0.42255549999999997</v>
      </c>
      <c r="F4812" t="s">
        <v>48</v>
      </c>
      <c r="G4812">
        <v>-301.00700000000001</v>
      </c>
      <c r="H4812">
        <v>1.071763</v>
      </c>
      <c r="I4812">
        <v>-42.363149999999997</v>
      </c>
      <c r="J4812">
        <v>-301.50139999999999</v>
      </c>
      <c r="K4812">
        <v>1.116096</v>
      </c>
      <c r="L4812">
        <v>-41.749270000000003</v>
      </c>
      <c r="M4812">
        <v>0.11352619999999999</v>
      </c>
      <c r="N4812">
        <v>-1.439963E-2</v>
      </c>
      <c r="O4812">
        <v>-0.99343090000000001</v>
      </c>
      <c r="P4812">
        <v>0.30980039999999998</v>
      </c>
      <c r="Q4812">
        <v>0.15809409999999999</v>
      </c>
      <c r="R4812">
        <v>-0.93756649999999997</v>
      </c>
      <c r="S4812">
        <v>1.5648500000000001</v>
      </c>
      <c r="T4812">
        <v>-0.127804</v>
      </c>
      <c r="U4812">
        <v>-2.714966</v>
      </c>
      <c r="V4812">
        <v>-0.2036608</v>
      </c>
      <c r="W4812">
        <v>0.16925229999999999</v>
      </c>
      <c r="X4812">
        <v>0.96430079999999996</v>
      </c>
      <c r="Y4812">
        <v>-0.3974376</v>
      </c>
      <c r="Z4812">
        <v>2.74871E-2</v>
      </c>
      <c r="AA4812">
        <v>0.91721739999999996</v>
      </c>
      <c r="AB4812">
        <v>26</v>
      </c>
      <c r="AC4812">
        <v>0.49439999999998402</v>
      </c>
      <c r="AD4812">
        <v>-4.43329999999999E-2</v>
      </c>
      <c r="AE4812">
        <v>-0.61387999999999399</v>
      </c>
      <c r="AF4812">
        <v>-0.420175148321972</v>
      </c>
      <c r="AG4812">
        <v>-4.43329999999999E-2</v>
      </c>
      <c r="AH4812">
        <v>0.66394322326189703</v>
      </c>
      <c r="AI4812">
        <v>93.229368096576295</v>
      </c>
      <c r="AJ4812">
        <v>122.32759281373301</v>
      </c>
      <c r="AK4812">
        <v>0.78697723847122103</v>
      </c>
      <c r="AL4812">
        <v>80.255651414336995</v>
      </c>
      <c r="AM4812">
        <v>101.9256409052</v>
      </c>
      <c r="AN4812">
        <v>1.00000004769628</v>
      </c>
    </row>
    <row r="4813" spans="1:40" x14ac:dyDescent="0.25">
      <c r="A4813" t="str">
        <f>"20190304155515444"</f>
        <v>20190304155515444</v>
      </c>
      <c r="B4813" t="str">
        <f>"1551686115432356"</f>
        <v>1551686115432356</v>
      </c>
      <c r="C4813" t="s">
        <v>40</v>
      </c>
      <c r="D4813">
        <v>4.85297</v>
      </c>
      <c r="E4813">
        <v>0.42173450000000001</v>
      </c>
      <c r="F4813" t="s">
        <v>74</v>
      </c>
      <c r="G4813">
        <v>-291.98579999999998</v>
      </c>
      <c r="H4813" s="1">
        <v>-9.2225789999999996E-6</v>
      </c>
      <c r="I4813">
        <v>-58.763109999999998</v>
      </c>
      <c r="J4813">
        <v>-301.44279999999998</v>
      </c>
      <c r="K4813">
        <v>1.1164320000000001</v>
      </c>
      <c r="L4813">
        <v>-42.136200000000002</v>
      </c>
      <c r="M4813">
        <v>0.12597179999999999</v>
      </c>
      <c r="N4813">
        <v>-1.4448320000000001E-2</v>
      </c>
      <c r="O4813">
        <v>-0.99192860000000005</v>
      </c>
      <c r="P4813">
        <v>0.32740279999999999</v>
      </c>
      <c r="Q4813">
        <v>0.1594429</v>
      </c>
      <c r="R4813">
        <v>-0.93133549999999998</v>
      </c>
      <c r="S4813">
        <v>1.524689</v>
      </c>
      <c r="T4813">
        <v>-0.1788341</v>
      </c>
      <c r="U4813">
        <v>-2.7261350000000002</v>
      </c>
      <c r="V4813">
        <v>-0.20992649999999999</v>
      </c>
      <c r="W4813">
        <v>0.170376799999999</v>
      </c>
      <c r="X4813">
        <v>0.9627578</v>
      </c>
      <c r="Y4813">
        <v>-0.37362869999999998</v>
      </c>
      <c r="Z4813">
        <v>4.4140190000000003E-2</v>
      </c>
      <c r="AA4813">
        <v>0.92652749999999995</v>
      </c>
      <c r="AB4813">
        <v>26</v>
      </c>
      <c r="AC4813">
        <v>9.4569999999999901</v>
      </c>
      <c r="AD4813">
        <v>-1.1164412225789999</v>
      </c>
      <c r="AE4813">
        <v>-16.626909999999899</v>
      </c>
      <c r="AF4813">
        <v>-7.26216825571393</v>
      </c>
      <c r="AG4813">
        <v>-1.1164412225789999</v>
      </c>
      <c r="AH4813">
        <v>17.6258246946607</v>
      </c>
      <c r="AI4813">
        <v>93.351698918788401</v>
      </c>
      <c r="AJ4813">
        <v>112.392573889676</v>
      </c>
      <c r="AK4813">
        <v>19.095947867144002</v>
      </c>
      <c r="AL4813">
        <v>80.190272135387502</v>
      </c>
      <c r="AM4813">
        <v>102.30064494064101</v>
      </c>
      <c r="AN4813">
        <v>0.99999998542066404</v>
      </c>
    </row>
    <row r="4814" spans="1:40" x14ac:dyDescent="0.25">
      <c r="A4814" t="str">
        <f>"20190304155515477"</f>
        <v>20190304155515477</v>
      </c>
      <c r="B4814" t="str">
        <f>"1551686115472373"</f>
        <v>1551686115472373</v>
      </c>
      <c r="C4814" t="s">
        <v>40</v>
      </c>
      <c r="D4814">
        <v>4.8041780000000003</v>
      </c>
      <c r="E4814">
        <v>0.42251369999999999</v>
      </c>
      <c r="F4814" t="s">
        <v>74</v>
      </c>
      <c r="G4814">
        <v>-290.72199999999998</v>
      </c>
      <c r="H4814" s="1">
        <v>-1.0036540000000001E-5</v>
      </c>
      <c r="I4814">
        <v>-60.392650000000003</v>
      </c>
      <c r="J4814">
        <v>-301.37860000000001</v>
      </c>
      <c r="K4814">
        <v>1.1168149999999999</v>
      </c>
      <c r="L4814">
        <v>-42.519590000000001</v>
      </c>
      <c r="M4814">
        <v>0.13923469999999999</v>
      </c>
      <c r="N4814">
        <v>-1.4509950000000001E-2</v>
      </c>
      <c r="O4814">
        <v>-0.99015330000000001</v>
      </c>
      <c r="P4814">
        <v>0.34606999999999999</v>
      </c>
      <c r="Q4814">
        <v>0.1597161</v>
      </c>
      <c r="R4814">
        <v>-0.92451439999999996</v>
      </c>
      <c r="S4814">
        <v>1.5816349999999999</v>
      </c>
      <c r="T4814">
        <v>-0.16470789999999999</v>
      </c>
      <c r="U4814">
        <v>-2.6933590000000001</v>
      </c>
      <c r="V4814">
        <v>-0.21658649999999999</v>
      </c>
      <c r="W4814">
        <v>0.17039599999999999</v>
      </c>
      <c r="X4814">
        <v>0.96127810000000002</v>
      </c>
      <c r="Y4814">
        <v>-0.38080029999999998</v>
      </c>
      <c r="Z4814">
        <v>3.9645720000000002E-2</v>
      </c>
      <c r="AA4814">
        <v>0.92380700000000004</v>
      </c>
      <c r="AB4814">
        <v>26</v>
      </c>
      <c r="AC4814">
        <v>10.656599999999999</v>
      </c>
      <c r="AD4814">
        <v>-1.1168250365400001</v>
      </c>
      <c r="AE4814">
        <v>-17.873059999999999</v>
      </c>
      <c r="AF4814">
        <v>-8.0408030340564594</v>
      </c>
      <c r="AG4814">
        <v>-1.1168250365400001</v>
      </c>
      <c r="AH4814">
        <v>19.1277553563048</v>
      </c>
      <c r="AI4814">
        <v>93.080983937716695</v>
      </c>
      <c r="AJ4814">
        <v>112.80059836445101</v>
      </c>
      <c r="AK4814">
        <v>20.779144269324</v>
      </c>
      <c r="AL4814">
        <v>80.1891563433893</v>
      </c>
      <c r="AM4814">
        <v>102.69734102943799</v>
      </c>
      <c r="AN4814">
        <v>1.0000000471689201</v>
      </c>
    </row>
    <row r="4815" spans="1:40" x14ac:dyDescent="0.25">
      <c r="A4815" t="str">
        <f>"20190304155515511"</f>
        <v>20190304155515511</v>
      </c>
      <c r="B4815" t="str">
        <f>"1551686115502628"</f>
        <v>1551686115502628</v>
      </c>
      <c r="C4815" t="s">
        <v>40</v>
      </c>
      <c r="D4815">
        <v>4.8020940000000003</v>
      </c>
      <c r="E4815">
        <v>0.42304079999999999</v>
      </c>
      <c r="F4815" t="s">
        <v>74</v>
      </c>
      <c r="G4815">
        <v>-290.10169999999999</v>
      </c>
      <c r="H4815" s="1">
        <v>-9.9538570000000004E-6</v>
      </c>
      <c r="I4815">
        <v>-60.945079999999997</v>
      </c>
      <c r="J4815">
        <v>-301.30939999999998</v>
      </c>
      <c r="K4815">
        <v>1.1172010000000001</v>
      </c>
      <c r="L4815">
        <v>-42.895510000000002</v>
      </c>
      <c r="M4815">
        <v>0.15310270000000001</v>
      </c>
      <c r="N4815">
        <v>-1.4579659999999999E-2</v>
      </c>
      <c r="O4815">
        <v>-0.98810290000000001</v>
      </c>
      <c r="P4815">
        <v>0.36561009999999999</v>
      </c>
      <c r="Q4815">
        <v>0.1603299</v>
      </c>
      <c r="R4815">
        <v>-0.91685550000000005</v>
      </c>
      <c r="S4815">
        <v>1.6296999999999999</v>
      </c>
      <c r="T4815">
        <v>-0.16139919999999999</v>
      </c>
      <c r="U4815">
        <v>-2.6627809999999998</v>
      </c>
      <c r="V4815">
        <v>-0.22370860000000001</v>
      </c>
      <c r="W4815">
        <v>0.17073479999999999</v>
      </c>
      <c r="X4815">
        <v>0.95958540000000003</v>
      </c>
      <c r="Y4815">
        <v>-0.38470320000000002</v>
      </c>
      <c r="Z4815">
        <v>3.8657619999999997E-2</v>
      </c>
      <c r="AA4815">
        <v>0.92223049999999995</v>
      </c>
      <c r="AB4815">
        <v>26</v>
      </c>
      <c r="AC4815">
        <v>11.2076999999999</v>
      </c>
      <c r="AD4815">
        <v>-1.1172109538570001</v>
      </c>
      <c r="AE4815">
        <v>-18.049569999999999</v>
      </c>
      <c r="AF4815">
        <v>-8.2888854784950201</v>
      </c>
      <c r="AG4815">
        <v>-1.1172109538570001</v>
      </c>
      <c r="AH4815">
        <v>19.4989202048381</v>
      </c>
      <c r="AI4815">
        <v>93.018383781104305</v>
      </c>
      <c r="AJ4815">
        <v>113.03008228035399</v>
      </c>
      <c r="AK4815">
        <v>21.217013737698</v>
      </c>
      <c r="AL4815">
        <v>80.169455627755696</v>
      </c>
      <c r="AM4815">
        <v>103.122999009433</v>
      </c>
      <c r="AN4815">
        <v>1.0000000247690699</v>
      </c>
    </row>
    <row r="4816" spans="1:40" x14ac:dyDescent="0.25">
      <c r="A4816" t="str">
        <f>"20190304155515545"</f>
        <v>20190304155515545</v>
      </c>
      <c r="B4816" t="str">
        <f>"1551686115532189"</f>
        <v>1551686115532189</v>
      </c>
      <c r="C4816" t="s">
        <v>40</v>
      </c>
      <c r="D4816">
        <v>4.8450389999999999</v>
      </c>
      <c r="E4816">
        <v>0.42402099999999998</v>
      </c>
      <c r="F4816" t="s">
        <v>74</v>
      </c>
      <c r="G4816">
        <v>-289.6123</v>
      </c>
      <c r="H4816" s="1">
        <v>-3.5572969999999999E-6</v>
      </c>
      <c r="I4816">
        <v>-61.198250000000002</v>
      </c>
      <c r="J4816">
        <v>-301.23239999999998</v>
      </c>
      <c r="K4816">
        <v>1.1176090000000001</v>
      </c>
      <c r="L4816">
        <v>-43.279359999999997</v>
      </c>
      <c r="M4816">
        <v>0.16818849999999999</v>
      </c>
      <c r="N4816">
        <v>-1.465791E-2</v>
      </c>
      <c r="O4816">
        <v>-0.98564589999999996</v>
      </c>
      <c r="P4816">
        <v>0.385411</v>
      </c>
      <c r="Q4816">
        <v>0.16156489999999901</v>
      </c>
      <c r="R4816">
        <v>-0.90849049999999998</v>
      </c>
      <c r="S4816">
        <v>1.6807559999999999</v>
      </c>
      <c r="T4816">
        <v>-0.1605306</v>
      </c>
      <c r="U4816">
        <v>-2.6299130000000002</v>
      </c>
      <c r="V4816">
        <v>-0.2300944</v>
      </c>
      <c r="W4816">
        <v>0.17169039999999999</v>
      </c>
      <c r="X4816">
        <v>0.95790339999999996</v>
      </c>
      <c r="Y4816">
        <v>-0.38853330000000003</v>
      </c>
      <c r="Z4816">
        <v>3.8446679999999997E-2</v>
      </c>
      <c r="AA4816">
        <v>0.92063220000000001</v>
      </c>
      <c r="AB4816">
        <v>26</v>
      </c>
      <c r="AC4816">
        <v>11.6200999999999</v>
      </c>
      <c r="AD4816">
        <v>-1.1176125572969999</v>
      </c>
      <c r="AE4816">
        <v>-17.918890000000001</v>
      </c>
      <c r="AF4816">
        <v>-8.4174082817780107</v>
      </c>
      <c r="AG4816">
        <v>-1.1176125572969999</v>
      </c>
      <c r="AH4816">
        <v>19.564577409886802</v>
      </c>
      <c r="AI4816">
        <v>93.003772682458205</v>
      </c>
      <c r="AJ4816">
        <v>113.279171831925</v>
      </c>
      <c r="AK4816">
        <v>21.327787256014801</v>
      </c>
      <c r="AL4816">
        <v>80.113882706948502</v>
      </c>
      <c r="AM4816">
        <v>103.50690733864199</v>
      </c>
      <c r="AN4816">
        <v>0.99999997504753901</v>
      </c>
    </row>
    <row r="4817" spans="1:40" x14ac:dyDescent="0.25">
      <c r="A4817" t="str">
        <f>"20190304155515583"</f>
        <v>20190304155515583</v>
      </c>
      <c r="B4817" t="str">
        <f>"1551686115572204"</f>
        <v>1551686115572204</v>
      </c>
      <c r="C4817" t="s">
        <v>40</v>
      </c>
      <c r="D4817">
        <v>3.939381</v>
      </c>
      <c r="E4817">
        <v>0.42482399999999998</v>
      </c>
      <c r="F4817" t="s">
        <v>74</v>
      </c>
      <c r="G4817">
        <v>-288.90719999999999</v>
      </c>
      <c r="H4817" s="1">
        <v>-3.8136740000000001E-6</v>
      </c>
      <c r="I4817">
        <v>-61.782139999999998</v>
      </c>
      <c r="J4817">
        <v>-301.1397</v>
      </c>
      <c r="K4817">
        <v>1.118009</v>
      </c>
      <c r="L4817">
        <v>-43.699309999999997</v>
      </c>
      <c r="M4817">
        <v>0.1857441</v>
      </c>
      <c r="N4817">
        <v>-1.474929E-2</v>
      </c>
      <c r="O4817">
        <v>-0.98248760000000002</v>
      </c>
      <c r="P4817">
        <v>0.40757149999999998</v>
      </c>
      <c r="Q4817">
        <v>0.1591619</v>
      </c>
      <c r="R4817">
        <v>-0.89919579999999999</v>
      </c>
      <c r="S4817">
        <v>1.72949199999999</v>
      </c>
      <c r="T4817">
        <v>-0.15682550000000001</v>
      </c>
      <c r="U4817">
        <v>-2.5963440000000002</v>
      </c>
      <c r="V4817">
        <v>-0.23655580000000001</v>
      </c>
      <c r="W4817">
        <v>0.16901350000000001</v>
      </c>
      <c r="X4817">
        <v>0.95680500000000002</v>
      </c>
      <c r="Y4817">
        <v>-0.38957849999999999</v>
      </c>
      <c r="Z4817">
        <v>3.7303210000000003E-2</v>
      </c>
      <c r="AA4817">
        <v>0.92023750000000004</v>
      </c>
      <c r="AB4817">
        <v>26</v>
      </c>
      <c r="AC4817">
        <v>12.2325</v>
      </c>
      <c r="AD4817">
        <v>-1.118012813674</v>
      </c>
      <c r="AE4817">
        <v>-18.082830000000001</v>
      </c>
      <c r="AF4817">
        <v>-8.6377885834803791</v>
      </c>
      <c r="AG4817">
        <v>-1.118012813674</v>
      </c>
      <c r="AH4817">
        <v>19.9880289159466</v>
      </c>
      <c r="AI4817">
        <v>92.939261700899607</v>
      </c>
      <c r="AJ4817">
        <v>113.371494727228</v>
      </c>
      <c r="AK4817">
        <v>21.803271410711801</v>
      </c>
      <c r="AL4817">
        <v>80.269533262035395</v>
      </c>
      <c r="AM4817">
        <v>103.887049432826</v>
      </c>
      <c r="AN4817">
        <v>1.0000000088604399</v>
      </c>
    </row>
    <row r="4818" spans="1:40" x14ac:dyDescent="0.25">
      <c r="A4818" t="str">
        <f>"20190304155515614"</f>
        <v>20190304155515614</v>
      </c>
      <c r="B4818" t="str">
        <f>"1551686115602463"</f>
        <v>1551686115602463</v>
      </c>
      <c r="C4818" t="s">
        <v>40</v>
      </c>
      <c r="D4818">
        <v>4.4812219999999998</v>
      </c>
      <c r="E4818">
        <v>0.39836660000000002</v>
      </c>
      <c r="F4818" t="s">
        <v>48</v>
      </c>
      <c r="G4818">
        <v>-300.51150000000001</v>
      </c>
      <c r="H4818">
        <v>1.059652</v>
      </c>
      <c r="I4818">
        <v>-44.598689999999998</v>
      </c>
      <c r="J4818">
        <v>-301.05360000000002</v>
      </c>
      <c r="K4818">
        <v>1.1182939999999999</v>
      </c>
      <c r="L4818">
        <v>-44.055050000000001</v>
      </c>
      <c r="M4818">
        <v>0.2014311</v>
      </c>
      <c r="N4818">
        <v>-1.4824270000000001E-2</v>
      </c>
      <c r="O4818">
        <v>-0.9793906</v>
      </c>
      <c r="P4818">
        <v>0.42848570000000002</v>
      </c>
      <c r="Q4818">
        <v>0.15794369999999999</v>
      </c>
      <c r="R4818">
        <v>-0.88963680000000001</v>
      </c>
      <c r="S4818">
        <v>1.7857670000000001</v>
      </c>
      <c r="T4818">
        <v>-0.16586819999999999</v>
      </c>
      <c r="U4818">
        <v>-2.5562740000000002</v>
      </c>
      <c r="V4818">
        <v>-0.24369589999999999</v>
      </c>
      <c r="W4818">
        <v>0.16754089999999999</v>
      </c>
      <c r="X4818">
        <v>0.95527079999999998</v>
      </c>
      <c r="Y4818">
        <v>-0.39514559999999999</v>
      </c>
      <c r="Z4818">
        <v>4.0345270000000003E-2</v>
      </c>
      <c r="AA4818">
        <v>0.91773210000000005</v>
      </c>
      <c r="AB4818">
        <v>26</v>
      </c>
      <c r="AC4818">
        <v>0.54210000000000402</v>
      </c>
      <c r="AD4818">
        <v>-5.8642E-2</v>
      </c>
      <c r="AE4818">
        <v>-0.54364000000000301</v>
      </c>
      <c r="AF4818">
        <v>-0.419023171316456</v>
      </c>
      <c r="AG4818">
        <v>-5.8642E-2</v>
      </c>
      <c r="AH4818">
        <v>0.63797993670179198</v>
      </c>
      <c r="AI4818">
        <v>94.393334657067498</v>
      </c>
      <c r="AJ4818">
        <v>123.29678034669099</v>
      </c>
      <c r="AK4818">
        <v>0.76553099342751796</v>
      </c>
      <c r="AL4818">
        <v>80.355127286651097</v>
      </c>
      <c r="AM4818">
        <v>104.311287319317</v>
      </c>
      <c r="AN4818">
        <v>0.99999997309112898</v>
      </c>
    </row>
    <row r="4819" spans="1:40" x14ac:dyDescent="0.25">
      <c r="A4819" t="str">
        <f>"20190304155515646"</f>
        <v>20190304155515646</v>
      </c>
      <c r="B4819" t="str">
        <f>"1551686115642984"</f>
        <v>1551686115642984</v>
      </c>
      <c r="C4819" t="s">
        <v>40</v>
      </c>
      <c r="D4819">
        <v>4.420471</v>
      </c>
      <c r="E4819">
        <v>0.39987709999999999</v>
      </c>
      <c r="F4819" t="s">
        <v>69</v>
      </c>
      <c r="G4819">
        <v>-261.12849999999997</v>
      </c>
      <c r="H4819">
        <v>0.39035419999999998</v>
      </c>
      <c r="I4819">
        <v>-91.254519999999999</v>
      </c>
      <c r="J4819">
        <v>-300.96300000000002</v>
      </c>
      <c r="K4819">
        <v>1.1185389999999999</v>
      </c>
      <c r="L4819">
        <v>-44.403750000000002</v>
      </c>
      <c r="M4819">
        <v>0.21740880000000001</v>
      </c>
      <c r="N4819">
        <v>-1.489526E-2</v>
      </c>
      <c r="O4819">
        <v>-0.97596709999999998</v>
      </c>
      <c r="P4819">
        <v>0.44853920000000003</v>
      </c>
      <c r="Q4819">
        <v>0.15740509999999999</v>
      </c>
      <c r="R4819">
        <v>-0.87979349999999901</v>
      </c>
      <c r="S4819">
        <v>2.0307010000000001</v>
      </c>
      <c r="T4819">
        <v>-3.7024380000000003E-2</v>
      </c>
      <c r="U4819">
        <v>-2.4006959999999999</v>
      </c>
      <c r="V4819">
        <v>-0.24982109999999999</v>
      </c>
      <c r="W4819">
        <v>0.16677790000000001</v>
      </c>
      <c r="X4819">
        <v>0.95382100000000003</v>
      </c>
      <c r="Y4819">
        <v>-0.46427849999999998</v>
      </c>
      <c r="Z4819">
        <v>-1.6186480000000001E-3</v>
      </c>
      <c r="AA4819">
        <v>0.88568780000000003</v>
      </c>
      <c r="AB4819">
        <v>26</v>
      </c>
      <c r="AC4819">
        <v>39.834499999999899</v>
      </c>
      <c r="AD4819">
        <v>-0.72818479999999997</v>
      </c>
      <c r="AE4819">
        <v>-46.850769999999997</v>
      </c>
      <c r="AF4819">
        <v>-28.6905490006212</v>
      </c>
      <c r="AG4819">
        <v>-0.72818479999999997</v>
      </c>
      <c r="AH4819">
        <v>54.383583503503999</v>
      </c>
      <c r="AI4819">
        <v>90.678510513092405</v>
      </c>
      <c r="AJ4819">
        <v>117.81429144390999</v>
      </c>
      <c r="AK4819">
        <v>61.491885722773098</v>
      </c>
      <c r="AL4819">
        <v>80.399467864026406</v>
      </c>
      <c r="AM4819">
        <v>104.677002386319</v>
      </c>
      <c r="AN4819">
        <v>0.99999997498730897</v>
      </c>
    </row>
    <row r="4820" spans="1:40" x14ac:dyDescent="0.25">
      <c r="A4820" t="str">
        <f>"20190304155515678"</f>
        <v>20190304155515678</v>
      </c>
      <c r="B4820" t="str">
        <f>"1551686115673241"</f>
        <v>1551686115673241</v>
      </c>
      <c r="C4820" t="s">
        <v>40</v>
      </c>
      <c r="D4820">
        <v>4.6660149999999998</v>
      </c>
      <c r="E4820">
        <v>0.39993899999999999</v>
      </c>
      <c r="F4820" t="s">
        <v>69</v>
      </c>
      <c r="G4820">
        <v>-260.005</v>
      </c>
      <c r="H4820">
        <v>0.51251219999999997</v>
      </c>
      <c r="I4820">
        <v>-90.976820000000004</v>
      </c>
      <c r="J4820">
        <v>-300.86680000000001</v>
      </c>
      <c r="K4820">
        <v>1.118789</v>
      </c>
      <c r="L4820">
        <v>-44.748170000000002</v>
      </c>
      <c r="M4820">
        <v>0.23381089999999999</v>
      </c>
      <c r="N4820">
        <v>-1.496828E-2</v>
      </c>
      <c r="O4820">
        <v>-0.97216720000000001</v>
      </c>
      <c r="P4820">
        <v>0.46829680000000001</v>
      </c>
      <c r="Q4820">
        <v>0.1579132</v>
      </c>
      <c r="R4820">
        <v>-0.8693459</v>
      </c>
      <c r="S4820">
        <v>2.0737920000000001</v>
      </c>
      <c r="T4820">
        <v>-3.0683760000000001E-2</v>
      </c>
      <c r="U4820">
        <v>-2.3580930000000002</v>
      </c>
      <c r="V4820">
        <v>-0.2554496</v>
      </c>
      <c r="W4820">
        <v>0.16706889999999999</v>
      </c>
      <c r="X4820">
        <v>0.95227799999999996</v>
      </c>
      <c r="Y4820">
        <v>-0.46640510000000002</v>
      </c>
      <c r="Z4820">
        <v>-3.6217559999999998E-3</v>
      </c>
      <c r="AA4820">
        <v>0.88456380000000001</v>
      </c>
      <c r="AB4820">
        <v>26</v>
      </c>
      <c r="AC4820">
        <v>40.861800000000002</v>
      </c>
      <c r="AD4820">
        <v>-0.60627679999999995</v>
      </c>
      <c r="AE4820">
        <v>-46.228649999999902</v>
      </c>
      <c r="AF4820">
        <v>-28.9161777697418</v>
      </c>
      <c r="AG4820">
        <v>-0.60627679999999995</v>
      </c>
      <c r="AH4820">
        <v>54.496737577547698</v>
      </c>
      <c r="AI4820">
        <v>90.563044787701003</v>
      </c>
      <c r="AJ4820">
        <v>117.95059288422</v>
      </c>
      <c r="AK4820">
        <v>61.696088327912904</v>
      </c>
      <c r="AL4820">
        <v>80.382557318128505</v>
      </c>
      <c r="AM4820">
        <v>105.016136883746</v>
      </c>
      <c r="AN4820">
        <v>0.99999995238568395</v>
      </c>
    </row>
    <row r="4821" spans="1:40" x14ac:dyDescent="0.25">
      <c r="A4821" t="str">
        <f>"20190304155515712"</f>
        <v>20190304155515712</v>
      </c>
      <c r="B4821" t="str">
        <f>"1551686115702520"</f>
        <v>1551686115702520</v>
      </c>
      <c r="C4821" t="s">
        <v>40</v>
      </c>
      <c r="D4821">
        <v>4.6909090000000004</v>
      </c>
      <c r="E4821">
        <v>0.41559849999999998</v>
      </c>
      <c r="F4821" t="s">
        <v>69</v>
      </c>
      <c r="G4821">
        <v>-258.3066</v>
      </c>
      <c r="H4821">
        <v>0.57725519999999997</v>
      </c>
      <c r="I4821">
        <v>-90.976820000000004</v>
      </c>
      <c r="J4821">
        <v>-300.75709999999998</v>
      </c>
      <c r="K4821">
        <v>1.119043</v>
      </c>
      <c r="L4821">
        <v>-45.112760000000002</v>
      </c>
      <c r="M4821">
        <v>0.25179869999999999</v>
      </c>
      <c r="N4821">
        <v>-1.5046810000000001E-2</v>
      </c>
      <c r="O4821">
        <v>-0.96766269999999999</v>
      </c>
      <c r="P4821">
        <v>0.4886953</v>
      </c>
      <c r="Q4821">
        <v>0.15868829999999901</v>
      </c>
      <c r="R4821">
        <v>-0.85790180000000005</v>
      </c>
      <c r="S4821">
        <v>2.1268009999999999</v>
      </c>
      <c r="T4821">
        <v>-2.7060629999999999E-2</v>
      </c>
      <c r="U4821">
        <v>-2.31012</v>
      </c>
      <c r="V4821">
        <v>-0.2604436</v>
      </c>
      <c r="W4821">
        <v>0.16763729999999999</v>
      </c>
      <c r="X4821">
        <v>0.95082429999999996</v>
      </c>
      <c r="Y4821">
        <v>-0.47013500000000003</v>
      </c>
      <c r="Z4821">
        <v>-4.7337430000000003E-3</v>
      </c>
      <c r="AA4821">
        <v>0.88258179999999997</v>
      </c>
      <c r="AB4821">
        <v>26</v>
      </c>
      <c r="AC4821">
        <v>42.450499999999899</v>
      </c>
      <c r="AD4821">
        <v>-0.54178780000000004</v>
      </c>
      <c r="AE4821">
        <v>-45.864060000000002</v>
      </c>
      <c r="AF4821">
        <v>-29.530377321058499</v>
      </c>
      <c r="AG4821">
        <v>-0.54178780000000004</v>
      </c>
      <c r="AH4821">
        <v>55.072014338924802</v>
      </c>
      <c r="AI4821">
        <v>90.496743421383201</v>
      </c>
      <c r="AJ4821">
        <v>118.200826088486</v>
      </c>
      <c r="AK4821">
        <v>62.492107358378099</v>
      </c>
      <c r="AL4821">
        <v>80.349524913524803</v>
      </c>
      <c r="AM4821">
        <v>105.31835945776101</v>
      </c>
      <c r="AN4821">
        <v>0.99999999130136996</v>
      </c>
    </row>
    <row r="4822" spans="1:40" x14ac:dyDescent="0.25">
      <c r="A4822" t="str">
        <f>"20190304155515746"</f>
        <v>20190304155515746</v>
      </c>
      <c r="B4822" t="str">
        <f>"1551686115742537"</f>
        <v>1551686115742537</v>
      </c>
      <c r="C4822" t="s">
        <v>40</v>
      </c>
      <c r="D4822">
        <v>4.659173</v>
      </c>
      <c r="E4822">
        <v>0.4123771</v>
      </c>
      <c r="F4822" t="s">
        <v>46</v>
      </c>
      <c r="G4822">
        <v>-278.26609999999999</v>
      </c>
      <c r="H4822">
        <v>6.9354519999999999E-3</v>
      </c>
      <c r="I4822">
        <v>-70.383659999999907</v>
      </c>
      <c r="J4822">
        <v>-300.64060000000001</v>
      </c>
      <c r="K4822">
        <v>1.1192789999999999</v>
      </c>
      <c r="L4822">
        <v>-45.473689999999998</v>
      </c>
      <c r="M4822">
        <v>0.2701867</v>
      </c>
      <c r="N4822">
        <v>-1.512267E-2</v>
      </c>
      <c r="O4822">
        <v>-0.96268940000000003</v>
      </c>
      <c r="P4822">
        <v>0.50694450000000002</v>
      </c>
      <c r="Q4822">
        <v>0.1588474</v>
      </c>
      <c r="R4822">
        <v>-0.84721639999999998</v>
      </c>
      <c r="S4822">
        <v>2.076416</v>
      </c>
      <c r="T4822">
        <v>-0.1026725</v>
      </c>
      <c r="U4822">
        <v>-2.3330690000000001</v>
      </c>
      <c r="V4822">
        <v>-0.2627948</v>
      </c>
      <c r="W4822">
        <v>0.16766130000000001</v>
      </c>
      <c r="X4822">
        <v>0.95017300000000005</v>
      </c>
      <c r="Y4822">
        <v>-0.43796610000000002</v>
      </c>
      <c r="Z4822">
        <v>2.0069239999999999E-2</v>
      </c>
      <c r="AA4822">
        <v>0.89876739999999999</v>
      </c>
      <c r="AB4822">
        <v>26</v>
      </c>
      <c r="AC4822">
        <v>22.374500000000001</v>
      </c>
      <c r="AD4822">
        <v>-1.1123435479999999</v>
      </c>
      <c r="AE4822">
        <v>-24.909969999999898</v>
      </c>
      <c r="AF4822">
        <v>-14.7947140107065</v>
      </c>
      <c r="AG4822">
        <v>-1.1123435479999999</v>
      </c>
      <c r="AH4822">
        <v>29.996179210524701</v>
      </c>
      <c r="AI4822">
        <v>91.904818390493105</v>
      </c>
      <c r="AJ4822">
        <v>116.25343453128001</v>
      </c>
      <c r="AK4822">
        <v>33.464782056025498</v>
      </c>
      <c r="AL4822">
        <v>80.348130880764899</v>
      </c>
      <c r="AM4822">
        <v>105.460152974539</v>
      </c>
      <c r="AN4822">
        <v>1.00000007417686</v>
      </c>
    </row>
    <row r="4823" spans="1:40" x14ac:dyDescent="0.25">
      <c r="A4823" t="str">
        <f>"20190304155515784"</f>
        <v>20190304155515784</v>
      </c>
      <c r="B4823" t="str">
        <f>"1551686115772793"</f>
        <v>1551686115772793</v>
      </c>
      <c r="C4823" t="s">
        <v>40</v>
      </c>
      <c r="D4823">
        <v>4.4602459999999997</v>
      </c>
      <c r="E4823">
        <v>0.41084100000000001</v>
      </c>
      <c r="F4823" t="s">
        <v>46</v>
      </c>
      <c r="G4823">
        <v>-275.98180000000002</v>
      </c>
      <c r="H4823">
        <v>7.9987929999999999E-2</v>
      </c>
      <c r="I4823">
        <v>-71.550960000000003</v>
      </c>
      <c r="J4823">
        <v>-300.50009999999997</v>
      </c>
      <c r="K4823">
        <v>1.119507</v>
      </c>
      <c r="L4823">
        <v>-45.878300000000003</v>
      </c>
      <c r="M4823">
        <v>0.29147199999999901</v>
      </c>
      <c r="N4823">
        <v>-1.5205049999999999E-2</v>
      </c>
      <c r="O4823">
        <v>-0.95645860000000005</v>
      </c>
      <c r="P4823">
        <v>0.52607169999999903</v>
      </c>
      <c r="Q4823">
        <v>0.1597326</v>
      </c>
      <c r="R4823">
        <v>-0.83530499999999996</v>
      </c>
      <c r="S4823">
        <v>2.148682</v>
      </c>
      <c r="T4823">
        <v>-9.0560080000000001E-2</v>
      </c>
      <c r="U4823">
        <v>-2.272278</v>
      </c>
      <c r="V4823">
        <v>-0.2634841</v>
      </c>
      <c r="W4823">
        <v>0.1684599</v>
      </c>
      <c r="X4823">
        <v>0.94984069999999998</v>
      </c>
      <c r="Y4823">
        <v>-0.44520369999999998</v>
      </c>
      <c r="Z4823">
        <v>1.6170980000000001E-2</v>
      </c>
      <c r="AA4823">
        <v>0.8952833</v>
      </c>
      <c r="AB4823">
        <v>26</v>
      </c>
      <c r="AC4823">
        <v>24.518299999999901</v>
      </c>
      <c r="AD4823">
        <v>-1.0395190700000001</v>
      </c>
      <c r="AE4823">
        <v>-25.67266</v>
      </c>
      <c r="AF4823">
        <v>-15.956040425408199</v>
      </c>
      <c r="AG4823">
        <v>-1.0395190700000001</v>
      </c>
      <c r="AH4823">
        <v>31.677734405350201</v>
      </c>
      <c r="AI4823">
        <v>91.678717773385202</v>
      </c>
      <c r="AJ4823">
        <v>116.73434594051299</v>
      </c>
      <c r="AK4823">
        <v>35.484569646679802</v>
      </c>
      <c r="AL4823">
        <v>80.301713373039405</v>
      </c>
      <c r="AM4823">
        <v>105.50391868457</v>
      </c>
      <c r="AN4823">
        <v>0.99999998211865404</v>
      </c>
    </row>
    <row r="4824" spans="1:40" x14ac:dyDescent="0.25">
      <c r="A4824" t="str">
        <f>"20190304155515813"</f>
        <v>20190304155515813</v>
      </c>
      <c r="B4824" t="str">
        <f>"1551686115803049"</f>
        <v>1551686115803049</v>
      </c>
      <c r="C4824" t="s">
        <v>40</v>
      </c>
      <c r="D4824">
        <v>4.4099240000000002</v>
      </c>
      <c r="E4824">
        <v>0.40951009999999999</v>
      </c>
      <c r="F4824" t="s">
        <v>46</v>
      </c>
      <c r="G4824">
        <v>-271.97930000000002</v>
      </c>
      <c r="H4824">
        <v>7.9987879999999997E-2</v>
      </c>
      <c r="I4824">
        <v>-74.434150000000002</v>
      </c>
      <c r="J4824">
        <v>-300.387</v>
      </c>
      <c r="K4824">
        <v>1.1196459999999999</v>
      </c>
      <c r="L4824">
        <v>-46.182189999999999</v>
      </c>
      <c r="M4824">
        <v>0.30791550000000001</v>
      </c>
      <c r="N4824">
        <v>-1.526401E-2</v>
      </c>
      <c r="O4824">
        <v>-0.95129129999999995</v>
      </c>
      <c r="P4824">
        <v>0.54029719999999903</v>
      </c>
      <c r="Q4824">
        <v>0.16129019999999999</v>
      </c>
      <c r="R4824">
        <v>-0.8258721</v>
      </c>
      <c r="S4824">
        <v>2.2114259999999999</v>
      </c>
      <c r="T4824">
        <v>-8.0601450000000005E-2</v>
      </c>
      <c r="U4824">
        <v>-2.2141419999999998</v>
      </c>
      <c r="V4824">
        <v>-0.26356449999999998</v>
      </c>
      <c r="W4824">
        <v>0.1699736</v>
      </c>
      <c r="X4824">
        <v>0.94954870000000002</v>
      </c>
      <c r="Y4824">
        <v>-0.45425890000000002</v>
      </c>
      <c r="Z4824">
        <v>1.3011750000000001E-2</v>
      </c>
      <c r="AA4824">
        <v>0.89077469999999903</v>
      </c>
      <c r="AB4824">
        <v>26</v>
      </c>
      <c r="AC4824">
        <v>28.407699999999899</v>
      </c>
      <c r="AD4824">
        <v>-1.0396581199999999</v>
      </c>
      <c r="AE4824">
        <v>-28.25196</v>
      </c>
      <c r="AF4824">
        <v>-18.314583170389898</v>
      </c>
      <c r="AG4824">
        <v>-1.0396581199999999</v>
      </c>
      <c r="AH4824">
        <v>35.603189604305797</v>
      </c>
      <c r="AI4824">
        <v>91.487466993035497</v>
      </c>
      <c r="AJ4824">
        <v>117.221674629068</v>
      </c>
      <c r="AK4824">
        <v>40.051116784825901</v>
      </c>
      <c r="AL4824">
        <v>80.213715910880794</v>
      </c>
      <c r="AM4824">
        <v>105.51296132361701</v>
      </c>
      <c r="AN4824">
        <v>1.0000000020144499</v>
      </c>
    </row>
    <row r="4825" spans="1:40" x14ac:dyDescent="0.25">
      <c r="A4825" t="str">
        <f>"20190304155515846"</f>
        <v>20190304155515846</v>
      </c>
      <c r="B4825" t="str">
        <f>"1551686115842596"</f>
        <v>1551686115842596</v>
      </c>
      <c r="C4825" t="s">
        <v>40</v>
      </c>
      <c r="D4825">
        <v>4.3806710000000004</v>
      </c>
      <c r="E4825">
        <v>0.40917239999999999</v>
      </c>
      <c r="F4825" t="s">
        <v>47</v>
      </c>
      <c r="G4825">
        <v>-262.59440000000001</v>
      </c>
      <c r="H4825">
        <v>-0.05</v>
      </c>
      <c r="I4825">
        <v>-82.451509999999999</v>
      </c>
      <c r="J4825">
        <v>-300.25310000000002</v>
      </c>
      <c r="K4825">
        <v>1.1197870000000001</v>
      </c>
      <c r="L4825">
        <v>-46.52252</v>
      </c>
      <c r="M4825">
        <v>0.32674120000000001</v>
      </c>
      <c r="N4825">
        <v>-1.532828E-2</v>
      </c>
      <c r="O4825">
        <v>-0.94498970000000004</v>
      </c>
      <c r="P4825">
        <v>0.55744899999999997</v>
      </c>
      <c r="Q4825">
        <v>0.1590859</v>
      </c>
      <c r="R4825">
        <v>-0.81482670000000001</v>
      </c>
      <c r="S4825">
        <v>2.2592469999999998</v>
      </c>
      <c r="T4825">
        <v>-6.9921490000000003E-2</v>
      </c>
      <c r="U4825">
        <v>-2.1681819999999998</v>
      </c>
      <c r="V4825">
        <v>-0.26444630000000002</v>
      </c>
      <c r="W4825">
        <v>0.167712</v>
      </c>
      <c r="X4825">
        <v>0.94970569999999999</v>
      </c>
      <c r="Y4825">
        <v>-0.4554745</v>
      </c>
      <c r="Z4825">
        <v>9.5785729999999999E-3</v>
      </c>
      <c r="AA4825">
        <v>0.89019729999999997</v>
      </c>
      <c r="AB4825">
        <v>25</v>
      </c>
      <c r="AC4825">
        <v>37.658700000000003</v>
      </c>
      <c r="AD4825">
        <v>-1.1697869999999999</v>
      </c>
      <c r="AE4825">
        <v>-35.928989999999999</v>
      </c>
      <c r="AF4825">
        <v>-23.838359582863401</v>
      </c>
      <c r="AG4825">
        <v>-1.1697869999999999</v>
      </c>
      <c r="AH4825">
        <v>46.2392462035994</v>
      </c>
      <c r="AI4825">
        <v>91.288147047786495</v>
      </c>
      <c r="AJ4825">
        <v>117.27309081160099</v>
      </c>
      <c r="AK4825">
        <v>52.035600109005699</v>
      </c>
      <c r="AL4825">
        <v>80.345183914792202</v>
      </c>
      <c r="AM4825">
        <v>105.559903171738</v>
      </c>
      <c r="AN4825">
        <v>1.00000003857008</v>
      </c>
    </row>
    <row r="4826" spans="1:40" x14ac:dyDescent="0.25">
      <c r="A4826" t="str">
        <f>"20190304155515880"</f>
        <v>20190304155515880</v>
      </c>
      <c r="B4826" t="str">
        <f>"1551686115872855"</f>
        <v>1551686115872855</v>
      </c>
      <c r="C4826" t="s">
        <v>40</v>
      </c>
      <c r="D4826">
        <v>4.3501899999999996</v>
      </c>
      <c r="E4826">
        <v>0.40914899999999998</v>
      </c>
      <c r="F4826" t="s">
        <v>47</v>
      </c>
      <c r="G4826">
        <v>-264.7482</v>
      </c>
      <c r="H4826">
        <v>-0.05</v>
      </c>
      <c r="I4826">
        <v>-79.142179999999996</v>
      </c>
      <c r="J4826">
        <v>-300.1078</v>
      </c>
      <c r="K4826">
        <v>1.11995</v>
      </c>
      <c r="L4826">
        <v>-46.869289999999999</v>
      </c>
      <c r="M4826">
        <v>0.3464295</v>
      </c>
      <c r="N4826">
        <v>-1.5396780000000001E-2</v>
      </c>
      <c r="O4826">
        <v>-0.93794979999999994</v>
      </c>
      <c r="P4826">
        <v>0.57525760000000004</v>
      </c>
      <c r="Q4826">
        <v>0.15534790000000001</v>
      </c>
      <c r="R4826">
        <v>-0.8030853</v>
      </c>
      <c r="S4826">
        <v>2.306244</v>
      </c>
      <c r="T4826">
        <v>-7.5984479999999993E-2</v>
      </c>
      <c r="U4826">
        <v>-2.1188349999999998</v>
      </c>
      <c r="V4826">
        <v>-0.26523629999999998</v>
      </c>
      <c r="W4826">
        <v>0.16391720000000001</v>
      </c>
      <c r="X4826">
        <v>0.95014779999999999</v>
      </c>
      <c r="Y4826">
        <v>-0.45620699999999997</v>
      </c>
      <c r="Z4826">
        <v>1.162853E-2</v>
      </c>
      <c r="AA4826">
        <v>0.88979769999999903</v>
      </c>
      <c r="AB4826">
        <v>25</v>
      </c>
      <c r="AC4826">
        <v>35.3596</v>
      </c>
      <c r="AD4826">
        <v>-1.16995</v>
      </c>
      <c r="AE4826">
        <v>-32.272889999999997</v>
      </c>
      <c r="AF4826">
        <v>-21.974727609012</v>
      </c>
      <c r="AG4826">
        <v>-1.16995</v>
      </c>
      <c r="AH4826">
        <v>42.499611435264001</v>
      </c>
      <c r="AI4826">
        <v>91.400781757766097</v>
      </c>
      <c r="AJ4826">
        <v>117.341547169905</v>
      </c>
      <c r="AK4826">
        <v>47.858901038795302</v>
      </c>
      <c r="AL4826">
        <v>80.565661730627099</v>
      </c>
      <c r="AM4826">
        <v>105.597217877476</v>
      </c>
      <c r="AN4826">
        <v>0.99999999256918404</v>
      </c>
    </row>
    <row r="4827" spans="1:40" x14ac:dyDescent="0.25">
      <c r="A4827" t="str">
        <f>"20190304155515912"</f>
        <v>20190304155515912</v>
      </c>
      <c r="B4827" t="str">
        <f>"1551686115903108"</f>
        <v>1551686115903108</v>
      </c>
      <c r="C4827" t="s">
        <v>40</v>
      </c>
      <c r="D4827">
        <v>4.4681629999999997</v>
      </c>
      <c r="E4827">
        <v>0.40951090000000001</v>
      </c>
      <c r="F4827" t="s">
        <v>46</v>
      </c>
      <c r="G4827">
        <v>-271.54599999999999</v>
      </c>
      <c r="H4827">
        <v>7.9987799999999998E-2</v>
      </c>
      <c r="I4827">
        <v>-71.950149999999994</v>
      </c>
      <c r="J4827">
        <v>-299.9597</v>
      </c>
      <c r="K4827">
        <v>1.12012</v>
      </c>
      <c r="L4827">
        <v>-47.201230000000002</v>
      </c>
      <c r="M4827">
        <v>0.36577609999999999</v>
      </c>
      <c r="N4827">
        <v>-1.5464429999999999E-2</v>
      </c>
      <c r="O4827">
        <v>-0.93057469999999998</v>
      </c>
      <c r="P4827">
        <v>0.59260210000000002</v>
      </c>
      <c r="Q4827">
        <v>0.15565960000000001</v>
      </c>
      <c r="R4827">
        <v>-0.79031209999999996</v>
      </c>
      <c r="S4827">
        <v>2.3533019999999998</v>
      </c>
      <c r="T4827">
        <v>-8.5686090000000006E-2</v>
      </c>
      <c r="U4827">
        <v>-2.0664980000000002</v>
      </c>
      <c r="V4827">
        <v>-0.26634639999999998</v>
      </c>
      <c r="W4827">
        <v>0.1641533</v>
      </c>
      <c r="X4827">
        <v>0.94979639999999999</v>
      </c>
      <c r="Y4827">
        <v>-0.45773419999999998</v>
      </c>
      <c r="Z4827">
        <v>1.4859890000000001E-2</v>
      </c>
      <c r="AA4827">
        <v>0.88896489999999995</v>
      </c>
      <c r="AB4827">
        <v>25</v>
      </c>
      <c r="AC4827">
        <v>28.413699999999999</v>
      </c>
      <c r="AD4827">
        <v>-1.0401322</v>
      </c>
      <c r="AE4827">
        <v>-24.748919999999998</v>
      </c>
      <c r="AF4827">
        <v>-17.377340559337199</v>
      </c>
      <c r="AG4827">
        <v>-1.0401322</v>
      </c>
      <c r="AH4827">
        <v>33.4023074726734</v>
      </c>
      <c r="AI4827">
        <v>91.582379668459694</v>
      </c>
      <c r="AJ4827">
        <v>117.48542225886101</v>
      </c>
      <c r="AK4827">
        <v>37.666536665954197</v>
      </c>
      <c r="AL4827">
        <v>80.551948095334097</v>
      </c>
      <c r="AM4827">
        <v>105.66481007981599</v>
      </c>
      <c r="AN4827">
        <v>0.99999995607340397</v>
      </c>
    </row>
    <row r="4828" spans="1:40" x14ac:dyDescent="0.25">
      <c r="A4828" t="str">
        <f>"20190304155515947"</f>
        <v>20190304155515947</v>
      </c>
      <c r="B4828" t="str">
        <f>"1551686115943125"</f>
        <v>1551686115943125</v>
      </c>
      <c r="C4828" t="s">
        <v>40</v>
      </c>
      <c r="D4828">
        <v>4.331169</v>
      </c>
      <c r="E4828">
        <v>0.40960790000000002</v>
      </c>
      <c r="F4828" t="s">
        <v>46</v>
      </c>
      <c r="G4828">
        <v>-271.3014</v>
      </c>
      <c r="H4828">
        <v>7.9987820000000001E-2</v>
      </c>
      <c r="I4828">
        <v>-71.321479999999994</v>
      </c>
      <c r="J4828">
        <v>-299.80189999999999</v>
      </c>
      <c r="K4828">
        <v>1.12029</v>
      </c>
      <c r="L4828">
        <v>-47.535249999999998</v>
      </c>
      <c r="M4828">
        <v>0.38571060000000001</v>
      </c>
      <c r="N4828">
        <v>-1.553328E-2</v>
      </c>
      <c r="O4828">
        <v>-0.92248920000000001</v>
      </c>
      <c r="P4828">
        <v>0.60966039999999999</v>
      </c>
      <c r="Q4828">
        <v>0.155532</v>
      </c>
      <c r="R4828">
        <v>-0.77725419999999901</v>
      </c>
      <c r="S4828">
        <v>2.3959350000000001</v>
      </c>
      <c r="T4828">
        <v>-8.6958889999999997E-2</v>
      </c>
      <c r="U4828">
        <v>-2.0165410000000001</v>
      </c>
      <c r="V4828">
        <v>-0.26664130000000003</v>
      </c>
      <c r="W4828">
        <v>0.16397229999999999</v>
      </c>
      <c r="X4828">
        <v>0.94974499999999995</v>
      </c>
      <c r="Y4828">
        <v>-0.45724229999999999</v>
      </c>
      <c r="Z4828">
        <v>1.532347E-2</v>
      </c>
      <c r="AA4828">
        <v>0.88921019999999995</v>
      </c>
      <c r="AB4828">
        <v>25</v>
      </c>
      <c r="AC4828">
        <v>28.500499999999899</v>
      </c>
      <c r="AD4828">
        <v>-1.0403021800000001</v>
      </c>
      <c r="AE4828">
        <v>-23.78623</v>
      </c>
      <c r="AF4828">
        <v>-17.105432086325099</v>
      </c>
      <c r="AG4828">
        <v>-1.0403021800000001</v>
      </c>
      <c r="AH4828">
        <v>32.913606924653799</v>
      </c>
      <c r="AI4828">
        <v>91.606477579294307</v>
      </c>
      <c r="AJ4828">
        <v>117.46121580714301</v>
      </c>
      <c r="AK4828">
        <v>37.107729063851501</v>
      </c>
      <c r="AL4828">
        <v>80.562461802623702</v>
      </c>
      <c r="AM4828">
        <v>105.68210834078999</v>
      </c>
      <c r="AN4828">
        <v>1.0000000315289801</v>
      </c>
    </row>
    <row r="4829" spans="1:40" x14ac:dyDescent="0.25">
      <c r="A4829" t="str">
        <f>"20190304155515983"</f>
        <v>20190304155515983</v>
      </c>
      <c r="B4829" t="str">
        <f>"1551686115972404"</f>
        <v>1551686115972404</v>
      </c>
      <c r="C4829" t="s">
        <v>40</v>
      </c>
      <c r="D4829">
        <v>4.3451639999999996</v>
      </c>
      <c r="E4829">
        <v>0.40956989999999999</v>
      </c>
      <c r="F4829" t="s">
        <v>46</v>
      </c>
      <c r="G4829">
        <v>-271.27050000000003</v>
      </c>
      <c r="H4829">
        <v>7.9987749999999996E-2</v>
      </c>
      <c r="I4829">
        <v>-70.508949999999999</v>
      </c>
      <c r="J4829">
        <v>-299.62639999999999</v>
      </c>
      <c r="K4829">
        <v>1.120452</v>
      </c>
      <c r="L4829">
        <v>-47.885309999999997</v>
      </c>
      <c r="M4829">
        <v>0.4071129</v>
      </c>
      <c r="N4829">
        <v>-1.5605809999999999E-2</v>
      </c>
      <c r="O4829">
        <v>-0.91324459999999996</v>
      </c>
      <c r="P4829">
        <v>0.62695009999999995</v>
      </c>
      <c r="Q4829">
        <v>0.15418560000000001</v>
      </c>
      <c r="R4829">
        <v>-0.76364989999999999</v>
      </c>
      <c r="S4829">
        <v>2.4393310000000001</v>
      </c>
      <c r="T4829">
        <v>-8.8942289999999993E-2</v>
      </c>
      <c r="U4829">
        <v>-1.964172</v>
      </c>
      <c r="V4829">
        <v>-0.26573600000000003</v>
      </c>
      <c r="W4829">
        <v>0.16261600000000001</v>
      </c>
      <c r="X4829">
        <v>0.95023179999999996</v>
      </c>
      <c r="Y4829">
        <v>-0.45580700000000002</v>
      </c>
      <c r="Z4829">
        <v>1.5998749999999999E-2</v>
      </c>
      <c r="AA4829">
        <v>0.88993480000000003</v>
      </c>
      <c r="AB4829">
        <v>25</v>
      </c>
      <c r="AC4829">
        <v>28.355899999999899</v>
      </c>
      <c r="AD4829">
        <v>-1.0404642500000001</v>
      </c>
      <c r="AE4829">
        <v>-22.623639999999899</v>
      </c>
      <c r="AF4829">
        <v>-16.673810382853599</v>
      </c>
      <c r="AG4829">
        <v>-1.0404642500000001</v>
      </c>
      <c r="AH4829">
        <v>32.182413461149999</v>
      </c>
      <c r="AI4829">
        <v>91.644290431202606</v>
      </c>
      <c r="AJ4829">
        <v>117.388817011127</v>
      </c>
      <c r="AK4829">
        <v>36.260257234654297</v>
      </c>
      <c r="AL4829">
        <v>80.641229315686004</v>
      </c>
      <c r="AM4829">
        <v>105.62385477875701</v>
      </c>
      <c r="AN4829">
        <v>1.00000002944161</v>
      </c>
    </row>
    <row r="4830" spans="1:40" x14ac:dyDescent="0.25">
      <c r="A4830" t="str">
        <f>"20190304155516013"</f>
        <v>20190304155516013</v>
      </c>
      <c r="B4830" t="str">
        <f>"1551686116002660"</f>
        <v>1551686116002660</v>
      </c>
      <c r="C4830" t="s">
        <v>40</v>
      </c>
      <c r="D4830">
        <v>4.3442400000000001</v>
      </c>
      <c r="E4830">
        <v>0.40955999999999998</v>
      </c>
      <c r="F4830" t="s">
        <v>46</v>
      </c>
      <c r="G4830">
        <v>-270.3245</v>
      </c>
      <c r="H4830">
        <v>4.1023030000000002E-2</v>
      </c>
      <c r="I4830">
        <v>-70.383669999999995</v>
      </c>
      <c r="J4830">
        <v>-299.46339999999998</v>
      </c>
      <c r="K4830">
        <v>1.1205700000000001</v>
      </c>
      <c r="L4830">
        <v>-48.190980000000003</v>
      </c>
      <c r="M4830">
        <v>0.42626619999999998</v>
      </c>
      <c r="N4830">
        <v>-1.5667049999999998E-2</v>
      </c>
      <c r="O4830">
        <v>-0.90446210000000005</v>
      </c>
      <c r="P4830">
        <v>0.64231459999999996</v>
      </c>
      <c r="Q4830">
        <v>0.1542655</v>
      </c>
      <c r="R4830">
        <v>-0.75075570000000003</v>
      </c>
      <c r="S4830">
        <v>2.4842529999999998</v>
      </c>
      <c r="T4830">
        <v>-9.151542E-2</v>
      </c>
      <c r="U4830">
        <v>-1.90744</v>
      </c>
      <c r="V4830">
        <v>-0.265051599999999</v>
      </c>
      <c r="W4830">
        <v>0.1626908</v>
      </c>
      <c r="X4830">
        <v>0.95041010000000004</v>
      </c>
      <c r="Y4830">
        <v>-0.45759650000000002</v>
      </c>
      <c r="Z4830">
        <v>1.688574E-2</v>
      </c>
      <c r="AA4830">
        <v>0.888999599999999</v>
      </c>
      <c r="AB4830">
        <v>25</v>
      </c>
      <c r="AC4830">
        <v>29.1388999999999</v>
      </c>
      <c r="AD4830">
        <v>-1.07954697</v>
      </c>
      <c r="AE4830">
        <v>-22.192689999999999</v>
      </c>
      <c r="AF4830">
        <v>-16.882445213604601</v>
      </c>
      <c r="AG4830">
        <v>-1.07954697</v>
      </c>
      <c r="AH4830">
        <v>32.469157928382799</v>
      </c>
      <c r="AI4830">
        <v>91.689683197889494</v>
      </c>
      <c r="AJ4830">
        <v>117.472324556106</v>
      </c>
      <c r="AK4830">
        <v>36.611864123929301</v>
      </c>
      <c r="AL4830">
        <v>80.636885496049004</v>
      </c>
      <c r="AM4830">
        <v>105.58279204016</v>
      </c>
      <c r="AN4830">
        <v>1.0000000026246001</v>
      </c>
    </row>
    <row r="4831" spans="1:40" x14ac:dyDescent="0.25">
      <c r="A4831" t="str">
        <f>"20190304155516047"</f>
        <v>20190304155516047</v>
      </c>
      <c r="B4831" t="str">
        <f>"1551686116042676"</f>
        <v>1551686116042676</v>
      </c>
      <c r="C4831" t="s">
        <v>40</v>
      </c>
      <c r="D4831">
        <v>4.3335790000000003</v>
      </c>
      <c r="E4831">
        <v>0.40963519999999998</v>
      </c>
      <c r="F4831" t="s">
        <v>46</v>
      </c>
      <c r="G4831">
        <v>-269.30329999999998</v>
      </c>
      <c r="H4831">
        <v>1.9952890000000001E-2</v>
      </c>
      <c r="I4831">
        <v>-70.383669999999995</v>
      </c>
      <c r="J4831">
        <v>-299.286</v>
      </c>
      <c r="K4831">
        <v>1.120692</v>
      </c>
      <c r="L4831">
        <v>-48.506959999999999</v>
      </c>
      <c r="M4831">
        <v>0.44644780000000001</v>
      </c>
      <c r="N4831">
        <v>-1.5728849999999999E-2</v>
      </c>
      <c r="O4831">
        <v>-0.89467140000000001</v>
      </c>
      <c r="P4831">
        <v>0.65868909999999903</v>
      </c>
      <c r="Q4831">
        <v>0.1534874</v>
      </c>
      <c r="R4831">
        <v>-0.73659370000000002</v>
      </c>
      <c r="S4831">
        <v>2.522888</v>
      </c>
      <c r="T4831">
        <v>-9.2066170000000003E-2</v>
      </c>
      <c r="U4831">
        <v>-1.8564149999999999</v>
      </c>
      <c r="V4831">
        <v>-0.2646172</v>
      </c>
      <c r="W4831">
        <v>0.1619041</v>
      </c>
      <c r="X4831">
        <v>0.95066539999999999</v>
      </c>
      <c r="Y4831">
        <v>-0.45581159999999998</v>
      </c>
      <c r="Z4831">
        <v>1.7076709999999998E-2</v>
      </c>
      <c r="AA4831">
        <v>0.88991239999999905</v>
      </c>
      <c r="AB4831">
        <v>25</v>
      </c>
      <c r="AC4831">
        <v>29.982700000000001</v>
      </c>
      <c r="AD4831">
        <v>-1.1007391099999999</v>
      </c>
      <c r="AE4831">
        <v>-21.876709999999999</v>
      </c>
      <c r="AF4831">
        <v>-17.044974083091201</v>
      </c>
      <c r="AG4831">
        <v>-1.1007391099999999</v>
      </c>
      <c r="AH4831">
        <v>32.933289212555103</v>
      </c>
      <c r="AI4831">
        <v>91.700228238869499</v>
      </c>
      <c r="AJ4831">
        <v>117.364305028682</v>
      </c>
      <c r="AK4831">
        <v>37.099114631475103</v>
      </c>
      <c r="AL4831">
        <v>80.682565239751796</v>
      </c>
      <c r="AM4831">
        <v>105.55451510407801</v>
      </c>
      <c r="AN4831">
        <v>0.99999995144490295</v>
      </c>
    </row>
    <row r="4832" spans="1:40" x14ac:dyDescent="0.25">
      <c r="A4832" t="str">
        <f>"20190304155516079"</f>
        <v>20190304155516079</v>
      </c>
      <c r="B4832" t="str">
        <f>"1551686116072935"</f>
        <v>1551686116072935</v>
      </c>
      <c r="C4832" t="s">
        <v>40</v>
      </c>
      <c r="D4832">
        <v>4.4842199999999997</v>
      </c>
      <c r="E4832">
        <v>0.40981709999999899</v>
      </c>
      <c r="F4832" t="s">
        <v>46</v>
      </c>
      <c r="G4832">
        <v>-269.29430000000002</v>
      </c>
      <c r="H4832" s="1">
        <v>-4.6828479999999999E-6</v>
      </c>
      <c r="I4832">
        <v>-69.581319999999906</v>
      </c>
      <c r="J4832">
        <v>-299.09960000000001</v>
      </c>
      <c r="K4832">
        <v>1.1208309999999999</v>
      </c>
      <c r="L4832">
        <v>-48.82141</v>
      </c>
      <c r="M4832">
        <v>0.46698580000000001</v>
      </c>
      <c r="N4832">
        <v>-1.5794209999999999E-2</v>
      </c>
      <c r="O4832">
        <v>-0.88412369999999996</v>
      </c>
      <c r="P4832">
        <v>0.67605079999999995</v>
      </c>
      <c r="Q4832">
        <v>0.1516352</v>
      </c>
      <c r="R4832">
        <v>-0.72108399999999995</v>
      </c>
      <c r="S4832">
        <v>2.5629270000000002</v>
      </c>
      <c r="T4832">
        <v>-9.5768450000000005E-2</v>
      </c>
      <c r="U4832">
        <v>-1.8009029999999999</v>
      </c>
      <c r="V4832">
        <v>-0.2651443</v>
      </c>
      <c r="W4832">
        <v>0.16001360000000001</v>
      </c>
      <c r="X4832">
        <v>0.95083870000000004</v>
      </c>
      <c r="Y4832">
        <v>-0.4546829</v>
      </c>
      <c r="Z4832">
        <v>1.8267579999999999E-2</v>
      </c>
      <c r="AA4832">
        <v>0.89046599999999998</v>
      </c>
      <c r="AB4832">
        <v>25</v>
      </c>
      <c r="AC4832">
        <v>29.8052999999999</v>
      </c>
      <c r="AD4832">
        <v>-1.1208356828479999</v>
      </c>
      <c r="AE4832">
        <v>-20.759909999999898</v>
      </c>
      <c r="AF4832">
        <v>-16.6432199053238</v>
      </c>
      <c r="AG4832">
        <v>-1.1208356828479999</v>
      </c>
      <c r="AH4832">
        <v>32.246302754925303</v>
      </c>
      <c r="AI4832">
        <v>91.769144021141798</v>
      </c>
      <c r="AJ4832">
        <v>117.29952572874799</v>
      </c>
      <c r="AK4832">
        <v>36.305331327605501</v>
      </c>
      <c r="AL4832">
        <v>80.792314782145993</v>
      </c>
      <c r="AM4832">
        <v>105.58129205243</v>
      </c>
      <c r="AN4832">
        <v>1.0000000427125599</v>
      </c>
    </row>
    <row r="4833" spans="1:40" x14ac:dyDescent="0.25">
      <c r="A4833" t="str">
        <f>"20190304155516113"</f>
        <v>20190304155516113</v>
      </c>
      <c r="B4833" t="str">
        <f>"1551686116103188"</f>
        <v>1551686116103188</v>
      </c>
      <c r="C4833" t="s">
        <v>40</v>
      </c>
      <c r="D4833">
        <v>4.4779730000000004</v>
      </c>
      <c r="E4833">
        <v>0.41026400000000002</v>
      </c>
      <c r="F4833" t="s">
        <v>46</v>
      </c>
      <c r="G4833">
        <v>-270.91140000000001</v>
      </c>
      <c r="H4833" s="1">
        <v>-1.1657239999999999E-6</v>
      </c>
      <c r="I4833">
        <v>-67.671059999999997</v>
      </c>
      <c r="J4833">
        <v>-298.90690000000001</v>
      </c>
      <c r="K4833">
        <v>1.1209849999999999</v>
      </c>
      <c r="L4833">
        <v>-49.128300000000003</v>
      </c>
      <c r="M4833">
        <v>0.48750900000000003</v>
      </c>
      <c r="N4833">
        <v>-1.5861799999999999E-2</v>
      </c>
      <c r="O4833">
        <v>-0.87297420000000003</v>
      </c>
      <c r="P4833">
        <v>0.69325899999999996</v>
      </c>
      <c r="Q4833">
        <v>0.15298149999999999</v>
      </c>
      <c r="R4833">
        <v>-0.70426480000000002</v>
      </c>
      <c r="S4833">
        <v>2.6036679999999999</v>
      </c>
      <c r="T4833">
        <v>-0.1035281</v>
      </c>
      <c r="U4833">
        <v>-1.7410890000000001</v>
      </c>
      <c r="V4833">
        <v>-0.26612229999999998</v>
      </c>
      <c r="W4833">
        <v>0.1612999</v>
      </c>
      <c r="X4833">
        <v>0.95034799999999997</v>
      </c>
      <c r="Y4833">
        <v>-0.45440219999999998</v>
      </c>
      <c r="Z4833">
        <v>2.0729979999999999E-2</v>
      </c>
      <c r="AA4833">
        <v>0.8905554</v>
      </c>
      <c r="AB4833">
        <v>25</v>
      </c>
      <c r="AC4833">
        <v>27.9955</v>
      </c>
      <c r="AD4833">
        <v>-1.1209861657239999</v>
      </c>
      <c r="AE4833">
        <v>-18.542759999999902</v>
      </c>
      <c r="AF4833">
        <v>-15.384375212434501</v>
      </c>
      <c r="AG4833">
        <v>-1.1209861657239999</v>
      </c>
      <c r="AH4833">
        <v>29.805938049268601</v>
      </c>
      <c r="AI4833">
        <v>91.914127810962995</v>
      </c>
      <c r="AJ4833">
        <v>117.30058200948901</v>
      </c>
      <c r="AK4833">
        <v>33.560833625783999</v>
      </c>
      <c r="AL4833">
        <v>80.717645155895198</v>
      </c>
      <c r="AM4833">
        <v>105.64363627626599</v>
      </c>
      <c r="AN4833">
        <v>1.0000000287006401</v>
      </c>
    </row>
    <row r="4834" spans="1:40" x14ac:dyDescent="0.25">
      <c r="A4834" t="str">
        <f>"20190304155516148"</f>
        <v>20190304155516148</v>
      </c>
      <c r="B4834" t="str">
        <f>"1551686116143204"</f>
        <v>1551686116143204</v>
      </c>
      <c r="C4834" t="s">
        <v>40</v>
      </c>
      <c r="D4834">
        <v>4.4841769999999999</v>
      </c>
      <c r="E4834">
        <v>0.41595969999999999</v>
      </c>
      <c r="F4834" t="s">
        <v>46</v>
      </c>
      <c r="G4834">
        <v>-270.15719999999999</v>
      </c>
      <c r="H4834" s="1">
        <v>-7.8276839999999998E-7</v>
      </c>
      <c r="I4834">
        <v>-67.403819999999996</v>
      </c>
      <c r="J4834">
        <v>-298.70499999999998</v>
      </c>
      <c r="K4834">
        <v>1.121129</v>
      </c>
      <c r="L4834">
        <v>-49.433109999999999</v>
      </c>
      <c r="M4834">
        <v>0.50830710000000001</v>
      </c>
      <c r="N4834">
        <v>-1.5928520000000002E-2</v>
      </c>
      <c r="O4834">
        <v>-0.86102869999999998</v>
      </c>
      <c r="P4834">
        <v>0.71054609999999996</v>
      </c>
      <c r="Q4834">
        <v>0.15462960000000001</v>
      </c>
      <c r="R4834">
        <v>-0.68645049999999996</v>
      </c>
      <c r="S4834">
        <v>2.6432190000000002</v>
      </c>
      <c r="T4834">
        <v>-0.1030625</v>
      </c>
      <c r="U4834">
        <v>-1.680237</v>
      </c>
      <c r="V4834">
        <v>-0.26723209999999997</v>
      </c>
      <c r="W4834">
        <v>0.16288559999999999</v>
      </c>
      <c r="X4834">
        <v>0.94976590000000005</v>
      </c>
      <c r="Y4834">
        <v>-0.45367390000000002</v>
      </c>
      <c r="Z4834">
        <v>2.0564410000000002E-2</v>
      </c>
      <c r="AA4834">
        <v>0.89093040000000001</v>
      </c>
      <c r="AB4834">
        <v>25</v>
      </c>
      <c r="AC4834">
        <v>28.547799999999899</v>
      </c>
      <c r="AD4834">
        <v>-1.1211297827683999</v>
      </c>
      <c r="AE4834">
        <v>-17.970709999999901</v>
      </c>
      <c r="AF4834">
        <v>-15.430748975966999</v>
      </c>
      <c r="AG4834">
        <v>-1.1211297827683999</v>
      </c>
      <c r="AH4834">
        <v>29.9550594030549</v>
      </c>
      <c r="AI4834">
        <v>91.905641908061199</v>
      </c>
      <c r="AJ4834">
        <v>117.25435300136201</v>
      </c>
      <c r="AK4834">
        <v>33.714544780994203</v>
      </c>
      <c r="AL4834">
        <v>80.625573261120493</v>
      </c>
      <c r="AM4834">
        <v>105.714811726733</v>
      </c>
      <c r="AN4834">
        <v>0.99999998938029</v>
      </c>
    </row>
    <row r="4835" spans="1:40" x14ac:dyDescent="0.25">
      <c r="A4835" t="str">
        <f>"20190304155516182"</f>
        <v>20190304155516182</v>
      </c>
      <c r="B4835" t="str">
        <f>"1551686116172484"</f>
        <v>1551686116172484</v>
      </c>
      <c r="C4835" t="s">
        <v>40</v>
      </c>
      <c r="D4835">
        <v>4.4055220000000004</v>
      </c>
      <c r="E4835">
        <v>0.41403590000000001</v>
      </c>
      <c r="F4835" t="s">
        <v>48</v>
      </c>
      <c r="G4835">
        <v>-297.86610000000002</v>
      </c>
      <c r="H4835">
        <v>1.0746359999999999</v>
      </c>
      <c r="I4835">
        <v>-49.954920000000001</v>
      </c>
      <c r="J4835">
        <v>-298.49380000000002</v>
      </c>
      <c r="K4835">
        <v>1.121246</v>
      </c>
      <c r="L4835">
        <v>-49.735599999999998</v>
      </c>
      <c r="M4835">
        <v>0.52932230000000002</v>
      </c>
      <c r="N4835">
        <v>-1.599134E-2</v>
      </c>
      <c r="O4835">
        <v>-0.84827030000000003</v>
      </c>
      <c r="P4835">
        <v>0.72678690000000001</v>
      </c>
      <c r="Q4835">
        <v>0.1531951</v>
      </c>
      <c r="R4835">
        <v>-0.66956159999999998</v>
      </c>
      <c r="S4835">
        <v>2.65741</v>
      </c>
      <c r="T4835">
        <v>-0.1472666</v>
      </c>
      <c r="U4835">
        <v>-1.652771</v>
      </c>
      <c r="V4835">
        <v>-0.26646710000000001</v>
      </c>
      <c r="W4835">
        <v>0.1614651</v>
      </c>
      <c r="X4835">
        <v>0.95022329999999999</v>
      </c>
      <c r="Y4835">
        <v>-0.44009009999999998</v>
      </c>
      <c r="Z4835">
        <v>3.4064070000000002E-2</v>
      </c>
      <c r="AA4835">
        <v>0.89730730000000003</v>
      </c>
      <c r="AB4835">
        <v>25</v>
      </c>
      <c r="AC4835">
        <v>0.62770000000000403</v>
      </c>
      <c r="AD4835">
        <v>-4.6609999999999797E-2</v>
      </c>
      <c r="AE4835">
        <v>-0.21932000000000301</v>
      </c>
      <c r="AF4835">
        <v>-0.414385219590581</v>
      </c>
      <c r="AG4835">
        <v>-4.6609999999999797E-2</v>
      </c>
      <c r="AH4835">
        <v>0.51582969658403299</v>
      </c>
      <c r="AI4835">
        <v>94.029482854247306</v>
      </c>
      <c r="AJ4835">
        <v>128.77621092325899</v>
      </c>
      <c r="AK4835">
        <v>0.66330074490619295</v>
      </c>
      <c r="AL4835">
        <v>80.708053969624501</v>
      </c>
      <c r="AM4835">
        <v>105.66486523654</v>
      </c>
      <c r="AN4835">
        <v>1.0000000068816499</v>
      </c>
    </row>
    <row r="4836" spans="1:40" x14ac:dyDescent="0.25">
      <c r="A4836" t="str">
        <f>"20190304155516214"</f>
        <v>20190304155516214</v>
      </c>
      <c r="B4836" t="str">
        <f>"1551686116202740"</f>
        <v>1551686116202740</v>
      </c>
      <c r="C4836" t="s">
        <v>40</v>
      </c>
      <c r="D4836">
        <v>4.4768119999999998</v>
      </c>
      <c r="E4836">
        <v>0.41437449999999998</v>
      </c>
      <c r="F4836" t="s">
        <v>48</v>
      </c>
      <c r="G4836">
        <v>-297.58530000000002</v>
      </c>
      <c r="H4836">
        <v>1.0751470000000001</v>
      </c>
      <c r="I4836">
        <v>-50.26388</v>
      </c>
      <c r="J4836">
        <v>-298.2851</v>
      </c>
      <c r="K4836">
        <v>1.121319</v>
      </c>
      <c r="L4836">
        <v>-50.017760000000003</v>
      </c>
      <c r="M4836">
        <v>0.54930690000000004</v>
      </c>
      <c r="N4836">
        <v>-1.6043930000000001E-2</v>
      </c>
      <c r="O4836">
        <v>-0.83546659999999995</v>
      </c>
      <c r="P4836">
        <v>0.74075489999999999</v>
      </c>
      <c r="Q4836">
        <v>0.1534172</v>
      </c>
      <c r="R4836">
        <v>-0.65402260000000001</v>
      </c>
      <c r="S4836">
        <v>2.7070919999999998</v>
      </c>
      <c r="T4836">
        <v>-0.13732349999999999</v>
      </c>
      <c r="U4836">
        <v>-1.5735170000000001</v>
      </c>
      <c r="V4836">
        <v>-0.26402360000000002</v>
      </c>
      <c r="W4836">
        <v>0.16176389999999999</v>
      </c>
      <c r="X4836">
        <v>0.95085439999999999</v>
      </c>
      <c r="Y4836">
        <v>-0.44568409999999897</v>
      </c>
      <c r="Z4836">
        <v>3.095349E-2</v>
      </c>
      <c r="AA4836">
        <v>0.89465499999999998</v>
      </c>
      <c r="AB4836">
        <v>25</v>
      </c>
      <c r="AC4836">
        <v>0.69979999999998199</v>
      </c>
      <c r="AD4836">
        <v>-4.6172000000000102E-2</v>
      </c>
      <c r="AE4836">
        <v>-0.246120000000004</v>
      </c>
      <c r="AF4836">
        <v>-0.44778725358973898</v>
      </c>
      <c r="AG4836">
        <v>-4.6172000000000102E-2</v>
      </c>
      <c r="AH4836">
        <v>0.58782872668394903</v>
      </c>
      <c r="AI4836">
        <v>93.575349418073102</v>
      </c>
      <c r="AJ4836">
        <v>127.298875383808</v>
      </c>
      <c r="AK4836">
        <v>0.74039711640194505</v>
      </c>
      <c r="AL4836">
        <v>80.690706388120304</v>
      </c>
      <c r="AM4836">
        <v>105.51837007409701</v>
      </c>
      <c r="AN4836">
        <v>1.0000000553497601</v>
      </c>
    </row>
    <row r="4837" spans="1:40" x14ac:dyDescent="0.25">
      <c r="A4837" t="str">
        <f>"20190304155516248"</f>
        <v>20190304155516248</v>
      </c>
      <c r="B4837" t="str">
        <f>"1551686116242756"</f>
        <v>1551686116242756</v>
      </c>
      <c r="C4837" t="s">
        <v>40</v>
      </c>
      <c r="D4837">
        <v>4.4573769999999904</v>
      </c>
      <c r="E4837">
        <v>0.41508630000000002</v>
      </c>
      <c r="F4837" t="s">
        <v>48</v>
      </c>
      <c r="G4837">
        <v>-297.46789999999999</v>
      </c>
      <c r="H4837">
        <v>1.081037</v>
      </c>
      <c r="I4837">
        <v>-50.469940000000001</v>
      </c>
      <c r="J4837">
        <v>-298.0641</v>
      </c>
      <c r="K4837">
        <v>1.1213820000000001</v>
      </c>
      <c r="L4837">
        <v>-50.302219999999998</v>
      </c>
      <c r="M4837">
        <v>0.56972060000000002</v>
      </c>
      <c r="N4837">
        <v>-1.6091749999999998E-2</v>
      </c>
      <c r="O4837">
        <v>-0.8216812</v>
      </c>
      <c r="P4837">
        <v>0.75519709999999995</v>
      </c>
      <c r="Q4837">
        <v>0.15493989999999999</v>
      </c>
      <c r="R4837">
        <v>-0.63692369999999898</v>
      </c>
      <c r="S4837">
        <v>2.7396850000000001</v>
      </c>
      <c r="T4837">
        <v>-0.135033399999999</v>
      </c>
      <c r="U4837">
        <v>-1.5156559999999999</v>
      </c>
      <c r="V4837">
        <v>-0.26213409999999998</v>
      </c>
      <c r="W4837">
        <v>0.16335179999999999</v>
      </c>
      <c r="X4837">
        <v>0.9511056</v>
      </c>
      <c r="Y4837">
        <v>-0.44263360000000002</v>
      </c>
      <c r="Z4837">
        <v>3.0069510000000001E-2</v>
      </c>
      <c r="AA4837">
        <v>0.8961983</v>
      </c>
      <c r="AB4837">
        <v>25</v>
      </c>
      <c r="AC4837">
        <v>0.59620000000001006</v>
      </c>
      <c r="AD4837">
        <v>-4.0344999999999798E-2</v>
      </c>
      <c r="AE4837">
        <v>-0.16772000000000201</v>
      </c>
      <c r="AF4837">
        <v>-0.392717284914743</v>
      </c>
      <c r="AG4837">
        <v>-4.0344999999999798E-2</v>
      </c>
      <c r="AH4837">
        <v>0.47552364742526798</v>
      </c>
      <c r="AI4837">
        <v>93.7428505580653</v>
      </c>
      <c r="AJ4837">
        <v>129.55203291728901</v>
      </c>
      <c r="AK4837">
        <v>0.61804314101560698</v>
      </c>
      <c r="AL4837">
        <v>80.598499260114707</v>
      </c>
      <c r="AM4837">
        <v>105.408732905048</v>
      </c>
      <c r="AN4837">
        <v>0.99999997964870402</v>
      </c>
    </row>
    <row r="4838" spans="1:40" x14ac:dyDescent="0.25">
      <c r="A4838" t="str">
        <f>"20190304155516271"</f>
        <v>20190304155516271</v>
      </c>
      <c r="B4838" t="str">
        <f>"1551686116263252"</f>
        <v>1551686116263252</v>
      </c>
      <c r="C4838" t="s">
        <v>40</v>
      </c>
      <c r="D4838">
        <v>4.4800490000000002</v>
      </c>
      <c r="E4838">
        <v>0.41520889999999999</v>
      </c>
      <c r="F4838" t="s">
        <v>48</v>
      </c>
      <c r="G4838">
        <v>-297.19639999999998</v>
      </c>
      <c r="H4838">
        <v>1.0797620000000001</v>
      </c>
      <c r="I4838">
        <v>-50.758459999999999</v>
      </c>
      <c r="J4838">
        <v>-297.91210000000001</v>
      </c>
      <c r="K4838">
        <v>1.1214189999999999</v>
      </c>
      <c r="L4838">
        <v>-50.489229999999999</v>
      </c>
      <c r="M4838">
        <v>0.58330649999999995</v>
      </c>
      <c r="N4838">
        <v>-1.612179E-2</v>
      </c>
      <c r="O4838">
        <v>-0.81209219999999904</v>
      </c>
      <c r="P4838">
        <v>0.76460790000000001</v>
      </c>
      <c r="Q4838">
        <v>0.1549005</v>
      </c>
      <c r="R4838">
        <v>-0.62560439999999995</v>
      </c>
      <c r="S4838">
        <v>2.770966</v>
      </c>
      <c r="T4838">
        <v>-0.1329111</v>
      </c>
      <c r="U4838">
        <v>-1.4569399999999999</v>
      </c>
      <c r="V4838">
        <v>-0.2604979</v>
      </c>
      <c r="W4838">
        <v>0.16337109999999999</v>
      </c>
      <c r="X4838">
        <v>0.9515517</v>
      </c>
      <c r="Y4838">
        <v>-0.44678040000000002</v>
      </c>
      <c r="Z4838">
        <v>2.942432E-2</v>
      </c>
      <c r="AA4838">
        <v>0.8941597</v>
      </c>
      <c r="AB4838">
        <v>25</v>
      </c>
      <c r="AC4838">
        <v>0.71570000000002598</v>
      </c>
      <c r="AD4838">
        <v>-4.1656999999999798E-2</v>
      </c>
      <c r="AE4838">
        <v>-0.26923000000000002</v>
      </c>
      <c r="AF4838">
        <v>-0.422970594275134</v>
      </c>
      <c r="AG4838">
        <v>-4.1656999999999798E-2</v>
      </c>
      <c r="AH4838">
        <v>0.63431217644417803</v>
      </c>
      <c r="AI4838">
        <v>93.127485081751203</v>
      </c>
      <c r="AJ4838">
        <v>123.696058524463</v>
      </c>
      <c r="AK4838">
        <v>0.76353871313497301</v>
      </c>
      <c r="AL4838">
        <v>80.597378160253001</v>
      </c>
      <c r="AM4838">
        <v>105.310240704731</v>
      </c>
      <c r="AN4838">
        <v>0.99999995499625405</v>
      </c>
    </row>
    <row r="4839" spans="1:40" x14ac:dyDescent="0.25">
      <c r="A4839" t="str">
        <f>"20190304155516293"</f>
        <v>20190304155516293</v>
      </c>
      <c r="B4839" t="str">
        <f>"1551686116282772"</f>
        <v>1551686116282772</v>
      </c>
      <c r="C4839" t="s">
        <v>40</v>
      </c>
      <c r="D4839">
        <v>4.4989369999999997</v>
      </c>
      <c r="E4839">
        <v>0.41555259999999999</v>
      </c>
      <c r="F4839" t="s">
        <v>48</v>
      </c>
      <c r="G4839">
        <v>-297.06209999999999</v>
      </c>
      <c r="H4839">
        <v>1.0810569999999999</v>
      </c>
      <c r="I4839">
        <v>-50.92022</v>
      </c>
      <c r="J4839">
        <v>-297.75220000000002</v>
      </c>
      <c r="K4839">
        <v>1.1214489999999999</v>
      </c>
      <c r="L4839">
        <v>-50.679290000000002</v>
      </c>
      <c r="M4839">
        <v>0.59722889999999995</v>
      </c>
      <c r="N4839">
        <v>-1.6151260000000001E-2</v>
      </c>
      <c r="O4839">
        <v>-0.80190830000000002</v>
      </c>
      <c r="P4839">
        <v>0.77486369999999904</v>
      </c>
      <c r="Q4839">
        <v>0.1539963</v>
      </c>
      <c r="R4839">
        <v>-0.61308339999999995</v>
      </c>
      <c r="S4839">
        <v>2.7925110000000002</v>
      </c>
      <c r="T4839">
        <v>-0.1325635</v>
      </c>
      <c r="U4839">
        <v>-1.415222</v>
      </c>
      <c r="V4839">
        <v>-0.25969199999999998</v>
      </c>
      <c r="W4839">
        <v>0.1625036</v>
      </c>
      <c r="X4839">
        <v>0.95192049999999995</v>
      </c>
      <c r="Y4839">
        <v>-0.44476359999999898</v>
      </c>
      <c r="Z4839">
        <v>2.9183219999999999E-2</v>
      </c>
      <c r="AA4839">
        <v>0.89517239999999998</v>
      </c>
      <c r="AB4839">
        <v>25</v>
      </c>
      <c r="AC4839">
        <v>0.69010000000002902</v>
      </c>
      <c r="AD4839">
        <v>-4.03919999999999E-2</v>
      </c>
      <c r="AE4839">
        <v>-0.24092999999999801</v>
      </c>
      <c r="AF4839">
        <v>-0.40831311222764699</v>
      </c>
      <c r="AG4839">
        <v>-4.03919999999999E-2</v>
      </c>
      <c r="AH4839">
        <v>0.60358722276724297</v>
      </c>
      <c r="AI4839">
        <v>93.172571164770602</v>
      </c>
      <c r="AJ4839">
        <v>124.07746284682899</v>
      </c>
      <c r="AK4839">
        <v>0.72984152168049599</v>
      </c>
      <c r="AL4839">
        <v>80.647755866981697</v>
      </c>
      <c r="AM4839">
        <v>105.25945018639899</v>
      </c>
      <c r="AN4839">
        <v>0.99999999659860495</v>
      </c>
    </row>
    <row r="4840" spans="1:40" x14ac:dyDescent="0.25">
      <c r="A4840" t="str">
        <f>"20190304155516316"</f>
        <v>20190304155516316</v>
      </c>
      <c r="B4840" t="str">
        <f>"1551686116313028"</f>
        <v>1551686116313028</v>
      </c>
      <c r="C4840" t="s">
        <v>40</v>
      </c>
      <c r="D4840">
        <v>4.4928879999999998</v>
      </c>
      <c r="E4840">
        <v>0.41610390000000003</v>
      </c>
      <c r="F4840" t="s">
        <v>48</v>
      </c>
      <c r="G4840">
        <v>-296.8922</v>
      </c>
      <c r="H4840">
        <v>1.0795220000000001</v>
      </c>
      <c r="I4840">
        <v>-51.09834</v>
      </c>
      <c r="J4840">
        <v>-297.5951</v>
      </c>
      <c r="K4840">
        <v>1.121478</v>
      </c>
      <c r="L4840">
        <v>-50.859650000000002</v>
      </c>
      <c r="M4840">
        <v>0.61054799999999998</v>
      </c>
      <c r="N4840">
        <v>-1.6177210000000001E-2</v>
      </c>
      <c r="O4840">
        <v>-0.79181420000000002</v>
      </c>
      <c r="P4840">
        <v>0.78467249999999999</v>
      </c>
      <c r="Q4840">
        <v>0.15403459999999999</v>
      </c>
      <c r="R4840">
        <v>-0.60046860000000002</v>
      </c>
      <c r="S4840">
        <v>2.8138429999999999</v>
      </c>
      <c r="T4840">
        <v>-0.13720499999999999</v>
      </c>
      <c r="U4840">
        <v>-1.371399</v>
      </c>
      <c r="V4840">
        <v>-0.25918590000000002</v>
      </c>
      <c r="W4840">
        <v>0.16256609999999999</v>
      </c>
      <c r="X4840">
        <v>0.9520478</v>
      </c>
      <c r="Y4840">
        <v>-0.44368560000000001</v>
      </c>
      <c r="Z4840">
        <v>3.045142E-2</v>
      </c>
      <c r="AA4840">
        <v>0.89566499999999905</v>
      </c>
      <c r="AB4840">
        <v>24</v>
      </c>
      <c r="AC4840">
        <v>0.70289999999999897</v>
      </c>
      <c r="AD4840">
        <v>-4.1956E-2</v>
      </c>
      <c r="AE4840">
        <v>-0.23868999999999799</v>
      </c>
      <c r="AF4840">
        <v>-0.40957980223794699</v>
      </c>
      <c r="AG4840">
        <v>-4.1956E-2</v>
      </c>
      <c r="AH4840">
        <v>0.61626447097978398</v>
      </c>
      <c r="AI4840">
        <v>93.245226436362302</v>
      </c>
      <c r="AJ4840">
        <v>123.60868519710699</v>
      </c>
      <c r="AK4840">
        <v>0.74114628686195905</v>
      </c>
      <c r="AL4840">
        <v>80.644127036923507</v>
      </c>
      <c r="AM4840">
        <v>105.229152450287</v>
      </c>
      <c r="AN4840">
        <v>1.00000004055642</v>
      </c>
    </row>
    <row r="4841" spans="1:40" x14ac:dyDescent="0.25">
      <c r="A4841" t="str">
        <f>"20190304155516338"</f>
        <v>20190304155516338</v>
      </c>
      <c r="B4841" t="str">
        <f>"1551686116332548"</f>
        <v>1551686116332548</v>
      </c>
      <c r="C4841" t="s">
        <v>40</v>
      </c>
      <c r="D4841">
        <v>4.5480199999999904</v>
      </c>
      <c r="E4841">
        <v>0.4164581</v>
      </c>
      <c r="F4841" t="s">
        <v>48</v>
      </c>
      <c r="G4841">
        <v>-296.71390000000002</v>
      </c>
      <c r="H4841">
        <v>1.0778669999999999</v>
      </c>
      <c r="I4841">
        <v>-51.273330000000001</v>
      </c>
      <c r="J4841">
        <v>-297.4391</v>
      </c>
      <c r="K4841">
        <v>1.121502</v>
      </c>
      <c r="L4841">
        <v>-51.032809999999998</v>
      </c>
      <c r="M4841">
        <v>0.62342830000000005</v>
      </c>
      <c r="N4841">
        <v>-1.6199729999999999E-2</v>
      </c>
      <c r="O4841">
        <v>-0.78171269999999904</v>
      </c>
      <c r="P4841">
        <v>0.79371669999999905</v>
      </c>
      <c r="Q4841">
        <v>0.1550966</v>
      </c>
      <c r="R4841">
        <v>-0.58818239999999999</v>
      </c>
      <c r="S4841">
        <v>2.8334350000000001</v>
      </c>
      <c r="T4841">
        <v>-0.14018699999999901</v>
      </c>
      <c r="U4841">
        <v>-1.329437</v>
      </c>
      <c r="V4841">
        <v>-0.25829210000000002</v>
      </c>
      <c r="W4841">
        <v>0.16366269999999999</v>
      </c>
      <c r="X4841">
        <v>0.95210280000000003</v>
      </c>
      <c r="Y4841">
        <v>-0.44223679999999899</v>
      </c>
      <c r="Z4841">
        <v>3.1194550000000001E-2</v>
      </c>
      <c r="AA4841">
        <v>0.89635569999999898</v>
      </c>
      <c r="AB4841">
        <v>24</v>
      </c>
      <c r="AC4841">
        <v>0.72519999999997198</v>
      </c>
      <c r="AD4841">
        <v>-4.3635E-2</v>
      </c>
      <c r="AE4841">
        <v>-0.24052000000000301</v>
      </c>
      <c r="AF4841">
        <v>-0.41565010367668498</v>
      </c>
      <c r="AG4841">
        <v>-4.3635E-2</v>
      </c>
      <c r="AH4841">
        <v>0.63813041379923097</v>
      </c>
      <c r="AI4841">
        <v>93.279278010762695</v>
      </c>
      <c r="AJ4841">
        <v>123.078452878772</v>
      </c>
      <c r="AK4841">
        <v>0.762810229956978</v>
      </c>
      <c r="AL4841">
        <v>80.580443339416206</v>
      </c>
      <c r="AM4841">
        <v>105.17822539622099</v>
      </c>
      <c r="AN4841">
        <v>1.00000001503076</v>
      </c>
    </row>
    <row r="4842" spans="1:40" x14ac:dyDescent="0.25">
      <c r="A4842" t="str">
        <f>"20190304155516360"</f>
        <v>20190304155516360</v>
      </c>
      <c r="B4842" t="str">
        <f>"1551686116353044"</f>
        <v>1551686116353044</v>
      </c>
      <c r="C4842" t="s">
        <v>40</v>
      </c>
      <c r="D4842">
        <v>4.5515400000000001</v>
      </c>
      <c r="E4842">
        <v>0.41672160000000003</v>
      </c>
      <c r="F4842" t="s">
        <v>46</v>
      </c>
      <c r="G4842">
        <v>-274.32159999999999</v>
      </c>
      <c r="H4842" s="1">
        <v>-1.2489879999999999E-6</v>
      </c>
      <c r="I4842">
        <v>-61.4664199999999</v>
      </c>
      <c r="J4842">
        <v>-297.28070000000002</v>
      </c>
      <c r="K4842">
        <v>1.1215139999999999</v>
      </c>
      <c r="L4842">
        <v>-51.2027</v>
      </c>
      <c r="M4842">
        <v>0.63614899999999996</v>
      </c>
      <c r="N4842">
        <v>-1.62197E-2</v>
      </c>
      <c r="O4842">
        <v>-0.77139569999999902</v>
      </c>
      <c r="P4842">
        <v>0.80234559999999999</v>
      </c>
      <c r="Q4842">
        <v>0.15614720000000001</v>
      </c>
      <c r="R4842">
        <v>-0.57607249999999999</v>
      </c>
      <c r="S4842">
        <v>2.8526310000000001</v>
      </c>
      <c r="T4842">
        <v>-0.13839009999999999</v>
      </c>
      <c r="U4842">
        <v>-1.2874760000000001</v>
      </c>
      <c r="V4842">
        <v>-0.2570152</v>
      </c>
      <c r="W4842">
        <v>0.1647624</v>
      </c>
      <c r="X4842">
        <v>0.95225859999999996</v>
      </c>
      <c r="Y4842">
        <v>-0.44078479999999998</v>
      </c>
      <c r="Z4842">
        <v>3.050988E-2</v>
      </c>
      <c r="AA4842">
        <v>0.89709409999999901</v>
      </c>
      <c r="AB4842">
        <v>24</v>
      </c>
      <c r="AC4842">
        <v>22.959099999999999</v>
      </c>
      <c r="AD4842">
        <v>-1.12151524898799</v>
      </c>
      <c r="AE4842">
        <v>-10.2637199999999</v>
      </c>
      <c r="AF4842">
        <v>-11.1605718332068</v>
      </c>
      <c r="AG4842">
        <v>-1.12151524898799</v>
      </c>
      <c r="AH4842">
        <v>22.481053108690599</v>
      </c>
      <c r="AI4842">
        <v>92.558490887860103</v>
      </c>
      <c r="AJ4842">
        <v>116.401799677486</v>
      </c>
      <c r="AK4842">
        <v>25.123970804266801</v>
      </c>
      <c r="AL4842">
        <v>80.516567450631001</v>
      </c>
      <c r="AM4842">
        <v>105.104268582053</v>
      </c>
      <c r="AN4842">
        <v>0.99999995137937803</v>
      </c>
    </row>
    <row r="4843" spans="1:40" x14ac:dyDescent="0.25">
      <c r="A4843" t="str">
        <f>"20190304155516387"</f>
        <v>20190304155516387</v>
      </c>
      <c r="B4843" t="str">
        <f>"1551686116383300"</f>
        <v>1551686116383300</v>
      </c>
      <c r="C4843" t="s">
        <v>40</v>
      </c>
      <c r="D4843">
        <v>4.5167449999999896</v>
      </c>
      <c r="E4843">
        <v>0.4171009</v>
      </c>
      <c r="F4843" t="s">
        <v>46</v>
      </c>
      <c r="G4843">
        <v>-273.66399999999999</v>
      </c>
      <c r="H4843" s="1">
        <v>-9.6319950000000003E-7</v>
      </c>
      <c r="I4843">
        <v>-61.449809999999999</v>
      </c>
      <c r="J4843">
        <v>-297.08690000000001</v>
      </c>
      <c r="K4843">
        <v>1.1214999999999999</v>
      </c>
      <c r="L4843">
        <v>-51.402619999999999</v>
      </c>
      <c r="M4843">
        <v>0.65123619999999904</v>
      </c>
      <c r="N4843">
        <v>-1.623927E-2</v>
      </c>
      <c r="O4843">
        <v>-0.75870130000000002</v>
      </c>
      <c r="P4843">
        <v>0.81300930000000005</v>
      </c>
      <c r="Q4843">
        <v>0.15477579999999999</v>
      </c>
      <c r="R4843">
        <v>-0.56130239999999998</v>
      </c>
      <c r="S4843">
        <v>2.871124</v>
      </c>
      <c r="T4843">
        <v>-0.1363443</v>
      </c>
      <c r="U4843">
        <v>-1.2457579999999999</v>
      </c>
      <c r="V4843">
        <v>-0.2558125</v>
      </c>
      <c r="W4843">
        <v>0.16345009999999999</v>
      </c>
      <c r="X4843">
        <v>0.95280849999999995</v>
      </c>
      <c r="Y4843">
        <v>-0.4361892</v>
      </c>
      <c r="Z4843">
        <v>2.9655750000000002E-2</v>
      </c>
      <c r="AA4843">
        <v>0.89936609999999995</v>
      </c>
      <c r="AB4843">
        <v>24</v>
      </c>
      <c r="AC4843">
        <v>23.422899999999998</v>
      </c>
      <c r="AD4843">
        <v>-1.1215009631995001</v>
      </c>
      <c r="AE4843">
        <v>-10.047189999999899</v>
      </c>
      <c r="AF4843">
        <v>-11.2076706388274</v>
      </c>
      <c r="AG4843">
        <v>-1.1215009631995001</v>
      </c>
      <c r="AH4843">
        <v>22.835458144437698</v>
      </c>
      <c r="AI4843">
        <v>92.524442516390195</v>
      </c>
      <c r="AJ4843">
        <v>116.141860536354</v>
      </c>
      <c r="AK4843">
        <v>25.462281795339099</v>
      </c>
      <c r="AL4843">
        <v>80.592790586981394</v>
      </c>
      <c r="AM4843">
        <v>105.028510742443</v>
      </c>
      <c r="AN4843">
        <v>1.00000000400925</v>
      </c>
    </row>
    <row r="4844" spans="1:40" x14ac:dyDescent="0.25">
      <c r="A4844" t="str">
        <f>"20190304155516409"</f>
        <v>20190304155516409</v>
      </c>
      <c r="B4844" t="str">
        <f>"1551686116402821"</f>
        <v>1551686116402821</v>
      </c>
      <c r="C4844" t="s">
        <v>40</v>
      </c>
      <c r="D4844">
        <v>4.8537499999999998</v>
      </c>
      <c r="E4844">
        <v>0.41721170000000002</v>
      </c>
      <c r="F4844" t="s">
        <v>48</v>
      </c>
      <c r="G4844">
        <v>-296.17110000000002</v>
      </c>
      <c r="H4844">
        <v>1.076443</v>
      </c>
      <c r="I4844">
        <v>-51.780949999999997</v>
      </c>
      <c r="J4844">
        <v>-296.9196</v>
      </c>
      <c r="K4844">
        <v>1.12148</v>
      </c>
      <c r="L4844">
        <v>-51.56897</v>
      </c>
      <c r="M4844">
        <v>0.66385459999999996</v>
      </c>
      <c r="N4844">
        <v>-1.6251959999999999E-2</v>
      </c>
      <c r="O4844">
        <v>-0.74768519999999905</v>
      </c>
      <c r="P4844">
        <v>0.82166410000000001</v>
      </c>
      <c r="Q4844">
        <v>0.15400079999999999</v>
      </c>
      <c r="R4844">
        <v>-0.54877369999999903</v>
      </c>
      <c r="S4844">
        <v>2.8924560000000001</v>
      </c>
      <c r="T4844">
        <v>-0.14229349999999999</v>
      </c>
      <c r="U4844">
        <v>-1.194458</v>
      </c>
      <c r="V4844">
        <v>-0.25453789999999998</v>
      </c>
      <c r="W4844">
        <v>0.16273499999999999</v>
      </c>
      <c r="X4844">
        <v>0.95327220000000001</v>
      </c>
      <c r="Y4844">
        <v>-0.43701699999999999</v>
      </c>
      <c r="Z4844">
        <v>3.1253679999999999E-2</v>
      </c>
      <c r="AA4844">
        <v>0.89891010000000005</v>
      </c>
      <c r="AB4844">
        <v>24</v>
      </c>
      <c r="AC4844">
        <v>0.74849999999997796</v>
      </c>
      <c r="AD4844">
        <v>-4.5037000000000001E-2</v>
      </c>
      <c r="AE4844">
        <v>-0.211979999999996</v>
      </c>
      <c r="AF4844">
        <v>-0.417574233006267</v>
      </c>
      <c r="AG4844">
        <v>-4.5037000000000001E-2</v>
      </c>
      <c r="AH4844">
        <v>0.65328643881522397</v>
      </c>
      <c r="AI4844">
        <v>93.324393431335693</v>
      </c>
      <c r="AJ4844">
        <v>122.586311644063</v>
      </c>
      <c r="AK4844">
        <v>0.77664647207056103</v>
      </c>
      <c r="AL4844">
        <v>80.634319312856604</v>
      </c>
      <c r="AM4844">
        <v>104.950044286139</v>
      </c>
      <c r="AN4844">
        <v>1.00000005502712</v>
      </c>
    </row>
    <row r="4845" spans="1:40" x14ac:dyDescent="0.25">
      <c r="A4845" t="str">
        <f>"20190304155516429"</f>
        <v>20190304155516429</v>
      </c>
      <c r="B4845" t="str">
        <f>"1551686116422340"</f>
        <v>1551686116422340</v>
      </c>
      <c r="C4845" t="s">
        <v>40</v>
      </c>
      <c r="D4845">
        <v>4.8452729999999997</v>
      </c>
      <c r="E4845">
        <v>0.4239559</v>
      </c>
      <c r="F4845" t="s">
        <v>48</v>
      </c>
      <c r="G4845">
        <v>-296.0136</v>
      </c>
      <c r="H4845">
        <v>1.0765199999999999</v>
      </c>
      <c r="I4845">
        <v>-51.926839999999999</v>
      </c>
      <c r="J4845">
        <v>-296.76609999999999</v>
      </c>
      <c r="K4845">
        <v>1.121459</v>
      </c>
      <c r="L4845">
        <v>-51.71698</v>
      </c>
      <c r="M4845">
        <v>0.67512159999999999</v>
      </c>
      <c r="N4845">
        <v>-1.6260399999999901E-2</v>
      </c>
      <c r="O4845">
        <v>-0.7375273</v>
      </c>
      <c r="P4845">
        <v>0.82921590000000001</v>
      </c>
      <c r="Q4845">
        <v>0.15390429999999999</v>
      </c>
      <c r="R4845">
        <v>-0.53732199999999997</v>
      </c>
      <c r="S4845">
        <v>2.9104920000000001</v>
      </c>
      <c r="T4845">
        <v>-0.1444154</v>
      </c>
      <c r="U4845">
        <v>-1.149475</v>
      </c>
      <c r="V4845">
        <v>-0.25329980000000002</v>
      </c>
      <c r="W4845">
        <v>0.16269649999999999</v>
      </c>
      <c r="X4845">
        <v>0.95360849999999997</v>
      </c>
      <c r="Y4845">
        <v>-0.43727120000000003</v>
      </c>
      <c r="Z4845">
        <v>3.1724769999999999E-2</v>
      </c>
      <c r="AA4845">
        <v>0.89876999999999996</v>
      </c>
      <c r="AB4845">
        <v>24</v>
      </c>
      <c r="AC4845">
        <v>0.75249999999999695</v>
      </c>
      <c r="AD4845">
        <v>-4.4938999999999799E-2</v>
      </c>
      <c r="AE4845">
        <v>-0.20986000000000599</v>
      </c>
      <c r="AF4845">
        <v>-0.41199957205409299</v>
      </c>
      <c r="AG4845">
        <v>-4.4938999999999799E-2</v>
      </c>
      <c r="AH4845">
        <v>0.66070776807866605</v>
      </c>
      <c r="AI4845">
        <v>93.303151329107493</v>
      </c>
      <c r="AJ4845">
        <v>121.946553948253</v>
      </c>
      <c r="AK4845">
        <v>0.7799345587248</v>
      </c>
      <c r="AL4845">
        <v>80.636554999981996</v>
      </c>
      <c r="AM4845">
        <v>104.87554406110699</v>
      </c>
      <c r="AN4845">
        <v>1.0000000555322599</v>
      </c>
    </row>
    <row r="4846" spans="1:40" x14ac:dyDescent="0.25">
      <c r="A4846" t="str">
        <f>"20190304155516449"</f>
        <v>20190304155516449</v>
      </c>
      <c r="B4846" t="str">
        <f>"1551686116442836"</f>
        <v>1551686116442836</v>
      </c>
      <c r="C4846" t="s">
        <v>40</v>
      </c>
      <c r="D4846">
        <v>4.8527069999999997</v>
      </c>
      <c r="E4846">
        <v>0.4282917</v>
      </c>
      <c r="F4846" t="s">
        <v>48</v>
      </c>
      <c r="G4846">
        <v>-295.78739999999999</v>
      </c>
      <c r="H4846">
        <v>1.0595889999999999</v>
      </c>
      <c r="I4846">
        <v>-52.107230000000001</v>
      </c>
      <c r="J4846">
        <v>-296.61279999999999</v>
      </c>
      <c r="K4846">
        <v>1.121442</v>
      </c>
      <c r="L4846">
        <v>-51.860230000000001</v>
      </c>
      <c r="M4846">
        <v>0.68606699999999998</v>
      </c>
      <c r="N4846">
        <v>-1.6266160000000002E-2</v>
      </c>
      <c r="O4846">
        <v>-0.72735660000000002</v>
      </c>
      <c r="P4846">
        <v>0.83610439999999997</v>
      </c>
      <c r="Q4846">
        <v>0.15386050000000001</v>
      </c>
      <c r="R4846">
        <v>-0.52655149999999995</v>
      </c>
      <c r="S4846">
        <v>2.9023129999999999</v>
      </c>
      <c r="T4846">
        <v>-0.183452</v>
      </c>
      <c r="U4846">
        <v>-1.15683</v>
      </c>
      <c r="V4846">
        <v>-0.25137470000000001</v>
      </c>
      <c r="W4846">
        <v>0.16273270000000001</v>
      </c>
      <c r="X4846">
        <v>0.9541115</v>
      </c>
      <c r="Y4846">
        <v>-0.42043069999999999</v>
      </c>
      <c r="Z4846">
        <v>4.2171640000000003E-2</v>
      </c>
      <c r="AA4846">
        <v>0.90634409999999999</v>
      </c>
      <c r="AB4846">
        <v>24</v>
      </c>
      <c r="AC4846">
        <v>0.82540000000000102</v>
      </c>
      <c r="AD4846">
        <v>-6.1853000000000102E-2</v>
      </c>
      <c r="AE4846">
        <v>-0.246999999999999</v>
      </c>
      <c r="AF4846">
        <v>-0.42874879866278598</v>
      </c>
      <c r="AG4846">
        <v>-6.1853000000000102E-2</v>
      </c>
      <c r="AH4846">
        <v>0.74221007207304501</v>
      </c>
      <c r="AI4846">
        <v>94.127393301333299</v>
      </c>
      <c r="AJ4846">
        <v>120.01352372308099</v>
      </c>
      <c r="AK4846">
        <v>0.85937600446513296</v>
      </c>
      <c r="AL4846">
        <v>80.6344520033023</v>
      </c>
      <c r="AM4846">
        <v>104.760001721653</v>
      </c>
      <c r="AN4846">
        <v>0.99999996294081395</v>
      </c>
    </row>
    <row r="4847" spans="1:40" x14ac:dyDescent="0.25">
      <c r="A4847" t="str">
        <f>"20190304155516473"</f>
        <v>20190304155516473</v>
      </c>
      <c r="B4847" t="str">
        <f>"1551686116462357"</f>
        <v>1551686116462357</v>
      </c>
      <c r="C4847" t="s">
        <v>40</v>
      </c>
      <c r="D4847">
        <v>4.8744040000000002</v>
      </c>
      <c r="E4847">
        <v>0.42827710000000002</v>
      </c>
      <c r="F4847" t="s">
        <v>74</v>
      </c>
      <c r="G4847">
        <v>-280.65030000000002</v>
      </c>
      <c r="H4847" s="1">
        <v>-6.1780169999999998E-6</v>
      </c>
      <c r="I4847">
        <v>-58.179020000000001</v>
      </c>
      <c r="J4847">
        <v>-296.43180000000001</v>
      </c>
      <c r="K4847">
        <v>1.1214120000000001</v>
      </c>
      <c r="L4847">
        <v>-52.023960000000002</v>
      </c>
      <c r="M4847">
        <v>0.69861759999999995</v>
      </c>
      <c r="N4847">
        <v>-1.6270070000000001E-2</v>
      </c>
      <c r="O4847">
        <v>-0.71531029999999995</v>
      </c>
      <c r="P4847">
        <v>0.84406979999999998</v>
      </c>
      <c r="Q4847">
        <v>0.15370349999999999</v>
      </c>
      <c r="R4847">
        <v>-0.51373290000000005</v>
      </c>
      <c r="S4847">
        <v>2.9020999999999999</v>
      </c>
      <c r="T4847">
        <v>-0.2038875</v>
      </c>
      <c r="U4847">
        <v>-1.1488039999999999</v>
      </c>
      <c r="V4847">
        <v>-0.2493311</v>
      </c>
      <c r="W4847">
        <v>0.16266259999999999</v>
      </c>
      <c r="X4847">
        <v>0.95465960000000005</v>
      </c>
      <c r="Y4847">
        <v>-0.4064451</v>
      </c>
      <c r="Z4847">
        <v>4.7133229999999998E-2</v>
      </c>
      <c r="AA4847">
        <v>0.91245869999999996</v>
      </c>
      <c r="AB4847">
        <v>24</v>
      </c>
      <c r="AC4847">
        <v>15.7814999999999</v>
      </c>
      <c r="AD4847">
        <v>-1.1214181780170001</v>
      </c>
      <c r="AE4847">
        <v>-6.15505999999999</v>
      </c>
      <c r="AF4847">
        <v>-6.9590615273785303</v>
      </c>
      <c r="AG4847">
        <v>-1.1214181780170001</v>
      </c>
      <c r="AH4847">
        <v>15.3627227334909</v>
      </c>
      <c r="AI4847">
        <v>93.804124404508599</v>
      </c>
      <c r="AJ4847">
        <v>114.369746958855</v>
      </c>
      <c r="AK4847">
        <v>16.9026437535063</v>
      </c>
      <c r="AL4847">
        <v>80.638523359480402</v>
      </c>
      <c r="AM4847">
        <v>104.63713866867</v>
      </c>
      <c r="AN4847">
        <v>1.0000000353690599</v>
      </c>
    </row>
    <row r="4848" spans="1:40" x14ac:dyDescent="0.25">
      <c r="A4848" t="str">
        <f>"20190304155516493"</f>
        <v>20190304155516493</v>
      </c>
      <c r="B4848" t="str">
        <f>"1551686116482853"</f>
        <v>1551686116482853</v>
      </c>
      <c r="C4848" t="s">
        <v>40</v>
      </c>
      <c r="D4848">
        <v>4.8398500000000002</v>
      </c>
      <c r="E4848">
        <v>0.42853409999999897</v>
      </c>
      <c r="F4848" t="s">
        <v>74</v>
      </c>
      <c r="G4848">
        <v>-280.26080000000002</v>
      </c>
      <c r="H4848" s="1">
        <v>-6.3130269999999899E-6</v>
      </c>
      <c r="I4848">
        <v>-58.137839999999997</v>
      </c>
      <c r="J4848">
        <v>-296.2636</v>
      </c>
      <c r="K4848">
        <v>1.1213839999999999</v>
      </c>
      <c r="L4848">
        <v>-52.171080000000003</v>
      </c>
      <c r="M4848">
        <v>0.7099299</v>
      </c>
      <c r="N4848">
        <v>-1.6271540000000001E-2</v>
      </c>
      <c r="O4848">
        <v>-0.70408459999999995</v>
      </c>
      <c r="P4848">
        <v>0.85130280000000003</v>
      </c>
      <c r="Q4848">
        <v>0.153964299999999</v>
      </c>
      <c r="R4848">
        <v>-0.50157619999999903</v>
      </c>
      <c r="S4848">
        <v>2.9193120000000001</v>
      </c>
      <c r="T4848">
        <v>-0.20244789999999999</v>
      </c>
      <c r="U4848">
        <v>-1.103729</v>
      </c>
      <c r="V4848">
        <v>-0.24776119999999999</v>
      </c>
      <c r="W4848">
        <v>0.16299240000000001</v>
      </c>
      <c r="X4848">
        <v>0.95501199999999997</v>
      </c>
      <c r="Y4848">
        <v>-0.406026</v>
      </c>
      <c r="Z4848">
        <v>4.6376420000000002E-2</v>
      </c>
      <c r="AA4848">
        <v>0.91268400000000005</v>
      </c>
      <c r="AB4848">
        <v>24</v>
      </c>
      <c r="AC4848">
        <v>16.002799999999901</v>
      </c>
      <c r="AD4848">
        <v>-1.121390313027</v>
      </c>
      <c r="AE4848">
        <v>-5.9667599999999998</v>
      </c>
      <c r="AF4848">
        <v>-7.0020866991742698</v>
      </c>
      <c r="AG4848">
        <v>-1.121390313027</v>
      </c>
      <c r="AH4848">
        <v>15.4972175896661</v>
      </c>
      <c r="AI4848">
        <v>93.772743320247201</v>
      </c>
      <c r="AJ4848">
        <v>114.314815128351</v>
      </c>
      <c r="AK4848">
        <v>17.042607998729501</v>
      </c>
      <c r="AL4848">
        <v>80.619371548192902</v>
      </c>
      <c r="AM4848">
        <v>104.54375826704801</v>
      </c>
      <c r="AN4848">
        <v>1.0000000274135901</v>
      </c>
    </row>
    <row r="4849" spans="1:40" x14ac:dyDescent="0.25">
      <c r="A4849" t="str">
        <f>"20190304155516516"</f>
        <v>20190304155516516</v>
      </c>
      <c r="B4849" t="str">
        <f>"1551686116513108"</f>
        <v>1551686116513108</v>
      </c>
      <c r="C4849" t="s">
        <v>40</v>
      </c>
      <c r="D4849">
        <v>4.966342</v>
      </c>
      <c r="E4849">
        <v>0.42854370000000003</v>
      </c>
      <c r="F4849" t="s">
        <v>74</v>
      </c>
      <c r="G4849">
        <v>-279.98930000000001</v>
      </c>
      <c r="H4849" s="1">
        <v>-6.4112109999999998E-6</v>
      </c>
      <c r="I4849">
        <v>-58.073149999999998</v>
      </c>
      <c r="J4849">
        <v>-296.0865</v>
      </c>
      <c r="K4849">
        <v>1.1213569999999999</v>
      </c>
      <c r="L4849">
        <v>-52.320979999999999</v>
      </c>
      <c r="M4849">
        <v>0.72148749999999995</v>
      </c>
      <c r="N4849">
        <v>-1.6271190000000001E-2</v>
      </c>
      <c r="O4849">
        <v>-0.69223650000000003</v>
      </c>
      <c r="P4849">
        <v>0.85817459999999901</v>
      </c>
      <c r="Q4849">
        <v>0.1534189</v>
      </c>
      <c r="R4849">
        <v>-0.48989739999999998</v>
      </c>
      <c r="S4849">
        <v>2.9336850000000001</v>
      </c>
      <c r="T4849">
        <v>-0.2021472</v>
      </c>
      <c r="U4849">
        <v>-1.0639339999999999</v>
      </c>
      <c r="V4849">
        <v>-0.24503359999999999</v>
      </c>
      <c r="W4849">
        <v>0.162553</v>
      </c>
      <c r="X4849">
        <v>0.95579029999999998</v>
      </c>
      <c r="Y4849">
        <v>-0.40329409999999999</v>
      </c>
      <c r="Z4849">
        <v>4.583491E-2</v>
      </c>
      <c r="AA4849">
        <v>0.91392180000000001</v>
      </c>
      <c r="AB4849">
        <v>24</v>
      </c>
      <c r="AC4849">
        <v>16.097199999999901</v>
      </c>
      <c r="AD4849">
        <v>-1.121363411211</v>
      </c>
      <c r="AE4849">
        <v>-5.7521699999999996</v>
      </c>
      <c r="AF4849">
        <v>-6.9639075522890996</v>
      </c>
      <c r="AG4849">
        <v>-1.121363411211</v>
      </c>
      <c r="AH4849">
        <v>15.5310182647074</v>
      </c>
      <c r="AI4849">
        <v>93.769304357230595</v>
      </c>
      <c r="AJ4849">
        <v>114.150846641512</v>
      </c>
      <c r="AK4849">
        <v>17.057725306602499</v>
      </c>
      <c r="AL4849">
        <v>80.644887538163104</v>
      </c>
      <c r="AM4849">
        <v>104.379097634533</v>
      </c>
      <c r="AN4849">
        <v>1.00000002025602</v>
      </c>
    </row>
    <row r="4850" spans="1:40" x14ac:dyDescent="0.25">
      <c r="A4850" t="str">
        <f>"20190304155516539"</f>
        <v>20190304155516539</v>
      </c>
      <c r="B4850" t="str">
        <f>"1551686116532632"</f>
        <v>1551686116532632</v>
      </c>
      <c r="C4850" t="s">
        <v>40</v>
      </c>
      <c r="D4850">
        <v>4.9429530000000002</v>
      </c>
      <c r="E4850">
        <v>0.42849789999999999</v>
      </c>
      <c r="F4850" t="s">
        <v>46</v>
      </c>
      <c r="G4850">
        <v>-279.85849999999999</v>
      </c>
      <c r="H4850" s="1">
        <v>-3.9209939999999996E-6</v>
      </c>
      <c r="I4850">
        <v>-57.952770000000001</v>
      </c>
      <c r="J4850">
        <v>-295.90089999999998</v>
      </c>
      <c r="K4850">
        <v>1.1213229999999901</v>
      </c>
      <c r="L4850">
        <v>-52.472900000000003</v>
      </c>
      <c r="M4850">
        <v>0.73322679999999996</v>
      </c>
      <c r="N4850">
        <v>-1.6268870000000001E-2</v>
      </c>
      <c r="O4850">
        <v>-0.6797898</v>
      </c>
      <c r="P4850">
        <v>0.86496700000000004</v>
      </c>
      <c r="Q4850">
        <v>0.15413389999999999</v>
      </c>
      <c r="R4850">
        <v>-0.4775721</v>
      </c>
      <c r="S4850">
        <v>2.9481510000000002</v>
      </c>
      <c r="T4850">
        <v>-0.20371880000000001</v>
      </c>
      <c r="U4850">
        <v>-1.0231319999999999</v>
      </c>
      <c r="V4850">
        <v>-0.2422598</v>
      </c>
      <c r="W4850">
        <v>0.1633706</v>
      </c>
      <c r="X4850">
        <v>0.95635780000000004</v>
      </c>
      <c r="Y4850">
        <v>-0.40030640000000001</v>
      </c>
      <c r="Z4850">
        <v>4.5751340000000001E-2</v>
      </c>
      <c r="AA4850">
        <v>0.91523860000000001</v>
      </c>
      <c r="AB4850">
        <v>24</v>
      </c>
      <c r="AC4850">
        <v>16.042399999999901</v>
      </c>
      <c r="AD4850">
        <v>-1.12132692099399</v>
      </c>
      <c r="AE4850">
        <v>-5.4798699999999902</v>
      </c>
      <c r="AF4850">
        <v>-6.8583759900515702</v>
      </c>
      <c r="AG4850">
        <v>-1.12132692099399</v>
      </c>
      <c r="AH4850">
        <v>15.4224483014954</v>
      </c>
      <c r="AI4850">
        <v>93.800836208375202</v>
      </c>
      <c r="AJ4850">
        <v>113.97475588899199</v>
      </c>
      <c r="AK4850">
        <v>16.915868493723899</v>
      </c>
      <c r="AL4850">
        <v>80.597407650228803</v>
      </c>
      <c r="AM4850">
        <v>104.214867740106</v>
      </c>
      <c r="AN4850">
        <v>1.0000000026306199</v>
      </c>
    </row>
    <row r="4851" spans="1:40" x14ac:dyDescent="0.25">
      <c r="A4851" t="str">
        <f>"20190304155516560"</f>
        <v>20190304155516560</v>
      </c>
      <c r="B4851" t="str">
        <f>"1551686116553124"</f>
        <v>1551686116553124</v>
      </c>
      <c r="C4851" t="s">
        <v>40</v>
      </c>
      <c r="D4851">
        <v>4.8909000000000002</v>
      </c>
      <c r="E4851">
        <v>0.4286046</v>
      </c>
      <c r="F4851" t="s">
        <v>46</v>
      </c>
      <c r="G4851">
        <v>-279.29059999999998</v>
      </c>
      <c r="H4851" s="1">
        <v>-3.6743839999999999E-6</v>
      </c>
      <c r="I4851">
        <v>-57.9662199999999</v>
      </c>
      <c r="J4851">
        <v>-295.72500000000002</v>
      </c>
      <c r="K4851">
        <v>1.121289</v>
      </c>
      <c r="L4851">
        <v>-52.6119699999999</v>
      </c>
      <c r="M4851">
        <v>0.744008</v>
      </c>
      <c r="N4851">
        <v>-1.6265379999999999E-2</v>
      </c>
      <c r="O4851">
        <v>-0.66797289999999998</v>
      </c>
      <c r="P4851">
        <v>0.87122230000000001</v>
      </c>
      <c r="Q4851">
        <v>0.15500129999999901</v>
      </c>
      <c r="R4851">
        <v>-0.4657753</v>
      </c>
      <c r="S4851">
        <v>2.9629210000000001</v>
      </c>
      <c r="T4851">
        <v>-0.20002039999999999</v>
      </c>
      <c r="U4851">
        <v>-0.97988889999999995</v>
      </c>
      <c r="V4851">
        <v>-0.23985509999999999</v>
      </c>
      <c r="W4851">
        <v>0.16432639999999901</v>
      </c>
      <c r="X4851">
        <v>0.95679999999999998</v>
      </c>
      <c r="Y4851">
        <v>-0.39912609999999998</v>
      </c>
      <c r="Z4851">
        <v>4.4344519999999998E-2</v>
      </c>
      <c r="AA4851">
        <v>0.9158231</v>
      </c>
      <c r="AB4851">
        <v>24</v>
      </c>
      <c r="AC4851">
        <v>16.4344</v>
      </c>
      <c r="AD4851">
        <v>-1.1212926743839999</v>
      </c>
      <c r="AE4851">
        <v>-5.3542500000000004</v>
      </c>
      <c r="AF4851">
        <v>-6.9657386943677704</v>
      </c>
      <c r="AG4851">
        <v>-1.1212926743839999</v>
      </c>
      <c r="AH4851">
        <v>15.739668720913</v>
      </c>
      <c r="AI4851">
        <v>93.727286938167197</v>
      </c>
      <c r="AJ4851">
        <v>113.87223715223</v>
      </c>
      <c r="AK4851">
        <v>17.2486516650991</v>
      </c>
      <c r="AL4851">
        <v>80.541893482016704</v>
      </c>
      <c r="AM4851">
        <v>104.07315908282899</v>
      </c>
      <c r="AN4851">
        <v>0.99999993736648296</v>
      </c>
    </row>
    <row r="4852" spans="1:40" x14ac:dyDescent="0.25">
      <c r="A4852" t="str">
        <f>"20190304155516584"</f>
        <v>20190304155516584</v>
      </c>
      <c r="B4852" t="str">
        <f>"1551686116572645"</f>
        <v>1551686116572645</v>
      </c>
      <c r="C4852" t="s">
        <v>40</v>
      </c>
      <c r="D4852">
        <v>4.9479629999999997</v>
      </c>
      <c r="E4852">
        <v>0.42879479999999998</v>
      </c>
      <c r="F4852" t="s">
        <v>46</v>
      </c>
      <c r="G4852">
        <v>-278.59679999999997</v>
      </c>
      <c r="H4852" s="1">
        <v>-3.3641480000000002E-6</v>
      </c>
      <c r="I4852">
        <v>-58.023310000000002</v>
      </c>
      <c r="J4852">
        <v>-295.53190000000001</v>
      </c>
      <c r="K4852">
        <v>1.1212470000000001</v>
      </c>
      <c r="L4852">
        <v>-52.759250000000002</v>
      </c>
      <c r="M4852">
        <v>0.75547050000000004</v>
      </c>
      <c r="N4852">
        <v>-1.6260440000000001E-2</v>
      </c>
      <c r="O4852">
        <v>-0.65498100000000004</v>
      </c>
      <c r="P4852">
        <v>0.87789619999999902</v>
      </c>
      <c r="Q4852">
        <v>0.15498399999999901</v>
      </c>
      <c r="R4852">
        <v>-0.45307700000000001</v>
      </c>
      <c r="S4852">
        <v>2.9755250000000002</v>
      </c>
      <c r="T4852">
        <v>-0.1947924</v>
      </c>
      <c r="U4852">
        <v>-0.94006350000000005</v>
      </c>
      <c r="V4852">
        <v>-0.2371463</v>
      </c>
      <c r="W4852">
        <v>0.16440779999999999</v>
      </c>
      <c r="X4852">
        <v>0.95746109999999895</v>
      </c>
      <c r="Y4852">
        <v>-0.39560060000000002</v>
      </c>
      <c r="Z4852">
        <v>4.2447480000000003E-2</v>
      </c>
      <c r="AA4852">
        <v>0.91744119999999996</v>
      </c>
      <c r="AB4852">
        <v>24</v>
      </c>
      <c r="AC4852">
        <v>16.935099999999998</v>
      </c>
      <c r="AD4852">
        <v>-1.1212503641479901</v>
      </c>
      <c r="AE4852">
        <v>-5.26405999999999</v>
      </c>
      <c r="AF4852">
        <v>-7.0879338171536501</v>
      </c>
      <c r="AG4852">
        <v>-1.1212503641479901</v>
      </c>
      <c r="AH4852">
        <v>16.179299294663402</v>
      </c>
      <c r="AI4852">
        <v>93.632115894380107</v>
      </c>
      <c r="AJ4852">
        <v>113.65758057337101</v>
      </c>
      <c r="AK4852">
        <v>17.699314502029399</v>
      </c>
      <c r="AL4852">
        <v>80.537166136763204</v>
      </c>
      <c r="AM4852">
        <v>103.911199955538</v>
      </c>
      <c r="AN4852">
        <v>1.0000000251588601</v>
      </c>
    </row>
    <row r="4853" spans="1:40" x14ac:dyDescent="0.25">
      <c r="A4853" t="str">
        <f>"20190304155516607"</f>
        <v>20190304155516607</v>
      </c>
      <c r="B4853" t="str">
        <f>"1551686116602901"</f>
        <v>1551686116602901</v>
      </c>
      <c r="C4853" t="s">
        <v>40</v>
      </c>
      <c r="D4853">
        <v>4.92936</v>
      </c>
      <c r="E4853">
        <v>0.43272119999999997</v>
      </c>
      <c r="F4853" t="s">
        <v>46</v>
      </c>
      <c r="G4853">
        <v>-278.26639999999998</v>
      </c>
      <c r="H4853" s="1">
        <v>-3.237909E-6</v>
      </c>
      <c r="I4853">
        <v>-57.953169999999901</v>
      </c>
      <c r="J4853">
        <v>-295.3381</v>
      </c>
      <c r="K4853">
        <v>1.121213</v>
      </c>
      <c r="L4853">
        <v>-52.901670000000003</v>
      </c>
      <c r="M4853">
        <v>0.766599699999999</v>
      </c>
      <c r="N4853">
        <v>-1.6254339999999999E-2</v>
      </c>
      <c r="O4853">
        <v>-0.64191960000000003</v>
      </c>
      <c r="P4853">
        <v>0.88481330000000002</v>
      </c>
      <c r="Q4853">
        <v>0.15523399999999901</v>
      </c>
      <c r="R4853">
        <v>-0.43932680000000002</v>
      </c>
      <c r="S4853">
        <v>2.9876710000000002</v>
      </c>
      <c r="T4853">
        <v>-0.1940248</v>
      </c>
      <c r="U4853">
        <v>-0.89877320000000005</v>
      </c>
      <c r="V4853">
        <v>-0.23561009999999999</v>
      </c>
      <c r="W4853">
        <v>0.1647187</v>
      </c>
      <c r="X4853">
        <v>0.9577869</v>
      </c>
      <c r="Y4853">
        <v>-0.39252239999999999</v>
      </c>
      <c r="Z4853">
        <v>4.1737160000000002E-2</v>
      </c>
      <c r="AA4853">
        <v>0.91879489999999997</v>
      </c>
      <c r="AB4853">
        <v>24</v>
      </c>
      <c r="AC4853">
        <v>17.0717</v>
      </c>
      <c r="AD4853">
        <v>-1.121216237909</v>
      </c>
      <c r="AE4853">
        <v>-5.0514999999999901</v>
      </c>
      <c r="AF4853">
        <v>-7.0591186583363701</v>
      </c>
      <c r="AG4853">
        <v>-1.121216237909</v>
      </c>
      <c r="AH4853">
        <v>16.267454149030701</v>
      </c>
      <c r="AI4853">
        <v>93.617851486192194</v>
      </c>
      <c r="AJ4853">
        <v>113.458008700747</v>
      </c>
      <c r="AK4853">
        <v>17.768464947075199</v>
      </c>
      <c r="AL4853">
        <v>80.5191069763233</v>
      </c>
      <c r="AM4853">
        <v>103.8200305604</v>
      </c>
      <c r="AN4853">
        <v>1.0000000575816499</v>
      </c>
    </row>
    <row r="4854" spans="1:40" x14ac:dyDescent="0.25">
      <c r="A4854" t="str">
        <f>"20190304155516631"</f>
        <v>20190304155516631</v>
      </c>
      <c r="B4854" t="str">
        <f>"1551686116622422"</f>
        <v>1551686116622422</v>
      </c>
      <c r="C4854" t="s">
        <v>40</v>
      </c>
      <c r="D4854">
        <v>4.9280470000000003</v>
      </c>
      <c r="E4854">
        <v>0.43292019999999998</v>
      </c>
      <c r="F4854" t="s">
        <v>46</v>
      </c>
      <c r="G4854">
        <v>-277.84129999999999</v>
      </c>
      <c r="H4854" s="1">
        <v>-3.0324829999999999E-6</v>
      </c>
      <c r="I4854">
        <v>-58.057519999999997</v>
      </c>
      <c r="J4854">
        <v>-295.13850000000002</v>
      </c>
      <c r="K4854">
        <v>1.121175</v>
      </c>
      <c r="L4854">
        <v>-53.043149999999997</v>
      </c>
      <c r="M4854">
        <v>0.77768979999999999</v>
      </c>
      <c r="N4854">
        <v>-1.6247499999999901E-2</v>
      </c>
      <c r="O4854">
        <v>-0.62843839999999995</v>
      </c>
      <c r="P4854">
        <v>0.891634499999999</v>
      </c>
      <c r="Q4854">
        <v>0.15414990000000001</v>
      </c>
      <c r="R4854">
        <v>-0.42570659999999999</v>
      </c>
      <c r="S4854">
        <v>2.9870909999999999</v>
      </c>
      <c r="T4854">
        <v>-0.19141659999999999</v>
      </c>
      <c r="U4854">
        <v>-0.88021849999999902</v>
      </c>
      <c r="V4854">
        <v>-0.23364570000000001</v>
      </c>
      <c r="W4854">
        <v>0.1637112</v>
      </c>
      <c r="X4854">
        <v>0.95844050000000003</v>
      </c>
      <c r="Y4854">
        <v>-0.38170159999999997</v>
      </c>
      <c r="Z4854">
        <v>4.0365289999999998E-2</v>
      </c>
      <c r="AA4854">
        <v>0.92340370000000005</v>
      </c>
      <c r="AB4854">
        <v>24</v>
      </c>
      <c r="AC4854">
        <v>17.2972</v>
      </c>
      <c r="AD4854">
        <v>-1.1211780324830001</v>
      </c>
      <c r="AE4854">
        <v>-5.0143700000000004</v>
      </c>
      <c r="AF4854">
        <v>-6.9446043721784498</v>
      </c>
      <c r="AG4854">
        <v>-1.1211780324830001</v>
      </c>
      <c r="AH4854">
        <v>16.5411597156832</v>
      </c>
      <c r="AI4854">
        <v>93.576139255231297</v>
      </c>
      <c r="AJ4854">
        <v>112.77450621823</v>
      </c>
      <c r="AK4854">
        <v>17.9748305918677</v>
      </c>
      <c r="AL4854">
        <v>80.577625703423607</v>
      </c>
      <c r="AM4854">
        <v>103.7001744177</v>
      </c>
      <c r="AN4854">
        <v>0.99999993108708696</v>
      </c>
    </row>
    <row r="4855" spans="1:40" x14ac:dyDescent="0.25">
      <c r="A4855" t="str">
        <f>"20190304155516650"</f>
        <v>20190304155516650</v>
      </c>
      <c r="B4855" t="str">
        <f>"1551686116642916"</f>
        <v>1551686116642916</v>
      </c>
      <c r="C4855" t="s">
        <v>40</v>
      </c>
      <c r="D4855">
        <v>4.9251750000000003</v>
      </c>
      <c r="E4855">
        <v>0.43347140000000001</v>
      </c>
      <c r="F4855" t="s">
        <v>46</v>
      </c>
      <c r="G4855">
        <v>-277.56079999999997</v>
      </c>
      <c r="H4855" s="1">
        <v>-2.9377440000000002E-6</v>
      </c>
      <c r="I4855">
        <v>-57.941699999999997</v>
      </c>
      <c r="J4855">
        <v>-294.96730000000002</v>
      </c>
      <c r="K4855">
        <v>1.1211420000000001</v>
      </c>
      <c r="L4855">
        <v>-53.160429999999998</v>
      </c>
      <c r="M4855">
        <v>0.78691180000000005</v>
      </c>
      <c r="N4855">
        <v>-1.6241169999999999E-2</v>
      </c>
      <c r="O4855">
        <v>-0.6168517</v>
      </c>
      <c r="P4855">
        <v>0.89722369999999996</v>
      </c>
      <c r="Q4855">
        <v>0.15359120000000001</v>
      </c>
      <c r="R4855">
        <v>-0.4140045</v>
      </c>
      <c r="S4855">
        <v>2.9986570000000001</v>
      </c>
      <c r="T4855">
        <v>-0.1912662</v>
      </c>
      <c r="U4855">
        <v>-0.83566280000000004</v>
      </c>
      <c r="V4855">
        <v>-0.23201769999999999</v>
      </c>
      <c r="W4855">
        <v>0.16321440000000001</v>
      </c>
      <c r="X4855">
        <v>0.95892069999999996</v>
      </c>
      <c r="Y4855">
        <v>-0.38167400000000001</v>
      </c>
      <c r="Z4855">
        <v>3.9967009999999997E-2</v>
      </c>
      <c r="AA4855">
        <v>0.92343249999999999</v>
      </c>
      <c r="AB4855">
        <v>24</v>
      </c>
      <c r="AC4855">
        <v>17.406500000000001</v>
      </c>
      <c r="AD4855">
        <v>-1.1211449377439999</v>
      </c>
      <c r="AE4855">
        <v>-4.7812699999999904</v>
      </c>
      <c r="AF4855">
        <v>-6.94890582830498</v>
      </c>
      <c r="AG4855">
        <v>-1.1211449377439999</v>
      </c>
      <c r="AH4855">
        <v>16.5849339108862</v>
      </c>
      <c r="AI4855">
        <v>93.567696890457995</v>
      </c>
      <c r="AJ4855">
        <v>112.73315068388</v>
      </c>
      <c r="AK4855">
        <v>18.016778041884798</v>
      </c>
      <c r="AL4855">
        <v>80.6064792801252</v>
      </c>
      <c r="AM4855">
        <v>103.601714136156</v>
      </c>
      <c r="AN4855">
        <v>1.00000003118456</v>
      </c>
    </row>
    <row r="4856" spans="1:40" x14ac:dyDescent="0.25">
      <c r="A4856" t="str">
        <f>"20190304155516673"</f>
        <v>20190304155516673</v>
      </c>
      <c r="B4856" t="str">
        <f>"1551686116662436"</f>
        <v>1551686116662436</v>
      </c>
      <c r="C4856" t="s">
        <v>40</v>
      </c>
      <c r="D4856">
        <v>5.0451329999999999</v>
      </c>
      <c r="E4856">
        <v>0.4333611</v>
      </c>
      <c r="F4856" t="s">
        <v>46</v>
      </c>
      <c r="G4856">
        <v>-277.24520000000001</v>
      </c>
      <c r="H4856" s="1">
        <v>-2.8173460000000001E-6</v>
      </c>
      <c r="I4856">
        <v>-57.873950000000001</v>
      </c>
      <c r="J4856">
        <v>-294.77530000000002</v>
      </c>
      <c r="K4856">
        <v>1.121113</v>
      </c>
      <c r="L4856">
        <v>-53.287660000000002</v>
      </c>
      <c r="M4856">
        <v>0.79694929999999997</v>
      </c>
      <c r="N4856">
        <v>-1.6233669999999999E-2</v>
      </c>
      <c r="O4856">
        <v>-0.60382829999999998</v>
      </c>
      <c r="P4856">
        <v>0.9029431</v>
      </c>
      <c r="Q4856">
        <v>0.1537511</v>
      </c>
      <c r="R4856">
        <v>-0.40131600000000001</v>
      </c>
      <c r="S4856">
        <v>3.0071409999999998</v>
      </c>
      <c r="T4856">
        <v>-0.1902392</v>
      </c>
      <c r="U4856">
        <v>-0.79980469999999904</v>
      </c>
      <c r="V4856">
        <v>-0.22973289999999999</v>
      </c>
      <c r="W4856">
        <v>0.1634553</v>
      </c>
      <c r="X4856">
        <v>0.95942959999999999</v>
      </c>
      <c r="Y4856">
        <v>-0.37743359999999998</v>
      </c>
      <c r="Z4856">
        <v>3.9158510000000001E-2</v>
      </c>
      <c r="AA4856">
        <v>0.92520829999999998</v>
      </c>
      <c r="AB4856">
        <v>24</v>
      </c>
      <c r="AC4856">
        <v>17.530100000000001</v>
      </c>
      <c r="AD4856">
        <v>-1.1211158173459901</v>
      </c>
      <c r="AE4856">
        <v>-4.58629</v>
      </c>
      <c r="AF4856">
        <v>-6.9046107601913702</v>
      </c>
      <c r="AG4856">
        <v>-1.1211158173459901</v>
      </c>
      <c r="AH4856">
        <v>16.678290441098401</v>
      </c>
      <c r="AI4856">
        <v>93.553972614185895</v>
      </c>
      <c r="AJ4856">
        <v>112.48896405248</v>
      </c>
      <c r="AK4856">
        <v>18.085793387719701</v>
      </c>
      <c r="AL4856">
        <v>80.592488538870697</v>
      </c>
      <c r="AM4856">
        <v>103.465790956879</v>
      </c>
      <c r="AN4856">
        <v>0.99999999889833002</v>
      </c>
    </row>
    <row r="4857" spans="1:40" x14ac:dyDescent="0.25">
      <c r="A4857" t="str">
        <f>"20190304155516695"</f>
        <v>20190304155516695</v>
      </c>
      <c r="B4857" t="str">
        <f>"1551686116692693"</f>
        <v>1551686116692693</v>
      </c>
      <c r="C4857" t="s">
        <v>40</v>
      </c>
      <c r="D4857">
        <v>5.0461369999999999</v>
      </c>
      <c r="E4857">
        <v>0.46259650000000002</v>
      </c>
      <c r="F4857" t="s">
        <v>46</v>
      </c>
      <c r="G4857">
        <v>-276.62990000000002</v>
      </c>
      <c r="H4857" s="1">
        <v>-2.5634829999999998E-6</v>
      </c>
      <c r="I4857">
        <v>-57.828319999999998</v>
      </c>
      <c r="J4857">
        <v>-294.58249999999998</v>
      </c>
      <c r="K4857">
        <v>1.1210770000000001</v>
      </c>
      <c r="L4857">
        <v>-53.41095</v>
      </c>
      <c r="M4857">
        <v>0.80671179999999998</v>
      </c>
      <c r="N4857">
        <v>-1.6225650000000001E-2</v>
      </c>
      <c r="O4857">
        <v>-0.59072259999999999</v>
      </c>
      <c r="P4857">
        <v>0.90854040000000003</v>
      </c>
      <c r="Q4857">
        <v>0.15367649999999999</v>
      </c>
      <c r="R4857">
        <v>-0.38850760000000001</v>
      </c>
      <c r="S4857">
        <v>3.018494</v>
      </c>
      <c r="T4857">
        <v>-0.18649830000000001</v>
      </c>
      <c r="U4857">
        <v>-0.75534060000000003</v>
      </c>
      <c r="V4857">
        <v>-0.22760449999999999</v>
      </c>
      <c r="W4857">
        <v>0.1634562</v>
      </c>
      <c r="X4857">
        <v>0.95993660000000003</v>
      </c>
      <c r="Y4857">
        <v>-0.37601489999999999</v>
      </c>
      <c r="Z4857">
        <v>3.7777730000000002E-2</v>
      </c>
      <c r="AA4857">
        <v>0.92584319999999998</v>
      </c>
      <c r="AB4857">
        <v>24</v>
      </c>
      <c r="AC4857">
        <v>17.952599999999901</v>
      </c>
      <c r="AD4857">
        <v>-1.121079563483</v>
      </c>
      <c r="AE4857">
        <v>-4.4173699999999902</v>
      </c>
      <c r="AF4857">
        <v>-7.0165880214673404</v>
      </c>
      <c r="AG4857">
        <v>-1.121079563483</v>
      </c>
      <c r="AH4857">
        <v>17.031636868464499</v>
      </c>
      <c r="AI4857">
        <v>93.482778998509303</v>
      </c>
      <c r="AJ4857">
        <v>112.390377331149</v>
      </c>
      <c r="AK4857">
        <v>18.454429854912799</v>
      </c>
      <c r="AL4857">
        <v>80.592436345445293</v>
      </c>
      <c r="AM4857">
        <v>103.338721495874</v>
      </c>
      <c r="AN4857">
        <v>1.0000000068791199</v>
      </c>
    </row>
    <row r="4858" spans="1:40" x14ac:dyDescent="0.25">
      <c r="A4858" t="str">
        <f>"20190304155516717"</f>
        <v>20190304155516717</v>
      </c>
      <c r="B4858" t="str">
        <f>"1551686116712216"</f>
        <v>1551686116712216</v>
      </c>
      <c r="C4858" t="s">
        <v>40</v>
      </c>
      <c r="D4858">
        <v>4.9506829999999997</v>
      </c>
      <c r="E4858">
        <v>0.47044269999999999</v>
      </c>
      <c r="F4858" t="s">
        <v>52</v>
      </c>
      <c r="G4858">
        <v>-209.82550000000001</v>
      </c>
      <c r="H4858">
        <v>6.2097600000000002</v>
      </c>
      <c r="I4858">
        <v>-80.065780000000004</v>
      </c>
      <c r="J4858">
        <v>-294.38979999999998</v>
      </c>
      <c r="K4858">
        <v>1.121041</v>
      </c>
      <c r="L4858">
        <v>-53.529789999999998</v>
      </c>
      <c r="M4858">
        <v>0.81615199999999999</v>
      </c>
      <c r="N4858">
        <v>-1.621709E-2</v>
      </c>
      <c r="O4858">
        <v>-0.5776097</v>
      </c>
      <c r="P4858">
        <v>0.91415950000000001</v>
      </c>
      <c r="Q4858">
        <v>0.15299670000000001</v>
      </c>
      <c r="R4858">
        <v>-0.37537290000000001</v>
      </c>
      <c r="S4858">
        <v>2.8847960000000001</v>
      </c>
      <c r="T4858">
        <v>0.17319909999999999</v>
      </c>
      <c r="U4858">
        <v>-0.90722659999999999</v>
      </c>
      <c r="V4858">
        <v>-0.2259563</v>
      </c>
      <c r="W4858">
        <v>0.1628395</v>
      </c>
      <c r="X4858">
        <v>0.96043069999999997</v>
      </c>
      <c r="Y4858">
        <v>-0.30445090000000002</v>
      </c>
      <c r="Z4858">
        <v>-4.7623680000000002E-2</v>
      </c>
      <c r="AA4858">
        <v>0.95133670000000004</v>
      </c>
      <c r="AB4858">
        <v>24</v>
      </c>
      <c r="AC4858">
        <v>84.564299999999903</v>
      </c>
      <c r="AD4858">
        <v>5.0887190000000002</v>
      </c>
      <c r="AE4858">
        <v>-26.535990000000002</v>
      </c>
      <c r="AF4858">
        <v>-27.101991652591899</v>
      </c>
      <c r="AG4858">
        <v>5.0887190000000002</v>
      </c>
      <c r="AH4858">
        <v>84.078692280699002</v>
      </c>
      <c r="AI4858">
        <v>86.703144589426401</v>
      </c>
      <c r="AJ4858">
        <v>107.866248022113</v>
      </c>
      <c r="AK4858">
        <v>88.485250229801593</v>
      </c>
      <c r="AL4858">
        <v>80.628250825925406</v>
      </c>
      <c r="AM4858">
        <v>103.238971402812</v>
      </c>
      <c r="AN4858">
        <v>1.00000004088621</v>
      </c>
    </row>
    <row r="4859" spans="1:40" x14ac:dyDescent="0.25">
      <c r="A4859" t="str">
        <f>"20190304155516739"</f>
        <v>20190304155516739</v>
      </c>
      <c r="B4859" t="str">
        <f>"1551686116732709"</f>
        <v>1551686116732709</v>
      </c>
      <c r="C4859" t="s">
        <v>40</v>
      </c>
      <c r="D4859">
        <v>4.9597989999999896</v>
      </c>
      <c r="E4859">
        <v>0.47465649999999998</v>
      </c>
      <c r="F4859" t="s">
        <v>52</v>
      </c>
      <c r="G4859">
        <v>-206.94280000000001</v>
      </c>
      <c r="H4859">
        <v>2.6487120000000002</v>
      </c>
      <c r="I4859">
        <v>-81.675439999999995</v>
      </c>
      <c r="J4859">
        <v>-294.18799999999999</v>
      </c>
      <c r="K4859">
        <v>1.1210020000000001</v>
      </c>
      <c r="L4859">
        <v>-53.64969</v>
      </c>
      <c r="M4859">
        <v>0.82571079999999997</v>
      </c>
      <c r="N4859">
        <v>-1.6207329999999999E-2</v>
      </c>
      <c r="O4859">
        <v>-0.56386080000000005</v>
      </c>
      <c r="P4859">
        <v>0.91980110000000004</v>
      </c>
      <c r="Q4859">
        <v>0.1515185</v>
      </c>
      <c r="R4859">
        <v>-0.36195060000000001</v>
      </c>
      <c r="S4859">
        <v>2.8911440000000002</v>
      </c>
      <c r="T4859">
        <v>5.0507429999999999E-2</v>
      </c>
      <c r="U4859">
        <v>-0.93054199999999998</v>
      </c>
      <c r="V4859">
        <v>-0.22400919999999999</v>
      </c>
      <c r="W4859">
        <v>0.16143450000000001</v>
      </c>
      <c r="X4859">
        <v>0.96112370000000003</v>
      </c>
      <c r="Y4859">
        <v>-0.28350940000000002</v>
      </c>
      <c r="Z4859">
        <v>-1.856433E-2</v>
      </c>
      <c r="AA4859">
        <v>0.95878980000000003</v>
      </c>
      <c r="AB4859">
        <v>24</v>
      </c>
      <c r="AC4859">
        <v>87.245199999999897</v>
      </c>
      <c r="AD4859">
        <v>1.5277099999999899</v>
      </c>
      <c r="AE4859">
        <v>-28.025749999999999</v>
      </c>
      <c r="AF4859">
        <v>-26.0491661254622</v>
      </c>
      <c r="AG4859">
        <v>1.5277099999999899</v>
      </c>
      <c r="AH4859">
        <v>87.829053734530405</v>
      </c>
      <c r="AI4859">
        <v>89.044616842775497</v>
      </c>
      <c r="AJ4859">
        <v>106.519798271966</v>
      </c>
      <c r="AK4859">
        <v>91.623335638793804</v>
      </c>
      <c r="AL4859">
        <v>80.709830397978706</v>
      </c>
      <c r="AM4859">
        <v>103.11971823296</v>
      </c>
      <c r="AN4859">
        <v>0.99999999308829002</v>
      </c>
    </row>
    <row r="4860" spans="1:40" x14ac:dyDescent="0.25">
      <c r="A4860" t="str">
        <f>"20190304155516761"</f>
        <v>20190304155516761</v>
      </c>
      <c r="B4860" t="str">
        <f>"1551686116753204"</f>
        <v>1551686116753204</v>
      </c>
      <c r="C4860" t="s">
        <v>40</v>
      </c>
      <c r="D4860">
        <v>4.9353499999999997</v>
      </c>
      <c r="E4860">
        <v>0.47711979999999998</v>
      </c>
      <c r="F4860" t="s">
        <v>52</v>
      </c>
      <c r="G4860">
        <v>-206.94280000000001</v>
      </c>
      <c r="H4860">
        <v>0.54734519999999998</v>
      </c>
      <c r="I4860">
        <v>-81.419139999999999</v>
      </c>
      <c r="J4860">
        <v>-293.9896</v>
      </c>
      <c r="K4860">
        <v>1.120957</v>
      </c>
      <c r="L4860">
        <v>-53.763240000000003</v>
      </c>
      <c r="M4860">
        <v>0.83479459999999905</v>
      </c>
      <c r="N4860">
        <v>-1.6196619999999998E-2</v>
      </c>
      <c r="O4860">
        <v>-0.55032320000000001</v>
      </c>
      <c r="P4860">
        <v>0.92521200000000003</v>
      </c>
      <c r="Q4860">
        <v>0.15063799999999999</v>
      </c>
      <c r="R4860">
        <v>-0.348269</v>
      </c>
      <c r="S4860">
        <v>2.9013059999999999</v>
      </c>
      <c r="T4860">
        <v>-1.9076590000000001E-2</v>
      </c>
      <c r="U4860">
        <v>-0.92346189999999995</v>
      </c>
      <c r="V4860">
        <v>-0.22262870000000001</v>
      </c>
      <c r="W4860">
        <v>0.16061</v>
      </c>
      <c r="X4860">
        <v>0.96158250000000001</v>
      </c>
      <c r="Y4860">
        <v>-0.27119539999999998</v>
      </c>
      <c r="Z4860">
        <v>-2.8743810000000001E-3</v>
      </c>
      <c r="AA4860">
        <v>0.96252000000000004</v>
      </c>
      <c r="AB4860">
        <v>24</v>
      </c>
      <c r="AC4860">
        <v>87.046799999999905</v>
      </c>
      <c r="AD4860">
        <v>-0.57361180000000001</v>
      </c>
      <c r="AE4860">
        <v>-27.6558999999999</v>
      </c>
      <c r="AF4860">
        <v>-24.8191546253491</v>
      </c>
      <c r="AG4860">
        <v>-0.57361180000000001</v>
      </c>
      <c r="AH4860">
        <v>87.893945961427093</v>
      </c>
      <c r="AI4860">
        <v>90.359846420253604</v>
      </c>
      <c r="AJ4860">
        <v>105.768414452949</v>
      </c>
      <c r="AK4860">
        <v>91.332717048625895</v>
      </c>
      <c r="AL4860">
        <v>80.7576955026327</v>
      </c>
      <c r="AM4860">
        <v>103.03562743891401</v>
      </c>
      <c r="AN4860">
        <v>1.00000000723497</v>
      </c>
    </row>
    <row r="4861" spans="1:40" x14ac:dyDescent="0.25">
      <c r="A4861" t="str">
        <f>"20190304155516785"</f>
        <v>20190304155516785</v>
      </c>
      <c r="B4861" t="str">
        <f>"1551686116772724"</f>
        <v>1551686116772724</v>
      </c>
      <c r="C4861" t="s">
        <v>40</v>
      </c>
      <c r="D4861">
        <v>4.9087779999999999</v>
      </c>
      <c r="E4861">
        <v>0.47926940000000001</v>
      </c>
      <c r="F4861" t="s">
        <v>94</v>
      </c>
      <c r="G4861">
        <v>-240.2321</v>
      </c>
      <c r="H4861">
        <v>4.0915100000000003E-2</v>
      </c>
      <c r="I4861">
        <v>-70.383679999999998</v>
      </c>
      <c r="J4861">
        <v>-293.78339999999997</v>
      </c>
      <c r="K4861">
        <v>1.1209039999999999</v>
      </c>
      <c r="L4861">
        <v>-53.876370000000001</v>
      </c>
      <c r="M4861">
        <v>0.84389210000000003</v>
      </c>
      <c r="N4861">
        <v>-1.6183409999999999E-2</v>
      </c>
      <c r="O4861">
        <v>-0.53626879999999999</v>
      </c>
      <c r="P4861">
        <v>0.93015970000000003</v>
      </c>
      <c r="Q4861">
        <v>0.14990809999999999</v>
      </c>
      <c r="R4861">
        <v>-0.33515729999999999</v>
      </c>
      <c r="S4861">
        <v>2.9130250000000002</v>
      </c>
      <c r="T4861">
        <v>-5.8525559999999997E-2</v>
      </c>
      <c r="U4861">
        <v>-0.90063479999999996</v>
      </c>
      <c r="V4861">
        <v>-0.2201361</v>
      </c>
      <c r="W4861">
        <v>0.1599698</v>
      </c>
      <c r="X4861">
        <v>0.96226279999999997</v>
      </c>
      <c r="Y4861">
        <v>-0.26302140000000002</v>
      </c>
      <c r="Z4861">
        <v>5.6107800000000001E-3</v>
      </c>
      <c r="AA4861">
        <v>0.96477369999999996</v>
      </c>
      <c r="AB4861">
        <v>24</v>
      </c>
      <c r="AC4861">
        <v>53.551299999999898</v>
      </c>
      <c r="AD4861">
        <v>-1.0799889</v>
      </c>
      <c r="AE4861">
        <v>-16.50731</v>
      </c>
      <c r="AF4861">
        <v>-14.7839484765846</v>
      </c>
      <c r="AG4861">
        <v>-1.0799889</v>
      </c>
      <c r="AH4861">
        <v>54.030884034564103</v>
      </c>
      <c r="AI4861">
        <v>91.104506981477897</v>
      </c>
      <c r="AJ4861">
        <v>105.30273403654699</v>
      </c>
      <c r="AK4861">
        <v>56.027385608637402</v>
      </c>
      <c r="AL4861">
        <v>80.794856391109903</v>
      </c>
      <c r="AM4861">
        <v>102.885770459835</v>
      </c>
      <c r="AN4861">
        <v>0.99999996784954404</v>
      </c>
    </row>
    <row r="4862" spans="1:40" x14ac:dyDescent="0.25">
      <c r="A4862" t="str">
        <f>"20190304155516806"</f>
        <v>20190304155516806</v>
      </c>
      <c r="B4862" t="str">
        <f>"1551686116802981"</f>
        <v>1551686116802981</v>
      </c>
      <c r="C4862" t="s">
        <v>40</v>
      </c>
      <c r="D4862">
        <v>4.9266019999999999</v>
      </c>
      <c r="E4862">
        <v>0.48285240000000001</v>
      </c>
      <c r="F4862" t="s">
        <v>95</v>
      </c>
      <c r="G4862">
        <v>-255.20259999999999</v>
      </c>
      <c r="H4862" s="1">
        <v>-2.4707260000000002E-6</v>
      </c>
      <c r="I4862">
        <v>-65.449559999999906</v>
      </c>
      <c r="J4862">
        <v>-293.58710000000002</v>
      </c>
      <c r="K4862">
        <v>1.1208499999999999</v>
      </c>
      <c r="L4862">
        <v>-53.980159999999998</v>
      </c>
      <c r="M4862">
        <v>0.85225280000000003</v>
      </c>
      <c r="N4862">
        <v>-1.6168060000000001E-2</v>
      </c>
      <c r="O4862">
        <v>-0.52288049999999997</v>
      </c>
      <c r="P4862">
        <v>0.93464849999999999</v>
      </c>
      <c r="Q4862">
        <v>0.14963000000000001</v>
      </c>
      <c r="R4862">
        <v>-0.3225575</v>
      </c>
      <c r="S4862">
        <v>2.923035</v>
      </c>
      <c r="T4862">
        <v>-8.4924340000000001E-2</v>
      </c>
      <c r="U4862">
        <v>-0.87683109999999997</v>
      </c>
      <c r="V4862">
        <v>-0.21793889999999999</v>
      </c>
      <c r="W4862">
        <v>0.1597684</v>
      </c>
      <c r="X4862">
        <v>0.96279630000000005</v>
      </c>
      <c r="Y4862">
        <v>-0.25581920000000002</v>
      </c>
      <c r="Z4862">
        <v>1.0972010000000001E-2</v>
      </c>
      <c r="AA4862">
        <v>0.96666229999999997</v>
      </c>
      <c r="AB4862">
        <v>24</v>
      </c>
      <c r="AC4862">
        <v>38.384500000000003</v>
      </c>
      <c r="AD4862">
        <v>-1.1208524707259999</v>
      </c>
      <c r="AE4862">
        <v>-11.469399999999901</v>
      </c>
      <c r="AF4862">
        <v>-10.288968812596901</v>
      </c>
      <c r="AG4862">
        <v>-1.1208524707259999</v>
      </c>
      <c r="AH4862">
        <v>38.685196445926003</v>
      </c>
      <c r="AI4862">
        <v>91.603877403867301</v>
      </c>
      <c r="AJ4862">
        <v>104.89396087586699</v>
      </c>
      <c r="AK4862">
        <v>40.045768984345997</v>
      </c>
      <c r="AL4862">
        <v>80.8065465079018</v>
      </c>
      <c r="AM4862">
        <v>102.754548038556</v>
      </c>
      <c r="AN4862">
        <v>1.00000001053273</v>
      </c>
    </row>
    <row r="4863" spans="1:40" x14ac:dyDescent="0.25">
      <c r="A4863" t="str">
        <f>"20190304155516830"</f>
        <v>20190304155516830</v>
      </c>
      <c r="B4863" t="str">
        <f>"1551686116822500"</f>
        <v>1551686116822500</v>
      </c>
      <c r="C4863" t="s">
        <v>40</v>
      </c>
      <c r="D4863">
        <v>4.9024179999999999</v>
      </c>
      <c r="E4863">
        <v>0.48475180000000001</v>
      </c>
      <c r="F4863" t="s">
        <v>96</v>
      </c>
      <c r="G4863">
        <v>-262.98289999999997</v>
      </c>
      <c r="H4863" s="1">
        <v>-9.8823600000000006E-7</v>
      </c>
      <c r="I4863">
        <v>-63.026870000000002</v>
      </c>
      <c r="J4863">
        <v>-293.37970000000001</v>
      </c>
      <c r="K4863">
        <v>1.120789</v>
      </c>
      <c r="L4863">
        <v>-54.085479999999997</v>
      </c>
      <c r="M4863">
        <v>0.86076659999999905</v>
      </c>
      <c r="N4863">
        <v>-1.6139830000000001E-2</v>
      </c>
      <c r="O4863">
        <v>-0.50874439999999999</v>
      </c>
      <c r="P4863">
        <v>0.939114</v>
      </c>
      <c r="Q4863">
        <v>0.14864289999999999</v>
      </c>
      <c r="R4863">
        <v>-0.30979099999999998</v>
      </c>
      <c r="S4863">
        <v>2.928223</v>
      </c>
      <c r="T4863">
        <v>-0.107243699999999</v>
      </c>
      <c r="U4863">
        <v>-0.86560059999999905</v>
      </c>
      <c r="V4863">
        <v>-0.2151941</v>
      </c>
      <c r="W4863">
        <v>0.15886449999999999</v>
      </c>
      <c r="X4863">
        <v>0.96356299999999995</v>
      </c>
      <c r="Y4863">
        <v>-0.2436151</v>
      </c>
      <c r="Z4863">
        <v>1.510894E-2</v>
      </c>
      <c r="AA4863">
        <v>0.96975429999999996</v>
      </c>
      <c r="AB4863">
        <v>23</v>
      </c>
      <c r="AC4863">
        <v>30.396799999999999</v>
      </c>
      <c r="AD4863">
        <v>-1.120789988236</v>
      </c>
      <c r="AE4863">
        <v>-8.9413899999999895</v>
      </c>
      <c r="AF4863">
        <v>-7.7590532042097404</v>
      </c>
      <c r="AG4863">
        <v>-1.120789988236</v>
      </c>
      <c r="AH4863">
        <v>30.679037891221999</v>
      </c>
      <c r="AI4863">
        <v>92.028430940036401</v>
      </c>
      <c r="AJ4863">
        <v>104.19308985649801</v>
      </c>
      <c r="AK4863">
        <v>31.664845534986</v>
      </c>
      <c r="AL4863">
        <v>80.859006497070297</v>
      </c>
      <c r="AM4863">
        <v>102.58936683828</v>
      </c>
      <c r="AN4863">
        <v>1.0000000425020199</v>
      </c>
    </row>
    <row r="4864" spans="1:40" x14ac:dyDescent="0.25">
      <c r="A4864" t="str">
        <f>"20190304155516851"</f>
        <v>20190304155516851</v>
      </c>
      <c r="B4864" t="str">
        <f>"1551686116842996"</f>
        <v>1551686116842996</v>
      </c>
      <c r="C4864" t="s">
        <v>40</v>
      </c>
      <c r="D4864">
        <v>4.8970209999999996</v>
      </c>
      <c r="E4864">
        <v>0.48632379999999997</v>
      </c>
      <c r="F4864" t="s">
        <v>96</v>
      </c>
      <c r="G4864">
        <v>-265.5018</v>
      </c>
      <c r="H4864" s="1">
        <v>-1.8127809999999999E-6</v>
      </c>
      <c r="I4864">
        <v>-62.064610000000002</v>
      </c>
      <c r="J4864">
        <v>-293.18009999999998</v>
      </c>
      <c r="K4864">
        <v>1.1207149999999999</v>
      </c>
      <c r="L4864">
        <v>-54.183010000000003</v>
      </c>
      <c r="M4864">
        <v>0.86866489999999996</v>
      </c>
      <c r="N4864">
        <v>-1.6089880000000001E-2</v>
      </c>
      <c r="O4864">
        <v>-0.495139</v>
      </c>
      <c r="P4864">
        <v>0.94312459999999998</v>
      </c>
      <c r="Q4864">
        <v>0.14767559999999999</v>
      </c>
      <c r="R4864">
        <v>-0.29783949999999998</v>
      </c>
      <c r="S4864">
        <v>2.9359739999999999</v>
      </c>
      <c r="T4864">
        <v>-0.1180365</v>
      </c>
      <c r="U4864">
        <v>-0.84033199999999997</v>
      </c>
      <c r="V4864">
        <v>-0.21229149999999999</v>
      </c>
      <c r="W4864">
        <v>0.15796299999999999</v>
      </c>
      <c r="X4864">
        <v>0.96435479999999996</v>
      </c>
      <c r="Y4864">
        <v>-0.23668230000000001</v>
      </c>
      <c r="Z4864">
        <v>1.6873010000000001E-2</v>
      </c>
      <c r="AA4864">
        <v>0.97144059999999999</v>
      </c>
      <c r="AB4864">
        <v>23</v>
      </c>
      <c r="AC4864">
        <v>27.678299999999901</v>
      </c>
      <c r="AD4864">
        <v>-1.1207168127810001</v>
      </c>
      <c r="AE4864">
        <v>-7.8815999999999899</v>
      </c>
      <c r="AF4864">
        <v>-6.8486374527498404</v>
      </c>
      <c r="AG4864">
        <v>-1.1207168127810001</v>
      </c>
      <c r="AH4864">
        <v>27.9069483272641</v>
      </c>
      <c r="AI4864">
        <v>92.233504821192497</v>
      </c>
      <c r="AJ4864">
        <v>103.788446592398</v>
      </c>
      <c r="AK4864">
        <v>28.756870589030498</v>
      </c>
      <c r="AL4864">
        <v>80.911319596382299</v>
      </c>
      <c r="AM4864">
        <v>102.414980676084</v>
      </c>
      <c r="AN4864">
        <v>1.00000008531214</v>
      </c>
    </row>
    <row r="4865" spans="1:40" x14ac:dyDescent="0.25">
      <c r="A4865" t="str">
        <f>"20190304155516874"</f>
        <v>20190304155516874</v>
      </c>
      <c r="B4865" t="str">
        <f>"1551686116862517"</f>
        <v>1551686116862517</v>
      </c>
      <c r="C4865" t="s">
        <v>40</v>
      </c>
      <c r="D4865">
        <v>4.9470489999999998</v>
      </c>
      <c r="E4865">
        <v>0.48767579999999999</v>
      </c>
      <c r="F4865" t="s">
        <v>46</v>
      </c>
      <c r="G4865">
        <v>-267.38839999999999</v>
      </c>
      <c r="H4865" s="1">
        <v>-2.4261299999999999E-6</v>
      </c>
      <c r="I4865">
        <v>-61.328069999999997</v>
      </c>
      <c r="J4865">
        <v>-292.97239999999999</v>
      </c>
      <c r="K4865">
        <v>1.1206370000000001</v>
      </c>
      <c r="L4865">
        <v>-54.280459999999998</v>
      </c>
      <c r="M4865">
        <v>0.87655939999999999</v>
      </c>
      <c r="N4865">
        <v>-1.6007339999999998E-2</v>
      </c>
      <c r="O4865">
        <v>-0.4810277</v>
      </c>
      <c r="P4865">
        <v>0.94688649999999996</v>
      </c>
      <c r="Q4865">
        <v>0.1462734</v>
      </c>
      <c r="R4865">
        <v>-0.28637459999999998</v>
      </c>
      <c r="S4865">
        <v>2.943451</v>
      </c>
      <c r="T4865">
        <v>-0.1279006</v>
      </c>
      <c r="U4865">
        <v>-0.81542969999999904</v>
      </c>
      <c r="V4865">
        <v>-0.2084307</v>
      </c>
      <c r="W4865">
        <v>0.15662509999999999</v>
      </c>
      <c r="X4865">
        <v>0.96541449999999995</v>
      </c>
      <c r="Y4865">
        <v>-0.2291752</v>
      </c>
      <c r="Z4865">
        <v>1.832723E-2</v>
      </c>
      <c r="AA4865">
        <v>0.97321270000000004</v>
      </c>
      <c r="AB4865">
        <v>23</v>
      </c>
      <c r="AC4865">
        <v>25.584</v>
      </c>
      <c r="AD4865">
        <v>-1.1206394261299999</v>
      </c>
      <c r="AE4865">
        <v>-7.0476099999999899</v>
      </c>
      <c r="AF4865">
        <v>-6.1188365961234599</v>
      </c>
      <c r="AG4865">
        <v>-1.1206394261299999</v>
      </c>
      <c r="AH4865">
        <v>25.7733338684891</v>
      </c>
      <c r="AI4865">
        <v>92.422436448358795</v>
      </c>
      <c r="AJ4865">
        <v>103.355314758731</v>
      </c>
      <c r="AK4865">
        <v>26.5134066598403</v>
      </c>
      <c r="AL4865">
        <v>80.988940807758794</v>
      </c>
      <c r="AM4865">
        <v>102.183029028001</v>
      </c>
      <c r="AN4865">
        <v>0.99999996773137401</v>
      </c>
    </row>
    <row r="4866" spans="1:40" x14ac:dyDescent="0.25">
      <c r="A4866" t="str">
        <f>"20190304155516895"</f>
        <v>20190304155516895</v>
      </c>
      <c r="B4866" t="str">
        <f>"1551686116892773"</f>
        <v>1551686116892773</v>
      </c>
      <c r="C4866" t="s">
        <v>40</v>
      </c>
      <c r="D4866">
        <v>4.9315759999999997</v>
      </c>
      <c r="E4866">
        <v>0.48995319999999998</v>
      </c>
      <c r="F4866" t="s">
        <v>46</v>
      </c>
      <c r="G4866">
        <v>-269.13979999999998</v>
      </c>
      <c r="H4866" s="1">
        <v>-2.9997569999999999E-6</v>
      </c>
      <c r="I4866">
        <v>-60.6601</v>
      </c>
      <c r="J4866">
        <v>-292.76749999999998</v>
      </c>
      <c r="K4866">
        <v>1.1205430000000001</v>
      </c>
      <c r="L4866">
        <v>-54.372709999999998</v>
      </c>
      <c r="M4866">
        <v>0.88403419999999899</v>
      </c>
      <c r="N4866">
        <v>-1.5898579999999999E-2</v>
      </c>
      <c r="O4866">
        <v>-0.46715220000000002</v>
      </c>
      <c r="P4866">
        <v>0.95008800000000004</v>
      </c>
      <c r="Q4866">
        <v>0.1464637</v>
      </c>
      <c r="R4866">
        <v>-0.27546659999999901</v>
      </c>
      <c r="S4866">
        <v>2.9507750000000001</v>
      </c>
      <c r="T4866">
        <v>-0.13874890000000001</v>
      </c>
      <c r="U4866">
        <v>-0.78988649999999905</v>
      </c>
      <c r="V4866">
        <v>-0.20426540000000001</v>
      </c>
      <c r="W4866">
        <v>0.156862</v>
      </c>
      <c r="X4866">
        <v>0.96626599999999996</v>
      </c>
      <c r="Y4866">
        <v>-0.22222339999999999</v>
      </c>
      <c r="Z4866">
        <v>1.988084E-2</v>
      </c>
      <c r="AA4866">
        <v>0.97479309999999997</v>
      </c>
      <c r="AB4866">
        <v>23</v>
      </c>
      <c r="AC4866">
        <v>23.627700000000001</v>
      </c>
      <c r="AD4866">
        <v>-1.120545999757</v>
      </c>
      <c r="AE4866">
        <v>-6.2873900000000003</v>
      </c>
      <c r="AF4866">
        <v>-5.46866932230055</v>
      </c>
      <c r="AG4866">
        <v>-1.120545999757</v>
      </c>
      <c r="AH4866">
        <v>23.777926304405099</v>
      </c>
      <c r="AI4866">
        <v>92.629545739006801</v>
      </c>
      <c r="AJ4866">
        <v>102.952183841961</v>
      </c>
      <c r="AK4866">
        <v>24.4244088328042</v>
      </c>
      <c r="AL4866">
        <v>80.975197961760799</v>
      </c>
      <c r="AM4866">
        <v>101.936400040653</v>
      </c>
      <c r="AN4866">
        <v>1.0000000117185699</v>
      </c>
    </row>
    <row r="4867" spans="1:40" x14ac:dyDescent="0.25">
      <c r="A4867" t="str">
        <f>"20190304155516918"</f>
        <v>20190304155516918</v>
      </c>
      <c r="B4867" t="str">
        <f>"1551686116912293"</f>
        <v>1551686116912293</v>
      </c>
      <c r="C4867" t="s">
        <v>40</v>
      </c>
      <c r="D4867">
        <v>4.95648</v>
      </c>
      <c r="E4867">
        <v>0.51375509999999902</v>
      </c>
      <c r="F4867" t="s">
        <v>46</v>
      </c>
      <c r="G4867">
        <v>-270.02839999999998</v>
      </c>
      <c r="H4867" s="1">
        <v>8.2027990000000004E-7</v>
      </c>
      <c r="I4867">
        <v>-60.323830000000001</v>
      </c>
      <c r="J4867">
        <v>-292.55459999999999</v>
      </c>
      <c r="K4867">
        <v>1.12043</v>
      </c>
      <c r="L4867">
        <v>-54.464689999999997</v>
      </c>
      <c r="M4867">
        <v>0.89146769999999997</v>
      </c>
      <c r="N4867">
        <v>-1.5769769999999999E-2</v>
      </c>
      <c r="O4867">
        <v>-0.45280959999999998</v>
      </c>
      <c r="P4867">
        <v>0.95323380000000002</v>
      </c>
      <c r="Q4867">
        <v>0.14672199999999999</v>
      </c>
      <c r="R4867">
        <v>-0.26423029999999997</v>
      </c>
      <c r="S4867">
        <v>2.9557500000000001</v>
      </c>
      <c r="T4867">
        <v>-0.14565420000000001</v>
      </c>
      <c r="U4867">
        <v>-0.77355959999999901</v>
      </c>
      <c r="V4867">
        <v>-0.2000007</v>
      </c>
      <c r="W4867">
        <v>0.1571582</v>
      </c>
      <c r="X4867">
        <v>0.96710960000000001</v>
      </c>
      <c r="Y4867">
        <v>-0.21186579999999999</v>
      </c>
      <c r="Z4867">
        <v>2.0493910000000001E-2</v>
      </c>
      <c r="AA4867">
        <v>0.97708390000000001</v>
      </c>
      <c r="AB4867">
        <v>23</v>
      </c>
      <c r="AC4867">
        <v>22.526199999999999</v>
      </c>
      <c r="AD4867">
        <v>-1.1204291797201</v>
      </c>
      <c r="AE4867">
        <v>-5.85914</v>
      </c>
      <c r="AF4867">
        <v>-4.9659577111099802</v>
      </c>
      <c r="AG4867">
        <v>-1.1204291797201</v>
      </c>
      <c r="AH4867">
        <v>22.684718397294201</v>
      </c>
      <c r="AI4867">
        <v>92.762309950968202</v>
      </c>
      <c r="AJ4867">
        <v>102.34794655977799</v>
      </c>
      <c r="AK4867">
        <v>23.2489257020586</v>
      </c>
      <c r="AL4867">
        <v>80.958013519777694</v>
      </c>
      <c r="AM4867">
        <v>101.68420247861</v>
      </c>
      <c r="AN4867">
        <v>0.99999997911994398</v>
      </c>
    </row>
    <row r="4868" spans="1:40" x14ac:dyDescent="0.25">
      <c r="A4868" t="str">
        <f>"20190304155516940"</f>
        <v>20190304155516940</v>
      </c>
      <c r="B4868" t="str">
        <f>"1551686116932792"</f>
        <v>1551686116932792</v>
      </c>
      <c r="C4868" t="s">
        <v>40</v>
      </c>
      <c r="D4868">
        <v>4.9275019999999996</v>
      </c>
      <c r="E4868">
        <v>0.51420310000000002</v>
      </c>
      <c r="F4868" t="s">
        <v>46</v>
      </c>
      <c r="G4868">
        <v>-274.6069</v>
      </c>
      <c r="H4868" s="1">
        <v>-1.184988E-6</v>
      </c>
      <c r="I4868">
        <v>-60.137720000000002</v>
      </c>
      <c r="J4868">
        <v>-292.34629999999999</v>
      </c>
      <c r="K4868">
        <v>1.1203069999999999</v>
      </c>
      <c r="L4868">
        <v>-54.550989999999999</v>
      </c>
      <c r="M4868">
        <v>0.89841610000000005</v>
      </c>
      <c r="N4868">
        <v>-1.5636959999999998E-2</v>
      </c>
      <c r="O4868">
        <v>-0.4388666</v>
      </c>
      <c r="P4868">
        <v>0.95603530000000003</v>
      </c>
      <c r="Q4868">
        <v>0.146849799999999</v>
      </c>
      <c r="R4868">
        <v>-0.2538339</v>
      </c>
      <c r="S4868">
        <v>2.9194339999999999</v>
      </c>
      <c r="T4868">
        <v>-0.18225250000000001</v>
      </c>
      <c r="U4868">
        <v>-0.92279049999999996</v>
      </c>
      <c r="V4868">
        <v>-0.19540070000000001</v>
      </c>
      <c r="W4868">
        <v>0.1573367</v>
      </c>
      <c r="X4868">
        <v>0.96802049999999995</v>
      </c>
      <c r="Y4868">
        <v>-0.14701339999999999</v>
      </c>
      <c r="Z4868">
        <v>2.4227700000000001E-2</v>
      </c>
      <c r="AA4868">
        <v>0.98883770000000004</v>
      </c>
      <c r="AB4868">
        <v>23</v>
      </c>
      <c r="AC4868">
        <v>17.7393999999999</v>
      </c>
      <c r="AD4868">
        <v>-1.1203081849880001</v>
      </c>
      <c r="AE4868">
        <v>-5.5867299999999798</v>
      </c>
      <c r="AF4868">
        <v>-2.75635890954262</v>
      </c>
      <c r="AG4868">
        <v>-1.1203081849880001</v>
      </c>
      <c r="AH4868">
        <v>18.324949267146899</v>
      </c>
      <c r="AI4868">
        <v>93.459640117950798</v>
      </c>
      <c r="AJ4868">
        <v>98.554054381878103</v>
      </c>
      <c r="AK4868">
        <v>18.5649231216041</v>
      </c>
      <c r="AL4868">
        <v>80.947657388783597</v>
      </c>
      <c r="AM4868">
        <v>101.412144193671</v>
      </c>
      <c r="AN4868">
        <v>0.99999997957381404</v>
      </c>
    </row>
    <row r="4869" spans="1:40" x14ac:dyDescent="0.25">
      <c r="A4869" t="str">
        <f>"20190304155516963"</f>
        <v>20190304155516963</v>
      </c>
      <c r="B4869" t="str">
        <f>"1551686116952309"</f>
        <v>1551686116952309</v>
      </c>
      <c r="C4869" t="s">
        <v>40</v>
      </c>
      <c r="D4869">
        <v>4.9495740000000001</v>
      </c>
      <c r="E4869">
        <v>0.51577099999999998</v>
      </c>
      <c r="F4869" t="s">
        <v>46</v>
      </c>
      <c r="G4869">
        <v>-274.23469999999998</v>
      </c>
      <c r="H4869" s="1">
        <v>-1.0376729999999999E-6</v>
      </c>
      <c r="I4869">
        <v>-60.081890000000001</v>
      </c>
      <c r="J4869">
        <v>-292.13589999999999</v>
      </c>
      <c r="K4869">
        <v>1.1201620000000001</v>
      </c>
      <c r="L4869">
        <v>-54.634340000000002</v>
      </c>
      <c r="M4869">
        <v>0.90509309999999998</v>
      </c>
      <c r="N4869">
        <v>-1.5494799999999901E-2</v>
      </c>
      <c r="O4869">
        <v>-0.42493130000000001</v>
      </c>
      <c r="P4869">
        <v>0.95841869999999996</v>
      </c>
      <c r="Q4869">
        <v>0.146900799999999</v>
      </c>
      <c r="R4869">
        <v>-0.24465120000000001</v>
      </c>
      <c r="S4869">
        <v>2.9283450000000002</v>
      </c>
      <c r="T4869">
        <v>-0.18113570000000001</v>
      </c>
      <c r="U4869">
        <v>-0.89425659999999896</v>
      </c>
      <c r="V4869">
        <v>-0.1896534</v>
      </c>
      <c r="W4869">
        <v>0.1574681</v>
      </c>
      <c r="X4869">
        <v>0.96914160000000005</v>
      </c>
      <c r="Y4869">
        <v>-0.14141020000000001</v>
      </c>
      <c r="Z4869">
        <v>2.3333320000000001E-2</v>
      </c>
      <c r="AA4869">
        <v>0.98967609999999995</v>
      </c>
      <c r="AB4869">
        <v>23</v>
      </c>
      <c r="AC4869">
        <v>17.901199999999999</v>
      </c>
      <c r="AD4869">
        <v>-1.1201630376729901</v>
      </c>
      <c r="AE4869">
        <v>-5.4475499999999997</v>
      </c>
      <c r="AF4869">
        <v>-2.6670034967592202</v>
      </c>
      <c r="AG4869">
        <v>-1.1201630376729901</v>
      </c>
      <c r="AH4869">
        <v>18.453177242877501</v>
      </c>
      <c r="AI4869">
        <v>93.438126714978694</v>
      </c>
      <c r="AJ4869">
        <v>98.223906930922496</v>
      </c>
      <c r="AK4869">
        <v>18.678528401342199</v>
      </c>
      <c r="AL4869">
        <v>80.940034130496798</v>
      </c>
      <c r="AM4869">
        <v>101.07240838539001</v>
      </c>
      <c r="AN4869">
        <v>1.00000002774986</v>
      </c>
    </row>
    <row r="4870" spans="1:40" x14ac:dyDescent="0.25">
      <c r="A4870" t="str">
        <f>"20190304155516985"</f>
        <v>20190304155516985</v>
      </c>
      <c r="B4870" t="str">
        <f>"1551686116972808"</f>
        <v>1551686116972808</v>
      </c>
      <c r="C4870" t="s">
        <v>40</v>
      </c>
      <c r="D4870">
        <v>4.8076499999999998</v>
      </c>
      <c r="E4870">
        <v>0.51701769999999903</v>
      </c>
      <c r="F4870" t="s">
        <v>46</v>
      </c>
      <c r="G4870">
        <v>-273.52769999999998</v>
      </c>
      <c r="H4870" s="1">
        <v>-7.0799269999999897E-7</v>
      </c>
      <c r="I4870">
        <v>-60.201149999999998</v>
      </c>
      <c r="J4870">
        <v>-291.92180000000002</v>
      </c>
      <c r="K4870">
        <v>1.1199920000000001</v>
      </c>
      <c r="L4870">
        <v>-54.715479999999999</v>
      </c>
      <c r="M4870">
        <v>0.91154469999999999</v>
      </c>
      <c r="N4870">
        <v>-1.5340629999999999E-2</v>
      </c>
      <c r="O4870">
        <v>-0.41091470000000002</v>
      </c>
      <c r="P4870">
        <v>0.96054510000000004</v>
      </c>
      <c r="Q4870">
        <v>0.14787529999999999</v>
      </c>
      <c r="R4870">
        <v>-0.23555519999999999</v>
      </c>
      <c r="S4870">
        <v>2.9332280000000002</v>
      </c>
      <c r="T4870">
        <v>-0.17657229999999999</v>
      </c>
      <c r="U4870">
        <v>-0.87750239999999902</v>
      </c>
      <c r="V4870">
        <v>-0.18376690000000001</v>
      </c>
      <c r="W4870">
        <v>0.1585162</v>
      </c>
      <c r="X4870">
        <v>0.97010430000000003</v>
      </c>
      <c r="Y4870">
        <v>-0.13183320000000001</v>
      </c>
      <c r="Z4870">
        <v>2.1780859999999999E-2</v>
      </c>
      <c r="AA4870">
        <v>0.99103260000000004</v>
      </c>
      <c r="AB4870">
        <v>23</v>
      </c>
      <c r="AC4870">
        <v>18.394100000000002</v>
      </c>
      <c r="AD4870">
        <v>-1.1199927079926999</v>
      </c>
      <c r="AE4870">
        <v>-5.4856699999999901</v>
      </c>
      <c r="AF4870">
        <v>-2.5495933537453799</v>
      </c>
      <c r="AG4870">
        <v>-1.1199927079926999</v>
      </c>
      <c r="AH4870">
        <v>18.9588778874468</v>
      </c>
      <c r="AI4870">
        <v>93.350716622814801</v>
      </c>
      <c r="AJ4870">
        <v>97.659195480053299</v>
      </c>
      <c r="AK4870">
        <v>19.162303115401901</v>
      </c>
      <c r="AL4870">
        <v>80.8792184022941</v>
      </c>
      <c r="AM4870">
        <v>100.726445519686</v>
      </c>
      <c r="AN4870">
        <v>1.0000000060382599</v>
      </c>
    </row>
    <row r="4871" spans="1:40" x14ac:dyDescent="0.25">
      <c r="A4871" t="str">
        <f>"20190304155517008"</f>
        <v>20190304155517008</v>
      </c>
      <c r="B4871" t="str">
        <f>"1551686117003062"</f>
        <v>1551686117003062</v>
      </c>
      <c r="C4871" t="s">
        <v>40</v>
      </c>
      <c r="D4871">
        <v>4.9523089999999996</v>
      </c>
      <c r="E4871">
        <v>0.51826170000000005</v>
      </c>
      <c r="F4871" t="s">
        <v>46</v>
      </c>
      <c r="G4871">
        <v>-273.4468</v>
      </c>
      <c r="H4871" s="1">
        <v>-6.91743E-7</v>
      </c>
      <c r="I4871">
        <v>-60.117789999999999</v>
      </c>
      <c r="J4871">
        <v>-291.70119999999997</v>
      </c>
      <c r="K4871">
        <v>1.119829</v>
      </c>
      <c r="L4871">
        <v>-54.795499999999997</v>
      </c>
      <c r="M4871">
        <v>0.91784849999999996</v>
      </c>
      <c r="N4871">
        <v>-1.5180920000000001E-2</v>
      </c>
      <c r="O4871">
        <v>-0.39664090000000002</v>
      </c>
      <c r="P4871">
        <v>0.96265889999999998</v>
      </c>
      <c r="Q4871">
        <v>0.14954010000000001</v>
      </c>
      <c r="R4871">
        <v>-0.22566849999999999</v>
      </c>
      <c r="S4871">
        <v>2.9398499999999999</v>
      </c>
      <c r="T4871">
        <v>-0.1782205</v>
      </c>
      <c r="U4871">
        <v>-0.85964969999999996</v>
      </c>
      <c r="V4871">
        <v>-0.17845939999999999</v>
      </c>
      <c r="W4871">
        <v>0.160227799999999</v>
      </c>
      <c r="X4871">
        <v>0.97081379999999995</v>
      </c>
      <c r="Y4871">
        <v>-0.1225219</v>
      </c>
      <c r="Z4871">
        <v>2.117871E-2</v>
      </c>
      <c r="AA4871">
        <v>0.99223980000000001</v>
      </c>
      <c r="AB4871">
        <v>23</v>
      </c>
      <c r="AC4871">
        <v>18.254399999999901</v>
      </c>
      <c r="AD4871">
        <v>-1.119829691743</v>
      </c>
      <c r="AE4871">
        <v>-5.3222899999999997</v>
      </c>
      <c r="AF4871">
        <v>-2.3475145759251399</v>
      </c>
      <c r="AG4871">
        <v>-1.119829691743</v>
      </c>
      <c r="AH4871">
        <v>18.802766202599301</v>
      </c>
      <c r="AI4871">
        <v>93.382122874851405</v>
      </c>
      <c r="AJ4871">
        <v>97.116521688788794</v>
      </c>
      <c r="AK4871">
        <v>18.981803394100901</v>
      </c>
      <c r="AL4871">
        <v>80.779881858912802</v>
      </c>
      <c r="AM4871">
        <v>100.416084305342</v>
      </c>
      <c r="AN4871">
        <v>1.00000006980581</v>
      </c>
    </row>
    <row r="4872" spans="1:40" x14ac:dyDescent="0.25">
      <c r="A4872" t="str">
        <f>"20190304155517030"</f>
        <v>20190304155517030</v>
      </c>
      <c r="B4872" t="str">
        <f>"1551686117022580"</f>
        <v>1551686117022580</v>
      </c>
      <c r="C4872" t="s">
        <v>40</v>
      </c>
      <c r="D4872">
        <v>5.0534499999999998</v>
      </c>
      <c r="E4872">
        <v>0.51916709999999899</v>
      </c>
      <c r="F4872" t="s">
        <v>46</v>
      </c>
      <c r="G4872">
        <v>-272.42590000000001</v>
      </c>
      <c r="H4872" s="1">
        <v>-2.1504430000000001E-7</v>
      </c>
      <c r="I4872">
        <v>-60.293039999999998</v>
      </c>
      <c r="J4872">
        <v>-291.49259999999998</v>
      </c>
      <c r="K4872">
        <v>1.119672</v>
      </c>
      <c r="L4872">
        <v>-54.86795</v>
      </c>
      <c r="M4872">
        <v>0.92349150000000002</v>
      </c>
      <c r="N4872">
        <v>-1.5030450000000001E-2</v>
      </c>
      <c r="O4872">
        <v>-0.38332470000000002</v>
      </c>
      <c r="P4872">
        <v>0.96454430000000002</v>
      </c>
      <c r="Q4872">
        <v>0.15077889999999999</v>
      </c>
      <c r="R4872">
        <v>-0.2166102</v>
      </c>
      <c r="S4872">
        <v>2.9460139999999999</v>
      </c>
      <c r="T4872">
        <v>-0.171154</v>
      </c>
      <c r="U4872">
        <v>-0.84024049999999995</v>
      </c>
      <c r="V4872">
        <v>-0.17342270000000001</v>
      </c>
      <c r="W4872">
        <v>0.1615084</v>
      </c>
      <c r="X4872">
        <v>0.97151410000000005</v>
      </c>
      <c r="Y4872">
        <v>-0.11483309999999999</v>
      </c>
      <c r="Z4872">
        <v>1.9409659999999999E-2</v>
      </c>
      <c r="AA4872">
        <v>0.99319519999999994</v>
      </c>
      <c r="AB4872">
        <v>23</v>
      </c>
      <c r="AC4872">
        <v>19.066699999999901</v>
      </c>
      <c r="AD4872">
        <v>-1.1196722150442999</v>
      </c>
      <c r="AE4872">
        <v>-5.42509</v>
      </c>
      <c r="AF4872">
        <v>-2.2916610012809402</v>
      </c>
      <c r="AG4872">
        <v>-1.1196722150442999</v>
      </c>
      <c r="AH4872">
        <v>19.627112781039799</v>
      </c>
      <c r="AI4872">
        <v>93.243042424037696</v>
      </c>
      <c r="AJ4872">
        <v>96.659698807325697</v>
      </c>
      <c r="AK4872">
        <v>19.792143192024199</v>
      </c>
      <c r="AL4872">
        <v>80.705540202525896</v>
      </c>
      <c r="AM4872">
        <v>100.121130359031</v>
      </c>
      <c r="AN4872">
        <v>1.0000000213223299</v>
      </c>
    </row>
    <row r="4873" spans="1:40" x14ac:dyDescent="0.25">
      <c r="A4873" t="str">
        <f>"20190304155517052"</f>
        <v>20190304155517052</v>
      </c>
      <c r="B4873" t="str">
        <f>"1551686117043076"</f>
        <v>1551686117043076</v>
      </c>
      <c r="C4873" t="s">
        <v>40</v>
      </c>
      <c r="D4873">
        <v>5.0746989999999998</v>
      </c>
      <c r="E4873">
        <v>0.51932210000000001</v>
      </c>
      <c r="F4873" t="s">
        <v>46</v>
      </c>
      <c r="G4873">
        <v>-271.49040000000002</v>
      </c>
      <c r="H4873" s="1">
        <v>1.9655749999999999E-7</v>
      </c>
      <c r="I4873">
        <v>-60.42756</v>
      </c>
      <c r="J4873">
        <v>-291.27550000000002</v>
      </c>
      <c r="K4873">
        <v>1.119502</v>
      </c>
      <c r="L4873">
        <v>-54.940089999999998</v>
      </c>
      <c r="M4873">
        <v>0.92903630000000004</v>
      </c>
      <c r="N4873">
        <v>-1.486907E-2</v>
      </c>
      <c r="O4873">
        <v>-0.36969010000000002</v>
      </c>
      <c r="P4873">
        <v>0.9664239</v>
      </c>
      <c r="Q4873">
        <v>0.1511604</v>
      </c>
      <c r="R4873">
        <v>-0.20778740000000001</v>
      </c>
      <c r="S4873">
        <v>2.9518430000000002</v>
      </c>
      <c r="T4873">
        <v>-0.16523660000000001</v>
      </c>
      <c r="U4873">
        <v>-0.82046509999999995</v>
      </c>
      <c r="V4873">
        <v>-0.16790359999999999</v>
      </c>
      <c r="W4873">
        <v>0.16193660000000001</v>
      </c>
      <c r="X4873">
        <v>0.9724119</v>
      </c>
      <c r="Y4873">
        <v>-0.1069518</v>
      </c>
      <c r="Z4873">
        <v>1.7855329999999999E-2</v>
      </c>
      <c r="AA4873">
        <v>0.99410379999999998</v>
      </c>
      <c r="AB4873">
        <v>23</v>
      </c>
      <c r="AC4873">
        <v>19.7851</v>
      </c>
      <c r="AD4873">
        <v>-1.1195018034424999</v>
      </c>
      <c r="AE4873">
        <v>-5.4874699999999903</v>
      </c>
      <c r="AF4873">
        <v>-2.20997133903245</v>
      </c>
      <c r="AG4873">
        <v>-1.1195018034424999</v>
      </c>
      <c r="AH4873">
        <v>20.3514889093241</v>
      </c>
      <c r="AI4873">
        <v>93.130208588038798</v>
      </c>
      <c r="AJ4873">
        <v>96.197473882848001</v>
      </c>
      <c r="AK4873">
        <v>20.501715987536201</v>
      </c>
      <c r="AL4873">
        <v>80.680678609478306</v>
      </c>
      <c r="AM4873">
        <v>99.796504145289404</v>
      </c>
      <c r="AN4873">
        <v>0.99999999228706404</v>
      </c>
    </row>
    <row r="4874" spans="1:40" x14ac:dyDescent="0.25">
      <c r="A4874" t="str">
        <f>"20190304155517074"</f>
        <v>20190304155517074</v>
      </c>
      <c r="B4874" t="str">
        <f>"1551686117062597"</f>
        <v>1551686117062597</v>
      </c>
      <c r="C4874" t="s">
        <v>40</v>
      </c>
      <c r="D4874">
        <v>5.0954379999999997</v>
      </c>
      <c r="E4874">
        <v>0.51980479999999996</v>
      </c>
      <c r="F4874" t="s">
        <v>46</v>
      </c>
      <c r="G4874">
        <v>-271.47919999999999</v>
      </c>
      <c r="H4874" s="1">
        <v>1.8354199999999999E-7</v>
      </c>
      <c r="I4874">
        <v>-60.258899999999997</v>
      </c>
      <c r="J4874">
        <v>-291.06310000000002</v>
      </c>
      <c r="K4874">
        <v>1.119313</v>
      </c>
      <c r="L4874">
        <v>-55.007629999999999</v>
      </c>
      <c r="M4874">
        <v>0.93413780000000002</v>
      </c>
      <c r="N4874">
        <v>-1.4702679999999999E-2</v>
      </c>
      <c r="O4874">
        <v>-0.35661009999999999</v>
      </c>
      <c r="P4874">
        <v>0.96818760000000004</v>
      </c>
      <c r="Q4874">
        <v>0.15078259999999999</v>
      </c>
      <c r="R4874">
        <v>-0.1996946</v>
      </c>
      <c r="S4874">
        <v>2.9594420000000001</v>
      </c>
      <c r="T4874">
        <v>-0.16736010000000001</v>
      </c>
      <c r="U4874">
        <v>-0.7951355</v>
      </c>
      <c r="V4874">
        <v>-0.16231039999999999</v>
      </c>
      <c r="W4874">
        <v>0.16160389999999999</v>
      </c>
      <c r="X4874">
        <v>0.97341639999999996</v>
      </c>
      <c r="Y4874">
        <v>-0.10157040000000001</v>
      </c>
      <c r="Z4874">
        <v>1.751571E-2</v>
      </c>
      <c r="AA4874">
        <v>0.99467410000000001</v>
      </c>
      <c r="AB4874">
        <v>23</v>
      </c>
      <c r="AC4874">
        <v>19.5839</v>
      </c>
      <c r="AD4874">
        <v>-1.119312816458</v>
      </c>
      <c r="AE4874">
        <v>-5.2512699999999901</v>
      </c>
      <c r="AF4874">
        <v>-2.07231555997501</v>
      </c>
      <c r="AG4874">
        <v>-1.119312816458</v>
      </c>
      <c r="AH4874">
        <v>20.1076147210015</v>
      </c>
      <c r="AI4874">
        <v>93.169392165461105</v>
      </c>
      <c r="AJ4874">
        <v>95.884199110486406</v>
      </c>
      <c r="AK4874">
        <v>20.245086384835101</v>
      </c>
      <c r="AL4874">
        <v>80.699995298462895</v>
      </c>
      <c r="AM4874">
        <v>99.466579201454394</v>
      </c>
      <c r="AN4874">
        <v>0.999999987116164</v>
      </c>
    </row>
    <row r="4875" spans="1:40" x14ac:dyDescent="0.25">
      <c r="A4875" t="str">
        <f>"20190304155517097"</f>
        <v>20190304155517097</v>
      </c>
      <c r="B4875" t="str">
        <f>"1551686117092853"</f>
        <v>1551686117092853</v>
      </c>
      <c r="C4875" t="s">
        <v>40</v>
      </c>
      <c r="D4875">
        <v>5.0531889999999997</v>
      </c>
      <c r="E4875">
        <v>0.52112630000000004</v>
      </c>
      <c r="F4875" t="s">
        <v>46</v>
      </c>
      <c r="G4875">
        <v>-271.60039999999998</v>
      </c>
      <c r="H4875" s="1">
        <v>9.4941359999999999E-8</v>
      </c>
      <c r="I4875">
        <v>-60.09319</v>
      </c>
      <c r="J4875">
        <v>-290.84190000000001</v>
      </c>
      <c r="K4875">
        <v>1.119084</v>
      </c>
      <c r="L4875">
        <v>-55.074890000000003</v>
      </c>
      <c r="M4875">
        <v>0.93911339999999999</v>
      </c>
      <c r="N4875">
        <v>-1.45241E-2</v>
      </c>
      <c r="O4875">
        <v>-0.34330050000000001</v>
      </c>
      <c r="P4875">
        <v>0.96988830000000004</v>
      </c>
      <c r="Q4875">
        <v>0.1504557</v>
      </c>
      <c r="R4875">
        <v>-0.1915211</v>
      </c>
      <c r="S4875">
        <v>2.965363</v>
      </c>
      <c r="T4875">
        <v>-0.17053969999999999</v>
      </c>
      <c r="U4875">
        <v>-0.77484129999999996</v>
      </c>
      <c r="V4875">
        <v>-0.15659690000000001</v>
      </c>
      <c r="W4875">
        <v>0.16132099999999999</v>
      </c>
      <c r="X4875">
        <v>0.97439869999999995</v>
      </c>
      <c r="Y4875">
        <v>-9.4291169999999994E-2</v>
      </c>
      <c r="Z4875">
        <v>1.721514E-2</v>
      </c>
      <c r="AA4875">
        <v>0.99539580000000005</v>
      </c>
      <c r="AB4875">
        <v>23</v>
      </c>
      <c r="AC4875">
        <v>19.241499999999998</v>
      </c>
      <c r="AD4875">
        <v>-1.1190839050586401</v>
      </c>
      <c r="AE4875">
        <v>-5.0182999999999902</v>
      </c>
      <c r="AF4875">
        <v>-1.88708664444642</v>
      </c>
      <c r="AG4875">
        <v>-1.1190839050586401</v>
      </c>
      <c r="AH4875">
        <v>19.7323265893566</v>
      </c>
      <c r="AI4875">
        <v>93.231240176031207</v>
      </c>
      <c r="AJ4875">
        <v>95.462826280872406</v>
      </c>
      <c r="AK4875">
        <v>19.853920454641699</v>
      </c>
      <c r="AL4875">
        <v>80.716419344745304</v>
      </c>
      <c r="AM4875">
        <v>99.130010764175594</v>
      </c>
      <c r="AN4875">
        <v>0.99999994034614803</v>
      </c>
    </row>
    <row r="4876" spans="1:40" x14ac:dyDescent="0.25">
      <c r="A4876" t="str">
        <f>"20190304155517120"</f>
        <v>20190304155517120</v>
      </c>
      <c r="B4876" t="str">
        <f>"1551686117112373"</f>
        <v>1551686117112373</v>
      </c>
      <c r="C4876" t="s">
        <v>40</v>
      </c>
      <c r="D4876">
        <v>5.0802329999999998</v>
      </c>
      <c r="E4876">
        <v>0.52229899999999996</v>
      </c>
      <c r="F4876" t="s">
        <v>46</v>
      </c>
      <c r="G4876">
        <v>-271.52229999999997</v>
      </c>
      <c r="H4876" s="1">
        <v>1.142826E-7</v>
      </c>
      <c r="I4876">
        <v>-60.029150000000001</v>
      </c>
      <c r="J4876">
        <v>-290.62119999999999</v>
      </c>
      <c r="K4876">
        <v>1.1188260000000001</v>
      </c>
      <c r="L4876">
        <v>-55.139040000000001</v>
      </c>
      <c r="M4876">
        <v>0.94374360000000002</v>
      </c>
      <c r="N4876">
        <v>-1.4344539999999999E-2</v>
      </c>
      <c r="O4876">
        <v>-0.3303664</v>
      </c>
      <c r="P4876">
        <v>0.97123179999999998</v>
      </c>
      <c r="Q4876">
        <v>0.15127070000000001</v>
      </c>
      <c r="R4876">
        <v>-0.1839181</v>
      </c>
      <c r="S4876">
        <v>2.969452</v>
      </c>
      <c r="T4876">
        <v>-0.1720043</v>
      </c>
      <c r="U4876">
        <v>-0.7614746</v>
      </c>
      <c r="V4876">
        <v>-0.15070140000000001</v>
      </c>
      <c r="W4876">
        <v>0.16218589999999999</v>
      </c>
      <c r="X4876">
        <v>0.97518450000000001</v>
      </c>
      <c r="Y4876">
        <v>-8.5160609999999998E-2</v>
      </c>
      <c r="Z4876">
        <v>1.6619849999999999E-2</v>
      </c>
      <c r="AA4876">
        <v>0.99622860000000002</v>
      </c>
      <c r="AB4876">
        <v>23</v>
      </c>
      <c r="AC4876">
        <v>19.0989</v>
      </c>
      <c r="AD4876">
        <v>-1.1188258857173901</v>
      </c>
      <c r="AE4876">
        <v>-4.89011</v>
      </c>
      <c r="AF4876">
        <v>-1.6893587617916499</v>
      </c>
      <c r="AG4876">
        <v>-1.1188258857173901</v>
      </c>
      <c r="AH4876">
        <v>19.578961253438099</v>
      </c>
      <c r="AI4876">
        <v>93.258488894997001</v>
      </c>
      <c r="AJ4876">
        <v>94.9315173090191</v>
      </c>
      <c r="AK4876">
        <v>19.683531902385401</v>
      </c>
      <c r="AL4876">
        <v>80.666203431804902</v>
      </c>
      <c r="AM4876">
        <v>98.784786180634697</v>
      </c>
      <c r="AN4876">
        <v>0.99999999358050995</v>
      </c>
    </row>
    <row r="4877" spans="1:40" x14ac:dyDescent="0.25">
      <c r="A4877" t="str">
        <f>"20190304155517142"</f>
        <v>20190304155517142</v>
      </c>
      <c r="B4877" t="str">
        <f>"1551686117132885"</f>
        <v>1551686117132885</v>
      </c>
      <c r="C4877" t="s">
        <v>40</v>
      </c>
      <c r="D4877">
        <v>5.0534749999999997</v>
      </c>
      <c r="E4877">
        <v>0.52283659999999998</v>
      </c>
      <c r="F4877" t="s">
        <v>46</v>
      </c>
      <c r="G4877">
        <v>-270.90249999999997</v>
      </c>
      <c r="H4877" s="1">
        <v>3.9703219999999999E-7</v>
      </c>
      <c r="I4877">
        <v>-60.105460000000001</v>
      </c>
      <c r="J4877">
        <v>-290.40589999999997</v>
      </c>
      <c r="K4877">
        <v>1.118544</v>
      </c>
      <c r="L4877">
        <v>-55.198970000000003</v>
      </c>
      <c r="M4877">
        <v>0.94794460000000003</v>
      </c>
      <c r="N4877">
        <v>-1.4169950000000001E-2</v>
      </c>
      <c r="O4877">
        <v>-0.31812040000000003</v>
      </c>
      <c r="P4877">
        <v>0.97242470000000003</v>
      </c>
      <c r="Q4877">
        <v>0.1509221</v>
      </c>
      <c r="R4877">
        <v>-0.17780119999999999</v>
      </c>
      <c r="S4877">
        <v>2.973328</v>
      </c>
      <c r="T4877">
        <v>-0.1687043</v>
      </c>
      <c r="U4877">
        <v>-0.74887079999999995</v>
      </c>
      <c r="V4877">
        <v>-0.1440969</v>
      </c>
      <c r="W4877">
        <v>0.16191120000000001</v>
      </c>
      <c r="X4877">
        <v>0.97622790000000004</v>
      </c>
      <c r="Y4877">
        <v>-7.6579060000000004E-2</v>
      </c>
      <c r="Z4877">
        <v>1.549794E-2</v>
      </c>
      <c r="AA4877">
        <v>0.99694309999999997</v>
      </c>
      <c r="AB4877">
        <v>23</v>
      </c>
      <c r="AC4877">
        <v>19.503399999999999</v>
      </c>
      <c r="AD4877">
        <v>-1.1185436029678</v>
      </c>
      <c r="AE4877">
        <v>-4.9064899999999998</v>
      </c>
      <c r="AF4877">
        <v>-1.5487136430077999</v>
      </c>
      <c r="AG4877">
        <v>-1.1185436029678</v>
      </c>
      <c r="AH4877">
        <v>19.989172699828099</v>
      </c>
      <c r="AI4877">
        <v>93.193237036713697</v>
      </c>
      <c r="AJ4877">
        <v>94.430290422213503</v>
      </c>
      <c r="AK4877">
        <v>20.080255948651001</v>
      </c>
      <c r="AL4877">
        <v>80.682153767330206</v>
      </c>
      <c r="AM4877">
        <v>98.396559730934001</v>
      </c>
      <c r="AN4877">
        <v>1.00000003300672</v>
      </c>
    </row>
    <row r="4878" spans="1:40" x14ac:dyDescent="0.25">
      <c r="A4878" t="str">
        <f>"20190304155517164"</f>
        <v>20190304155517164</v>
      </c>
      <c r="B4878" t="str">
        <f>"1551686117152388"</f>
        <v>1551686117152388</v>
      </c>
      <c r="C4878" t="s">
        <v>40</v>
      </c>
      <c r="D4878">
        <v>5.0244689999999999</v>
      </c>
      <c r="E4878">
        <v>0.53936870000000003</v>
      </c>
      <c r="F4878" t="s">
        <v>46</v>
      </c>
      <c r="G4878">
        <v>-270.77280000000002</v>
      </c>
      <c r="H4878" s="1">
        <v>4.4008860000000002E-7</v>
      </c>
      <c r="I4878">
        <v>-60.048479999999998</v>
      </c>
      <c r="J4878">
        <v>-290.18549999999999</v>
      </c>
      <c r="K4878">
        <v>1.1182379999999901</v>
      </c>
      <c r="L4878">
        <v>-55.257599999999996</v>
      </c>
      <c r="M4878">
        <v>0.95191479999999995</v>
      </c>
      <c r="N4878">
        <v>-1.3995E-2</v>
      </c>
      <c r="O4878">
        <v>-0.30604340000000002</v>
      </c>
      <c r="P4878">
        <v>0.97343299999999999</v>
      </c>
      <c r="Q4878">
        <v>0.15110179999999901</v>
      </c>
      <c r="R4878">
        <v>-0.17203669999999999</v>
      </c>
      <c r="S4878">
        <v>2.9769290000000002</v>
      </c>
      <c r="T4878">
        <v>-0.169602799999999</v>
      </c>
      <c r="U4878">
        <v>-0.735321</v>
      </c>
      <c r="V4878">
        <v>-0.13732349999999999</v>
      </c>
      <c r="W4878">
        <v>0.1621676</v>
      </c>
      <c r="X4878">
        <v>0.97716119999999995</v>
      </c>
      <c r="Y4878">
        <v>-6.8475289999999994E-2</v>
      </c>
      <c r="Z4878">
        <v>1.489331E-2</v>
      </c>
      <c r="AA4878">
        <v>0.99754169999999998</v>
      </c>
      <c r="AB4878">
        <v>23</v>
      </c>
      <c r="AC4878">
        <v>19.412699999999901</v>
      </c>
      <c r="AD4878">
        <v>-1.1182375599113901</v>
      </c>
      <c r="AE4878">
        <v>-4.7908799999999996</v>
      </c>
      <c r="AF4878">
        <v>-1.3764491496564999</v>
      </c>
      <c r="AG4878">
        <v>-1.1182375599113901</v>
      </c>
      <c r="AH4878">
        <v>19.8852109362055</v>
      </c>
      <c r="AI4878">
        <v>93.210950166200604</v>
      </c>
      <c r="AJ4878">
        <v>93.959682969859202</v>
      </c>
      <c r="AK4878">
        <v>19.964134879312301</v>
      </c>
      <c r="AL4878">
        <v>80.667266471588604</v>
      </c>
      <c r="AM4878">
        <v>97.999565840920994</v>
      </c>
      <c r="AN4878">
        <v>1.0000000424637201</v>
      </c>
    </row>
    <row r="4879" spans="1:40" x14ac:dyDescent="0.25">
      <c r="A4879" t="str">
        <f>"20190304155517187"</f>
        <v>20190304155517187</v>
      </c>
      <c r="B4879" t="str">
        <f>"1551686117182645"</f>
        <v>1551686117182645</v>
      </c>
      <c r="C4879" t="s">
        <v>40</v>
      </c>
      <c r="D4879">
        <v>4.9679200000000003</v>
      </c>
      <c r="E4879">
        <v>0.54197200000000001</v>
      </c>
      <c r="F4879" t="s">
        <v>46</v>
      </c>
      <c r="G4879">
        <v>-270.58260000000001</v>
      </c>
      <c r="H4879" s="1">
        <v>4.8599879999999997E-7</v>
      </c>
      <c r="I4879">
        <v>-60.877400000000002</v>
      </c>
      <c r="J4879">
        <v>-289.96089999999998</v>
      </c>
      <c r="K4879">
        <v>1.117953</v>
      </c>
      <c r="L4879">
        <v>-55.31476</v>
      </c>
      <c r="M4879">
        <v>0.95566839999999997</v>
      </c>
      <c r="N4879">
        <v>-1.382835E-2</v>
      </c>
      <c r="O4879">
        <v>-0.2941203</v>
      </c>
      <c r="P4879">
        <v>0.97417129999999996</v>
      </c>
      <c r="Q4879">
        <v>0.152589</v>
      </c>
      <c r="R4879">
        <v>-0.16645409999999999</v>
      </c>
      <c r="S4879">
        <v>2.9581599999999999</v>
      </c>
      <c r="T4879">
        <v>-0.16874690000000001</v>
      </c>
      <c r="U4879">
        <v>-0.84805299999999995</v>
      </c>
      <c r="V4879">
        <v>-0.13053609999999999</v>
      </c>
      <c r="W4879">
        <v>0.16372149999999999</v>
      </c>
      <c r="X4879">
        <v>0.97783209999999998</v>
      </c>
      <c r="Y4879">
        <v>-1.9097409999999999E-2</v>
      </c>
      <c r="Z4879">
        <v>1.267676E-2</v>
      </c>
      <c r="AA4879">
        <v>0.99973730000000005</v>
      </c>
      <c r="AB4879">
        <v>23</v>
      </c>
      <c r="AC4879">
        <v>19.3782999999999</v>
      </c>
      <c r="AD4879">
        <v>-1.1179525140012001</v>
      </c>
      <c r="AE4879">
        <v>-5.56264</v>
      </c>
      <c r="AF4879">
        <v>-0.38237305298599</v>
      </c>
      <c r="AG4879">
        <v>-1.1179525140012001</v>
      </c>
      <c r="AH4879">
        <v>20.095450029085999</v>
      </c>
      <c r="AI4879">
        <v>93.183628405926598</v>
      </c>
      <c r="AJ4879">
        <v>91.090083508448899</v>
      </c>
      <c r="AK4879">
        <v>20.130154963305699</v>
      </c>
      <c r="AL4879">
        <v>80.577028229824805</v>
      </c>
      <c r="AM4879">
        <v>97.603767444387501</v>
      </c>
      <c r="AN4879">
        <v>1.00000000937793</v>
      </c>
    </row>
    <row r="4880" spans="1:40" x14ac:dyDescent="0.25">
      <c r="A4880" t="str">
        <f>"20190304155517210"</f>
        <v>20190304155517210</v>
      </c>
      <c r="B4880" t="str">
        <f>"1551686117203140"</f>
        <v>1551686117203140</v>
      </c>
      <c r="C4880" t="s">
        <v>40</v>
      </c>
      <c r="D4880">
        <v>4.956842</v>
      </c>
      <c r="E4880">
        <v>0.54323429999999995</v>
      </c>
      <c r="F4880" t="s">
        <v>46</v>
      </c>
      <c r="G4880">
        <v>-269.5274</v>
      </c>
      <c r="H4880" s="1">
        <v>-3.2748540000000002E-6</v>
      </c>
      <c r="I4880">
        <v>-61.196599999999997</v>
      </c>
      <c r="J4880">
        <v>-289.72239999999999</v>
      </c>
      <c r="K4880">
        <v>1.117672</v>
      </c>
      <c r="L4880">
        <v>-55.37283</v>
      </c>
      <c r="M4880">
        <v>0.95934439999999999</v>
      </c>
      <c r="N4880">
        <v>-1.366523E-2</v>
      </c>
      <c r="O4880">
        <v>-0.28190710000000002</v>
      </c>
      <c r="P4880">
        <v>0.97513810000000001</v>
      </c>
      <c r="Q4880">
        <v>0.1534354</v>
      </c>
      <c r="R4880">
        <v>-0.15988620000000001</v>
      </c>
      <c r="S4880">
        <v>2.9593509999999998</v>
      </c>
      <c r="T4880">
        <v>-0.16191169999999999</v>
      </c>
      <c r="U4880">
        <v>-0.85186770000000001</v>
      </c>
      <c r="V4880">
        <v>-0.1244991</v>
      </c>
      <c r="W4880">
        <v>0.16461339999999999</v>
      </c>
      <c r="X4880">
        <v>0.97846940000000004</v>
      </c>
      <c r="Y4880">
        <v>-5.3162050000000001E-3</v>
      </c>
      <c r="Z4880">
        <v>1.112936E-2</v>
      </c>
      <c r="AA4880">
        <v>0.99992389999999998</v>
      </c>
      <c r="AB4880">
        <v>23</v>
      </c>
      <c r="AC4880">
        <v>20.195</v>
      </c>
      <c r="AD4880">
        <v>-1.117675274854</v>
      </c>
      <c r="AE4880">
        <v>-5.8237699999999801</v>
      </c>
      <c r="AF4880">
        <v>-0.105823406946899</v>
      </c>
      <c r="AG4880">
        <v>-1.117675274854</v>
      </c>
      <c r="AH4880">
        <v>20.958417999777001</v>
      </c>
      <c r="AI4880">
        <v>93.052551941405099</v>
      </c>
      <c r="AJ4880">
        <v>90.289295836461903</v>
      </c>
      <c r="AK4880">
        <v>20.9884654433538</v>
      </c>
      <c r="AL4880">
        <v>80.525222996647102</v>
      </c>
      <c r="AM4880">
        <v>97.251271772805893</v>
      </c>
      <c r="AN4880">
        <v>0.99999998204836404</v>
      </c>
    </row>
    <row r="4881" spans="1:40" x14ac:dyDescent="0.25">
      <c r="A4881" t="str">
        <f>"20190304155517231"</f>
        <v>20190304155517231</v>
      </c>
      <c r="B4881" t="str">
        <f>"1551686117222661"</f>
        <v>1551686117222661</v>
      </c>
      <c r="C4881" t="s">
        <v>40</v>
      </c>
      <c r="D4881">
        <v>4.9742759999999997</v>
      </c>
      <c r="E4881">
        <v>0.55029269999999997</v>
      </c>
      <c r="F4881" t="s">
        <v>46</v>
      </c>
      <c r="G4881">
        <v>-268.58960000000002</v>
      </c>
      <c r="H4881" s="1">
        <v>-2.954375E-6</v>
      </c>
      <c r="I4881">
        <v>-61.37659</v>
      </c>
      <c r="J4881">
        <v>-289.51650000000001</v>
      </c>
      <c r="K4881">
        <v>1.1174269999999999</v>
      </c>
      <c r="L4881">
        <v>-55.420870000000001</v>
      </c>
      <c r="M4881">
        <v>0.96226279999999997</v>
      </c>
      <c r="N4881">
        <v>-1.35309E-2</v>
      </c>
      <c r="O4881">
        <v>-0.271785099999999</v>
      </c>
      <c r="P4881">
        <v>0.97575179999999995</v>
      </c>
      <c r="Q4881">
        <v>0.15477869999999999</v>
      </c>
      <c r="R4881">
        <v>-0.1547636</v>
      </c>
      <c r="S4881">
        <v>2.9631349999999999</v>
      </c>
      <c r="T4881">
        <v>-0.15671489999999999</v>
      </c>
      <c r="U4881">
        <v>-0.841827399999999</v>
      </c>
      <c r="V4881">
        <v>-0.1191793</v>
      </c>
      <c r="W4881">
        <v>0.16599739999999999</v>
      </c>
      <c r="X4881">
        <v>0.97889789999999999</v>
      </c>
      <c r="Y4881">
        <v>1.712975E-3</v>
      </c>
      <c r="Z4881">
        <v>1.0088669999999999E-2</v>
      </c>
      <c r="AA4881">
        <v>0.99994769999999999</v>
      </c>
      <c r="AB4881">
        <v>23</v>
      </c>
      <c r="AC4881">
        <v>20.9268999999999</v>
      </c>
      <c r="AD4881">
        <v>-1.1174299543749999</v>
      </c>
      <c r="AE4881">
        <v>-5.9557200000000003</v>
      </c>
      <c r="AF4881">
        <v>4.3238120084889198E-2</v>
      </c>
      <c r="AG4881">
        <v>-1.1174299543749999</v>
      </c>
      <c r="AH4881">
        <v>21.700608770917601</v>
      </c>
      <c r="AI4881">
        <v>92.947723579206695</v>
      </c>
      <c r="AJ4881">
        <v>89.885839215722697</v>
      </c>
      <c r="AK4881">
        <v>21.7294026670405</v>
      </c>
      <c r="AL4881">
        <v>80.444819360438899</v>
      </c>
      <c r="AM4881">
        <v>96.941509484525994</v>
      </c>
      <c r="AN4881">
        <v>0.99999997048982903</v>
      </c>
    </row>
    <row r="4882" spans="1:40" x14ac:dyDescent="0.25">
      <c r="A4882" t="str">
        <f>"20190304155517253"</f>
        <v>20190304155517253</v>
      </c>
      <c r="B4882" t="str">
        <f>"1551686117242188"</f>
        <v>1551686117242188</v>
      </c>
      <c r="C4882" t="s">
        <v>40</v>
      </c>
      <c r="D4882">
        <v>4.9418730000000002</v>
      </c>
      <c r="E4882">
        <v>0.55160989999999999</v>
      </c>
      <c r="F4882" t="s">
        <v>46</v>
      </c>
      <c r="G4882">
        <v>-264.46179999999998</v>
      </c>
      <c r="H4882" s="1">
        <v>-1.587906E-6</v>
      </c>
      <c r="I4882">
        <v>-62.896279999999997</v>
      </c>
      <c r="J4882">
        <v>-289.28629999999998</v>
      </c>
      <c r="K4882">
        <v>1.1171070000000001</v>
      </c>
      <c r="L4882">
        <v>-55.472470000000001</v>
      </c>
      <c r="M4882">
        <v>0.96524699999999997</v>
      </c>
      <c r="N4882">
        <v>-1.338137E-2</v>
      </c>
      <c r="O4882">
        <v>-0.26099650000000002</v>
      </c>
      <c r="P4882">
        <v>0.97628899999999996</v>
      </c>
      <c r="Q4882">
        <v>0.15750510000000001</v>
      </c>
      <c r="R4882">
        <v>-0.14849999999999999</v>
      </c>
      <c r="S4882">
        <v>2.9556580000000001</v>
      </c>
      <c r="T4882">
        <v>-0.13182070000000001</v>
      </c>
      <c r="U4882">
        <v>-0.8818665</v>
      </c>
      <c r="V4882">
        <v>-0.1142888</v>
      </c>
      <c r="W4882">
        <v>0.1687517</v>
      </c>
      <c r="X4882">
        <v>0.97901020000000005</v>
      </c>
      <c r="Y4882">
        <v>2.5953259999999999E-2</v>
      </c>
      <c r="Z4882">
        <v>6.9545809999999996E-3</v>
      </c>
      <c r="AA4882">
        <v>0.99963900000000006</v>
      </c>
      <c r="AB4882">
        <v>23</v>
      </c>
      <c r="AC4882">
        <v>24.8245</v>
      </c>
      <c r="AD4882">
        <v>-1.1171085879060001</v>
      </c>
      <c r="AE4882">
        <v>-7.4238099999999996</v>
      </c>
      <c r="AF4882">
        <v>0.68549002416077998</v>
      </c>
      <c r="AG4882">
        <v>-1.1171085879060001</v>
      </c>
      <c r="AH4882">
        <v>25.8536252217982</v>
      </c>
      <c r="AI4882">
        <v>92.473284646621195</v>
      </c>
      <c r="AJ4882">
        <v>88.481200019808298</v>
      </c>
      <c r="AK4882">
        <v>25.886826095131799</v>
      </c>
      <c r="AL4882">
        <v>80.284751993114796</v>
      </c>
      <c r="AM4882">
        <v>96.658521159868897</v>
      </c>
      <c r="AN4882">
        <v>1.00000001888118</v>
      </c>
    </row>
    <row r="4883" spans="1:40" x14ac:dyDescent="0.25">
      <c r="A4883" t="str">
        <f>"20190304155517275"</f>
        <v>20190304155517275</v>
      </c>
      <c r="B4883" t="str">
        <f>"1551686117272437"</f>
        <v>1551686117272437</v>
      </c>
      <c r="C4883" t="s">
        <v>40</v>
      </c>
      <c r="D4883">
        <v>4.9343669999999999</v>
      </c>
      <c r="E4883">
        <v>0.55902499999999999</v>
      </c>
      <c r="F4883" t="s">
        <v>46</v>
      </c>
      <c r="G4883">
        <v>-261.54739999999998</v>
      </c>
      <c r="H4883" s="1">
        <v>-5.4382780000000003E-7</v>
      </c>
      <c r="I4883">
        <v>-63.671169999999996</v>
      </c>
      <c r="J4883">
        <v>-289.0693</v>
      </c>
      <c r="K4883">
        <v>1.116738</v>
      </c>
      <c r="L4883">
        <v>-55.519260000000003</v>
      </c>
      <c r="M4883">
        <v>0.96779289999999996</v>
      </c>
      <c r="N4883">
        <v>-1.32406E-2</v>
      </c>
      <c r="O4883">
        <v>-0.2513997</v>
      </c>
      <c r="P4883">
        <v>0.97703759999999995</v>
      </c>
      <c r="Q4883">
        <v>0.15978039999999999</v>
      </c>
      <c r="R4883">
        <v>-0.14095369999999999</v>
      </c>
      <c r="S4883">
        <v>2.9590450000000001</v>
      </c>
      <c r="T4883">
        <v>-0.1191676</v>
      </c>
      <c r="U4883">
        <v>-0.87460329999999997</v>
      </c>
      <c r="V4883">
        <v>-0.1119164</v>
      </c>
      <c r="W4883">
        <v>0.171023799999999</v>
      </c>
      <c r="X4883">
        <v>0.97889000000000004</v>
      </c>
      <c r="Y4883">
        <v>3.3277859999999999E-2</v>
      </c>
      <c r="Z4883">
        <v>5.5421619999999998E-3</v>
      </c>
      <c r="AA4883">
        <v>0.99943079999999995</v>
      </c>
      <c r="AB4883">
        <v>23</v>
      </c>
      <c r="AC4883">
        <v>27.521899999999999</v>
      </c>
      <c r="AD4883">
        <v>-1.1167385438277999</v>
      </c>
      <c r="AE4883">
        <v>-8.1519100000000009</v>
      </c>
      <c r="AF4883">
        <v>0.96898148556999497</v>
      </c>
      <c r="AG4883">
        <v>-1.1167385438277999</v>
      </c>
      <c r="AH4883">
        <v>28.644041837745199</v>
      </c>
      <c r="AI4883">
        <v>92.231371309224002</v>
      </c>
      <c r="AJ4883">
        <v>88.062515525139901</v>
      </c>
      <c r="AK4883">
        <v>28.682175002902799</v>
      </c>
      <c r="AL4883">
        <v>80.152649986195797</v>
      </c>
      <c r="AM4883">
        <v>96.522300995973694</v>
      </c>
      <c r="AN4883">
        <v>1.00000002642769</v>
      </c>
    </row>
    <row r="4884" spans="1:40" x14ac:dyDescent="0.25">
      <c r="A4884" t="str">
        <f>"20190304155517297"</f>
        <v>20190304155517297</v>
      </c>
      <c r="B4884" t="str">
        <f>"1551686117292936"</f>
        <v>1551686117292936</v>
      </c>
      <c r="C4884" t="s">
        <v>40</v>
      </c>
      <c r="D4884">
        <v>4.9010989999999897</v>
      </c>
      <c r="E4884">
        <v>0.55987180000000003</v>
      </c>
      <c r="F4884" t="s">
        <v>46</v>
      </c>
      <c r="G4884">
        <v>-260.54390000000001</v>
      </c>
      <c r="H4884" s="1">
        <v>-2.83461599999999E-7</v>
      </c>
      <c r="I4884">
        <v>-64.310649999999995</v>
      </c>
      <c r="J4884">
        <v>-288.84109999999998</v>
      </c>
      <c r="K4884">
        <v>1.11629</v>
      </c>
      <c r="L4884">
        <v>-55.566769999999998</v>
      </c>
      <c r="M4884">
        <v>0.97020419999999996</v>
      </c>
      <c r="N4884">
        <v>-1.309601E-2</v>
      </c>
      <c r="O4884">
        <v>-0.2419346</v>
      </c>
      <c r="P4884">
        <v>0.97741820000000001</v>
      </c>
      <c r="Q4884">
        <v>0.16131099999999901</v>
      </c>
      <c r="R4884">
        <v>-0.13650139999999999</v>
      </c>
      <c r="S4884">
        <v>2.957916</v>
      </c>
      <c r="T4884">
        <v>-0.115799</v>
      </c>
      <c r="U4884">
        <v>-0.91162109999999996</v>
      </c>
      <c r="V4884">
        <v>-0.1065748</v>
      </c>
      <c r="W4884">
        <v>0.17261389999999999</v>
      </c>
      <c r="X4884">
        <v>0.97920700000000005</v>
      </c>
      <c r="Y4884">
        <v>5.4571269999999998E-2</v>
      </c>
      <c r="Z4884">
        <v>4.5422709999999996E-3</v>
      </c>
      <c r="AA4884">
        <v>0.99849960000000004</v>
      </c>
      <c r="AB4884">
        <v>23</v>
      </c>
      <c r="AC4884">
        <v>28.297199999999901</v>
      </c>
      <c r="AD4884">
        <v>-1.1162902834616</v>
      </c>
      <c r="AE4884">
        <v>-8.7438799999999901</v>
      </c>
      <c r="AF4884">
        <v>1.6350949546461699</v>
      </c>
      <c r="AG4884">
        <v>-1.1162902834616</v>
      </c>
      <c r="AH4884">
        <v>29.5300951958592</v>
      </c>
      <c r="AI4884">
        <v>92.161544065359394</v>
      </c>
      <c r="AJ4884">
        <v>86.830742551546294</v>
      </c>
      <c r="AK4884">
        <v>29.596387647552</v>
      </c>
      <c r="AL4884">
        <v>80.060168841229896</v>
      </c>
      <c r="AM4884">
        <v>96.211500870644997</v>
      </c>
      <c r="AN4884">
        <v>1.0000000476586199</v>
      </c>
    </row>
    <row r="4885" spans="1:40" x14ac:dyDescent="0.25">
      <c r="A4885" t="str">
        <f>"20190304155517309"</f>
        <v>20190304155517309</v>
      </c>
      <c r="B4885" t="str">
        <f>"1551686117302693"</f>
        <v>1551686117302693</v>
      </c>
      <c r="C4885" t="s">
        <v>40</v>
      </c>
      <c r="D4885">
        <v>4.8468030000000004</v>
      </c>
      <c r="E4885">
        <v>0.56718159999999995</v>
      </c>
      <c r="F4885" t="s">
        <v>95</v>
      </c>
      <c r="G4885">
        <v>-257.99529999999999</v>
      </c>
      <c r="H4885" s="1">
        <v>-3.3611739999999998E-6</v>
      </c>
      <c r="I4885">
        <v>-65.001339999999999</v>
      </c>
      <c r="J4885">
        <v>-288.72500000000002</v>
      </c>
      <c r="K4885">
        <v>1.1160350000000001</v>
      </c>
      <c r="L4885">
        <v>-55.590359999999997</v>
      </c>
      <c r="M4885">
        <v>0.97131710000000004</v>
      </c>
      <c r="N4885">
        <v>-1.3024539999999999E-2</v>
      </c>
      <c r="O4885">
        <v>-0.237431</v>
      </c>
      <c r="P4885">
        <v>0.97760100000000005</v>
      </c>
      <c r="Q4885">
        <v>0.16188810000000001</v>
      </c>
      <c r="R4885">
        <v>-0.13449520000000001</v>
      </c>
      <c r="S4885">
        <v>2.9605410000000001</v>
      </c>
      <c r="T4885">
        <v>-0.10714029999999999</v>
      </c>
      <c r="U4885">
        <v>-0.90551760000000003</v>
      </c>
      <c r="V4885">
        <v>-0.1039138</v>
      </c>
      <c r="W4885">
        <v>0.1732244</v>
      </c>
      <c r="X4885">
        <v>0.97938510000000001</v>
      </c>
      <c r="Y4885">
        <v>5.7061819999999999E-2</v>
      </c>
      <c r="Z4885">
        <v>3.801198E-3</v>
      </c>
      <c r="AA4885">
        <v>0.99836340000000001</v>
      </c>
      <c r="AB4885">
        <v>23</v>
      </c>
      <c r="AC4885">
        <v>30.729700000000001</v>
      </c>
      <c r="AD4885">
        <v>-1.1160383611739999</v>
      </c>
      <c r="AE4885">
        <v>-9.4109800000000003</v>
      </c>
      <c r="AF4885">
        <v>1.8427966644888201</v>
      </c>
      <c r="AG4885">
        <v>-1.1160383611739999</v>
      </c>
      <c r="AH4885">
        <v>32.0468176670284</v>
      </c>
      <c r="AI4885">
        <v>91.991246866297701</v>
      </c>
      <c r="AJ4885">
        <v>86.708929831600997</v>
      </c>
      <c r="AK4885">
        <v>32.119152600185899</v>
      </c>
      <c r="AL4885">
        <v>80.024654027024994</v>
      </c>
      <c r="AM4885">
        <v>96.0564840999849</v>
      </c>
      <c r="AN4885">
        <v>0.99999997234390403</v>
      </c>
    </row>
    <row r="4886" spans="1:40" x14ac:dyDescent="0.25">
      <c r="A4886" t="str">
        <f>"20190304155517320"</f>
        <v>20190304155517320</v>
      </c>
      <c r="B4886" t="str">
        <f>"1551686117312454"</f>
        <v>1551686117312454</v>
      </c>
      <c r="C4886" t="s">
        <v>40</v>
      </c>
      <c r="D4886">
        <v>4.8881690000000004</v>
      </c>
      <c r="E4886">
        <v>0.56733269999999902</v>
      </c>
      <c r="F4886" t="s">
        <v>95</v>
      </c>
      <c r="G4886">
        <v>-250.679</v>
      </c>
      <c r="H4886" s="1">
        <v>-1.104525E-6</v>
      </c>
      <c r="I4886">
        <v>-67.925669999999997</v>
      </c>
      <c r="J4886">
        <v>-288.61489999999998</v>
      </c>
      <c r="K4886">
        <v>1.115785</v>
      </c>
      <c r="L4886">
        <v>-55.612520000000004</v>
      </c>
      <c r="M4886">
        <v>0.97232929999999995</v>
      </c>
      <c r="N4886">
        <v>-1.2958849999999999E-2</v>
      </c>
      <c r="O4886">
        <v>-0.23325509999999999</v>
      </c>
      <c r="P4886">
        <v>0.97776529999999995</v>
      </c>
      <c r="Q4886">
        <v>0.16210649999999999</v>
      </c>
      <c r="R4886">
        <v>-0.13302839999999999</v>
      </c>
      <c r="S4886">
        <v>2.951416</v>
      </c>
      <c r="T4886">
        <v>-8.6576340000000002E-2</v>
      </c>
      <c r="U4886">
        <v>-0.95690920000000002</v>
      </c>
      <c r="V4886">
        <v>-0.1010581</v>
      </c>
      <c r="W4886">
        <v>0.173480299999999</v>
      </c>
      <c r="X4886">
        <v>0.97963860000000003</v>
      </c>
      <c r="Y4886">
        <v>7.7985059999999995E-2</v>
      </c>
      <c r="Z4886">
        <v>1.9332150000000001E-3</v>
      </c>
      <c r="AA4886">
        <v>0.99695270000000002</v>
      </c>
      <c r="AB4886">
        <v>23</v>
      </c>
      <c r="AC4886">
        <v>37.935899999999897</v>
      </c>
      <c r="AD4886">
        <v>-1.1157861045249999</v>
      </c>
      <c r="AE4886">
        <v>-12.31315</v>
      </c>
      <c r="AF4886">
        <v>3.12151345310378</v>
      </c>
      <c r="AG4886">
        <v>-1.1157861045249999</v>
      </c>
      <c r="AH4886">
        <v>39.730533450841698</v>
      </c>
      <c r="AI4886">
        <v>91.603723387863894</v>
      </c>
      <c r="AJ4886">
        <v>85.507664063675094</v>
      </c>
      <c r="AK4886">
        <v>39.868585542472097</v>
      </c>
      <c r="AL4886">
        <v>80.009766619340695</v>
      </c>
      <c r="AM4886">
        <v>95.889716468155399</v>
      </c>
      <c r="AN4886">
        <v>0.99999997033682897</v>
      </c>
    </row>
    <row r="4887" spans="1:40" x14ac:dyDescent="0.25">
      <c r="A4887" t="str">
        <f>"20190304155517331"</f>
        <v>20190304155517331</v>
      </c>
      <c r="B4887" t="str">
        <f>"1551686117322213"</f>
        <v>1551686117322213</v>
      </c>
      <c r="C4887" t="s">
        <v>40</v>
      </c>
      <c r="D4887">
        <v>4.8813519999999997</v>
      </c>
      <c r="E4887">
        <v>0.56806519999999905</v>
      </c>
      <c r="F4887" t="s">
        <v>95</v>
      </c>
      <c r="G4887">
        <v>-250.3381</v>
      </c>
      <c r="H4887" s="1">
        <v>-9.7063240000000008E-7</v>
      </c>
      <c r="I4887">
        <v>-67.981259999999907</v>
      </c>
      <c r="J4887">
        <v>-288.49540000000002</v>
      </c>
      <c r="K4887">
        <v>1.1154999999999999</v>
      </c>
      <c r="L4887">
        <v>-55.636049999999997</v>
      </c>
      <c r="M4887">
        <v>0.9733271</v>
      </c>
      <c r="N4887">
        <v>-1.288831E-2</v>
      </c>
      <c r="O4887">
        <v>-0.22906000000000001</v>
      </c>
      <c r="P4887">
        <v>0.97799020000000003</v>
      </c>
      <c r="Q4887">
        <v>0.16206289999999901</v>
      </c>
      <c r="R4887">
        <v>-0.1314206</v>
      </c>
      <c r="S4887">
        <v>2.9526979999999998</v>
      </c>
      <c r="T4887">
        <v>-8.6072330000000002E-2</v>
      </c>
      <c r="U4887">
        <v>-0.95413210000000004</v>
      </c>
      <c r="V4887">
        <v>-9.8319050000000005E-2</v>
      </c>
      <c r="W4887">
        <v>0.1734742</v>
      </c>
      <c r="X4887">
        <v>0.97991839999999997</v>
      </c>
      <c r="Y4887">
        <v>8.1306119999999996E-2</v>
      </c>
      <c r="Z4887">
        <v>1.7901709999999999E-3</v>
      </c>
      <c r="AA4887">
        <v>0.99668760000000001</v>
      </c>
      <c r="AB4887">
        <v>23</v>
      </c>
      <c r="AC4887">
        <v>38.157299999999999</v>
      </c>
      <c r="AD4887">
        <v>-1.1155009706323999</v>
      </c>
      <c r="AE4887">
        <v>-12.3452099999999</v>
      </c>
      <c r="AF4887">
        <v>3.2733555470831499</v>
      </c>
      <c r="AG4887">
        <v>-1.1155009706323999</v>
      </c>
      <c r="AH4887">
        <v>39.939743326461297</v>
      </c>
      <c r="AI4887">
        <v>91.594488818634005</v>
      </c>
      <c r="AJ4887">
        <v>85.314661469619693</v>
      </c>
      <c r="AK4887">
        <v>40.089179287392597</v>
      </c>
      <c r="AL4887">
        <v>80.010121825573805</v>
      </c>
      <c r="AM4887">
        <v>95.729535037529104</v>
      </c>
      <c r="AN4887">
        <v>1.00000000215855</v>
      </c>
    </row>
    <row r="4888" spans="1:40" x14ac:dyDescent="0.25">
      <c r="A4888" t="str">
        <f>"20190304155517343"</f>
        <v>20190304155517343</v>
      </c>
      <c r="B4888" t="str">
        <f>"1551686117332949"</f>
        <v>1551686117332949</v>
      </c>
      <c r="C4888" t="s">
        <v>40</v>
      </c>
      <c r="D4888">
        <v>4.8543000000000003</v>
      </c>
      <c r="E4888">
        <v>0.56886389999999998</v>
      </c>
      <c r="F4888" t="s">
        <v>95</v>
      </c>
      <c r="G4888">
        <v>-250.29429999999999</v>
      </c>
      <c r="H4888" s="1">
        <v>-9.5359360000000004E-7</v>
      </c>
      <c r="I4888">
        <v>-67.989109999999997</v>
      </c>
      <c r="J4888">
        <v>-288.37720000000002</v>
      </c>
      <c r="K4888">
        <v>1.1152150000000001</v>
      </c>
      <c r="L4888">
        <v>-55.659210000000002</v>
      </c>
      <c r="M4888">
        <v>0.97426860000000004</v>
      </c>
      <c r="N4888">
        <v>-1.282079E-2</v>
      </c>
      <c r="O4888">
        <v>-0.22502520000000001</v>
      </c>
      <c r="P4888">
        <v>0.97808589999999995</v>
      </c>
      <c r="Q4888">
        <v>0.16207469999999999</v>
      </c>
      <c r="R4888">
        <v>-0.1306891</v>
      </c>
      <c r="S4888">
        <v>2.95343</v>
      </c>
      <c r="T4888">
        <v>-8.6242319999999997E-2</v>
      </c>
      <c r="U4888">
        <v>-0.9550476</v>
      </c>
      <c r="V4888">
        <v>-9.4862070000000007E-2</v>
      </c>
      <c r="W4888">
        <v>0.17353199999999999</v>
      </c>
      <c r="X4888">
        <v>0.98024889999999998</v>
      </c>
      <c r="Y4888">
        <v>8.5640069999999999E-2</v>
      </c>
      <c r="Z4888">
        <v>1.6689389999999999E-3</v>
      </c>
      <c r="AA4888">
        <v>0.99632469999999995</v>
      </c>
      <c r="AB4888">
        <v>23</v>
      </c>
      <c r="AC4888">
        <v>38.082900000000002</v>
      </c>
      <c r="AD4888">
        <v>-1.1152159535935999</v>
      </c>
      <c r="AE4888">
        <v>-12.3299</v>
      </c>
      <c r="AF4888">
        <v>3.44063462755358</v>
      </c>
      <c r="AG4888">
        <v>-1.1152159535935999</v>
      </c>
      <c r="AH4888">
        <v>39.8498584636964</v>
      </c>
      <c r="AI4888">
        <v>91.597090707406494</v>
      </c>
      <c r="AJ4888">
        <v>85.065323201803807</v>
      </c>
      <c r="AK4888">
        <v>40.0136588284564</v>
      </c>
      <c r="AL4888">
        <v>80.006759476805101</v>
      </c>
      <c r="AM4888">
        <v>95.527498065675502</v>
      </c>
      <c r="AN4888">
        <v>1.00000003664994</v>
      </c>
    </row>
    <row r="4889" spans="1:40" x14ac:dyDescent="0.25">
      <c r="A4889" t="str">
        <f>"20190304155517354"</f>
        <v>20190304155517354</v>
      </c>
      <c r="B4889" t="str">
        <f>"1551686117342709"</f>
        <v>1551686117342709</v>
      </c>
      <c r="C4889" t="s">
        <v>40</v>
      </c>
      <c r="D4889">
        <v>4.870279</v>
      </c>
      <c r="E4889">
        <v>0.56886389999999998</v>
      </c>
      <c r="F4889" t="s">
        <v>95</v>
      </c>
      <c r="G4889">
        <v>-250.60720000000001</v>
      </c>
      <c r="H4889" s="1">
        <v>-1.073094E-6</v>
      </c>
      <c r="I4889">
        <v>-67.922820000000002</v>
      </c>
      <c r="J4889">
        <v>-288.26560000000001</v>
      </c>
      <c r="K4889">
        <v>1.1149359999999999</v>
      </c>
      <c r="L4889">
        <v>-55.680729999999997</v>
      </c>
      <c r="M4889">
        <v>0.97507069999999996</v>
      </c>
      <c r="N4889">
        <v>-1.275772E-2</v>
      </c>
      <c r="O4889">
        <v>-0.22152749999999999</v>
      </c>
      <c r="P4889">
        <v>0.97804880000000005</v>
      </c>
      <c r="Q4889">
        <v>0.16273799999999999</v>
      </c>
      <c r="R4889">
        <v>-0.13014339999999999</v>
      </c>
      <c r="S4889">
        <v>2.953522</v>
      </c>
      <c r="T4889">
        <v>-8.7207199999999999E-2</v>
      </c>
      <c r="U4889">
        <v>-0.95898439999999996</v>
      </c>
      <c r="V4889">
        <v>-9.1748739999999995E-2</v>
      </c>
      <c r="W4889">
        <v>0.174234</v>
      </c>
      <c r="X4889">
        <v>0.98042059999999998</v>
      </c>
      <c r="Y4889">
        <v>9.0404780000000004E-2</v>
      </c>
      <c r="Z4889">
        <v>1.590122E-3</v>
      </c>
      <c r="AA4889">
        <v>0.99590380000000001</v>
      </c>
      <c r="AB4889">
        <v>23</v>
      </c>
      <c r="AC4889">
        <v>37.6584</v>
      </c>
      <c r="AD4889">
        <v>-1.114937073094</v>
      </c>
      <c r="AE4889">
        <v>-12.2420899999999</v>
      </c>
      <c r="AF4889">
        <v>3.5919768877598801</v>
      </c>
      <c r="AG4889">
        <v>-1.114937073094</v>
      </c>
      <c r="AH4889">
        <v>39.403532127671703</v>
      </c>
      <c r="AI4889">
        <v>91.614083164706997</v>
      </c>
      <c r="AJ4889">
        <v>84.791384027717896</v>
      </c>
      <c r="AK4889">
        <v>39.582618998439401</v>
      </c>
      <c r="AL4889">
        <v>79.965914612456004</v>
      </c>
      <c r="AM4889">
        <v>95.346226258588999</v>
      </c>
      <c r="AN4889">
        <v>0.99999993547597099</v>
      </c>
    </row>
    <row r="4890" spans="1:40" x14ac:dyDescent="0.25">
      <c r="A4890" t="str">
        <f>"20190304155517365"</f>
        <v>20190304155517365</v>
      </c>
      <c r="B4890" t="str">
        <f>"1551686117362229"</f>
        <v>1551686117362229</v>
      </c>
      <c r="C4890" t="s">
        <v>40</v>
      </c>
      <c r="D4890">
        <v>4.8141870000000004</v>
      </c>
      <c r="E4890">
        <v>0.57721049999999996</v>
      </c>
      <c r="F4890" t="s">
        <v>94</v>
      </c>
      <c r="G4890">
        <v>-249.79589999999999</v>
      </c>
      <c r="H4890" s="1">
        <v>-4.5837480000000003E-6</v>
      </c>
      <c r="I4890">
        <v>-68.141490000000005</v>
      </c>
      <c r="J4890">
        <v>-288.15589999999997</v>
      </c>
      <c r="K4890">
        <v>1.11466</v>
      </c>
      <c r="L4890">
        <v>-55.701779999999999</v>
      </c>
      <c r="M4890">
        <v>0.97581770000000001</v>
      </c>
      <c r="N4890">
        <v>-1.269788E-2</v>
      </c>
      <c r="O4890">
        <v>-0.2182171</v>
      </c>
      <c r="P4890">
        <v>0.97790160000000004</v>
      </c>
      <c r="Q4890">
        <v>0.16383110000000001</v>
      </c>
      <c r="R4890">
        <v>-0.1298763</v>
      </c>
      <c r="S4890">
        <v>2.954224</v>
      </c>
      <c r="T4890">
        <v>-8.5620050000000003E-2</v>
      </c>
      <c r="U4890">
        <v>-0.95690920000000002</v>
      </c>
      <c r="V4890">
        <v>-8.8537640000000001E-2</v>
      </c>
      <c r="W4890">
        <v>0.17536309999999999</v>
      </c>
      <c r="X4890">
        <v>0.98051460000000001</v>
      </c>
      <c r="Y4890">
        <v>9.3080270000000007E-2</v>
      </c>
      <c r="Z4890">
        <v>1.4118850000000001E-3</v>
      </c>
      <c r="AA4890">
        <v>0.99565760000000003</v>
      </c>
      <c r="AB4890">
        <v>23</v>
      </c>
      <c r="AC4890">
        <v>38.3599999999999</v>
      </c>
      <c r="AD4890">
        <v>-1.114664583748</v>
      </c>
      <c r="AE4890">
        <v>-12.4397099999999</v>
      </c>
      <c r="AF4890">
        <v>3.7655079021010698</v>
      </c>
      <c r="AG4890">
        <v>-1.114664583748</v>
      </c>
      <c r="AH4890">
        <v>40.1195067989295</v>
      </c>
      <c r="AI4890">
        <v>91.584513701623194</v>
      </c>
      <c r="AJ4890">
        <v>84.638081711181499</v>
      </c>
      <c r="AK4890">
        <v>40.311243502085098</v>
      </c>
      <c r="AL4890">
        <v>79.900211087917896</v>
      </c>
      <c r="AM4890">
        <v>95.159650786568506</v>
      </c>
      <c r="AN4890">
        <v>1.0000000056757601</v>
      </c>
    </row>
    <row r="4891" spans="1:40" x14ac:dyDescent="0.25">
      <c r="A4891" t="str">
        <f>"20190304155517377"</f>
        <v>20190304155517377</v>
      </c>
      <c r="B4891" t="str">
        <f>"1551686117372965"</f>
        <v>1551686117372965</v>
      </c>
      <c r="C4891" t="s">
        <v>40</v>
      </c>
      <c r="D4891">
        <v>5.6548509999999998</v>
      </c>
      <c r="E4891">
        <v>0.53240669999999901</v>
      </c>
      <c r="F4891" t="s">
        <v>94</v>
      </c>
      <c r="G4891">
        <v>-247.56720000000001</v>
      </c>
      <c r="H4891" s="1">
        <v>-4.1167690000000003E-6</v>
      </c>
      <c r="I4891">
        <v>-69.784400000000005</v>
      </c>
      <c r="J4891">
        <v>-288.03050000000002</v>
      </c>
      <c r="K4891">
        <v>1.114358</v>
      </c>
      <c r="L4891">
        <v>-55.725589999999997</v>
      </c>
      <c r="M4891">
        <v>0.97660060000000004</v>
      </c>
      <c r="N4891">
        <v>-1.2631659999999999E-2</v>
      </c>
      <c r="O4891">
        <v>-0.21469009999999999</v>
      </c>
      <c r="P4891">
        <v>0.97786589999999995</v>
      </c>
      <c r="Q4891">
        <v>0.1646002</v>
      </c>
      <c r="R4891">
        <v>-0.12917149999999999</v>
      </c>
      <c r="S4891">
        <v>2.9455870000000002</v>
      </c>
      <c r="T4891">
        <v>-8.0893039999999999E-2</v>
      </c>
      <c r="U4891">
        <v>-1.022003</v>
      </c>
      <c r="V4891">
        <v>-8.5545159999999995E-2</v>
      </c>
      <c r="W4891">
        <v>0.17616299999999999</v>
      </c>
      <c r="X4891">
        <v>0.98063679999999998</v>
      </c>
      <c r="Y4891">
        <v>0.1172627</v>
      </c>
      <c r="Z4891">
        <v>6.4080270000000002E-4</v>
      </c>
      <c r="AA4891">
        <v>0.99310069999999995</v>
      </c>
      <c r="AB4891">
        <v>24</v>
      </c>
      <c r="AC4891">
        <v>40.463299999999997</v>
      </c>
      <c r="AD4891">
        <v>-1.1143621167690001</v>
      </c>
      <c r="AE4891">
        <v>-14.058809999999999</v>
      </c>
      <c r="AF4891">
        <v>5.03976368728864</v>
      </c>
      <c r="AG4891">
        <v>-1.1143621167690001</v>
      </c>
      <c r="AH4891">
        <v>42.509392850937303</v>
      </c>
      <c r="AI4891">
        <v>91.491197282113106</v>
      </c>
      <c r="AJ4891">
        <v>83.238774372070594</v>
      </c>
      <c r="AK4891">
        <v>42.821600875099499</v>
      </c>
      <c r="AL4891">
        <v>79.853654920621906</v>
      </c>
      <c r="AM4891">
        <v>94.985536151494799</v>
      </c>
      <c r="AN4891">
        <v>0.99999995524133101</v>
      </c>
    </row>
    <row r="4892" spans="1:40" x14ac:dyDescent="0.25">
      <c r="A4892" t="str">
        <f>"20190304155517390"</f>
        <v>20190304155517390</v>
      </c>
      <c r="B4892" t="str">
        <f>"1551686117382725"</f>
        <v>1551686117382725</v>
      </c>
      <c r="C4892" t="s">
        <v>40</v>
      </c>
      <c r="D4892">
        <v>5.0738469999999998</v>
      </c>
      <c r="E4892">
        <v>0.52767399999999998</v>
      </c>
      <c r="F4892" t="s">
        <v>52</v>
      </c>
      <c r="G4892">
        <v>-178.5333</v>
      </c>
      <c r="H4892">
        <v>6.3790579999999997</v>
      </c>
      <c r="I4892">
        <v>-80.065830000000005</v>
      </c>
      <c r="J4892">
        <v>-287.904</v>
      </c>
      <c r="K4892">
        <v>1.1140600000000001</v>
      </c>
      <c r="L4892">
        <v>-55.749419999999901</v>
      </c>
      <c r="M4892">
        <v>0.97731570000000001</v>
      </c>
      <c r="N4892">
        <v>-1.256763E-2</v>
      </c>
      <c r="O4892">
        <v>-0.2114144</v>
      </c>
      <c r="P4892">
        <v>0.97784789999999999</v>
      </c>
      <c r="Q4892">
        <v>0.1649525</v>
      </c>
      <c r="R4892">
        <v>-0.12885750000000001</v>
      </c>
      <c r="S4892">
        <v>2.9571529999999999</v>
      </c>
      <c r="T4892">
        <v>0.142182</v>
      </c>
      <c r="U4892">
        <v>-0.65734859999999995</v>
      </c>
      <c r="V4892">
        <v>-8.2427109999999998E-2</v>
      </c>
      <c r="W4892">
        <v>0.17654410000000001</v>
      </c>
      <c r="X4892">
        <v>0.98083529999999997</v>
      </c>
      <c r="Y4892">
        <v>6.0560889999999997E-3</v>
      </c>
      <c r="Z4892">
        <v>-1.247061E-2</v>
      </c>
      <c r="AA4892">
        <v>0.99990389999999996</v>
      </c>
      <c r="AB4892">
        <v>24</v>
      </c>
      <c r="AC4892">
        <v>109.3707</v>
      </c>
      <c r="AD4892">
        <v>5.2649980000000003</v>
      </c>
      <c r="AE4892">
        <v>-24.316410000000001</v>
      </c>
      <c r="AF4892">
        <v>0.64090382822439196</v>
      </c>
      <c r="AG4892">
        <v>5.2649980000000003</v>
      </c>
      <c r="AH4892">
        <v>111.792529916855</v>
      </c>
      <c r="AI4892">
        <v>87.303625911578806</v>
      </c>
      <c r="AJ4892">
        <v>89.671528301915799</v>
      </c>
      <c r="AK4892">
        <v>111.918276911628</v>
      </c>
      <c r="AL4892">
        <v>79.831471937630099</v>
      </c>
      <c r="AM4892">
        <v>94.8037163632344</v>
      </c>
      <c r="AN4892">
        <v>0.99999996671692504</v>
      </c>
    </row>
    <row r="4893" spans="1:40" x14ac:dyDescent="0.25">
      <c r="A4893" t="str">
        <f>"20190304155517405"</f>
        <v>20190304155517405</v>
      </c>
      <c r="B4893" t="str">
        <f>"1551686117392486"</f>
        <v>1551686117392486</v>
      </c>
      <c r="C4893" t="s">
        <v>40</v>
      </c>
      <c r="D4893">
        <v>4.9121180000000004</v>
      </c>
      <c r="E4893">
        <v>0.52241979999999999</v>
      </c>
      <c r="F4893" t="s">
        <v>43</v>
      </c>
      <c r="G4893">
        <v>0</v>
      </c>
      <c r="H4893">
        <v>0</v>
      </c>
      <c r="I4893">
        <v>0</v>
      </c>
      <c r="J4893">
        <v>-287.7543</v>
      </c>
      <c r="K4893">
        <v>1.113712</v>
      </c>
      <c r="L4893">
        <v>-55.777470000000001</v>
      </c>
      <c r="M4893">
        <v>0.97809259999999998</v>
      </c>
      <c r="N4893">
        <v>-1.249511E-2</v>
      </c>
      <c r="O4893">
        <v>-0.20779539999999999</v>
      </c>
      <c r="P4893">
        <v>0.97800480000000001</v>
      </c>
      <c r="Q4893">
        <v>0.16469049999999999</v>
      </c>
      <c r="R4893">
        <v>-0.12799920000000001</v>
      </c>
      <c r="S4893">
        <v>2.9457399999999998</v>
      </c>
      <c r="T4893">
        <v>0.24368100000000001</v>
      </c>
      <c r="U4893">
        <v>-0.61529540000000005</v>
      </c>
      <c r="V4893">
        <v>-7.9507999999999995E-2</v>
      </c>
      <c r="W4893">
        <v>0.17630709999999999</v>
      </c>
      <c r="X4893">
        <v>0.98111890000000002</v>
      </c>
      <c r="Y4893">
        <v>-2.5277820000000001E-3</v>
      </c>
      <c r="Z4893">
        <v>-1.947364E-2</v>
      </c>
      <c r="AA4893">
        <v>0.99980720000000001</v>
      </c>
      <c r="AB4893">
        <v>24</v>
      </c>
      <c r="AC4893">
        <v>2.9457399999999998</v>
      </c>
      <c r="AD4893">
        <v>0.24368100000000001</v>
      </c>
      <c r="AE4893">
        <v>-0.61529540000000005</v>
      </c>
      <c r="AF4893">
        <v>-1.0229074339179E-2</v>
      </c>
      <c r="AG4893">
        <v>0.24368100000000001</v>
      </c>
      <c r="AH4893">
        <v>2.9896931338956101</v>
      </c>
      <c r="AI4893">
        <v>85.340319030672802</v>
      </c>
      <c r="AJ4893">
        <v>90.196033664585599</v>
      </c>
      <c r="AK4893">
        <v>2.9996249929925201</v>
      </c>
      <c r="AL4893">
        <v>79.845267834972404</v>
      </c>
      <c r="AM4893">
        <v>94.633016198913197</v>
      </c>
      <c r="AN4893">
        <v>1.0000000057558101</v>
      </c>
    </row>
    <row r="4894" spans="1:40" x14ac:dyDescent="0.25">
      <c r="A4894" t="str">
        <f>"20190304155517417"</f>
        <v>20190304155517417</v>
      </c>
      <c r="B4894" t="str">
        <f>"1551686117412981"</f>
        <v>1551686117412981</v>
      </c>
      <c r="C4894" t="s">
        <v>40</v>
      </c>
      <c r="D4894">
        <v>4.8685669999999996</v>
      </c>
      <c r="E4894">
        <v>0.51686109999999996</v>
      </c>
      <c r="F4894" t="s">
        <v>43</v>
      </c>
      <c r="G4894">
        <v>0</v>
      </c>
      <c r="H4894">
        <v>0</v>
      </c>
      <c r="I4894">
        <v>0</v>
      </c>
      <c r="J4894">
        <v>-287.61219999999997</v>
      </c>
      <c r="K4894">
        <v>1.1133869999999999</v>
      </c>
      <c r="L4894">
        <v>-55.803829999999998</v>
      </c>
      <c r="M4894">
        <v>0.97873880000000002</v>
      </c>
      <c r="N4894">
        <v>-1.2429610000000001E-2</v>
      </c>
      <c r="O4894">
        <v>-0.20473430000000001</v>
      </c>
      <c r="P4894">
        <v>0.97823309999999997</v>
      </c>
      <c r="Q4894">
        <v>0.1637372</v>
      </c>
      <c r="R4894">
        <v>-0.12747700000000001</v>
      </c>
      <c r="S4894">
        <v>2.9671020000000001</v>
      </c>
      <c r="T4894">
        <v>0.1488255</v>
      </c>
      <c r="U4894">
        <v>-0.57528690000000005</v>
      </c>
      <c r="V4894">
        <v>-7.6842820000000006E-2</v>
      </c>
      <c r="W4894">
        <v>0.17537529999999901</v>
      </c>
      <c r="X4894">
        <v>0.98149819999999999</v>
      </c>
      <c r="Y4894">
        <v>-1.4301289999999999E-2</v>
      </c>
      <c r="Z4894">
        <v>-1.2875380000000001E-2</v>
      </c>
      <c r="AA4894">
        <v>0.9998148</v>
      </c>
      <c r="AB4894">
        <v>24</v>
      </c>
      <c r="AC4894">
        <v>2.9671020000000001</v>
      </c>
      <c r="AD4894">
        <v>0.1488255</v>
      </c>
      <c r="AE4894">
        <v>-0.57528690000000005</v>
      </c>
      <c r="AF4894">
        <v>-4.4307931379489199E-2</v>
      </c>
      <c r="AG4894">
        <v>0.1488255</v>
      </c>
      <c r="AH4894">
        <v>3.0147219839916302</v>
      </c>
      <c r="AI4894">
        <v>87.174121619468394</v>
      </c>
      <c r="AJ4894">
        <v>90.8420261352979</v>
      </c>
      <c r="AK4894">
        <v>3.0187184139955501</v>
      </c>
      <c r="AL4894">
        <v>79.899501178685</v>
      </c>
      <c r="AM4894">
        <v>94.476632323410499</v>
      </c>
      <c r="AN4894">
        <v>1.00000001571944</v>
      </c>
    </row>
    <row r="4895" spans="1:40" x14ac:dyDescent="0.25">
      <c r="A4895" t="str">
        <f>"20190304155517433"</f>
        <v>20190304155517433</v>
      </c>
      <c r="B4895" t="str">
        <f>"1551686117422507"</f>
        <v>1551686117422507</v>
      </c>
      <c r="C4895" t="s">
        <v>40</v>
      </c>
      <c r="D4895">
        <v>4.8549610000000003</v>
      </c>
      <c r="E4895">
        <v>0.51583760000000001</v>
      </c>
      <c r="F4895" t="s">
        <v>43</v>
      </c>
      <c r="G4895">
        <v>0</v>
      </c>
      <c r="H4895">
        <v>0</v>
      </c>
      <c r="I4895">
        <v>0</v>
      </c>
      <c r="J4895">
        <v>-287.46690000000001</v>
      </c>
      <c r="K4895">
        <v>1.11307</v>
      </c>
      <c r="L4895">
        <v>-55.830689999999997</v>
      </c>
      <c r="M4895">
        <v>0.97931749999999995</v>
      </c>
      <c r="N4895">
        <v>-1.2366479999999999E-2</v>
      </c>
      <c r="O4895">
        <v>-0.20195150000000001</v>
      </c>
      <c r="P4895">
        <v>0.97846549999999999</v>
      </c>
      <c r="Q4895">
        <v>0.16120329999999999</v>
      </c>
      <c r="R4895">
        <v>-0.1289141</v>
      </c>
      <c r="S4895">
        <v>2.988953</v>
      </c>
      <c r="T4895">
        <v>4.8886539999999999E-2</v>
      </c>
      <c r="U4895">
        <v>-0.53411869999999995</v>
      </c>
      <c r="V4895">
        <v>-7.2533810000000004E-2</v>
      </c>
      <c r="W4895">
        <v>0.1728759</v>
      </c>
      <c r="X4895">
        <v>0.98226919999999995</v>
      </c>
      <c r="Y4895">
        <v>-2.6450339999999999E-2</v>
      </c>
      <c r="Z4895">
        <v>-5.7969359999999999E-3</v>
      </c>
      <c r="AA4895">
        <v>0.99963329999999995</v>
      </c>
      <c r="AB4895">
        <v>24</v>
      </c>
      <c r="AC4895">
        <v>2.988953</v>
      </c>
      <c r="AD4895">
        <v>4.8886539999999999E-2</v>
      </c>
      <c r="AE4895">
        <v>-0.53411869999999995</v>
      </c>
      <c r="AF4895">
        <v>-8.0537029898390594E-2</v>
      </c>
      <c r="AG4895">
        <v>4.8886539999999999E-2</v>
      </c>
      <c r="AH4895">
        <v>3.0344453659767501</v>
      </c>
      <c r="AI4895">
        <v>89.077339011839101</v>
      </c>
      <c r="AJ4895">
        <v>91.520326882641896</v>
      </c>
      <c r="AK4895">
        <v>3.03590757205746</v>
      </c>
      <c r="AL4895">
        <v>80.044927808810101</v>
      </c>
      <c r="AM4895">
        <v>94.223233372987906</v>
      </c>
      <c r="AN4895">
        <v>1.0000000058312799</v>
      </c>
    </row>
    <row r="4896" spans="1:40" x14ac:dyDescent="0.25">
      <c r="A4896" t="str">
        <f>"20190304155517443"</f>
        <v>20190304155517443</v>
      </c>
      <c r="B4896" t="str">
        <f>"1551686117432255"</f>
        <v>1551686117432255</v>
      </c>
      <c r="C4896" t="s">
        <v>40</v>
      </c>
      <c r="D4896">
        <v>5.0347929999999996</v>
      </c>
      <c r="E4896">
        <v>0.51500990000000002</v>
      </c>
      <c r="F4896" t="s">
        <v>43</v>
      </c>
      <c r="G4896">
        <v>0</v>
      </c>
      <c r="H4896">
        <v>0</v>
      </c>
      <c r="I4896">
        <v>0</v>
      </c>
      <c r="J4896">
        <v>-287.34989999999999</v>
      </c>
      <c r="K4896">
        <v>1.1128180000000001</v>
      </c>
      <c r="L4896">
        <v>-55.852229999999999</v>
      </c>
      <c r="M4896">
        <v>0.97974490000000003</v>
      </c>
      <c r="N4896">
        <v>-1.2317969999999999E-2</v>
      </c>
      <c r="O4896">
        <v>-0.19987099999999999</v>
      </c>
      <c r="P4896">
        <v>0.97863330000000004</v>
      </c>
      <c r="Q4896">
        <v>0.16103879999999901</v>
      </c>
      <c r="R4896">
        <v>-0.12784039999999999</v>
      </c>
      <c r="S4896">
        <v>2.993439</v>
      </c>
      <c r="T4896">
        <v>1.476121E-2</v>
      </c>
      <c r="U4896">
        <v>-0.53253169999999905</v>
      </c>
      <c r="V4896">
        <v>-7.1421029999999996E-2</v>
      </c>
      <c r="W4896">
        <v>0.17271619999999999</v>
      </c>
      <c r="X4896">
        <v>0.9823788</v>
      </c>
      <c r="Y4896">
        <v>-2.5152620000000001E-2</v>
      </c>
      <c r="Z4896">
        <v>-3.3404279999999999E-3</v>
      </c>
      <c r="AA4896">
        <v>0.99967799999999996</v>
      </c>
      <c r="AB4896">
        <v>24</v>
      </c>
      <c r="AC4896">
        <v>2.993439</v>
      </c>
      <c r="AD4896">
        <v>1.476121E-2</v>
      </c>
      <c r="AE4896">
        <v>-0.53253169999999905</v>
      </c>
      <c r="AF4896">
        <v>-7.6560424982583294E-2</v>
      </c>
      <c r="AG4896">
        <v>1.476121E-2</v>
      </c>
      <c r="AH4896">
        <v>3.0394028670642199</v>
      </c>
      <c r="AI4896">
        <v>89.721826872284893</v>
      </c>
      <c r="AJ4896">
        <v>91.442935342691598</v>
      </c>
      <c r="AK4896">
        <v>3.0404027990239002</v>
      </c>
      <c r="AL4896">
        <v>80.054217406741202</v>
      </c>
      <c r="AM4896">
        <v>94.1582092272361</v>
      </c>
      <c r="AN4896">
        <v>0.99999997797907003</v>
      </c>
    </row>
    <row r="4897" spans="1:40" x14ac:dyDescent="0.25">
      <c r="A4897" t="str">
        <f>"20190304155517454"</f>
        <v>20190304155517454</v>
      </c>
      <c r="B4897" t="str">
        <f>"1551686117442991"</f>
        <v>1551686117442991</v>
      </c>
      <c r="C4897" t="s">
        <v>40</v>
      </c>
      <c r="D4897">
        <v>4.8795440000000001</v>
      </c>
      <c r="E4897">
        <v>0.51397590000000004</v>
      </c>
      <c r="F4897" t="s">
        <v>67</v>
      </c>
      <c r="G4897">
        <v>116.66459999999999</v>
      </c>
      <c r="H4897">
        <v>-0.1</v>
      </c>
      <c r="I4897">
        <v>-126.625</v>
      </c>
      <c r="J4897">
        <v>-287.23489999999998</v>
      </c>
      <c r="K4897">
        <v>1.112568</v>
      </c>
      <c r="L4897">
        <v>-55.87341</v>
      </c>
      <c r="M4897">
        <v>0.98010419999999998</v>
      </c>
      <c r="N4897">
        <v>-1.22728E-2</v>
      </c>
      <c r="O4897">
        <v>-0.19810369999999999</v>
      </c>
      <c r="P4897">
        <v>0.97869870000000003</v>
      </c>
      <c r="Q4897">
        <v>0.16111619999999999</v>
      </c>
      <c r="R4897">
        <v>-0.12724279999999999</v>
      </c>
      <c r="S4897">
        <v>2.998383</v>
      </c>
      <c r="T4897">
        <v>-9.0008969999999903E-3</v>
      </c>
      <c r="U4897">
        <v>-0.52523799999999998</v>
      </c>
      <c r="V4897">
        <v>-7.0139699999999999E-2</v>
      </c>
      <c r="W4897">
        <v>0.17279939999999999</v>
      </c>
      <c r="X4897">
        <v>0.98245649999999995</v>
      </c>
      <c r="Y4897">
        <v>-2.6011820000000001E-2</v>
      </c>
      <c r="Z4897">
        <v>-1.651436E-3</v>
      </c>
      <c r="AA4897">
        <v>0.99966029999999995</v>
      </c>
      <c r="AB4897">
        <v>24</v>
      </c>
      <c r="AC4897">
        <v>403.89949999999999</v>
      </c>
      <c r="AD4897">
        <v>-1.2125680000000001</v>
      </c>
      <c r="AE4897">
        <v>-70.751589999999993</v>
      </c>
      <c r="AF4897">
        <v>-10.6707655300987</v>
      </c>
      <c r="AG4897">
        <v>-1.2125680000000001</v>
      </c>
      <c r="AH4897">
        <v>409.90704769135402</v>
      </c>
      <c r="AI4897">
        <v>90.169431821167706</v>
      </c>
      <c r="AJ4897">
        <v>91.491196067730698</v>
      </c>
      <c r="AK4897">
        <v>410.04770857205699</v>
      </c>
      <c r="AL4897">
        <v>80.049377772189303</v>
      </c>
      <c r="AM4897">
        <v>94.083541628390194</v>
      </c>
      <c r="AN4897">
        <v>0.99999999227434899</v>
      </c>
    </row>
    <row r="4898" spans="1:40" x14ac:dyDescent="0.25">
      <c r="A4898" t="str">
        <f>"20190304155517466"</f>
        <v>20190304155517466</v>
      </c>
      <c r="B4898" t="str">
        <f>"1551686117462511"</f>
        <v>1551686117462511</v>
      </c>
      <c r="C4898" t="s">
        <v>40</v>
      </c>
      <c r="D4898">
        <v>5.0436069999999997</v>
      </c>
      <c r="E4898">
        <v>0.51371679999999997</v>
      </c>
      <c r="F4898" t="s">
        <v>47</v>
      </c>
      <c r="G4898">
        <v>-155.45269999999999</v>
      </c>
      <c r="H4898">
        <v>-0.05</v>
      </c>
      <c r="I4898">
        <v>-78.598159999999993</v>
      </c>
      <c r="J4898">
        <v>-287.12610000000001</v>
      </c>
      <c r="K4898">
        <v>1.1123270000000001</v>
      </c>
      <c r="L4898">
        <v>-55.8934</v>
      </c>
      <c r="M4898">
        <v>0.98041469999999997</v>
      </c>
      <c r="N4898">
        <v>-1.2232130000000001E-2</v>
      </c>
      <c r="O4898">
        <v>-0.19656380000000001</v>
      </c>
      <c r="P4898">
        <v>0.97878810000000005</v>
      </c>
      <c r="Q4898">
        <v>0.161</v>
      </c>
      <c r="R4898">
        <v>-0.1266997</v>
      </c>
      <c r="S4898">
        <v>3.0023499999999999</v>
      </c>
      <c r="T4898">
        <v>-2.64864E-2</v>
      </c>
      <c r="U4898">
        <v>-0.51773069999999999</v>
      </c>
      <c r="V4898">
        <v>-6.9042889999999996E-2</v>
      </c>
      <c r="W4898">
        <v>0.17268989999999901</v>
      </c>
      <c r="X4898">
        <v>0.98255340000000002</v>
      </c>
      <c r="Y4898">
        <v>-2.7097659999999999E-2</v>
      </c>
      <c r="Z4898">
        <v>-4.1764290000000001E-4</v>
      </c>
      <c r="AA4898">
        <v>0.99963270000000004</v>
      </c>
      <c r="AB4898">
        <v>24</v>
      </c>
      <c r="AC4898">
        <v>131.67339999999999</v>
      </c>
      <c r="AD4898">
        <v>-1.1623270000000001</v>
      </c>
      <c r="AE4898">
        <v>-22.70476</v>
      </c>
      <c r="AF4898">
        <v>-3.6221404310130598</v>
      </c>
      <c r="AG4898">
        <v>-1.1623270000000001</v>
      </c>
      <c r="AH4898">
        <v>133.55736142749601</v>
      </c>
      <c r="AI4898">
        <v>90.498439572223901</v>
      </c>
      <c r="AJ4898">
        <v>91.553508530201896</v>
      </c>
      <c r="AK4898">
        <v>133.61152531436699</v>
      </c>
      <c r="AL4898">
        <v>80.055747023097695</v>
      </c>
      <c r="AM4898">
        <v>94.019501078056194</v>
      </c>
      <c r="AN4898">
        <v>0.99999995303655898</v>
      </c>
    </row>
    <row r="4899" spans="1:40" x14ac:dyDescent="0.25">
      <c r="A4899" t="str">
        <f>"20190304155517478"</f>
        <v>20190304155517478</v>
      </c>
      <c r="B4899" t="str">
        <f>"1551686117472272"</f>
        <v>1551686117472272</v>
      </c>
      <c r="C4899" t="s">
        <v>40</v>
      </c>
      <c r="D4899">
        <v>4.8352680000000001</v>
      </c>
      <c r="E4899">
        <v>0.51372629999999997</v>
      </c>
      <c r="F4899" t="s">
        <v>97</v>
      </c>
      <c r="G4899">
        <v>-220.63</v>
      </c>
      <c r="H4899" s="1">
        <v>-9.338123E-7</v>
      </c>
      <c r="I4899">
        <v>-67.333939999999998</v>
      </c>
      <c r="J4899">
        <v>-287.0025</v>
      </c>
      <c r="K4899">
        <v>1.1120589999999999</v>
      </c>
      <c r="L4899">
        <v>-55.916139999999999</v>
      </c>
      <c r="M4899">
        <v>0.98072199999999998</v>
      </c>
      <c r="N4899">
        <v>-1.2188630000000001E-2</v>
      </c>
      <c r="O4899">
        <v>-0.19502839999999999</v>
      </c>
      <c r="P4899">
        <v>0.97893379999999997</v>
      </c>
      <c r="Q4899">
        <v>0.1607345</v>
      </c>
      <c r="R4899">
        <v>-0.1259081</v>
      </c>
      <c r="S4899">
        <v>3.0063780000000002</v>
      </c>
      <c r="T4899">
        <v>-5.028987E-2</v>
      </c>
      <c r="U4899">
        <v>-0.51724239999999999</v>
      </c>
      <c r="V4899">
        <v>-6.8192390000000006E-2</v>
      </c>
      <c r="W4899">
        <v>0.17243069999999999</v>
      </c>
      <c r="X4899">
        <v>0.98265840000000004</v>
      </c>
      <c r="Y4899">
        <v>-2.591009E-2</v>
      </c>
      <c r="Z4899">
        <v>1.202159E-3</v>
      </c>
      <c r="AA4899">
        <v>0.99966350000000004</v>
      </c>
      <c r="AB4899">
        <v>24</v>
      </c>
      <c r="AC4899">
        <v>66.372500000000002</v>
      </c>
      <c r="AD4899">
        <v>-1.1120599338122901</v>
      </c>
      <c r="AE4899">
        <v>-11.4177999999999</v>
      </c>
      <c r="AF4899">
        <v>-1.7464881639779399</v>
      </c>
      <c r="AG4899">
        <v>-1.1120599338122901</v>
      </c>
      <c r="AH4899">
        <v>67.306406446814293</v>
      </c>
      <c r="AI4899">
        <v>90.946256281296399</v>
      </c>
      <c r="AJ4899">
        <v>91.486395669733298</v>
      </c>
      <c r="AK4899">
        <v>67.338245054256205</v>
      </c>
      <c r="AL4899">
        <v>80.070825133725805</v>
      </c>
      <c r="AM4899">
        <v>93.969723591105804</v>
      </c>
      <c r="AN4899">
        <v>1.0000000397234801</v>
      </c>
    </row>
    <row r="4900" spans="1:40" x14ac:dyDescent="0.25">
      <c r="A4900" t="str">
        <f>"20190304155517489"</f>
        <v>20190304155517489</v>
      </c>
      <c r="B4900" t="str">
        <f>"1551686117483007"</f>
        <v>1551686117483007</v>
      </c>
      <c r="C4900" t="s">
        <v>40</v>
      </c>
      <c r="D4900">
        <v>4.8481740000000002</v>
      </c>
      <c r="E4900">
        <v>0.51326729999999998</v>
      </c>
      <c r="F4900" t="s">
        <v>97</v>
      </c>
      <c r="G4900">
        <v>-229.71459999999999</v>
      </c>
      <c r="H4900" s="1">
        <v>-4.0320940000000002E-6</v>
      </c>
      <c r="I4900">
        <v>-65.751069999999999</v>
      </c>
      <c r="J4900">
        <v>-286.88159999999999</v>
      </c>
      <c r="K4900">
        <v>1.111802</v>
      </c>
      <c r="L4900">
        <v>-55.938420000000001</v>
      </c>
      <c r="M4900">
        <v>0.9809734</v>
      </c>
      <c r="N4900">
        <v>-1.214935E-2</v>
      </c>
      <c r="O4900">
        <v>-0.19376180000000001</v>
      </c>
      <c r="P4900">
        <v>0.97902940000000005</v>
      </c>
      <c r="Q4900">
        <v>0.159945899999999</v>
      </c>
      <c r="R4900">
        <v>-0.1261708</v>
      </c>
      <c r="S4900">
        <v>3.0077509999999998</v>
      </c>
      <c r="T4900">
        <v>-5.8385970000000002E-2</v>
      </c>
      <c r="U4900">
        <v>-0.51635739999999997</v>
      </c>
      <c r="V4900">
        <v>-6.6569890000000007E-2</v>
      </c>
      <c r="W4900">
        <v>0.17165469999999999</v>
      </c>
      <c r="X4900">
        <v>0.98290540000000004</v>
      </c>
      <c r="Y4900">
        <v>-2.497692E-2</v>
      </c>
      <c r="Z4900">
        <v>1.735927E-3</v>
      </c>
      <c r="AA4900">
        <v>0.99968650000000003</v>
      </c>
      <c r="AB4900">
        <v>24</v>
      </c>
      <c r="AC4900">
        <v>57.167000000000002</v>
      </c>
      <c r="AD4900">
        <v>-1.111806032094</v>
      </c>
      <c r="AE4900">
        <v>-9.8126499999999997</v>
      </c>
      <c r="AF4900">
        <v>-1.45040633610267</v>
      </c>
      <c r="AG4900">
        <v>-1.111806032094</v>
      </c>
      <c r="AH4900">
        <v>57.9636045032303</v>
      </c>
      <c r="AI4900">
        <v>91.0985178883776</v>
      </c>
      <c r="AJ4900">
        <v>91.433396429486393</v>
      </c>
      <c r="AK4900">
        <v>57.992406728809797</v>
      </c>
      <c r="AL4900">
        <v>80.115958798725003</v>
      </c>
      <c r="AM4900">
        <v>93.874592427087904</v>
      </c>
      <c r="AN4900">
        <v>0.99999995581793</v>
      </c>
    </row>
    <row r="4901" spans="1:40" x14ac:dyDescent="0.25">
      <c r="A4901" t="str">
        <f>"20190304155517500"</f>
        <v>20190304155517500</v>
      </c>
      <c r="B4901" t="str">
        <f>"1551686117492767"</f>
        <v>1551686117492767</v>
      </c>
      <c r="C4901" t="s">
        <v>40</v>
      </c>
      <c r="D4901">
        <v>4.8438559999999997</v>
      </c>
      <c r="E4901">
        <v>0.5129184</v>
      </c>
      <c r="F4901" t="s">
        <v>98</v>
      </c>
      <c r="G4901">
        <v>-237.9376</v>
      </c>
      <c r="H4901" s="1">
        <v>-3.2721680000000002E-6</v>
      </c>
      <c r="I4901">
        <v>-64.312439999999995</v>
      </c>
      <c r="J4901">
        <v>-286.76560000000001</v>
      </c>
      <c r="K4901">
        <v>1.111559</v>
      </c>
      <c r="L4901">
        <v>-55.95984</v>
      </c>
      <c r="M4901">
        <v>0.98119279999999998</v>
      </c>
      <c r="N4901">
        <v>-1.21134E-2</v>
      </c>
      <c r="O4901">
        <v>-0.19264990000000001</v>
      </c>
      <c r="P4901">
        <v>0.97911959999999998</v>
      </c>
      <c r="Q4901">
        <v>0.159114899999999</v>
      </c>
      <c r="R4901">
        <v>-0.12651960000000001</v>
      </c>
      <c r="S4901">
        <v>3.0090330000000001</v>
      </c>
      <c r="T4901">
        <v>-6.8352819999999995E-2</v>
      </c>
      <c r="U4901">
        <v>-0.5148315</v>
      </c>
      <c r="V4901">
        <v>-6.5022700000000003E-2</v>
      </c>
      <c r="W4901">
        <v>0.17083579999999901</v>
      </c>
      <c r="X4901">
        <v>0.98315169999999996</v>
      </c>
      <c r="Y4901">
        <v>-2.4400140000000001E-2</v>
      </c>
      <c r="Z4901">
        <v>2.39251E-3</v>
      </c>
      <c r="AA4901">
        <v>0.99969940000000002</v>
      </c>
      <c r="AB4901">
        <v>24</v>
      </c>
      <c r="AC4901">
        <v>48.828000000000003</v>
      </c>
      <c r="AD4901">
        <v>-1.1115622721680001</v>
      </c>
      <c r="AE4901">
        <v>-8.3526000000000096</v>
      </c>
      <c r="AF4901">
        <v>-1.21067760811323</v>
      </c>
      <c r="AG4901">
        <v>-1.1115622721680001</v>
      </c>
      <c r="AH4901">
        <v>49.497520081465602</v>
      </c>
      <c r="AI4901">
        <v>91.286086474106099</v>
      </c>
      <c r="AJ4901">
        <v>91.401138663691398</v>
      </c>
      <c r="AK4901">
        <v>49.524799900360897</v>
      </c>
      <c r="AL4901">
        <v>80.163582654781194</v>
      </c>
      <c r="AM4901">
        <v>93.783860160955797</v>
      </c>
      <c r="AN4901">
        <v>1.0000000436448999</v>
      </c>
    </row>
    <row r="4902" spans="1:40" x14ac:dyDescent="0.25">
      <c r="A4902" t="str">
        <f>"20190304155517512"</f>
        <v>20190304155517512</v>
      </c>
      <c r="B4902" t="str">
        <f>"1551686117502528"</f>
        <v>1551686117502528</v>
      </c>
      <c r="C4902" t="s">
        <v>40</v>
      </c>
      <c r="D4902">
        <v>4.8002019999999996</v>
      </c>
      <c r="E4902">
        <v>0.51304629999999996</v>
      </c>
      <c r="F4902" t="s">
        <v>94</v>
      </c>
      <c r="G4902">
        <v>-243.91990000000001</v>
      </c>
      <c r="H4902" s="1">
        <v>-1.43678E-6</v>
      </c>
      <c r="I4902">
        <v>-63.270130000000002</v>
      </c>
      <c r="J4902">
        <v>-286.65359999999998</v>
      </c>
      <c r="K4902">
        <v>1.111321</v>
      </c>
      <c r="L4902">
        <v>-55.980620000000002</v>
      </c>
      <c r="M4902">
        <v>0.98134600000000005</v>
      </c>
      <c r="N4902">
        <v>-1.208234E-2</v>
      </c>
      <c r="O4902">
        <v>-0.19187090000000001</v>
      </c>
      <c r="P4902">
        <v>0.97916939999999997</v>
      </c>
      <c r="Q4902">
        <v>0.15810859999999999</v>
      </c>
      <c r="R4902">
        <v>-0.12739629999999999</v>
      </c>
      <c r="S4902">
        <v>3.0102540000000002</v>
      </c>
      <c r="T4902">
        <v>-7.8096029999999997E-2</v>
      </c>
      <c r="U4902">
        <v>-0.51361080000000003</v>
      </c>
      <c r="V4902">
        <v>-6.3287309999999999E-2</v>
      </c>
      <c r="W4902">
        <v>0.16984389999999999</v>
      </c>
      <c r="X4902">
        <v>0.98343670000000005</v>
      </c>
      <c r="Y4902">
        <v>-2.4058349999999999E-2</v>
      </c>
      <c r="Z4902">
        <v>3.0325199999999999E-3</v>
      </c>
      <c r="AA4902">
        <v>0.99970599999999998</v>
      </c>
      <c r="AB4902">
        <v>24</v>
      </c>
      <c r="AC4902">
        <v>42.733699999999899</v>
      </c>
      <c r="AD4902">
        <v>-1.1113224367799901</v>
      </c>
      <c r="AE4902">
        <v>-7.2895099999999999</v>
      </c>
      <c r="AF4902">
        <v>-1.04521124645903</v>
      </c>
      <c r="AG4902">
        <v>-1.1113224367799901</v>
      </c>
      <c r="AH4902">
        <v>43.309882969687798</v>
      </c>
      <c r="AI4902">
        <v>91.469447374241298</v>
      </c>
      <c r="AJ4902">
        <v>91.382469007750601</v>
      </c>
      <c r="AK4902">
        <v>43.336744997245297</v>
      </c>
      <c r="AL4902">
        <v>80.221256685761304</v>
      </c>
      <c r="AM4902">
        <v>93.682090097184698</v>
      </c>
      <c r="AN4902">
        <v>0.99999998844056703</v>
      </c>
    </row>
    <row r="4903" spans="1:40" x14ac:dyDescent="0.25">
      <c r="A4903" t="str">
        <f>"20190304155517523"</f>
        <v>20190304155517523</v>
      </c>
      <c r="B4903" t="str">
        <f>"1551686117512287"</f>
        <v>1551686117512287</v>
      </c>
      <c r="C4903" t="s">
        <v>40</v>
      </c>
      <c r="D4903">
        <v>4.7566459999999999</v>
      </c>
      <c r="E4903">
        <v>0.51332009999999995</v>
      </c>
      <c r="F4903" t="s">
        <v>94</v>
      </c>
      <c r="G4903">
        <v>-247.63980000000001</v>
      </c>
      <c r="H4903" s="1">
        <v>-2.8772780000000002E-6</v>
      </c>
      <c r="I4903">
        <v>-62.686349999999997</v>
      </c>
      <c r="J4903">
        <v>-286.53039999999999</v>
      </c>
      <c r="K4903">
        <v>1.1110580000000001</v>
      </c>
      <c r="L4903">
        <v>-56.003570000000003</v>
      </c>
      <c r="M4903">
        <v>0.98149750000000002</v>
      </c>
      <c r="N4903">
        <v>-1.2049600000000001E-2</v>
      </c>
      <c r="O4903">
        <v>-0.19109599999999999</v>
      </c>
      <c r="P4903">
        <v>0.97924960000000005</v>
      </c>
      <c r="Q4903">
        <v>0.15741869999999999</v>
      </c>
      <c r="R4903">
        <v>-0.12763060000000001</v>
      </c>
      <c r="S4903">
        <v>3.010345</v>
      </c>
      <c r="T4903">
        <v>-8.5750939999999998E-2</v>
      </c>
      <c r="U4903">
        <v>-0.51742549999999998</v>
      </c>
      <c r="V4903">
        <v>-6.2184650000000001E-2</v>
      </c>
      <c r="W4903">
        <v>0.16916629999999999</v>
      </c>
      <c r="X4903">
        <v>0.9836239</v>
      </c>
      <c r="Y4903">
        <v>-2.2035490000000001E-2</v>
      </c>
      <c r="Z4903">
        <v>3.4952020000000002E-3</v>
      </c>
      <c r="AA4903">
        <v>0.9997511</v>
      </c>
      <c r="AB4903">
        <v>24</v>
      </c>
      <c r="AC4903">
        <v>38.8905999999999</v>
      </c>
      <c r="AD4903">
        <v>-1.111060877278</v>
      </c>
      <c r="AE4903">
        <v>-6.6827800000000002</v>
      </c>
      <c r="AF4903">
        <v>-0.87207814280204099</v>
      </c>
      <c r="AG4903">
        <v>-1.111060877278</v>
      </c>
      <c r="AH4903">
        <v>39.419688188562397</v>
      </c>
      <c r="AI4903">
        <v>91.614084043812895</v>
      </c>
      <c r="AJ4903">
        <v>91.267342541448002</v>
      </c>
      <c r="AK4903">
        <v>39.444984388939197</v>
      </c>
      <c r="AL4903">
        <v>80.260651184634497</v>
      </c>
      <c r="AM4903">
        <v>93.617421897454307</v>
      </c>
      <c r="AN4903">
        <v>1.0000000722012501</v>
      </c>
    </row>
    <row r="4904" spans="1:40" x14ac:dyDescent="0.25">
      <c r="A4904" t="str">
        <f>"20190304155517534"</f>
        <v>20190304155517534</v>
      </c>
      <c r="B4904" t="str">
        <f>"1551686117522521"</f>
        <v>1551686117522521</v>
      </c>
      <c r="C4904" t="s">
        <v>40</v>
      </c>
      <c r="D4904">
        <v>4.69163</v>
      </c>
      <c r="E4904">
        <v>0.51379870000000005</v>
      </c>
      <c r="F4904" t="s">
        <v>95</v>
      </c>
      <c r="G4904">
        <v>-250.1284</v>
      </c>
      <c r="H4904" s="1">
        <v>3.8372190000000001E-7</v>
      </c>
      <c r="I4904">
        <v>-62.295099999999998</v>
      </c>
      <c r="J4904">
        <v>-286.4135</v>
      </c>
      <c r="K4904">
        <v>1.1108100000000001</v>
      </c>
      <c r="L4904">
        <v>-56.025509999999997</v>
      </c>
      <c r="M4904">
        <v>0.9815874</v>
      </c>
      <c r="N4904">
        <v>-1.202198E-2</v>
      </c>
      <c r="O4904">
        <v>-0.19063559999999999</v>
      </c>
      <c r="P4904">
        <v>0.97938570000000003</v>
      </c>
      <c r="Q4904">
        <v>0.15648010000000001</v>
      </c>
      <c r="R4904">
        <v>-0.12774089999999999</v>
      </c>
      <c r="S4904">
        <v>3.010529</v>
      </c>
      <c r="T4904">
        <v>-9.1886999999999996E-2</v>
      </c>
      <c r="U4904">
        <v>-0.52032469999999997</v>
      </c>
      <c r="V4904">
        <v>-6.1536470000000003E-2</v>
      </c>
      <c r="W4904">
        <v>0.16824129999999901</v>
      </c>
      <c r="X4904">
        <v>0.98382320000000001</v>
      </c>
      <c r="Y4904">
        <v>-2.063448E-2</v>
      </c>
      <c r="Z4904">
        <v>3.867026E-3</v>
      </c>
      <c r="AA4904">
        <v>0.99977959999999999</v>
      </c>
      <c r="AB4904">
        <v>24</v>
      </c>
      <c r="AC4904">
        <v>36.2851</v>
      </c>
      <c r="AD4904">
        <v>-1.1108096162781</v>
      </c>
      <c r="AE4904">
        <v>-6.26959</v>
      </c>
      <c r="AF4904">
        <v>-0.76244247271300003</v>
      </c>
      <c r="AG4904">
        <v>-1.1108096162781</v>
      </c>
      <c r="AH4904">
        <v>36.781387830592202</v>
      </c>
      <c r="AI4904">
        <v>91.729453698468404</v>
      </c>
      <c r="AJ4904">
        <v>91.187515833233704</v>
      </c>
      <c r="AK4904">
        <v>36.806055307139999</v>
      </c>
      <c r="AL4904">
        <v>80.314419568438694</v>
      </c>
      <c r="AM4904">
        <v>93.579091062519197</v>
      </c>
      <c r="AN4904">
        <v>0.99999998051199501</v>
      </c>
    </row>
    <row r="4905" spans="1:40" x14ac:dyDescent="0.25">
      <c r="A4905" t="str">
        <f>"20190304155517545"</f>
        <v>20190304155517545</v>
      </c>
      <c r="B4905" t="str">
        <f>"1551686117542988"</f>
        <v>1551686117542988</v>
      </c>
      <c r="C4905" t="s">
        <v>40</v>
      </c>
      <c r="D4905">
        <v>4.7754699999999897</v>
      </c>
      <c r="E4905">
        <v>0.51414170000000003</v>
      </c>
      <c r="F4905" t="s">
        <v>95</v>
      </c>
      <c r="G4905">
        <v>-253.11619999999999</v>
      </c>
      <c r="H4905" s="1">
        <v>-7.9391649999999996E-7</v>
      </c>
      <c r="I4905">
        <v>-61.826889999999999</v>
      </c>
      <c r="J4905">
        <v>-286.30110000000002</v>
      </c>
      <c r="K4905">
        <v>1.1105799999999999</v>
      </c>
      <c r="L4905">
        <v>-56.046689999999998</v>
      </c>
      <c r="M4905">
        <v>0.98165259999999999</v>
      </c>
      <c r="N4905">
        <v>-1.199714E-2</v>
      </c>
      <c r="O4905">
        <v>-0.1903001</v>
      </c>
      <c r="P4905">
        <v>0.97941599999999995</v>
      </c>
      <c r="Q4905">
        <v>0.15614649999999999</v>
      </c>
      <c r="R4905">
        <v>-0.1279151</v>
      </c>
      <c r="S4905">
        <v>3.0107729999999999</v>
      </c>
      <c r="T4905">
        <v>-0.1004406</v>
      </c>
      <c r="U4905">
        <v>-0.52456669999999905</v>
      </c>
      <c r="V4905">
        <v>-6.0939380000000001E-2</v>
      </c>
      <c r="W4905">
        <v>0.16791889999999901</v>
      </c>
      <c r="X4905">
        <v>0.9839154</v>
      </c>
      <c r="Y4905">
        <v>-1.8927869999999999E-2</v>
      </c>
      <c r="Z4905">
        <v>4.3866159999999899E-3</v>
      </c>
      <c r="AA4905">
        <v>0.99981120000000001</v>
      </c>
      <c r="AB4905">
        <v>24</v>
      </c>
      <c r="AC4905">
        <v>33.184899999999999</v>
      </c>
      <c r="AD4905">
        <v>-1.1105807939165</v>
      </c>
      <c r="AE4905">
        <v>-5.78019999999999</v>
      </c>
      <c r="AF4905">
        <v>-0.64029158492695704</v>
      </c>
      <c r="AG4905">
        <v>-1.1105807939165</v>
      </c>
      <c r="AH4905">
        <v>33.641872178682398</v>
      </c>
      <c r="AI4905">
        <v>91.890411536437895</v>
      </c>
      <c r="AJ4905">
        <v>91.090354797747196</v>
      </c>
      <c r="AK4905">
        <v>33.666287688136201</v>
      </c>
      <c r="AL4905">
        <v>80.333157919552093</v>
      </c>
      <c r="AM4905">
        <v>93.544120718611495</v>
      </c>
      <c r="AN4905">
        <v>0.99999993968457501</v>
      </c>
    </row>
    <row r="4906" spans="1:40" x14ac:dyDescent="0.25">
      <c r="A4906" t="str">
        <f>"20190304155517556"</f>
        <v>20190304155517556</v>
      </c>
      <c r="B4906" t="str">
        <f>"1551686117552748"</f>
        <v>1551686117552748</v>
      </c>
      <c r="C4906" t="s">
        <v>40</v>
      </c>
      <c r="D4906">
        <v>4.802765</v>
      </c>
      <c r="E4906">
        <v>0.51438779999999995</v>
      </c>
      <c r="F4906" t="s">
        <v>95</v>
      </c>
      <c r="G4906">
        <v>-254.81659999999999</v>
      </c>
      <c r="H4906" s="1">
        <v>-1.4660499999999999E-6</v>
      </c>
      <c r="I4906">
        <v>-61.569070000000004</v>
      </c>
      <c r="J4906">
        <v>-286.18560000000002</v>
      </c>
      <c r="K4906">
        <v>1.1103559999999999</v>
      </c>
      <c r="L4906">
        <v>-56.068629999999999</v>
      </c>
      <c r="M4906">
        <v>0.98168650000000002</v>
      </c>
      <c r="N4906">
        <v>-1.197405E-2</v>
      </c>
      <c r="O4906">
        <v>-0.19012809999999999</v>
      </c>
      <c r="P4906">
        <v>0.97944030000000004</v>
      </c>
      <c r="Q4906">
        <v>0.15628900000000001</v>
      </c>
      <c r="R4906">
        <v>-0.12755639999999999</v>
      </c>
      <c r="S4906">
        <v>3.011047</v>
      </c>
      <c r="T4906">
        <v>-0.1062114</v>
      </c>
      <c r="U4906">
        <v>-0.52813719999999997</v>
      </c>
      <c r="V4906">
        <v>-6.103161E-2</v>
      </c>
      <c r="W4906">
        <v>0.16807159999999999</v>
      </c>
      <c r="X4906">
        <v>0.98388370000000003</v>
      </c>
      <c r="Y4906">
        <v>-1.7609449999999999E-2</v>
      </c>
      <c r="Z4906">
        <v>4.7312630000000003E-3</v>
      </c>
      <c r="AA4906">
        <v>0.99983379999999999</v>
      </c>
      <c r="AB4906">
        <v>24</v>
      </c>
      <c r="AC4906">
        <v>31.369</v>
      </c>
      <c r="AD4906">
        <v>-1.11035746605</v>
      </c>
      <c r="AE4906">
        <v>-5.5004399999999896</v>
      </c>
      <c r="AF4906">
        <v>-0.56377571800650295</v>
      </c>
      <c r="AG4906">
        <v>-1.11035746605</v>
      </c>
      <c r="AH4906">
        <v>31.8039283639798</v>
      </c>
      <c r="AI4906">
        <v>91.999218008682504</v>
      </c>
      <c r="AJ4906">
        <v>91.015553363667294</v>
      </c>
      <c r="AK4906">
        <v>31.828298668697101</v>
      </c>
      <c r="AL4906">
        <v>80.324283576534796</v>
      </c>
      <c r="AM4906">
        <v>93.549585009450993</v>
      </c>
      <c r="AN4906">
        <v>1.0000000276357199</v>
      </c>
    </row>
    <row r="4907" spans="1:40" x14ac:dyDescent="0.25">
      <c r="A4907" t="str">
        <f>"20190304155517568"</f>
        <v>20190304155517568</v>
      </c>
      <c r="B4907" t="str">
        <f>"1551686117562508"</f>
        <v>1551686117562508</v>
      </c>
      <c r="C4907" t="s">
        <v>40</v>
      </c>
      <c r="D4907">
        <v>4.8103220000000002</v>
      </c>
      <c r="E4907">
        <v>0.51421930000000005</v>
      </c>
      <c r="F4907" t="s">
        <v>95</v>
      </c>
      <c r="G4907">
        <v>-254.95500000000001</v>
      </c>
      <c r="H4907" s="1">
        <v>-1.5234140000000001E-6</v>
      </c>
      <c r="I4907">
        <v>-61.5599699999999</v>
      </c>
      <c r="J4907">
        <v>-286.0718</v>
      </c>
      <c r="K4907">
        <v>1.1101490000000001</v>
      </c>
      <c r="L4907">
        <v>-56.090420000000002</v>
      </c>
      <c r="M4907">
        <v>0.98168960000000005</v>
      </c>
      <c r="N4907">
        <v>-1.1953180000000001E-2</v>
      </c>
      <c r="O4907">
        <v>-0.1901128</v>
      </c>
      <c r="P4907">
        <v>0.97942130000000005</v>
      </c>
      <c r="Q4907">
        <v>0.15647639999999999</v>
      </c>
      <c r="R4907">
        <v>-0.12747259999999999</v>
      </c>
      <c r="S4907">
        <v>3.0111080000000001</v>
      </c>
      <c r="T4907">
        <v>-0.107055399999999</v>
      </c>
      <c r="U4907">
        <v>-0.52944950000000002</v>
      </c>
      <c r="V4907">
        <v>-6.1009809999999998E-2</v>
      </c>
      <c r="W4907">
        <v>0.1682691</v>
      </c>
      <c r="X4907">
        <v>0.98385129999999998</v>
      </c>
      <c r="Y4907">
        <v>-1.7173509999999999E-2</v>
      </c>
      <c r="Z4907">
        <v>4.7788329999999997E-3</v>
      </c>
      <c r="AA4907">
        <v>0.99984110000000004</v>
      </c>
      <c r="AB4907">
        <v>24</v>
      </c>
      <c r="AC4907">
        <v>31.116799999999898</v>
      </c>
      <c r="AD4907">
        <v>-1.1101505234139999</v>
      </c>
      <c r="AE4907">
        <v>-5.4695499999999901</v>
      </c>
      <c r="AF4907">
        <v>-0.54566686258292496</v>
      </c>
      <c r="AG4907">
        <v>-1.1101505234139999</v>
      </c>
      <c r="AH4907">
        <v>31.550168878710799</v>
      </c>
      <c r="AI4907">
        <v>92.014924521649306</v>
      </c>
      <c r="AJ4907">
        <v>90.990843871875796</v>
      </c>
      <c r="AK4907">
        <v>31.5744096189419</v>
      </c>
      <c r="AL4907">
        <v>80.312804229607494</v>
      </c>
      <c r="AM4907">
        <v>93.548436920188706</v>
      </c>
      <c r="AN4907">
        <v>1.0000000337213599</v>
      </c>
    </row>
    <row r="4908" spans="1:40" x14ac:dyDescent="0.25">
      <c r="A4908" t="str">
        <f>"20190304155517582"</f>
        <v>20190304155517582</v>
      </c>
      <c r="B4908" t="str">
        <f>"1551686117572267"</f>
        <v>1551686117572267</v>
      </c>
      <c r="C4908" t="s">
        <v>40</v>
      </c>
      <c r="D4908">
        <v>4.7623290000000003</v>
      </c>
      <c r="E4908">
        <v>0.51414139999999997</v>
      </c>
      <c r="F4908" t="s">
        <v>95</v>
      </c>
      <c r="G4908">
        <v>-255.5898</v>
      </c>
      <c r="H4908" s="1">
        <v>-1.7682299999999901E-6</v>
      </c>
      <c r="I4908">
        <v>-61.436219999999999</v>
      </c>
      <c r="J4908">
        <v>-285.9323</v>
      </c>
      <c r="K4908">
        <v>1.109907</v>
      </c>
      <c r="L4908">
        <v>-56.117280000000001</v>
      </c>
      <c r="M4908">
        <v>0.98166690000000001</v>
      </c>
      <c r="N4908">
        <v>-1.1929159999999999E-2</v>
      </c>
      <c r="O4908">
        <v>-0.19023119999999999</v>
      </c>
      <c r="P4908">
        <v>0.97941230000000001</v>
      </c>
      <c r="Q4908">
        <v>0.15648970000000001</v>
      </c>
      <c r="R4908">
        <v>-0.12752569999999999</v>
      </c>
      <c r="S4908">
        <v>3.0118100000000001</v>
      </c>
      <c r="T4908">
        <v>-0.10969</v>
      </c>
      <c r="U4908">
        <v>-0.52819819999999995</v>
      </c>
      <c r="V4908">
        <v>-6.0973880000000001E-2</v>
      </c>
      <c r="W4908">
        <v>0.16829539999999901</v>
      </c>
      <c r="X4908">
        <v>0.98384899999999997</v>
      </c>
      <c r="Y4908">
        <v>-1.7731779999999999E-2</v>
      </c>
      <c r="Z4908">
        <v>4.9689690000000002E-3</v>
      </c>
      <c r="AA4908">
        <v>0.99983040000000001</v>
      </c>
      <c r="AB4908">
        <v>24</v>
      </c>
      <c r="AC4908">
        <v>30.342500000000001</v>
      </c>
      <c r="AD4908">
        <v>-1.10990876823</v>
      </c>
      <c r="AE4908">
        <v>-5.3189399999999898</v>
      </c>
      <c r="AF4908">
        <v>-0.54998802684542603</v>
      </c>
      <c r="AG4908">
        <v>-1.10990876823</v>
      </c>
      <c r="AH4908">
        <v>30.7603143107556</v>
      </c>
      <c r="AI4908">
        <v>92.066148005165701</v>
      </c>
      <c r="AJ4908">
        <v>91.024327484286204</v>
      </c>
      <c r="AK4908">
        <v>30.785245180117499</v>
      </c>
      <c r="AL4908">
        <v>80.311275271442</v>
      </c>
      <c r="AM4908">
        <v>93.546360772878003</v>
      </c>
      <c r="AN4908">
        <v>1.0000000052522</v>
      </c>
    </row>
    <row r="4909" spans="1:40" x14ac:dyDescent="0.25">
      <c r="A4909" t="str">
        <f>"20190304155517596"</f>
        <v>20190304155517596</v>
      </c>
      <c r="B4909" t="str">
        <f>"1551686117592766"</f>
        <v>1551686117592766</v>
      </c>
      <c r="C4909" t="s">
        <v>40</v>
      </c>
      <c r="D4909">
        <v>4.8862389999999998</v>
      </c>
      <c r="E4909">
        <v>0.51379979999999903</v>
      </c>
      <c r="F4909" t="s">
        <v>95</v>
      </c>
      <c r="G4909">
        <v>-256.74149999999997</v>
      </c>
      <c r="H4909" s="1">
        <v>-2.217718E-6</v>
      </c>
      <c r="I4909">
        <v>-61.235669999999899</v>
      </c>
      <c r="J4909">
        <v>-285.78590000000003</v>
      </c>
      <c r="K4909">
        <v>1.1096729999999999</v>
      </c>
      <c r="L4909">
        <v>-56.145899999999997</v>
      </c>
      <c r="M4909">
        <v>0.98157879999999997</v>
      </c>
      <c r="N4909">
        <v>-1.190768E-2</v>
      </c>
      <c r="O4909">
        <v>-0.19068599999999999</v>
      </c>
      <c r="P4909">
        <v>0.97935720000000004</v>
      </c>
      <c r="Q4909">
        <v>0.15650829999999999</v>
      </c>
      <c r="R4909">
        <v>-0.12792390000000001</v>
      </c>
      <c r="S4909">
        <v>3.012543</v>
      </c>
      <c r="T4909">
        <v>-0.11454499999999999</v>
      </c>
      <c r="U4909">
        <v>-0.52822880000000005</v>
      </c>
      <c r="V4909">
        <v>-6.09332E-2</v>
      </c>
      <c r="W4909">
        <v>0.168327799999999</v>
      </c>
      <c r="X4909">
        <v>0.98384590000000005</v>
      </c>
      <c r="Y4909">
        <v>-1.8217420000000002E-2</v>
      </c>
      <c r="Z4909">
        <v>5.3100350000000003E-3</v>
      </c>
      <c r="AA4909">
        <v>0.99981989999999998</v>
      </c>
      <c r="AB4909">
        <v>24</v>
      </c>
      <c r="AC4909">
        <v>29.0444</v>
      </c>
      <c r="AD4909">
        <v>-1.10967521771799</v>
      </c>
      <c r="AE4909">
        <v>-5.0897699999999899</v>
      </c>
      <c r="AF4909">
        <v>-0.54162156047679</v>
      </c>
      <c r="AG4909">
        <v>-1.10967521771799</v>
      </c>
      <c r="AH4909">
        <v>29.440313173774399</v>
      </c>
      <c r="AI4909">
        <v>92.158227078926998</v>
      </c>
      <c r="AJ4909">
        <v>91.053967358891001</v>
      </c>
      <c r="AK4909">
        <v>29.466197120997901</v>
      </c>
      <c r="AL4909">
        <v>80.309391275696896</v>
      </c>
      <c r="AM4909">
        <v>93.544011914710097</v>
      </c>
      <c r="AN4909">
        <v>0.99999992903094204</v>
      </c>
    </row>
    <row r="4910" spans="1:40" x14ac:dyDescent="0.25">
      <c r="A4910" t="str">
        <f>"20190304155517613"</f>
        <v>20190304155517613</v>
      </c>
      <c r="B4910" t="str">
        <f>"1551686117602524"</f>
        <v>1551686117602524</v>
      </c>
      <c r="C4910" t="s">
        <v>40</v>
      </c>
      <c r="D4910">
        <v>4.7835190000000001</v>
      </c>
      <c r="E4910">
        <v>0.51373190000000002</v>
      </c>
      <c r="F4910" t="s">
        <v>95</v>
      </c>
      <c r="G4910">
        <v>-257.53190000000001</v>
      </c>
      <c r="H4910" s="1">
        <v>-2.5236089999999999E-6</v>
      </c>
      <c r="I4910">
        <v>-61.08643</v>
      </c>
      <c r="J4910">
        <v>-285.61009999999999</v>
      </c>
      <c r="K4910">
        <v>1.1094079999999999</v>
      </c>
      <c r="L4910">
        <v>-56.180630000000001</v>
      </c>
      <c r="M4910">
        <v>0.98142470000000004</v>
      </c>
      <c r="N4910">
        <v>-1.188488E-2</v>
      </c>
      <c r="O4910">
        <v>-0.19147890000000001</v>
      </c>
      <c r="P4910">
        <v>0.97930879999999998</v>
      </c>
      <c r="Q4910">
        <v>0.15536040000000001</v>
      </c>
      <c r="R4910">
        <v>-0.12968339999999901</v>
      </c>
      <c r="S4910">
        <v>3.0133359999999998</v>
      </c>
      <c r="T4910">
        <v>-0.1183491</v>
      </c>
      <c r="U4910">
        <v>-0.52691650000000001</v>
      </c>
      <c r="V4910">
        <v>-5.9886469999999997E-2</v>
      </c>
      <c r="W4910">
        <v>0.1671977</v>
      </c>
      <c r="X4910">
        <v>0.9841029</v>
      </c>
      <c r="Y4910">
        <v>-1.9483690000000001E-2</v>
      </c>
      <c r="Z4910">
        <v>5.6134440000000004E-3</v>
      </c>
      <c r="AA4910">
        <v>0.99979439999999997</v>
      </c>
      <c r="AB4910">
        <v>24</v>
      </c>
      <c r="AC4910">
        <v>28.078199999999899</v>
      </c>
      <c r="AD4910">
        <v>-1.1094105236089999</v>
      </c>
      <c r="AE4910">
        <v>-4.9057999999999904</v>
      </c>
      <c r="AF4910">
        <v>-0.560899558543834</v>
      </c>
      <c r="AG4910">
        <v>-1.1094105236089999</v>
      </c>
      <c r="AH4910">
        <v>28.454904313374499</v>
      </c>
      <c r="AI4910">
        <v>92.232305350721106</v>
      </c>
      <c r="AJ4910">
        <v>91.129261081498399</v>
      </c>
      <c r="AK4910">
        <v>28.4820466172634</v>
      </c>
      <c r="AL4910">
        <v>80.375072695545896</v>
      </c>
      <c r="AM4910">
        <v>93.482375521311596</v>
      </c>
      <c r="AN4910">
        <v>0.99999998898137998</v>
      </c>
    </row>
    <row r="4911" spans="1:40" x14ac:dyDescent="0.25">
      <c r="A4911" t="str">
        <f>"20190304155517627"</f>
        <v>20190304155517627</v>
      </c>
      <c r="B4911" t="str">
        <f>"1551686117622568"</f>
        <v>1551686117622568</v>
      </c>
      <c r="C4911" t="s">
        <v>40</v>
      </c>
      <c r="D4911">
        <v>4.7888510000000002</v>
      </c>
      <c r="E4911">
        <v>0.51387740000000004</v>
      </c>
      <c r="F4911" t="s">
        <v>95</v>
      </c>
      <c r="G4911">
        <v>-258.63260000000002</v>
      </c>
      <c r="H4911" s="1">
        <v>-2.9620909999999999E-6</v>
      </c>
      <c r="I4911">
        <v>-60.934800000000003</v>
      </c>
      <c r="J4911">
        <v>-285.4667</v>
      </c>
      <c r="K4911">
        <v>1.1092059999999999</v>
      </c>
      <c r="L4911">
        <v>-56.209290000000003</v>
      </c>
      <c r="M4911">
        <v>0.98126009999999997</v>
      </c>
      <c r="N4911">
        <v>-1.186884E-2</v>
      </c>
      <c r="O4911">
        <v>-0.19232260000000001</v>
      </c>
      <c r="P4911">
        <v>0.97917370000000004</v>
      </c>
      <c r="Q4911">
        <v>0.15500839999999999</v>
      </c>
      <c r="R4911">
        <v>-0.13111679999999901</v>
      </c>
      <c r="S4911">
        <v>3.0126650000000001</v>
      </c>
      <c r="T4911">
        <v>-0.12389169999999999</v>
      </c>
      <c r="U4911">
        <v>-0.53091429999999995</v>
      </c>
      <c r="V4911">
        <v>-5.9219340000000002E-2</v>
      </c>
      <c r="W4911">
        <v>0.16685920000000001</v>
      </c>
      <c r="X4911">
        <v>0.98420070000000004</v>
      </c>
      <c r="Y4911">
        <v>-1.9007329999999999E-2</v>
      </c>
      <c r="Z4911">
        <v>5.9919939999999996E-3</v>
      </c>
      <c r="AA4911">
        <v>0.99980139999999995</v>
      </c>
      <c r="AB4911">
        <v>24</v>
      </c>
      <c r="AC4911">
        <v>26.8340999999999</v>
      </c>
      <c r="AD4911">
        <v>-1.109208962091</v>
      </c>
      <c r="AE4911">
        <v>-4.7255099999999999</v>
      </c>
      <c r="AF4911">
        <v>-0.523019528486384</v>
      </c>
      <c r="AG4911">
        <v>-1.109208962091</v>
      </c>
      <c r="AH4911">
        <v>27.196897481005202</v>
      </c>
      <c r="AI4911">
        <v>92.335047995271594</v>
      </c>
      <c r="AJ4911">
        <v>91.101710894045397</v>
      </c>
      <c r="AK4911">
        <v>27.224531704715599</v>
      </c>
      <c r="AL4911">
        <v>80.394743472863098</v>
      </c>
      <c r="AM4911">
        <v>93.443334672009399</v>
      </c>
      <c r="AN4911">
        <v>0.99999997036758204</v>
      </c>
    </row>
    <row r="4912" spans="1:40" x14ac:dyDescent="0.25">
      <c r="A4912" t="str">
        <f>"20190304155517644"</f>
        <v>20190304155517644</v>
      </c>
      <c r="B4912" t="str">
        <f>"1551686117633288"</f>
        <v>1551686117633288</v>
      </c>
      <c r="C4912" t="s">
        <v>40</v>
      </c>
      <c r="D4912">
        <v>4.7893589999999904</v>
      </c>
      <c r="E4912">
        <v>0.51388789999999995</v>
      </c>
      <c r="F4912" t="s">
        <v>95</v>
      </c>
      <c r="G4912">
        <v>-259.22829999999999</v>
      </c>
      <c r="H4912" s="1">
        <v>-3.2047430000000001E-6</v>
      </c>
      <c r="I4912">
        <v>-60.876939999999998</v>
      </c>
      <c r="J4912">
        <v>-285.27140000000003</v>
      </c>
      <c r="K4912">
        <v>1.108967</v>
      </c>
      <c r="L4912">
        <v>-56.248899999999999</v>
      </c>
      <c r="M4912">
        <v>0.98097909999999999</v>
      </c>
      <c r="N4912">
        <v>-1.185105E-2</v>
      </c>
      <c r="O4912">
        <v>-0.1937518</v>
      </c>
      <c r="P4912">
        <v>0.97874559999999999</v>
      </c>
      <c r="Q4912">
        <v>0.1555474</v>
      </c>
      <c r="R4912">
        <v>-0.1336492</v>
      </c>
      <c r="S4912">
        <v>3.012238</v>
      </c>
      <c r="T4912">
        <v>-0.12734010000000001</v>
      </c>
      <c r="U4912">
        <v>-0.53585819999999995</v>
      </c>
      <c r="V4912">
        <v>-5.7986080000000002E-2</v>
      </c>
      <c r="W4912">
        <v>0.16741210000000001</v>
      </c>
      <c r="X4912">
        <v>0.98418030000000001</v>
      </c>
      <c r="Y4912">
        <v>-1.8840760000000002E-2</v>
      </c>
      <c r="Z4912">
        <v>6.2591139999999997E-3</v>
      </c>
      <c r="AA4912">
        <v>0.99980290000000005</v>
      </c>
      <c r="AB4912">
        <v>24</v>
      </c>
      <c r="AC4912">
        <v>26.043099999999999</v>
      </c>
      <c r="AD4912">
        <v>-1.1089702047429999</v>
      </c>
      <c r="AE4912">
        <v>-4.6280400000000004</v>
      </c>
      <c r="AF4912">
        <v>-0.50503475294776601</v>
      </c>
      <c r="AG4912">
        <v>-1.1089702047429999</v>
      </c>
      <c r="AH4912">
        <v>26.399878632177501</v>
      </c>
      <c r="AI4912">
        <v>92.404949542077802</v>
      </c>
      <c r="AJ4912">
        <v>91.095945596501295</v>
      </c>
      <c r="AK4912">
        <v>26.427986431251099</v>
      </c>
      <c r="AL4912">
        <v>80.362613258604796</v>
      </c>
      <c r="AM4912">
        <v>93.371863151960795</v>
      </c>
      <c r="AN4912">
        <v>1.0000000298041301</v>
      </c>
    </row>
    <row r="4913" spans="1:40" x14ac:dyDescent="0.25">
      <c r="A4913" t="str">
        <f>"20190304155517656"</f>
        <v>20190304155517656</v>
      </c>
      <c r="B4913" t="str">
        <f>"1551686117652807"</f>
        <v>1551686117652807</v>
      </c>
      <c r="C4913" t="s">
        <v>40</v>
      </c>
      <c r="D4913">
        <v>4.7337179999999996</v>
      </c>
      <c r="E4913">
        <v>0.5142004</v>
      </c>
      <c r="F4913" t="s">
        <v>95</v>
      </c>
      <c r="G4913">
        <v>-258.97340000000003</v>
      </c>
      <c r="H4913" s="1">
        <v>-3.1214829999999998E-6</v>
      </c>
      <c r="I4913">
        <v>-60.994149999999998</v>
      </c>
      <c r="J4913">
        <v>-285.14460000000003</v>
      </c>
      <c r="K4913">
        <v>1.1088309999999999</v>
      </c>
      <c r="L4913">
        <v>-56.27496</v>
      </c>
      <c r="M4913">
        <v>0.98076629999999998</v>
      </c>
      <c r="N4913">
        <v>-1.1841320000000001E-2</v>
      </c>
      <c r="O4913">
        <v>-0.19482659999999999</v>
      </c>
      <c r="P4913">
        <v>0.97843990000000003</v>
      </c>
      <c r="Q4913">
        <v>0.1558987</v>
      </c>
      <c r="R4913">
        <v>-0.13546639999999999</v>
      </c>
      <c r="S4913">
        <v>3.011139</v>
      </c>
      <c r="T4913">
        <v>-0.12697800000000001</v>
      </c>
      <c r="U4913">
        <v>-0.54333500000000001</v>
      </c>
      <c r="V4913">
        <v>-5.7166420000000003E-2</v>
      </c>
      <c r="W4913">
        <v>0.1677708</v>
      </c>
      <c r="X4913">
        <v>0.98416720000000002</v>
      </c>
      <c r="Y4913">
        <v>-1.7469889999999998E-2</v>
      </c>
      <c r="Z4913">
        <v>6.2321549999999996E-3</v>
      </c>
      <c r="AA4913">
        <v>0.99982800000000005</v>
      </c>
      <c r="AB4913">
        <v>24</v>
      </c>
      <c r="AC4913">
        <v>26.171199999999999</v>
      </c>
      <c r="AD4913">
        <v>-1.108834121483</v>
      </c>
      <c r="AE4913">
        <v>-4.7191899999999896</v>
      </c>
      <c r="AF4913">
        <v>-0.46963984948195497</v>
      </c>
      <c r="AG4913">
        <v>-1.108834121483</v>
      </c>
      <c r="AH4913">
        <v>26.542970327370501</v>
      </c>
      <c r="AI4913">
        <v>92.391769675380203</v>
      </c>
      <c r="AJ4913">
        <v>91.0136609980581</v>
      </c>
      <c r="AK4913">
        <v>26.570271893544</v>
      </c>
      <c r="AL4913">
        <v>80.341766703343893</v>
      </c>
      <c r="AM4913">
        <v>93.3243521176407</v>
      </c>
      <c r="AN4913">
        <v>1.0000000592320399</v>
      </c>
    </row>
    <row r="4914" spans="1:40" x14ac:dyDescent="0.25">
      <c r="A4914" t="str">
        <f>"20190304155517668"</f>
        <v>20190304155517668</v>
      </c>
      <c r="B4914" t="str">
        <f>"1551686117662568"</f>
        <v>1551686117662568</v>
      </c>
      <c r="C4914" t="s">
        <v>40</v>
      </c>
      <c r="D4914">
        <v>4.7756850000000002</v>
      </c>
      <c r="E4914">
        <v>0.51418829999999904</v>
      </c>
      <c r="F4914" t="s">
        <v>95</v>
      </c>
      <c r="G4914">
        <v>-259.02629999999999</v>
      </c>
      <c r="H4914" s="1">
        <v>-3.1590889999999999E-6</v>
      </c>
      <c r="I4914">
        <v>-61.061169999999997</v>
      </c>
      <c r="J4914">
        <v>-285.03410000000002</v>
      </c>
      <c r="K4914">
        <v>1.1087229999999999</v>
      </c>
      <c r="L4914">
        <v>-56.297910000000002</v>
      </c>
      <c r="M4914">
        <v>0.98056469999999996</v>
      </c>
      <c r="N4914">
        <v>-1.183351E-2</v>
      </c>
      <c r="O4914">
        <v>-0.19583900000000001</v>
      </c>
      <c r="P4914">
        <v>0.9780915</v>
      </c>
      <c r="Q4914">
        <v>0.15664910000000001</v>
      </c>
      <c r="R4914">
        <v>-0.13710600000000001</v>
      </c>
      <c r="S4914">
        <v>3.0101010000000001</v>
      </c>
      <c r="T4914">
        <v>-0.12779199999999999</v>
      </c>
      <c r="U4914">
        <v>-0.55160520000000002</v>
      </c>
      <c r="V4914">
        <v>-5.6462150000000003E-2</v>
      </c>
      <c r="W4914">
        <v>0.168524799999999</v>
      </c>
      <c r="X4914">
        <v>0.98407900000000004</v>
      </c>
      <c r="Y4914">
        <v>-1.578243E-2</v>
      </c>
      <c r="Z4914">
        <v>6.2722280000000004E-3</v>
      </c>
      <c r="AA4914">
        <v>0.99985579999999996</v>
      </c>
      <c r="AB4914">
        <v>24</v>
      </c>
      <c r="AC4914">
        <v>26.0078</v>
      </c>
      <c r="AD4914">
        <v>-1.1087261590890001</v>
      </c>
      <c r="AE4914">
        <v>-4.7632599999999998</v>
      </c>
      <c r="AF4914">
        <v>-0.42194457185260797</v>
      </c>
      <c r="AG4914">
        <v>-1.1087261590890001</v>
      </c>
      <c r="AH4914">
        <v>26.390608016423499</v>
      </c>
      <c r="AI4914">
        <v>92.405397060181201</v>
      </c>
      <c r="AJ4914">
        <v>90.915991910795796</v>
      </c>
      <c r="AK4914">
        <v>26.4172576622571</v>
      </c>
      <c r="AL4914">
        <v>80.297941415438601</v>
      </c>
      <c r="AM4914">
        <v>93.283781091091996</v>
      </c>
      <c r="AN4914">
        <v>1.0000000304193299</v>
      </c>
    </row>
    <row r="4915" spans="1:40" x14ac:dyDescent="0.25">
      <c r="A4915" t="str">
        <f>"20190304155517680"</f>
        <v>20190304155517680</v>
      </c>
      <c r="B4915" t="str">
        <f>"1551686117673303"</f>
        <v>1551686117673303</v>
      </c>
      <c r="C4915" t="s">
        <v>40</v>
      </c>
      <c r="D4915">
        <v>4.7391379999999996</v>
      </c>
      <c r="E4915">
        <v>0.51439760000000001</v>
      </c>
      <c r="F4915" t="s">
        <v>95</v>
      </c>
      <c r="G4915">
        <v>-258.63380000000001</v>
      </c>
      <c r="H4915" s="1">
        <v>-3.0166130000000002E-6</v>
      </c>
      <c r="I4915">
        <v>-61.177799999999998</v>
      </c>
      <c r="J4915">
        <v>-284.90359999999998</v>
      </c>
      <c r="K4915">
        <v>1.1086100000000001</v>
      </c>
      <c r="L4915">
        <v>-56.325229999999998</v>
      </c>
      <c r="M4915">
        <v>0.98031380000000001</v>
      </c>
      <c r="N4915">
        <v>-1.1824690000000001E-2</v>
      </c>
      <c r="O4915">
        <v>-0.19709099999999999</v>
      </c>
      <c r="P4915">
        <v>0.97779450000000001</v>
      </c>
      <c r="Q4915">
        <v>0.1572355</v>
      </c>
      <c r="R4915">
        <v>-0.13854549999999999</v>
      </c>
      <c r="S4915">
        <v>3.0094599999999998</v>
      </c>
      <c r="T4915">
        <v>-0.12638750000000001</v>
      </c>
      <c r="U4915">
        <v>-0.55627439999999995</v>
      </c>
      <c r="V4915">
        <v>-5.6202969999999998E-2</v>
      </c>
      <c r="W4915">
        <v>0.16911599999999999</v>
      </c>
      <c r="X4915">
        <v>0.98399239999999999</v>
      </c>
      <c r="Y4915">
        <v>-1.552365E-2</v>
      </c>
      <c r="Z4915">
        <v>6.2100019999999896E-3</v>
      </c>
      <c r="AA4915">
        <v>0.99986019999999998</v>
      </c>
      <c r="AB4915">
        <v>24</v>
      </c>
      <c r="AC4915">
        <v>26.269799999999901</v>
      </c>
      <c r="AD4915">
        <v>-1.1086130166129999</v>
      </c>
      <c r="AE4915">
        <v>-4.8525699999999903</v>
      </c>
      <c r="AF4915">
        <v>-0.41980627585832597</v>
      </c>
      <c r="AG4915">
        <v>-1.1086130166129999</v>
      </c>
      <c r="AH4915">
        <v>26.6649935287064</v>
      </c>
      <c r="AI4915">
        <v>92.380440472364697</v>
      </c>
      <c r="AJ4915">
        <v>90.901974372554704</v>
      </c>
      <c r="AK4915">
        <v>26.6913308026372</v>
      </c>
      <c r="AL4915">
        <v>80.263574772831205</v>
      </c>
      <c r="AM4915">
        <v>93.269027261486102</v>
      </c>
      <c r="AN4915">
        <v>1.00000001927529</v>
      </c>
    </row>
    <row r="4916" spans="1:40" x14ac:dyDescent="0.25">
      <c r="A4916" t="str">
        <f>"20190304155517691"</f>
        <v>20190304155517691</v>
      </c>
      <c r="B4916" t="str">
        <f>"1551686117683063"</f>
        <v>1551686117683063</v>
      </c>
      <c r="C4916" t="s">
        <v>40</v>
      </c>
      <c r="D4916">
        <v>4.8777299999999997</v>
      </c>
      <c r="E4916">
        <v>0.51453599999999999</v>
      </c>
      <c r="F4916" t="s">
        <v>95</v>
      </c>
      <c r="G4916">
        <v>-258.18759999999997</v>
      </c>
      <c r="H4916" s="1">
        <v>-2.855606E-6</v>
      </c>
      <c r="I4916">
        <v>-61.314509999999999</v>
      </c>
      <c r="J4916">
        <v>-284.7921</v>
      </c>
      <c r="K4916">
        <v>1.1085339999999999</v>
      </c>
      <c r="L4916">
        <v>-56.348880000000001</v>
      </c>
      <c r="M4916">
        <v>0.98007880000000003</v>
      </c>
      <c r="N4916">
        <v>-1.1817899999999999E-2</v>
      </c>
      <c r="O4916">
        <v>-0.1982573</v>
      </c>
      <c r="P4916">
        <v>0.97746659999999996</v>
      </c>
      <c r="Q4916">
        <v>0.15745439999999999</v>
      </c>
      <c r="R4916">
        <v>-0.14059679999999999</v>
      </c>
      <c r="S4916">
        <v>3.008575</v>
      </c>
      <c r="T4916">
        <v>-0.12484439999999999</v>
      </c>
      <c r="U4916">
        <v>-0.56185909999999994</v>
      </c>
      <c r="V4916">
        <v>-5.5268539999999998E-2</v>
      </c>
      <c r="W4916">
        <v>0.16933500000000001</v>
      </c>
      <c r="X4916">
        <v>0.98400770000000004</v>
      </c>
      <c r="Y4916">
        <v>-1.4870110000000001E-2</v>
      </c>
      <c r="Z4916">
        <v>6.1246119999999998E-3</v>
      </c>
      <c r="AA4916">
        <v>0.9998707</v>
      </c>
      <c r="AB4916">
        <v>24</v>
      </c>
      <c r="AC4916">
        <v>26.604500000000002</v>
      </c>
      <c r="AD4916">
        <v>-1.108536855606</v>
      </c>
      <c r="AE4916">
        <v>-4.9656299999999902</v>
      </c>
      <c r="AF4916">
        <v>-0.407172993015118</v>
      </c>
      <c r="AG4916">
        <v>-1.108536855606</v>
      </c>
      <c r="AH4916">
        <v>27.015543210787001</v>
      </c>
      <c r="AI4916">
        <v>92.349450130200495</v>
      </c>
      <c r="AJ4916">
        <v>90.863485423983406</v>
      </c>
      <c r="AK4916">
        <v>27.041342769551498</v>
      </c>
      <c r="AL4916">
        <v>80.250843715863397</v>
      </c>
      <c r="AM4916">
        <v>93.214741526648098</v>
      </c>
      <c r="AN4916">
        <v>1.0000000536989999</v>
      </c>
    </row>
    <row r="4917" spans="1:40" x14ac:dyDescent="0.25">
      <c r="A4917" t="str">
        <f>"20190304155517702"</f>
        <v>20190304155517702</v>
      </c>
      <c r="B4917" t="str">
        <f>"1551686117692823"</f>
        <v>1551686117692823</v>
      </c>
      <c r="C4917" t="s">
        <v>40</v>
      </c>
      <c r="D4917">
        <v>4.7687309999999998</v>
      </c>
      <c r="E4917">
        <v>0.51456179999999996</v>
      </c>
      <c r="F4917" t="s">
        <v>95</v>
      </c>
      <c r="G4917">
        <v>-258.14819999999997</v>
      </c>
      <c r="H4917" s="1">
        <v>-2.8555020000000001E-6</v>
      </c>
      <c r="I4917">
        <v>-61.390050000000002</v>
      </c>
      <c r="J4917">
        <v>-284.67540000000002</v>
      </c>
      <c r="K4917">
        <v>1.1084560000000001</v>
      </c>
      <c r="L4917">
        <v>-56.373750000000001</v>
      </c>
      <c r="M4917">
        <v>0.97982729999999996</v>
      </c>
      <c r="N4917">
        <v>-1.181081E-2</v>
      </c>
      <c r="O4917">
        <v>-0.19949649999999999</v>
      </c>
      <c r="P4917">
        <v>0.97720700000000005</v>
      </c>
      <c r="Q4917">
        <v>0.1574207</v>
      </c>
      <c r="R4917">
        <v>-0.14242650000000001</v>
      </c>
      <c r="S4917">
        <v>3.0074770000000002</v>
      </c>
      <c r="T4917">
        <v>-0.12512789999999999</v>
      </c>
      <c r="U4917">
        <v>-0.56903079999999995</v>
      </c>
      <c r="V4917">
        <v>-5.4640099999999997E-2</v>
      </c>
      <c r="W4917">
        <v>0.16930209999999901</v>
      </c>
      <c r="X4917">
        <v>0.98404840000000005</v>
      </c>
      <c r="Y4917">
        <v>-1.376573E-2</v>
      </c>
      <c r="Z4917">
        <v>6.1517059999999998E-3</v>
      </c>
      <c r="AA4917">
        <v>0.99988630000000001</v>
      </c>
      <c r="AB4917">
        <v>24</v>
      </c>
      <c r="AC4917">
        <v>26.527200000000001</v>
      </c>
      <c r="AD4917">
        <v>-1.1084588555020001</v>
      </c>
      <c r="AE4917">
        <v>-5.0163000000000002</v>
      </c>
      <c r="AF4917">
        <v>-0.37636771867569602</v>
      </c>
      <c r="AG4917">
        <v>-1.1084588555020001</v>
      </c>
      <c r="AH4917">
        <v>26.949263267772</v>
      </c>
      <c r="AI4917">
        <v>92.355094182585901</v>
      </c>
      <c r="AJ4917">
        <v>90.800128737681206</v>
      </c>
      <c r="AK4917">
        <v>26.9746756119455</v>
      </c>
      <c r="AL4917">
        <v>80.252755810426194</v>
      </c>
      <c r="AM4917">
        <v>93.1781319665903</v>
      </c>
      <c r="AN4917">
        <v>0.99999999756749003</v>
      </c>
    </row>
    <row r="4918" spans="1:40" x14ac:dyDescent="0.25">
      <c r="A4918" t="str">
        <f>"20190304155517713"</f>
        <v>20190304155517713</v>
      </c>
      <c r="B4918" t="str">
        <f>"1551686117702584"</f>
        <v>1551686117702584</v>
      </c>
      <c r="C4918" t="s">
        <v>40</v>
      </c>
      <c r="D4918">
        <v>4.7502309999999897</v>
      </c>
      <c r="E4918">
        <v>0.51474719999999996</v>
      </c>
      <c r="F4918" t="s">
        <v>95</v>
      </c>
      <c r="G4918">
        <v>-258.24680000000001</v>
      </c>
      <c r="H4918" s="1">
        <v>-2.9054749999999999E-6</v>
      </c>
      <c r="I4918">
        <v>-61.424529999999997</v>
      </c>
      <c r="J4918">
        <v>-284.56220000000002</v>
      </c>
      <c r="K4918">
        <v>1.108401</v>
      </c>
      <c r="L4918">
        <v>-56.398220000000002</v>
      </c>
      <c r="M4918">
        <v>0.97956650000000001</v>
      </c>
      <c r="N4918">
        <v>-1.1805049999999999E-2</v>
      </c>
      <c r="O4918">
        <v>-0.2007729</v>
      </c>
      <c r="P4918">
        <v>0.97706839999999995</v>
      </c>
      <c r="Q4918">
        <v>0.15679879999999999</v>
      </c>
      <c r="R4918">
        <v>-0.14405390000000001</v>
      </c>
      <c r="S4918">
        <v>3.006561</v>
      </c>
      <c r="T4918">
        <v>-0.1261002</v>
      </c>
      <c r="U4918">
        <v>-0.57458500000000001</v>
      </c>
      <c r="V4918">
        <v>-5.4284180000000001E-2</v>
      </c>
      <c r="W4918">
        <v>0.16868129999999901</v>
      </c>
      <c r="X4918">
        <v>0.98417469999999996</v>
      </c>
      <c r="Y4918">
        <v>-1.3228210000000001E-2</v>
      </c>
      <c r="Z4918">
        <v>6.2413240000000004E-3</v>
      </c>
      <c r="AA4918">
        <v>0.99989300000000003</v>
      </c>
      <c r="AB4918">
        <v>24</v>
      </c>
      <c r="AC4918">
        <v>26.3154</v>
      </c>
      <c r="AD4918">
        <v>-1.1084039054749999</v>
      </c>
      <c r="AE4918">
        <v>-5.0263099999999996</v>
      </c>
      <c r="AF4918">
        <v>-0.35922455047652602</v>
      </c>
      <c r="AG4918">
        <v>-1.1084039054749999</v>
      </c>
      <c r="AH4918">
        <v>26.7429280909566</v>
      </c>
      <c r="AI4918">
        <v>92.373144023537193</v>
      </c>
      <c r="AJ4918">
        <v>90.769579636731706</v>
      </c>
      <c r="AK4918">
        <v>26.768298496045901</v>
      </c>
      <c r="AL4918">
        <v>80.288844062369094</v>
      </c>
      <c r="AM4918">
        <v>93.157067584986507</v>
      </c>
      <c r="AN4918">
        <v>0.99999999664402595</v>
      </c>
    </row>
    <row r="4919" spans="1:40" x14ac:dyDescent="0.25">
      <c r="A4919" t="str">
        <f>"20190304155517723"</f>
        <v>20190304155517723</v>
      </c>
      <c r="B4919" t="str">
        <f>"1551686117712342"</f>
        <v>1551686117712342</v>
      </c>
      <c r="C4919" t="s">
        <v>40</v>
      </c>
      <c r="D4919">
        <v>4.8421979999999998</v>
      </c>
      <c r="E4919">
        <v>0.51463099999999995</v>
      </c>
      <c r="F4919" t="s">
        <v>95</v>
      </c>
      <c r="G4919">
        <v>-258.51440000000002</v>
      </c>
      <c r="H4919" s="1">
        <v>-3.0218200000000001E-6</v>
      </c>
      <c r="I4919">
        <v>-61.4315199999999</v>
      </c>
      <c r="J4919">
        <v>-284.46030000000002</v>
      </c>
      <c r="K4919">
        <v>1.1083510000000001</v>
      </c>
      <c r="L4919">
        <v>-56.420290000000001</v>
      </c>
      <c r="M4919">
        <v>0.97932859999999999</v>
      </c>
      <c r="N4919">
        <v>-1.179992E-2</v>
      </c>
      <c r="O4919">
        <v>-0.2019319</v>
      </c>
      <c r="P4919">
        <v>0.97687610000000002</v>
      </c>
      <c r="Q4919">
        <v>0.1566438</v>
      </c>
      <c r="R4919">
        <v>-0.14552029999999999</v>
      </c>
      <c r="S4919">
        <v>3.00528</v>
      </c>
      <c r="T4919">
        <v>-0.12788269999999999</v>
      </c>
      <c r="U4919">
        <v>-0.58071899999999999</v>
      </c>
      <c r="V4919">
        <v>-5.3958539999999999E-2</v>
      </c>
      <c r="W4919">
        <v>0.1685257</v>
      </c>
      <c r="X4919">
        <v>0.98421930000000002</v>
      </c>
      <c r="Y4919">
        <v>-1.236114E-2</v>
      </c>
      <c r="Z4919">
        <v>6.3750559999999996E-3</v>
      </c>
      <c r="AA4919">
        <v>0.99990330000000005</v>
      </c>
      <c r="AB4919">
        <v>24</v>
      </c>
      <c r="AC4919">
        <v>25.945899999999899</v>
      </c>
      <c r="AD4919">
        <v>-1.1083540218200001</v>
      </c>
      <c r="AE4919">
        <v>-5.0112299999999896</v>
      </c>
      <c r="AF4919">
        <v>-0.33110460017396598</v>
      </c>
      <c r="AG4919">
        <v>-1.1083540218200001</v>
      </c>
      <c r="AH4919">
        <v>26.376923502454702</v>
      </c>
      <c r="AI4919">
        <v>92.405954496746602</v>
      </c>
      <c r="AJ4919">
        <v>90.719185458656597</v>
      </c>
      <c r="AK4919">
        <v>26.402275893344601</v>
      </c>
      <c r="AL4919">
        <v>80.297889126733097</v>
      </c>
      <c r="AM4919">
        <v>93.1380250093802</v>
      </c>
      <c r="AN4919">
        <v>1.00000003304595</v>
      </c>
    </row>
    <row r="4920" spans="1:40" x14ac:dyDescent="0.25">
      <c r="A4920" t="str">
        <f>"20190304155517733"</f>
        <v>20190304155517733</v>
      </c>
      <c r="B4920" t="str">
        <f>"1551686117723078"</f>
        <v>1551686117723078</v>
      </c>
      <c r="C4920" t="s">
        <v>40</v>
      </c>
      <c r="D4920">
        <v>4.7378640000000001</v>
      </c>
      <c r="E4920">
        <v>0.51459409999999906</v>
      </c>
      <c r="F4920" t="s">
        <v>95</v>
      </c>
      <c r="G4920">
        <v>-258.72289999999998</v>
      </c>
      <c r="H4920" s="1">
        <v>-3.1092560000000001E-6</v>
      </c>
      <c r="I4920">
        <v>-61.422420000000002</v>
      </c>
      <c r="J4920">
        <v>-284.35079999999999</v>
      </c>
      <c r="K4920">
        <v>1.10832</v>
      </c>
      <c r="L4920">
        <v>-56.444310000000002</v>
      </c>
      <c r="M4920">
        <v>0.97906219999999999</v>
      </c>
      <c r="N4920">
        <v>-1.179522E-2</v>
      </c>
      <c r="O4920">
        <v>-0.20321919999999999</v>
      </c>
      <c r="P4920">
        <v>0.97671140000000001</v>
      </c>
      <c r="Q4920">
        <v>0.15637319999999999</v>
      </c>
      <c r="R4920">
        <v>-0.1469087</v>
      </c>
      <c r="S4920">
        <v>3.0047609999999998</v>
      </c>
      <c r="T4920">
        <v>-0.12939700000000001</v>
      </c>
      <c r="U4920">
        <v>-0.58398439999999996</v>
      </c>
      <c r="V4920">
        <v>-5.3851250000000003E-2</v>
      </c>
      <c r="W4920">
        <v>0.16825490000000001</v>
      </c>
      <c r="X4920">
        <v>0.98427149999999997</v>
      </c>
      <c r="Y4920">
        <v>-1.259218E-2</v>
      </c>
      <c r="Z4920">
        <v>6.5236720000000003E-3</v>
      </c>
      <c r="AA4920">
        <v>0.99989939999999999</v>
      </c>
      <c r="AB4920">
        <v>24</v>
      </c>
      <c r="AC4920">
        <v>25.6279</v>
      </c>
      <c r="AD4920">
        <v>-1.108323109256</v>
      </c>
      <c r="AE4920">
        <v>-4.97811</v>
      </c>
      <c r="AF4920">
        <v>-0.33362398116794101</v>
      </c>
      <c r="AG4920">
        <v>-1.108323109256</v>
      </c>
      <c r="AH4920">
        <v>26.057808774248901</v>
      </c>
      <c r="AI4920">
        <v>92.435307987619595</v>
      </c>
      <c r="AJ4920">
        <v>90.7335306610088</v>
      </c>
      <c r="AK4920">
        <v>26.083502126644099</v>
      </c>
      <c r="AL4920">
        <v>80.313629532796298</v>
      </c>
      <c r="AM4920">
        <v>93.1316320993961</v>
      </c>
      <c r="AN4920">
        <v>1.00000002710641</v>
      </c>
    </row>
    <row r="4921" spans="1:40" x14ac:dyDescent="0.25">
      <c r="A4921" t="str">
        <f>"20190304155517745"</f>
        <v>20190304155517745</v>
      </c>
      <c r="B4921" t="str">
        <f>"1551686117732839"</f>
        <v>1551686117732839</v>
      </c>
      <c r="C4921" t="s">
        <v>40</v>
      </c>
      <c r="D4921">
        <v>4.7702059999999999</v>
      </c>
      <c r="E4921">
        <v>0.51456099999999905</v>
      </c>
      <c r="F4921" t="s">
        <v>95</v>
      </c>
      <c r="G4921">
        <v>-259.01979999999998</v>
      </c>
      <c r="H4921" s="1">
        <v>-3.2286490000000002E-6</v>
      </c>
      <c r="I4921">
        <v>-61.401649999999997</v>
      </c>
      <c r="J4921">
        <v>-284.2373</v>
      </c>
      <c r="K4921">
        <v>1.108293</v>
      </c>
      <c r="L4921">
        <v>-56.469299999999997</v>
      </c>
      <c r="M4921">
        <v>0.97878270000000001</v>
      </c>
      <c r="N4921">
        <v>-1.179053E-2</v>
      </c>
      <c r="O4921">
        <v>-0.2045621</v>
      </c>
      <c r="P4921">
        <v>0.97670840000000003</v>
      </c>
      <c r="Q4921">
        <v>0.15529189999999901</v>
      </c>
      <c r="R4921">
        <v>-0.1480726</v>
      </c>
      <c r="S4921">
        <v>3.0041500000000001</v>
      </c>
      <c r="T4921">
        <v>-0.1314427</v>
      </c>
      <c r="U4921">
        <v>-0.58792109999999997</v>
      </c>
      <c r="V4921">
        <v>-5.4058910000000002E-2</v>
      </c>
      <c r="W4921">
        <v>0.1671752</v>
      </c>
      <c r="X4921">
        <v>0.98444410000000004</v>
      </c>
      <c r="Y4921">
        <v>-1.2658340000000001E-2</v>
      </c>
      <c r="Z4921">
        <v>6.7073879999999999E-3</v>
      </c>
      <c r="AA4921">
        <v>0.99989740000000005</v>
      </c>
      <c r="AB4921">
        <v>24</v>
      </c>
      <c r="AC4921">
        <v>25.217500000000001</v>
      </c>
      <c r="AD4921">
        <v>-1.1082962286489999</v>
      </c>
      <c r="AE4921">
        <v>-4.9323499999999996</v>
      </c>
      <c r="AF4921">
        <v>-0.33025446434144401</v>
      </c>
      <c r="AG4921">
        <v>-1.1082962286489999</v>
      </c>
      <c r="AH4921">
        <v>25.645496918281001</v>
      </c>
      <c r="AI4921">
        <v>92.474350726926502</v>
      </c>
      <c r="AJ4921">
        <v>90.737795845875596</v>
      </c>
      <c r="AK4921">
        <v>25.6715582060617</v>
      </c>
      <c r="AL4921">
        <v>80.376380843358405</v>
      </c>
      <c r="AM4921">
        <v>93.143133985751305</v>
      </c>
      <c r="AN4921">
        <v>1.00000004963511</v>
      </c>
    </row>
    <row r="4922" spans="1:40" x14ac:dyDescent="0.25">
      <c r="A4922" t="str">
        <f>"20190304155517755"</f>
        <v>20190304155517755</v>
      </c>
      <c r="B4922" t="str">
        <f>"1551686117752360"</f>
        <v>1551686117752360</v>
      </c>
      <c r="C4922" t="s">
        <v>40</v>
      </c>
      <c r="D4922">
        <v>4.7649400000000002</v>
      </c>
      <c r="E4922">
        <v>0.51452849999999895</v>
      </c>
      <c r="F4922" t="s">
        <v>95</v>
      </c>
      <c r="G4922">
        <v>-259.71589999999998</v>
      </c>
      <c r="H4922" s="1">
        <v>-3.4513349999999998E-6</v>
      </c>
      <c r="I4922">
        <v>-61.295430000000003</v>
      </c>
      <c r="J4922">
        <v>-284.12240000000003</v>
      </c>
      <c r="K4922">
        <v>1.108277</v>
      </c>
      <c r="L4922">
        <v>-56.494840000000003</v>
      </c>
      <c r="M4922">
        <v>0.97849359999999996</v>
      </c>
      <c r="N4922">
        <v>-1.1786319999999999E-2</v>
      </c>
      <c r="O4922">
        <v>-0.2059406</v>
      </c>
      <c r="P4922">
        <v>0.97662789999999999</v>
      </c>
      <c r="Q4922">
        <v>0.15461220000000001</v>
      </c>
      <c r="R4922">
        <v>-0.14930929999999901</v>
      </c>
      <c r="S4922">
        <v>3.003479</v>
      </c>
      <c r="T4922">
        <v>-0.13574890000000001</v>
      </c>
      <c r="U4922">
        <v>-0.59112549999999997</v>
      </c>
      <c r="V4922">
        <v>-5.4219669999999998E-2</v>
      </c>
      <c r="W4922">
        <v>0.16649529999999901</v>
      </c>
      <c r="X4922">
        <v>0.98455040000000005</v>
      </c>
      <c r="Y4922">
        <v>-1.29865E-2</v>
      </c>
      <c r="Z4922">
        <v>7.0582240000000001E-3</v>
      </c>
      <c r="AA4922">
        <v>0.99989070000000002</v>
      </c>
      <c r="AB4922">
        <v>24</v>
      </c>
      <c r="AC4922">
        <v>24.406500000000001</v>
      </c>
      <c r="AD4922">
        <v>-1.108280451335</v>
      </c>
      <c r="AE4922">
        <v>-4.8005899999999997</v>
      </c>
      <c r="AF4922">
        <v>-0.32831371774813201</v>
      </c>
      <c r="AG4922">
        <v>-1.108280451335</v>
      </c>
      <c r="AH4922">
        <v>24.8226880379048</v>
      </c>
      <c r="AI4922">
        <v>92.556214139050297</v>
      </c>
      <c r="AJ4922">
        <v>90.757770212476203</v>
      </c>
      <c r="AK4922">
        <v>24.849585849329898</v>
      </c>
      <c r="AL4922">
        <v>80.415889238267994</v>
      </c>
      <c r="AM4922">
        <v>93.152122511425802</v>
      </c>
      <c r="AN4922">
        <v>0.99999997383857897</v>
      </c>
    </row>
    <row r="4923" spans="1:40" x14ac:dyDescent="0.25">
      <c r="A4923" t="str">
        <f>"20190304155517767"</f>
        <v>20190304155517767</v>
      </c>
      <c r="B4923" t="str">
        <f>"1551686117763095"</f>
        <v>1551686117763095</v>
      </c>
      <c r="C4923" t="s">
        <v>40</v>
      </c>
      <c r="D4923">
        <v>4.7459030000000002</v>
      </c>
      <c r="E4923">
        <v>0.51450790000000002</v>
      </c>
      <c r="F4923" t="s">
        <v>96</v>
      </c>
      <c r="G4923">
        <v>-260.24299999999999</v>
      </c>
      <c r="H4923" s="1">
        <v>6.6681889999999997E-7</v>
      </c>
      <c r="I4923">
        <v>-61.224310000000003</v>
      </c>
      <c r="J4923">
        <v>-284.00720000000001</v>
      </c>
      <c r="K4923">
        <v>1.1082639999999999</v>
      </c>
      <c r="L4923">
        <v>-56.520629999999997</v>
      </c>
      <c r="M4923">
        <v>0.97820090000000004</v>
      </c>
      <c r="N4923">
        <v>-1.178215E-2</v>
      </c>
      <c r="O4923">
        <v>-0.2073267</v>
      </c>
      <c r="P4923">
        <v>0.97660659999999999</v>
      </c>
      <c r="Q4923">
        <v>0.1535155</v>
      </c>
      <c r="R4923">
        <v>-0.15057429999999999</v>
      </c>
      <c r="S4923">
        <v>3.0029300000000001</v>
      </c>
      <c r="T4923">
        <v>-0.1393701</v>
      </c>
      <c r="U4923">
        <v>-0.59475710000000004</v>
      </c>
      <c r="V4923">
        <v>-5.4379619999999997E-2</v>
      </c>
      <c r="W4923">
        <v>0.1653973</v>
      </c>
      <c r="X4923">
        <v>0.98472669999999995</v>
      </c>
      <c r="Y4923">
        <v>-1.3194890000000001E-2</v>
      </c>
      <c r="Z4923">
        <v>7.3618190000000003E-3</v>
      </c>
      <c r="AA4923">
        <v>0.99988589999999999</v>
      </c>
      <c r="AB4923">
        <v>24</v>
      </c>
      <c r="AC4923">
        <v>23.764199999999999</v>
      </c>
      <c r="AD4923">
        <v>-1.10826333318109</v>
      </c>
      <c r="AE4923">
        <v>-4.7036799999999896</v>
      </c>
      <c r="AF4923">
        <v>-0.32515123053105099</v>
      </c>
      <c r="AG4923">
        <v>-1.10826333318109</v>
      </c>
      <c r="AH4923">
        <v>24.172448758682101</v>
      </c>
      <c r="AI4923">
        <v>92.624833076706295</v>
      </c>
      <c r="AJ4923">
        <v>90.770657119146904</v>
      </c>
      <c r="AK4923">
        <v>24.200025824975899</v>
      </c>
      <c r="AL4923">
        <v>80.479685197754804</v>
      </c>
      <c r="AM4923">
        <v>93.160837700980494</v>
      </c>
      <c r="AN4923">
        <v>1.00000004180576</v>
      </c>
    </row>
    <row r="4924" spans="1:40" x14ac:dyDescent="0.25">
      <c r="A4924" t="str">
        <f>"20190304155517778"</f>
        <v>20190304155517778</v>
      </c>
      <c r="B4924" t="str">
        <f>"1551686117772855"</f>
        <v>1551686117772855</v>
      </c>
      <c r="C4924" t="s">
        <v>40</v>
      </c>
      <c r="D4924">
        <v>4.7670269999999997</v>
      </c>
      <c r="E4924">
        <v>0.51450470000000004</v>
      </c>
      <c r="F4924" t="s">
        <v>96</v>
      </c>
      <c r="G4924">
        <v>-260.82010000000002</v>
      </c>
      <c r="H4924" s="1">
        <v>4.4141420000000002E-7</v>
      </c>
      <c r="I4924">
        <v>-61.14096</v>
      </c>
      <c r="J4924">
        <v>-283.87959999999998</v>
      </c>
      <c r="K4924">
        <v>1.108266</v>
      </c>
      <c r="L4924">
        <v>-56.549379999999999</v>
      </c>
      <c r="M4924">
        <v>0.97787349999999995</v>
      </c>
      <c r="N4924">
        <v>-1.1777630000000001E-2</v>
      </c>
      <c r="O4924">
        <v>-0.20886560000000001</v>
      </c>
      <c r="P4924">
        <v>0.97654410000000003</v>
      </c>
      <c r="Q4924">
        <v>0.15237879999999901</v>
      </c>
      <c r="R4924">
        <v>-0.1521277</v>
      </c>
      <c r="S4924">
        <v>3.0021969999999998</v>
      </c>
      <c r="T4924">
        <v>-0.1434947</v>
      </c>
      <c r="U4924">
        <v>-0.59823609999999905</v>
      </c>
      <c r="V4924">
        <v>-5.4406549999999998E-2</v>
      </c>
      <c r="W4924">
        <v>0.16425819999999999</v>
      </c>
      <c r="X4924">
        <v>0.98491580000000001</v>
      </c>
      <c r="Y4924">
        <v>-1.359527E-2</v>
      </c>
      <c r="Z4924">
        <v>7.7158230000000001E-3</v>
      </c>
      <c r="AA4924">
        <v>0.99987780000000004</v>
      </c>
      <c r="AB4924">
        <v>24</v>
      </c>
      <c r="AC4924">
        <v>23.0594999999999</v>
      </c>
      <c r="AD4924">
        <v>-1.1082655585857999</v>
      </c>
      <c r="AE4924">
        <v>-4.5915799999999898</v>
      </c>
      <c r="AF4924">
        <v>-0.32565098768140899</v>
      </c>
      <c r="AG4924">
        <v>-1.1082655585857999</v>
      </c>
      <c r="AH4924">
        <v>23.457807997068802</v>
      </c>
      <c r="AI4924">
        <v>92.704670987855096</v>
      </c>
      <c r="AJ4924">
        <v>90.795352605121707</v>
      </c>
      <c r="AK4924">
        <v>23.4862312247297</v>
      </c>
      <c r="AL4924">
        <v>80.545855299634795</v>
      </c>
      <c r="AM4924">
        <v>93.161793905480195</v>
      </c>
      <c r="AN4924">
        <v>0.99999998101989096</v>
      </c>
    </row>
    <row r="4925" spans="1:40" x14ac:dyDescent="0.25">
      <c r="A4925" t="str">
        <f>"20190304155517790"</f>
        <v>20190304155517790</v>
      </c>
      <c r="B4925" t="str">
        <f>"1551686117782616"</f>
        <v>1551686117782616</v>
      </c>
      <c r="C4925" t="s">
        <v>40</v>
      </c>
      <c r="D4925">
        <v>4.7633179999999999</v>
      </c>
      <c r="E4925">
        <v>0.51447609999999999</v>
      </c>
      <c r="F4925" t="s">
        <v>46</v>
      </c>
      <c r="G4925">
        <v>-261.37119999999999</v>
      </c>
      <c r="H4925" s="1">
        <v>2.2370900000000001E-7</v>
      </c>
      <c r="I4925">
        <v>-61.070540000000001</v>
      </c>
      <c r="J4925">
        <v>-283.76799999999997</v>
      </c>
      <c r="K4925">
        <v>1.1082730000000001</v>
      </c>
      <c r="L4925">
        <v>-56.574770000000001</v>
      </c>
      <c r="M4925">
        <v>0.97758560000000005</v>
      </c>
      <c r="N4925">
        <v>-1.1773860000000001E-2</v>
      </c>
      <c r="O4925">
        <v>-0.21020849999999999</v>
      </c>
      <c r="P4925">
        <v>0.97644200000000003</v>
      </c>
      <c r="Q4925">
        <v>0.1516313</v>
      </c>
      <c r="R4925">
        <v>-0.15352150000000001</v>
      </c>
      <c r="S4925">
        <v>3.0011899999999998</v>
      </c>
      <c r="T4925">
        <v>-0.14777219999999999</v>
      </c>
      <c r="U4925">
        <v>-0.60284419999999905</v>
      </c>
      <c r="V4925">
        <v>-5.438714E-2</v>
      </c>
      <c r="W4925">
        <v>0.16350609999999999</v>
      </c>
      <c r="X4925">
        <v>0.98504199999999997</v>
      </c>
      <c r="Y4925">
        <v>-1.3416330000000001E-2</v>
      </c>
      <c r="Z4925">
        <v>8.0611659999999998E-3</v>
      </c>
      <c r="AA4925">
        <v>0.99987749999999997</v>
      </c>
      <c r="AB4925">
        <v>24</v>
      </c>
      <c r="AC4925">
        <v>22.396799999999899</v>
      </c>
      <c r="AD4925">
        <v>-1.1082727762909901</v>
      </c>
      <c r="AE4925">
        <v>-4.4957700000000003</v>
      </c>
      <c r="AF4925">
        <v>-0.31228439319034601</v>
      </c>
      <c r="AG4925">
        <v>-1.1082727762909901</v>
      </c>
      <c r="AH4925">
        <v>22.787785885666601</v>
      </c>
      <c r="AI4925">
        <v>92.784097185021494</v>
      </c>
      <c r="AJ4925">
        <v>90.785133662233207</v>
      </c>
      <c r="AK4925">
        <v>22.816857269568999</v>
      </c>
      <c r="AL4925">
        <v>80.589537982450395</v>
      </c>
      <c r="AM4925">
        <v>93.160264083499399</v>
      </c>
      <c r="AN4925">
        <v>0.99999997374929395</v>
      </c>
    </row>
    <row r="4926" spans="1:40" x14ac:dyDescent="0.25">
      <c r="A4926" t="str">
        <f>"20190304155517804"</f>
        <v>20190304155517804</v>
      </c>
      <c r="B4926" t="str">
        <f>"1551686117793351"</f>
        <v>1551686117793351</v>
      </c>
      <c r="C4926" t="s">
        <v>40</v>
      </c>
      <c r="D4926">
        <v>4.6105320000000001</v>
      </c>
      <c r="E4926">
        <v>0.5145537</v>
      </c>
      <c r="F4926" t="s">
        <v>46</v>
      </c>
      <c r="G4926">
        <v>-261.72239999999999</v>
      </c>
      <c r="H4926" s="1">
        <v>8.2666699999999899E-8</v>
      </c>
      <c r="I4926">
        <v>-61.034509999999997</v>
      </c>
      <c r="J4926">
        <v>-283.6311</v>
      </c>
      <c r="K4926">
        <v>1.1082920000000001</v>
      </c>
      <c r="L4926">
        <v>-56.606079999999999</v>
      </c>
      <c r="M4926">
        <v>0.97723099999999996</v>
      </c>
      <c r="N4926">
        <v>-1.1769399999999999E-2</v>
      </c>
      <c r="O4926">
        <v>-0.21185190000000001</v>
      </c>
      <c r="P4926">
        <v>0.97628210000000004</v>
      </c>
      <c r="Q4926">
        <v>0.15101300000000001</v>
      </c>
      <c r="R4926">
        <v>-0.1551409</v>
      </c>
      <c r="S4926">
        <v>3.0003359999999999</v>
      </c>
      <c r="T4926">
        <v>-0.1508321</v>
      </c>
      <c r="U4926">
        <v>-0.60696410000000001</v>
      </c>
      <c r="V4926">
        <v>-5.4440269999999999E-2</v>
      </c>
      <c r="W4926">
        <v>0.16288229999999901</v>
      </c>
      <c r="X4926">
        <v>0.98514239999999997</v>
      </c>
      <c r="Y4926">
        <v>-1.371327E-2</v>
      </c>
      <c r="Z4926">
        <v>8.3487849999999992E-3</v>
      </c>
      <c r="AA4926">
        <v>0.99987110000000001</v>
      </c>
      <c r="AB4926">
        <v>24</v>
      </c>
      <c r="AC4926">
        <v>21.9087</v>
      </c>
      <c r="AD4926">
        <v>-1.1082919173332999</v>
      </c>
      <c r="AE4926">
        <v>-4.4284299999999899</v>
      </c>
      <c r="AF4926">
        <v>-0.31305268828313698</v>
      </c>
      <c r="AG4926">
        <v>-1.1082919173332999</v>
      </c>
      <c r="AH4926">
        <v>22.294764724254598</v>
      </c>
      <c r="AI4926">
        <v>92.8455997214337</v>
      </c>
      <c r="AJ4926">
        <v>90.804467745858801</v>
      </c>
      <c r="AK4926">
        <v>22.324489850151899</v>
      </c>
      <c r="AL4926">
        <v>80.625764689141604</v>
      </c>
      <c r="AM4926">
        <v>93.163023297210202</v>
      </c>
      <c r="AN4926">
        <v>0.99999996746436004</v>
      </c>
    </row>
    <row r="4927" spans="1:40" x14ac:dyDescent="0.25">
      <c r="A4927" t="str">
        <f>"20190304155517817"</f>
        <v>20190304155517817</v>
      </c>
      <c r="B4927" t="str">
        <f>"1551686117812871"</f>
        <v>1551686117812871</v>
      </c>
      <c r="C4927" t="s">
        <v>40</v>
      </c>
      <c r="D4927">
        <v>4.6167749999999996</v>
      </c>
      <c r="E4927">
        <v>0.51460220000000001</v>
      </c>
      <c r="F4927" t="s">
        <v>46</v>
      </c>
      <c r="G4927">
        <v>-262.06639999999999</v>
      </c>
      <c r="H4927" s="1">
        <v>-5.7695839999999998E-8</v>
      </c>
      <c r="I4927">
        <v>-61.007330000000003</v>
      </c>
      <c r="J4927">
        <v>-283.4846</v>
      </c>
      <c r="K4927">
        <v>1.1083179999999999</v>
      </c>
      <c r="L4927">
        <v>-56.639859999999999</v>
      </c>
      <c r="M4927">
        <v>0.97685100000000002</v>
      </c>
      <c r="N4927">
        <v>-1.1765100000000001E-2</v>
      </c>
      <c r="O4927">
        <v>-0.21359729999999999</v>
      </c>
      <c r="P4927">
        <v>0.97605569999999997</v>
      </c>
      <c r="Q4927">
        <v>0.1508167</v>
      </c>
      <c r="R4927">
        <v>-0.1567471</v>
      </c>
      <c r="S4927">
        <v>2.9994510000000001</v>
      </c>
      <c r="T4927">
        <v>-0.15415319999999999</v>
      </c>
      <c r="U4927">
        <v>-0.61218260000000002</v>
      </c>
      <c r="V4927">
        <v>-5.4598090000000002E-2</v>
      </c>
      <c r="W4927">
        <v>0.16267899999999999</v>
      </c>
      <c r="X4927">
        <v>0.98516729999999997</v>
      </c>
      <c r="Y4927">
        <v>-1.376085E-2</v>
      </c>
      <c r="Z4927">
        <v>8.6543599999999998E-3</v>
      </c>
      <c r="AA4927">
        <v>0.99986790000000003</v>
      </c>
      <c r="AB4927">
        <v>24</v>
      </c>
      <c r="AC4927">
        <v>21.418199999999999</v>
      </c>
      <c r="AD4927">
        <v>-1.10831805769584</v>
      </c>
      <c r="AE4927">
        <v>-4.36747</v>
      </c>
      <c r="AF4927">
        <v>-0.30773247018168898</v>
      </c>
      <c r="AG4927">
        <v>-1.10831805769584</v>
      </c>
      <c r="AH4927">
        <v>21.8007359892073</v>
      </c>
      <c r="AI4927">
        <v>92.910040026858695</v>
      </c>
      <c r="AJ4927">
        <v>90.808715854802202</v>
      </c>
      <c r="AK4927">
        <v>21.831059476382201</v>
      </c>
      <c r="AL4927">
        <v>80.6375707723614</v>
      </c>
      <c r="AM4927">
        <v>93.172094053532007</v>
      </c>
      <c r="AN4927">
        <v>1.00000000873096</v>
      </c>
    </row>
    <row r="4928" spans="1:40" x14ac:dyDescent="0.25">
      <c r="A4928" t="str">
        <f>"20190304155517831"</f>
        <v>20190304155517831</v>
      </c>
      <c r="B4928" t="str">
        <f>"1551686117823159"</f>
        <v>1551686117823159</v>
      </c>
      <c r="C4928" t="s">
        <v>40</v>
      </c>
      <c r="D4928">
        <v>4.7877869999999998</v>
      </c>
      <c r="E4928">
        <v>0.51457679999999995</v>
      </c>
      <c r="F4928" t="s">
        <v>46</v>
      </c>
      <c r="G4928">
        <v>-262.26369999999997</v>
      </c>
      <c r="H4928" s="1">
        <v>-1.428001E-7</v>
      </c>
      <c r="I4928">
        <v>-61.009010000000004</v>
      </c>
      <c r="J4928">
        <v>-283.34379999999999</v>
      </c>
      <c r="K4928">
        <v>1.1083449999999999</v>
      </c>
      <c r="L4928">
        <v>-56.672609999999999</v>
      </c>
      <c r="M4928">
        <v>0.97648619999999997</v>
      </c>
      <c r="N4928">
        <v>-1.1761260000000001E-2</v>
      </c>
      <c r="O4928">
        <v>-0.21525939999999999</v>
      </c>
      <c r="P4928">
        <v>0.97575339999999999</v>
      </c>
      <c r="Q4928">
        <v>0.15081989999999901</v>
      </c>
      <c r="R4928">
        <v>-0.15861539999999999</v>
      </c>
      <c r="S4928">
        <v>2.9986570000000001</v>
      </c>
      <c r="T4928">
        <v>-0.15661320000000001</v>
      </c>
      <c r="U4928">
        <v>-0.61740109999999904</v>
      </c>
      <c r="V4928">
        <v>-5.4399419999999997E-2</v>
      </c>
      <c r="W4928">
        <v>0.16267379999999901</v>
      </c>
      <c r="X4928">
        <v>0.98517909999999997</v>
      </c>
      <c r="Y4928">
        <v>-1.373247E-2</v>
      </c>
      <c r="Z4928">
        <v>8.8952960000000005E-3</v>
      </c>
      <c r="AA4928">
        <v>0.99986609999999998</v>
      </c>
      <c r="AB4928">
        <v>24</v>
      </c>
      <c r="AC4928">
        <v>21.080100000000002</v>
      </c>
      <c r="AD4928">
        <v>-1.1083451428001001</v>
      </c>
      <c r="AE4928">
        <v>-4.3363999999999896</v>
      </c>
      <c r="AF4928">
        <v>-0.30247364279586297</v>
      </c>
      <c r="AG4928">
        <v>-1.1083451428001001</v>
      </c>
      <c r="AH4928">
        <v>21.462440970052299</v>
      </c>
      <c r="AI4928">
        <v>92.955900956402104</v>
      </c>
      <c r="AJ4928">
        <v>90.807425209977097</v>
      </c>
      <c r="AK4928">
        <v>21.4931684879902</v>
      </c>
      <c r="AL4928">
        <v>80.637872277923506</v>
      </c>
      <c r="AM4928">
        <v>93.160537190954599</v>
      </c>
      <c r="AN4928">
        <v>0.99999996058979201</v>
      </c>
    </row>
    <row r="4929" spans="1:40" x14ac:dyDescent="0.25">
      <c r="A4929" t="str">
        <f>"20190304155517846"</f>
        <v>20190304155517846</v>
      </c>
      <c r="B4929" t="str">
        <f>"1551686117842657"</f>
        <v>1551686117842657</v>
      </c>
      <c r="C4929" t="s">
        <v>40</v>
      </c>
      <c r="D4929">
        <v>4.7733689999999998</v>
      </c>
      <c r="E4929">
        <v>0.51448579999999999</v>
      </c>
      <c r="F4929" t="s">
        <v>46</v>
      </c>
      <c r="G4929">
        <v>-262.19990000000001</v>
      </c>
      <c r="H4929" s="1">
        <v>-1.3093339999999999E-7</v>
      </c>
      <c r="I4929">
        <v>-61.067329999999998</v>
      </c>
      <c r="J4929">
        <v>-283.1909</v>
      </c>
      <c r="K4929">
        <v>1.1083799999999999</v>
      </c>
      <c r="L4929">
        <v>-56.708399999999997</v>
      </c>
      <c r="M4929">
        <v>0.9760894</v>
      </c>
      <c r="N4929">
        <v>-1.175733E-2</v>
      </c>
      <c r="O4929">
        <v>-0.2170521</v>
      </c>
      <c r="P4929">
        <v>0.9753889</v>
      </c>
      <c r="Q4929">
        <v>0.15150139999999901</v>
      </c>
      <c r="R4929">
        <v>-0.16020019999999999</v>
      </c>
      <c r="S4929">
        <v>2.9975589999999999</v>
      </c>
      <c r="T4929">
        <v>-0.157129399999999</v>
      </c>
      <c r="U4929">
        <v>-0.62304689999999996</v>
      </c>
      <c r="V4929">
        <v>-5.4593860000000001E-2</v>
      </c>
      <c r="W4929">
        <v>0.1633471</v>
      </c>
      <c r="X4929">
        <v>0.98505699999999996</v>
      </c>
      <c r="Y4929">
        <v>-1.3687390000000001E-2</v>
      </c>
      <c r="Z4929">
        <v>9.0025299999999999E-3</v>
      </c>
      <c r="AA4929">
        <v>0.99986580000000003</v>
      </c>
      <c r="AB4929">
        <v>24</v>
      </c>
      <c r="AC4929">
        <v>20.9909999999999</v>
      </c>
      <c r="AD4929">
        <v>-1.1083801309333901</v>
      </c>
      <c r="AE4929">
        <v>-4.35893</v>
      </c>
      <c r="AF4929">
        <v>-0.30065244211716902</v>
      </c>
      <c r="AG4929">
        <v>-1.1083801309333901</v>
      </c>
      <c r="AH4929">
        <v>21.379540750800999</v>
      </c>
      <c r="AI4929">
        <v>92.967436941593405</v>
      </c>
      <c r="AJ4929">
        <v>90.805675895404207</v>
      </c>
      <c r="AK4929">
        <v>21.410363404687001</v>
      </c>
      <c r="AL4929">
        <v>80.598772684149395</v>
      </c>
      <c r="AM4929">
        <v>93.172203233414393</v>
      </c>
      <c r="AN4929">
        <v>1.00000002893855</v>
      </c>
    </row>
    <row r="4930" spans="1:40" x14ac:dyDescent="0.25">
      <c r="A4930" t="str">
        <f>"20190304155517857"</f>
        <v>20190304155517857</v>
      </c>
      <c r="B4930" t="str">
        <f>"1551686117852417"</f>
        <v>1551686117852417</v>
      </c>
      <c r="C4930" t="s">
        <v>40</v>
      </c>
      <c r="D4930">
        <v>4.8065920000000002</v>
      </c>
      <c r="E4930">
        <v>0.51442080000000001</v>
      </c>
      <c r="F4930" t="s">
        <v>46</v>
      </c>
      <c r="G4930">
        <v>-261.89409999999998</v>
      </c>
      <c r="H4930" s="1">
        <v>-2.6829300000000001E-8</v>
      </c>
      <c r="I4930">
        <v>-61.169130000000003</v>
      </c>
      <c r="J4930">
        <v>-283.07749999999999</v>
      </c>
      <c r="K4930">
        <v>1.1084039999999999</v>
      </c>
      <c r="L4930">
        <v>-56.735140000000001</v>
      </c>
      <c r="M4930">
        <v>0.97579559999999999</v>
      </c>
      <c r="N4930">
        <v>-1.1754560000000001E-2</v>
      </c>
      <c r="O4930">
        <v>-0.21836849999999999</v>
      </c>
      <c r="P4930">
        <v>0.97505649999999999</v>
      </c>
      <c r="Q4930">
        <v>0.15231220000000001</v>
      </c>
      <c r="R4930">
        <v>-0.16144819999999999</v>
      </c>
      <c r="S4930">
        <v>2.9968569999999999</v>
      </c>
      <c r="T4930">
        <v>-0.15596949999999901</v>
      </c>
      <c r="U4930">
        <v>-0.6277161</v>
      </c>
      <c r="V4930">
        <v>-5.463954E-2</v>
      </c>
      <c r="W4930">
        <v>0.16415099999999999</v>
      </c>
      <c r="X4930">
        <v>0.98492080000000004</v>
      </c>
      <c r="Y4930">
        <v>-1.349944E-2</v>
      </c>
      <c r="Z4930">
        <v>8.9631759999999998E-3</v>
      </c>
      <c r="AA4930">
        <v>0.99986870000000005</v>
      </c>
      <c r="AB4930">
        <v>24</v>
      </c>
      <c r="AC4930">
        <v>21.183399999999999</v>
      </c>
      <c r="AD4930">
        <v>-1.1084040268293001</v>
      </c>
      <c r="AE4930">
        <v>-4.4339899999999997</v>
      </c>
      <c r="AF4930">
        <v>-0.29835745066460201</v>
      </c>
      <c r="AG4930">
        <v>-1.1084040268293001</v>
      </c>
      <c r="AH4930">
        <v>21.583794852174002</v>
      </c>
      <c r="AI4930">
        <v>92.939477706194396</v>
      </c>
      <c r="AJ4930">
        <v>90.791961475282406</v>
      </c>
      <c r="AK4930">
        <v>21.614295659951299</v>
      </c>
      <c r="AL4930">
        <v>80.552082165766393</v>
      </c>
      <c r="AM4930">
        <v>93.175290201652601</v>
      </c>
      <c r="AN4930">
        <v>1.0000000062025201</v>
      </c>
    </row>
    <row r="4931" spans="1:40" x14ac:dyDescent="0.25">
      <c r="A4931" t="str">
        <f>"20190304155517868"</f>
        <v>20190304155517868</v>
      </c>
      <c r="B4931" t="str">
        <f>"1551686117863153"</f>
        <v>1551686117863153</v>
      </c>
      <c r="C4931" t="s">
        <v>40</v>
      </c>
      <c r="D4931">
        <v>4.7882150000000001</v>
      </c>
      <c r="E4931">
        <v>0.51436689999999996</v>
      </c>
      <c r="F4931" t="s">
        <v>46</v>
      </c>
      <c r="G4931">
        <v>-261.51429999999999</v>
      </c>
      <c r="H4931" s="1">
        <v>1.074465E-7</v>
      </c>
      <c r="I4931">
        <v>-61.276870000000002</v>
      </c>
      <c r="J4931">
        <v>-282.96449999999999</v>
      </c>
      <c r="K4931">
        <v>1.108425</v>
      </c>
      <c r="L4931">
        <v>-56.76193</v>
      </c>
      <c r="M4931">
        <v>0.97550340000000002</v>
      </c>
      <c r="N4931">
        <v>-1.175199E-2</v>
      </c>
      <c r="O4931">
        <v>-0.2196708</v>
      </c>
      <c r="P4931">
        <v>0.97476160000000001</v>
      </c>
      <c r="Q4931">
        <v>0.15289939999999999</v>
      </c>
      <c r="R4931">
        <v>-0.1626717</v>
      </c>
      <c r="S4931">
        <v>2.9963069999999998</v>
      </c>
      <c r="T4931">
        <v>-0.15401779999999901</v>
      </c>
      <c r="U4931">
        <v>-0.63110350000000004</v>
      </c>
      <c r="V4931">
        <v>-5.4703679999999998E-2</v>
      </c>
      <c r="W4931">
        <v>0.16473189999999999</v>
      </c>
      <c r="X4931">
        <v>0.98482020000000003</v>
      </c>
      <c r="Y4931">
        <v>-1.371911E-2</v>
      </c>
      <c r="Z4931">
        <v>8.8766769999999995E-3</v>
      </c>
      <c r="AA4931">
        <v>0.99986649999999999</v>
      </c>
      <c r="AB4931">
        <v>24</v>
      </c>
      <c r="AC4931">
        <v>21.450199999999899</v>
      </c>
      <c r="AD4931">
        <v>-1.1084248925534901</v>
      </c>
      <c r="AE4931">
        <v>-4.5149399999999797</v>
      </c>
      <c r="AF4931">
        <v>-0.306879803171142</v>
      </c>
      <c r="AG4931">
        <v>-1.1084248925534901</v>
      </c>
      <c r="AH4931">
        <v>21.862153804769999</v>
      </c>
      <c r="AI4931">
        <v>92.902161233989702</v>
      </c>
      <c r="AJ4931">
        <v>90.804210005874793</v>
      </c>
      <c r="AK4931">
        <v>21.8923856612167</v>
      </c>
      <c r="AL4931">
        <v>80.518339253234799</v>
      </c>
      <c r="AM4931">
        <v>93.179334027045996</v>
      </c>
      <c r="AN4931">
        <v>0.99999995890559501</v>
      </c>
    </row>
    <row r="4932" spans="1:40" x14ac:dyDescent="0.25">
      <c r="A4932" t="str">
        <f>"20190304155517879"</f>
        <v>20190304155517879</v>
      </c>
      <c r="B4932" t="str">
        <f>"1551686117872913"</f>
        <v>1551686117872913</v>
      </c>
      <c r="C4932" t="s">
        <v>40</v>
      </c>
      <c r="D4932">
        <v>4.8002140000000004</v>
      </c>
      <c r="E4932">
        <v>0.51431329999999997</v>
      </c>
      <c r="F4932" t="s">
        <v>46</v>
      </c>
      <c r="G4932">
        <v>-261.20299999999997</v>
      </c>
      <c r="H4932" s="1">
        <v>2.1622499999999999E-7</v>
      </c>
      <c r="I4932">
        <v>-61.369959999999999</v>
      </c>
      <c r="J4932">
        <v>-282.84089999999998</v>
      </c>
      <c r="K4932">
        <v>1.1084480000000001</v>
      </c>
      <c r="L4932">
        <v>-56.791379999999997</v>
      </c>
      <c r="M4932">
        <v>0.97518320000000003</v>
      </c>
      <c r="N4932">
        <v>-1.174934E-2</v>
      </c>
      <c r="O4932">
        <v>-0.2210879</v>
      </c>
      <c r="P4932">
        <v>0.97442169999999895</v>
      </c>
      <c r="Q4932">
        <v>0.15337500000000001</v>
      </c>
      <c r="R4932">
        <v>-0.164251799999999</v>
      </c>
      <c r="S4932">
        <v>2.9957889999999998</v>
      </c>
      <c r="T4932">
        <v>-0.15259039999999999</v>
      </c>
      <c r="U4932">
        <v>-0.63436890000000001</v>
      </c>
      <c r="V4932">
        <v>-5.4526999999999999E-2</v>
      </c>
      <c r="W4932">
        <v>0.1652013</v>
      </c>
      <c r="X4932">
        <v>0.98475140000000005</v>
      </c>
      <c r="Y4932">
        <v>-1.4096350000000001E-2</v>
      </c>
      <c r="Z4932">
        <v>8.8363969999999993E-3</v>
      </c>
      <c r="AA4932">
        <v>0.99986160000000002</v>
      </c>
      <c r="AB4932">
        <v>24</v>
      </c>
      <c r="AC4932">
        <v>21.637899999999998</v>
      </c>
      <c r="AD4932">
        <v>-1.108447783775</v>
      </c>
      <c r="AE4932">
        <v>-4.5785799999999899</v>
      </c>
      <c r="AF4932">
        <v>-0.31814645565852201</v>
      </c>
      <c r="AG4932">
        <v>-1.108447783775</v>
      </c>
      <c r="AH4932">
        <v>22.059302083975801</v>
      </c>
      <c r="AI4932">
        <v>92.876311364450004</v>
      </c>
      <c r="AJ4932">
        <v>90.826281149067697</v>
      </c>
      <c r="AK4932">
        <v>22.089424666312699</v>
      </c>
      <c r="AL4932">
        <v>80.491071328050793</v>
      </c>
      <c r="AM4932">
        <v>93.169307449052297</v>
      </c>
      <c r="AN4932">
        <v>0.99999999152632502</v>
      </c>
    </row>
    <row r="4933" spans="1:40" x14ac:dyDescent="0.25">
      <c r="A4933" t="str">
        <f>"20190304155517890"</f>
        <v>20190304155517890</v>
      </c>
      <c r="B4933" t="str">
        <f>"1551686117882673"</f>
        <v>1551686117882673</v>
      </c>
      <c r="C4933" t="s">
        <v>40</v>
      </c>
      <c r="D4933">
        <v>4.7831219999999997</v>
      </c>
      <c r="E4933">
        <v>0.5142601</v>
      </c>
      <c r="F4933" t="s">
        <v>96</v>
      </c>
      <c r="G4933">
        <v>-260.9282</v>
      </c>
      <c r="H4933" s="1">
        <v>3.0928610000000003E-7</v>
      </c>
      <c r="I4933">
        <v>-61.463270000000001</v>
      </c>
      <c r="J4933">
        <v>-282.73160000000001</v>
      </c>
      <c r="K4933">
        <v>1.1084670000000001</v>
      </c>
      <c r="L4933">
        <v>-56.817630000000001</v>
      </c>
      <c r="M4933">
        <v>0.97490080000000001</v>
      </c>
      <c r="N4933">
        <v>-1.174716E-2</v>
      </c>
      <c r="O4933">
        <v>-0.22232950000000001</v>
      </c>
      <c r="P4933">
        <v>0.97415589999999996</v>
      </c>
      <c r="Q4933">
        <v>0.1535562</v>
      </c>
      <c r="R4933">
        <v>-0.16565260000000001</v>
      </c>
      <c r="S4933">
        <v>2.9949650000000001</v>
      </c>
      <c r="T4933">
        <v>-0.15149949999999901</v>
      </c>
      <c r="U4933">
        <v>-0.63854979999999995</v>
      </c>
      <c r="V4933">
        <v>-5.4363370000000001E-2</v>
      </c>
      <c r="W4933">
        <v>0.1653771</v>
      </c>
      <c r="X4933">
        <v>0.98473100000000002</v>
      </c>
      <c r="Y4933">
        <v>-1.398083E-2</v>
      </c>
      <c r="Z4933">
        <v>8.7987929999999992E-3</v>
      </c>
      <c r="AA4933">
        <v>0.99986359999999996</v>
      </c>
      <c r="AB4933">
        <v>24</v>
      </c>
      <c r="AC4933">
        <v>21.8034</v>
      </c>
      <c r="AD4933">
        <v>-1.10846669071389</v>
      </c>
      <c r="AE4933">
        <v>-4.6456399999999896</v>
      </c>
      <c r="AF4933">
        <v>-0.31773728360833497</v>
      </c>
      <c r="AG4933">
        <v>-1.10846669071389</v>
      </c>
      <c r="AH4933">
        <v>22.235578522975</v>
      </c>
      <c r="AI4933">
        <v>92.853600761263394</v>
      </c>
      <c r="AJ4933">
        <v>90.818677434905297</v>
      </c>
      <c r="AK4933">
        <v>22.265457723505399</v>
      </c>
      <c r="AL4933">
        <v>80.480858829394407</v>
      </c>
      <c r="AM4933">
        <v>93.159881307180299</v>
      </c>
      <c r="AN4933">
        <v>1.0000000517815799</v>
      </c>
    </row>
    <row r="4934" spans="1:40" x14ac:dyDescent="0.25">
      <c r="A4934" t="str">
        <f>"20190304155517902"</f>
        <v>20190304155517902</v>
      </c>
      <c r="B4934" t="str">
        <f>"1551686117892433"</f>
        <v>1551686117892433</v>
      </c>
      <c r="C4934" t="s">
        <v>40</v>
      </c>
      <c r="D4934">
        <v>4.8222990000000001</v>
      </c>
      <c r="E4934">
        <v>0.51418889999999995</v>
      </c>
      <c r="F4934" t="s">
        <v>46</v>
      </c>
      <c r="G4934">
        <v>-260.81380000000001</v>
      </c>
      <c r="H4934" s="1">
        <v>3.4361199999999899E-7</v>
      </c>
      <c r="I4934">
        <v>-61.518749999999997</v>
      </c>
      <c r="J4934">
        <v>-282.6062</v>
      </c>
      <c r="K4934">
        <v>1.108484</v>
      </c>
      <c r="L4934">
        <v>-56.847869999999901</v>
      </c>
      <c r="M4934">
        <v>0.97457559999999999</v>
      </c>
      <c r="N4934">
        <v>-1.174477E-2</v>
      </c>
      <c r="O4934">
        <v>-0.22375200000000001</v>
      </c>
      <c r="P4934">
        <v>0.97382429999999998</v>
      </c>
      <c r="Q4934">
        <v>0.15399289999999999</v>
      </c>
      <c r="R4934">
        <v>-0.1671917</v>
      </c>
      <c r="S4934">
        <v>2.9942630000000001</v>
      </c>
      <c r="T4934">
        <v>-0.1514307</v>
      </c>
      <c r="U4934">
        <v>-0.64224239999999999</v>
      </c>
      <c r="V4934">
        <v>-5.4234020000000001E-2</v>
      </c>
      <c r="W4934">
        <v>0.16580780000000001</v>
      </c>
      <c r="X4934">
        <v>0.98466560000000003</v>
      </c>
      <c r="Y4934">
        <v>-1.4211909999999999E-2</v>
      </c>
      <c r="Z4934">
        <v>8.8541980000000006E-3</v>
      </c>
      <c r="AA4934">
        <v>0.99985979999999997</v>
      </c>
      <c r="AB4934">
        <v>24</v>
      </c>
      <c r="AC4934">
        <v>21.792399999999901</v>
      </c>
      <c r="AD4934">
        <v>-1.1084836563880001</v>
      </c>
      <c r="AE4934">
        <v>-4.6708800000000004</v>
      </c>
      <c r="AF4934">
        <v>-0.32319020590528202</v>
      </c>
      <c r="AG4934">
        <v>-1.1084836563880001</v>
      </c>
      <c r="AH4934">
        <v>22.230001850526499</v>
      </c>
      <c r="AI4934">
        <v>92.8543488328596</v>
      </c>
      <c r="AJ4934">
        <v>90.832934266468001</v>
      </c>
      <c r="AK4934">
        <v>22.259967884075799</v>
      </c>
      <c r="AL4934">
        <v>80.455835097052301</v>
      </c>
      <c r="AM4934">
        <v>93.1525869492976</v>
      </c>
      <c r="AN4934">
        <v>0.99999994964477801</v>
      </c>
    </row>
    <row r="4935" spans="1:40" x14ac:dyDescent="0.25">
      <c r="A4935" t="str">
        <f>"20190304155517913"</f>
        <v>20190304155517913</v>
      </c>
      <c r="B4935" t="str">
        <f>"1551686117903169"</f>
        <v>1551686117903169</v>
      </c>
      <c r="C4935" t="s">
        <v>40</v>
      </c>
      <c r="D4935">
        <v>4.8105869999999999</v>
      </c>
      <c r="E4935">
        <v>0.51410059999999902</v>
      </c>
      <c r="F4935" t="s">
        <v>46</v>
      </c>
      <c r="G4935">
        <v>-260.55279999999999</v>
      </c>
      <c r="H4935" s="1">
        <v>4.3138230000000002E-7</v>
      </c>
      <c r="I4935">
        <v>-61.6096199999999</v>
      </c>
      <c r="J4935">
        <v>-282.48869999999999</v>
      </c>
      <c r="K4935">
        <v>1.108498</v>
      </c>
      <c r="L4935">
        <v>-56.876460000000002</v>
      </c>
      <c r="M4935">
        <v>0.97427050000000004</v>
      </c>
      <c r="N4935">
        <v>-1.174275E-2</v>
      </c>
      <c r="O4935">
        <v>-0.22507640000000001</v>
      </c>
      <c r="P4935">
        <v>0.97356529999999997</v>
      </c>
      <c r="Q4935">
        <v>0.15416569999999999</v>
      </c>
      <c r="R4935">
        <v>-0.1685345</v>
      </c>
      <c r="S4935">
        <v>2.9935</v>
      </c>
      <c r="T4935">
        <v>-0.15046409999999999</v>
      </c>
      <c r="U4935">
        <v>-0.64636229999999995</v>
      </c>
      <c r="V4935">
        <v>-5.4212280000000002E-2</v>
      </c>
      <c r="W4935">
        <v>0.16597619999999999</v>
      </c>
      <c r="X4935">
        <v>0.98463849999999997</v>
      </c>
      <c r="Y4935">
        <v>-1.4205560000000001E-2</v>
      </c>
      <c r="Z4935">
        <v>8.8306540000000003E-3</v>
      </c>
      <c r="AA4935">
        <v>0.99986010000000003</v>
      </c>
      <c r="AB4935">
        <v>24</v>
      </c>
      <c r="AC4935">
        <v>21.9359</v>
      </c>
      <c r="AD4935">
        <v>-1.1084975686177001</v>
      </c>
      <c r="AE4935">
        <v>-4.73315999999999</v>
      </c>
      <c r="AF4935">
        <v>-0.325104401729785</v>
      </c>
      <c r="AG4935">
        <v>-1.1084975686177001</v>
      </c>
      <c r="AH4935">
        <v>22.383749715341601</v>
      </c>
      <c r="AI4935">
        <v>92.834811290007906</v>
      </c>
      <c r="AJ4935">
        <v>90.832112614066105</v>
      </c>
      <c r="AK4935">
        <v>22.413538566025402</v>
      </c>
      <c r="AL4935">
        <v>80.446051624120898</v>
      </c>
      <c r="AM4935">
        <v>93.1514123238303</v>
      </c>
      <c r="AN4935">
        <v>1.00000002297574</v>
      </c>
    </row>
    <row r="4936" spans="1:40" x14ac:dyDescent="0.25">
      <c r="A4936" t="str">
        <f>"20190304155517924"</f>
        <v>20190304155517924</v>
      </c>
      <c r="B4936" t="str">
        <f>"1551686117912929"</f>
        <v>1551686117912929</v>
      </c>
      <c r="C4936" t="s">
        <v>40</v>
      </c>
      <c r="D4936">
        <v>4.8045220000000004</v>
      </c>
      <c r="E4936">
        <v>0.51399899999999998</v>
      </c>
      <c r="F4936" t="s">
        <v>46</v>
      </c>
      <c r="G4936">
        <v>-260.44529999999997</v>
      </c>
      <c r="H4936" s="1">
        <v>4.640044E-7</v>
      </c>
      <c r="I4936">
        <v>-61.660269999999997</v>
      </c>
      <c r="J4936">
        <v>-282.38350000000003</v>
      </c>
      <c r="K4936">
        <v>1.108509</v>
      </c>
      <c r="L4936">
        <v>-56.90213</v>
      </c>
      <c r="M4936">
        <v>0.97399599999999997</v>
      </c>
      <c r="N4936">
        <v>-1.174103E-2</v>
      </c>
      <c r="O4936">
        <v>-0.2262612</v>
      </c>
      <c r="P4936">
        <v>0.97331509999999999</v>
      </c>
      <c r="Q4936">
        <v>0.154442</v>
      </c>
      <c r="R4936">
        <v>-0.1697235</v>
      </c>
      <c r="S4936">
        <v>2.9928279999999998</v>
      </c>
      <c r="T4936">
        <v>-0.15050069999999999</v>
      </c>
      <c r="U4936">
        <v>-0.64950559999999902</v>
      </c>
      <c r="V4936">
        <v>-5.4199890000000001E-2</v>
      </c>
      <c r="W4936">
        <v>0.16624900000000001</v>
      </c>
      <c r="X4936">
        <v>0.98459319999999895</v>
      </c>
      <c r="Y4936">
        <v>-1.4371109999999999E-2</v>
      </c>
      <c r="Z4936">
        <v>8.8828339999999992E-3</v>
      </c>
      <c r="AA4936">
        <v>0.9998572</v>
      </c>
      <c r="AB4936">
        <v>24</v>
      </c>
      <c r="AC4936">
        <v>21.938199999999998</v>
      </c>
      <c r="AD4936">
        <v>-1.1085085359956</v>
      </c>
      <c r="AE4936">
        <v>-4.7581399999999903</v>
      </c>
      <c r="AF4936">
        <v>-0.32857558958446798</v>
      </c>
      <c r="AG4936">
        <v>-1.1085085359956</v>
      </c>
      <c r="AH4936">
        <v>22.391246751967198</v>
      </c>
      <c r="AI4936">
        <v>92.833885477209193</v>
      </c>
      <c r="AJ4936">
        <v>90.840714392575194</v>
      </c>
      <c r="AK4936">
        <v>22.4210767850237</v>
      </c>
      <c r="AL4936">
        <v>80.430201515621803</v>
      </c>
      <c r="AM4936">
        <v>93.150838200092906</v>
      </c>
      <c r="AN4936">
        <v>1.00000006378162</v>
      </c>
    </row>
    <row r="4937" spans="1:40" x14ac:dyDescent="0.25">
      <c r="A4937" t="str">
        <f>"20190304155517935"</f>
        <v>20190304155517935</v>
      </c>
      <c r="B4937" t="str">
        <f>"1551686117932449"</f>
        <v>1551686117932449</v>
      </c>
      <c r="C4937" t="s">
        <v>40</v>
      </c>
      <c r="D4937">
        <v>4.8062950000000004</v>
      </c>
      <c r="E4937">
        <v>0.51381699999999997</v>
      </c>
      <c r="F4937" t="s">
        <v>46</v>
      </c>
      <c r="G4937">
        <v>-260.31130000000002</v>
      </c>
      <c r="H4937" s="1">
        <v>5.0696779999999995E-7</v>
      </c>
      <c r="I4937">
        <v>-61.714840000000002</v>
      </c>
      <c r="J4937">
        <v>-282.26459999999997</v>
      </c>
      <c r="K4937">
        <v>1.108514</v>
      </c>
      <c r="L4937">
        <v>-56.9313</v>
      </c>
      <c r="M4937">
        <v>0.97368480000000002</v>
      </c>
      <c r="N4937">
        <v>-1.173928E-2</v>
      </c>
      <c r="O4937">
        <v>-0.22759660000000001</v>
      </c>
      <c r="P4937">
        <v>0.97298790000000002</v>
      </c>
      <c r="Q4937">
        <v>0.154556</v>
      </c>
      <c r="R4937">
        <v>-0.1714851</v>
      </c>
      <c r="S4937">
        <v>2.9923099999999998</v>
      </c>
      <c r="T4937">
        <v>-0.15027989999999999</v>
      </c>
      <c r="U4937">
        <v>-0.65246579999999998</v>
      </c>
      <c r="V4937">
        <v>-5.3766479999999998E-2</v>
      </c>
      <c r="W4937">
        <v>0.16635800000000001</v>
      </c>
      <c r="X4937">
        <v>0.98459850000000004</v>
      </c>
      <c r="Y4937">
        <v>-1.4761059999999999E-2</v>
      </c>
      <c r="Z4937">
        <v>8.9271919999999901E-3</v>
      </c>
      <c r="AA4937">
        <v>0.99985119999999905</v>
      </c>
      <c r="AB4937">
        <v>24</v>
      </c>
      <c r="AC4937">
        <v>21.953299999999899</v>
      </c>
      <c r="AD4937">
        <v>-1.10851349303219</v>
      </c>
      <c r="AE4937">
        <v>-4.7835400000000003</v>
      </c>
      <c r="AF4937">
        <v>-0.33803676866750398</v>
      </c>
      <c r="AG4937">
        <v>-1.10851349303219</v>
      </c>
      <c r="AH4937">
        <v>22.411307562438498</v>
      </c>
      <c r="AI4937">
        <v>92.831348380432203</v>
      </c>
      <c r="AJ4937">
        <v>90.864144652177202</v>
      </c>
      <c r="AK4937">
        <v>22.441251695915199</v>
      </c>
      <c r="AL4937">
        <v>80.423867583566704</v>
      </c>
      <c r="AM4937">
        <v>93.125675857703897</v>
      </c>
      <c r="AN4937">
        <v>1.0000000123689201</v>
      </c>
    </row>
    <row r="4938" spans="1:40" x14ac:dyDescent="0.25">
      <c r="A4938" t="str">
        <f>"20190304155517946"</f>
        <v>20190304155517946</v>
      </c>
      <c r="B4938" t="str">
        <f>"1551686117943185"</f>
        <v>1551686117943185</v>
      </c>
      <c r="C4938" t="s">
        <v>40</v>
      </c>
      <c r="D4938">
        <v>4.8335239999999997</v>
      </c>
      <c r="E4938">
        <v>0.51371889999999998</v>
      </c>
      <c r="F4938" t="s">
        <v>46</v>
      </c>
      <c r="G4938">
        <v>-260.3098</v>
      </c>
      <c r="H4938" s="1">
        <v>4.9873459999999897E-7</v>
      </c>
      <c r="I4938">
        <v>-61.748220000000003</v>
      </c>
      <c r="J4938">
        <v>-282.15820000000002</v>
      </c>
      <c r="K4938">
        <v>1.1085210000000001</v>
      </c>
      <c r="L4938">
        <v>-56.95758</v>
      </c>
      <c r="M4938">
        <v>0.97340459999999995</v>
      </c>
      <c r="N4938">
        <v>-1.1736760000000001E-2</v>
      </c>
      <c r="O4938">
        <v>-0.22879179999999999</v>
      </c>
      <c r="P4938">
        <v>0.97269269999999997</v>
      </c>
      <c r="Q4938">
        <v>0.1551381</v>
      </c>
      <c r="R4938">
        <v>-0.17263049999999999</v>
      </c>
      <c r="S4938">
        <v>2.9916079999999998</v>
      </c>
      <c r="T4938">
        <v>-0.1510484</v>
      </c>
      <c r="U4938">
        <v>-0.65637209999999901</v>
      </c>
      <c r="V4938">
        <v>-5.3795900000000001E-2</v>
      </c>
      <c r="W4938">
        <v>0.1669359</v>
      </c>
      <c r="X4938">
        <v>0.98449909999999996</v>
      </c>
      <c r="Y4938">
        <v>-1.469087E-2</v>
      </c>
      <c r="Z4938">
        <v>9.0286789999999995E-3</v>
      </c>
      <c r="AA4938">
        <v>0.9998513</v>
      </c>
      <c r="AB4938">
        <v>24</v>
      </c>
      <c r="AC4938">
        <v>21.848400000000002</v>
      </c>
      <c r="AD4938">
        <v>-1.10852050126539</v>
      </c>
      <c r="AE4938">
        <v>-4.7906399999999802</v>
      </c>
      <c r="AF4938">
        <v>-0.334704783813491</v>
      </c>
      <c r="AG4938">
        <v>-1.10852050126539</v>
      </c>
      <c r="AH4938">
        <v>22.3101361803656</v>
      </c>
      <c r="AI4938">
        <v>92.844188274318896</v>
      </c>
      <c r="AJ4938">
        <v>90.859507660255403</v>
      </c>
      <c r="AK4938">
        <v>22.340166100109698</v>
      </c>
      <c r="AL4938">
        <v>80.390287006330695</v>
      </c>
      <c r="AM4938">
        <v>93.127697903746096</v>
      </c>
      <c r="AN4938">
        <v>1.0000000357332099</v>
      </c>
    </row>
    <row r="4939" spans="1:40" x14ac:dyDescent="0.25">
      <c r="A4939" t="str">
        <f>"20190304155517956"</f>
        <v>20190304155517956</v>
      </c>
      <c r="B4939" t="str">
        <f>"1551686117952946"</f>
        <v>1551686117952946</v>
      </c>
      <c r="C4939" t="s">
        <v>40</v>
      </c>
      <c r="D4939">
        <v>4.6992370000000001</v>
      </c>
      <c r="E4939">
        <v>0.51371880000000003</v>
      </c>
      <c r="F4939" t="s">
        <v>46</v>
      </c>
      <c r="G4939">
        <v>-260.04430000000002</v>
      </c>
      <c r="H4939" s="1">
        <v>5.9059309999999997E-7</v>
      </c>
      <c r="I4939">
        <v>-61.831130000000002</v>
      </c>
      <c r="J4939">
        <v>-282.04079999999999</v>
      </c>
      <c r="K4939">
        <v>1.1085290000000001</v>
      </c>
      <c r="L4939">
        <v>-56.986660000000001</v>
      </c>
      <c r="M4939">
        <v>0.97309409999999996</v>
      </c>
      <c r="N4939">
        <v>-1.1732579999999999E-2</v>
      </c>
      <c r="O4939">
        <v>-0.23010990000000001</v>
      </c>
      <c r="P4939">
        <v>0.97236929999999999</v>
      </c>
      <c r="Q4939">
        <v>0.15565399999999999</v>
      </c>
      <c r="R4939">
        <v>-0.173983</v>
      </c>
      <c r="S4939">
        <v>2.9911500000000002</v>
      </c>
      <c r="T4939">
        <v>-0.1499395</v>
      </c>
      <c r="U4939">
        <v>-0.65921019999999997</v>
      </c>
      <c r="V4939">
        <v>-5.3741419999999998E-2</v>
      </c>
      <c r="W4939">
        <v>0.16744600000000001</v>
      </c>
      <c r="X4939">
        <v>0.98441540000000005</v>
      </c>
      <c r="Y4939">
        <v>-1.5109869999999999E-2</v>
      </c>
      <c r="Z4939">
        <v>9.0049640000000007E-3</v>
      </c>
      <c r="AA4939">
        <v>0.99984530000000005</v>
      </c>
      <c r="AB4939">
        <v>24</v>
      </c>
      <c r="AC4939">
        <v>21.996499999999902</v>
      </c>
      <c r="AD4939">
        <v>-1.1085284094068999</v>
      </c>
      <c r="AE4939">
        <v>-4.8444700000000003</v>
      </c>
      <c r="AF4939">
        <v>-0.34667138021449501</v>
      </c>
      <c r="AG4939">
        <v>-1.1085284094068999</v>
      </c>
      <c r="AH4939">
        <v>22.466551830266202</v>
      </c>
      <c r="AI4939">
        <v>92.824420514138495</v>
      </c>
      <c r="AJ4939">
        <v>90.884035560113404</v>
      </c>
      <c r="AK4939">
        <v>22.496554567807902</v>
      </c>
      <c r="AL4939">
        <v>80.360642748282501</v>
      </c>
      <c r="AM4939">
        <v>93.124801849005806</v>
      </c>
      <c r="AN4939">
        <v>0.99999999144838803</v>
      </c>
    </row>
    <row r="4940" spans="1:40" x14ac:dyDescent="0.25">
      <c r="A4940" t="str">
        <f>"20190304155517968"</f>
        <v>20190304155517968</v>
      </c>
      <c r="B4940" t="str">
        <f>"1551686117962705"</f>
        <v>1551686117962705</v>
      </c>
      <c r="C4940" t="s">
        <v>40</v>
      </c>
      <c r="D4940">
        <v>4.8132330000000003</v>
      </c>
      <c r="E4940">
        <v>0.51359169999999998</v>
      </c>
      <c r="F4940" t="s">
        <v>95</v>
      </c>
      <c r="G4940">
        <v>-259.82510000000002</v>
      </c>
      <c r="H4940" s="1">
        <v>-3.571015E-6</v>
      </c>
      <c r="I4940">
        <v>-61.912840000000003</v>
      </c>
      <c r="J4940">
        <v>-281.92239999999998</v>
      </c>
      <c r="K4940">
        <v>1.108533</v>
      </c>
      <c r="L4940">
        <v>-57.016269999999999</v>
      </c>
      <c r="M4940">
        <v>0.97277849999999999</v>
      </c>
      <c r="N4940">
        <v>-1.172693E-2</v>
      </c>
      <c r="O4940">
        <v>-0.23144049999999999</v>
      </c>
      <c r="P4940">
        <v>0.97204420000000002</v>
      </c>
      <c r="Q4940">
        <v>0.15601470000000001</v>
      </c>
      <c r="R4940">
        <v>-0.1754694</v>
      </c>
      <c r="S4940">
        <v>2.9904790000000001</v>
      </c>
      <c r="T4940">
        <v>-0.14922050000000001</v>
      </c>
      <c r="U4940">
        <v>-0.6631165</v>
      </c>
      <c r="V4940">
        <v>-5.3569640000000002E-2</v>
      </c>
      <c r="W4940">
        <v>0.16779849999999999</v>
      </c>
      <c r="X4940">
        <v>0.98436469999999998</v>
      </c>
      <c r="Y4940">
        <v>-1.518603E-2</v>
      </c>
      <c r="Z4940">
        <v>9.0011280000000006E-3</v>
      </c>
      <c r="AA4940">
        <v>0.99984419999999996</v>
      </c>
      <c r="AB4940">
        <v>24</v>
      </c>
      <c r="AC4940">
        <v>22.097299999999901</v>
      </c>
      <c r="AD4940">
        <v>-1.1085365710149999</v>
      </c>
      <c r="AE4940">
        <v>-4.8965699999999996</v>
      </c>
      <c r="AF4940">
        <v>-0.35011635459810297</v>
      </c>
      <c r="AG4940">
        <v>-1.1085365710149999</v>
      </c>
      <c r="AH4940">
        <v>22.5764388743777</v>
      </c>
      <c r="AI4940">
        <v>92.810712515442702</v>
      </c>
      <c r="AJ4940">
        <v>90.8884741143805</v>
      </c>
      <c r="AK4940">
        <v>22.606349263858299</v>
      </c>
      <c r="AL4940">
        <v>80.340155749382106</v>
      </c>
      <c r="AM4940">
        <v>93.114993492613095</v>
      </c>
      <c r="AN4940">
        <v>0.99999995276903297</v>
      </c>
    </row>
    <row r="4941" spans="1:40" x14ac:dyDescent="0.25">
      <c r="A4941" t="str">
        <f>"20190304155517980"</f>
        <v>20190304155517980</v>
      </c>
      <c r="B4941" t="str">
        <f>"1551686117972465"</f>
        <v>1551686117972465</v>
      </c>
      <c r="C4941" t="s">
        <v>40</v>
      </c>
      <c r="D4941">
        <v>4.8125</v>
      </c>
      <c r="E4941">
        <v>0.51351239999999998</v>
      </c>
      <c r="F4941" t="s">
        <v>95</v>
      </c>
      <c r="G4941">
        <v>-259.65379999999999</v>
      </c>
      <c r="H4941" s="1">
        <v>-3.521788E-6</v>
      </c>
      <c r="I4941">
        <v>-61.980670000000003</v>
      </c>
      <c r="J4941">
        <v>-281.80459999999999</v>
      </c>
      <c r="K4941">
        <v>1.108536</v>
      </c>
      <c r="L4941">
        <v>-57.045810000000003</v>
      </c>
      <c r="M4941">
        <v>0.97246250000000001</v>
      </c>
      <c r="N4941">
        <v>-1.172051E-2</v>
      </c>
      <c r="O4941">
        <v>-0.23276469999999999</v>
      </c>
      <c r="P4941">
        <v>0.97175769999999995</v>
      </c>
      <c r="Q4941">
        <v>0.15654179999999901</v>
      </c>
      <c r="R4941">
        <v>-0.17658409999999999</v>
      </c>
      <c r="S4941">
        <v>2.9898380000000002</v>
      </c>
      <c r="T4941">
        <v>-0.14883479999999999</v>
      </c>
      <c r="U4941">
        <v>-0.66653439999999997</v>
      </c>
      <c r="V4941">
        <v>-5.376148E-2</v>
      </c>
      <c r="W4941">
        <v>0.16831840000000001</v>
      </c>
      <c r="X4941">
        <v>0.98426550000000002</v>
      </c>
      <c r="Y4941">
        <v>-1.5412850000000001E-2</v>
      </c>
      <c r="Z4941">
        <v>9.0273969999999995E-3</v>
      </c>
      <c r="AA4941">
        <v>0.99984039999999996</v>
      </c>
      <c r="AB4941">
        <v>24</v>
      </c>
      <c r="AC4941">
        <v>22.1508</v>
      </c>
      <c r="AD4941">
        <v>-1.1085395217880001</v>
      </c>
      <c r="AE4941">
        <v>-4.9348599999999996</v>
      </c>
      <c r="AF4941">
        <v>-0.35613276492502999</v>
      </c>
      <c r="AG4941">
        <v>-1.1085395217880001</v>
      </c>
      <c r="AH4941">
        <v>22.637027237762201</v>
      </c>
      <c r="AI4941">
        <v>92.803199261797999</v>
      </c>
      <c r="AJ4941">
        <v>90.901320697691403</v>
      </c>
      <c r="AK4941">
        <v>22.6669515502374</v>
      </c>
      <c r="AL4941">
        <v>80.309938126026196</v>
      </c>
      <c r="AM4941">
        <v>93.126441056204499</v>
      </c>
      <c r="AN4941">
        <v>0.99999997750030001</v>
      </c>
    </row>
    <row r="4942" spans="1:40" x14ac:dyDescent="0.25">
      <c r="A4942" t="str">
        <f>"20190304155517991"</f>
        <v>20190304155517991</v>
      </c>
      <c r="B4942" t="str">
        <f>"1551686117983202"</f>
        <v>1551686117983202</v>
      </c>
      <c r="C4942" t="s">
        <v>40</v>
      </c>
      <c r="D4942">
        <v>4.7910059999999897</v>
      </c>
      <c r="E4942">
        <v>0.51361000000000001</v>
      </c>
      <c r="F4942" t="s">
        <v>95</v>
      </c>
      <c r="G4942">
        <v>-259.37860000000001</v>
      </c>
      <c r="H4942" s="1">
        <v>-3.439706E-6</v>
      </c>
      <c r="I4942">
        <v>-62.06718</v>
      </c>
      <c r="J4942">
        <v>-281.69369999999998</v>
      </c>
      <c r="K4942">
        <v>1.1085389999999999</v>
      </c>
      <c r="L4942">
        <v>-57.073819999999998</v>
      </c>
      <c r="M4942">
        <v>0.972163</v>
      </c>
      <c r="N4942">
        <v>-1.171431E-2</v>
      </c>
      <c r="O4942">
        <v>-0.234013</v>
      </c>
      <c r="P4942">
        <v>0.97148970000000001</v>
      </c>
      <c r="Q4942">
        <v>0.1569045</v>
      </c>
      <c r="R4942">
        <v>-0.1777339</v>
      </c>
      <c r="S4942">
        <v>2.9893489999999998</v>
      </c>
      <c r="T4942">
        <v>-0.147766799999999</v>
      </c>
      <c r="U4942">
        <v>-0.66934199999999999</v>
      </c>
      <c r="V4942">
        <v>-5.3846850000000002E-2</v>
      </c>
      <c r="W4942">
        <v>0.16867470000000001</v>
      </c>
      <c r="X4942">
        <v>0.98419990000000002</v>
      </c>
      <c r="Y4942">
        <v>-1.57693E-2</v>
      </c>
      <c r="Z4942">
        <v>9.0004509999999996E-3</v>
      </c>
      <c r="AA4942">
        <v>0.99983509999999998</v>
      </c>
      <c r="AB4942">
        <v>24</v>
      </c>
      <c r="AC4942">
        <v>22.315099999999902</v>
      </c>
      <c r="AD4942">
        <v>-1.108542439706</v>
      </c>
      <c r="AE4942">
        <v>-4.9933600000000098</v>
      </c>
      <c r="AF4942">
        <v>-0.36682676602731501</v>
      </c>
      <c r="AG4942">
        <v>-1.108542439706</v>
      </c>
      <c r="AH4942">
        <v>22.810385231013999</v>
      </c>
      <c r="AI4942">
        <v>92.781920541035205</v>
      </c>
      <c r="AJ4942">
        <v>90.921326568437095</v>
      </c>
      <c r="AK4942">
        <v>22.840251806934301</v>
      </c>
      <c r="AL4942">
        <v>80.289228140938704</v>
      </c>
      <c r="AM4942">
        <v>93.131604086294701</v>
      </c>
      <c r="AN4942">
        <v>1.00000004041751</v>
      </c>
    </row>
    <row r="4943" spans="1:40" x14ac:dyDescent="0.25">
      <c r="A4943" t="str">
        <f>"20190304155518014"</f>
        <v>20190304155518014</v>
      </c>
      <c r="B4943" t="str">
        <f>"1551686118002721"</f>
        <v>1551686118002721</v>
      </c>
      <c r="C4943" t="s">
        <v>40</v>
      </c>
      <c r="D4943">
        <v>4.8147010000000003</v>
      </c>
      <c r="E4943">
        <v>0.51377050000000002</v>
      </c>
      <c r="F4943" t="s">
        <v>95</v>
      </c>
      <c r="G4943">
        <v>-259.10129999999998</v>
      </c>
      <c r="H4943" s="1">
        <v>-3.3583960000000002E-6</v>
      </c>
      <c r="I4943">
        <v>-62.164749999999998</v>
      </c>
      <c r="J4943">
        <v>-281.46080000000001</v>
      </c>
      <c r="K4943">
        <v>1.1085419999999999</v>
      </c>
      <c r="L4943">
        <v>-57.133090000000003</v>
      </c>
      <c r="M4943">
        <v>0.97152819999999995</v>
      </c>
      <c r="N4943">
        <v>-1.1702199999999999E-2</v>
      </c>
      <c r="O4943">
        <v>-0.23663500000000001</v>
      </c>
      <c r="P4943">
        <v>0.97098770000000001</v>
      </c>
      <c r="Q4943">
        <v>0.15720309999999901</v>
      </c>
      <c r="R4943">
        <v>-0.1801953</v>
      </c>
      <c r="S4943">
        <v>2.9885250000000001</v>
      </c>
      <c r="T4943">
        <v>-0.14663860000000001</v>
      </c>
      <c r="U4943">
        <v>-0.67343140000000001</v>
      </c>
      <c r="V4943">
        <v>-5.3997169999999997E-2</v>
      </c>
      <c r="W4943">
        <v>0.16896040000000001</v>
      </c>
      <c r="X4943">
        <v>0.98414259999999998</v>
      </c>
      <c r="Y4943">
        <v>-1.7105459999999999E-2</v>
      </c>
      <c r="Z4943">
        <v>9.0470970000000005E-3</v>
      </c>
      <c r="AA4943">
        <v>0.99981279999999995</v>
      </c>
      <c r="AB4943">
        <v>24</v>
      </c>
      <c r="AC4943">
        <v>22.359500000000001</v>
      </c>
      <c r="AD4943">
        <v>-1.1085453583960001</v>
      </c>
      <c r="AE4943">
        <v>-5.0316599999999898</v>
      </c>
      <c r="AF4943">
        <v>-0.401728394263907</v>
      </c>
      <c r="AG4943">
        <v>-1.1085453583960001</v>
      </c>
      <c r="AH4943">
        <v>22.861634005637299</v>
      </c>
      <c r="AI4943">
        <v>92.7756318975092</v>
      </c>
      <c r="AJ4943">
        <v>91.006707255893701</v>
      </c>
      <c r="AK4943">
        <v>22.892019743178899</v>
      </c>
      <c r="AL4943">
        <v>80.272619818510293</v>
      </c>
      <c r="AM4943">
        <v>93.140511339188706</v>
      </c>
      <c r="AN4943">
        <v>0.99999998413546398</v>
      </c>
    </row>
    <row r="4944" spans="1:40" x14ac:dyDescent="0.25">
      <c r="A4944" t="str">
        <f>"20190304155518029"</f>
        <v>20190304155518029</v>
      </c>
      <c r="B4944" t="str">
        <f>"1551686118023217"</f>
        <v>1551686118023217</v>
      </c>
      <c r="C4944" t="s">
        <v>40</v>
      </c>
      <c r="D4944">
        <v>4.8115360000000003</v>
      </c>
      <c r="E4944">
        <v>0.53408650000000002</v>
      </c>
      <c r="F4944" t="s">
        <v>95</v>
      </c>
      <c r="G4944">
        <v>-258.7559</v>
      </c>
      <c r="H4944" s="1">
        <v>-3.261422E-6</v>
      </c>
      <c r="I4944">
        <v>-62.318899999999999</v>
      </c>
      <c r="J4944">
        <v>-281.31400000000002</v>
      </c>
      <c r="K4944">
        <v>1.108541</v>
      </c>
      <c r="L4944">
        <v>-57.170780000000001</v>
      </c>
      <c r="M4944">
        <v>0.97112350000000003</v>
      </c>
      <c r="N4944">
        <v>-1.169542E-2</v>
      </c>
      <c r="O4944">
        <v>-0.23829139999999999</v>
      </c>
      <c r="P4944">
        <v>0.97073600000000004</v>
      </c>
      <c r="Q4944">
        <v>0.157056</v>
      </c>
      <c r="R4944">
        <v>-0.18167430000000001</v>
      </c>
      <c r="S4944">
        <v>2.986694</v>
      </c>
      <c r="T4944">
        <v>-0.145821799999999</v>
      </c>
      <c r="U4944">
        <v>-0.68215939999999997</v>
      </c>
      <c r="V4944">
        <v>-5.4183500000000002E-2</v>
      </c>
      <c r="W4944">
        <v>0.16880719999999999</v>
      </c>
      <c r="X4944">
        <v>0.98415859999999999</v>
      </c>
      <c r="Y4944">
        <v>-1.5903359999999998E-2</v>
      </c>
      <c r="Z4944">
        <v>9.0074930000000001E-3</v>
      </c>
      <c r="AA4944">
        <v>0.99983299999999997</v>
      </c>
      <c r="AB4944">
        <v>24</v>
      </c>
      <c r="AC4944">
        <v>22.5581</v>
      </c>
      <c r="AD4944">
        <v>-1.108544261422</v>
      </c>
      <c r="AE4944">
        <v>-5.1481199999999898</v>
      </c>
      <c r="AF4944">
        <v>-0.37510554803509799</v>
      </c>
      <c r="AG4944">
        <v>-1.108544261422</v>
      </c>
      <c r="AH4944">
        <v>23.0820494431692</v>
      </c>
      <c r="AI4944">
        <v>92.749226250506595</v>
      </c>
      <c r="AJ4944">
        <v>90.9310296800967</v>
      </c>
      <c r="AK4944">
        <v>23.111697926561099</v>
      </c>
      <c r="AL4944">
        <v>80.281524982510007</v>
      </c>
      <c r="AM4944">
        <v>93.151275481482401</v>
      </c>
      <c r="AN4944">
        <v>0.99999993619902205</v>
      </c>
    </row>
    <row r="4945" spans="1:40" x14ac:dyDescent="0.25">
      <c r="A4945" t="str">
        <f>"20190304155518040"</f>
        <v>20190304155518040</v>
      </c>
      <c r="B4945" t="str">
        <f>"1551686118032977"</f>
        <v>1551686118032977</v>
      </c>
      <c r="C4945" t="s">
        <v>40</v>
      </c>
      <c r="D4945">
        <v>4.8396720000000002</v>
      </c>
      <c r="E4945">
        <v>0.53445779999999998</v>
      </c>
      <c r="F4945" t="s">
        <v>95</v>
      </c>
      <c r="G4945">
        <v>-254.14449999999999</v>
      </c>
      <c r="H4945" s="1">
        <v>-1.9282739999999999E-6</v>
      </c>
      <c r="I4945">
        <v>-64.944369999999907</v>
      </c>
      <c r="J4945">
        <v>-281.17970000000003</v>
      </c>
      <c r="K4945">
        <v>1.1085400000000001</v>
      </c>
      <c r="L4945">
        <v>-57.205469999999998</v>
      </c>
      <c r="M4945">
        <v>0.97075020000000001</v>
      </c>
      <c r="N4945">
        <v>-1.168962E-2</v>
      </c>
      <c r="O4945">
        <v>-0.23980750000000001</v>
      </c>
      <c r="P4945">
        <v>0.970584</v>
      </c>
      <c r="Q4945">
        <v>0.15679699999999999</v>
      </c>
      <c r="R4945">
        <v>-0.18270719999999999</v>
      </c>
      <c r="S4945">
        <v>2.9518740000000001</v>
      </c>
      <c r="T4945">
        <v>-0.1204393</v>
      </c>
      <c r="U4945">
        <v>-0.84457399999999905</v>
      </c>
      <c r="V4945">
        <v>-5.4685770000000002E-2</v>
      </c>
      <c r="W4945">
        <v>0.1685449</v>
      </c>
      <c r="X4945">
        <v>0.98417589999999999</v>
      </c>
      <c r="Y4945">
        <v>3.652963E-2</v>
      </c>
      <c r="Z4945">
        <v>5.6976040000000002E-3</v>
      </c>
      <c r="AA4945">
        <v>0.99931630000000005</v>
      </c>
      <c r="AB4945">
        <v>24</v>
      </c>
      <c r="AC4945">
        <v>27.0352</v>
      </c>
      <c r="AD4945">
        <v>-1.1085419282740001</v>
      </c>
      <c r="AE4945">
        <v>-7.7388999999999903</v>
      </c>
      <c r="AF4945">
        <v>1.0277680929732</v>
      </c>
      <c r="AG4945">
        <v>-1.1085419282740001</v>
      </c>
      <c r="AH4945">
        <v>28.058586770945499</v>
      </c>
      <c r="AI4945">
        <v>92.260957000447505</v>
      </c>
      <c r="AJ4945">
        <v>87.902230095139004</v>
      </c>
      <c r="AK4945">
        <v>28.099278710357598</v>
      </c>
      <c r="AL4945">
        <v>80.296773342164798</v>
      </c>
      <c r="AM4945">
        <v>93.180371677505903</v>
      </c>
      <c r="AN4945">
        <v>1.00000005944865</v>
      </c>
    </row>
    <row r="4946" spans="1:40" x14ac:dyDescent="0.25">
      <c r="A4946" t="str">
        <f>"20190304155518051"</f>
        <v>20190304155518051</v>
      </c>
      <c r="B4946" t="str">
        <f>"1551686118042737"</f>
        <v>1551686118042737</v>
      </c>
      <c r="C4946" t="s">
        <v>40</v>
      </c>
      <c r="D4946">
        <v>4.8385680000000004</v>
      </c>
      <c r="E4946">
        <v>0.53459599999999996</v>
      </c>
      <c r="F4946" t="s">
        <v>95</v>
      </c>
      <c r="G4946">
        <v>-253.69229999999999</v>
      </c>
      <c r="H4946" s="1">
        <v>-1.7748520000000001E-6</v>
      </c>
      <c r="I4946">
        <v>-65.126769999999993</v>
      </c>
      <c r="J4946">
        <v>-281.06599999999997</v>
      </c>
      <c r="K4946">
        <v>1.108538</v>
      </c>
      <c r="L4946">
        <v>-57.235080000000004</v>
      </c>
      <c r="M4946">
        <v>0.97043199999999996</v>
      </c>
      <c r="N4946">
        <v>-1.168493E-2</v>
      </c>
      <c r="O4946">
        <v>-0.24109230000000001</v>
      </c>
      <c r="P4946">
        <v>0.97042689999999998</v>
      </c>
      <c r="Q4946">
        <v>0.1567249</v>
      </c>
      <c r="R4946">
        <v>-0.1836014</v>
      </c>
      <c r="S4946">
        <v>2.9501040000000001</v>
      </c>
      <c r="T4946">
        <v>-0.118975</v>
      </c>
      <c r="U4946">
        <v>-0.85015869999999905</v>
      </c>
      <c r="V4946">
        <v>-5.5085380000000003E-2</v>
      </c>
      <c r="W4946">
        <v>0.1684697</v>
      </c>
      <c r="X4946">
        <v>0.9841664</v>
      </c>
      <c r="Y4946">
        <v>3.711068E-2</v>
      </c>
      <c r="Z4946">
        <v>5.6142800000000001E-3</v>
      </c>
      <c r="AA4946">
        <v>0.99929539999999994</v>
      </c>
      <c r="AB4946">
        <v>24</v>
      </c>
      <c r="AC4946">
        <v>27.3736999999999</v>
      </c>
      <c r="AD4946">
        <v>-1.1085397748520001</v>
      </c>
      <c r="AE4946">
        <v>-7.8916899999999899</v>
      </c>
      <c r="AF4946">
        <v>1.05723156590608</v>
      </c>
      <c r="AG4946">
        <v>-1.1085397748520001</v>
      </c>
      <c r="AH4946">
        <v>28.425839195900299</v>
      </c>
      <c r="AI4946">
        <v>92.231725295259395</v>
      </c>
      <c r="AJ4946">
        <v>87.870001356092303</v>
      </c>
      <c r="AK4946">
        <v>28.467085080976599</v>
      </c>
      <c r="AL4946">
        <v>80.3011436230301</v>
      </c>
      <c r="AM4946">
        <v>93.203594507371506</v>
      </c>
      <c r="AN4946">
        <v>0.99999997089839598</v>
      </c>
    </row>
    <row r="4947" spans="1:40" x14ac:dyDescent="0.25">
      <c r="A4947" t="str">
        <f>"20190304155518062"</f>
        <v>20190304155518062</v>
      </c>
      <c r="B4947" t="str">
        <f>"1551686118052497"</f>
        <v>1551686118052497</v>
      </c>
      <c r="C4947" t="s">
        <v>40</v>
      </c>
      <c r="D4947">
        <v>4.8450139999999999</v>
      </c>
      <c r="E4947">
        <v>0.53477489999999905</v>
      </c>
      <c r="F4947" t="s">
        <v>95</v>
      </c>
      <c r="G4947">
        <v>-253.34370000000001</v>
      </c>
      <c r="H4947" s="1">
        <v>-1.6556249999999999E-6</v>
      </c>
      <c r="I4947">
        <v>-65.263249999999999</v>
      </c>
      <c r="J4947">
        <v>-280.95620000000002</v>
      </c>
      <c r="K4947">
        <v>1.1085370000000001</v>
      </c>
      <c r="L4947">
        <v>-57.263730000000002</v>
      </c>
      <c r="M4947">
        <v>0.97012290000000001</v>
      </c>
      <c r="N4947">
        <v>-1.168041E-2</v>
      </c>
      <c r="O4947">
        <v>-0.2423334</v>
      </c>
      <c r="P4947">
        <v>0.97033020000000003</v>
      </c>
      <c r="Q4947">
        <v>0.1566391</v>
      </c>
      <c r="R4947">
        <v>-0.1841836</v>
      </c>
      <c r="S4947">
        <v>2.9488829999999999</v>
      </c>
      <c r="T4947">
        <v>-0.1179177</v>
      </c>
      <c r="U4947">
        <v>-0.85397339999999999</v>
      </c>
      <c r="V4947">
        <v>-5.5758240000000001E-2</v>
      </c>
      <c r="W4947">
        <v>0.1683819</v>
      </c>
      <c r="X4947">
        <v>0.98414360000000001</v>
      </c>
      <c r="Y4947">
        <v>3.7134390000000003E-2</v>
      </c>
      <c r="Z4947">
        <v>5.5718819999999898E-3</v>
      </c>
      <c r="AA4947">
        <v>0.99929480000000004</v>
      </c>
      <c r="AB4947">
        <v>24</v>
      </c>
      <c r="AC4947">
        <v>27.612500000000001</v>
      </c>
      <c r="AD4947">
        <v>-1.1085386556250001</v>
      </c>
      <c r="AE4947">
        <v>-7.9995199999999897</v>
      </c>
      <c r="AF4947">
        <v>1.06757188343846</v>
      </c>
      <c r="AG4947">
        <v>-1.1085386556250001</v>
      </c>
      <c r="AH4947">
        <v>28.685371213619799</v>
      </c>
      <c r="AI4947">
        <v>92.211549615740495</v>
      </c>
      <c r="AJ4947">
        <v>87.868629770359902</v>
      </c>
      <c r="AK4947">
        <v>28.726626835403</v>
      </c>
      <c r="AL4947">
        <v>80.306247731434297</v>
      </c>
      <c r="AM4947">
        <v>93.242717914730804</v>
      </c>
      <c r="AN4947">
        <v>1.0000000354982299</v>
      </c>
    </row>
    <row r="4948" spans="1:40" x14ac:dyDescent="0.25">
      <c r="A4948" t="str">
        <f>"20190304155518073"</f>
        <v>20190304155518073</v>
      </c>
      <c r="B4948" t="str">
        <f>"1551686118063233"</f>
        <v>1551686118063233</v>
      </c>
      <c r="C4948" t="s">
        <v>40</v>
      </c>
      <c r="D4948">
        <v>4.8761530000000004</v>
      </c>
      <c r="E4948">
        <v>0.53463939999999999</v>
      </c>
      <c r="F4948" t="s">
        <v>95</v>
      </c>
      <c r="G4948">
        <v>-253.31909999999999</v>
      </c>
      <c r="H4948" s="1">
        <v>-1.652858E-6</v>
      </c>
      <c r="I4948">
        <v>-65.298190000000005</v>
      </c>
      <c r="J4948">
        <v>-280.83199999999999</v>
      </c>
      <c r="K4948">
        <v>1.1085400000000001</v>
      </c>
      <c r="L4948">
        <v>-57.296419999999998</v>
      </c>
      <c r="M4948">
        <v>0.96977080000000004</v>
      </c>
      <c r="N4948">
        <v>-1.16755E-2</v>
      </c>
      <c r="O4948">
        <v>-0.24373800000000001</v>
      </c>
      <c r="P4948">
        <v>0.97012180000000003</v>
      </c>
      <c r="Q4948">
        <v>0.1568813</v>
      </c>
      <c r="R4948">
        <v>-0.18507319999999999</v>
      </c>
      <c r="S4948">
        <v>2.9481199999999999</v>
      </c>
      <c r="T4948">
        <v>-0.1182506</v>
      </c>
      <c r="U4948">
        <v>-0.85705569999999898</v>
      </c>
      <c r="V4948">
        <v>-5.6271639999999998E-2</v>
      </c>
      <c r="W4948">
        <v>0.1686211</v>
      </c>
      <c r="X4948">
        <v>0.98407339999999999</v>
      </c>
      <c r="Y4948">
        <v>3.6721410000000003E-2</v>
      </c>
      <c r="Z4948">
        <v>5.645181E-3</v>
      </c>
      <c r="AA4948">
        <v>0.99930960000000002</v>
      </c>
      <c r="AB4948">
        <v>24</v>
      </c>
      <c r="AC4948">
        <v>27.512899999999998</v>
      </c>
      <c r="AD4948">
        <v>-1.1085416528580001</v>
      </c>
      <c r="AE4948">
        <v>-8.0017700000000005</v>
      </c>
      <c r="AF4948">
        <v>1.05244024628586</v>
      </c>
      <c r="AG4948">
        <v>-1.1085416528580001</v>
      </c>
      <c r="AH4948">
        <v>28.590700184218498</v>
      </c>
      <c r="AI4948">
        <v>92.218904567747302</v>
      </c>
      <c r="AJ4948">
        <v>87.891860990307904</v>
      </c>
      <c r="AK4948">
        <v>28.631532129664201</v>
      </c>
      <c r="AL4948">
        <v>80.292343570525304</v>
      </c>
      <c r="AM4948">
        <v>93.2727439319886</v>
      </c>
      <c r="AN4948">
        <v>1.0000000147105199</v>
      </c>
    </row>
    <row r="4949" spans="1:40" x14ac:dyDescent="0.25">
      <c r="A4949" t="str">
        <f>"20190304155518085"</f>
        <v>20190304155518085</v>
      </c>
      <c r="B4949" t="str">
        <f>"1551686118082753"</f>
        <v>1551686118082753</v>
      </c>
      <c r="C4949" t="s">
        <v>40</v>
      </c>
      <c r="D4949">
        <v>4.8951310000000001</v>
      </c>
      <c r="E4949">
        <v>0.53410690000000005</v>
      </c>
      <c r="F4949" t="s">
        <v>95</v>
      </c>
      <c r="G4949">
        <v>-253.2741</v>
      </c>
      <c r="H4949" s="1">
        <v>-1.6397749999999999E-6</v>
      </c>
      <c r="I4949">
        <v>-65.326130000000006</v>
      </c>
      <c r="J4949">
        <v>-280.7208</v>
      </c>
      <c r="K4949">
        <v>1.1085389999999999</v>
      </c>
      <c r="L4949">
        <v>-57.325839999999999</v>
      </c>
      <c r="M4949">
        <v>0.96945360000000003</v>
      </c>
      <c r="N4949">
        <v>-1.167121E-2</v>
      </c>
      <c r="O4949">
        <v>-0.2449971</v>
      </c>
      <c r="P4949">
        <v>0.96997999999999995</v>
      </c>
      <c r="Q4949">
        <v>0.156894799999999</v>
      </c>
      <c r="R4949">
        <v>-0.1858042</v>
      </c>
      <c r="S4949">
        <v>2.9476930000000001</v>
      </c>
      <c r="T4949">
        <v>-0.118573499999999</v>
      </c>
      <c r="U4949">
        <v>-0.8588867</v>
      </c>
      <c r="V4949">
        <v>-5.6808329999999997E-2</v>
      </c>
      <c r="W4949">
        <v>0.1686319</v>
      </c>
      <c r="X4949">
        <v>0.98404069999999999</v>
      </c>
      <c r="Y4949">
        <v>3.603642E-2</v>
      </c>
      <c r="Z4949">
        <v>5.7206749999999997E-3</v>
      </c>
      <c r="AA4949">
        <v>0.9993341</v>
      </c>
      <c r="AB4949">
        <v>24</v>
      </c>
      <c r="AC4949">
        <v>27.4467</v>
      </c>
      <c r="AD4949">
        <v>-1.1085406397749999</v>
      </c>
      <c r="AE4949">
        <v>-8.0002899999999997</v>
      </c>
      <c r="AF4949">
        <v>1.03006953521443</v>
      </c>
      <c r="AG4949">
        <v>-1.1085406397749999</v>
      </c>
      <c r="AH4949">
        <v>28.527403400536102</v>
      </c>
      <c r="AI4949">
        <v>92.223877746076198</v>
      </c>
      <c r="AJ4949">
        <v>87.932058279840206</v>
      </c>
      <c r="AK4949">
        <v>28.567510398603702</v>
      </c>
      <c r="AL4949">
        <v>80.291715658291693</v>
      </c>
      <c r="AM4949">
        <v>93.303998407541798</v>
      </c>
      <c r="AN4949">
        <v>1.00000000165574</v>
      </c>
    </row>
    <row r="4950" spans="1:40" x14ac:dyDescent="0.25">
      <c r="A4950" t="str">
        <f>"20190304155518097"</f>
        <v>20190304155518097</v>
      </c>
      <c r="B4950" t="str">
        <f>"1551686118092513"</f>
        <v>1551686118092513</v>
      </c>
      <c r="C4950" t="s">
        <v>40</v>
      </c>
      <c r="D4950">
        <v>4.8832800000000001</v>
      </c>
      <c r="E4950">
        <v>0.53379259999999995</v>
      </c>
      <c r="F4950" t="s">
        <v>95</v>
      </c>
      <c r="G4950">
        <v>-253.62719999999999</v>
      </c>
      <c r="H4950" s="1">
        <v>-1.764171E-6</v>
      </c>
      <c r="I4950">
        <v>-65.204459999999997</v>
      </c>
      <c r="J4950">
        <v>-280.60019999999997</v>
      </c>
      <c r="K4950">
        <v>1.108538</v>
      </c>
      <c r="L4950">
        <v>-57.357909999999997</v>
      </c>
      <c r="M4950">
        <v>0.96910779999999996</v>
      </c>
      <c r="N4950">
        <v>-1.166681E-2</v>
      </c>
      <c r="O4950">
        <v>-0.24636179999999999</v>
      </c>
      <c r="P4950">
        <v>0.96985730000000003</v>
      </c>
      <c r="Q4950">
        <v>0.15714939999999999</v>
      </c>
      <c r="R4950">
        <v>-0.1862287</v>
      </c>
      <c r="S4950">
        <v>2.9481510000000002</v>
      </c>
      <c r="T4950">
        <v>-0.1206241</v>
      </c>
      <c r="U4950">
        <v>-0.85729979999999995</v>
      </c>
      <c r="V4950">
        <v>-5.7752650000000003E-2</v>
      </c>
      <c r="W4950">
        <v>0.1688857</v>
      </c>
      <c r="X4950">
        <v>0.98394219999999999</v>
      </c>
      <c r="Y4950">
        <v>3.4097429999999998E-2</v>
      </c>
      <c r="Z4950">
        <v>5.9595469999999999E-3</v>
      </c>
      <c r="AA4950">
        <v>0.99940070000000003</v>
      </c>
      <c r="AB4950">
        <v>24</v>
      </c>
      <c r="AC4950">
        <v>26.9729999999999</v>
      </c>
      <c r="AD4950">
        <v>-1.108539764171</v>
      </c>
      <c r="AE4950">
        <v>-7.8465499999999997</v>
      </c>
      <c r="AF4950">
        <v>0.95760990795954903</v>
      </c>
      <c r="AG4950">
        <v>-1.108539764171</v>
      </c>
      <c r="AH4950">
        <v>28.031091085807301</v>
      </c>
      <c r="AI4950">
        <v>92.263365228215704</v>
      </c>
      <c r="AJ4950">
        <v>88.043398441068405</v>
      </c>
      <c r="AK4950">
        <v>28.069341720200701</v>
      </c>
      <c r="AL4950">
        <v>80.276962378443599</v>
      </c>
      <c r="AM4950">
        <v>93.359131243250403</v>
      </c>
      <c r="AN4950">
        <v>1.00000000059367</v>
      </c>
    </row>
    <row r="4951" spans="1:40" x14ac:dyDescent="0.25">
      <c r="A4951" t="str">
        <f>"20190304155518108"</f>
        <v>20190304155518108</v>
      </c>
      <c r="B4951" t="str">
        <f>"1551686118103249"</f>
        <v>1551686118103249</v>
      </c>
      <c r="C4951" t="s">
        <v>40</v>
      </c>
      <c r="D4951">
        <v>4.8893329999999997</v>
      </c>
      <c r="E4951">
        <v>0.53354349999999995</v>
      </c>
      <c r="F4951" t="s">
        <v>95</v>
      </c>
      <c r="G4951">
        <v>-254.0599</v>
      </c>
      <c r="H4951" s="1">
        <v>-1.9189380000000002E-6</v>
      </c>
      <c r="I4951">
        <v>-65.065640000000002</v>
      </c>
      <c r="J4951">
        <v>-280.49110000000002</v>
      </c>
      <c r="K4951">
        <v>1.1085389999999999</v>
      </c>
      <c r="L4951">
        <v>-57.387050000000002</v>
      </c>
      <c r="M4951">
        <v>0.96879340000000003</v>
      </c>
      <c r="N4951">
        <v>-1.1663059999999999E-2</v>
      </c>
      <c r="O4951">
        <v>-0.24759500000000001</v>
      </c>
      <c r="P4951">
        <v>0.96968560000000004</v>
      </c>
      <c r="Q4951">
        <v>0.15735929999999901</v>
      </c>
      <c r="R4951">
        <v>-0.18694350000000001</v>
      </c>
      <c r="S4951">
        <v>2.9488219999999998</v>
      </c>
      <c r="T4951">
        <v>-0.1231667</v>
      </c>
      <c r="U4951">
        <v>-0.85638429999999999</v>
      </c>
      <c r="V4951">
        <v>-5.827135E-2</v>
      </c>
      <c r="W4951">
        <v>0.16909299999999999</v>
      </c>
      <c r="X4951">
        <v>0.98387599999999997</v>
      </c>
      <c r="Y4951">
        <v>3.2484649999999997E-2</v>
      </c>
      <c r="Z4951">
        <v>6.2253169999999898E-3</v>
      </c>
      <c r="AA4951">
        <v>0.99945280000000003</v>
      </c>
      <c r="AB4951">
        <v>24</v>
      </c>
      <c r="AC4951">
        <v>26.4312</v>
      </c>
      <c r="AD4951">
        <v>-1.108540918938</v>
      </c>
      <c r="AE4951">
        <v>-7.6785899999999998</v>
      </c>
      <c r="AF4951">
        <v>0.89334611739938696</v>
      </c>
      <c r="AG4951">
        <v>-1.108540918938</v>
      </c>
      <c r="AH4951">
        <v>27.464873051999199</v>
      </c>
      <c r="AI4951">
        <v>92.310105020682101</v>
      </c>
      <c r="AJ4951">
        <v>88.1370049535319</v>
      </c>
      <c r="AK4951">
        <v>27.501748708343399</v>
      </c>
      <c r="AL4951">
        <v>80.264911525714098</v>
      </c>
      <c r="AM4951">
        <v>93.3894584604013</v>
      </c>
      <c r="AN4951">
        <v>0.99999998812791102</v>
      </c>
    </row>
    <row r="4952" spans="1:40" x14ac:dyDescent="0.25">
      <c r="A4952" t="str">
        <f>"20190304155518118"</f>
        <v>20190304155518118</v>
      </c>
      <c r="B4952" t="str">
        <f>"1551686118113009"</f>
        <v>1551686118113009</v>
      </c>
      <c r="C4952" t="s">
        <v>40</v>
      </c>
      <c r="D4952">
        <v>4.9095079999999998</v>
      </c>
      <c r="E4952">
        <v>0.53332769999999996</v>
      </c>
      <c r="F4952" t="s">
        <v>95</v>
      </c>
      <c r="G4952">
        <v>-254.36279999999999</v>
      </c>
      <c r="H4952" s="1">
        <v>-2.0299939999999999E-6</v>
      </c>
      <c r="I4952">
        <v>-64.980649999999997</v>
      </c>
      <c r="J4952">
        <v>-280.3716</v>
      </c>
      <c r="K4952">
        <v>1.1085389999999999</v>
      </c>
      <c r="L4952">
        <v>-57.419130000000003</v>
      </c>
      <c r="M4952">
        <v>0.96844739999999996</v>
      </c>
      <c r="N4952">
        <v>-1.165914E-2</v>
      </c>
      <c r="O4952">
        <v>-0.2489449</v>
      </c>
      <c r="P4952">
        <v>0.96957210000000005</v>
      </c>
      <c r="Q4952">
        <v>0.15727530000000001</v>
      </c>
      <c r="R4952">
        <v>-0.1876022</v>
      </c>
      <c r="S4952">
        <v>2.9488829999999999</v>
      </c>
      <c r="T4952">
        <v>-0.12511169999999999</v>
      </c>
      <c r="U4952">
        <v>-0.85702509999999998</v>
      </c>
      <c r="V4952">
        <v>-5.8979209999999997E-2</v>
      </c>
      <c r="W4952">
        <v>0.16900789999999999</v>
      </c>
      <c r="X4952">
        <v>0.98384850000000001</v>
      </c>
      <c r="Y4952">
        <v>3.1291649999999997E-2</v>
      </c>
      <c r="Z4952">
        <v>6.4421419999999997E-3</v>
      </c>
      <c r="AA4952">
        <v>0.99948950000000003</v>
      </c>
      <c r="AB4952">
        <v>24</v>
      </c>
      <c r="AC4952">
        <v>26.008800000000001</v>
      </c>
      <c r="AD4952">
        <v>-1.1085410299939999</v>
      </c>
      <c r="AE4952">
        <v>-7.56151999999999</v>
      </c>
      <c r="AF4952">
        <v>0.84681553474269899</v>
      </c>
      <c r="AG4952">
        <v>-1.1085410299939999</v>
      </c>
      <c r="AH4952">
        <v>27.027127123964</v>
      </c>
      <c r="AI4952">
        <v>92.347568803085096</v>
      </c>
      <c r="AJ4952">
        <v>88.205392371012394</v>
      </c>
      <c r="AK4952">
        <v>27.063103302097002</v>
      </c>
      <c r="AL4952">
        <v>80.269859148873707</v>
      </c>
      <c r="AM4952">
        <v>93.430630332026396</v>
      </c>
      <c r="AN4952">
        <v>1.00000004421344</v>
      </c>
    </row>
    <row r="4953" spans="1:40" x14ac:dyDescent="0.25">
      <c r="A4953" t="str">
        <f>"20190304155518130"</f>
        <v>20190304155518130</v>
      </c>
      <c r="B4953" t="str">
        <f>"1551686118122769"</f>
        <v>1551686118122769</v>
      </c>
      <c r="C4953" t="s">
        <v>40</v>
      </c>
      <c r="D4953">
        <v>4.8699250000000003</v>
      </c>
      <c r="E4953">
        <v>0.53309139999999999</v>
      </c>
      <c r="F4953" t="s">
        <v>95</v>
      </c>
      <c r="G4953">
        <v>-254.6763</v>
      </c>
      <c r="H4953" s="1">
        <v>-2.1449640000000001E-6</v>
      </c>
      <c r="I4953">
        <v>-64.892880000000005</v>
      </c>
      <c r="J4953">
        <v>-280.25880000000001</v>
      </c>
      <c r="K4953">
        <v>1.108541</v>
      </c>
      <c r="L4953">
        <v>-57.449649999999998</v>
      </c>
      <c r="M4953">
        <v>0.9681206</v>
      </c>
      <c r="N4953">
        <v>-1.165563E-2</v>
      </c>
      <c r="O4953">
        <v>-0.25021349999999998</v>
      </c>
      <c r="P4953">
        <v>0.96944759999999996</v>
      </c>
      <c r="Q4953">
        <v>0.1573251</v>
      </c>
      <c r="R4953">
        <v>-0.18820339999999999</v>
      </c>
      <c r="S4953">
        <v>2.9488219999999998</v>
      </c>
      <c r="T4953">
        <v>-0.12721749999999901</v>
      </c>
      <c r="U4953">
        <v>-0.85769649999999997</v>
      </c>
      <c r="V4953">
        <v>-5.9658460000000003E-2</v>
      </c>
      <c r="W4953">
        <v>0.16905629999999999</v>
      </c>
      <c r="X4953">
        <v>0.98379919999999998</v>
      </c>
      <c r="Y4953">
        <v>3.02031E-2</v>
      </c>
      <c r="Z4953">
        <v>6.6688030000000001E-3</v>
      </c>
      <c r="AA4953">
        <v>0.99952160000000001</v>
      </c>
      <c r="AB4953">
        <v>24</v>
      </c>
      <c r="AC4953">
        <v>25.5825</v>
      </c>
      <c r="AD4953">
        <v>-1.108543144964</v>
      </c>
      <c r="AE4953">
        <v>-7.4432299999999998</v>
      </c>
      <c r="AF4953">
        <v>0.80352105155847298</v>
      </c>
      <c r="AG4953">
        <v>-1.108543144964</v>
      </c>
      <c r="AH4953">
        <v>26.5851267530008</v>
      </c>
      <c r="AI4953">
        <v>92.386640108881195</v>
      </c>
      <c r="AJ4953">
        <v>88.268793143085404</v>
      </c>
      <c r="AK4953">
        <v>26.620358345778602</v>
      </c>
      <c r="AL4953">
        <v>80.267045261648903</v>
      </c>
      <c r="AM4953">
        <v>93.470217582896794</v>
      </c>
      <c r="AN4953">
        <v>1.00000001516995</v>
      </c>
    </row>
    <row r="4954" spans="1:40" x14ac:dyDescent="0.25">
      <c r="A4954" t="str">
        <f>"20190304155518141"</f>
        <v>20190304155518141</v>
      </c>
      <c r="B4954" t="str">
        <f>"1551686118132529"</f>
        <v>1551686118132529</v>
      </c>
      <c r="C4954" t="s">
        <v>40</v>
      </c>
      <c r="D4954">
        <v>4.8337659999999998</v>
      </c>
      <c r="E4954">
        <v>0.53288329999999995</v>
      </c>
      <c r="F4954" t="s">
        <v>95</v>
      </c>
      <c r="G4954">
        <v>-254.81809999999999</v>
      </c>
      <c r="H4954" s="1">
        <v>-2.196767E-6</v>
      </c>
      <c r="I4954">
        <v>-64.852249999999998</v>
      </c>
      <c r="J4954">
        <v>-280.14490000000001</v>
      </c>
      <c r="K4954">
        <v>1.1085449999999999</v>
      </c>
      <c r="L4954">
        <v>-57.480469999999997</v>
      </c>
      <c r="M4954">
        <v>0.96778929999999996</v>
      </c>
      <c r="N4954">
        <v>-1.165213E-2</v>
      </c>
      <c r="O4954">
        <v>-0.25149260000000001</v>
      </c>
      <c r="P4954">
        <v>0.96936369999999905</v>
      </c>
      <c r="Q4954">
        <v>0.15735289999999999</v>
      </c>
      <c r="R4954">
        <v>-0.188612</v>
      </c>
      <c r="S4954">
        <v>2.9488219999999998</v>
      </c>
      <c r="T4954">
        <v>-0.12849079999999999</v>
      </c>
      <c r="U4954">
        <v>-0.85803220000000002</v>
      </c>
      <c r="V4954">
        <v>-6.0545250000000002E-2</v>
      </c>
      <c r="W4954">
        <v>0.16908309999999999</v>
      </c>
      <c r="X4954">
        <v>0.98374039999999996</v>
      </c>
      <c r="Y4954">
        <v>2.899146E-2</v>
      </c>
      <c r="Z4954">
        <v>6.8372249999999997E-3</v>
      </c>
      <c r="AA4954">
        <v>0.99955629999999995</v>
      </c>
      <c r="AB4954">
        <v>24</v>
      </c>
      <c r="AC4954">
        <v>25.326799999999999</v>
      </c>
      <c r="AD4954">
        <v>-1.108547196767</v>
      </c>
      <c r="AE4954">
        <v>-7.3717800000000002</v>
      </c>
      <c r="AF4954">
        <v>0.76353026929997003</v>
      </c>
      <c r="AG4954">
        <v>-1.108547196767</v>
      </c>
      <c r="AH4954">
        <v>26.3202527009996</v>
      </c>
      <c r="AI4954">
        <v>92.410725271354906</v>
      </c>
      <c r="AJ4954">
        <v>88.338359548328199</v>
      </c>
      <c r="AK4954">
        <v>26.3546496391827</v>
      </c>
      <c r="AL4954">
        <v>80.265487140770503</v>
      </c>
      <c r="AM4954">
        <v>93.521881542213094</v>
      </c>
      <c r="AN4954">
        <v>0.99999999829766595</v>
      </c>
    </row>
    <row r="4955" spans="1:40" x14ac:dyDescent="0.25">
      <c r="A4955" t="str">
        <f>"20190304155518152"</f>
        <v>20190304155518152</v>
      </c>
      <c r="B4955" t="str">
        <f>"1551686118143265"</f>
        <v>1551686118143265</v>
      </c>
      <c r="C4955" t="s">
        <v>40</v>
      </c>
      <c r="D4955">
        <v>4.8565009999999997</v>
      </c>
      <c r="E4955">
        <v>0.53263099999999997</v>
      </c>
      <c r="F4955" t="s">
        <v>95</v>
      </c>
      <c r="G4955">
        <v>-254.8323</v>
      </c>
      <c r="H4955" s="1">
        <v>-2.200679E-6</v>
      </c>
      <c r="I4955">
        <v>-64.842510000000004</v>
      </c>
      <c r="J4955">
        <v>-280.03140000000002</v>
      </c>
      <c r="K4955">
        <v>1.1085510000000001</v>
      </c>
      <c r="L4955">
        <v>-57.511539999999997</v>
      </c>
      <c r="M4955">
        <v>0.96746019999999999</v>
      </c>
      <c r="N4955">
        <v>-1.164893E-2</v>
      </c>
      <c r="O4955">
        <v>-0.25275500000000001</v>
      </c>
      <c r="P4955">
        <v>0.96926789999999996</v>
      </c>
      <c r="Q4955">
        <v>0.15722510000000001</v>
      </c>
      <c r="R4955">
        <v>-0.1892086</v>
      </c>
      <c r="S4955">
        <v>2.9488829999999999</v>
      </c>
      <c r="T4955">
        <v>-0.12914400000000001</v>
      </c>
      <c r="U4955">
        <v>-0.85766600000000004</v>
      </c>
      <c r="V4955">
        <v>-6.1233360000000001E-2</v>
      </c>
      <c r="W4955">
        <v>0.168953399999999</v>
      </c>
      <c r="X4955">
        <v>0.98372009999999999</v>
      </c>
      <c r="Y4955">
        <v>2.7570790000000001E-2</v>
      </c>
      <c r="Z4955">
        <v>6.9641929999999996E-3</v>
      </c>
      <c r="AA4955">
        <v>0.99959560000000003</v>
      </c>
      <c r="AB4955">
        <v>24</v>
      </c>
      <c r="AC4955">
        <v>25.199100000000001</v>
      </c>
      <c r="AD4955">
        <v>-1.108553200679</v>
      </c>
      <c r="AE4955">
        <v>-7.3309699999999998</v>
      </c>
      <c r="AF4955">
        <v>0.72198403689402901</v>
      </c>
      <c r="AG4955">
        <v>-1.108553200679</v>
      </c>
      <c r="AH4955">
        <v>26.187120555423199</v>
      </c>
      <c r="AI4955">
        <v>92.423078088690403</v>
      </c>
      <c r="AJ4955">
        <v>88.420744207584306</v>
      </c>
      <c r="AK4955">
        <v>26.220515519961399</v>
      </c>
      <c r="AL4955">
        <v>80.273026948395398</v>
      </c>
      <c r="AM4955">
        <v>93.561879340827304</v>
      </c>
      <c r="AN4955">
        <v>1.0000000054462199</v>
      </c>
    </row>
    <row r="4956" spans="1:40" x14ac:dyDescent="0.25">
      <c r="A4956" t="str">
        <f>"20190304155518164"</f>
        <v>20190304155518164</v>
      </c>
      <c r="B4956" t="str">
        <f>"1551686118153026"</f>
        <v>1551686118153026</v>
      </c>
      <c r="C4956" t="s">
        <v>40</v>
      </c>
      <c r="D4956">
        <v>4.8606809999999996</v>
      </c>
      <c r="E4956">
        <v>0.53239040000000004</v>
      </c>
      <c r="F4956" t="s">
        <v>95</v>
      </c>
      <c r="G4956">
        <v>-254.95580000000001</v>
      </c>
      <c r="H4956" s="1">
        <v>-2.2456990000000001E-6</v>
      </c>
      <c r="I4956">
        <v>-64.80659</v>
      </c>
      <c r="J4956">
        <v>-279.9092</v>
      </c>
      <c r="K4956">
        <v>1.1085609999999999</v>
      </c>
      <c r="L4956">
        <v>-57.544980000000002</v>
      </c>
      <c r="M4956">
        <v>0.96710569999999896</v>
      </c>
      <c r="N4956">
        <v>-1.1645519999999999E-2</v>
      </c>
      <c r="O4956">
        <v>-0.25410890000000003</v>
      </c>
      <c r="P4956">
        <v>0.96912379999999998</v>
      </c>
      <c r="Q4956">
        <v>0.15710260000000001</v>
      </c>
      <c r="R4956">
        <v>-0.1900481</v>
      </c>
      <c r="S4956">
        <v>2.9488219999999998</v>
      </c>
      <c r="T4956">
        <v>-0.13036300000000001</v>
      </c>
      <c r="U4956">
        <v>-0.85787959999999996</v>
      </c>
      <c r="V4956">
        <v>-6.176943E-2</v>
      </c>
      <c r="W4956">
        <v>0.16882839999999999</v>
      </c>
      <c r="X4956">
        <v>0.98370800000000003</v>
      </c>
      <c r="Y4956">
        <v>2.6248469999999999E-2</v>
      </c>
      <c r="Z4956">
        <v>7.1365609999999996E-3</v>
      </c>
      <c r="AA4956">
        <v>0.99963000000000002</v>
      </c>
      <c r="AB4956">
        <v>24</v>
      </c>
      <c r="AC4956">
        <v>24.953399999999899</v>
      </c>
      <c r="AD4956">
        <v>-1.108563245699</v>
      </c>
      <c r="AE4956">
        <v>-7.2616099999999904</v>
      </c>
      <c r="AF4956">
        <v>0.68067100899341504</v>
      </c>
      <c r="AG4956">
        <v>-1.108563245699</v>
      </c>
      <c r="AH4956">
        <v>25.932387187867199</v>
      </c>
      <c r="AI4956">
        <v>92.4469601931292</v>
      </c>
      <c r="AJ4956">
        <v>88.496450666870999</v>
      </c>
      <c r="AK4956">
        <v>25.964994333788301</v>
      </c>
      <c r="AL4956">
        <v>80.280292859716894</v>
      </c>
      <c r="AM4956">
        <v>93.593024708774095</v>
      </c>
      <c r="AN4956">
        <v>0.99999996019654103</v>
      </c>
    </row>
    <row r="4957" spans="1:40" x14ac:dyDescent="0.25">
      <c r="A4957" t="str">
        <f>"20190304155518175"</f>
        <v>20190304155518175</v>
      </c>
      <c r="B4957" t="str">
        <f>"1551686118172546"</f>
        <v>1551686118172546</v>
      </c>
      <c r="C4957" t="s">
        <v>40</v>
      </c>
      <c r="D4957">
        <v>4.9006629999999998</v>
      </c>
      <c r="E4957">
        <v>0.53222599999999998</v>
      </c>
      <c r="F4957" t="s">
        <v>95</v>
      </c>
      <c r="G4957">
        <v>-255.08199999999999</v>
      </c>
      <c r="H4957" s="1">
        <v>-2.2925979999999998E-6</v>
      </c>
      <c r="I4957">
        <v>-64.774119999999996</v>
      </c>
      <c r="J4957">
        <v>-279.79559999999998</v>
      </c>
      <c r="K4957">
        <v>1.1085739999999999</v>
      </c>
      <c r="L4957">
        <v>-57.576320000000003</v>
      </c>
      <c r="M4957">
        <v>0.96677789999999997</v>
      </c>
      <c r="N4957">
        <v>-1.164243E-2</v>
      </c>
      <c r="O4957">
        <v>-0.25535289999999999</v>
      </c>
      <c r="P4957">
        <v>0.96905300000000005</v>
      </c>
      <c r="Q4957">
        <v>0.15701379999999901</v>
      </c>
      <c r="R4957">
        <v>-0.19048080000000001</v>
      </c>
      <c r="S4957">
        <v>2.948547</v>
      </c>
      <c r="T4957">
        <v>-0.13165579999999999</v>
      </c>
      <c r="U4957">
        <v>-0.85855099999999995</v>
      </c>
      <c r="V4957">
        <v>-6.260723E-2</v>
      </c>
      <c r="W4957">
        <v>0.16873669999999999</v>
      </c>
      <c r="X4957">
        <v>0.98367079999999996</v>
      </c>
      <c r="Y4957">
        <v>2.5201680000000001E-2</v>
      </c>
      <c r="Z4957">
        <v>7.3057959999999998E-3</v>
      </c>
      <c r="AA4957">
        <v>0.99965570000000004</v>
      </c>
      <c r="AB4957">
        <v>24</v>
      </c>
      <c r="AC4957">
        <v>24.7135999999999</v>
      </c>
      <c r="AD4957">
        <v>-1.1085762925980001</v>
      </c>
      <c r="AE4957">
        <v>-7.1978</v>
      </c>
      <c r="AF4957">
        <v>0.64682866489385105</v>
      </c>
      <c r="AG4957">
        <v>-1.1085762925980001</v>
      </c>
      <c r="AH4957">
        <v>25.684643294524999</v>
      </c>
      <c r="AI4957">
        <v>92.470630035367606</v>
      </c>
      <c r="AJ4957">
        <v>88.557397880635193</v>
      </c>
      <c r="AK4957">
        <v>25.716691659022199</v>
      </c>
      <c r="AL4957">
        <v>80.285623659792904</v>
      </c>
      <c r="AM4957">
        <v>93.641765219116493</v>
      </c>
      <c r="AN4957">
        <v>0.99999999097390102</v>
      </c>
    </row>
    <row r="4958" spans="1:40" x14ac:dyDescent="0.25">
      <c r="A4958" t="str">
        <f>"20190304155518187"</f>
        <v>20190304155518187</v>
      </c>
      <c r="B4958" t="str">
        <f>"1551686118183281"</f>
        <v>1551686118183281</v>
      </c>
      <c r="C4958" t="s">
        <v>40</v>
      </c>
      <c r="D4958">
        <v>4.8668339999999999</v>
      </c>
      <c r="E4958">
        <v>0.53208719999999998</v>
      </c>
      <c r="F4958" t="s">
        <v>95</v>
      </c>
      <c r="G4958">
        <v>-255.2433</v>
      </c>
      <c r="H4958" s="1">
        <v>-2.3514090000000001E-6</v>
      </c>
      <c r="I4958">
        <v>-64.727440000000001</v>
      </c>
      <c r="J4958">
        <v>-279.68169999999998</v>
      </c>
      <c r="K4958">
        <v>1.10859</v>
      </c>
      <c r="L4958">
        <v>-57.607849999999999</v>
      </c>
      <c r="M4958">
        <v>0.96645110000000001</v>
      </c>
      <c r="N4958">
        <v>-1.1639429999999999E-2</v>
      </c>
      <c r="O4958">
        <v>-0.25658710000000001</v>
      </c>
      <c r="P4958">
        <v>0.96890869999999996</v>
      </c>
      <c r="Q4958">
        <v>0.1570358</v>
      </c>
      <c r="R4958">
        <v>-0.19119659999999999</v>
      </c>
      <c r="S4958">
        <v>2.948547</v>
      </c>
      <c r="T4958">
        <v>-0.13313169999999999</v>
      </c>
      <c r="U4958">
        <v>-0.85879519999999998</v>
      </c>
      <c r="V4958">
        <v>-6.3143610000000003E-2</v>
      </c>
      <c r="W4958">
        <v>0.1687555</v>
      </c>
      <c r="X4958">
        <v>0.98363330000000004</v>
      </c>
      <c r="Y4958">
        <v>2.4006630000000001E-2</v>
      </c>
      <c r="Z4958">
        <v>7.4941909999999999E-3</v>
      </c>
      <c r="AA4958">
        <v>0.99968369999999995</v>
      </c>
      <c r="AB4958">
        <v>24</v>
      </c>
      <c r="AC4958">
        <v>24.438399999999898</v>
      </c>
      <c r="AD4958">
        <v>-1.1085923514089999</v>
      </c>
      <c r="AE4958">
        <v>-7.1195899999999996</v>
      </c>
      <c r="AF4958">
        <v>0.60904346454025404</v>
      </c>
      <c r="AG4958">
        <v>-1.1085923514089999</v>
      </c>
      <c r="AH4958">
        <v>25.3988591098075</v>
      </c>
      <c r="AI4958">
        <v>92.498504138589297</v>
      </c>
      <c r="AJ4958">
        <v>88.626358220190298</v>
      </c>
      <c r="AK4958">
        <v>25.4303353305291</v>
      </c>
      <c r="AL4958">
        <v>80.284530931332696</v>
      </c>
      <c r="AM4958">
        <v>93.673020207913495</v>
      </c>
      <c r="AN4958">
        <v>1.0000000015664801</v>
      </c>
    </row>
    <row r="4959" spans="1:40" x14ac:dyDescent="0.25">
      <c r="A4959" t="str">
        <f>"20190304155518197"</f>
        <v>20190304155518197</v>
      </c>
      <c r="B4959" t="str">
        <f>"1551686118193041"</f>
        <v>1551686118193041</v>
      </c>
      <c r="C4959" t="s">
        <v>40</v>
      </c>
      <c r="D4959">
        <v>4.8523100000000001</v>
      </c>
      <c r="E4959">
        <v>0.53198179999999995</v>
      </c>
      <c r="F4959" t="s">
        <v>95</v>
      </c>
      <c r="G4959">
        <v>-255.1618</v>
      </c>
      <c r="H4959" s="1">
        <v>-2.3242199999999998E-6</v>
      </c>
      <c r="I4959">
        <v>-64.762309999999999</v>
      </c>
      <c r="J4959">
        <v>-279.56099999999998</v>
      </c>
      <c r="K4959">
        <v>1.1086100000000001</v>
      </c>
      <c r="L4959">
        <v>-57.641390000000001</v>
      </c>
      <c r="M4959">
        <v>0.96610629999999997</v>
      </c>
      <c r="N4959">
        <v>-1.163637E-2</v>
      </c>
      <c r="O4959">
        <v>-0.25788270000000002</v>
      </c>
      <c r="P4959">
        <v>0.96872199999999997</v>
      </c>
      <c r="Q4959">
        <v>0.1571263</v>
      </c>
      <c r="R4959">
        <v>-0.19206580000000001</v>
      </c>
      <c r="S4959">
        <v>2.9480900000000001</v>
      </c>
      <c r="T4959">
        <v>-0.13328889999999999</v>
      </c>
      <c r="U4959">
        <v>-0.86019899999999905</v>
      </c>
      <c r="V4959">
        <v>-6.3584479999999999E-2</v>
      </c>
      <c r="W4959">
        <v>0.16884109999999999</v>
      </c>
      <c r="X4959">
        <v>0.98359019999999997</v>
      </c>
      <c r="Y4959">
        <v>2.314861E-2</v>
      </c>
      <c r="Z4959">
        <v>7.57186199999999E-3</v>
      </c>
      <c r="AA4959">
        <v>0.99970329999999996</v>
      </c>
      <c r="AB4959">
        <v>24</v>
      </c>
      <c r="AC4959">
        <v>24.399199999999901</v>
      </c>
      <c r="AD4959">
        <v>-1.1086123242199999</v>
      </c>
      <c r="AE4959">
        <v>-7.1209199999999901</v>
      </c>
      <c r="AF4959">
        <v>0.58635829080021495</v>
      </c>
      <c r="AG4959">
        <v>-1.1086123242199999</v>
      </c>
      <c r="AH4959">
        <v>25.362050395935899</v>
      </c>
      <c r="AI4959">
        <v>92.502221272852296</v>
      </c>
      <c r="AJ4959">
        <v>88.675585335390494</v>
      </c>
      <c r="AK4959">
        <v>25.393039156756998</v>
      </c>
      <c r="AL4959">
        <v>80.279554920671103</v>
      </c>
      <c r="AM4959">
        <v>93.698755992729204</v>
      </c>
      <c r="AN4959">
        <v>0.99999999234105996</v>
      </c>
    </row>
    <row r="4960" spans="1:40" x14ac:dyDescent="0.25">
      <c r="A4960" t="str">
        <f>"20190304155518211"</f>
        <v>20190304155518211</v>
      </c>
      <c r="B4960" t="str">
        <f>"1551686118202801"</f>
        <v>1551686118202801</v>
      </c>
      <c r="C4960" t="s">
        <v>40</v>
      </c>
      <c r="D4960">
        <v>4.8624999999999998</v>
      </c>
      <c r="E4960">
        <v>0.53186060000000002</v>
      </c>
      <c r="F4960" t="s">
        <v>95</v>
      </c>
      <c r="G4960">
        <v>-255.03469999999999</v>
      </c>
      <c r="H4960" s="1">
        <v>-2.2818010000000001E-6</v>
      </c>
      <c r="I4960">
        <v>-64.816909999999993</v>
      </c>
      <c r="J4960">
        <v>-279.42619999999999</v>
      </c>
      <c r="K4960">
        <v>1.108633</v>
      </c>
      <c r="L4960">
        <v>-57.679079999999999</v>
      </c>
      <c r="M4960">
        <v>0.96572690000000005</v>
      </c>
      <c r="N4960">
        <v>-1.163059E-2</v>
      </c>
      <c r="O4960">
        <v>-0.25929999999999997</v>
      </c>
      <c r="P4960">
        <v>0.96861379999999997</v>
      </c>
      <c r="Q4960">
        <v>0.1570347</v>
      </c>
      <c r="R4960">
        <v>-0.19268479999999999</v>
      </c>
      <c r="S4960">
        <v>2.9475099999999999</v>
      </c>
      <c r="T4960">
        <v>-0.13323009999999999</v>
      </c>
      <c r="U4960">
        <v>-0.86233519999999897</v>
      </c>
      <c r="V4960">
        <v>-6.4417119999999994E-2</v>
      </c>
      <c r="W4960">
        <v>0.16874239999999999</v>
      </c>
      <c r="X4960">
        <v>0.98355300000000001</v>
      </c>
      <c r="Y4960">
        <v>2.240354E-2</v>
      </c>
      <c r="Z4960">
        <v>7.6335700000000001E-3</v>
      </c>
      <c r="AA4960">
        <v>0.99971989999999999</v>
      </c>
      <c r="AB4960">
        <v>24</v>
      </c>
      <c r="AC4960">
        <v>24.391500000000001</v>
      </c>
      <c r="AD4960">
        <v>-1.1086352818009999</v>
      </c>
      <c r="AE4960">
        <v>-7.1378299999999797</v>
      </c>
      <c r="AF4960">
        <v>0.56743710649065804</v>
      </c>
      <c r="AG4960">
        <v>-1.1086352818009999</v>
      </c>
      <c r="AH4960">
        <v>25.359825684763798</v>
      </c>
      <c r="AI4960">
        <v>92.502534540526398</v>
      </c>
      <c r="AJ4960">
        <v>88.718195953076503</v>
      </c>
      <c r="AK4960">
        <v>25.390388256572201</v>
      </c>
      <c r="AL4960">
        <v>80.285292738435999</v>
      </c>
      <c r="AM4960">
        <v>93.747195493977301</v>
      </c>
      <c r="AN4960">
        <v>1.00000003335792</v>
      </c>
    </row>
    <row r="4961" spans="1:40" x14ac:dyDescent="0.25">
      <c r="A4961" t="str">
        <f>"20190304155518226"</f>
        <v>20190304155518226</v>
      </c>
      <c r="B4961" t="str">
        <f>"1551686118212562"</f>
        <v>1551686118212562</v>
      </c>
      <c r="C4961" t="s">
        <v>40</v>
      </c>
      <c r="D4961">
        <v>4.8652379999999997</v>
      </c>
      <c r="E4961">
        <v>0.5318001</v>
      </c>
      <c r="F4961" t="s">
        <v>95</v>
      </c>
      <c r="G4961">
        <v>-255.0497</v>
      </c>
      <c r="H4961" s="1">
        <v>-2.2889350000000001E-6</v>
      </c>
      <c r="I4961">
        <v>-64.819980000000001</v>
      </c>
      <c r="J4961">
        <v>-279.28160000000003</v>
      </c>
      <c r="K4961">
        <v>1.108665</v>
      </c>
      <c r="L4961">
        <v>-57.719670000000001</v>
      </c>
      <c r="M4961">
        <v>0.96532430000000002</v>
      </c>
      <c r="N4961">
        <v>-1.1622749999999999E-2</v>
      </c>
      <c r="O4961">
        <v>-0.26079479999999999</v>
      </c>
      <c r="P4961">
        <v>0.96854689999999999</v>
      </c>
      <c r="Q4961">
        <v>0.15697269999999999</v>
      </c>
      <c r="R4961">
        <v>-0.1930713</v>
      </c>
      <c r="S4961">
        <v>2.9471440000000002</v>
      </c>
      <c r="T4961">
        <v>-0.13403499999999999</v>
      </c>
      <c r="U4961">
        <v>-0.86334230000000001</v>
      </c>
      <c r="V4961">
        <v>-6.5566940000000004E-2</v>
      </c>
      <c r="W4961">
        <v>0.1686704</v>
      </c>
      <c r="X4961">
        <v>0.98348930000000001</v>
      </c>
      <c r="Y4961">
        <v>2.1207839999999999E-2</v>
      </c>
      <c r="Z4961">
        <v>7.7809580000000001E-3</v>
      </c>
      <c r="AA4961">
        <v>0.99974479999999999</v>
      </c>
      <c r="AB4961">
        <v>24</v>
      </c>
      <c r="AC4961">
        <v>24.2319</v>
      </c>
      <c r="AD4961">
        <v>-1.108667288935</v>
      </c>
      <c r="AE4961">
        <v>-7.1003100000000003</v>
      </c>
      <c r="AF4961">
        <v>0.53355579892841798</v>
      </c>
      <c r="AG4961">
        <v>-1.108667288935</v>
      </c>
      <c r="AH4961">
        <v>25.196497809784301</v>
      </c>
      <c r="AI4961">
        <v>92.518873868001407</v>
      </c>
      <c r="AJ4961">
        <v>88.7868977879928</v>
      </c>
      <c r="AK4961">
        <v>25.226520307537299</v>
      </c>
      <c r="AL4961">
        <v>80.289477357929101</v>
      </c>
      <c r="AM4961">
        <v>93.814132060831795</v>
      </c>
      <c r="AN4961">
        <v>0.99999996533580604</v>
      </c>
    </row>
    <row r="4962" spans="1:40" x14ac:dyDescent="0.25">
      <c r="A4962" t="str">
        <f>"20190304155518248"</f>
        <v>20190304155518248</v>
      </c>
      <c r="B4962" t="str">
        <f>"1551686118242817"</f>
        <v>1551686118242817</v>
      </c>
      <c r="C4962" t="s">
        <v>40</v>
      </c>
      <c r="D4962">
        <v>4.873272</v>
      </c>
      <c r="E4962">
        <v>0.53167900000000001</v>
      </c>
      <c r="F4962" t="s">
        <v>95</v>
      </c>
      <c r="G4962">
        <v>-254.98869999999999</v>
      </c>
      <c r="H4962" s="1">
        <v>-2.268463E-6</v>
      </c>
      <c r="I4962">
        <v>-64.84554</v>
      </c>
      <c r="J4962">
        <v>-279.05200000000002</v>
      </c>
      <c r="K4962">
        <v>1.1087320000000001</v>
      </c>
      <c r="L4962">
        <v>-57.784550000000003</v>
      </c>
      <c r="M4962">
        <v>0.96470429999999996</v>
      </c>
      <c r="N4962">
        <v>-1.1606740000000001E-2</v>
      </c>
      <c r="O4962">
        <v>-0.26307960000000002</v>
      </c>
      <c r="P4962">
        <v>0.96831369999999894</v>
      </c>
      <c r="Q4962">
        <v>0.15692249999999999</v>
      </c>
      <c r="R4962">
        <v>-0.1942789</v>
      </c>
      <c r="S4962">
        <v>2.946869</v>
      </c>
      <c r="T4962">
        <v>-0.13448769999999999</v>
      </c>
      <c r="U4962">
        <v>-0.86441039999999902</v>
      </c>
      <c r="V4962">
        <v>-6.6700750000000003E-2</v>
      </c>
      <c r="W4962">
        <v>0.1685971</v>
      </c>
      <c r="X4962">
        <v>0.98342569999999996</v>
      </c>
      <c r="Y4962">
        <v>1.9204260000000001E-2</v>
      </c>
      <c r="Z4962">
        <v>7.9494539999999999E-3</v>
      </c>
      <c r="AA4962">
        <v>0.99978400000000001</v>
      </c>
      <c r="AB4962">
        <v>24</v>
      </c>
      <c r="AC4962">
        <v>24.063300000000002</v>
      </c>
      <c r="AD4962">
        <v>-1.1087342684629999</v>
      </c>
      <c r="AE4962">
        <v>-7.0609899999999897</v>
      </c>
      <c r="AF4962">
        <v>0.48029767474242702</v>
      </c>
      <c r="AG4962">
        <v>-1.1087342684629999</v>
      </c>
      <c r="AH4962">
        <v>25.024346291030199</v>
      </c>
      <c r="AI4962">
        <v>92.536433909621195</v>
      </c>
      <c r="AJ4962">
        <v>88.900444752868594</v>
      </c>
      <c r="AK4962">
        <v>25.0535004505922</v>
      </c>
      <c r="AL4962">
        <v>80.2937388883403</v>
      </c>
      <c r="AM4962">
        <v>93.880137985451</v>
      </c>
      <c r="AN4962">
        <v>1.00000003979973</v>
      </c>
    </row>
    <row r="4963" spans="1:40" x14ac:dyDescent="0.25">
      <c r="A4963" t="str">
        <f>"20190304155518259"</f>
        <v>20190304155518259</v>
      </c>
      <c r="B4963" t="str">
        <f>"1551686118252578"</f>
        <v>1551686118252578</v>
      </c>
      <c r="C4963" t="s">
        <v>40</v>
      </c>
      <c r="D4963">
        <v>4.8628429999999998</v>
      </c>
      <c r="E4963">
        <v>0.53161449999999999</v>
      </c>
      <c r="F4963" t="s">
        <v>95</v>
      </c>
      <c r="G4963">
        <v>-254.82140000000001</v>
      </c>
      <c r="H4963" s="1">
        <v>-2.2133480000000001E-6</v>
      </c>
      <c r="I4963">
        <v>-64.920469999999995</v>
      </c>
      <c r="J4963">
        <v>-278.93259999999998</v>
      </c>
      <c r="K4963">
        <v>1.1087670000000001</v>
      </c>
      <c r="L4963">
        <v>-57.818449999999999</v>
      </c>
      <c r="M4963">
        <v>0.96438950000000001</v>
      </c>
      <c r="N4963">
        <v>-1.1598209999999999E-2</v>
      </c>
      <c r="O4963">
        <v>-0.26423229999999998</v>
      </c>
      <c r="P4963">
        <v>0.96820859999999997</v>
      </c>
      <c r="Q4963">
        <v>0.15694610000000001</v>
      </c>
      <c r="R4963">
        <v>-0.19478309999999999</v>
      </c>
      <c r="S4963">
        <v>2.9459529999999998</v>
      </c>
      <c r="T4963">
        <v>-0.13479959999999999</v>
      </c>
      <c r="U4963">
        <v>-0.86758419999999903</v>
      </c>
      <c r="V4963">
        <v>-6.7379149999999999E-2</v>
      </c>
      <c r="W4963">
        <v>0.16860839999999999</v>
      </c>
      <c r="X4963">
        <v>0.98337750000000002</v>
      </c>
      <c r="Y4963">
        <v>1.9086289999999999E-2</v>
      </c>
      <c r="Z4963">
        <v>8.0179889999999997E-3</v>
      </c>
      <c r="AA4963">
        <v>0.9997857</v>
      </c>
      <c r="AB4963">
        <v>24</v>
      </c>
      <c r="AC4963">
        <v>24.111199999999901</v>
      </c>
      <c r="AD4963">
        <v>-1.108769213348</v>
      </c>
      <c r="AE4963">
        <v>-7.1020199999999898</v>
      </c>
      <c r="AF4963">
        <v>0.47725909162890101</v>
      </c>
      <c r="AG4963">
        <v>-1.108769213348</v>
      </c>
      <c r="AH4963">
        <v>25.082051289549099</v>
      </c>
      <c r="AI4963">
        <v>92.530693696747093</v>
      </c>
      <c r="AJ4963">
        <v>88.909912434849204</v>
      </c>
      <c r="AK4963">
        <v>25.111082061523799</v>
      </c>
      <c r="AL4963">
        <v>80.293081897227495</v>
      </c>
      <c r="AM4963">
        <v>93.919671220094202</v>
      </c>
      <c r="AN4963">
        <v>1.0000000249557599</v>
      </c>
    </row>
    <row r="4964" spans="1:40" x14ac:dyDescent="0.25">
      <c r="A4964" t="str">
        <f>"20190304155518270"</f>
        <v>20190304155518270</v>
      </c>
      <c r="B4964" t="str">
        <f>"1551686118263313"</f>
        <v>1551686118263313</v>
      </c>
      <c r="C4964" t="s">
        <v>40</v>
      </c>
      <c r="D4964">
        <v>4.8539960000000004</v>
      </c>
      <c r="E4964">
        <v>0.53154889999999999</v>
      </c>
      <c r="F4964" t="s">
        <v>95</v>
      </c>
      <c r="G4964">
        <v>-254.7199</v>
      </c>
      <c r="H4964" s="1">
        <v>-2.178799E-6</v>
      </c>
      <c r="I4964">
        <v>-64.960840000000005</v>
      </c>
      <c r="J4964">
        <v>-278.81979999999999</v>
      </c>
      <c r="K4964">
        <v>1.108806</v>
      </c>
      <c r="L4964">
        <v>-57.850650000000002</v>
      </c>
      <c r="M4964">
        <v>0.96410079999999998</v>
      </c>
      <c r="N4964">
        <v>-1.159076E-2</v>
      </c>
      <c r="O4964">
        <v>-0.26528420000000003</v>
      </c>
      <c r="P4964">
        <v>0.96811659999999999</v>
      </c>
      <c r="Q4964">
        <v>0.1569265</v>
      </c>
      <c r="R4964">
        <v>-0.1952556</v>
      </c>
      <c r="S4964">
        <v>2.945557</v>
      </c>
      <c r="T4964">
        <v>-0.1348857</v>
      </c>
      <c r="U4964">
        <v>-0.86889649999999996</v>
      </c>
      <c r="V4964">
        <v>-6.7989569999999999E-2</v>
      </c>
      <c r="W4964">
        <v>0.1685769</v>
      </c>
      <c r="X4964">
        <v>0.98334089999999996</v>
      </c>
      <c r="Y4964">
        <v>1.8443540000000001E-2</v>
      </c>
      <c r="Z4964">
        <v>8.0785359999999903E-3</v>
      </c>
      <c r="AA4964">
        <v>0.9997973</v>
      </c>
      <c r="AB4964">
        <v>24</v>
      </c>
      <c r="AC4964">
        <v>24.099899999999899</v>
      </c>
      <c r="AD4964">
        <v>-1.1088081787989901</v>
      </c>
      <c r="AE4964">
        <v>-7.1101900000000002</v>
      </c>
      <c r="AF4964">
        <v>0.46075086712518498</v>
      </c>
      <c r="AG4964">
        <v>-1.1088081787989901</v>
      </c>
      <c r="AH4964">
        <v>25.073809904589702</v>
      </c>
      <c r="AI4964">
        <v>92.531644090315993</v>
      </c>
      <c r="AJ4964">
        <v>88.947263722239398</v>
      </c>
      <c r="AK4964">
        <v>25.102543498028801</v>
      </c>
      <c r="AL4964">
        <v>80.294913063746804</v>
      </c>
      <c r="AM4964">
        <v>93.955215947002401</v>
      </c>
      <c r="AN4964">
        <v>1.0000000392276001</v>
      </c>
    </row>
    <row r="4965" spans="1:40" x14ac:dyDescent="0.25">
      <c r="A4965" t="str">
        <f>"20190304155518280"</f>
        <v>20190304155518280</v>
      </c>
      <c r="B4965" t="str">
        <f>"1551686118273073"</f>
        <v>1551686118273073</v>
      </c>
      <c r="C4965" t="s">
        <v>40</v>
      </c>
      <c r="D4965">
        <v>4.8806789999999998</v>
      </c>
      <c r="E4965">
        <v>0.53147009999999995</v>
      </c>
      <c r="F4965" t="s">
        <v>95</v>
      </c>
      <c r="G4965">
        <v>-254.6345</v>
      </c>
      <c r="H4965" s="1">
        <v>-2.1497969999999999E-6</v>
      </c>
      <c r="I4965">
        <v>-64.9953</v>
      </c>
      <c r="J4965">
        <v>-278.70650000000001</v>
      </c>
      <c r="K4965">
        <v>1.1088450000000001</v>
      </c>
      <c r="L4965">
        <v>-57.883029999999998</v>
      </c>
      <c r="M4965">
        <v>0.963812</v>
      </c>
      <c r="N4965">
        <v>-1.158351E-2</v>
      </c>
      <c r="O4965">
        <v>-0.26633109999999999</v>
      </c>
      <c r="P4965">
        <v>0.96799469999999999</v>
      </c>
      <c r="Q4965">
        <v>0.1570223</v>
      </c>
      <c r="R4965">
        <v>-0.19578100000000001</v>
      </c>
      <c r="S4965">
        <v>2.9452210000000001</v>
      </c>
      <c r="T4965">
        <v>-0.13502749999999999</v>
      </c>
      <c r="U4965">
        <v>-0.87005619999999995</v>
      </c>
      <c r="V4965">
        <v>-6.8535760000000001E-2</v>
      </c>
      <c r="W4965">
        <v>0.16866059999999999</v>
      </c>
      <c r="X4965">
        <v>0.98328859999999996</v>
      </c>
      <c r="Y4965">
        <v>1.775239E-2</v>
      </c>
      <c r="Z4965">
        <v>8.1448649999999994E-3</v>
      </c>
      <c r="AA4965">
        <v>0.99980930000000001</v>
      </c>
      <c r="AB4965">
        <v>24</v>
      </c>
      <c r="AC4965">
        <v>24.071999999999999</v>
      </c>
      <c r="AD4965">
        <v>-1.1088471497970001</v>
      </c>
      <c r="AE4965">
        <v>-7.1122699999999899</v>
      </c>
      <c r="AF4965">
        <v>0.44293431613017697</v>
      </c>
      <c r="AG4965">
        <v>-1.1088471497970001</v>
      </c>
      <c r="AH4965">
        <v>25.047903574099902</v>
      </c>
      <c r="AI4965">
        <v>92.534379622146403</v>
      </c>
      <c r="AJ4965">
        <v>88.986916329074305</v>
      </c>
      <c r="AK4965">
        <v>25.076347546391801</v>
      </c>
      <c r="AL4965">
        <v>80.290047452271907</v>
      </c>
      <c r="AM4965">
        <v>93.987099243025099</v>
      </c>
      <c r="AN4965">
        <v>1.0000000096405399</v>
      </c>
    </row>
    <row r="4966" spans="1:40" x14ac:dyDescent="0.25">
      <c r="A4966" t="str">
        <f>"20190304155518292"</f>
        <v>20190304155518292</v>
      </c>
      <c r="B4966" t="str">
        <f>"1551686118282834"</f>
        <v>1551686118282834</v>
      </c>
      <c r="C4966" t="s">
        <v>40</v>
      </c>
      <c r="D4966">
        <v>4.8567210000000003</v>
      </c>
      <c r="E4966">
        <v>0.53147009999999995</v>
      </c>
      <c r="F4966" t="s">
        <v>95</v>
      </c>
      <c r="G4966">
        <v>-254.55090000000001</v>
      </c>
      <c r="H4966" s="1">
        <v>-2.121394E-6</v>
      </c>
      <c r="I4966">
        <v>-65.028829999999999</v>
      </c>
      <c r="J4966">
        <v>-278.59390000000002</v>
      </c>
      <c r="K4966">
        <v>1.108886</v>
      </c>
      <c r="L4966">
        <v>-57.915370000000003</v>
      </c>
      <c r="M4966">
        <v>0.96354090000000003</v>
      </c>
      <c r="N4966">
        <v>-1.157671E-2</v>
      </c>
      <c r="O4966">
        <v>-0.26731120000000003</v>
      </c>
      <c r="P4966">
        <v>0.96782120000000005</v>
      </c>
      <c r="Q4966">
        <v>0.157656399999999</v>
      </c>
      <c r="R4966">
        <v>-0.19613030000000001</v>
      </c>
      <c r="S4966">
        <v>2.9449459999999998</v>
      </c>
      <c r="T4966">
        <v>-0.13518579999999999</v>
      </c>
      <c r="U4966">
        <v>-0.87118530000000005</v>
      </c>
      <c r="V4966">
        <v>-6.9169700000000001E-2</v>
      </c>
      <c r="W4966">
        <v>0.1692814</v>
      </c>
      <c r="X4966">
        <v>0.9831375</v>
      </c>
      <c r="Y4966">
        <v>1.7115120000000001E-2</v>
      </c>
      <c r="Z4966">
        <v>8.2087710000000001E-3</v>
      </c>
      <c r="AA4966">
        <v>0.99981980000000004</v>
      </c>
      <c r="AB4966">
        <v>24</v>
      </c>
      <c r="AC4966">
        <v>24.042999999999999</v>
      </c>
      <c r="AD4966">
        <v>-1.1088881213940001</v>
      </c>
      <c r="AE4966">
        <v>-7.1134599999999999</v>
      </c>
      <c r="AF4966">
        <v>0.42634112116535</v>
      </c>
      <c r="AG4966">
        <v>-1.1088881213940001</v>
      </c>
      <c r="AH4966">
        <v>25.0206579883092</v>
      </c>
      <c r="AI4966">
        <v>92.537257707240201</v>
      </c>
      <c r="AJ4966">
        <v>89.023799328308797</v>
      </c>
      <c r="AK4966">
        <v>25.048846795517399</v>
      </c>
      <c r="AL4966">
        <v>80.2539591465397</v>
      </c>
      <c r="AM4966">
        <v>94.024474800849305</v>
      </c>
      <c r="AN4966">
        <v>0.99999999184514898</v>
      </c>
    </row>
    <row r="4967" spans="1:40" x14ac:dyDescent="0.25">
      <c r="A4967" t="str">
        <f>"20190304155518304"</f>
        <v>20190304155518304</v>
      </c>
      <c r="B4967" t="str">
        <f>"1551686118292593"</f>
        <v>1551686118292593</v>
      </c>
      <c r="C4967" t="s">
        <v>40</v>
      </c>
      <c r="D4967">
        <v>4.8435920000000001</v>
      </c>
      <c r="E4967">
        <v>0.53138169999999996</v>
      </c>
      <c r="F4967" t="s">
        <v>95</v>
      </c>
      <c r="G4967">
        <v>-254.0864</v>
      </c>
      <c r="H4967" s="1">
        <v>-1.9546610000000001E-6</v>
      </c>
      <c r="I4967">
        <v>-65.175190000000001</v>
      </c>
      <c r="J4967">
        <v>-278.471</v>
      </c>
      <c r="K4967">
        <v>1.108932</v>
      </c>
      <c r="L4967">
        <v>-57.950740000000003</v>
      </c>
      <c r="M4967">
        <v>0.96324869999999996</v>
      </c>
      <c r="N4967">
        <v>-1.1569380000000001E-2</v>
      </c>
      <c r="O4967">
        <v>-0.26836199999999999</v>
      </c>
      <c r="P4967">
        <v>0.96762720000000002</v>
      </c>
      <c r="Q4967">
        <v>0.1575723</v>
      </c>
      <c r="R4967">
        <v>-0.1971523</v>
      </c>
      <c r="S4967">
        <v>2.9446409999999998</v>
      </c>
      <c r="T4967">
        <v>-0.13323550000000001</v>
      </c>
      <c r="U4967">
        <v>-0.8722839</v>
      </c>
      <c r="V4967">
        <v>-6.9228090000000006E-2</v>
      </c>
      <c r="W4967">
        <v>0.16918179999999999</v>
      </c>
      <c r="X4967">
        <v>0.98315050000000004</v>
      </c>
      <c r="Y4967">
        <v>1.6392339999999998E-2</v>
      </c>
      <c r="Z4967">
        <v>8.0990860000000001E-3</v>
      </c>
      <c r="AA4967">
        <v>0.99983279999999997</v>
      </c>
      <c r="AB4967">
        <v>24</v>
      </c>
      <c r="AC4967">
        <v>24.384599999999999</v>
      </c>
      <c r="AD4967">
        <v>-1.108933954661</v>
      </c>
      <c r="AE4967">
        <v>-7.2244499999999903</v>
      </c>
      <c r="AF4967">
        <v>0.41428215413583602</v>
      </c>
      <c r="AG4967">
        <v>-1.108933954661</v>
      </c>
      <c r="AH4967">
        <v>25.3806479942183</v>
      </c>
      <c r="AI4967">
        <v>92.501449308257193</v>
      </c>
      <c r="AJ4967">
        <v>89.064857948710497</v>
      </c>
      <c r="AK4967">
        <v>25.408239939544298</v>
      </c>
      <c r="AL4967">
        <v>80.259748986813307</v>
      </c>
      <c r="AM4967">
        <v>94.027807822909296</v>
      </c>
      <c r="AN4967">
        <v>0.999999957773268</v>
      </c>
    </row>
    <row r="4968" spans="1:40" x14ac:dyDescent="0.25">
      <c r="A4968" t="str">
        <f>"20190304155518316"</f>
        <v>20190304155518316</v>
      </c>
      <c r="B4968" t="str">
        <f>"1551686118313089"</f>
        <v>1551686118313089</v>
      </c>
      <c r="C4968" t="s">
        <v>40</v>
      </c>
      <c r="D4968">
        <v>4.8089979999999999</v>
      </c>
      <c r="E4968">
        <v>0.53130299999999997</v>
      </c>
      <c r="F4968" t="s">
        <v>95</v>
      </c>
      <c r="G4968">
        <v>-254.11590000000001</v>
      </c>
      <c r="H4968" s="1">
        <v>-1.9691119999999998E-6</v>
      </c>
      <c r="I4968">
        <v>-65.183239999999998</v>
      </c>
      <c r="J4968">
        <v>-278.34609999999998</v>
      </c>
      <c r="K4968">
        <v>1.1089830000000001</v>
      </c>
      <c r="L4968">
        <v>-57.986759999999997</v>
      </c>
      <c r="M4968">
        <v>0.96296720000000002</v>
      </c>
      <c r="N4968">
        <v>-1.156191E-2</v>
      </c>
      <c r="O4968">
        <v>-0.26937090000000002</v>
      </c>
      <c r="P4968">
        <v>0.96755119999999895</v>
      </c>
      <c r="Q4968">
        <v>0.1574151</v>
      </c>
      <c r="R4968">
        <v>-0.1976492</v>
      </c>
      <c r="S4968">
        <v>2.944061</v>
      </c>
      <c r="T4968">
        <v>-0.13404859999999999</v>
      </c>
      <c r="U4968">
        <v>-0.87426759999999903</v>
      </c>
      <c r="V4968">
        <v>-6.9784299999999994E-2</v>
      </c>
      <c r="W4968">
        <v>0.169009299999999</v>
      </c>
      <c r="X4968">
        <v>0.98314089999999998</v>
      </c>
      <c r="Y4968">
        <v>1.6020710000000001E-2</v>
      </c>
      <c r="Z4968">
        <v>8.2123490000000007E-3</v>
      </c>
      <c r="AA4968">
        <v>0.99983789999999995</v>
      </c>
      <c r="AB4968">
        <v>24</v>
      </c>
      <c r="AC4968">
        <v>24.2301999999999</v>
      </c>
      <c r="AD4968">
        <v>-1.108984969112</v>
      </c>
      <c r="AE4968">
        <v>-7.1964800000000002</v>
      </c>
      <c r="AF4968">
        <v>0.40231587351135201</v>
      </c>
      <c r="AG4968">
        <v>-1.108984969112</v>
      </c>
      <c r="AH4968">
        <v>25.224540572995998</v>
      </c>
      <c r="AI4968">
        <v>92.517040989343897</v>
      </c>
      <c r="AJ4968">
        <v>89.086245110318799</v>
      </c>
      <c r="AK4968">
        <v>25.252111849160599</v>
      </c>
      <c r="AL4968">
        <v>80.269777434106601</v>
      </c>
      <c r="AM4968">
        <v>94.060100783990293</v>
      </c>
      <c r="AN4968">
        <v>1.0000000106328899</v>
      </c>
    </row>
    <row r="4969" spans="1:40" x14ac:dyDescent="0.25">
      <c r="A4969" t="str">
        <f>"20190304155518327"</f>
        <v>20190304155518327</v>
      </c>
      <c r="B4969" t="str">
        <f>"1551686118322849"</f>
        <v>1551686118322849</v>
      </c>
      <c r="C4969" t="s">
        <v>40</v>
      </c>
      <c r="D4969">
        <v>4.8331689999999998</v>
      </c>
      <c r="E4969">
        <v>0.53124090000000002</v>
      </c>
      <c r="F4969" t="s">
        <v>95</v>
      </c>
      <c r="G4969">
        <v>-254.21190000000001</v>
      </c>
      <c r="H4969" s="1">
        <v>-2.0052030000000002E-6</v>
      </c>
      <c r="I4969">
        <v>-65.160269999999997</v>
      </c>
      <c r="J4969">
        <v>-278.2328</v>
      </c>
      <c r="K4969">
        <v>1.1090329999999999</v>
      </c>
      <c r="L4969">
        <v>-58.019530000000003</v>
      </c>
      <c r="M4969">
        <v>0.96272139999999995</v>
      </c>
      <c r="N4969">
        <v>-1.155525E-2</v>
      </c>
      <c r="O4969">
        <v>-0.2702484</v>
      </c>
      <c r="P4969">
        <v>0.96753619999999996</v>
      </c>
      <c r="Q4969">
        <v>0.1572105</v>
      </c>
      <c r="R4969">
        <v>-0.19788620000000001</v>
      </c>
      <c r="S4969">
        <v>2.9439090000000001</v>
      </c>
      <c r="T4969">
        <v>-0.135274799999999</v>
      </c>
      <c r="U4969">
        <v>-0.87503050000000004</v>
      </c>
      <c r="V4969">
        <v>-7.0471859999999997E-2</v>
      </c>
      <c r="W4969">
        <v>0.16879169999999999</v>
      </c>
      <c r="X4969">
        <v>0.98312920000000004</v>
      </c>
      <c r="Y4969">
        <v>1.5366039999999999E-2</v>
      </c>
      <c r="Z4969">
        <v>8.3643859999999997E-3</v>
      </c>
      <c r="AA4969">
        <v>0.99984689999999998</v>
      </c>
      <c r="AB4969">
        <v>24</v>
      </c>
      <c r="AC4969">
        <v>24.020899999999902</v>
      </c>
      <c r="AD4969">
        <v>-1.109035005203</v>
      </c>
      <c r="AE4969">
        <v>-7.1407399999999903</v>
      </c>
      <c r="AF4969">
        <v>0.38221036597552099</v>
      </c>
      <c r="AG4969">
        <v>-1.109035005203</v>
      </c>
      <c r="AH4969">
        <v>25.007898962063301</v>
      </c>
      <c r="AI4969">
        <v>92.538958280208405</v>
      </c>
      <c r="AJ4969">
        <v>89.124383219435799</v>
      </c>
      <c r="AK4969">
        <v>25.0353960205025</v>
      </c>
      <c r="AL4969">
        <v>80.282426352175193</v>
      </c>
      <c r="AM4969">
        <v>94.100016390532403</v>
      </c>
      <c r="AN4969">
        <v>0.99999997246669403</v>
      </c>
    </row>
    <row r="4970" spans="1:40" x14ac:dyDescent="0.25">
      <c r="A4970" t="str">
        <f>"20190304155518339"</f>
        <v>20190304155518339</v>
      </c>
      <c r="B4970" t="str">
        <f>"1551686118332609"</f>
        <v>1551686118332609</v>
      </c>
      <c r="C4970" t="s">
        <v>40</v>
      </c>
      <c r="D4970">
        <v>4.8241709999999998</v>
      </c>
      <c r="E4970">
        <v>0.53116109999999905</v>
      </c>
      <c r="F4970" t="s">
        <v>95</v>
      </c>
      <c r="G4970">
        <v>-254.29150000000001</v>
      </c>
      <c r="H4970" s="1">
        <v>-2.0344380000000002E-6</v>
      </c>
      <c r="I4970">
        <v>-65.138170000000002</v>
      </c>
      <c r="J4970">
        <v>-278.1071</v>
      </c>
      <c r="K4970">
        <v>1.1090880000000001</v>
      </c>
      <c r="L4970">
        <v>-58.055999999999997</v>
      </c>
      <c r="M4970">
        <v>0.96245700000000001</v>
      </c>
      <c r="N4970">
        <v>-1.1547969999999999E-2</v>
      </c>
      <c r="O4970">
        <v>-0.27118910000000002</v>
      </c>
      <c r="P4970">
        <v>0.96747890000000003</v>
      </c>
      <c r="Q4970">
        <v>0.15708610000000001</v>
      </c>
      <c r="R4970">
        <v>-0.19826540000000001</v>
      </c>
      <c r="S4970">
        <v>2.9438170000000001</v>
      </c>
      <c r="T4970">
        <v>-0.1363665</v>
      </c>
      <c r="U4970">
        <v>-0.87530520000000001</v>
      </c>
      <c r="V4970">
        <v>-7.1078329999999995E-2</v>
      </c>
      <c r="W4970">
        <v>0.16865069999999999</v>
      </c>
      <c r="X4970">
        <v>0.98310980000000003</v>
      </c>
      <c r="Y4970">
        <v>1.4487470000000001E-2</v>
      </c>
      <c r="Z4970">
        <v>8.5144079999999994E-3</v>
      </c>
      <c r="AA4970">
        <v>0.99985880000000005</v>
      </c>
      <c r="AB4970">
        <v>24</v>
      </c>
      <c r="AC4970">
        <v>23.8155999999999</v>
      </c>
      <c r="AD4970">
        <v>-1.1090900344379999</v>
      </c>
      <c r="AE4970">
        <v>-7.0821699999999899</v>
      </c>
      <c r="AF4970">
        <v>0.35706528337523702</v>
      </c>
      <c r="AG4970">
        <v>-1.1090900344379999</v>
      </c>
      <c r="AH4970">
        <v>24.794346366640699</v>
      </c>
      <c r="AI4970">
        <v>92.560957615379806</v>
      </c>
      <c r="AJ4970">
        <v>89.174936119306906</v>
      </c>
      <c r="AK4970">
        <v>24.821708000659999</v>
      </c>
      <c r="AL4970">
        <v>80.290623155365196</v>
      </c>
      <c r="AM4970">
        <v>94.135259939369604</v>
      </c>
      <c r="AN4970">
        <v>1.0000000332310499</v>
      </c>
    </row>
    <row r="4971" spans="1:40" x14ac:dyDescent="0.25">
      <c r="A4971" t="str">
        <f>"20190304155518359"</f>
        <v>20190304155518359</v>
      </c>
      <c r="B4971" t="str">
        <f>"1551686118353105"</f>
        <v>1551686118353105</v>
      </c>
      <c r="C4971" t="s">
        <v>40</v>
      </c>
      <c r="D4971">
        <v>4.8224030000000004</v>
      </c>
      <c r="E4971">
        <v>0.53105550000000001</v>
      </c>
      <c r="F4971" t="s">
        <v>95</v>
      </c>
      <c r="G4971">
        <v>-254.27600000000001</v>
      </c>
      <c r="H4971" s="1">
        <v>-2.0301089999999999E-6</v>
      </c>
      <c r="I4971">
        <v>-65.148700000000005</v>
      </c>
      <c r="J4971">
        <v>-277.90219999999999</v>
      </c>
      <c r="K4971">
        <v>1.109189</v>
      </c>
      <c r="L4971">
        <v>-58.115540000000003</v>
      </c>
      <c r="M4971">
        <v>0.96205790000000002</v>
      </c>
      <c r="N4971">
        <v>-1.153673E-2</v>
      </c>
      <c r="O4971">
        <v>-0.2726017</v>
      </c>
      <c r="P4971">
        <v>0.96752199999999999</v>
      </c>
      <c r="Q4971">
        <v>0.15635660000000001</v>
      </c>
      <c r="R4971">
        <v>-0.19863049999999999</v>
      </c>
      <c r="S4971">
        <v>2.9435419999999999</v>
      </c>
      <c r="T4971">
        <v>-0.13699140000000001</v>
      </c>
      <c r="U4971">
        <v>-0.87606810000000002</v>
      </c>
      <c r="V4971">
        <v>-7.222874E-2</v>
      </c>
      <c r="W4971">
        <v>0.16789579999999901</v>
      </c>
      <c r="X4971">
        <v>0.98315509999999995</v>
      </c>
      <c r="Y4971">
        <v>1.328704E-2</v>
      </c>
      <c r="Z4971">
        <v>8.6506589999999998E-3</v>
      </c>
      <c r="AA4971">
        <v>0.99987429999999999</v>
      </c>
      <c r="AB4971">
        <v>24</v>
      </c>
      <c r="AC4971">
        <v>23.626200000000001</v>
      </c>
      <c r="AD4971">
        <v>-1.109191030109</v>
      </c>
      <c r="AE4971">
        <v>-7.0331599999999996</v>
      </c>
      <c r="AF4971">
        <v>0.32512823515710498</v>
      </c>
      <c r="AG4971">
        <v>-1.109191030109</v>
      </c>
      <c r="AH4971">
        <v>24.598857714622401</v>
      </c>
      <c r="AI4971">
        <v>92.581559162024206</v>
      </c>
      <c r="AJ4971">
        <v>89.242753820518899</v>
      </c>
      <c r="AK4971">
        <v>24.625998740656399</v>
      </c>
      <c r="AL4971">
        <v>80.334500814897396</v>
      </c>
      <c r="AM4971">
        <v>94.201758797235001</v>
      </c>
      <c r="AN4971">
        <v>0.99999997059781798</v>
      </c>
    </row>
    <row r="4972" spans="1:40" x14ac:dyDescent="0.25">
      <c r="A4972" t="str">
        <f>"20190304155518371"</f>
        <v>20190304155518371</v>
      </c>
      <c r="B4972" t="str">
        <f>"1551686118362865"</f>
        <v>1551686118362865</v>
      </c>
      <c r="C4972" t="s">
        <v>40</v>
      </c>
      <c r="D4972">
        <v>4.8484449999999999</v>
      </c>
      <c r="E4972">
        <v>0.5309682</v>
      </c>
      <c r="F4972" t="s">
        <v>95</v>
      </c>
      <c r="G4972">
        <v>-254.5934</v>
      </c>
      <c r="H4972" s="1">
        <v>-2.1457180000000001E-6</v>
      </c>
      <c r="I4972">
        <v>-65.056299999999993</v>
      </c>
      <c r="J4972">
        <v>-277.7876</v>
      </c>
      <c r="K4972">
        <v>1.1092550000000001</v>
      </c>
      <c r="L4972">
        <v>-58.148960000000002</v>
      </c>
      <c r="M4972">
        <v>0.9618544</v>
      </c>
      <c r="N4972">
        <v>-1.153092E-2</v>
      </c>
      <c r="O4972">
        <v>-0.27331919999999998</v>
      </c>
      <c r="P4972">
        <v>0.96754079999999998</v>
      </c>
      <c r="Q4972">
        <v>0.15609899999999999</v>
      </c>
      <c r="R4972">
        <v>-0.19874140000000001</v>
      </c>
      <c r="S4972">
        <v>2.94339</v>
      </c>
      <c r="T4972">
        <v>-0.14006640000000001</v>
      </c>
      <c r="U4972">
        <v>-0.87646480000000004</v>
      </c>
      <c r="V4972">
        <v>-7.2887060000000004E-2</v>
      </c>
      <c r="W4972">
        <v>0.16762360000000001</v>
      </c>
      <c r="X4972">
        <v>0.98315300000000005</v>
      </c>
      <c r="Y4972">
        <v>1.268859E-2</v>
      </c>
      <c r="Z4972">
        <v>8.9595379999999995E-3</v>
      </c>
      <c r="AA4972">
        <v>0.99987939999999997</v>
      </c>
      <c r="AB4972">
        <v>24</v>
      </c>
      <c r="AC4972">
        <v>23.194199999999899</v>
      </c>
      <c r="AD4972">
        <v>-1.1092571457179901</v>
      </c>
      <c r="AE4972">
        <v>-6.9073399999999898</v>
      </c>
      <c r="AF4972">
        <v>0.30381710324878503</v>
      </c>
      <c r="AG4972">
        <v>-1.1092571457179901</v>
      </c>
      <c r="AH4972">
        <v>24.148225303302699</v>
      </c>
      <c r="AI4972">
        <v>92.629844949070005</v>
      </c>
      <c r="AJ4972">
        <v>89.2791801818518</v>
      </c>
      <c r="AK4972">
        <v>24.175598059750701</v>
      </c>
      <c r="AL4972">
        <v>80.350321295941995</v>
      </c>
      <c r="AM4972">
        <v>94.239925207052096</v>
      </c>
      <c r="AN4972">
        <v>1.0000000081007001</v>
      </c>
    </row>
    <row r="4973" spans="1:40" x14ac:dyDescent="0.25">
      <c r="A4973" t="str">
        <f>"20190304155518383"</f>
        <v>20190304155518383</v>
      </c>
      <c r="B4973" t="str">
        <f>"1551686118372626"</f>
        <v>1551686118372626</v>
      </c>
      <c r="C4973" t="s">
        <v>40</v>
      </c>
      <c r="D4973">
        <v>4.8197400000000004</v>
      </c>
      <c r="E4973">
        <v>0.53090090000000001</v>
      </c>
      <c r="F4973" t="s">
        <v>95</v>
      </c>
      <c r="G4973">
        <v>-254.66900000000001</v>
      </c>
      <c r="H4973" s="1">
        <v>-2.1718640000000002E-6</v>
      </c>
      <c r="I4973">
        <v>-65.027990000000003</v>
      </c>
      <c r="J4973">
        <v>-277.6635</v>
      </c>
      <c r="K4973">
        <v>1.109321</v>
      </c>
      <c r="L4973">
        <v>-58.185119999999998</v>
      </c>
      <c r="M4973">
        <v>0.96164050000000001</v>
      </c>
      <c r="N4973">
        <v>-1.152485E-2</v>
      </c>
      <c r="O4973">
        <v>-0.27407110000000001</v>
      </c>
      <c r="P4973">
        <v>0.9674796</v>
      </c>
      <c r="Q4973">
        <v>0.15617059999999999</v>
      </c>
      <c r="R4973">
        <v>-0.19898250000000001</v>
      </c>
      <c r="S4973">
        <v>2.9435120000000001</v>
      </c>
      <c r="T4973">
        <v>-0.1412331</v>
      </c>
      <c r="U4973">
        <v>-0.87585449999999998</v>
      </c>
      <c r="V4973">
        <v>-7.3434860000000005E-2</v>
      </c>
      <c r="W4973">
        <v>0.16767870000000001</v>
      </c>
      <c r="X4973">
        <v>0.9831029</v>
      </c>
      <c r="Y4973">
        <v>1.170999E-2</v>
      </c>
      <c r="Z4973">
        <v>9.1158609999999994E-3</v>
      </c>
      <c r="AA4973">
        <v>0.9998899</v>
      </c>
      <c r="AB4973">
        <v>24</v>
      </c>
      <c r="AC4973">
        <v>22.994499999999899</v>
      </c>
      <c r="AD4973">
        <v>-1.109323171864</v>
      </c>
      <c r="AE4973">
        <v>-6.8428699999999996</v>
      </c>
      <c r="AF4973">
        <v>0.27767777939902799</v>
      </c>
      <c r="AG4973">
        <v>-1.109323171864</v>
      </c>
      <c r="AH4973">
        <v>23.938284610921201</v>
      </c>
      <c r="AI4973">
        <v>92.653065214055403</v>
      </c>
      <c r="AJ4973">
        <v>89.335413895906996</v>
      </c>
      <c r="AK4973">
        <v>23.965583092473999</v>
      </c>
      <c r="AL4973">
        <v>80.347119563103604</v>
      </c>
      <c r="AM4973">
        <v>94.271890739680302</v>
      </c>
      <c r="AN4973">
        <v>1.00000006854265</v>
      </c>
    </row>
    <row r="4974" spans="1:40" x14ac:dyDescent="0.25">
      <c r="A4974" t="str">
        <f>"20190304155518394"</f>
        <v>20190304155518394</v>
      </c>
      <c r="B4974" t="str">
        <f>"1551686118383362"</f>
        <v>1551686118383362</v>
      </c>
      <c r="C4974" t="s">
        <v>40</v>
      </c>
      <c r="D4974">
        <v>4.8343669999999896</v>
      </c>
      <c r="E4974">
        <v>0.53083939999999996</v>
      </c>
      <c r="F4974" t="s">
        <v>95</v>
      </c>
      <c r="G4974">
        <v>-254.53399999999999</v>
      </c>
      <c r="H4974" s="1">
        <v>-2.1227699999999998E-6</v>
      </c>
      <c r="I4974">
        <v>-65.067660000000004</v>
      </c>
      <c r="J4974">
        <v>-277.54390000000001</v>
      </c>
      <c r="K4974">
        <v>1.1093850000000001</v>
      </c>
      <c r="L4974">
        <v>-58.220059999999997</v>
      </c>
      <c r="M4974">
        <v>0.96145440000000004</v>
      </c>
      <c r="N4974">
        <v>-1.1519430000000001E-2</v>
      </c>
      <c r="O4974">
        <v>-0.27472370000000002</v>
      </c>
      <c r="P4974">
        <v>0.96744859999999999</v>
      </c>
      <c r="Q4974">
        <v>0.15618099999999999</v>
      </c>
      <c r="R4974">
        <v>-0.1991251</v>
      </c>
      <c r="S4974">
        <v>2.9435120000000001</v>
      </c>
      <c r="T4974">
        <v>-0.14117439999999901</v>
      </c>
      <c r="U4974">
        <v>-0.87588500000000002</v>
      </c>
      <c r="V4974">
        <v>-7.3983889999999997E-2</v>
      </c>
      <c r="W4974">
        <v>0.16767209999999999</v>
      </c>
      <c r="X4974">
        <v>0.98306280000000001</v>
      </c>
      <c r="Y4974">
        <v>1.104198E-2</v>
      </c>
      <c r="Z4974">
        <v>9.1532079999999995E-3</v>
      </c>
      <c r="AA4974">
        <v>0.99989709999999998</v>
      </c>
      <c r="AB4974">
        <v>24</v>
      </c>
      <c r="AC4974">
        <v>23.009899999999899</v>
      </c>
      <c r="AD4974">
        <v>-1.1093871227700001</v>
      </c>
      <c r="AE4974">
        <v>-6.8475999999999999</v>
      </c>
      <c r="AF4974">
        <v>0.261748696560065</v>
      </c>
      <c r="AG4974">
        <v>-1.1093871227700001</v>
      </c>
      <c r="AH4974">
        <v>23.954602770014802</v>
      </c>
      <c r="AI4974">
        <v>92.651433180818401</v>
      </c>
      <c r="AJ4974">
        <v>89.373961700536697</v>
      </c>
      <c r="AK4974">
        <v>23.981706487185601</v>
      </c>
      <c r="AL4974">
        <v>80.347502564881395</v>
      </c>
      <c r="AM4974">
        <v>94.303884534721504</v>
      </c>
      <c r="AN4974">
        <v>1.00000000892089</v>
      </c>
    </row>
    <row r="4975" spans="1:40" x14ac:dyDescent="0.25">
      <c r="A4975" t="str">
        <f>"20190304155518406"</f>
        <v>20190304155518406</v>
      </c>
      <c r="B4975" t="str">
        <f>"1551686118393121"</f>
        <v>1551686118393121</v>
      </c>
      <c r="C4975" t="s">
        <v>40</v>
      </c>
      <c r="D4975">
        <v>4.8225129999999998</v>
      </c>
      <c r="E4975">
        <v>0.53077869999999905</v>
      </c>
      <c r="F4975" t="s">
        <v>95</v>
      </c>
      <c r="G4975">
        <v>-254.42400000000001</v>
      </c>
      <c r="H4975" s="1">
        <v>-2.0826409999999998E-6</v>
      </c>
      <c r="I4975">
        <v>-65.099400000000003</v>
      </c>
      <c r="J4975">
        <v>-277.42930000000001</v>
      </c>
      <c r="K4975">
        <v>1.109443</v>
      </c>
      <c r="L4975">
        <v>-58.253570000000003</v>
      </c>
      <c r="M4975">
        <v>0.96128400000000003</v>
      </c>
      <c r="N4975">
        <v>-1.1514470000000001E-2</v>
      </c>
      <c r="O4975">
        <v>-0.27531899999999998</v>
      </c>
      <c r="P4975">
        <v>0.96746670000000001</v>
      </c>
      <c r="Q4975">
        <v>0.1562355</v>
      </c>
      <c r="R4975">
        <v>-0.1989949</v>
      </c>
      <c r="S4975">
        <v>2.943451</v>
      </c>
      <c r="T4975">
        <v>-0.14123859999999999</v>
      </c>
      <c r="U4975">
        <v>-0.87582399999999905</v>
      </c>
      <c r="V4975">
        <v>-7.4749309999999999E-2</v>
      </c>
      <c r="W4975">
        <v>0.16771150000000001</v>
      </c>
      <c r="X4975">
        <v>0.98299809999999999</v>
      </c>
      <c r="Y4975">
        <v>1.041068E-2</v>
      </c>
      <c r="Z4975">
        <v>9.1985350000000007E-3</v>
      </c>
      <c r="AA4975">
        <v>0.99990349999999995</v>
      </c>
      <c r="AB4975">
        <v>24</v>
      </c>
      <c r="AC4975">
        <v>23.005299999999998</v>
      </c>
      <c r="AD4975">
        <v>-1.1094450826410001</v>
      </c>
      <c r="AE4975">
        <v>-6.8458300000000003</v>
      </c>
      <c r="AF4975">
        <v>0.24648041206791799</v>
      </c>
      <c r="AG4975">
        <v>-1.1094450826410001</v>
      </c>
      <c r="AH4975">
        <v>23.9498349474474</v>
      </c>
      <c r="AI4975">
        <v>92.652116464869493</v>
      </c>
      <c r="AJ4975">
        <v>89.410359661483696</v>
      </c>
      <c r="AK4975">
        <v>23.976784917809599</v>
      </c>
      <c r="AL4975">
        <v>80.345211970514001</v>
      </c>
      <c r="AM4975">
        <v>94.348526713756996</v>
      </c>
      <c r="AN4975">
        <v>0.99999993559066602</v>
      </c>
    </row>
    <row r="4976" spans="1:40" x14ac:dyDescent="0.25">
      <c r="A4976" t="str">
        <f>"20190304155518420"</f>
        <v>20190304155518420</v>
      </c>
      <c r="B4976" t="str">
        <f>"1551686118412641"</f>
        <v>1551686118412641</v>
      </c>
      <c r="C4976" t="s">
        <v>40</v>
      </c>
      <c r="D4976">
        <v>4.8011160000000004</v>
      </c>
      <c r="E4976">
        <v>0.53067779999999998</v>
      </c>
      <c r="F4976" t="s">
        <v>95</v>
      </c>
      <c r="G4976">
        <v>-254.34129999999999</v>
      </c>
      <c r="H4976" s="1">
        <v>-2.0506119999999998E-6</v>
      </c>
      <c r="I4976">
        <v>-65.114779999999996</v>
      </c>
      <c r="J4976">
        <v>-277.27809999999999</v>
      </c>
      <c r="K4976">
        <v>1.1095189999999999</v>
      </c>
      <c r="L4976">
        <v>-58.297789999999999</v>
      </c>
      <c r="M4976">
        <v>0.96107569999999998</v>
      </c>
      <c r="N4976">
        <v>-1.1508310000000001E-2</v>
      </c>
      <c r="O4976">
        <v>-0.27604620000000002</v>
      </c>
      <c r="P4976">
        <v>0.9674796</v>
      </c>
      <c r="Q4976">
        <v>0.1563592</v>
      </c>
      <c r="R4976">
        <v>-0.19883509999999999</v>
      </c>
      <c r="S4976">
        <v>2.943756</v>
      </c>
      <c r="T4976">
        <v>-0.14145639999999901</v>
      </c>
      <c r="U4976">
        <v>-0.87481690000000001</v>
      </c>
      <c r="V4976">
        <v>-7.5683029999999998E-2</v>
      </c>
      <c r="W4976">
        <v>0.1678154</v>
      </c>
      <c r="X4976">
        <v>0.98290900000000003</v>
      </c>
      <c r="Y4976">
        <v>9.3140870000000004E-3</v>
      </c>
      <c r="Z4976">
        <v>9.2748819999999999E-3</v>
      </c>
      <c r="AA4976">
        <v>0.99991359999999996</v>
      </c>
      <c r="AB4976">
        <v>24</v>
      </c>
      <c r="AC4976">
        <v>22.936800000000002</v>
      </c>
      <c r="AD4976">
        <v>-1.1095210506119999</v>
      </c>
      <c r="AE4976">
        <v>-6.8169900000000103</v>
      </c>
      <c r="AF4976">
        <v>0.21956939844669099</v>
      </c>
      <c r="AG4976">
        <v>-1.1095210506119999</v>
      </c>
      <c r="AH4976">
        <v>23.876050340089002</v>
      </c>
      <c r="AI4976">
        <v>92.660510844182198</v>
      </c>
      <c r="AJ4976">
        <v>89.473110290996203</v>
      </c>
      <c r="AK4976">
        <v>23.902824676697701</v>
      </c>
      <c r="AL4976">
        <v>80.339174138248794</v>
      </c>
      <c r="AM4976">
        <v>94.403030966793594</v>
      </c>
      <c r="AN4976">
        <v>1.0000000158940701</v>
      </c>
    </row>
    <row r="4977" spans="1:40" x14ac:dyDescent="0.25">
      <c r="A4977" t="str">
        <f>"20190304155518436"</f>
        <v>20190304155518436</v>
      </c>
      <c r="B4977" t="str">
        <f>"1551686118423378"</f>
        <v>1551686118423378</v>
      </c>
      <c r="C4977" t="s">
        <v>40</v>
      </c>
      <c r="D4977">
        <v>4.8155169999999998</v>
      </c>
      <c r="E4977">
        <v>0.53063190000000005</v>
      </c>
      <c r="F4977" t="s">
        <v>95</v>
      </c>
      <c r="G4977">
        <v>-254.1703</v>
      </c>
      <c r="H4977" s="1">
        <v>-1.9862909999999999E-6</v>
      </c>
      <c r="I4977">
        <v>-65.155410000000003</v>
      </c>
      <c r="J4977">
        <v>-277.13290000000001</v>
      </c>
      <c r="K4977">
        <v>1.1095889999999999</v>
      </c>
      <c r="L4977">
        <v>-58.340299999999999</v>
      </c>
      <c r="M4977">
        <v>0.96090070000000005</v>
      </c>
      <c r="N4977">
        <v>-1.149967E-2</v>
      </c>
      <c r="O4977">
        <v>-0.27665519999999999</v>
      </c>
      <c r="P4977">
        <v>0.96742779999999995</v>
      </c>
      <c r="Q4977">
        <v>0.15665219999999999</v>
      </c>
      <c r="R4977">
        <v>-0.19885620000000001</v>
      </c>
      <c r="S4977">
        <v>2.9441220000000001</v>
      </c>
      <c r="T4977">
        <v>-0.14136219999999999</v>
      </c>
      <c r="U4977">
        <v>-0.87371829999999995</v>
      </c>
      <c r="V4977">
        <v>-7.6301369999999993E-2</v>
      </c>
      <c r="W4977">
        <v>0.16808709999999999</v>
      </c>
      <c r="X4977">
        <v>0.98281470000000004</v>
      </c>
      <c r="Y4977">
        <v>8.3049690000000006E-3</v>
      </c>
      <c r="Z4977">
        <v>9.3177840000000008E-3</v>
      </c>
      <c r="AA4977">
        <v>0.99992210000000004</v>
      </c>
      <c r="AB4977">
        <v>24</v>
      </c>
      <c r="AC4977">
        <v>22.962599999999998</v>
      </c>
      <c r="AD4977">
        <v>-1.1095909862909901</v>
      </c>
      <c r="AE4977">
        <v>-6.8151099999999998</v>
      </c>
      <c r="AF4977">
        <v>0.195514615449559</v>
      </c>
      <c r="AG4977">
        <v>-1.1095909862909901</v>
      </c>
      <c r="AH4977">
        <v>23.900502430423298</v>
      </c>
      <c r="AI4977">
        <v>92.657983548403493</v>
      </c>
      <c r="AJ4977">
        <v>89.531310587935806</v>
      </c>
      <c r="AK4977">
        <v>23.927043999382398</v>
      </c>
      <c r="AL4977">
        <v>80.323381949951795</v>
      </c>
      <c r="AM4977">
        <v>94.4392853020736</v>
      </c>
      <c r="AN4977">
        <v>0.99999995339318704</v>
      </c>
    </row>
    <row r="4978" spans="1:40" x14ac:dyDescent="0.25">
      <c r="A4978" t="str">
        <f>"20190304155518449"</f>
        <v>20190304155518449</v>
      </c>
      <c r="B4978" t="str">
        <f>"1551686118442897"</f>
        <v>1551686118442897</v>
      </c>
      <c r="C4978" t="s">
        <v>40</v>
      </c>
      <c r="D4978">
        <v>4.8511730000000002</v>
      </c>
      <c r="E4978">
        <v>0.5305472</v>
      </c>
      <c r="F4978" t="s">
        <v>95</v>
      </c>
      <c r="G4978">
        <v>-253.90979999999999</v>
      </c>
      <c r="H4978" s="1">
        <v>-1.8911040000000001E-6</v>
      </c>
      <c r="I4978">
        <v>-65.229929999999996</v>
      </c>
      <c r="J4978">
        <v>-276.98129999999998</v>
      </c>
      <c r="K4978">
        <v>1.1096710000000001</v>
      </c>
      <c r="L4978">
        <v>-58.384770000000003</v>
      </c>
      <c r="M4978">
        <v>0.96073569999999997</v>
      </c>
      <c r="N4978">
        <v>-1.1489060000000001E-2</v>
      </c>
      <c r="O4978">
        <v>-0.27722790000000003</v>
      </c>
      <c r="P4978">
        <v>0.96751050000000005</v>
      </c>
      <c r="Q4978">
        <v>0.15726570000000001</v>
      </c>
      <c r="R4978">
        <v>-0.19796929999999999</v>
      </c>
      <c r="S4978">
        <v>2.9442439999999999</v>
      </c>
      <c r="T4978">
        <v>-0.1406751</v>
      </c>
      <c r="U4978">
        <v>-0.87347410000000003</v>
      </c>
      <c r="V4978">
        <v>-7.7793020000000004E-2</v>
      </c>
      <c r="W4978">
        <v>0.16867560000000001</v>
      </c>
      <c r="X4978">
        <v>0.9825969</v>
      </c>
      <c r="Y4978">
        <v>7.6206959999999997E-3</v>
      </c>
      <c r="Z4978">
        <v>9.2981590000000003E-3</v>
      </c>
      <c r="AA4978">
        <v>0.99992780000000003</v>
      </c>
      <c r="AB4978">
        <v>24</v>
      </c>
      <c r="AC4978">
        <v>23.071499999999901</v>
      </c>
      <c r="AD4978">
        <v>-1.1096728911039999</v>
      </c>
      <c r="AE4978">
        <v>-6.8451600000000097</v>
      </c>
      <c r="AF4978">
        <v>0.17995534032177399</v>
      </c>
      <c r="AG4978">
        <v>-1.1096728911039999</v>
      </c>
      <c r="AH4978">
        <v>24.013809111346699</v>
      </c>
      <c r="AI4978">
        <v>92.645669197697103</v>
      </c>
      <c r="AJ4978">
        <v>89.570643355546594</v>
      </c>
      <c r="AK4978">
        <v>24.040107859283001</v>
      </c>
      <c r="AL4978">
        <v>80.289174839999802</v>
      </c>
      <c r="AM4978">
        <v>94.526712790872807</v>
      </c>
      <c r="AN4978">
        <v>0.99999993994284297</v>
      </c>
    </row>
    <row r="4979" spans="1:40" x14ac:dyDescent="0.25">
      <c r="A4979" t="str">
        <f>"20190304155518463"</f>
        <v>20190304155518463</v>
      </c>
      <c r="B4979" t="str">
        <f>"1551686118452658"</f>
        <v>1551686118452658</v>
      </c>
      <c r="C4979" t="s">
        <v>40</v>
      </c>
      <c r="D4979">
        <v>4.832325</v>
      </c>
      <c r="E4979">
        <v>0.5305377</v>
      </c>
      <c r="F4979" t="s">
        <v>95</v>
      </c>
      <c r="G4979">
        <v>-253.46039999999999</v>
      </c>
      <c r="H4979" s="1">
        <v>-1.721817E-6</v>
      </c>
      <c r="I4979">
        <v>-65.335769999999997</v>
      </c>
      <c r="J4979">
        <v>-276.8424</v>
      </c>
      <c r="K4979">
        <v>1.1097399999999999</v>
      </c>
      <c r="L4979">
        <v>-58.42548</v>
      </c>
      <c r="M4979">
        <v>0.9605998</v>
      </c>
      <c r="N4979">
        <v>-1.147829E-2</v>
      </c>
      <c r="O4979">
        <v>-0.27769840000000001</v>
      </c>
      <c r="P4979">
        <v>0.96747329999999998</v>
      </c>
      <c r="Q4979">
        <v>0.15784889999999999</v>
      </c>
      <c r="R4979">
        <v>-0.197685</v>
      </c>
      <c r="S4979">
        <v>2.9452509999999998</v>
      </c>
      <c r="T4979">
        <v>-0.1389512</v>
      </c>
      <c r="U4979">
        <v>-0.87039179999999905</v>
      </c>
      <c r="V4979">
        <v>-7.8565010000000005E-2</v>
      </c>
      <c r="W4979">
        <v>0.16923440000000001</v>
      </c>
      <c r="X4979">
        <v>0.98243950000000002</v>
      </c>
      <c r="Y4979">
        <v>6.0730219999999904E-3</v>
      </c>
      <c r="Z4979">
        <v>9.2055350000000008E-3</v>
      </c>
      <c r="AA4979">
        <v>0.99993920000000003</v>
      </c>
      <c r="AB4979">
        <v>24</v>
      </c>
      <c r="AC4979">
        <v>23.382000000000001</v>
      </c>
      <c r="AD4979">
        <v>-1.109741721817</v>
      </c>
      <c r="AE4979">
        <v>-6.9102899999999803</v>
      </c>
      <c r="AF4979">
        <v>0.144589202310794</v>
      </c>
      <c r="AG4979">
        <v>-1.109741721817</v>
      </c>
      <c r="AH4979">
        <v>24.330920763794602</v>
      </c>
      <c r="AI4979">
        <v>92.611424418187895</v>
      </c>
      <c r="AJ4979">
        <v>89.659517466746493</v>
      </c>
      <c r="AK4979">
        <v>24.356644636333201</v>
      </c>
      <c r="AL4979">
        <v>80.256692112239094</v>
      </c>
      <c r="AM4979">
        <v>94.572174092311698</v>
      </c>
      <c r="AN4979">
        <v>1.0000000570499501</v>
      </c>
    </row>
    <row r="4980" spans="1:40" x14ac:dyDescent="0.25">
      <c r="A4980" t="str">
        <f>"20190304155518476"</f>
        <v>20190304155518476</v>
      </c>
      <c r="B4980" t="str">
        <f>"1551686118473153"</f>
        <v>1551686118473153</v>
      </c>
      <c r="C4980" t="s">
        <v>40</v>
      </c>
      <c r="D4980">
        <v>4.8321930000000002</v>
      </c>
      <c r="E4980">
        <v>0.53051930000000003</v>
      </c>
      <c r="F4980" t="s">
        <v>95</v>
      </c>
      <c r="G4980">
        <v>-252.9699</v>
      </c>
      <c r="H4980" s="1">
        <v>-1.54279E-6</v>
      </c>
      <c r="I4980">
        <v>-65.476969999999994</v>
      </c>
      <c r="J4980">
        <v>-276.7122</v>
      </c>
      <c r="K4980">
        <v>1.1098030000000001</v>
      </c>
      <c r="L4980">
        <v>-58.463619999999999</v>
      </c>
      <c r="M4980">
        <v>0.96049329999999999</v>
      </c>
      <c r="N4980">
        <v>-1.1468269999999999E-2</v>
      </c>
      <c r="O4980">
        <v>-0.27806730000000002</v>
      </c>
      <c r="P4980">
        <v>0.96744810000000003</v>
      </c>
      <c r="Q4980">
        <v>0.15865000000000001</v>
      </c>
      <c r="R4980">
        <v>-0.19716810000000001</v>
      </c>
      <c r="S4980">
        <v>2.9454349999999998</v>
      </c>
      <c r="T4980">
        <v>-0.13692179999999901</v>
      </c>
      <c r="U4980">
        <v>-0.87002559999999995</v>
      </c>
      <c r="V4980">
        <v>-7.9457829999999993E-2</v>
      </c>
      <c r="W4980">
        <v>0.1700121</v>
      </c>
      <c r="X4980">
        <v>0.98223329999999998</v>
      </c>
      <c r="Y4980">
        <v>5.5529680000000001E-3</v>
      </c>
      <c r="Z4980">
        <v>9.0529559999999992E-3</v>
      </c>
      <c r="AA4980">
        <v>0.99994360000000004</v>
      </c>
      <c r="AB4980">
        <v>24</v>
      </c>
      <c r="AC4980">
        <v>23.7423</v>
      </c>
      <c r="AD4980">
        <v>-1.1098045427900001</v>
      </c>
      <c r="AE4980">
        <v>-7.0133499999999902</v>
      </c>
      <c r="AF4980">
        <v>0.134057834909137</v>
      </c>
      <c r="AG4980">
        <v>-1.1098045427900001</v>
      </c>
      <c r="AH4980">
        <v>24.706476670565898</v>
      </c>
      <c r="AI4980">
        <v>92.571935559920703</v>
      </c>
      <c r="AJ4980">
        <v>89.6891150092072</v>
      </c>
      <c r="AK4980">
        <v>24.7317534174089</v>
      </c>
      <c r="AL4980">
        <v>80.211477010648395</v>
      </c>
      <c r="AM4980">
        <v>94.624875135382197</v>
      </c>
      <c r="AN4980">
        <v>0.99999995826180299</v>
      </c>
    </row>
    <row r="4981" spans="1:40" x14ac:dyDescent="0.25">
      <c r="A4981" t="str">
        <f>"20190304155518488"</f>
        <v>20190304155518488</v>
      </c>
      <c r="B4981" t="str">
        <f>"1551686118482913"</f>
        <v>1551686118482913</v>
      </c>
      <c r="C4981" t="s">
        <v>40</v>
      </c>
      <c r="D4981">
        <v>4.8417289999999999</v>
      </c>
      <c r="E4981">
        <v>0.53008459999999902</v>
      </c>
      <c r="F4981" t="s">
        <v>95</v>
      </c>
      <c r="G4981">
        <v>-252.40710000000001</v>
      </c>
      <c r="H4981" s="1">
        <v>-1.3350370000000001E-6</v>
      </c>
      <c r="I4981">
        <v>-65.628309999999999</v>
      </c>
      <c r="J4981">
        <v>-276.58699999999999</v>
      </c>
      <c r="K4981">
        <v>1.1098619999999999</v>
      </c>
      <c r="L4981">
        <v>-58.500309999999999</v>
      </c>
      <c r="M4981">
        <v>0.96040170000000002</v>
      </c>
      <c r="N4981">
        <v>-1.145937E-2</v>
      </c>
      <c r="O4981">
        <v>-0.27838350000000001</v>
      </c>
      <c r="P4981">
        <v>0.96742980000000001</v>
      </c>
      <c r="Q4981">
        <v>0.1592797</v>
      </c>
      <c r="R4981">
        <v>-0.1967486</v>
      </c>
      <c r="S4981">
        <v>2.9460449999999998</v>
      </c>
      <c r="T4981">
        <v>-0.13452039999999901</v>
      </c>
      <c r="U4981">
        <v>-0.86843869999999901</v>
      </c>
      <c r="V4981">
        <v>-8.0203330000000003E-2</v>
      </c>
      <c r="W4981">
        <v>0.17062069999999999</v>
      </c>
      <c r="X4981">
        <v>0.98206720000000003</v>
      </c>
      <c r="Y4981">
        <v>4.6666349999999997E-3</v>
      </c>
      <c r="Z4981">
        <v>8.8736249999999996E-3</v>
      </c>
      <c r="AA4981">
        <v>0.9999498</v>
      </c>
      <c r="AB4981">
        <v>24</v>
      </c>
      <c r="AC4981">
        <v>24.1798999999999</v>
      </c>
      <c r="AD4981">
        <v>-1.109863335037</v>
      </c>
      <c r="AE4981">
        <v>-7.1279999999999903</v>
      </c>
      <c r="AF4981">
        <v>0.11424418609095</v>
      </c>
      <c r="AG4981">
        <v>-1.109863335037</v>
      </c>
      <c r="AH4981">
        <v>25.1596193860026</v>
      </c>
      <c r="AI4981">
        <v>92.525818450133201</v>
      </c>
      <c r="AJ4981">
        <v>89.739834509848194</v>
      </c>
      <c r="AK4981">
        <v>25.184346249308</v>
      </c>
      <c r="AL4981">
        <v>80.1760900976942</v>
      </c>
      <c r="AM4981">
        <v>94.668862418283098</v>
      </c>
      <c r="AN4981">
        <v>0.99999999136370898</v>
      </c>
    </row>
    <row r="4982" spans="1:40" x14ac:dyDescent="0.25">
      <c r="A4982" t="str">
        <f>"20190304155518500"</f>
        <v>20190304155518500</v>
      </c>
      <c r="B4982" t="str">
        <f>"1551686118492674"</f>
        <v>1551686118492674</v>
      </c>
      <c r="C4982" t="s">
        <v>40</v>
      </c>
      <c r="D4982">
        <v>4.8132619999999999</v>
      </c>
      <c r="E4982">
        <v>0.53008459999999902</v>
      </c>
      <c r="F4982" t="s">
        <v>95</v>
      </c>
      <c r="G4982">
        <v>-252.0198</v>
      </c>
      <c r="H4982" s="1">
        <v>-1.186E-6</v>
      </c>
      <c r="I4982">
        <v>-65.705410000000001</v>
      </c>
      <c r="J4982">
        <v>-276.45729999999998</v>
      </c>
      <c r="K4982">
        <v>1.1099209999999999</v>
      </c>
      <c r="L4982">
        <v>-58.538330000000002</v>
      </c>
      <c r="M4982">
        <v>0.96031619999999995</v>
      </c>
      <c r="N4982">
        <v>-1.1450770000000001E-2</v>
      </c>
      <c r="O4982">
        <v>-0.27867809999999998</v>
      </c>
      <c r="P4982">
        <v>0.96746019999999999</v>
      </c>
      <c r="Q4982">
        <v>0.15976179999999901</v>
      </c>
      <c r="R4982">
        <v>-0.19620589999999999</v>
      </c>
      <c r="S4982">
        <v>2.947174</v>
      </c>
      <c r="T4982">
        <v>-0.13314289999999901</v>
      </c>
      <c r="U4982">
        <v>-0.86434940000000005</v>
      </c>
      <c r="V4982">
        <v>-8.1058820000000004E-2</v>
      </c>
      <c r="W4982">
        <v>0.1710815</v>
      </c>
      <c r="X4982">
        <v>0.98191680000000003</v>
      </c>
      <c r="Y4982">
        <v>2.977211E-3</v>
      </c>
      <c r="Z4982">
        <v>8.8064770000000001E-3</v>
      </c>
      <c r="AA4982">
        <v>0.99995679999999998</v>
      </c>
      <c r="AB4982">
        <v>24</v>
      </c>
      <c r="AC4982">
        <v>24.437499999999901</v>
      </c>
      <c r="AD4982">
        <v>-1.1099221859999999</v>
      </c>
      <c r="AE4982">
        <v>-7.1670799999999897</v>
      </c>
      <c r="AF4982">
        <v>7.2334322341589499E-2</v>
      </c>
      <c r="AG4982">
        <v>-1.1099221859999999</v>
      </c>
      <c r="AH4982">
        <v>25.418425552152598</v>
      </c>
      <c r="AI4982">
        <v>92.500281822961895</v>
      </c>
      <c r="AJ4982">
        <v>89.836951341142196</v>
      </c>
      <c r="AK4982">
        <v>25.442749793673801</v>
      </c>
      <c r="AL4982">
        <v>80.149294374307601</v>
      </c>
      <c r="AM4982">
        <v>94.7191586884027</v>
      </c>
      <c r="AN4982">
        <v>1.00000000703214</v>
      </c>
    </row>
    <row r="4983" spans="1:40" x14ac:dyDescent="0.25">
      <c r="A4983" t="str">
        <f>"20190304155518516"</f>
        <v>20190304155518516</v>
      </c>
      <c r="B4983" t="str">
        <f>"1551686118513169"</f>
        <v>1551686118513169</v>
      </c>
      <c r="C4983" t="s">
        <v>40</v>
      </c>
      <c r="D4983">
        <v>4.8005000000000004</v>
      </c>
      <c r="E4983">
        <v>0.50498270000000001</v>
      </c>
      <c r="F4983" t="s">
        <v>95</v>
      </c>
      <c r="G4983">
        <v>-251.57820000000001</v>
      </c>
      <c r="H4983" s="1">
        <v>-1.0228040000000001E-6</v>
      </c>
      <c r="I4983">
        <v>-65.823329999999999</v>
      </c>
      <c r="J4983">
        <v>-276.30430000000001</v>
      </c>
      <c r="K4983">
        <v>1.1099909999999999</v>
      </c>
      <c r="L4983">
        <v>-58.583129999999997</v>
      </c>
      <c r="M4983">
        <v>0.96024019999999999</v>
      </c>
      <c r="N4983">
        <v>-1.144149E-2</v>
      </c>
      <c r="O4983">
        <v>-0.27894079999999999</v>
      </c>
      <c r="P4983">
        <v>0.96771479999999999</v>
      </c>
      <c r="Q4983">
        <v>0.1602082</v>
      </c>
      <c r="R4983">
        <v>-0.19457930000000001</v>
      </c>
      <c r="S4983">
        <v>2.9475709999999999</v>
      </c>
      <c r="T4983">
        <v>-0.13149920000000001</v>
      </c>
      <c r="U4983">
        <v>-0.86309809999999998</v>
      </c>
      <c r="V4983">
        <v>-8.2989010000000002E-2</v>
      </c>
      <c r="W4983">
        <v>0.17150389999999999</v>
      </c>
      <c r="X4983">
        <v>0.98168180000000005</v>
      </c>
      <c r="Y4983">
        <v>2.2729069999999998E-3</v>
      </c>
      <c r="Z4983">
        <v>8.6873530000000001E-3</v>
      </c>
      <c r="AA4983">
        <v>0.99995970000000001</v>
      </c>
      <c r="AB4983">
        <v>24</v>
      </c>
      <c r="AC4983">
        <v>24.726099999999999</v>
      </c>
      <c r="AD4983">
        <v>-1.1099920228039999</v>
      </c>
      <c r="AE4983">
        <v>-7.24019999999999</v>
      </c>
      <c r="AF4983">
        <v>5.5114294302698298E-2</v>
      </c>
      <c r="AG4983">
        <v>-1.1099920228039999</v>
      </c>
      <c r="AH4983">
        <v>25.716534734672202</v>
      </c>
      <c r="AI4983">
        <v>92.471494029526397</v>
      </c>
      <c r="AJ4983">
        <v>89.877206954502796</v>
      </c>
      <c r="AK4983">
        <v>25.740537652421501</v>
      </c>
      <c r="AL4983">
        <v>80.124729104409496</v>
      </c>
      <c r="AM4983">
        <v>94.832157596136199</v>
      </c>
      <c r="AN4983">
        <v>0.99999995997361402</v>
      </c>
    </row>
    <row r="4984" spans="1:40" x14ac:dyDescent="0.25">
      <c r="A4984" t="str">
        <f>"20190304155518529"</f>
        <v>20190304155518529</v>
      </c>
      <c r="B4984" t="str">
        <f>"1551686118522930"</f>
        <v>1551686118522930</v>
      </c>
      <c r="C4984" t="s">
        <v>40</v>
      </c>
      <c r="D4984">
        <v>4.8845589999999897</v>
      </c>
      <c r="E4984">
        <v>0.50697780000000003</v>
      </c>
      <c r="F4984" t="s">
        <v>95</v>
      </c>
      <c r="G4984">
        <v>-255.95769999999999</v>
      </c>
      <c r="H4984" s="1">
        <v>-2.2967489999999998E-6</v>
      </c>
      <c r="I4984">
        <v>-63.103270000000002</v>
      </c>
      <c r="J4984">
        <v>-276.1619</v>
      </c>
      <c r="K4984">
        <v>1.1100540000000001</v>
      </c>
      <c r="L4984">
        <v>-58.624789999999997</v>
      </c>
      <c r="M4984">
        <v>0.96018550000000003</v>
      </c>
      <c r="N4984">
        <v>-1.1433270000000001E-2</v>
      </c>
      <c r="O4984">
        <v>-0.27912940000000003</v>
      </c>
      <c r="P4984">
        <v>0.96773050000000005</v>
      </c>
      <c r="Q4984">
        <v>0.16079399999999999</v>
      </c>
      <c r="R4984">
        <v>-0.1940181</v>
      </c>
      <c r="S4984">
        <v>2.9934080000000001</v>
      </c>
      <c r="T4984">
        <v>-0.1633037</v>
      </c>
      <c r="U4984">
        <v>-0.6650085</v>
      </c>
      <c r="V4984">
        <v>-8.375254E-2</v>
      </c>
      <c r="W4984">
        <v>0.1720671</v>
      </c>
      <c r="X4984">
        <v>0.98151840000000001</v>
      </c>
      <c r="Y4984">
        <v>-6.3912300000000005E-2</v>
      </c>
      <c r="Z4984">
        <v>1.365071E-2</v>
      </c>
      <c r="AA4984">
        <v>0.99786220000000003</v>
      </c>
      <c r="AB4984">
        <v>24</v>
      </c>
      <c r="AC4984">
        <v>20.2042</v>
      </c>
      <c r="AD4984">
        <v>-1.110056296749</v>
      </c>
      <c r="AE4984">
        <v>-4.4784799999999896</v>
      </c>
      <c r="AF4984">
        <v>-1.3356591164513401</v>
      </c>
      <c r="AG4984">
        <v>-1.110056296749</v>
      </c>
      <c r="AH4984">
        <v>20.5919557369002</v>
      </c>
      <c r="AI4984">
        <v>93.079214694420202</v>
      </c>
      <c r="AJ4984">
        <v>93.711185972628201</v>
      </c>
      <c r="AK4984">
        <v>20.665063545214799</v>
      </c>
      <c r="AL4984">
        <v>80.091973304759094</v>
      </c>
      <c r="AM4984">
        <v>94.877209741227801</v>
      </c>
      <c r="AN4984">
        <v>0.99999997219870995</v>
      </c>
    </row>
    <row r="4985" spans="1:40" x14ac:dyDescent="0.25">
      <c r="A4985" t="str">
        <f>"20190304155518541"</f>
        <v>20190304155518541</v>
      </c>
      <c r="B4985" t="str">
        <f>"1551686118532690"</f>
        <v>1551686118532690</v>
      </c>
      <c r="C4985" t="s">
        <v>40</v>
      </c>
      <c r="D4985">
        <v>4.8029820000000001</v>
      </c>
      <c r="E4985">
        <v>0.50639630000000002</v>
      </c>
      <c r="F4985" t="s">
        <v>95</v>
      </c>
      <c r="G4985">
        <v>-256.47840000000002</v>
      </c>
      <c r="H4985" s="1">
        <v>-2.5187530000000001E-6</v>
      </c>
      <c r="I4985">
        <v>-63.097160000000002</v>
      </c>
      <c r="J4985">
        <v>-276.04320000000001</v>
      </c>
      <c r="K4985">
        <v>1.1101080000000001</v>
      </c>
      <c r="L4985">
        <v>-58.659519999999901</v>
      </c>
      <c r="M4985">
        <v>0.96014900000000003</v>
      </c>
      <c r="N4985">
        <v>-1.142664E-2</v>
      </c>
      <c r="O4985">
        <v>-0.27925539999999999</v>
      </c>
      <c r="P4985">
        <v>0.96788779999999996</v>
      </c>
      <c r="Q4985">
        <v>0.1609188</v>
      </c>
      <c r="R4985">
        <v>-0.1931282</v>
      </c>
      <c r="S4985">
        <v>2.9917910000000001</v>
      </c>
      <c r="T4985">
        <v>-0.16872309999999999</v>
      </c>
      <c r="U4985">
        <v>-0.67977909999999997</v>
      </c>
      <c r="V4985">
        <v>-8.4802550000000004E-2</v>
      </c>
      <c r="W4985">
        <v>0.17217370000000001</v>
      </c>
      <c r="X4985">
        <v>0.98140950000000005</v>
      </c>
      <c r="Y4985">
        <v>-5.9220299999999997E-2</v>
      </c>
      <c r="Z4985">
        <v>1.404507E-2</v>
      </c>
      <c r="AA4985">
        <v>0.99814610000000004</v>
      </c>
      <c r="AB4985">
        <v>24</v>
      </c>
      <c r="AC4985">
        <v>19.564799999999899</v>
      </c>
      <c r="AD4985">
        <v>-1.110110518753</v>
      </c>
      <c r="AE4985">
        <v>-4.43764</v>
      </c>
      <c r="AF4985">
        <v>-1.19918700131183</v>
      </c>
      <c r="AG4985">
        <v>-1.110110518753</v>
      </c>
      <c r="AH4985">
        <v>19.9645330931267</v>
      </c>
      <c r="AI4985">
        <v>93.176890686426205</v>
      </c>
      <c r="AJ4985">
        <v>93.437390745245494</v>
      </c>
      <c r="AK4985">
        <v>20.031299919239199</v>
      </c>
      <c r="AL4985">
        <v>80.085772629419196</v>
      </c>
      <c r="AM4985">
        <v>94.938600323411507</v>
      </c>
      <c r="AN4985">
        <v>0.99999993107421803</v>
      </c>
    </row>
    <row r="4986" spans="1:40" x14ac:dyDescent="0.25">
      <c r="A4986" t="str">
        <f>"20190304155518552"</f>
        <v>20190304155518552</v>
      </c>
      <c r="B4986" t="str">
        <f>"1551686118542451"</f>
        <v>1551686118542451</v>
      </c>
      <c r="C4986" t="s">
        <v>40</v>
      </c>
      <c r="D4986">
        <v>4.7899079999999996</v>
      </c>
      <c r="E4986">
        <v>0.50843119999999997</v>
      </c>
      <c r="F4986" t="s">
        <v>95</v>
      </c>
      <c r="G4986">
        <v>-256.10739999999998</v>
      </c>
      <c r="H4986" s="1">
        <v>-2.3691520000000001E-6</v>
      </c>
      <c r="I4986">
        <v>-63.1402199999999</v>
      </c>
      <c r="J4986">
        <v>-275.93009999999998</v>
      </c>
      <c r="K4986">
        <v>1.1101589999999999</v>
      </c>
      <c r="L4986">
        <v>-58.692540000000001</v>
      </c>
      <c r="M4986">
        <v>0.96013170000000003</v>
      </c>
      <c r="N4986">
        <v>-1.142087E-2</v>
      </c>
      <c r="O4986">
        <v>-0.27931420000000001</v>
      </c>
      <c r="P4986">
        <v>0.96799190000000002</v>
      </c>
      <c r="Q4986">
        <v>0.16109609999999999</v>
      </c>
      <c r="R4986">
        <v>-0.19245570000000001</v>
      </c>
      <c r="S4986">
        <v>2.9930110000000001</v>
      </c>
      <c r="T4986">
        <v>-0.1666636</v>
      </c>
      <c r="U4986">
        <v>-0.67269899999999905</v>
      </c>
      <c r="V4986">
        <v>-8.5558659999999995E-2</v>
      </c>
      <c r="W4986">
        <v>0.172333399999999</v>
      </c>
      <c r="X4986">
        <v>0.98131590000000002</v>
      </c>
      <c r="Y4986">
        <v>-6.1621599999999999E-2</v>
      </c>
      <c r="Z4986">
        <v>1.392087E-2</v>
      </c>
      <c r="AA4986">
        <v>0.99800250000000001</v>
      </c>
      <c r="AB4986">
        <v>24</v>
      </c>
      <c r="AC4986">
        <v>19.822700000000001</v>
      </c>
      <c r="AD4986">
        <v>-1.110161369152</v>
      </c>
      <c r="AE4986">
        <v>-4.4476799999999903</v>
      </c>
      <c r="AF4986">
        <v>-1.2627151090291</v>
      </c>
      <c r="AG4986">
        <v>-1.110161369152</v>
      </c>
      <c r="AH4986">
        <v>20.215660362901801</v>
      </c>
      <c r="AI4986">
        <v>93.1371908454649</v>
      </c>
      <c r="AJ4986">
        <v>93.574178395218595</v>
      </c>
      <c r="AK4986">
        <v>20.285458624845699</v>
      </c>
      <c r="AL4986">
        <v>80.076484240981898</v>
      </c>
      <c r="AM4986">
        <v>94.982885656394004</v>
      </c>
      <c r="AN4986">
        <v>0.99999999032468201</v>
      </c>
    </row>
    <row r="4987" spans="1:40" x14ac:dyDescent="0.25">
      <c r="A4987" t="str">
        <f>"20190304155518564"</f>
        <v>20190304155518564</v>
      </c>
      <c r="B4987" t="str">
        <f>"1551686118553186"</f>
        <v>1551686118553186</v>
      </c>
      <c r="C4987" t="s">
        <v>40</v>
      </c>
      <c r="D4987">
        <v>4.8205369999999998</v>
      </c>
      <c r="E4987">
        <v>0.50794059999999996</v>
      </c>
      <c r="F4987" t="s">
        <v>95</v>
      </c>
      <c r="G4987">
        <v>-255.98349999999999</v>
      </c>
      <c r="H4987" s="1">
        <v>-2.3458379999999998E-6</v>
      </c>
      <c r="I4987">
        <v>-63.27431</v>
      </c>
      <c r="J4987">
        <v>-275.80459999999999</v>
      </c>
      <c r="K4987">
        <v>1.1102110000000001</v>
      </c>
      <c r="L4987">
        <v>-58.72916</v>
      </c>
      <c r="M4987">
        <v>0.96011760000000002</v>
      </c>
      <c r="N4987">
        <v>-1.141461E-2</v>
      </c>
      <c r="O4987">
        <v>-0.27936349999999999</v>
      </c>
      <c r="P4987">
        <v>0.96809780000000001</v>
      </c>
      <c r="Q4987">
        <v>0.16142719999999999</v>
      </c>
      <c r="R4987">
        <v>-0.19164610000000001</v>
      </c>
      <c r="S4987">
        <v>2.9903559999999998</v>
      </c>
      <c r="T4987">
        <v>-0.166433</v>
      </c>
      <c r="U4987">
        <v>-0.68688959999999999</v>
      </c>
      <c r="V4987">
        <v>-8.6439160000000001E-2</v>
      </c>
      <c r="W4987">
        <v>0.1726463</v>
      </c>
      <c r="X4987">
        <v>0.98118380000000005</v>
      </c>
      <c r="Y4987">
        <v>-5.6988249999999997E-2</v>
      </c>
      <c r="Z4987">
        <v>1.3751920000000001E-2</v>
      </c>
      <c r="AA4987">
        <v>0.9982801</v>
      </c>
      <c r="AB4987">
        <v>24</v>
      </c>
      <c r="AC4987">
        <v>19.821100000000001</v>
      </c>
      <c r="AD4987">
        <v>-1.1102133458379999</v>
      </c>
      <c r="AE4987">
        <v>-4.5451499999999996</v>
      </c>
      <c r="AF4987">
        <v>-1.17000248415291</v>
      </c>
      <c r="AG4987">
        <v>-1.1102133458379999</v>
      </c>
      <c r="AH4987">
        <v>20.241326989619701</v>
      </c>
      <c r="AI4987">
        <v>93.1342402757965</v>
      </c>
      <c r="AJ4987">
        <v>93.308167218163803</v>
      </c>
      <c r="AK4987">
        <v>20.305486888693601</v>
      </c>
      <c r="AL4987">
        <v>80.058284300206395</v>
      </c>
      <c r="AM4987">
        <v>95.034577552823293</v>
      </c>
      <c r="AN4987">
        <v>1.00000006133381</v>
      </c>
    </row>
    <row r="4988" spans="1:40" x14ac:dyDescent="0.25">
      <c r="A4988" t="str">
        <f>"20190304155518577"</f>
        <v>20190304155518577</v>
      </c>
      <c r="B4988" t="str">
        <f>"1551686118572706"</f>
        <v>1551686118572706</v>
      </c>
      <c r="C4988" t="s">
        <v>40</v>
      </c>
      <c r="D4988">
        <v>4.6679329999999997</v>
      </c>
      <c r="E4988">
        <v>0.50856190000000001</v>
      </c>
      <c r="F4988" t="s">
        <v>95</v>
      </c>
      <c r="G4988">
        <v>-255.6534</v>
      </c>
      <c r="H4988" s="1">
        <v>-2.2127870000000001E-6</v>
      </c>
      <c r="I4988">
        <v>-63.312759999999997</v>
      </c>
      <c r="J4988">
        <v>-275.67079999999999</v>
      </c>
      <c r="K4988">
        <v>1.110266</v>
      </c>
      <c r="L4988">
        <v>-58.768189999999997</v>
      </c>
      <c r="M4988">
        <v>0.96011670000000005</v>
      </c>
      <c r="N4988">
        <v>-1.140833E-2</v>
      </c>
      <c r="O4988">
        <v>-0.27936680000000003</v>
      </c>
      <c r="P4988">
        <v>0.96827189999999996</v>
      </c>
      <c r="Q4988">
        <v>0.161276</v>
      </c>
      <c r="R4988">
        <v>-0.19089210000000001</v>
      </c>
      <c r="S4988">
        <v>2.991638</v>
      </c>
      <c r="T4988">
        <v>-0.164822</v>
      </c>
      <c r="U4988">
        <v>-0.680481</v>
      </c>
      <c r="V4988">
        <v>-8.7237129999999996E-2</v>
      </c>
      <c r="W4988">
        <v>0.17247670000000001</v>
      </c>
      <c r="X4988">
        <v>0.98114290000000004</v>
      </c>
      <c r="Y4988">
        <v>-5.9121340000000001E-2</v>
      </c>
      <c r="Z4988">
        <v>1.366071E-2</v>
      </c>
      <c r="AA4988">
        <v>0.99815730000000003</v>
      </c>
      <c r="AB4988">
        <v>24</v>
      </c>
      <c r="AC4988">
        <v>20.017399999999899</v>
      </c>
      <c r="AD4988">
        <v>-1.1102682127869901</v>
      </c>
      <c r="AE4988">
        <v>-4.5445699999999896</v>
      </c>
      <c r="AF4988">
        <v>-1.22537444286775</v>
      </c>
      <c r="AG4988">
        <v>-1.1102682127869901</v>
      </c>
      <c r="AH4988">
        <v>20.430204667245601</v>
      </c>
      <c r="AI4988">
        <v>93.105078535993201</v>
      </c>
      <c r="AJ4988">
        <v>93.432406866760402</v>
      </c>
      <c r="AK4988">
        <v>20.4970119962667</v>
      </c>
      <c r="AL4988">
        <v>80.068148635450996</v>
      </c>
      <c r="AM4988">
        <v>95.081023182468002</v>
      </c>
      <c r="AN4988">
        <v>0.99999995955696697</v>
      </c>
    </row>
    <row r="4989" spans="1:40" x14ac:dyDescent="0.25">
      <c r="A4989" t="str">
        <f>"20190304155518592"</f>
        <v>20190304155518592</v>
      </c>
      <c r="B4989" t="str">
        <f>"1551686118582465"</f>
        <v>1551686118582465</v>
      </c>
      <c r="C4989" t="s">
        <v>40</v>
      </c>
      <c r="D4989">
        <v>4.7920259999999999</v>
      </c>
      <c r="E4989">
        <v>0.50831850000000001</v>
      </c>
      <c r="F4989" t="s">
        <v>95</v>
      </c>
      <c r="G4989">
        <v>-255.6224</v>
      </c>
      <c r="H4989" s="1">
        <v>-2.2073960000000001E-6</v>
      </c>
      <c r="I4989">
        <v>-63.348329999999997</v>
      </c>
      <c r="J4989">
        <v>-275.52749999999997</v>
      </c>
      <c r="K4989">
        <v>1.1103130000000001</v>
      </c>
      <c r="L4989">
        <v>-58.809840000000001</v>
      </c>
      <c r="M4989">
        <v>0.96012779999999998</v>
      </c>
      <c r="N4989">
        <v>-1.1402300000000001E-2</v>
      </c>
      <c r="O4989">
        <v>-0.27932889999999999</v>
      </c>
      <c r="P4989">
        <v>0.96847669999999997</v>
      </c>
      <c r="Q4989">
        <v>0.16117310000000001</v>
      </c>
      <c r="R4989">
        <v>-0.189938</v>
      </c>
      <c r="S4989">
        <v>2.9911799999999999</v>
      </c>
      <c r="T4989">
        <v>-0.16565009999999999</v>
      </c>
      <c r="U4989">
        <v>-0.6833496</v>
      </c>
      <c r="V4989">
        <v>-8.8193369999999993E-2</v>
      </c>
      <c r="W4989">
        <v>0.17235639999999999</v>
      </c>
      <c r="X4989">
        <v>0.98107860000000002</v>
      </c>
      <c r="Y4989">
        <v>-5.8136559999999997E-2</v>
      </c>
      <c r="Z4989">
        <v>1.371152E-2</v>
      </c>
      <c r="AA4989">
        <v>0.9982145</v>
      </c>
      <c r="AB4989">
        <v>24</v>
      </c>
      <c r="AC4989">
        <v>19.905099999999901</v>
      </c>
      <c r="AD4989">
        <v>-1.1103152073960001</v>
      </c>
      <c r="AE4989">
        <v>-4.5384900000000004</v>
      </c>
      <c r="AF4989">
        <v>-1.1990709378494</v>
      </c>
      <c r="AG4989">
        <v>-1.1103152073960001</v>
      </c>
      <c r="AH4989">
        <v>20.3203942486012</v>
      </c>
      <c r="AI4989">
        <v>93.122136241649798</v>
      </c>
      <c r="AJ4989">
        <v>93.377007858980903</v>
      </c>
      <c r="AK4989">
        <v>20.385999936043302</v>
      </c>
      <c r="AL4989">
        <v>80.075146609562793</v>
      </c>
      <c r="AM4989">
        <v>95.136756766830203</v>
      </c>
      <c r="AN4989">
        <v>1.00000000925543</v>
      </c>
    </row>
    <row r="4990" spans="1:40" x14ac:dyDescent="0.25">
      <c r="A4990" t="str">
        <f>"20190304155518605"</f>
        <v>20190304155518605</v>
      </c>
      <c r="B4990" t="str">
        <f>"1551686118593202"</f>
        <v>1551686118593202</v>
      </c>
      <c r="C4990" t="s">
        <v>40</v>
      </c>
      <c r="D4990">
        <v>4.7903979999999997</v>
      </c>
      <c r="E4990">
        <v>0.5081831</v>
      </c>
      <c r="F4990" t="s">
        <v>95</v>
      </c>
      <c r="G4990">
        <v>-255.5915</v>
      </c>
      <c r="H4990" s="1">
        <v>-2.1905419999999999E-6</v>
      </c>
      <c r="I4990">
        <v>-63.3322</v>
      </c>
      <c r="J4990">
        <v>-275.38619999999997</v>
      </c>
      <c r="K4990">
        <v>1.1103540000000001</v>
      </c>
      <c r="L4990">
        <v>-58.850920000000002</v>
      </c>
      <c r="M4990">
        <v>0.96014820000000001</v>
      </c>
      <c r="N4990">
        <v>-1.139682E-2</v>
      </c>
      <c r="O4990">
        <v>-0.27925990000000001</v>
      </c>
      <c r="P4990">
        <v>0.96896360000000004</v>
      </c>
      <c r="Q4990">
        <v>0.16012660000000001</v>
      </c>
      <c r="R4990">
        <v>-0.18833349999999999</v>
      </c>
      <c r="S4990">
        <v>2.9922490000000002</v>
      </c>
      <c r="T4990">
        <v>-0.16664989999999999</v>
      </c>
      <c r="U4990">
        <v>-0.67877200000000004</v>
      </c>
      <c r="V4990">
        <v>-8.9818010000000004E-2</v>
      </c>
      <c r="W4990">
        <v>0.1712948</v>
      </c>
      <c r="X4990">
        <v>0.98111709999999996</v>
      </c>
      <c r="Y4990">
        <v>-5.958662E-2</v>
      </c>
      <c r="Z4990">
        <v>1.3855599999999999E-2</v>
      </c>
      <c r="AA4990">
        <v>0.99812699999999999</v>
      </c>
      <c r="AB4990">
        <v>24</v>
      </c>
      <c r="AC4990">
        <v>19.794699999999899</v>
      </c>
      <c r="AD4990">
        <v>-1.1103561905419901</v>
      </c>
      <c r="AE4990">
        <v>-4.4812799999999999</v>
      </c>
      <c r="AF4990">
        <v>-1.22159590802534</v>
      </c>
      <c r="AG4990">
        <v>-1.1103561905419901</v>
      </c>
      <c r="AH4990">
        <v>20.198142654240101</v>
      </c>
      <c r="AI4990">
        <v>93.140836551871601</v>
      </c>
      <c r="AJ4990">
        <v>93.461067491533598</v>
      </c>
      <c r="AK4990">
        <v>20.265491706677501</v>
      </c>
      <c r="AL4990">
        <v>80.136889744425702</v>
      </c>
      <c r="AM4990">
        <v>95.230658363251706</v>
      </c>
      <c r="AN4990">
        <v>0.99999997366990401</v>
      </c>
    </row>
    <row r="4991" spans="1:40" x14ac:dyDescent="0.25">
      <c r="A4991" t="str">
        <f>"20190304155518620"</f>
        <v>20190304155518620</v>
      </c>
      <c r="B4991" t="str">
        <f>"1551686118612722"</f>
        <v>1551686118612722</v>
      </c>
      <c r="C4991" t="s">
        <v>40</v>
      </c>
      <c r="D4991">
        <v>4.816046</v>
      </c>
      <c r="E4991">
        <v>0.5080363</v>
      </c>
      <c r="F4991" t="s">
        <v>95</v>
      </c>
      <c r="G4991">
        <v>-255.76580000000001</v>
      </c>
      <c r="H4991" s="1">
        <v>-2.250442E-6</v>
      </c>
      <c r="I4991">
        <v>-63.265320000000003</v>
      </c>
      <c r="J4991">
        <v>-275.22699999999998</v>
      </c>
      <c r="K4991">
        <v>1.1103970000000001</v>
      </c>
      <c r="L4991">
        <v>-58.89716</v>
      </c>
      <c r="M4991">
        <v>0.96018440000000005</v>
      </c>
      <c r="N4991">
        <v>-1.1391200000000001E-2</v>
      </c>
      <c r="O4991">
        <v>-0.27913500000000002</v>
      </c>
      <c r="P4991">
        <v>0.96920439999999997</v>
      </c>
      <c r="Q4991">
        <v>0.159833</v>
      </c>
      <c r="R4991">
        <v>-0.18734120000000001</v>
      </c>
      <c r="S4991">
        <v>2.9931640000000002</v>
      </c>
      <c r="T4991">
        <v>-0.1693885</v>
      </c>
      <c r="U4991">
        <v>-0.67343140000000001</v>
      </c>
      <c r="V4991">
        <v>-9.072914E-2</v>
      </c>
      <c r="W4991">
        <v>0.17098429999999901</v>
      </c>
      <c r="X4991">
        <v>0.98108740000000005</v>
      </c>
      <c r="Y4991">
        <v>-6.1200629999999999E-2</v>
      </c>
      <c r="Z4991">
        <v>1.417915E-2</v>
      </c>
      <c r="AA4991">
        <v>0.99802480000000005</v>
      </c>
      <c r="AB4991">
        <v>24</v>
      </c>
      <c r="AC4991">
        <v>19.461200000000002</v>
      </c>
      <c r="AD4991">
        <v>-1.1103992504419999</v>
      </c>
      <c r="AE4991">
        <v>-4.3681599999999898</v>
      </c>
      <c r="AF4991">
        <v>-1.2343175886967901</v>
      </c>
      <c r="AG4991">
        <v>-1.1103992504419999</v>
      </c>
      <c r="AH4991">
        <v>19.8454284800107</v>
      </c>
      <c r="AI4991">
        <v>93.196333318817906</v>
      </c>
      <c r="AJ4991">
        <v>93.559016457224701</v>
      </c>
      <c r="AK4991">
        <v>19.914757291023399</v>
      </c>
      <c r="AL4991">
        <v>80.1549462146357</v>
      </c>
      <c r="AM4991">
        <v>95.283579349840593</v>
      </c>
      <c r="AN4991">
        <v>0.99999994706519302</v>
      </c>
    </row>
    <row r="4992" spans="1:40" x14ac:dyDescent="0.25">
      <c r="A4992" t="str">
        <f>"20190304155518639"</f>
        <v>20190304155518639</v>
      </c>
      <c r="B4992" t="str">
        <f>"1551686118632748"</f>
        <v>1551686118632748</v>
      </c>
      <c r="C4992" t="s">
        <v>40</v>
      </c>
      <c r="D4992">
        <v>4.682982</v>
      </c>
      <c r="E4992">
        <v>0.50856380000000001</v>
      </c>
      <c r="F4992" t="s">
        <v>95</v>
      </c>
      <c r="G4992">
        <v>-255.67869999999999</v>
      </c>
      <c r="H4992" s="1">
        <v>-2.21405E-6</v>
      </c>
      <c r="I4992">
        <v>-63.269689999999997</v>
      </c>
      <c r="J4992">
        <v>-275.03449999999998</v>
      </c>
      <c r="K4992">
        <v>1.1104449999999999</v>
      </c>
      <c r="L4992">
        <v>-58.952939999999998</v>
      </c>
      <c r="M4992">
        <v>0.96024730000000003</v>
      </c>
      <c r="N4992">
        <v>-1.138517E-2</v>
      </c>
      <c r="O4992">
        <v>-0.27891870000000002</v>
      </c>
      <c r="P4992">
        <v>0.96956089999999995</v>
      </c>
      <c r="Q4992">
        <v>0.15943879999999999</v>
      </c>
      <c r="R4992">
        <v>-0.1858255</v>
      </c>
      <c r="S4992">
        <v>2.9939269999999998</v>
      </c>
      <c r="T4992">
        <v>-0.17006389999999999</v>
      </c>
      <c r="U4992">
        <v>-0.66967769999999904</v>
      </c>
      <c r="V4992">
        <v>-9.2082559999999994E-2</v>
      </c>
      <c r="W4992">
        <v>0.17057269999999999</v>
      </c>
      <c r="X4992">
        <v>0.98103300000000004</v>
      </c>
      <c r="Y4992">
        <v>-6.2216519999999997E-2</v>
      </c>
      <c r="Z4992">
        <v>1.4272139999999999E-2</v>
      </c>
      <c r="AA4992">
        <v>0.99796059999999998</v>
      </c>
      <c r="AB4992">
        <v>24</v>
      </c>
      <c r="AC4992">
        <v>19.355799999999899</v>
      </c>
      <c r="AD4992">
        <v>-1.1104472140499999</v>
      </c>
      <c r="AE4992">
        <v>-4.3167499999999901</v>
      </c>
      <c r="AF4992">
        <v>-1.24970986837263</v>
      </c>
      <c r="AG4992">
        <v>-1.1104472140499999</v>
      </c>
      <c r="AH4992">
        <v>19.7297976123774</v>
      </c>
      <c r="AI4992">
        <v>93.214935928336004</v>
      </c>
      <c r="AJ4992">
        <v>93.624343869755194</v>
      </c>
      <c r="AK4992">
        <v>19.800499528943</v>
      </c>
      <c r="AL4992">
        <v>80.178881250905206</v>
      </c>
      <c r="AM4992">
        <v>95.3622348573669</v>
      </c>
      <c r="AN4992">
        <v>0.999999995465221</v>
      </c>
    </row>
    <row r="4993" spans="1:40" x14ac:dyDescent="0.25">
      <c r="A4993" t="str">
        <f>"20190304155518663"</f>
        <v>20190304155518663</v>
      </c>
      <c r="B4993" t="str">
        <f>"1551686118653245"</f>
        <v>1551686118653245</v>
      </c>
      <c r="C4993" t="s">
        <v>40</v>
      </c>
      <c r="D4993">
        <v>4.8299859999999999</v>
      </c>
      <c r="E4993">
        <v>0.50843279999999902</v>
      </c>
      <c r="F4993" t="s">
        <v>95</v>
      </c>
      <c r="G4993">
        <v>-255.6465</v>
      </c>
      <c r="H4993" s="1">
        <v>-2.2045479999999999E-6</v>
      </c>
      <c r="I4993">
        <v>-63.289090000000002</v>
      </c>
      <c r="J4993">
        <v>-274.80099999999999</v>
      </c>
      <c r="K4993">
        <v>1.1105</v>
      </c>
      <c r="L4993">
        <v>-59.020420000000001</v>
      </c>
      <c r="M4993">
        <v>0.96034580000000003</v>
      </c>
      <c r="N4993">
        <v>-1.1378849999999999E-2</v>
      </c>
      <c r="O4993">
        <v>-0.27857999999999999</v>
      </c>
      <c r="P4993">
        <v>0.96982740000000001</v>
      </c>
      <c r="Q4993">
        <v>0.15920519999999999</v>
      </c>
      <c r="R4993">
        <v>-0.18463199999999999</v>
      </c>
      <c r="S4993">
        <v>2.9940190000000002</v>
      </c>
      <c r="T4993">
        <v>-0.17148260000000001</v>
      </c>
      <c r="U4993">
        <v>-0.66961669999999995</v>
      </c>
      <c r="V4993">
        <v>-9.2978749999999999E-2</v>
      </c>
      <c r="W4993">
        <v>0.17031949999999901</v>
      </c>
      <c r="X4993">
        <v>0.98099250000000005</v>
      </c>
      <c r="Y4993">
        <v>-6.1884019999999998E-2</v>
      </c>
      <c r="Z4993">
        <v>1.4390160000000001E-2</v>
      </c>
      <c r="AA4993">
        <v>0.99797959999999997</v>
      </c>
      <c r="AB4993">
        <v>24</v>
      </c>
      <c r="AC4993">
        <v>19.154499999999899</v>
      </c>
      <c r="AD4993">
        <v>-1.110502204548</v>
      </c>
      <c r="AE4993">
        <v>-4.2686700000000002</v>
      </c>
      <c r="AF4993">
        <v>-1.2327935188893799</v>
      </c>
      <c r="AG4993">
        <v>-1.110502204548</v>
      </c>
      <c r="AH4993">
        <v>19.5228584035811</v>
      </c>
      <c r="AI4993">
        <v>93.249141506791005</v>
      </c>
      <c r="AJ4993">
        <v>93.613211009004999</v>
      </c>
      <c r="AK4993">
        <v>19.593238508546701</v>
      </c>
      <c r="AL4993">
        <v>80.193604347269897</v>
      </c>
      <c r="AM4993">
        <v>95.4143361690424</v>
      </c>
      <c r="AN4993">
        <v>1.0000000325440299</v>
      </c>
    </row>
    <row r="4994" spans="1:40" x14ac:dyDescent="0.25">
      <c r="A4994" t="str">
        <f>"20190304155518674"</f>
        <v>20190304155518674</v>
      </c>
      <c r="B4994" t="str">
        <f>"1551686118663005"</f>
        <v>1551686118663005</v>
      </c>
      <c r="C4994" t="s">
        <v>40</v>
      </c>
      <c r="D4994">
        <v>4.8097289999999999</v>
      </c>
      <c r="E4994">
        <v>0.50841419999999904</v>
      </c>
      <c r="F4994" t="s">
        <v>95</v>
      </c>
      <c r="G4994">
        <v>-255.46690000000001</v>
      </c>
      <c r="H4994" s="1">
        <v>-2.1325849999999999E-6</v>
      </c>
      <c r="I4994">
        <v>-63.31194</v>
      </c>
      <c r="J4994">
        <v>-274.67129999999997</v>
      </c>
      <c r="K4994">
        <v>1.110527</v>
      </c>
      <c r="L4994">
        <v>-59.0578</v>
      </c>
      <c r="M4994">
        <v>0.96041209999999999</v>
      </c>
      <c r="N4994">
        <v>-1.13759E-2</v>
      </c>
      <c r="O4994">
        <v>-0.27835070000000001</v>
      </c>
      <c r="P4994">
        <v>0.96997480000000003</v>
      </c>
      <c r="Q4994">
        <v>0.1591263</v>
      </c>
      <c r="R4994">
        <v>-0.183923</v>
      </c>
      <c r="S4994">
        <v>2.9950260000000002</v>
      </c>
      <c r="T4994">
        <v>-0.1720264</v>
      </c>
      <c r="U4994">
        <v>-0.66479489999999997</v>
      </c>
      <c r="V4994">
        <v>-9.3477889999999994E-2</v>
      </c>
      <c r="W4994">
        <v>0.17023070000000001</v>
      </c>
      <c r="X4994">
        <v>0.98096039999999995</v>
      </c>
      <c r="Y4994">
        <v>-6.3242809999999997E-2</v>
      </c>
      <c r="Z4994">
        <v>1.4479819999999999E-2</v>
      </c>
      <c r="AA4994">
        <v>0.99789309999999998</v>
      </c>
      <c r="AB4994">
        <v>24</v>
      </c>
      <c r="AC4994">
        <v>19.2043999999999</v>
      </c>
      <c r="AD4994">
        <v>-1.110529132585</v>
      </c>
      <c r="AE4994">
        <v>-4.2541399999999996</v>
      </c>
      <c r="AF4994">
        <v>-1.2559089831227801</v>
      </c>
      <c r="AG4994">
        <v>-1.110529132585</v>
      </c>
      <c r="AH4994">
        <v>19.5671810075054</v>
      </c>
      <c r="AI4994">
        <v>93.241662896178894</v>
      </c>
      <c r="AJ4994">
        <v>93.6724612242554</v>
      </c>
      <c r="AK4994">
        <v>19.638868473226498</v>
      </c>
      <c r="AL4994">
        <v>80.198766863588403</v>
      </c>
      <c r="AM4994">
        <v>95.443405014598895</v>
      </c>
      <c r="AN4994">
        <v>0.99999995675474995</v>
      </c>
    </row>
    <row r="4995" spans="1:40" x14ac:dyDescent="0.25">
      <c r="A4995" t="str">
        <f>"20190304155518687"</f>
        <v>20190304155518687</v>
      </c>
      <c r="B4995" t="str">
        <f>"1551686118682525"</f>
        <v>1551686118682525</v>
      </c>
      <c r="C4995" t="s">
        <v>40</v>
      </c>
      <c r="D4995">
        <v>4.8212510000000002</v>
      </c>
      <c r="E4995">
        <v>0.50841190000000003</v>
      </c>
      <c r="F4995" t="s">
        <v>95</v>
      </c>
      <c r="G4995">
        <v>-255.31360000000001</v>
      </c>
      <c r="H4995" s="1">
        <v>-2.0723780000000001E-6</v>
      </c>
      <c r="I4995">
        <v>-63.336880000000001</v>
      </c>
      <c r="J4995">
        <v>-274.54250000000002</v>
      </c>
      <c r="K4995">
        <v>1.110552</v>
      </c>
      <c r="L4995">
        <v>-59.094880000000003</v>
      </c>
      <c r="M4995">
        <v>0.96048149999999999</v>
      </c>
      <c r="N4995">
        <v>-1.137312E-2</v>
      </c>
      <c r="O4995">
        <v>-0.27811160000000001</v>
      </c>
      <c r="P4995">
        <v>0.97008720000000004</v>
      </c>
      <c r="Q4995">
        <v>0.15908520000000001</v>
      </c>
      <c r="R4995">
        <v>-0.1833659</v>
      </c>
      <c r="S4995">
        <v>2.995514</v>
      </c>
      <c r="T4995">
        <v>-0.17184969999999999</v>
      </c>
      <c r="U4995">
        <v>-0.66217040000000005</v>
      </c>
      <c r="V4995">
        <v>-9.3810359999999995E-2</v>
      </c>
      <c r="W4995">
        <v>0.17018039999999901</v>
      </c>
      <c r="X4995">
        <v>0.98093739999999996</v>
      </c>
      <c r="Y4995">
        <v>-6.3862150000000006E-2</v>
      </c>
      <c r="Z4995">
        <v>1.4472860000000001E-2</v>
      </c>
      <c r="AA4995">
        <v>0.99785380000000001</v>
      </c>
      <c r="AB4995">
        <v>24</v>
      </c>
      <c r="AC4995">
        <v>19.228899999999999</v>
      </c>
      <c r="AD4995">
        <v>-1.1105540723780001</v>
      </c>
      <c r="AE4995">
        <v>-4.242</v>
      </c>
      <c r="AF4995">
        <v>-1.2694620357250701</v>
      </c>
      <c r="AG4995">
        <v>-1.1105540723780001</v>
      </c>
      <c r="AH4995">
        <v>19.587717676682701</v>
      </c>
      <c r="AI4995">
        <v>93.238214352044096</v>
      </c>
      <c r="AJ4995">
        <v>93.708101165871099</v>
      </c>
      <c r="AK4995">
        <v>19.660202135004798</v>
      </c>
      <c r="AL4995">
        <v>80.201691622120293</v>
      </c>
      <c r="AM4995">
        <v>95.462775812562896</v>
      </c>
      <c r="AN4995">
        <v>0.99999996745312403</v>
      </c>
    </row>
    <row r="4996" spans="1:40" x14ac:dyDescent="0.25">
      <c r="A4996" t="str">
        <f>"20190304155518699"</f>
        <v>20190304155518699</v>
      </c>
      <c r="B4996" t="str">
        <f>"1551686118693261"</f>
        <v>1551686118693261</v>
      </c>
      <c r="C4996" t="s">
        <v>40</v>
      </c>
      <c r="D4996">
        <v>4.8270179999999998</v>
      </c>
      <c r="E4996">
        <v>0.50844389999999995</v>
      </c>
      <c r="F4996" t="s">
        <v>95</v>
      </c>
      <c r="G4996">
        <v>-255.10329999999999</v>
      </c>
      <c r="H4996" s="1">
        <v>-1.9919630000000002E-6</v>
      </c>
      <c r="I4996">
        <v>-63.380989999999997</v>
      </c>
      <c r="J4996">
        <v>-274.41210000000001</v>
      </c>
      <c r="K4996">
        <v>1.1105769999999999</v>
      </c>
      <c r="L4996">
        <v>-59.132350000000002</v>
      </c>
      <c r="M4996">
        <v>0.96055579999999996</v>
      </c>
      <c r="N4996">
        <v>-1.1370480000000001E-2</v>
      </c>
      <c r="O4996">
        <v>-0.27785500000000002</v>
      </c>
      <c r="P4996">
        <v>0.97024889999999997</v>
      </c>
      <c r="Q4996">
        <v>0.15892919999999999</v>
      </c>
      <c r="R4996">
        <v>-0.18264359999999999</v>
      </c>
      <c r="S4996">
        <v>2.9957280000000002</v>
      </c>
      <c r="T4996">
        <v>-0.17114509999999999</v>
      </c>
      <c r="U4996">
        <v>-0.66052250000000001</v>
      </c>
      <c r="V4996">
        <v>-9.4295779999999996E-2</v>
      </c>
      <c r="W4996">
        <v>0.17001550000000001</v>
      </c>
      <c r="X4996">
        <v>0.98091950000000006</v>
      </c>
      <c r="Y4996">
        <v>-6.4137250000000007E-2</v>
      </c>
      <c r="Z4996">
        <v>1.4401229999999999E-2</v>
      </c>
      <c r="AA4996">
        <v>0.99783719999999998</v>
      </c>
      <c r="AB4996">
        <v>24</v>
      </c>
      <c r="AC4996">
        <v>19.308800000000002</v>
      </c>
      <c r="AD4996">
        <v>-1.110578991963</v>
      </c>
      <c r="AE4996">
        <v>-4.24864</v>
      </c>
      <c r="AF4996">
        <v>-1.2800347302285</v>
      </c>
      <c r="AG4996">
        <v>-1.110578991963</v>
      </c>
      <c r="AH4996">
        <v>19.666902794766798</v>
      </c>
      <c r="AI4996">
        <v>93.225218498157005</v>
      </c>
      <c r="AJ4996">
        <v>93.723885261915598</v>
      </c>
      <c r="AK4996">
        <v>19.7397806509289</v>
      </c>
      <c r="AL4996">
        <v>80.211279887151093</v>
      </c>
      <c r="AM4996">
        <v>95.4909701188284</v>
      </c>
      <c r="AN4996">
        <v>1.00000001492315</v>
      </c>
    </row>
    <row r="4997" spans="1:40" x14ac:dyDescent="0.25">
      <c r="A4997" t="str">
        <f>"20190304155518711"</f>
        <v>20190304155518711</v>
      </c>
      <c r="B4997" t="str">
        <f>"1551686118703021"</f>
        <v>1551686118703021</v>
      </c>
      <c r="C4997" t="s">
        <v>40</v>
      </c>
      <c r="D4997">
        <v>4.8379059999999896</v>
      </c>
      <c r="E4997">
        <v>0.50858000000000003</v>
      </c>
      <c r="F4997" t="s">
        <v>95</v>
      </c>
      <c r="G4997">
        <v>-255.00049999999999</v>
      </c>
      <c r="H4997" s="1">
        <v>-1.9515019999999999E-6</v>
      </c>
      <c r="I4997">
        <v>-63.39734</v>
      </c>
      <c r="J4997">
        <v>-274.2885</v>
      </c>
      <c r="K4997">
        <v>1.110598</v>
      </c>
      <c r="L4997">
        <v>-59.167789999999997</v>
      </c>
      <c r="M4997">
        <v>0.96063299999999996</v>
      </c>
      <c r="N4997">
        <v>-1.136844E-2</v>
      </c>
      <c r="O4997">
        <v>-0.27758749999999999</v>
      </c>
      <c r="P4997">
        <v>0.97038749999999996</v>
      </c>
      <c r="Q4997">
        <v>0.15895580000000001</v>
      </c>
      <c r="R4997">
        <v>-0.18188260000000001</v>
      </c>
      <c r="S4997">
        <v>2.9961549999999999</v>
      </c>
      <c r="T4997">
        <v>-0.1714164</v>
      </c>
      <c r="U4997">
        <v>-0.65829469999999901</v>
      </c>
      <c r="V4997">
        <v>-9.4800140000000005E-2</v>
      </c>
      <c r="W4997">
        <v>0.1700352</v>
      </c>
      <c r="X4997">
        <v>0.98086739999999994</v>
      </c>
      <c r="Y4997">
        <v>-6.4594949999999998E-2</v>
      </c>
      <c r="Z4997">
        <v>1.443242E-2</v>
      </c>
      <c r="AA4997">
        <v>0.99780720000000001</v>
      </c>
      <c r="AB4997">
        <v>24</v>
      </c>
      <c r="AC4997">
        <v>19.288</v>
      </c>
      <c r="AD4997">
        <v>-1.110599951502</v>
      </c>
      <c r="AE4997">
        <v>-4.2295499999999899</v>
      </c>
      <c r="AF4997">
        <v>-1.2870745084486901</v>
      </c>
      <c r="AG4997">
        <v>-1.110599951502</v>
      </c>
      <c r="AH4997">
        <v>19.641900824099899</v>
      </c>
      <c r="AI4997">
        <v>93.229283511446297</v>
      </c>
      <c r="AJ4997">
        <v>93.749059834618294</v>
      </c>
      <c r="AK4997">
        <v>19.715330609106001</v>
      </c>
      <c r="AL4997">
        <v>80.210133802296397</v>
      </c>
      <c r="AM4997">
        <v>95.520450148292099</v>
      </c>
      <c r="AN4997">
        <v>0.99999994608290799</v>
      </c>
    </row>
    <row r="4998" spans="1:40" x14ac:dyDescent="0.25">
      <c r="A4998" t="str">
        <f>"20190304155518723"</f>
        <v>20190304155518723</v>
      </c>
      <c r="B4998" t="str">
        <f>"1551686118712782"</f>
        <v>1551686118712782</v>
      </c>
      <c r="C4998" t="s">
        <v>40</v>
      </c>
      <c r="D4998">
        <v>4.8120310000000002</v>
      </c>
      <c r="E4998">
        <v>0.50869330000000001</v>
      </c>
      <c r="F4998" t="s">
        <v>95</v>
      </c>
      <c r="G4998">
        <v>-254.85050000000001</v>
      </c>
      <c r="H4998" s="1">
        <v>-1.8942180000000001E-6</v>
      </c>
      <c r="I4998">
        <v>-63.429229999999997</v>
      </c>
      <c r="J4998">
        <v>-274.16910000000001</v>
      </c>
      <c r="K4998">
        <v>1.1106180000000001</v>
      </c>
      <c r="L4998">
        <v>-59.201999999999998</v>
      </c>
      <c r="M4998">
        <v>0.96071019999999896</v>
      </c>
      <c r="N4998">
        <v>-1.136656E-2</v>
      </c>
      <c r="O4998">
        <v>-0.27732069999999998</v>
      </c>
      <c r="P4998">
        <v>0.97054890000000005</v>
      </c>
      <c r="Q4998">
        <v>0.15887279999999901</v>
      </c>
      <c r="R4998">
        <v>-0.18109120000000001</v>
      </c>
      <c r="S4998">
        <v>2.9964599999999999</v>
      </c>
      <c r="T4998">
        <v>-0.171204</v>
      </c>
      <c r="U4998">
        <v>-0.65692139999999999</v>
      </c>
      <c r="V4998">
        <v>-9.5339980000000005E-2</v>
      </c>
      <c r="W4998">
        <v>0.16994500000000001</v>
      </c>
      <c r="X4998">
        <v>0.9808308</v>
      </c>
      <c r="Y4998">
        <v>-6.4776390000000003E-2</v>
      </c>
      <c r="Z4998">
        <v>1.440573E-2</v>
      </c>
      <c r="AA4998">
        <v>0.99779580000000001</v>
      </c>
      <c r="AB4998">
        <v>24</v>
      </c>
      <c r="AC4998">
        <v>19.3186</v>
      </c>
      <c r="AD4998">
        <v>-1.1106198942179999</v>
      </c>
      <c r="AE4998">
        <v>-4.2272299999999996</v>
      </c>
      <c r="AF4998">
        <v>-1.29231239715605</v>
      </c>
      <c r="AG4998">
        <v>-1.1106198942179999</v>
      </c>
      <c r="AH4998">
        <v>19.671105140044201</v>
      </c>
      <c r="AI4998">
        <v>93.224521598839004</v>
      </c>
      <c r="AJ4998">
        <v>93.758700739526802</v>
      </c>
      <c r="AK4998">
        <v>19.744769568469302</v>
      </c>
      <c r="AL4998">
        <v>80.215379103812396</v>
      </c>
      <c r="AM4998">
        <v>95.551896411621399</v>
      </c>
      <c r="AN4998">
        <v>1.0000000365200099</v>
      </c>
    </row>
    <row r="4999" spans="1:40" x14ac:dyDescent="0.25">
      <c r="A4999" t="str">
        <f>"20190304155518735"</f>
        <v>20190304155518735</v>
      </c>
      <c r="B4999" t="str">
        <f>"1551686118722542"</f>
        <v>1551686118722542</v>
      </c>
      <c r="C4999" t="s">
        <v>40</v>
      </c>
      <c r="D4999">
        <v>4.8154849999999998</v>
      </c>
      <c r="E4999">
        <v>0.50874390000000003</v>
      </c>
      <c r="F4999" t="s">
        <v>95</v>
      </c>
      <c r="G4999">
        <v>-254.7578</v>
      </c>
      <c r="H4999" s="1">
        <v>-1.858404E-6</v>
      </c>
      <c r="I4999">
        <v>-63.446939999999998</v>
      </c>
      <c r="J4999">
        <v>-274.041</v>
      </c>
      <c r="K4999">
        <v>1.1106370000000001</v>
      </c>
      <c r="L4999">
        <v>-59.238619999999997</v>
      </c>
      <c r="M4999">
        <v>0.9608006</v>
      </c>
      <c r="N4999">
        <v>-1.136477E-2</v>
      </c>
      <c r="O4999">
        <v>-0.27700789999999997</v>
      </c>
      <c r="P4999">
        <v>0.97064059999999996</v>
      </c>
      <c r="Q4999">
        <v>0.15937000000000001</v>
      </c>
      <c r="R4999">
        <v>-0.1801625</v>
      </c>
      <c r="S4999">
        <v>2.9968569999999999</v>
      </c>
      <c r="T4999">
        <v>-0.17146529999999999</v>
      </c>
      <c r="U4999">
        <v>-0.65536499999999998</v>
      </c>
      <c r="V4999">
        <v>-9.5946279999999995E-2</v>
      </c>
      <c r="W4999">
        <v>0.17043359999999999</v>
      </c>
      <c r="X4999">
        <v>0.98068679999999997</v>
      </c>
      <c r="Y4999">
        <v>-6.4972180000000004E-2</v>
      </c>
      <c r="Z4999">
        <v>1.442471E-2</v>
      </c>
      <c r="AA4999">
        <v>0.99778279999999997</v>
      </c>
      <c r="AB4999">
        <v>24</v>
      </c>
      <c r="AC4999">
        <v>19.283199999999901</v>
      </c>
      <c r="AD4999">
        <v>-1.1106388584039999</v>
      </c>
      <c r="AE4999">
        <v>-4.2083199999999996</v>
      </c>
      <c r="AF4999">
        <v>-1.29422780848149</v>
      </c>
      <c r="AG4999">
        <v>-1.1106388584039999</v>
      </c>
      <c r="AH4999">
        <v>19.632151309935399</v>
      </c>
      <c r="AI4999">
        <v>93.230913008113802</v>
      </c>
      <c r="AJ4999">
        <v>93.771703167414302</v>
      </c>
      <c r="AK4999">
        <v>19.706088129059001</v>
      </c>
      <c r="AL4999">
        <v>80.186969080646406</v>
      </c>
      <c r="AM4999">
        <v>95.587795342037893</v>
      </c>
      <c r="AN4999">
        <v>0.99999995017451704</v>
      </c>
    </row>
    <row r="5000" spans="1:40" x14ac:dyDescent="0.25">
      <c r="A5000" t="str">
        <f>"20190304155518750"</f>
        <v>20190304155518750</v>
      </c>
      <c r="B5000" t="str">
        <f>"1551686118743037"</f>
        <v>1551686118743037</v>
      </c>
      <c r="C5000" t="s">
        <v>40</v>
      </c>
      <c r="D5000">
        <v>4.8235349999999997</v>
      </c>
      <c r="E5000">
        <v>0.50886500000000001</v>
      </c>
      <c r="F5000" t="s">
        <v>95</v>
      </c>
      <c r="G5000">
        <v>-254.41679999999999</v>
      </c>
      <c r="H5000" s="1">
        <v>-1.7274219999999999E-6</v>
      </c>
      <c r="I5000">
        <v>-63.515839999999997</v>
      </c>
      <c r="J5000">
        <v>-273.88979999999998</v>
      </c>
      <c r="K5000">
        <v>1.1106560000000001</v>
      </c>
      <c r="L5000">
        <v>-59.281770000000002</v>
      </c>
      <c r="M5000">
        <v>0.96091309999999996</v>
      </c>
      <c r="N5000">
        <v>-1.1362819999999999E-2</v>
      </c>
      <c r="O5000">
        <v>-0.27661729999999901</v>
      </c>
      <c r="P5000">
        <v>0.97083909999999995</v>
      </c>
      <c r="Q5000">
        <v>0.15981719999999999</v>
      </c>
      <c r="R5000">
        <v>-0.178690299999999</v>
      </c>
      <c r="S5000">
        <v>2.9973450000000001</v>
      </c>
      <c r="T5000">
        <v>-0.1696357</v>
      </c>
      <c r="U5000">
        <v>-0.65328980000000003</v>
      </c>
      <c r="V5000">
        <v>-9.7026950000000001E-2</v>
      </c>
      <c r="W5000">
        <v>0.1708701</v>
      </c>
      <c r="X5000">
        <v>0.98050459999999995</v>
      </c>
      <c r="Y5000">
        <v>-6.5269010000000002E-2</v>
      </c>
      <c r="Z5000">
        <v>1.4234170000000001E-2</v>
      </c>
      <c r="AA5000">
        <v>0.99776620000000005</v>
      </c>
      <c r="AB5000">
        <v>24</v>
      </c>
      <c r="AC5000">
        <v>19.4729999999999</v>
      </c>
      <c r="AD5000">
        <v>-1.110657727422</v>
      </c>
      <c r="AE5000">
        <v>-4.2340700000000098</v>
      </c>
      <c r="AF5000">
        <v>-1.31399871765509</v>
      </c>
      <c r="AG5000">
        <v>-1.110657727422</v>
      </c>
      <c r="AH5000">
        <v>19.822785164867099</v>
      </c>
      <c r="AI5000">
        <v>93.199884378490793</v>
      </c>
      <c r="AJ5000">
        <v>93.792433813956094</v>
      </c>
      <c r="AK5000">
        <v>19.8973104943849</v>
      </c>
      <c r="AL5000">
        <v>80.161588099565193</v>
      </c>
      <c r="AM5000">
        <v>95.651370404339602</v>
      </c>
      <c r="AN5000">
        <v>1.0000000453607301</v>
      </c>
    </row>
    <row r="5001" spans="1:40" x14ac:dyDescent="0.25">
      <c r="A5001" t="str">
        <f>"20190304155518762"</f>
        <v>20190304155518762</v>
      </c>
      <c r="B5001" t="str">
        <f>"1551686118752797"</f>
        <v>1551686118752797</v>
      </c>
      <c r="C5001" t="s">
        <v>40</v>
      </c>
      <c r="D5001">
        <v>4.8269289999999998</v>
      </c>
      <c r="E5001">
        <v>0.50901160000000001</v>
      </c>
      <c r="F5001" t="s">
        <v>95</v>
      </c>
      <c r="G5001">
        <v>-254.05289999999999</v>
      </c>
      <c r="H5001" s="1">
        <v>-1.5861280000000001E-6</v>
      </c>
      <c r="I5001">
        <v>-63.582439999999998</v>
      </c>
      <c r="J5001">
        <v>-273.77190000000002</v>
      </c>
      <c r="K5001">
        <v>1.1106750000000001</v>
      </c>
      <c r="L5001">
        <v>-59.315399999999997</v>
      </c>
      <c r="M5001">
        <v>0.96100379999999996</v>
      </c>
      <c r="N5001">
        <v>-1.136129E-2</v>
      </c>
      <c r="O5001">
        <v>-0.27630159999999998</v>
      </c>
      <c r="P5001">
        <v>0.97091660000000002</v>
      </c>
      <c r="Q5001">
        <v>0.1603253</v>
      </c>
      <c r="R5001">
        <v>-0.17781140000000001</v>
      </c>
      <c r="S5001">
        <v>2.9981080000000002</v>
      </c>
      <c r="T5001">
        <v>-0.16786229999999999</v>
      </c>
      <c r="U5001">
        <v>-0.64999390000000001</v>
      </c>
      <c r="V5001">
        <v>-9.7577979999999995E-2</v>
      </c>
      <c r="W5001">
        <v>0.17136999999999999</v>
      </c>
      <c r="X5001">
        <v>0.98036259999999997</v>
      </c>
      <c r="Y5001">
        <v>-6.6049350000000007E-2</v>
      </c>
      <c r="Z5001">
        <v>1.4067990000000001E-2</v>
      </c>
      <c r="AA5001">
        <v>0.99771719999999997</v>
      </c>
      <c r="AB5001">
        <v>24</v>
      </c>
      <c r="AC5001">
        <v>19.719000000000001</v>
      </c>
      <c r="AD5001">
        <v>-1.1106765861279999</v>
      </c>
      <c r="AE5001">
        <v>-4.2670399999999997</v>
      </c>
      <c r="AF5001">
        <v>-1.3437641811895</v>
      </c>
      <c r="AG5001">
        <v>-1.1106765861279999</v>
      </c>
      <c r="AH5001">
        <v>20.069500611890302</v>
      </c>
      <c r="AI5001">
        <v>93.160542029507596</v>
      </c>
      <c r="AJ5001">
        <v>93.830552306815505</v>
      </c>
      <c r="AK5001">
        <v>20.145077797424499</v>
      </c>
      <c r="AL5001">
        <v>80.132516530561205</v>
      </c>
      <c r="AM5001">
        <v>95.684073627333703</v>
      </c>
      <c r="AN5001">
        <v>0.99999998327981998</v>
      </c>
    </row>
    <row r="5002" spans="1:40" x14ac:dyDescent="0.25">
      <c r="A5002" t="str">
        <f>"20190304155518773"</f>
        <v>20190304155518773</v>
      </c>
      <c r="B5002" t="str">
        <f>"1551686118762557"</f>
        <v>1551686118762557</v>
      </c>
      <c r="C5002" t="s">
        <v>40</v>
      </c>
      <c r="D5002">
        <v>4.8385319999999998</v>
      </c>
      <c r="E5002">
        <v>0.50915569999999999</v>
      </c>
      <c r="F5002" t="s">
        <v>95</v>
      </c>
      <c r="G5002">
        <v>-253.68870000000001</v>
      </c>
      <c r="H5002" s="1">
        <v>-1.4466879999999999E-6</v>
      </c>
      <c r="I5002">
        <v>-63.657890000000002</v>
      </c>
      <c r="J5002">
        <v>-273.64640000000003</v>
      </c>
      <c r="K5002">
        <v>1.1107</v>
      </c>
      <c r="L5002">
        <v>-59.351010000000002</v>
      </c>
      <c r="M5002">
        <v>0.96110819999999997</v>
      </c>
      <c r="N5002">
        <v>-1.135735E-2</v>
      </c>
      <c r="O5002">
        <v>-0.27593830000000003</v>
      </c>
      <c r="P5002">
        <v>0.9709795</v>
      </c>
      <c r="Q5002">
        <v>0.16071849999999999</v>
      </c>
      <c r="R5002">
        <v>-0.177111299999999</v>
      </c>
      <c r="S5002">
        <v>2.9984739999999999</v>
      </c>
      <c r="T5002">
        <v>-0.165827</v>
      </c>
      <c r="U5002">
        <v>-0.64834590000000003</v>
      </c>
      <c r="V5002">
        <v>-9.7905580000000006E-2</v>
      </c>
      <c r="W5002">
        <v>0.17175379999999901</v>
      </c>
      <c r="X5002">
        <v>0.98026279999999999</v>
      </c>
      <c r="Y5002">
        <v>-6.6231310000000002E-2</v>
      </c>
      <c r="Z5002">
        <v>1.38554E-2</v>
      </c>
      <c r="AA5002">
        <v>0.99770809999999999</v>
      </c>
      <c r="AB5002">
        <v>24</v>
      </c>
      <c r="AC5002">
        <v>19.957699999999999</v>
      </c>
      <c r="AD5002">
        <v>-1.1107014466879901</v>
      </c>
      <c r="AE5002">
        <v>-4.3068799999999996</v>
      </c>
      <c r="AF5002">
        <v>-1.36376845487551</v>
      </c>
      <c r="AG5002">
        <v>-1.1107014466879901</v>
      </c>
      <c r="AH5002">
        <v>20.311148034156801</v>
      </c>
      <c r="AI5002">
        <v>93.123045642547396</v>
      </c>
      <c r="AJ5002">
        <v>93.841292961580507</v>
      </c>
      <c r="AK5002">
        <v>20.387159109783301</v>
      </c>
      <c r="AL5002">
        <v>80.110195767266902</v>
      </c>
      <c r="AM5002">
        <v>95.703608058870202</v>
      </c>
      <c r="AN5002">
        <v>1.0000000137367</v>
      </c>
    </row>
    <row r="5003" spans="1:40" x14ac:dyDescent="0.25">
      <c r="A5003" t="str">
        <f>"20190304155518785"</f>
        <v>20190304155518785</v>
      </c>
      <c r="B5003" t="str">
        <f>"1551686118783053"</f>
        <v>1551686118783053</v>
      </c>
      <c r="C5003" t="s">
        <v>40</v>
      </c>
      <c r="D5003">
        <v>4.8372840000000004</v>
      </c>
      <c r="E5003">
        <v>0.50946340000000001</v>
      </c>
      <c r="F5003" t="s">
        <v>95</v>
      </c>
      <c r="G5003">
        <v>-253.37569999999999</v>
      </c>
      <c r="H5003" s="1">
        <v>-1.327852E-6</v>
      </c>
      <c r="I5003">
        <v>-63.727429999999998</v>
      </c>
      <c r="J5003">
        <v>-273.52800000000002</v>
      </c>
      <c r="K5003">
        <v>1.1107149999999999</v>
      </c>
      <c r="L5003">
        <v>-59.384639999999997</v>
      </c>
      <c r="M5003">
        <v>0.96120939999999999</v>
      </c>
      <c r="N5003">
        <v>-1.135186E-2</v>
      </c>
      <c r="O5003">
        <v>-0.27558589999999999</v>
      </c>
      <c r="P5003">
        <v>0.97104270000000004</v>
      </c>
      <c r="Q5003">
        <v>0.16134209999999999</v>
      </c>
      <c r="R5003">
        <v>-0.17619580000000001</v>
      </c>
      <c r="S5003">
        <v>2.9987789999999999</v>
      </c>
      <c r="T5003">
        <v>-0.16431309999999999</v>
      </c>
      <c r="U5003">
        <v>-0.64743039999999996</v>
      </c>
      <c r="V5003">
        <v>-9.8451140000000006E-2</v>
      </c>
      <c r="W5003">
        <v>0.17236489999999999</v>
      </c>
      <c r="X5003">
        <v>0.98010090000000005</v>
      </c>
      <c r="Y5003">
        <v>-6.6185300000000002E-2</v>
      </c>
      <c r="Z5003">
        <v>1.3688499999999999E-2</v>
      </c>
      <c r="AA5003">
        <v>0.99771339999999997</v>
      </c>
      <c r="AB5003">
        <v>24</v>
      </c>
      <c r="AC5003">
        <v>20.1523</v>
      </c>
      <c r="AD5003">
        <v>-1.11071632785199</v>
      </c>
      <c r="AE5003">
        <v>-4.3427899999999999</v>
      </c>
      <c r="AF5003">
        <v>-1.3754551629810401</v>
      </c>
      <c r="AG5003">
        <v>-1.11071632785199</v>
      </c>
      <c r="AH5003">
        <v>20.509180006072</v>
      </c>
      <c r="AI5003">
        <v>93.093006605550002</v>
      </c>
      <c r="AJ5003">
        <v>93.836815549738503</v>
      </c>
      <c r="AK5003">
        <v>20.585238210615699</v>
      </c>
      <c r="AL5003">
        <v>80.074652403485302</v>
      </c>
      <c r="AM5003">
        <v>95.736120086974495</v>
      </c>
      <c r="AN5003">
        <v>1.00000002995005</v>
      </c>
    </row>
    <row r="5004" spans="1:40" x14ac:dyDescent="0.25">
      <c r="A5004" t="str">
        <f>"20190304155518797"</f>
        <v>20190304155518797</v>
      </c>
      <c r="B5004" t="str">
        <f>"1551686118792813"</f>
        <v>1551686118792813</v>
      </c>
      <c r="C5004" t="s">
        <v>40</v>
      </c>
      <c r="D5004">
        <v>4.8032300000000001</v>
      </c>
      <c r="E5004">
        <v>0.50958029999999999</v>
      </c>
      <c r="F5004" t="s">
        <v>95</v>
      </c>
      <c r="G5004">
        <v>-252.93860000000001</v>
      </c>
      <c r="H5004" s="1">
        <v>-1.1622770000000001E-6</v>
      </c>
      <c r="I5004">
        <v>-63.826009999999997</v>
      </c>
      <c r="J5004">
        <v>-273.40339999999998</v>
      </c>
      <c r="K5004">
        <v>1.1107320000000001</v>
      </c>
      <c r="L5004">
        <v>-59.419919999999998</v>
      </c>
      <c r="M5004">
        <v>0.96132099999999998</v>
      </c>
      <c r="N5004">
        <v>-1.1342710000000001E-2</v>
      </c>
      <c r="O5004">
        <v>-0.27519769999999999</v>
      </c>
      <c r="P5004">
        <v>0.97121440000000003</v>
      </c>
      <c r="Q5004">
        <v>0.16120110000000001</v>
      </c>
      <c r="R5004">
        <v>-0.17537829999999999</v>
      </c>
      <c r="S5004">
        <v>2.9989620000000001</v>
      </c>
      <c r="T5004">
        <v>-0.16178239999999999</v>
      </c>
      <c r="U5004">
        <v>-0.64691160000000003</v>
      </c>
      <c r="V5004">
        <v>-9.8895949999999996E-2</v>
      </c>
      <c r="W5004">
        <v>0.1722099</v>
      </c>
      <c r="X5004">
        <v>0.98008329999999999</v>
      </c>
      <c r="Y5004">
        <v>-6.5972569999999994E-2</v>
      </c>
      <c r="Z5004">
        <v>1.3414870000000001E-2</v>
      </c>
      <c r="AA5004">
        <v>0.99773129999999999</v>
      </c>
      <c r="AB5004">
        <v>24</v>
      </c>
      <c r="AC5004">
        <v>20.464799999999901</v>
      </c>
      <c r="AD5004">
        <v>-1.110733162277</v>
      </c>
      <c r="AE5004">
        <v>-4.4060899999999901</v>
      </c>
      <c r="AF5004">
        <v>-1.39236857988812</v>
      </c>
      <c r="AG5004">
        <v>-1.110733162277</v>
      </c>
      <c r="AH5004">
        <v>20.828487764141801</v>
      </c>
      <c r="AI5004">
        <v>93.045769600246203</v>
      </c>
      <c r="AJ5004">
        <v>93.824489110091903</v>
      </c>
      <c r="AK5004">
        <v>20.904504800665499</v>
      </c>
      <c r="AL5004">
        <v>80.083667429740999</v>
      </c>
      <c r="AM5004">
        <v>95.761965115904403</v>
      </c>
      <c r="AN5004">
        <v>0.99999996676165004</v>
      </c>
    </row>
    <row r="5005" spans="1:40" x14ac:dyDescent="0.25">
      <c r="A5005" t="str">
        <f>"20190304155518809"</f>
        <v>20190304155518809</v>
      </c>
      <c r="B5005" t="str">
        <f>"1551686118802574"</f>
        <v>1551686118802574</v>
      </c>
      <c r="C5005" t="s">
        <v>40</v>
      </c>
      <c r="D5005">
        <v>4.8500459999999999</v>
      </c>
      <c r="E5005">
        <v>0.50972519999999999</v>
      </c>
      <c r="F5005" t="s">
        <v>95</v>
      </c>
      <c r="G5005">
        <v>-252.8535</v>
      </c>
      <c r="H5005" s="1">
        <v>-1.129049E-6</v>
      </c>
      <c r="I5005">
        <v>-63.840739999999997</v>
      </c>
      <c r="J5005">
        <v>-273.28629999999998</v>
      </c>
      <c r="K5005">
        <v>1.1107499999999999</v>
      </c>
      <c r="L5005">
        <v>-59.453000000000003</v>
      </c>
      <c r="M5005">
        <v>0.96143120000000004</v>
      </c>
      <c r="N5005">
        <v>-1.13271E-2</v>
      </c>
      <c r="O5005">
        <v>-0.27481260000000002</v>
      </c>
      <c r="P5005">
        <v>0.97127350000000001</v>
      </c>
      <c r="Q5005">
        <v>0.16151299999999999</v>
      </c>
      <c r="R5005">
        <v>-0.174761</v>
      </c>
      <c r="S5005">
        <v>2.9993289999999999</v>
      </c>
      <c r="T5005">
        <v>-0.16211529999999999</v>
      </c>
      <c r="U5005">
        <v>-0.64523319999999995</v>
      </c>
      <c r="V5005">
        <v>-9.9120769999999997E-2</v>
      </c>
      <c r="W5005">
        <v>0.1725006</v>
      </c>
      <c r="X5005">
        <v>0.98000949999999998</v>
      </c>
      <c r="Y5005">
        <v>-6.6129880000000002E-2</v>
      </c>
      <c r="Z5005">
        <v>1.344102E-2</v>
      </c>
      <c r="AA5005">
        <v>0.99772050000000001</v>
      </c>
      <c r="AB5005">
        <v>24</v>
      </c>
      <c r="AC5005">
        <v>20.432799999999901</v>
      </c>
      <c r="AD5005">
        <v>-1.110751129049</v>
      </c>
      <c r="AE5005">
        <v>-4.38774</v>
      </c>
      <c r="AF5005">
        <v>-1.3928356287871</v>
      </c>
      <c r="AG5005">
        <v>-1.110751129049</v>
      </c>
      <c r="AH5005">
        <v>20.7931351025209</v>
      </c>
      <c r="AI5005">
        <v>93.050959911285503</v>
      </c>
      <c r="AJ5005">
        <v>93.832253404844806</v>
      </c>
      <c r="AK5005">
        <v>20.869313034960999</v>
      </c>
      <c r="AL5005">
        <v>80.066758855718504</v>
      </c>
      <c r="AM5005">
        <v>95.775407294435894</v>
      </c>
      <c r="AN5005">
        <v>1.000000002068</v>
      </c>
    </row>
    <row r="5006" spans="1:40" x14ac:dyDescent="0.25">
      <c r="A5006" t="str">
        <f>"20190304155518824"</f>
        <v>20190304155518824</v>
      </c>
      <c r="B5006" t="str">
        <f>"1551686118813309"</f>
        <v>1551686118813309</v>
      </c>
      <c r="C5006" t="s">
        <v>40</v>
      </c>
      <c r="D5006">
        <v>4.8190869999999997</v>
      </c>
      <c r="E5006">
        <v>0.50989259999999903</v>
      </c>
      <c r="F5006" t="s">
        <v>95</v>
      </c>
      <c r="G5006">
        <v>-252.55160000000001</v>
      </c>
      <c r="H5006" s="1">
        <v>-1.0144660000000001E-6</v>
      </c>
      <c r="I5006">
        <v>-63.907960000000003</v>
      </c>
      <c r="J5006">
        <v>-273.13869999999997</v>
      </c>
      <c r="K5006">
        <v>1.1107720000000001</v>
      </c>
      <c r="L5006">
        <v>-59.494630000000001</v>
      </c>
      <c r="M5006">
        <v>0.96157530000000002</v>
      </c>
      <c r="N5006">
        <v>-1.130104E-2</v>
      </c>
      <c r="O5006">
        <v>-0.2743083</v>
      </c>
      <c r="P5006">
        <v>0.97150110000000001</v>
      </c>
      <c r="Q5006">
        <v>0.1610424</v>
      </c>
      <c r="R5006">
        <v>-0.1739279</v>
      </c>
      <c r="S5006">
        <v>2.9994200000000002</v>
      </c>
      <c r="T5006">
        <v>-0.16067779999999901</v>
      </c>
      <c r="U5006">
        <v>-0.64443969999999995</v>
      </c>
      <c r="V5006">
        <v>-9.9479650000000003E-2</v>
      </c>
      <c r="W5006">
        <v>0.1719976</v>
      </c>
      <c r="X5006">
        <v>0.98006150000000003</v>
      </c>
      <c r="Y5006">
        <v>-6.5872529999999999E-2</v>
      </c>
      <c r="Z5006">
        <v>1.3276049999999999E-2</v>
      </c>
      <c r="AA5006">
        <v>0.99773970000000001</v>
      </c>
      <c r="AB5006">
        <v>24</v>
      </c>
      <c r="AC5006">
        <v>20.5870999999999</v>
      </c>
      <c r="AD5006">
        <v>-1.110773014466</v>
      </c>
      <c r="AE5006">
        <v>-4.4133299999999798</v>
      </c>
      <c r="AF5006">
        <v>-1.3996574948303799</v>
      </c>
      <c r="AG5006">
        <v>-1.110773014466</v>
      </c>
      <c r="AH5006">
        <v>20.949695879731799</v>
      </c>
      <c r="AI5006">
        <v>93.028296919798095</v>
      </c>
      <c r="AJ5006">
        <v>93.822273448147897</v>
      </c>
      <c r="AK5006">
        <v>21.025760753079801</v>
      </c>
      <c r="AL5006">
        <v>80.096015500047002</v>
      </c>
      <c r="AM5006">
        <v>95.795870371461902</v>
      </c>
      <c r="AN5006">
        <v>0.99999995947606501</v>
      </c>
    </row>
    <row r="5007" spans="1:40" x14ac:dyDescent="0.25">
      <c r="A5007" t="str">
        <f>"20190304155518837"</f>
        <v>20190304155518837</v>
      </c>
      <c r="B5007" t="str">
        <f>"1551686118832831"</f>
        <v>1551686118832831</v>
      </c>
      <c r="C5007" t="s">
        <v>40</v>
      </c>
      <c r="D5007">
        <v>4.798394</v>
      </c>
      <c r="E5007">
        <v>0.5101715</v>
      </c>
      <c r="F5007" t="s">
        <v>95</v>
      </c>
      <c r="G5007">
        <v>-252.54750000000001</v>
      </c>
      <c r="H5007" s="1">
        <v>-1.012482E-6</v>
      </c>
      <c r="I5007">
        <v>-63.906939999999999</v>
      </c>
      <c r="J5007">
        <v>-272.98329999999999</v>
      </c>
      <c r="K5007">
        <v>1.110792</v>
      </c>
      <c r="L5007">
        <v>-59.5383</v>
      </c>
      <c r="M5007">
        <v>0.96173929999999996</v>
      </c>
      <c r="N5007">
        <v>-1.125986E-2</v>
      </c>
      <c r="O5007">
        <v>-0.27373509999999901</v>
      </c>
      <c r="P5007">
        <v>0.9716494</v>
      </c>
      <c r="Q5007">
        <v>0.1611263</v>
      </c>
      <c r="R5007">
        <v>-0.17302049999999999</v>
      </c>
      <c r="S5007">
        <v>2.9997560000000001</v>
      </c>
      <c r="T5007">
        <v>-0.16181870000000001</v>
      </c>
      <c r="U5007">
        <v>-0.64279169999999997</v>
      </c>
      <c r="V5007">
        <v>-9.9821090000000001E-2</v>
      </c>
      <c r="W5007">
        <v>0.17203280000000001</v>
      </c>
      <c r="X5007">
        <v>0.98002060000000002</v>
      </c>
      <c r="Y5007">
        <v>-6.5819260000000004E-2</v>
      </c>
      <c r="Z5007">
        <v>1.337466E-2</v>
      </c>
      <c r="AA5007">
        <v>0.99774189999999996</v>
      </c>
      <c r="AB5007">
        <v>24</v>
      </c>
      <c r="AC5007">
        <v>20.435799999999901</v>
      </c>
      <c r="AD5007">
        <v>-1.110793012482</v>
      </c>
      <c r="AE5007">
        <v>-4.3686400000000001</v>
      </c>
      <c r="AF5007">
        <v>-1.38866763685848</v>
      </c>
      <c r="AG5007">
        <v>-1.110793012482</v>
      </c>
      <c r="AH5007">
        <v>20.792335995608099</v>
      </c>
      <c r="AI5007">
        <v>93.051231906244695</v>
      </c>
      <c r="AJ5007">
        <v>93.820966004047193</v>
      </c>
      <c r="AK5007">
        <v>20.868241302910398</v>
      </c>
      <c r="AL5007">
        <v>80.093968130411497</v>
      </c>
      <c r="AM5007">
        <v>95.815868227733105</v>
      </c>
      <c r="AN5007">
        <v>0.99999995535449304</v>
      </c>
    </row>
    <row r="5008" spans="1:40" x14ac:dyDescent="0.25">
      <c r="A5008" t="str">
        <f>"20190304155518852"</f>
        <v>20190304155518852</v>
      </c>
      <c r="B5008" t="str">
        <f>"1551686118842589"</f>
        <v>1551686118842589</v>
      </c>
      <c r="C5008" t="s">
        <v>40</v>
      </c>
      <c r="D5008">
        <v>4.8479919999999996</v>
      </c>
      <c r="E5008">
        <v>0.51035549999999996</v>
      </c>
      <c r="F5008" t="s">
        <v>95</v>
      </c>
      <c r="G5008">
        <v>-252.32069999999999</v>
      </c>
      <c r="H5008" s="1">
        <v>-9.2722640000000004E-7</v>
      </c>
      <c r="I5008">
        <v>-63.961060000000003</v>
      </c>
      <c r="J5008">
        <v>-272.84449999999998</v>
      </c>
      <c r="K5008">
        <v>1.110803</v>
      </c>
      <c r="L5008">
        <v>-59.577210000000001</v>
      </c>
      <c r="M5008">
        <v>0.96189530000000001</v>
      </c>
      <c r="N5008">
        <v>-1.121691E-2</v>
      </c>
      <c r="O5008">
        <v>-0.27318779999999998</v>
      </c>
      <c r="P5008">
        <v>0.9719546</v>
      </c>
      <c r="Q5008">
        <v>0.16085250000000001</v>
      </c>
      <c r="R5008">
        <v>-0.1715544</v>
      </c>
      <c r="S5008">
        <v>2.999908</v>
      </c>
      <c r="T5008">
        <v>-0.16127069999999999</v>
      </c>
      <c r="U5008">
        <v>-0.64212040000000004</v>
      </c>
      <c r="V5008">
        <v>-0.100769</v>
      </c>
      <c r="W5008">
        <v>0.17170729999999901</v>
      </c>
      <c r="X5008">
        <v>0.97998070000000004</v>
      </c>
      <c r="Y5008">
        <v>-6.5478519999999998E-2</v>
      </c>
      <c r="Z5008">
        <v>1.329779E-2</v>
      </c>
      <c r="AA5008">
        <v>0.99776540000000002</v>
      </c>
      <c r="AB5008">
        <v>24</v>
      </c>
      <c r="AC5008">
        <v>20.523799999999898</v>
      </c>
      <c r="AD5008">
        <v>-1.1108039272263901</v>
      </c>
      <c r="AE5008">
        <v>-4.38384999999999</v>
      </c>
      <c r="AF5008">
        <v>-1.3862510215702</v>
      </c>
      <c r="AG5008">
        <v>-1.1108039272263901</v>
      </c>
      <c r="AH5008">
        <v>20.8821784318746</v>
      </c>
      <c r="AI5008">
        <v>93.038239911709198</v>
      </c>
      <c r="AJ5008">
        <v>93.797973775567101</v>
      </c>
      <c r="AK5008">
        <v>20.957598939768701</v>
      </c>
      <c r="AL5008">
        <v>80.112899864235601</v>
      </c>
      <c r="AM5008">
        <v>95.870949645845201</v>
      </c>
      <c r="AN5008">
        <v>0.99999998030338899</v>
      </c>
    </row>
    <row r="5009" spans="1:40" x14ac:dyDescent="0.25">
      <c r="A5009" t="str">
        <f>"20190304155518873"</f>
        <v>20190304155518873</v>
      </c>
      <c r="B5009" t="str">
        <f>"1551686118863085"</f>
        <v>1551686118863085</v>
      </c>
      <c r="C5009" t="s">
        <v>40</v>
      </c>
      <c r="D5009">
        <v>4.7765930000000001</v>
      </c>
      <c r="E5009">
        <v>0.5106501</v>
      </c>
      <c r="F5009" t="s">
        <v>95</v>
      </c>
      <c r="G5009">
        <v>-252.28579999999999</v>
      </c>
      <c r="H5009" s="1">
        <v>-9.1059449999999997E-7</v>
      </c>
      <c r="I5009">
        <v>-63.953600000000002</v>
      </c>
      <c r="J5009">
        <v>-272.61840000000001</v>
      </c>
      <c r="K5009">
        <v>1.1108420000000001</v>
      </c>
      <c r="L5009">
        <v>-59.64029</v>
      </c>
      <c r="M5009">
        <v>0.96216880000000005</v>
      </c>
      <c r="N5009">
        <v>-1.113804E-2</v>
      </c>
      <c r="O5009">
        <v>-0.2722271</v>
      </c>
      <c r="P5009">
        <v>0.97225050000000002</v>
      </c>
      <c r="Q5009">
        <v>0.16071189999999999</v>
      </c>
      <c r="R5009">
        <v>-0.17000379999999901</v>
      </c>
      <c r="S5009">
        <v>3.0006710000000001</v>
      </c>
      <c r="T5009">
        <v>-0.162129299999999</v>
      </c>
      <c r="U5009">
        <v>-0.63876339999999998</v>
      </c>
      <c r="V5009">
        <v>-0.1013853</v>
      </c>
      <c r="W5009">
        <v>0.17147290000000001</v>
      </c>
      <c r="X5009">
        <v>0.9799582</v>
      </c>
      <c r="Y5009">
        <v>-6.5597000000000003E-2</v>
      </c>
      <c r="Z5009">
        <v>1.33659E-2</v>
      </c>
      <c r="AA5009">
        <v>0.99775670000000005</v>
      </c>
      <c r="AB5009">
        <v>24</v>
      </c>
      <c r="AC5009">
        <v>20.332599999999999</v>
      </c>
      <c r="AD5009">
        <v>-1.1108429105944999</v>
      </c>
      <c r="AE5009">
        <v>-4.3133100000000004</v>
      </c>
      <c r="AF5009">
        <v>-1.3810932274155401</v>
      </c>
      <c r="AG5009">
        <v>-1.1108429105944999</v>
      </c>
      <c r="AH5009">
        <v>20.6798074721736</v>
      </c>
      <c r="AI5009">
        <v>93.067941585808498</v>
      </c>
      <c r="AJ5009">
        <v>93.820803502506394</v>
      </c>
      <c r="AK5009">
        <v>20.755621589366999</v>
      </c>
      <c r="AL5009">
        <v>80.126532421446996</v>
      </c>
      <c r="AM5009">
        <v>95.906737750655296</v>
      </c>
      <c r="AN5009">
        <v>1.0000000041188699</v>
      </c>
    </row>
    <row r="5010" spans="1:40" x14ac:dyDescent="0.25">
      <c r="A5010" t="str">
        <f>"20190304155518885"</f>
        <v>20190304155518885</v>
      </c>
      <c r="B5010" t="str">
        <f>"1551686118882605"</f>
        <v>1551686118882605</v>
      </c>
      <c r="C5010" t="s">
        <v>40</v>
      </c>
      <c r="D5010">
        <v>4.8047820000000003</v>
      </c>
      <c r="E5010">
        <v>0.51093109999999997</v>
      </c>
      <c r="F5010" t="s">
        <v>95</v>
      </c>
      <c r="G5010">
        <v>-252.09270000000001</v>
      </c>
      <c r="H5010" s="1">
        <v>-8.3532839999999997E-7</v>
      </c>
      <c r="I5010">
        <v>-63.987659999999998</v>
      </c>
      <c r="J5010">
        <v>-272.49160000000001</v>
      </c>
      <c r="K5010">
        <v>1.1108709999999999</v>
      </c>
      <c r="L5010">
        <v>-59.675539999999998</v>
      </c>
      <c r="M5010">
        <v>0.96233380000000002</v>
      </c>
      <c r="N5010">
        <v>-1.109039E-2</v>
      </c>
      <c r="O5010">
        <v>-0.27164460000000001</v>
      </c>
      <c r="P5010">
        <v>0.97238979999999997</v>
      </c>
      <c r="Q5010">
        <v>0.160721</v>
      </c>
      <c r="R5010">
        <v>-0.16919479999999901</v>
      </c>
      <c r="S5010">
        <v>3.001312</v>
      </c>
      <c r="T5010">
        <v>-0.16242989999999999</v>
      </c>
      <c r="U5010">
        <v>-0.63568119999999995</v>
      </c>
      <c r="V5010">
        <v>-0.10162350000000001</v>
      </c>
      <c r="W5010">
        <v>0.17142539999999901</v>
      </c>
      <c r="X5010">
        <v>0.97994179999999997</v>
      </c>
      <c r="Y5010">
        <v>-6.601456E-2</v>
      </c>
      <c r="Z5010">
        <v>1.339604E-2</v>
      </c>
      <c r="AA5010">
        <v>0.99772870000000002</v>
      </c>
      <c r="AB5010">
        <v>24</v>
      </c>
      <c r="AC5010">
        <v>20.398900000000001</v>
      </c>
      <c r="AD5010">
        <v>-1.11087183532839</v>
      </c>
      <c r="AE5010">
        <v>-4.3121199999999904</v>
      </c>
      <c r="AF5010">
        <v>-1.3876983587146601</v>
      </c>
      <c r="AG5010">
        <v>-1.11087183532839</v>
      </c>
      <c r="AH5010">
        <v>20.744305017609399</v>
      </c>
      <c r="AI5010">
        <v>93.058477961160406</v>
      </c>
      <c r="AJ5010">
        <v>93.827121488262506</v>
      </c>
      <c r="AK5010">
        <v>20.820325012663002</v>
      </c>
      <c r="AL5010">
        <v>80.129294509141303</v>
      </c>
      <c r="AM5010">
        <v>95.920615272195803</v>
      </c>
      <c r="AN5010">
        <v>0.999999967452324</v>
      </c>
    </row>
    <row r="5011" spans="1:40" x14ac:dyDescent="0.25">
      <c r="A5011" t="str">
        <f>"20190304155518897"</f>
        <v>20190304155518897</v>
      </c>
      <c r="B5011" t="str">
        <f>"1551686118893342"</f>
        <v>1551686118893342</v>
      </c>
      <c r="C5011" t="s">
        <v>40</v>
      </c>
      <c r="D5011">
        <v>4.8230909999999998</v>
      </c>
      <c r="E5011">
        <v>0.51108030000000004</v>
      </c>
      <c r="F5011" t="s">
        <v>95</v>
      </c>
      <c r="G5011">
        <v>-251.90600000000001</v>
      </c>
      <c r="H5011" s="1">
        <v>-7.6490410000000002E-7</v>
      </c>
      <c r="I5011">
        <v>-64.031229999999994</v>
      </c>
      <c r="J5011">
        <v>-272.36950000000002</v>
      </c>
      <c r="K5011">
        <v>1.1109020000000001</v>
      </c>
      <c r="L5011">
        <v>-59.709319999999998</v>
      </c>
      <c r="M5011">
        <v>0.96250250000000004</v>
      </c>
      <c r="N5011">
        <v>-1.104318E-2</v>
      </c>
      <c r="O5011">
        <v>-0.27104830000000002</v>
      </c>
      <c r="P5011">
        <v>0.97257669999999996</v>
      </c>
      <c r="Q5011">
        <v>0.16071359999999901</v>
      </c>
      <c r="R5011">
        <v>-0.16812530000000001</v>
      </c>
      <c r="S5011">
        <v>3.0014340000000002</v>
      </c>
      <c r="T5011">
        <v>-0.1619679</v>
      </c>
      <c r="U5011">
        <v>-0.63507080000000005</v>
      </c>
      <c r="V5011">
        <v>-0.102113</v>
      </c>
      <c r="W5011">
        <v>0.1713597</v>
      </c>
      <c r="X5011">
        <v>0.97990239999999995</v>
      </c>
      <c r="Y5011">
        <v>-6.5601590000000001E-2</v>
      </c>
      <c r="Z5011">
        <v>1.3324539999999999E-2</v>
      </c>
      <c r="AA5011">
        <v>0.99775700000000001</v>
      </c>
      <c r="AB5011">
        <v>24</v>
      </c>
      <c r="AC5011">
        <v>20.4635</v>
      </c>
      <c r="AD5011">
        <v>-1.1109027649040999</v>
      </c>
      <c r="AE5011">
        <v>-4.3219100000000097</v>
      </c>
      <c r="AF5011">
        <v>-1.3829305607040501</v>
      </c>
      <c r="AG5011">
        <v>-1.1109027649040999</v>
      </c>
      <c r="AH5011">
        <v>20.8101762947141</v>
      </c>
      <c r="AI5011">
        <v>93.048988915362997</v>
      </c>
      <c r="AJ5011">
        <v>93.801974117380993</v>
      </c>
      <c r="AK5011">
        <v>20.885641941436301</v>
      </c>
      <c r="AL5011">
        <v>80.133115331142903</v>
      </c>
      <c r="AM5011">
        <v>95.949167134367201</v>
      </c>
      <c r="AN5011">
        <v>0.99999996253942403</v>
      </c>
    </row>
    <row r="5012" spans="1:40" x14ac:dyDescent="0.25">
      <c r="A5012" t="str">
        <f>"20190304155518908"</f>
        <v>20190304155518908</v>
      </c>
      <c r="B5012" t="str">
        <f>"1551686118903101"</f>
        <v>1551686118903101</v>
      </c>
      <c r="C5012" t="s">
        <v>40</v>
      </c>
      <c r="D5012">
        <v>4.8346269999999896</v>
      </c>
      <c r="E5012">
        <v>0.51107020000000003</v>
      </c>
      <c r="F5012" t="s">
        <v>95</v>
      </c>
      <c r="G5012">
        <v>-251.7664</v>
      </c>
      <c r="H5012" s="1">
        <v>-7.0962559999999996E-7</v>
      </c>
      <c r="I5012">
        <v>-64.051819999999907</v>
      </c>
      <c r="J5012">
        <v>-272.25020000000001</v>
      </c>
      <c r="K5012">
        <v>1.1109389999999999</v>
      </c>
      <c r="L5012">
        <v>-59.742220000000003</v>
      </c>
      <c r="M5012">
        <v>0.96267749999999996</v>
      </c>
      <c r="N5012">
        <v>-1.099665E-2</v>
      </c>
      <c r="O5012">
        <v>-0.270428</v>
      </c>
      <c r="P5012">
        <v>0.97280169999999999</v>
      </c>
      <c r="Q5012">
        <v>0.16057089999999999</v>
      </c>
      <c r="R5012">
        <v>-0.16695560000000001</v>
      </c>
      <c r="S5012">
        <v>3.0019529999999999</v>
      </c>
      <c r="T5012">
        <v>-0.16186339999999999</v>
      </c>
      <c r="U5012">
        <v>-0.63272090000000003</v>
      </c>
      <c r="V5012">
        <v>-0.10268480000000001</v>
      </c>
      <c r="W5012">
        <v>0.17115859999999999</v>
      </c>
      <c r="X5012">
        <v>0.97987780000000002</v>
      </c>
      <c r="Y5012">
        <v>-6.5741350000000004E-2</v>
      </c>
      <c r="Z5012">
        <v>1.3304059999999999E-2</v>
      </c>
      <c r="AA5012">
        <v>0.99774799999999997</v>
      </c>
      <c r="AB5012">
        <v>24</v>
      </c>
      <c r="AC5012">
        <v>20.483799999999999</v>
      </c>
      <c r="AD5012">
        <v>-1.1109397096256</v>
      </c>
      <c r="AE5012">
        <v>-4.3095999999999899</v>
      </c>
      <c r="AF5012">
        <v>-1.3868157401007699</v>
      </c>
      <c r="AG5012">
        <v>-1.1109397096256</v>
      </c>
      <c r="AH5012">
        <v>20.827325147825601</v>
      </c>
      <c r="AI5012">
        <v>93.046557739236903</v>
      </c>
      <c r="AJ5012">
        <v>93.809493854009105</v>
      </c>
      <c r="AK5012">
        <v>20.902988249259099</v>
      </c>
      <c r="AL5012">
        <v>80.144810355566804</v>
      </c>
      <c r="AM5012">
        <v>95.982388738877404</v>
      </c>
      <c r="AN5012">
        <v>0.99999996871891905</v>
      </c>
    </row>
    <row r="5013" spans="1:40" x14ac:dyDescent="0.25">
      <c r="A5013" t="str">
        <f>"20190304155518920"</f>
        <v>20190304155518920</v>
      </c>
      <c r="B5013" t="str">
        <f>"1551686118912861"</f>
        <v>1551686118912861</v>
      </c>
      <c r="C5013" t="s">
        <v>40</v>
      </c>
      <c r="D5013">
        <v>4.778181</v>
      </c>
      <c r="E5013">
        <v>0.51119359999999903</v>
      </c>
      <c r="F5013" t="s">
        <v>95</v>
      </c>
      <c r="G5013">
        <v>-251.76570000000001</v>
      </c>
      <c r="H5013" s="1">
        <v>-7.0457520000000003E-7</v>
      </c>
      <c r="I5013">
        <v>-64.030529999999999</v>
      </c>
      <c r="J5013">
        <v>-272.1277</v>
      </c>
      <c r="K5013">
        <v>1.1109800000000001</v>
      </c>
      <c r="L5013">
        <v>-59.775939999999999</v>
      </c>
      <c r="M5013">
        <v>0.96286289999999997</v>
      </c>
      <c r="N5013">
        <v>-1.0948579999999999E-2</v>
      </c>
      <c r="O5013">
        <v>-0.26976919999999999</v>
      </c>
      <c r="P5013">
        <v>0.97299100000000005</v>
      </c>
      <c r="Q5013">
        <v>0.16037699999999999</v>
      </c>
      <c r="R5013">
        <v>-0.1660355</v>
      </c>
      <c r="S5013">
        <v>3.002869</v>
      </c>
      <c r="T5013">
        <v>-0.16285479999999899</v>
      </c>
      <c r="U5013">
        <v>-0.62863159999999996</v>
      </c>
      <c r="V5013">
        <v>-0.1029693</v>
      </c>
      <c r="W5013">
        <v>0.17090529999999901</v>
      </c>
      <c r="X5013">
        <v>0.97989219999999999</v>
      </c>
      <c r="Y5013">
        <v>-6.6415470000000004E-2</v>
      </c>
      <c r="Z5013">
        <v>1.340617E-2</v>
      </c>
      <c r="AA5013">
        <v>0.99770199999999998</v>
      </c>
      <c r="AB5013">
        <v>24</v>
      </c>
      <c r="AC5013">
        <v>20.361999999999899</v>
      </c>
      <c r="AD5013">
        <v>-1.11098070457519</v>
      </c>
      <c r="AE5013">
        <v>-4.2545899999999897</v>
      </c>
      <c r="AF5013">
        <v>-1.3925649298495499</v>
      </c>
      <c r="AG5013">
        <v>-1.11098070457519</v>
      </c>
      <c r="AH5013">
        <v>20.695779974309701</v>
      </c>
      <c r="AI5013">
        <v>93.065855211942505</v>
      </c>
      <c r="AJ5013">
        <v>93.8494805875834</v>
      </c>
      <c r="AK5013">
        <v>20.772309066515099</v>
      </c>
      <c r="AL5013">
        <v>80.159540837238495</v>
      </c>
      <c r="AM5013">
        <v>95.998755419985699</v>
      </c>
      <c r="AN5013">
        <v>1.0000000109657099</v>
      </c>
    </row>
    <row r="5014" spans="1:40" x14ac:dyDescent="0.25">
      <c r="A5014" t="str">
        <f>"20190304155518932"</f>
        <v>20190304155518932</v>
      </c>
      <c r="B5014" t="str">
        <f>"1551686118922622"</f>
        <v>1551686118922622</v>
      </c>
      <c r="C5014" t="s">
        <v>40</v>
      </c>
      <c r="D5014">
        <v>4.816084</v>
      </c>
      <c r="E5014">
        <v>0.51118509999999995</v>
      </c>
      <c r="F5014" t="s">
        <v>95</v>
      </c>
      <c r="G5014">
        <v>-251.71960000000001</v>
      </c>
      <c r="H5014" s="1">
        <v>-6.8514089999999898E-7</v>
      </c>
      <c r="I5014">
        <v>-64.032049999999998</v>
      </c>
      <c r="J5014">
        <v>-272.00889999999998</v>
      </c>
      <c r="K5014">
        <v>1.111024</v>
      </c>
      <c r="L5014">
        <v>-59.808439999999997</v>
      </c>
      <c r="M5014">
        <v>0.96305940000000001</v>
      </c>
      <c r="N5014">
        <v>-1.0900470000000001E-2</v>
      </c>
      <c r="O5014">
        <v>-0.26906809999999998</v>
      </c>
      <c r="P5014">
        <v>0.97323249999999994</v>
      </c>
      <c r="Q5014">
        <v>0.1602664</v>
      </c>
      <c r="R5014">
        <v>-0.1647207</v>
      </c>
      <c r="S5014">
        <v>3.0033259999999999</v>
      </c>
      <c r="T5014">
        <v>-0.16349540000000001</v>
      </c>
      <c r="U5014">
        <v>-0.62634279999999998</v>
      </c>
      <c r="V5014">
        <v>-0.1036069</v>
      </c>
      <c r="W5014">
        <v>0.17073289999999999</v>
      </c>
      <c r="X5014">
        <v>0.97985500000000003</v>
      </c>
      <c r="Y5014">
        <v>-6.6444959999999997E-2</v>
      </c>
      <c r="Z5014">
        <v>1.3452240000000001E-2</v>
      </c>
      <c r="AA5014">
        <v>0.99769940000000001</v>
      </c>
      <c r="AB5014">
        <v>24</v>
      </c>
      <c r="AC5014">
        <v>20.289299999999901</v>
      </c>
      <c r="AD5014">
        <v>-1.11102468514089</v>
      </c>
      <c r="AE5014">
        <v>-4.2236099999999901</v>
      </c>
      <c r="AF5014">
        <v>-1.3877105549884401</v>
      </c>
      <c r="AG5014">
        <v>-1.11102468514089</v>
      </c>
      <c r="AH5014">
        <v>20.6182124797309</v>
      </c>
      <c r="AI5014">
        <v>93.077485043821895</v>
      </c>
      <c r="AJ5014">
        <v>93.850490141672196</v>
      </c>
      <c r="AK5014">
        <v>20.694704692136799</v>
      </c>
      <c r="AL5014">
        <v>80.169565537897995</v>
      </c>
      <c r="AM5014">
        <v>96.035854631819703</v>
      </c>
      <c r="AN5014">
        <v>0.99999996694750903</v>
      </c>
    </row>
    <row r="5015" spans="1:40" x14ac:dyDescent="0.25">
      <c r="A5015" t="str">
        <f>"20190304155518944"</f>
        <v>20190304155518944</v>
      </c>
      <c r="B5015" t="str">
        <f>"1551686118932382"</f>
        <v>1551686118932382</v>
      </c>
      <c r="C5015" t="s">
        <v>40</v>
      </c>
      <c r="D5015">
        <v>4.7799259999999997</v>
      </c>
      <c r="E5015">
        <v>0.51119759999999903</v>
      </c>
      <c r="F5015" t="s">
        <v>95</v>
      </c>
      <c r="G5015">
        <v>-251.70830000000001</v>
      </c>
      <c r="H5015" s="1">
        <v>-6.757114E-7</v>
      </c>
      <c r="I5015">
        <v>-64.011519999999905</v>
      </c>
      <c r="J5015">
        <v>-271.88670000000002</v>
      </c>
      <c r="K5015">
        <v>1.111078</v>
      </c>
      <c r="L5015">
        <v>-59.841830000000002</v>
      </c>
      <c r="M5015">
        <v>0.96326679999999998</v>
      </c>
      <c r="N5015">
        <v>-1.085093E-2</v>
      </c>
      <c r="O5015">
        <v>-0.26832669999999997</v>
      </c>
      <c r="P5015">
        <v>0.97340859999999996</v>
      </c>
      <c r="Q5015">
        <v>0.16048119999999999</v>
      </c>
      <c r="R5015">
        <v>-0.163467</v>
      </c>
      <c r="S5015">
        <v>3.0042719999999998</v>
      </c>
      <c r="T5015">
        <v>-0.1644195</v>
      </c>
      <c r="U5015">
        <v>-0.62200929999999999</v>
      </c>
      <c r="V5015">
        <v>-0.10412929999999999</v>
      </c>
      <c r="W5015">
        <v>0.17088329999999999</v>
      </c>
      <c r="X5015">
        <v>0.97977349999999996</v>
      </c>
      <c r="Y5015">
        <v>-6.7113759999999995E-2</v>
      </c>
      <c r="Z5015">
        <v>1.354386E-2</v>
      </c>
      <c r="AA5015">
        <v>0.99765340000000002</v>
      </c>
      <c r="AB5015">
        <v>24</v>
      </c>
      <c r="AC5015">
        <v>20.1784</v>
      </c>
      <c r="AD5015">
        <v>-1.1110786757114</v>
      </c>
      <c r="AE5015">
        <v>-4.1696899999999797</v>
      </c>
      <c r="AF5015">
        <v>-1.3939087867631801</v>
      </c>
      <c r="AG5015">
        <v>-1.1110786757114</v>
      </c>
      <c r="AH5015">
        <v>20.4976314511322</v>
      </c>
      <c r="AI5015">
        <v>93.095558635026507</v>
      </c>
      <c r="AJ5015">
        <v>93.890318747469706</v>
      </c>
      <c r="AK5015">
        <v>20.574993867213699</v>
      </c>
      <c r="AL5015">
        <v>80.160820674388702</v>
      </c>
      <c r="AM5015">
        <v>96.066562705354201</v>
      </c>
      <c r="AN5015">
        <v>1.00000006231981</v>
      </c>
    </row>
    <row r="5016" spans="1:40" x14ac:dyDescent="0.25">
      <c r="A5016" t="str">
        <f>"20190304155518954"</f>
        <v>20190304155518954</v>
      </c>
      <c r="B5016" t="str">
        <f>"1551686118943118"</f>
        <v>1551686118943118</v>
      </c>
      <c r="C5016" t="s">
        <v>40</v>
      </c>
      <c r="D5016">
        <v>4.769876</v>
      </c>
      <c r="E5016">
        <v>0.51121839999999996</v>
      </c>
      <c r="F5016" t="s">
        <v>95</v>
      </c>
      <c r="G5016">
        <v>-251.5531</v>
      </c>
      <c r="H5016" s="1">
        <v>-6.1168690000000002E-7</v>
      </c>
      <c r="I5016">
        <v>-64.022880000000001</v>
      </c>
      <c r="J5016">
        <v>-271.76900000000001</v>
      </c>
      <c r="K5016">
        <v>1.111129</v>
      </c>
      <c r="L5016">
        <v>-59.873750000000001</v>
      </c>
      <c r="M5016">
        <v>0.96348250000000002</v>
      </c>
      <c r="N5016">
        <v>-1.080383E-2</v>
      </c>
      <c r="O5016">
        <v>-0.26755390000000001</v>
      </c>
      <c r="P5016">
        <v>0.97364390000000001</v>
      </c>
      <c r="Q5016">
        <v>0.16041369999999999</v>
      </c>
      <c r="R5016">
        <v>-0.16212750000000001</v>
      </c>
      <c r="S5016">
        <v>3.0052490000000001</v>
      </c>
      <c r="T5016">
        <v>-0.164215</v>
      </c>
      <c r="U5016">
        <v>-0.61795040000000001</v>
      </c>
      <c r="V5016">
        <v>-0.10471900000000001</v>
      </c>
      <c r="W5016">
        <v>0.17075319999999999</v>
      </c>
      <c r="X5016">
        <v>0.97973330000000003</v>
      </c>
      <c r="Y5016">
        <v>-6.7670229999999998E-2</v>
      </c>
      <c r="Z5016">
        <v>1.351902E-2</v>
      </c>
      <c r="AA5016">
        <v>0.99761619999999995</v>
      </c>
      <c r="AB5016">
        <v>24</v>
      </c>
      <c r="AC5016">
        <v>20.215900000000001</v>
      </c>
      <c r="AD5016">
        <v>-1.1111296116869001</v>
      </c>
      <c r="AE5016">
        <v>-4.1491300000000004</v>
      </c>
      <c r="AF5016">
        <v>-1.40723153401398</v>
      </c>
      <c r="AG5016">
        <v>-1.1111296116869001</v>
      </c>
      <c r="AH5016">
        <v>20.5294683173788</v>
      </c>
      <c r="AI5016">
        <v>93.090794870078398</v>
      </c>
      <c r="AJ5016">
        <v>93.921314421273095</v>
      </c>
      <c r="AK5016">
        <v>20.607619440356299</v>
      </c>
      <c r="AL5016">
        <v>80.168385742437096</v>
      </c>
      <c r="AM5016">
        <v>96.100908641989193</v>
      </c>
      <c r="AN5016">
        <v>1.0000000317000599</v>
      </c>
    </row>
    <row r="5017" spans="1:40" x14ac:dyDescent="0.25">
      <c r="A5017" t="str">
        <f>"20190304155518965"</f>
        <v>20190304155518965</v>
      </c>
      <c r="B5017" t="str">
        <f>"1551686118962637"</f>
        <v>1551686118962637</v>
      </c>
      <c r="C5017" t="s">
        <v>40</v>
      </c>
      <c r="D5017">
        <v>4.7616889999999996</v>
      </c>
      <c r="E5017">
        <v>0.51120310000000002</v>
      </c>
      <c r="F5017" t="s">
        <v>95</v>
      </c>
      <c r="G5017">
        <v>-251.49860000000001</v>
      </c>
      <c r="H5017" s="1">
        <v>-5.8614269999999998E-7</v>
      </c>
      <c r="I5017">
        <v>-64.013219999999905</v>
      </c>
      <c r="J5017">
        <v>-271.65550000000002</v>
      </c>
      <c r="K5017">
        <v>1.1111759999999999</v>
      </c>
      <c r="L5017">
        <v>-59.904420000000002</v>
      </c>
      <c r="M5017">
        <v>0.96369689999999997</v>
      </c>
      <c r="N5017">
        <v>-1.075971E-2</v>
      </c>
      <c r="O5017">
        <v>-0.26678160000000001</v>
      </c>
      <c r="P5017">
        <v>0.97386379999999995</v>
      </c>
      <c r="Q5017">
        <v>0.16060679999999999</v>
      </c>
      <c r="R5017">
        <v>-0.16060839999999901</v>
      </c>
      <c r="S5017">
        <v>3.0061339999999999</v>
      </c>
      <c r="T5017">
        <v>-0.1647825</v>
      </c>
      <c r="U5017">
        <v>-0.61389159999999998</v>
      </c>
      <c r="V5017">
        <v>-0.105478</v>
      </c>
      <c r="W5017">
        <v>0.1708865</v>
      </c>
      <c r="X5017">
        <v>0.97962859999999996</v>
      </c>
      <c r="Y5017">
        <v>-6.8217840000000002E-2</v>
      </c>
      <c r="Z5017">
        <v>1.356892E-2</v>
      </c>
      <c r="AA5017">
        <v>0.99757810000000002</v>
      </c>
      <c r="AB5017">
        <v>24</v>
      </c>
      <c r="AC5017">
        <v>20.1569</v>
      </c>
      <c r="AD5017">
        <v>-1.1111765861427001</v>
      </c>
      <c r="AE5017">
        <v>-4.1087999999999898</v>
      </c>
      <c r="AF5017">
        <v>-1.41380930831531</v>
      </c>
      <c r="AG5017">
        <v>-1.1111765861427001</v>
      </c>
      <c r="AH5017">
        <v>20.4627793101108</v>
      </c>
      <c r="AI5017">
        <v>93.100863605264706</v>
      </c>
      <c r="AJ5017">
        <v>93.952384745309899</v>
      </c>
      <c r="AK5017">
        <v>20.5416383781861</v>
      </c>
      <c r="AL5017">
        <v>80.160633963089197</v>
      </c>
      <c r="AM5017">
        <v>96.145442460290298</v>
      </c>
      <c r="AN5017">
        <v>0.99999999915210502</v>
      </c>
    </row>
    <row r="5018" spans="1:40" x14ac:dyDescent="0.25">
      <c r="A5018" t="str">
        <f>"20190304155518977"</f>
        <v>20190304155518977</v>
      </c>
      <c r="B5018" t="str">
        <f>"1551686118972398"</f>
        <v>1551686118972398</v>
      </c>
      <c r="C5018" t="s">
        <v>40</v>
      </c>
      <c r="D5018">
        <v>4.7870900000000001</v>
      </c>
      <c r="E5018">
        <v>0.51123459999999998</v>
      </c>
      <c r="F5018" t="s">
        <v>95</v>
      </c>
      <c r="G5018">
        <v>-251.42939999999999</v>
      </c>
      <c r="H5018" s="1">
        <v>-5.5377959999999905E-7</v>
      </c>
      <c r="I5018">
        <v>-64.001279999999994</v>
      </c>
      <c r="J5018">
        <v>-271.53500000000003</v>
      </c>
      <c r="K5018">
        <v>1.1112329999999999</v>
      </c>
      <c r="L5018">
        <v>-59.93683</v>
      </c>
      <c r="M5018">
        <v>0.9639356</v>
      </c>
      <c r="N5018">
        <v>-1.0714970000000001E-2</v>
      </c>
      <c r="O5018">
        <v>-0.2659203</v>
      </c>
      <c r="P5018">
        <v>0.97417600000000004</v>
      </c>
      <c r="Q5018">
        <v>0.1604023</v>
      </c>
      <c r="R5018">
        <v>-0.1589101</v>
      </c>
      <c r="S5018">
        <v>3.007263</v>
      </c>
      <c r="T5018">
        <v>-0.16521229999999901</v>
      </c>
      <c r="U5018">
        <v>-0.60913090000000003</v>
      </c>
      <c r="V5018">
        <v>-0.1063438</v>
      </c>
      <c r="W5018">
        <v>0.1706202</v>
      </c>
      <c r="X5018">
        <v>0.97958140000000005</v>
      </c>
      <c r="Y5018">
        <v>-6.8913119999999994E-2</v>
      </c>
      <c r="Z5018">
        <v>1.3605559999999999E-2</v>
      </c>
      <c r="AA5018">
        <v>0.99752989999999997</v>
      </c>
      <c r="AB5018">
        <v>24</v>
      </c>
      <c r="AC5018">
        <v>20.105599999999999</v>
      </c>
      <c r="AD5018">
        <v>-1.1112335537796001</v>
      </c>
      <c r="AE5018">
        <v>-4.0644499999999999</v>
      </c>
      <c r="AF5018">
        <v>-1.42452025678692</v>
      </c>
      <c r="AG5018">
        <v>-1.1112335537796001</v>
      </c>
      <c r="AH5018">
        <v>20.402617402940098</v>
      </c>
      <c r="AI5018">
        <v>93.109992087847104</v>
      </c>
      <c r="AJ5018">
        <v>93.993936436444898</v>
      </c>
      <c r="AK5018">
        <v>20.4824533409403</v>
      </c>
      <c r="AL5018">
        <v>80.176119136907104</v>
      </c>
      <c r="AM5018">
        <v>96.195791869974201</v>
      </c>
      <c r="AN5018">
        <v>0.99999998783622002</v>
      </c>
    </row>
    <row r="5019" spans="1:40" x14ac:dyDescent="0.25">
      <c r="A5019" t="str">
        <f>"20190304155518989"</f>
        <v>20190304155518989</v>
      </c>
      <c r="B5019" t="str">
        <f>"1551686118983133"</f>
        <v>1551686118983133</v>
      </c>
      <c r="C5019" t="s">
        <v>40</v>
      </c>
      <c r="D5019">
        <v>4.6074419999999998</v>
      </c>
      <c r="E5019">
        <v>0.51135489999999995</v>
      </c>
      <c r="F5019" t="s">
        <v>95</v>
      </c>
      <c r="G5019">
        <v>-251.4109</v>
      </c>
      <c r="H5019" s="1">
        <v>-5.4085459999999898E-7</v>
      </c>
      <c r="I5019">
        <v>-63.978659999999998</v>
      </c>
      <c r="J5019">
        <v>-271.40690000000001</v>
      </c>
      <c r="K5019">
        <v>1.111289</v>
      </c>
      <c r="L5019">
        <v>-59.9711</v>
      </c>
      <c r="M5019">
        <v>0.96420170000000005</v>
      </c>
      <c r="N5019">
        <v>-1.0668540000000001E-2</v>
      </c>
      <c r="O5019">
        <v>-0.26495540000000001</v>
      </c>
      <c r="P5019">
        <v>0.97450689999999995</v>
      </c>
      <c r="Q5019">
        <v>0.160279</v>
      </c>
      <c r="R5019">
        <v>-0.15699469999999999</v>
      </c>
      <c r="S5019">
        <v>3.008362</v>
      </c>
      <c r="T5019">
        <v>-0.1661195</v>
      </c>
      <c r="U5019">
        <v>-0.60421749999999996</v>
      </c>
      <c r="V5019">
        <v>-0.10732120000000001</v>
      </c>
      <c r="W5019">
        <v>0.17043179999999999</v>
      </c>
      <c r="X5019">
        <v>0.97950760000000003</v>
      </c>
      <c r="Y5019">
        <v>-6.9545869999999996E-2</v>
      </c>
      <c r="Z5019">
        <v>1.36826E-2</v>
      </c>
      <c r="AA5019">
        <v>0.99748490000000001</v>
      </c>
      <c r="AB5019">
        <v>24</v>
      </c>
      <c r="AC5019">
        <v>19.995999999999999</v>
      </c>
      <c r="AD5019">
        <v>-1.1112895408546</v>
      </c>
      <c r="AE5019">
        <v>-4.00755999999999</v>
      </c>
      <c r="AF5019">
        <v>-1.4297879776076099</v>
      </c>
      <c r="AG5019">
        <v>-1.1112895408546</v>
      </c>
      <c r="AH5019">
        <v>20.282930962418199</v>
      </c>
      <c r="AI5019">
        <v>93.128318215499206</v>
      </c>
      <c r="AJ5019">
        <v>94.032234187642203</v>
      </c>
      <c r="AK5019">
        <v>20.363608386795001</v>
      </c>
      <c r="AL5019">
        <v>80.187074123559796</v>
      </c>
      <c r="AM5019">
        <v>96.252755433256894</v>
      </c>
      <c r="AN5019">
        <v>0.99999998843922</v>
      </c>
    </row>
    <row r="5020" spans="1:40" x14ac:dyDescent="0.25">
      <c r="A5020" t="str">
        <f>"20190304155519001"</f>
        <v>20190304155519001</v>
      </c>
      <c r="B5020" t="str">
        <f>"1551686118992893"</f>
        <v>1551686118992893</v>
      </c>
      <c r="C5020" t="s">
        <v>40</v>
      </c>
      <c r="D5020">
        <v>4.7742000000000004</v>
      </c>
      <c r="E5020">
        <v>0.51139109999999999</v>
      </c>
      <c r="F5020" t="s">
        <v>95</v>
      </c>
      <c r="G5020">
        <v>-251.40459999999999</v>
      </c>
      <c r="H5020" s="1">
        <v>-5.3293159999999998E-7</v>
      </c>
      <c r="I5020">
        <v>-63.955199999999998</v>
      </c>
      <c r="J5020">
        <v>-271.2808</v>
      </c>
      <c r="K5020">
        <v>1.111343</v>
      </c>
      <c r="L5020">
        <v>-60.004730000000002</v>
      </c>
      <c r="M5020">
        <v>0.96446989999999999</v>
      </c>
      <c r="N5020">
        <v>-1.062332E-2</v>
      </c>
      <c r="O5020">
        <v>-0.2639802</v>
      </c>
      <c r="P5020">
        <v>0.97480520000000004</v>
      </c>
      <c r="Q5020">
        <v>0.1603212</v>
      </c>
      <c r="R5020">
        <v>-0.15508859999999999</v>
      </c>
      <c r="S5020">
        <v>3.00943</v>
      </c>
      <c r="T5020">
        <v>-0.16719879999999901</v>
      </c>
      <c r="U5020">
        <v>-0.59942629999999997</v>
      </c>
      <c r="V5020">
        <v>-0.1082702</v>
      </c>
      <c r="W5020">
        <v>0.17041010000000001</v>
      </c>
      <c r="X5020">
        <v>0.97940700000000003</v>
      </c>
      <c r="Y5020">
        <v>-7.0126380000000002E-2</v>
      </c>
      <c r="Z5020">
        <v>1.377342E-2</v>
      </c>
      <c r="AA5020">
        <v>0.99744299999999997</v>
      </c>
      <c r="AB5020">
        <v>24</v>
      </c>
      <c r="AC5020">
        <v>19.876200000000001</v>
      </c>
      <c r="AD5020">
        <v>-1.1113435329315999</v>
      </c>
      <c r="AE5020">
        <v>-3.9504699999999899</v>
      </c>
      <c r="AF5020">
        <v>-1.43258601702995</v>
      </c>
      <c r="AG5020">
        <v>-1.1113435329315999</v>
      </c>
      <c r="AH5020">
        <v>20.153366147172399</v>
      </c>
      <c r="AI5020">
        <v>93.148411290283605</v>
      </c>
      <c r="AJ5020">
        <v>94.0659857314687</v>
      </c>
      <c r="AK5020">
        <v>20.2347610365522</v>
      </c>
      <c r="AL5020">
        <v>80.188336559800604</v>
      </c>
      <c r="AM5020">
        <v>96.308245083718901</v>
      </c>
      <c r="AN5020">
        <v>1.0000000550195201</v>
      </c>
    </row>
    <row r="5021" spans="1:40" x14ac:dyDescent="0.25">
      <c r="A5021" t="str">
        <f>"20190304155519012"</f>
        <v>20190304155519012</v>
      </c>
      <c r="B5021" t="str">
        <f>"1551686119002654"</f>
        <v>1551686119002654</v>
      </c>
      <c r="C5021" t="s">
        <v>40</v>
      </c>
      <c r="D5021">
        <v>4.7676949999999998</v>
      </c>
      <c r="E5021">
        <v>0.51142790000000005</v>
      </c>
      <c r="F5021" t="s">
        <v>95</v>
      </c>
      <c r="G5021">
        <v>-251.2834</v>
      </c>
      <c r="H5021" s="1">
        <v>-4.7938150000000004E-7</v>
      </c>
      <c r="I5021">
        <v>-63.948210000000003</v>
      </c>
      <c r="J5021">
        <v>-271.15730000000002</v>
      </c>
      <c r="K5021">
        <v>1.111394</v>
      </c>
      <c r="L5021">
        <v>-60.037320000000001</v>
      </c>
      <c r="M5021">
        <v>0.9647502</v>
      </c>
      <c r="N5021">
        <v>-1.0580910000000001E-2</v>
      </c>
      <c r="O5021">
        <v>-0.26295439999999998</v>
      </c>
      <c r="P5021">
        <v>0.97516599999999998</v>
      </c>
      <c r="Q5021">
        <v>0.15997809999999901</v>
      </c>
      <c r="R5021">
        <v>-0.15316170000000001</v>
      </c>
      <c r="S5021">
        <v>3.0105900000000001</v>
      </c>
      <c r="T5021">
        <v>-0.1673124</v>
      </c>
      <c r="U5021">
        <v>-0.59368900000000002</v>
      </c>
      <c r="V5021">
        <v>-0.10920249999999999</v>
      </c>
      <c r="W5021">
        <v>0.170008399999999</v>
      </c>
      <c r="X5021">
        <v>0.97937320000000005</v>
      </c>
      <c r="Y5021">
        <v>-7.0966799999999997E-2</v>
      </c>
      <c r="Z5021">
        <v>1.3776160000000001E-2</v>
      </c>
      <c r="AA5021">
        <v>0.99738349999999998</v>
      </c>
      <c r="AB5021">
        <v>24</v>
      </c>
      <c r="AC5021">
        <v>19.873899999999999</v>
      </c>
      <c r="AD5021">
        <v>-1.1113944793815</v>
      </c>
      <c r="AE5021">
        <v>-3.9108900000000002</v>
      </c>
      <c r="AF5021">
        <v>-1.4486175576870901</v>
      </c>
      <c r="AG5021">
        <v>-1.1113944793815</v>
      </c>
      <c r="AH5021">
        <v>20.142223945493299</v>
      </c>
      <c r="AI5021">
        <v>93.150106729635397</v>
      </c>
      <c r="AJ5021">
        <v>94.113597992149394</v>
      </c>
      <c r="AK5021">
        <v>20.224808428947899</v>
      </c>
      <c r="AL5021">
        <v>80.211692089493695</v>
      </c>
      <c r="AM5021">
        <v>96.362338769478995</v>
      </c>
      <c r="AN5021">
        <v>0.99999995347752402</v>
      </c>
    </row>
    <row r="5022" spans="1:40" x14ac:dyDescent="0.25">
      <c r="A5022" t="str">
        <f>"20190304155519029"</f>
        <v>20190304155519029</v>
      </c>
      <c r="B5022" t="str">
        <f>"1551686119023149"</f>
        <v>1551686119023149</v>
      </c>
      <c r="C5022" t="s">
        <v>40</v>
      </c>
      <c r="D5022">
        <v>4.7299300000000004</v>
      </c>
      <c r="E5022">
        <v>0.51160150000000004</v>
      </c>
      <c r="F5022" t="s">
        <v>95</v>
      </c>
      <c r="G5022">
        <v>-251.29179999999999</v>
      </c>
      <c r="H5022" s="1">
        <v>-4.7547810000000001E-7</v>
      </c>
      <c r="I5022">
        <v>-63.914490000000001</v>
      </c>
      <c r="J5022">
        <v>-271.00020000000001</v>
      </c>
      <c r="K5022">
        <v>1.111456</v>
      </c>
      <c r="L5022">
        <v>-60.07864</v>
      </c>
      <c r="M5022">
        <v>0.96511610000000003</v>
      </c>
      <c r="N5022">
        <v>-1.052868E-2</v>
      </c>
      <c r="O5022">
        <v>-0.26161119999999999</v>
      </c>
      <c r="P5022">
        <v>0.97553210000000001</v>
      </c>
      <c r="Q5022">
        <v>0.15985199999999999</v>
      </c>
      <c r="R5022">
        <v>-0.15094549999999901</v>
      </c>
      <c r="S5022">
        <v>3.0117189999999998</v>
      </c>
      <c r="T5022">
        <v>-0.16849330000000001</v>
      </c>
      <c r="U5022">
        <v>-0.58779910000000002</v>
      </c>
      <c r="V5022">
        <v>-0.11009819999999999</v>
      </c>
      <c r="W5022">
        <v>0.16980909999999999</v>
      </c>
      <c r="X5022">
        <v>0.9793075</v>
      </c>
      <c r="Y5022">
        <v>-7.1521189999999998E-2</v>
      </c>
      <c r="Z5022">
        <v>1.386123E-2</v>
      </c>
      <c r="AA5022">
        <v>0.99734279999999997</v>
      </c>
      <c r="AB5022">
        <v>24</v>
      </c>
      <c r="AC5022">
        <v>19.708400000000001</v>
      </c>
      <c r="AD5022">
        <v>-1.1114564754781</v>
      </c>
      <c r="AE5022">
        <v>-3.8358500000000002</v>
      </c>
      <c r="AF5022">
        <v>-1.44953606381736</v>
      </c>
      <c r="AG5022">
        <v>-1.1114564754781</v>
      </c>
      <c r="AH5022">
        <v>19.9643246860463</v>
      </c>
      <c r="AI5022">
        <v>93.178139903334696</v>
      </c>
      <c r="AJ5022">
        <v>94.152748378016796</v>
      </c>
      <c r="AK5022">
        <v>20.047711851158201</v>
      </c>
      <c r="AL5022">
        <v>80.223279706366796</v>
      </c>
      <c r="AM5022">
        <v>96.414517467813596</v>
      </c>
      <c r="AN5022">
        <v>0.99999996182114903</v>
      </c>
    </row>
    <row r="5023" spans="1:40" x14ac:dyDescent="0.25">
      <c r="A5023" t="str">
        <f>"20190304155519042"</f>
        <v>20190304155519042</v>
      </c>
      <c r="B5023" t="str">
        <f>"1551686119032910"</f>
        <v>1551686119032910</v>
      </c>
      <c r="C5023" t="s">
        <v>40</v>
      </c>
      <c r="D5023">
        <v>4.7829800000000002</v>
      </c>
      <c r="E5023">
        <v>0.51159299999999996</v>
      </c>
      <c r="F5023" t="s">
        <v>95</v>
      </c>
      <c r="G5023">
        <v>-251.23560000000001</v>
      </c>
      <c r="H5023" s="1">
        <v>-4.4740780000000002E-7</v>
      </c>
      <c r="I5023">
        <v>-63.89676</v>
      </c>
      <c r="J5023">
        <v>-270.86169999999998</v>
      </c>
      <c r="K5023">
        <v>1.1115010000000001</v>
      </c>
      <c r="L5023">
        <v>-60.114899999999999</v>
      </c>
      <c r="M5023">
        <v>0.96544750000000001</v>
      </c>
      <c r="N5023">
        <v>-1.0484520000000001E-2</v>
      </c>
      <c r="O5023">
        <v>-0.26038739999999999</v>
      </c>
      <c r="P5023">
        <v>0.97609179999999995</v>
      </c>
      <c r="Q5023">
        <v>0.1594689</v>
      </c>
      <c r="R5023">
        <v>-0.14769789999999999</v>
      </c>
      <c r="S5023">
        <v>3.0129090000000001</v>
      </c>
      <c r="T5023">
        <v>-0.16942969999999999</v>
      </c>
      <c r="U5023">
        <v>-0.58203130000000003</v>
      </c>
      <c r="V5023">
        <v>-0.1121578</v>
      </c>
      <c r="W5023">
        <v>0.16935899999999901</v>
      </c>
      <c r="X5023">
        <v>0.97915180000000002</v>
      </c>
      <c r="Y5023">
        <v>-7.2165419999999994E-2</v>
      </c>
      <c r="Z5023">
        <v>1.392766E-2</v>
      </c>
      <c r="AA5023">
        <v>0.99729540000000005</v>
      </c>
      <c r="AB5023">
        <v>24</v>
      </c>
      <c r="AC5023">
        <v>19.626099999999902</v>
      </c>
      <c r="AD5023">
        <v>-1.1115014474078</v>
      </c>
      <c r="AE5023">
        <v>-3.78186</v>
      </c>
      <c r="AF5023">
        <v>-1.4547827822697701</v>
      </c>
      <c r="AG5023">
        <v>-1.1115014474078</v>
      </c>
      <c r="AH5023">
        <v>19.872353088835499</v>
      </c>
      <c r="AI5023">
        <v>93.192808615198402</v>
      </c>
      <c r="AJ5023">
        <v>94.186947023996893</v>
      </c>
      <c r="AK5023">
        <v>19.956508855471899</v>
      </c>
      <c r="AL5023">
        <v>80.249448381353005</v>
      </c>
      <c r="AM5023">
        <v>96.534515266469199</v>
      </c>
      <c r="AN5023">
        <v>1.0000000452125299</v>
      </c>
    </row>
    <row r="5024" spans="1:40" x14ac:dyDescent="0.25">
      <c r="A5024" t="str">
        <f>"20190304155519056"</f>
        <v>20190304155519056</v>
      </c>
      <c r="B5024" t="str">
        <f>"1551686119052430"</f>
        <v>1551686119052430</v>
      </c>
      <c r="C5024" t="s">
        <v>40</v>
      </c>
      <c r="D5024">
        <v>4.9044800000000004</v>
      </c>
      <c r="E5024">
        <v>0.49468390000000001</v>
      </c>
      <c r="F5024" t="s">
        <v>95</v>
      </c>
      <c r="G5024">
        <v>-251.2552</v>
      </c>
      <c r="H5024" s="1">
        <v>-4.4185720000000002E-7</v>
      </c>
      <c r="I5024">
        <v>-63.8339199999999</v>
      </c>
      <c r="J5024">
        <v>-270.70659999999998</v>
      </c>
      <c r="K5024">
        <v>1.1115539999999999</v>
      </c>
      <c r="L5024">
        <v>-60.155090000000001</v>
      </c>
      <c r="M5024">
        <v>0.96583680000000005</v>
      </c>
      <c r="N5024">
        <v>-1.0440619999999999E-2</v>
      </c>
      <c r="O5024">
        <v>-0.25894060000000002</v>
      </c>
      <c r="P5024">
        <v>0.97646829999999996</v>
      </c>
      <c r="Q5024">
        <v>0.15948570000000001</v>
      </c>
      <c r="R5024">
        <v>-0.14516889999999999</v>
      </c>
      <c r="S5024">
        <v>3.0148619999999999</v>
      </c>
      <c r="T5024">
        <v>-0.17091389999999901</v>
      </c>
      <c r="U5024">
        <v>-0.57186890000000001</v>
      </c>
      <c r="V5024">
        <v>-0.11325259999999999</v>
      </c>
      <c r="W5024">
        <v>0.16931099999999999</v>
      </c>
      <c r="X5024">
        <v>0.97903399999999996</v>
      </c>
      <c r="Y5024">
        <v>-7.4024359999999997E-2</v>
      </c>
      <c r="Z5024">
        <v>1.407514E-2</v>
      </c>
      <c r="AA5024">
        <v>0.99715710000000002</v>
      </c>
      <c r="AB5024">
        <v>24</v>
      </c>
      <c r="AC5024">
        <v>19.4513999999999</v>
      </c>
      <c r="AD5024">
        <v>-1.1115544418571901</v>
      </c>
      <c r="AE5024">
        <v>-3.6788299999999898</v>
      </c>
      <c r="AF5024">
        <v>-1.4790256134906601</v>
      </c>
      <c r="AG5024">
        <v>-1.1115544418571901</v>
      </c>
      <c r="AH5024">
        <v>19.678510264596898</v>
      </c>
      <c r="AI5024">
        <v>93.223883105080205</v>
      </c>
      <c r="AJ5024">
        <v>94.298236788171593</v>
      </c>
      <c r="AK5024">
        <v>19.765293731093902</v>
      </c>
      <c r="AL5024">
        <v>80.252238133613204</v>
      </c>
      <c r="AM5024">
        <v>96.598527454152503</v>
      </c>
      <c r="AN5024">
        <v>0.99999996964187898</v>
      </c>
    </row>
    <row r="5025" spans="1:40" x14ac:dyDescent="0.25">
      <c r="A5025" t="str">
        <f>"20190304155519069"</f>
        <v>20190304155519069</v>
      </c>
      <c r="B5025" t="str">
        <f>"1551686119063165"</f>
        <v>1551686119063165</v>
      </c>
      <c r="C5025" t="s">
        <v>40</v>
      </c>
      <c r="D5025">
        <v>4.7018120000000003</v>
      </c>
      <c r="E5025">
        <v>0.49468390000000001</v>
      </c>
      <c r="F5025" t="s">
        <v>43</v>
      </c>
      <c r="G5025">
        <v>0</v>
      </c>
      <c r="H5025">
        <v>0</v>
      </c>
      <c r="I5025">
        <v>0</v>
      </c>
      <c r="J5025">
        <v>-270.56950000000001</v>
      </c>
      <c r="K5025">
        <v>1.1116010000000001</v>
      </c>
      <c r="L5025">
        <v>-60.190339999999999</v>
      </c>
      <c r="M5025">
        <v>0.96618910000000002</v>
      </c>
      <c r="N5025">
        <v>-1.0404490000000001E-2</v>
      </c>
      <c r="O5025">
        <v>-0.25762469999999998</v>
      </c>
      <c r="P5025">
        <v>0.97674130000000003</v>
      </c>
      <c r="Q5025">
        <v>0.15988250000000001</v>
      </c>
      <c r="R5025">
        <v>-0.14287810000000001</v>
      </c>
      <c r="S5025">
        <v>2.9444889999999999</v>
      </c>
      <c r="T5025">
        <v>0.42137069999999999</v>
      </c>
      <c r="U5025">
        <v>-0.39682010000000001</v>
      </c>
      <c r="V5025">
        <v>-0.1142223</v>
      </c>
      <c r="W5025">
        <v>0.16965359999999999</v>
      </c>
      <c r="X5025">
        <v>0.97886200000000001</v>
      </c>
      <c r="Y5025">
        <v>-0.1222559</v>
      </c>
      <c r="Z5025">
        <v>-4.6759000000000002E-2</v>
      </c>
      <c r="AA5025">
        <v>0.99139650000000001</v>
      </c>
      <c r="AB5025">
        <v>24</v>
      </c>
      <c r="AC5025">
        <v>2.9444889999999999</v>
      </c>
      <c r="AD5025">
        <v>0.42137069999999999</v>
      </c>
      <c r="AE5025">
        <v>-0.39682010000000001</v>
      </c>
      <c r="AF5025">
        <v>-0.36779246140969801</v>
      </c>
      <c r="AG5025">
        <v>0.42137069999999999</v>
      </c>
      <c r="AH5025">
        <v>2.8892105011943201</v>
      </c>
      <c r="AI5025">
        <v>81.767832443698495</v>
      </c>
      <c r="AJ5025">
        <v>97.254653561873496</v>
      </c>
      <c r="AK5025">
        <v>2.9428492794738599</v>
      </c>
      <c r="AL5025">
        <v>80.232320225395299</v>
      </c>
      <c r="AM5025">
        <v>96.655680078677904</v>
      </c>
      <c r="AN5025">
        <v>0.99999994642712298</v>
      </c>
    </row>
    <row r="5026" spans="1:40" x14ac:dyDescent="0.25">
      <c r="A5026" t="str">
        <f>"20190304155519084"</f>
        <v>20190304155519084</v>
      </c>
      <c r="B5026" t="str">
        <f>"1551686119072926"</f>
        <v>1551686119072926</v>
      </c>
      <c r="C5026" t="s">
        <v>40</v>
      </c>
      <c r="D5026">
        <v>4.7057039999999999</v>
      </c>
      <c r="E5026">
        <v>0.47645870000000001</v>
      </c>
      <c r="F5026" t="s">
        <v>43</v>
      </c>
      <c r="G5026">
        <v>0</v>
      </c>
      <c r="H5026">
        <v>0</v>
      </c>
      <c r="I5026">
        <v>0</v>
      </c>
      <c r="J5026">
        <v>-270.40480000000002</v>
      </c>
      <c r="K5026">
        <v>1.111659</v>
      </c>
      <c r="L5026">
        <v>-60.232509999999998</v>
      </c>
      <c r="M5026">
        <v>0.96662269999999995</v>
      </c>
      <c r="N5026">
        <v>-1.036426E-2</v>
      </c>
      <c r="O5026">
        <v>-0.25599549999999999</v>
      </c>
      <c r="P5026">
        <v>0.9772035</v>
      </c>
      <c r="Q5026">
        <v>0.16033229999999901</v>
      </c>
      <c r="R5026">
        <v>-0.1391667</v>
      </c>
      <c r="S5026">
        <v>2.9452210000000001</v>
      </c>
      <c r="T5026">
        <v>0.42256139999999998</v>
      </c>
      <c r="U5026">
        <v>-0.38989259999999998</v>
      </c>
      <c r="V5026">
        <v>-0.11630119999999999</v>
      </c>
      <c r="W5026">
        <v>0.1700361</v>
      </c>
      <c r="X5026">
        <v>0.9785509</v>
      </c>
      <c r="Y5026">
        <v>-0.1228984</v>
      </c>
      <c r="Z5026">
        <v>-4.667644E-2</v>
      </c>
      <c r="AA5026">
        <v>0.99132100000000001</v>
      </c>
      <c r="AB5026">
        <v>24</v>
      </c>
      <c r="AC5026">
        <v>2.9452210000000001</v>
      </c>
      <c r="AD5026">
        <v>0.42256139999999998</v>
      </c>
      <c r="AE5026">
        <v>-0.38989259999999998</v>
      </c>
      <c r="AF5026">
        <v>-0.369626832143999</v>
      </c>
      <c r="AG5026">
        <v>0.42256139999999998</v>
      </c>
      <c r="AH5026">
        <v>2.8884519015822101</v>
      </c>
      <c r="AI5026">
        <v>81.743435810506398</v>
      </c>
      <c r="AJ5026">
        <v>97.292342023296698</v>
      </c>
      <c r="AK5026">
        <v>2.9425051435069101</v>
      </c>
      <c r="AL5026">
        <v>80.210082542545905</v>
      </c>
      <c r="AM5026">
        <v>96.777834374130705</v>
      </c>
      <c r="AN5026">
        <v>1.0000000541577201</v>
      </c>
    </row>
    <row r="5027" spans="1:40" x14ac:dyDescent="0.25">
      <c r="A5027" t="str">
        <f>"20190304155519097"</f>
        <v>20190304155519097</v>
      </c>
      <c r="B5027" t="str">
        <f>"1551686119092447"</f>
        <v>1551686119092447</v>
      </c>
      <c r="C5027" t="s">
        <v>40</v>
      </c>
      <c r="D5027">
        <v>4.6903389999999998</v>
      </c>
      <c r="E5027">
        <v>0.47783540000000002</v>
      </c>
      <c r="F5027" t="s">
        <v>94</v>
      </c>
      <c r="G5027">
        <v>-243.3494</v>
      </c>
      <c r="H5027" s="1">
        <v>-1.009368E-6</v>
      </c>
      <c r="I5027">
        <v>-62.583579999999998</v>
      </c>
      <c r="J5027">
        <v>-270.274</v>
      </c>
      <c r="K5027">
        <v>1.1117010000000001</v>
      </c>
      <c r="L5027">
        <v>-60.265659999999997</v>
      </c>
      <c r="M5027">
        <v>0.96697719999999998</v>
      </c>
      <c r="N5027">
        <v>-1.033534E-2</v>
      </c>
      <c r="O5027">
        <v>-0.25465330000000003</v>
      </c>
      <c r="P5027">
        <v>0.97747119999999998</v>
      </c>
      <c r="Q5027">
        <v>0.1604651</v>
      </c>
      <c r="R5027">
        <v>-0.1371182</v>
      </c>
      <c r="S5027">
        <v>3.0527950000000001</v>
      </c>
      <c r="T5027">
        <v>-0.12543399999999999</v>
      </c>
      <c r="U5027">
        <v>-0.26528930000000001</v>
      </c>
      <c r="V5027">
        <v>-0.1170091</v>
      </c>
      <c r="W5027">
        <v>0.1701231</v>
      </c>
      <c r="X5027">
        <v>0.97845130000000002</v>
      </c>
      <c r="Y5027">
        <v>-0.1696994</v>
      </c>
      <c r="Z5027">
        <v>1.202487E-2</v>
      </c>
      <c r="AA5027">
        <v>0.98542249999999998</v>
      </c>
      <c r="AB5027">
        <v>24</v>
      </c>
      <c r="AC5027">
        <v>26.924600000000002</v>
      </c>
      <c r="AD5027">
        <v>-1.1117020093679999</v>
      </c>
      <c r="AE5027">
        <v>-2.31792</v>
      </c>
      <c r="AF5027">
        <v>-4.6075117087555402</v>
      </c>
      <c r="AG5027">
        <v>-1.1117020093679999</v>
      </c>
      <c r="AH5027">
        <v>26.5821777072095</v>
      </c>
      <c r="AI5027">
        <v>92.359646975379107</v>
      </c>
      <c r="AJ5027">
        <v>99.833426356943093</v>
      </c>
      <c r="AK5027">
        <v>27.001429909573702</v>
      </c>
      <c r="AL5027">
        <v>80.205023303116704</v>
      </c>
      <c r="AM5027">
        <v>96.819389860106995</v>
      </c>
      <c r="AN5027">
        <v>0.99999997255405404</v>
      </c>
    </row>
    <row r="5028" spans="1:40" x14ac:dyDescent="0.25">
      <c r="A5028" t="str">
        <f>"20190304155519109"</f>
        <v>20190304155519109</v>
      </c>
      <c r="B5028" t="str">
        <f>"1551686119103182"</f>
        <v>1551686119103182</v>
      </c>
      <c r="C5028" t="s">
        <v>40</v>
      </c>
      <c r="D5028">
        <v>4.6543279999999996</v>
      </c>
      <c r="E5028">
        <v>0.47850369999999998</v>
      </c>
      <c r="F5028" t="s">
        <v>94</v>
      </c>
      <c r="G5028">
        <v>-242.89179999999999</v>
      </c>
      <c r="H5028" s="1">
        <v>-8.3987849999999898E-7</v>
      </c>
      <c r="I5028">
        <v>-62.684339999999999</v>
      </c>
      <c r="J5028">
        <v>-270.15519999999998</v>
      </c>
      <c r="K5028">
        <v>1.11174</v>
      </c>
      <c r="L5028">
        <v>-60.295560000000002</v>
      </c>
      <c r="M5028">
        <v>0.9673062</v>
      </c>
      <c r="N5028">
        <v>-1.03111E-2</v>
      </c>
      <c r="O5028">
        <v>-0.25340240000000003</v>
      </c>
      <c r="P5028">
        <v>0.97784099999999996</v>
      </c>
      <c r="Q5028">
        <v>0.15999630000000001</v>
      </c>
      <c r="R5028">
        <v>-0.13501170000000001</v>
      </c>
      <c r="S5028">
        <v>3.051666</v>
      </c>
      <c r="T5028">
        <v>-0.12389600000000001</v>
      </c>
      <c r="U5028">
        <v>-0.26956180000000002</v>
      </c>
      <c r="V5028">
        <v>-0.1178892</v>
      </c>
      <c r="W5028">
        <v>0.1696146</v>
      </c>
      <c r="X5028">
        <v>0.97843400000000003</v>
      </c>
      <c r="Y5028">
        <v>-0.16703409999999999</v>
      </c>
      <c r="Z5028">
        <v>1.176018E-2</v>
      </c>
      <c r="AA5028">
        <v>0.98588100000000001</v>
      </c>
      <c r="AB5028">
        <v>24</v>
      </c>
      <c r="AC5028">
        <v>27.263399999999901</v>
      </c>
      <c r="AD5028">
        <v>-1.1117408398785</v>
      </c>
      <c r="AE5028">
        <v>-2.3887800000000001</v>
      </c>
      <c r="AF5028">
        <v>-4.5905976423084196</v>
      </c>
      <c r="AG5028">
        <v>-1.1117408398785</v>
      </c>
      <c r="AH5028">
        <v>26.934361558036301</v>
      </c>
      <c r="AI5028">
        <v>92.330032951715793</v>
      </c>
      <c r="AJ5028">
        <v>99.672349305507197</v>
      </c>
      <c r="AK5028">
        <v>27.345372313202201</v>
      </c>
      <c r="AL5028">
        <v>80.234588487407393</v>
      </c>
      <c r="AM5028">
        <v>96.870314709883203</v>
      </c>
      <c r="AN5028">
        <v>1.0000000341828901</v>
      </c>
    </row>
    <row r="5029" spans="1:40" x14ac:dyDescent="0.25">
      <c r="A5029" t="str">
        <f>"20190304155519120"</f>
        <v>20190304155519120</v>
      </c>
      <c r="B5029" t="str">
        <f>"1551686119112942"</f>
        <v>1551686119112942</v>
      </c>
      <c r="C5029" t="s">
        <v>40</v>
      </c>
      <c r="D5029">
        <v>4.6516299999999999</v>
      </c>
      <c r="E5029">
        <v>0.4791801</v>
      </c>
      <c r="F5029" t="s">
        <v>94</v>
      </c>
      <c r="G5029">
        <v>-243.1618</v>
      </c>
      <c r="H5029" s="1">
        <v>-9.5112549999999995E-7</v>
      </c>
      <c r="I5029">
        <v>-62.667059999999999</v>
      </c>
      <c r="J5029">
        <v>-270.01900000000001</v>
      </c>
      <c r="K5029">
        <v>1.111785</v>
      </c>
      <c r="L5029">
        <v>-60.329680000000003</v>
      </c>
      <c r="M5029">
        <v>0.96768670000000001</v>
      </c>
      <c r="N5029">
        <v>-1.0284649999999999E-2</v>
      </c>
      <c r="O5029">
        <v>-0.25194549999999999</v>
      </c>
      <c r="P5029">
        <v>0.97819440000000002</v>
      </c>
      <c r="Q5029">
        <v>0.15959119999999999</v>
      </c>
      <c r="R5029">
        <v>-0.1329148</v>
      </c>
      <c r="S5029">
        <v>3.0515140000000001</v>
      </c>
      <c r="T5029">
        <v>-0.1256787</v>
      </c>
      <c r="U5029">
        <v>-0.26809690000000003</v>
      </c>
      <c r="V5029">
        <v>-0.11855019999999999</v>
      </c>
      <c r="W5029">
        <v>0.16916629999999999</v>
      </c>
      <c r="X5029">
        <v>0.97843170000000002</v>
      </c>
      <c r="Y5029">
        <v>-0.1660073</v>
      </c>
      <c r="Z5029">
        <v>1.189141E-2</v>
      </c>
      <c r="AA5029">
        <v>0.98605279999999995</v>
      </c>
      <c r="AB5029">
        <v>25</v>
      </c>
      <c r="AC5029">
        <v>26.857199999999999</v>
      </c>
      <c r="AD5029">
        <v>-1.1117859511254999</v>
      </c>
      <c r="AE5029">
        <v>-2.3373799999999898</v>
      </c>
      <c r="AF5029">
        <v>-4.4972888982741797</v>
      </c>
      <c r="AG5029">
        <v>-1.1117859511254999</v>
      </c>
      <c r="AH5029">
        <v>26.5345263039152</v>
      </c>
      <c r="AI5029">
        <v>92.365569426205099</v>
      </c>
      <c r="AJ5029">
        <v>99.619542161772799</v>
      </c>
      <c r="AK5029">
        <v>26.935900980082799</v>
      </c>
      <c r="AL5029">
        <v>80.260650369070802</v>
      </c>
      <c r="AM5029">
        <v>96.908481114332204</v>
      </c>
      <c r="AN5029">
        <v>0.99999998927030898</v>
      </c>
    </row>
    <row r="5030" spans="1:40" x14ac:dyDescent="0.25">
      <c r="A5030" t="str">
        <f>"20190304155519134"</f>
        <v>20190304155519134</v>
      </c>
      <c r="B5030" t="str">
        <f>"1551686119122702"</f>
        <v>1551686119122702</v>
      </c>
      <c r="C5030" t="s">
        <v>40</v>
      </c>
      <c r="D5030">
        <v>4.6336879999999896</v>
      </c>
      <c r="E5030">
        <v>0.47899380000000003</v>
      </c>
      <c r="F5030" t="s">
        <v>94</v>
      </c>
      <c r="G5030">
        <v>-243.16030000000001</v>
      </c>
      <c r="H5030" s="1">
        <v>-9.5361160000000001E-7</v>
      </c>
      <c r="I5030">
        <v>-62.678829999999998</v>
      </c>
      <c r="J5030">
        <v>-269.88440000000003</v>
      </c>
      <c r="K5030">
        <v>1.1118330000000001</v>
      </c>
      <c r="L5030">
        <v>-60.36298</v>
      </c>
      <c r="M5030">
        <v>0.96807609999999999</v>
      </c>
      <c r="N5030">
        <v>-1.026211E-2</v>
      </c>
      <c r="O5030">
        <v>-0.25044630000000001</v>
      </c>
      <c r="P5030">
        <v>0.97855449999999999</v>
      </c>
      <c r="Q5030">
        <v>0.1590964</v>
      </c>
      <c r="R5030">
        <v>-0.13084180000000001</v>
      </c>
      <c r="S5030">
        <v>3.0512079999999999</v>
      </c>
      <c r="T5030">
        <v>-0.12630150000000001</v>
      </c>
      <c r="U5030">
        <v>-0.26687620000000001</v>
      </c>
      <c r="V5030">
        <v>-0.119147699999999</v>
      </c>
      <c r="W5030">
        <v>0.16863239999999999</v>
      </c>
      <c r="X5030">
        <v>0.97845130000000002</v>
      </c>
      <c r="Y5030">
        <v>-0.16486129999999999</v>
      </c>
      <c r="Z5030">
        <v>1.189081E-2</v>
      </c>
      <c r="AA5030">
        <v>0.98624509999999999</v>
      </c>
      <c r="AB5030">
        <v>25</v>
      </c>
      <c r="AC5030">
        <v>26.7241</v>
      </c>
      <c r="AD5030">
        <v>-1.1118339536116</v>
      </c>
      <c r="AE5030">
        <v>-2.31584999999999</v>
      </c>
      <c r="AF5030">
        <v>-4.4436331438629404</v>
      </c>
      <c r="AG5030">
        <v>-1.1118339536116</v>
      </c>
      <c r="AH5030">
        <v>26.4069841847889</v>
      </c>
      <c r="AI5030">
        <v>92.377557300415802</v>
      </c>
      <c r="AJ5030">
        <v>99.551954436130998</v>
      </c>
      <c r="AK5030">
        <v>26.801322056819</v>
      </c>
      <c r="AL5030">
        <v>80.2916866133166</v>
      </c>
      <c r="AM5030">
        <v>96.942823527457904</v>
      </c>
      <c r="AN5030">
        <v>1.0000000036083601</v>
      </c>
    </row>
    <row r="5031" spans="1:40" x14ac:dyDescent="0.25">
      <c r="A5031" t="str">
        <f>"20190304155519145"</f>
        <v>20190304155519145</v>
      </c>
      <c r="B5031" t="str">
        <f>"1551686119143026"</f>
        <v>1551686119143026</v>
      </c>
      <c r="C5031" t="s">
        <v>40</v>
      </c>
      <c r="D5031">
        <v>4.6367649999999996</v>
      </c>
      <c r="E5031">
        <v>0.47900009999999998</v>
      </c>
      <c r="F5031" t="s">
        <v>94</v>
      </c>
      <c r="G5031">
        <v>-243.83459999999999</v>
      </c>
      <c r="H5031" s="1">
        <v>-1.2145420000000001E-6</v>
      </c>
      <c r="I5031">
        <v>-62.572319999999998</v>
      </c>
      <c r="J5031">
        <v>-269.75540000000001</v>
      </c>
      <c r="K5031">
        <v>1.111883</v>
      </c>
      <c r="L5031">
        <v>-60.39481</v>
      </c>
      <c r="M5031">
        <v>0.96845329999999996</v>
      </c>
      <c r="N5031">
        <v>-1.024167E-2</v>
      </c>
      <c r="O5031">
        <v>-0.2489847</v>
      </c>
      <c r="P5031">
        <v>0.97890759999999999</v>
      </c>
      <c r="Q5031">
        <v>0.158656399999999</v>
      </c>
      <c r="R5031">
        <v>-0.12871769999999999</v>
      </c>
      <c r="S5031">
        <v>3.0523069999999999</v>
      </c>
      <c r="T5031">
        <v>-0.130276</v>
      </c>
      <c r="U5031">
        <v>-0.25888060000000002</v>
      </c>
      <c r="V5031">
        <v>-0.1198313</v>
      </c>
      <c r="W5031">
        <v>0.16815479999999899</v>
      </c>
      <c r="X5031">
        <v>0.97845000000000004</v>
      </c>
      <c r="Y5031">
        <v>-0.16594709999999999</v>
      </c>
      <c r="Z5031">
        <v>1.2303980000000001E-2</v>
      </c>
      <c r="AA5031">
        <v>0.98605790000000004</v>
      </c>
      <c r="AB5031">
        <v>25</v>
      </c>
      <c r="AC5031">
        <v>25.9208</v>
      </c>
      <c r="AD5031">
        <v>-1.111884214542</v>
      </c>
      <c r="AE5031">
        <v>-2.1775099999999901</v>
      </c>
      <c r="AF5031">
        <v>-4.3373687052747503</v>
      </c>
      <c r="AG5031">
        <v>-1.111884214542</v>
      </c>
      <c r="AH5031">
        <v>25.599821136487002</v>
      </c>
      <c r="AI5031">
        <v>92.452078016327405</v>
      </c>
      <c r="AJ5031">
        <v>99.616281499086099</v>
      </c>
      <c r="AK5031">
        <v>25.9884569763611</v>
      </c>
      <c r="AL5031">
        <v>80.319447373564202</v>
      </c>
      <c r="AM5031">
        <v>96.9822744834849</v>
      </c>
      <c r="AN5031">
        <v>0.99999998986136496</v>
      </c>
    </row>
    <row r="5032" spans="1:40" x14ac:dyDescent="0.25">
      <c r="A5032" t="str">
        <f>"20190304155519158"</f>
        <v>20190304155519158</v>
      </c>
      <c r="B5032" t="str">
        <f>"1551686119152786"</f>
        <v>1551686119152786</v>
      </c>
      <c r="C5032" t="s">
        <v>40</v>
      </c>
      <c r="D5032">
        <v>4.6117549999999996</v>
      </c>
      <c r="E5032">
        <v>0.4791435</v>
      </c>
      <c r="F5032" t="s">
        <v>94</v>
      </c>
      <c r="G5032">
        <v>-243.97290000000001</v>
      </c>
      <c r="H5032" s="1">
        <v>-1.261451E-6</v>
      </c>
      <c r="I5032">
        <v>-62.5257199999999</v>
      </c>
      <c r="J5032">
        <v>-269.62090000000001</v>
      </c>
      <c r="K5032">
        <v>1.1119319999999999</v>
      </c>
      <c r="L5032">
        <v>-60.4276699999999</v>
      </c>
      <c r="M5032">
        <v>0.9688544</v>
      </c>
      <c r="N5032">
        <v>-1.022231E-2</v>
      </c>
      <c r="O5032">
        <v>-0.24742049999999999</v>
      </c>
      <c r="P5032">
        <v>0.97913559999999999</v>
      </c>
      <c r="Q5032">
        <v>0.158777799999999</v>
      </c>
      <c r="R5032">
        <v>-0.12681990000000001</v>
      </c>
      <c r="S5032">
        <v>3.0527950000000001</v>
      </c>
      <c r="T5032">
        <v>-0.1316533</v>
      </c>
      <c r="U5032">
        <v>-0.25231930000000002</v>
      </c>
      <c r="V5032">
        <v>-0.12016640000000001</v>
      </c>
      <c r="W5032">
        <v>0.1682399</v>
      </c>
      <c r="X5032">
        <v>0.97839430000000005</v>
      </c>
      <c r="Y5032">
        <v>-0.16646549999999999</v>
      </c>
      <c r="Z5032">
        <v>1.2419889999999999E-2</v>
      </c>
      <c r="AA5032">
        <v>0.98596910000000004</v>
      </c>
      <c r="AB5032">
        <v>25</v>
      </c>
      <c r="AC5032">
        <v>25.648</v>
      </c>
      <c r="AD5032">
        <v>-1.111933261451</v>
      </c>
      <c r="AE5032">
        <v>-2.0980500000000002</v>
      </c>
      <c r="AF5032">
        <v>-4.3053226281033101</v>
      </c>
      <c r="AG5032">
        <v>-1.111933261451</v>
      </c>
      <c r="AH5032">
        <v>25.322322794751798</v>
      </c>
      <c r="AI5032">
        <v>92.478783873313603</v>
      </c>
      <c r="AJ5032">
        <v>99.649205896241995</v>
      </c>
      <c r="AK5032">
        <v>25.709769159437901</v>
      </c>
      <c r="AL5032">
        <v>80.314501298826301</v>
      </c>
      <c r="AM5032">
        <v>97.002001041253294</v>
      </c>
      <c r="AN5032">
        <v>1.00000001695673</v>
      </c>
    </row>
    <row r="5033" spans="1:40" x14ac:dyDescent="0.25">
      <c r="A5033" t="str">
        <f>"20190304155519170"</f>
        <v>20190304155519170</v>
      </c>
      <c r="B5033" t="str">
        <f>"1551686119162546"</f>
        <v>1551686119162546</v>
      </c>
      <c r="C5033" t="s">
        <v>40</v>
      </c>
      <c r="D5033">
        <v>4.614852</v>
      </c>
      <c r="E5033">
        <v>0.47937059999999998</v>
      </c>
      <c r="F5033" t="s">
        <v>94</v>
      </c>
      <c r="G5033">
        <v>-243.6747</v>
      </c>
      <c r="H5033" s="1">
        <v>-1.1350740000000001E-6</v>
      </c>
      <c r="I5033">
        <v>-62.531489999999998</v>
      </c>
      <c r="J5033">
        <v>-269.50049999999999</v>
      </c>
      <c r="K5033">
        <v>1.1119760000000001</v>
      </c>
      <c r="L5033">
        <v>-60.456819999999901</v>
      </c>
      <c r="M5033">
        <v>0.96922109999999995</v>
      </c>
      <c r="N5033">
        <v>-1.0207000000000001E-2</v>
      </c>
      <c r="O5033">
        <v>-0.24598030000000001</v>
      </c>
      <c r="P5033">
        <v>0.97936920000000005</v>
      </c>
      <c r="Q5033">
        <v>0.15878329999999999</v>
      </c>
      <c r="R5033">
        <v>-0.124996</v>
      </c>
      <c r="S5033">
        <v>3.0530400000000002</v>
      </c>
      <c r="T5033">
        <v>-0.13083900000000001</v>
      </c>
      <c r="U5033">
        <v>-0.24755859999999999</v>
      </c>
      <c r="V5033">
        <v>-0.1205537</v>
      </c>
      <c r="W5033">
        <v>0.16821449999999999</v>
      </c>
      <c r="X5033">
        <v>0.97835099999999997</v>
      </c>
      <c r="Y5033">
        <v>-0.16653860000000001</v>
      </c>
      <c r="Z5033">
        <v>1.2292590000000001E-2</v>
      </c>
      <c r="AA5033">
        <v>0.98595829999999995</v>
      </c>
      <c r="AB5033">
        <v>25</v>
      </c>
      <c r="AC5033">
        <v>25.825799999999902</v>
      </c>
      <c r="AD5033">
        <v>-1.111977135074</v>
      </c>
      <c r="AE5033">
        <v>-2.07467000000001</v>
      </c>
      <c r="AF5033">
        <v>-4.3340668466977998</v>
      </c>
      <c r="AG5033">
        <v>-1.111977135074</v>
      </c>
      <c r="AH5033">
        <v>25.495605418399201</v>
      </c>
      <c r="AI5033">
        <v>92.462065905359395</v>
      </c>
      <c r="AJ5033">
        <v>99.647638899574005</v>
      </c>
      <c r="AK5033">
        <v>25.885256889420301</v>
      </c>
      <c r="AL5033">
        <v>80.315977446319707</v>
      </c>
      <c r="AM5033">
        <v>97.024651387649698</v>
      </c>
      <c r="AN5033">
        <v>0.99999999589746902</v>
      </c>
    </row>
    <row r="5034" spans="1:40" x14ac:dyDescent="0.25">
      <c r="A5034" t="str">
        <f>"20190304155519182"</f>
        <v>20190304155519182</v>
      </c>
      <c r="B5034" t="str">
        <f>"1551686119173281"</f>
        <v>1551686119173281</v>
      </c>
      <c r="C5034" t="s">
        <v>40</v>
      </c>
      <c r="D5034">
        <v>4.5917469999999998</v>
      </c>
      <c r="E5034">
        <v>0.47953240000000003</v>
      </c>
      <c r="F5034" t="s">
        <v>94</v>
      </c>
      <c r="G5034">
        <v>-243.5016</v>
      </c>
      <c r="H5034" s="1">
        <v>-1.0611469999999999E-6</v>
      </c>
      <c r="I5034">
        <v>-62.532789999999999</v>
      </c>
      <c r="J5034">
        <v>-269.37529999999998</v>
      </c>
      <c r="K5034">
        <v>1.112025</v>
      </c>
      <c r="L5034">
        <v>-60.487000000000002</v>
      </c>
      <c r="M5034">
        <v>0.96960369999999996</v>
      </c>
      <c r="N5034">
        <v>-1.019171E-2</v>
      </c>
      <c r="O5034">
        <v>-0.24446850000000001</v>
      </c>
      <c r="P5034">
        <v>0.97962959999999999</v>
      </c>
      <c r="Q5034">
        <v>0.15873309999999999</v>
      </c>
      <c r="R5034">
        <v>-0.123002</v>
      </c>
      <c r="S5034">
        <v>3.0532530000000002</v>
      </c>
      <c r="T5034">
        <v>-0.13058819999999999</v>
      </c>
      <c r="U5034">
        <v>-0.24380489999999999</v>
      </c>
      <c r="V5034">
        <v>-0.1210415</v>
      </c>
      <c r="W5034">
        <v>0.1681328</v>
      </c>
      <c r="X5034">
        <v>0.97830479999999997</v>
      </c>
      <c r="Y5034">
        <v>-0.166213</v>
      </c>
      <c r="Z5034">
        <v>1.22129E-2</v>
      </c>
      <c r="AA5034">
        <v>0.98601419999999995</v>
      </c>
      <c r="AB5034">
        <v>25</v>
      </c>
      <c r="AC5034">
        <v>25.8736999999999</v>
      </c>
      <c r="AD5034">
        <v>-1.1120260611470001</v>
      </c>
      <c r="AE5034">
        <v>-2.04579000000001</v>
      </c>
      <c r="AF5034">
        <v>-4.3339685166405397</v>
      </c>
      <c r="AG5034">
        <v>-1.1120260611470001</v>
      </c>
      <c r="AH5034">
        <v>25.541807197608801</v>
      </c>
      <c r="AI5034">
        <v>92.457851981045593</v>
      </c>
      <c r="AJ5034">
        <v>99.630300311937205</v>
      </c>
      <c r="AK5034">
        <v>25.930750085250502</v>
      </c>
      <c r="AL5034">
        <v>80.320726013812703</v>
      </c>
      <c r="AM5034">
        <v>97.053119463699602</v>
      </c>
      <c r="AN5034">
        <v>0.99999998243056398</v>
      </c>
    </row>
    <row r="5035" spans="1:40" x14ac:dyDescent="0.25">
      <c r="A5035" t="str">
        <f>"20190304155519196"</f>
        <v>20190304155519196</v>
      </c>
      <c r="B5035" t="str">
        <f>"1551686119192802"</f>
        <v>1551686119192802</v>
      </c>
      <c r="C5035" t="s">
        <v>40</v>
      </c>
      <c r="D5035">
        <v>4.5921050000000001</v>
      </c>
      <c r="E5035">
        <v>0.47971059999999999</v>
      </c>
      <c r="F5035" t="s">
        <v>94</v>
      </c>
      <c r="G5035">
        <v>-243.35579999999999</v>
      </c>
      <c r="H5035" s="1">
        <v>-9.9658879999999994E-7</v>
      </c>
      <c r="I5035">
        <v>-62.525170000000003</v>
      </c>
      <c r="J5035">
        <v>-269.2174</v>
      </c>
      <c r="K5035">
        <v>1.11208</v>
      </c>
      <c r="L5035">
        <v>-60.524540000000002</v>
      </c>
      <c r="M5035">
        <v>0.97009959999999995</v>
      </c>
      <c r="N5035">
        <v>-1.0175389999999999E-2</v>
      </c>
      <c r="O5035">
        <v>-0.2424936</v>
      </c>
      <c r="P5035">
        <v>0.97991700000000004</v>
      </c>
      <c r="Q5035">
        <v>0.15852479999999999</v>
      </c>
      <c r="R5035">
        <v>-0.1209659</v>
      </c>
      <c r="S5035">
        <v>3.053528</v>
      </c>
      <c r="T5035">
        <v>-0.13050219999999901</v>
      </c>
      <c r="U5035">
        <v>-0.23919679999999999</v>
      </c>
      <c r="V5035">
        <v>-0.1211137</v>
      </c>
      <c r="W5035">
        <v>0.16789109999999999</v>
      </c>
      <c r="X5035">
        <v>0.97833740000000002</v>
      </c>
      <c r="Y5035">
        <v>-0.1656927</v>
      </c>
      <c r="Z5035">
        <v>1.213142E-2</v>
      </c>
      <c r="AA5035">
        <v>0.98610279999999995</v>
      </c>
      <c r="AB5035">
        <v>25</v>
      </c>
      <c r="AC5035">
        <v>25.861599999999999</v>
      </c>
      <c r="AD5035">
        <v>-1.1120809965888001</v>
      </c>
      <c r="AE5035">
        <v>-2.0006299999999899</v>
      </c>
      <c r="AF5035">
        <v>-4.3227408413805897</v>
      </c>
      <c r="AG5035">
        <v>-1.1120809965888001</v>
      </c>
      <c r="AH5035">
        <v>25.527869893664001</v>
      </c>
      <c r="AI5035">
        <v>92.459454090191798</v>
      </c>
      <c r="AJ5035">
        <v>99.610963933664394</v>
      </c>
      <c r="AK5035">
        <v>25.9151491184703</v>
      </c>
      <c r="AL5035">
        <v>80.334774357497196</v>
      </c>
      <c r="AM5035">
        <v>97.0570513749485</v>
      </c>
      <c r="AN5035">
        <v>1.00000000901283</v>
      </c>
    </row>
    <row r="5036" spans="1:40" x14ac:dyDescent="0.25">
      <c r="A5036" t="str">
        <f>"20190304155519208"</f>
        <v>20190304155519208</v>
      </c>
      <c r="B5036" t="str">
        <f>"1551686119202562"</f>
        <v>1551686119202562</v>
      </c>
      <c r="C5036" t="s">
        <v>40</v>
      </c>
      <c r="D5036">
        <v>4.5639890000000003</v>
      </c>
      <c r="E5036">
        <v>0.49034889999999998</v>
      </c>
      <c r="F5036" t="s">
        <v>94</v>
      </c>
      <c r="G5036">
        <v>-243.21350000000001</v>
      </c>
      <c r="H5036" s="1">
        <v>-9.3424980000000001E-7</v>
      </c>
      <c r="I5036">
        <v>-62.520319999999998</v>
      </c>
      <c r="J5036">
        <v>-269.09570000000002</v>
      </c>
      <c r="K5036">
        <v>1.112123</v>
      </c>
      <c r="L5036">
        <v>-60.553220000000003</v>
      </c>
      <c r="M5036">
        <v>0.97048570000000001</v>
      </c>
      <c r="N5036">
        <v>-1.016393E-2</v>
      </c>
      <c r="O5036">
        <v>-0.2409444</v>
      </c>
      <c r="P5036">
        <v>0.98012440000000001</v>
      </c>
      <c r="Q5036">
        <v>0.1583871</v>
      </c>
      <c r="R5036">
        <v>-0.1194569</v>
      </c>
      <c r="S5036">
        <v>3.0536799999999999</v>
      </c>
      <c r="T5036">
        <v>-0.13059369999999901</v>
      </c>
      <c r="U5036">
        <v>-0.234375</v>
      </c>
      <c r="V5036">
        <v>-0.1210797</v>
      </c>
      <c r="W5036">
        <v>0.167730399999999</v>
      </c>
      <c r="X5036">
        <v>0.97836920000000005</v>
      </c>
      <c r="Y5036">
        <v>-0.16567000000000001</v>
      </c>
      <c r="Z5036">
        <v>1.209473E-2</v>
      </c>
      <c r="AA5036">
        <v>0.98610710000000001</v>
      </c>
      <c r="AB5036">
        <v>25</v>
      </c>
      <c r="AC5036">
        <v>25.882200000000001</v>
      </c>
      <c r="AD5036">
        <v>-1.1121239342497999</v>
      </c>
      <c r="AE5036">
        <v>-1.9671000000000001</v>
      </c>
      <c r="AF5036">
        <v>-4.31942306637524</v>
      </c>
      <c r="AG5036">
        <v>-1.1121239342497999</v>
      </c>
      <c r="AH5036">
        <v>25.546692525717901</v>
      </c>
      <c r="AI5036">
        <v>92.457841800048698</v>
      </c>
      <c r="AJ5036">
        <v>99.596780490880903</v>
      </c>
      <c r="AK5036">
        <v>25.933139691812102</v>
      </c>
      <c r="AL5036">
        <v>80.344114500628805</v>
      </c>
      <c r="AM5036">
        <v>97.054863229478499</v>
      </c>
      <c r="AN5036">
        <v>1.0000000361724399</v>
      </c>
    </row>
    <row r="5037" spans="1:40" x14ac:dyDescent="0.25">
      <c r="A5037" t="str">
        <f>"20190304155519220"</f>
        <v>20190304155519220</v>
      </c>
      <c r="B5037" t="str">
        <f>"1551686119213299"</f>
        <v>1551686119213299</v>
      </c>
      <c r="C5037" t="s">
        <v>40</v>
      </c>
      <c r="D5037">
        <v>4.5773510000000002</v>
      </c>
      <c r="E5037">
        <v>0.48823509999999998</v>
      </c>
      <c r="F5037" t="s">
        <v>98</v>
      </c>
      <c r="G5037">
        <v>-235.77099999999999</v>
      </c>
      <c r="H5037" s="1">
        <v>-2.4189089999999999E-6</v>
      </c>
      <c r="I5037">
        <v>-63.976719999999901</v>
      </c>
      <c r="J5037">
        <v>-268.96879999999999</v>
      </c>
      <c r="K5037">
        <v>1.112163</v>
      </c>
      <c r="L5037">
        <v>-60.582979999999999</v>
      </c>
      <c r="M5037">
        <v>0.97089119999999995</v>
      </c>
      <c r="N5037">
        <v>-1.015281E-2</v>
      </c>
      <c r="O5037">
        <v>-0.23930589999999999</v>
      </c>
      <c r="P5037">
        <v>0.98039069999999995</v>
      </c>
      <c r="Q5037">
        <v>0.1577596</v>
      </c>
      <c r="R5037">
        <v>-0.11809450000000001</v>
      </c>
      <c r="S5037">
        <v>3.0391849999999998</v>
      </c>
      <c r="T5037">
        <v>-0.10142470000000001</v>
      </c>
      <c r="U5037">
        <v>-0.31222529999999998</v>
      </c>
      <c r="V5037">
        <v>-0.1208254</v>
      </c>
      <c r="W5037">
        <v>0.1670826</v>
      </c>
      <c r="X5037">
        <v>0.97851149999999998</v>
      </c>
      <c r="Y5037">
        <v>-0.1386792</v>
      </c>
      <c r="Z5037">
        <v>8.4452799999999995E-3</v>
      </c>
      <c r="AA5037">
        <v>0.9903014</v>
      </c>
      <c r="AB5037">
        <v>25</v>
      </c>
      <c r="AC5037">
        <v>33.197800000000001</v>
      </c>
      <c r="AD5037">
        <v>-1.112165418909</v>
      </c>
      <c r="AE5037">
        <v>-3.3937399999999802</v>
      </c>
      <c r="AF5037">
        <v>-4.6445576795363896</v>
      </c>
      <c r="AG5037">
        <v>-1.112165418909</v>
      </c>
      <c r="AH5037">
        <v>33.008631774868803</v>
      </c>
      <c r="AI5037">
        <v>91.910936367582593</v>
      </c>
      <c r="AJ5037">
        <v>98.009356594525897</v>
      </c>
      <c r="AK5037">
        <v>33.352340241824699</v>
      </c>
      <c r="AL5037">
        <v>80.381762259790406</v>
      </c>
      <c r="AM5037">
        <v>97.039181412342003</v>
      </c>
      <c r="AN5037">
        <v>1.0000000640700799</v>
      </c>
    </row>
    <row r="5038" spans="1:40" x14ac:dyDescent="0.25">
      <c r="A5038" t="str">
        <f>"20190304155519232"</f>
        <v>20190304155519232</v>
      </c>
      <c r="B5038" t="str">
        <f>"1551686119223058"</f>
        <v>1551686119223058</v>
      </c>
      <c r="C5038" t="s">
        <v>40</v>
      </c>
      <c r="D5038">
        <v>4.53172</v>
      </c>
      <c r="E5038">
        <v>0.4887146</v>
      </c>
      <c r="F5038" t="s">
        <v>94</v>
      </c>
      <c r="G5038">
        <v>-240.59370000000001</v>
      </c>
      <c r="H5038" s="1">
        <v>-1.984336E-8</v>
      </c>
      <c r="I5038">
        <v>-63.307600000000001</v>
      </c>
      <c r="J5038">
        <v>-268.834</v>
      </c>
      <c r="K5038">
        <v>1.1122019999999999</v>
      </c>
      <c r="L5038">
        <v>-60.614139999999999</v>
      </c>
      <c r="M5038">
        <v>0.97132989999999997</v>
      </c>
      <c r="N5038">
        <v>-1.0142679999999999E-2</v>
      </c>
      <c r="O5038">
        <v>-0.2375196</v>
      </c>
      <c r="P5038">
        <v>0.98069070000000003</v>
      </c>
      <c r="Q5038">
        <v>0.1573</v>
      </c>
      <c r="R5038">
        <v>-0.11620080000000001</v>
      </c>
      <c r="S5038">
        <v>3.044006</v>
      </c>
      <c r="T5038">
        <v>-0.1193101</v>
      </c>
      <c r="U5038">
        <v>-0.29229739999999999</v>
      </c>
      <c r="V5038">
        <v>-0.1209479</v>
      </c>
      <c r="W5038">
        <v>0.1666002</v>
      </c>
      <c r="X5038">
        <v>0.97857859999999997</v>
      </c>
      <c r="Y5038">
        <v>-0.143363299999999</v>
      </c>
      <c r="Z5038">
        <v>1.0294889999999999E-2</v>
      </c>
      <c r="AA5038">
        <v>0.98961659999999996</v>
      </c>
      <c r="AB5038">
        <v>25</v>
      </c>
      <c r="AC5038">
        <v>28.240299999999898</v>
      </c>
      <c r="AD5038">
        <v>-1.11220201984336</v>
      </c>
      <c r="AE5038">
        <v>-2.69346</v>
      </c>
      <c r="AF5038">
        <v>-4.0853171126308601</v>
      </c>
      <c r="AG5038">
        <v>-1.11220201984336</v>
      </c>
      <c r="AH5038">
        <v>28.028755960331999</v>
      </c>
      <c r="AI5038">
        <v>92.248612398597501</v>
      </c>
      <c r="AJ5038">
        <v>98.292721766834802</v>
      </c>
      <c r="AK5038">
        <v>28.346745314542598</v>
      </c>
      <c r="AL5038">
        <v>80.409794503275094</v>
      </c>
      <c r="AM5038">
        <v>97.045768152917006</v>
      </c>
      <c r="AN5038">
        <v>1.0000000487662</v>
      </c>
    </row>
    <row r="5039" spans="1:40" x14ac:dyDescent="0.25">
      <c r="A5039" t="str">
        <f>"20190304155519248"</f>
        <v>20190304155519248</v>
      </c>
      <c r="B5039" t="str">
        <f>"1551686119242578"</f>
        <v>1551686119242578</v>
      </c>
      <c r="C5039" t="s">
        <v>40</v>
      </c>
      <c r="D5039">
        <v>4.543539</v>
      </c>
      <c r="E5039">
        <v>0.48866880000000001</v>
      </c>
      <c r="F5039" t="s">
        <v>94</v>
      </c>
      <c r="G5039">
        <v>-240.07570000000001</v>
      </c>
      <c r="H5039" s="1">
        <v>1.8941360000000001E-7</v>
      </c>
      <c r="I5039">
        <v>-63.356400000000001</v>
      </c>
      <c r="J5039">
        <v>-268.67200000000003</v>
      </c>
      <c r="K5039">
        <v>1.112247</v>
      </c>
      <c r="L5039">
        <v>-60.651339999999998</v>
      </c>
      <c r="M5039">
        <v>0.97186079999999997</v>
      </c>
      <c r="N5039">
        <v>-1.0131609999999999E-2</v>
      </c>
      <c r="O5039">
        <v>-0.23533809999999999</v>
      </c>
      <c r="P5039">
        <v>0.98103700000000005</v>
      </c>
      <c r="Q5039">
        <v>0.1568792</v>
      </c>
      <c r="R5039">
        <v>-0.1138216</v>
      </c>
      <c r="S5039">
        <v>3.0435180000000002</v>
      </c>
      <c r="T5039">
        <v>-0.1177052</v>
      </c>
      <c r="U5039">
        <v>-0.29022219999999999</v>
      </c>
      <c r="V5039">
        <v>-0.1211578</v>
      </c>
      <c r="W5039">
        <v>0.166154</v>
      </c>
      <c r="X5039">
        <v>0.97862850000000001</v>
      </c>
      <c r="Y5039">
        <v>-0.1418035</v>
      </c>
      <c r="Z5039">
        <v>1.0040729999999999E-2</v>
      </c>
      <c r="AA5039">
        <v>0.9898439</v>
      </c>
      <c r="AB5039">
        <v>25</v>
      </c>
      <c r="AC5039">
        <v>28.596299999999999</v>
      </c>
      <c r="AD5039">
        <v>-1.1122468105863901</v>
      </c>
      <c r="AE5039">
        <v>-2.7050599999999898</v>
      </c>
      <c r="AF5039">
        <v>-4.0949275680489299</v>
      </c>
      <c r="AG5039">
        <v>-1.1122468105863901</v>
      </c>
      <c r="AH5039">
        <v>28.387121360060299</v>
      </c>
      <c r="AI5039">
        <v>92.220816362868305</v>
      </c>
      <c r="AJ5039">
        <v>98.208464478011393</v>
      </c>
      <c r="AK5039">
        <v>28.702511804126399</v>
      </c>
      <c r="AL5039">
        <v>80.435721277904307</v>
      </c>
      <c r="AM5039">
        <v>97.057516322395699</v>
      </c>
      <c r="AN5039">
        <v>1.0000000526145401</v>
      </c>
    </row>
    <row r="5040" spans="1:40" x14ac:dyDescent="0.25">
      <c r="A5040" t="str">
        <f>"20190304155519265"</f>
        <v>20190304155519265</v>
      </c>
      <c r="B5040" t="str">
        <f>"1551686119253314"</f>
        <v>1551686119253314</v>
      </c>
      <c r="C5040" t="s">
        <v>40</v>
      </c>
      <c r="D5040">
        <v>4.5518380000000001</v>
      </c>
      <c r="E5040">
        <v>0.48815730000000002</v>
      </c>
      <c r="F5040" t="s">
        <v>94</v>
      </c>
      <c r="G5040">
        <v>-240.78290000000001</v>
      </c>
      <c r="H5040" s="1">
        <v>-8.3803229999999894E-8</v>
      </c>
      <c r="I5040">
        <v>-63.242989999999999</v>
      </c>
      <c r="J5040">
        <v>-268.48759999999999</v>
      </c>
      <c r="K5040">
        <v>1.1122970000000001</v>
      </c>
      <c r="L5040">
        <v>-60.693150000000003</v>
      </c>
      <c r="M5040">
        <v>0.97247229999999996</v>
      </c>
      <c r="N5040">
        <v>-1.012091E-2</v>
      </c>
      <c r="O5040">
        <v>-0.23279910000000001</v>
      </c>
      <c r="P5040">
        <v>0.98150150000000003</v>
      </c>
      <c r="Q5040">
        <v>0.15599440000000001</v>
      </c>
      <c r="R5040">
        <v>-0.1110001</v>
      </c>
      <c r="S5040">
        <v>3.044556</v>
      </c>
      <c r="T5040">
        <v>-0.1214201</v>
      </c>
      <c r="U5040">
        <v>-0.28292850000000003</v>
      </c>
      <c r="V5040">
        <v>-0.1214674</v>
      </c>
      <c r="W5040">
        <v>0.16524169999999999</v>
      </c>
      <c r="X5040">
        <v>0.97874450000000002</v>
      </c>
      <c r="Y5040">
        <v>-0.141586299999999</v>
      </c>
      <c r="Z5040">
        <v>1.0332610000000001E-2</v>
      </c>
      <c r="AA5040">
        <v>0.98987199999999997</v>
      </c>
      <c r="AB5040">
        <v>25</v>
      </c>
      <c r="AC5040">
        <v>27.7046999999999</v>
      </c>
      <c r="AD5040">
        <v>-1.11229708380322</v>
      </c>
      <c r="AE5040">
        <v>-2.5498399999999899</v>
      </c>
      <c r="AF5040">
        <v>-3.96384773824068</v>
      </c>
      <c r="AG5040">
        <v>-1.11229708380322</v>
      </c>
      <c r="AH5040">
        <v>27.493117456068202</v>
      </c>
      <c r="AI5040">
        <v>92.293084053739506</v>
      </c>
      <c r="AJ5040">
        <v>98.204142364587796</v>
      </c>
      <c r="AK5040">
        <v>27.799654694757599</v>
      </c>
      <c r="AL5040">
        <v>80.488724139604997</v>
      </c>
      <c r="AM5040">
        <v>97.074538088572098</v>
      </c>
      <c r="AN5040">
        <v>0.99999997248094896</v>
      </c>
    </row>
    <row r="5041" spans="1:40" x14ac:dyDescent="0.25">
      <c r="A5041" t="str">
        <f>"20190304155519276"</f>
        <v>20190304155519276</v>
      </c>
      <c r="B5041" t="str">
        <f>"1551686119272834"</f>
        <v>1551686119272834</v>
      </c>
      <c r="C5041" t="s">
        <v>40</v>
      </c>
      <c r="D5041">
        <v>4.5233280000000002</v>
      </c>
      <c r="E5041">
        <v>0.4891086</v>
      </c>
      <c r="F5041" t="s">
        <v>94</v>
      </c>
      <c r="G5041">
        <v>-241.95959999999999</v>
      </c>
      <c r="H5041" s="1">
        <v>-5.3743249999999998E-7</v>
      </c>
      <c r="I5041">
        <v>-63.05068</v>
      </c>
      <c r="J5041">
        <v>-268.35930000000002</v>
      </c>
      <c r="K5041">
        <v>1.112331</v>
      </c>
      <c r="L5041">
        <v>-60.72186</v>
      </c>
      <c r="M5041">
        <v>0.97290310000000002</v>
      </c>
      <c r="N5041">
        <v>-1.011482E-2</v>
      </c>
      <c r="O5041">
        <v>-0.23099259999999999</v>
      </c>
      <c r="P5041">
        <v>0.98177760000000003</v>
      </c>
      <c r="Q5041">
        <v>0.15580369999999999</v>
      </c>
      <c r="R5041">
        <v>-0.1088025</v>
      </c>
      <c r="S5041">
        <v>3.0462039999999999</v>
      </c>
      <c r="T5041">
        <v>-0.12772459999999999</v>
      </c>
      <c r="U5041">
        <v>-0.2707214</v>
      </c>
      <c r="V5041">
        <v>-0.1218619</v>
      </c>
      <c r="W5041">
        <v>0.16503190000000001</v>
      </c>
      <c r="X5041">
        <v>0.97873089999999996</v>
      </c>
      <c r="Y5041">
        <v>-0.143702</v>
      </c>
      <c r="Z5041">
        <v>1.095206E-2</v>
      </c>
      <c r="AA5041">
        <v>0.98956040000000001</v>
      </c>
      <c r="AB5041">
        <v>25</v>
      </c>
      <c r="AC5041">
        <v>26.399699999999999</v>
      </c>
      <c r="AD5041">
        <v>-1.1123315374325</v>
      </c>
      <c r="AE5041">
        <v>-2.3288199999999999</v>
      </c>
      <c r="AF5041">
        <v>-3.8258749577161502</v>
      </c>
      <c r="AG5041">
        <v>-1.1123315374325</v>
      </c>
      <c r="AH5041">
        <v>26.1775133273538</v>
      </c>
      <c r="AI5041">
        <v>92.407594347880703</v>
      </c>
      <c r="AJ5041">
        <v>98.314977253960706</v>
      </c>
      <c r="AK5041">
        <v>26.4789879837775</v>
      </c>
      <c r="AL5041">
        <v>80.500912512524295</v>
      </c>
      <c r="AM5041">
        <v>97.097378340309007</v>
      </c>
      <c r="AN5041">
        <v>1.0000000126520101</v>
      </c>
    </row>
    <row r="5042" spans="1:40" x14ac:dyDescent="0.25">
      <c r="A5042" t="str">
        <f>"20190304155519298"</f>
        <v>20190304155519298</v>
      </c>
      <c r="B5042" t="str">
        <f>"1551686119293330"</f>
        <v>1551686119293330</v>
      </c>
      <c r="C5042" t="s">
        <v>40</v>
      </c>
      <c r="D5042">
        <v>4.5362869999999997</v>
      </c>
      <c r="E5042">
        <v>0.48908760000000001</v>
      </c>
      <c r="F5042" t="s">
        <v>94</v>
      </c>
      <c r="G5042">
        <v>-241.31960000000001</v>
      </c>
      <c r="H5042" s="1">
        <v>-2.8414149999999999E-7</v>
      </c>
      <c r="I5042">
        <v>-63.130589999999998</v>
      </c>
      <c r="J5042">
        <v>-268.12959999999998</v>
      </c>
      <c r="K5042">
        <v>1.112392</v>
      </c>
      <c r="L5042">
        <v>-60.77261</v>
      </c>
      <c r="M5042">
        <v>0.97367820000000005</v>
      </c>
      <c r="N5042">
        <v>-1.0105599999999999E-2</v>
      </c>
      <c r="O5042">
        <v>-0.22770309999999999</v>
      </c>
      <c r="P5042">
        <v>0.98225209999999996</v>
      </c>
      <c r="Q5042">
        <v>0.15542639999999999</v>
      </c>
      <c r="R5042">
        <v>-0.1049935</v>
      </c>
      <c r="S5042">
        <v>3.045471</v>
      </c>
      <c r="T5042">
        <v>-0.12528149999999999</v>
      </c>
      <c r="U5042">
        <v>-0.27130130000000002</v>
      </c>
      <c r="V5042">
        <v>-0.12238880000000001</v>
      </c>
      <c r="W5042">
        <v>0.1646232</v>
      </c>
      <c r="X5042">
        <v>0.97873399999999999</v>
      </c>
      <c r="Y5042">
        <v>-0.14016439999999999</v>
      </c>
      <c r="Z5042">
        <v>1.052792E-2</v>
      </c>
      <c r="AA5042">
        <v>0.99007230000000002</v>
      </c>
      <c r="AB5042">
        <v>25</v>
      </c>
      <c r="AC5042">
        <v>26.809999999999899</v>
      </c>
      <c r="AD5042">
        <v>-1.1123922841414999</v>
      </c>
      <c r="AE5042">
        <v>-2.35798</v>
      </c>
      <c r="AF5042">
        <v>-3.8025047765662801</v>
      </c>
      <c r="AG5042">
        <v>-1.1123922841414999</v>
      </c>
      <c r="AH5042">
        <v>26.597154383663401</v>
      </c>
      <c r="AI5042">
        <v>92.370848682105006</v>
      </c>
      <c r="AJ5042">
        <v>98.136248357906695</v>
      </c>
      <c r="AK5042">
        <v>26.890613241018698</v>
      </c>
      <c r="AL5042">
        <v>80.524654185954901</v>
      </c>
      <c r="AM5042">
        <v>97.1277282986145</v>
      </c>
      <c r="AN5042">
        <v>1.0000000295498299</v>
      </c>
    </row>
    <row r="5043" spans="1:40" x14ac:dyDescent="0.25">
      <c r="A5043" t="str">
        <f>"20190304155519310"</f>
        <v>20190304155519310</v>
      </c>
      <c r="B5043" t="str">
        <f>"1551686119303090"</f>
        <v>1551686119303090</v>
      </c>
      <c r="C5043" t="s">
        <v>40</v>
      </c>
      <c r="D5043">
        <v>4.4810949999999998</v>
      </c>
      <c r="E5043">
        <v>0.48914859999999999</v>
      </c>
      <c r="F5043" t="s">
        <v>94</v>
      </c>
      <c r="G5043">
        <v>-241.63290000000001</v>
      </c>
      <c r="H5043" s="1">
        <v>-3.9215500000000001E-7</v>
      </c>
      <c r="I5043">
        <v>-63.031440000000003</v>
      </c>
      <c r="J5043">
        <v>-267.99200000000002</v>
      </c>
      <c r="K5043">
        <v>1.1124289999999999</v>
      </c>
      <c r="L5043">
        <v>-60.802549999999997</v>
      </c>
      <c r="M5043">
        <v>0.97414780000000001</v>
      </c>
      <c r="N5043">
        <v>-1.010131E-2</v>
      </c>
      <c r="O5043">
        <v>-0.22568579999999999</v>
      </c>
      <c r="P5043">
        <v>0.98246920000000004</v>
      </c>
      <c r="Q5043">
        <v>0.15550229999999901</v>
      </c>
      <c r="R5043">
        <v>-0.10282769999999999</v>
      </c>
      <c r="S5043">
        <v>3.0466920000000002</v>
      </c>
      <c r="T5043">
        <v>-0.12790689999999999</v>
      </c>
      <c r="U5043">
        <v>-0.2597351</v>
      </c>
      <c r="V5043">
        <v>-0.12253319999999999</v>
      </c>
      <c r="W5043">
        <v>0.164682</v>
      </c>
      <c r="X5043">
        <v>0.97870599999999996</v>
      </c>
      <c r="Y5043">
        <v>-0.1418664</v>
      </c>
      <c r="Z5043">
        <v>1.076332E-2</v>
      </c>
      <c r="AA5043">
        <v>0.98982729999999997</v>
      </c>
      <c r="AB5043">
        <v>25</v>
      </c>
      <c r="AC5043">
        <v>26.359100000000002</v>
      </c>
      <c r="AD5043">
        <v>-1.1124293921549999</v>
      </c>
      <c r="AE5043">
        <v>-2.2288899999999998</v>
      </c>
      <c r="AF5043">
        <v>-3.7711299175476301</v>
      </c>
      <c r="AG5043">
        <v>-1.1124293921549999</v>
      </c>
      <c r="AH5043">
        <v>26.135803682928099</v>
      </c>
      <c r="AI5043">
        <v>92.412281705322499</v>
      </c>
      <c r="AJ5043">
        <v>98.210529740685502</v>
      </c>
      <c r="AK5043">
        <v>26.4298913005731</v>
      </c>
      <c r="AL5043">
        <v>80.521238201519594</v>
      </c>
      <c r="AM5043">
        <v>97.136253328333595</v>
      </c>
      <c r="AN5043">
        <v>0.99999999033111897</v>
      </c>
    </row>
    <row r="5044" spans="1:40" x14ac:dyDescent="0.25">
      <c r="A5044" t="str">
        <f>"20190304155519322"</f>
        <v>20190304155519322</v>
      </c>
      <c r="B5044" t="str">
        <f>"1551686119312851"</f>
        <v>1551686119312851</v>
      </c>
      <c r="C5044" t="s">
        <v>40</v>
      </c>
      <c r="D5044">
        <v>4.5195809999999996</v>
      </c>
      <c r="E5044">
        <v>0.48923919999999999</v>
      </c>
      <c r="F5044" t="s">
        <v>94</v>
      </c>
      <c r="G5044">
        <v>-241.41839999999999</v>
      </c>
      <c r="H5044" s="1">
        <v>-2.950221E-7</v>
      </c>
      <c r="I5044">
        <v>-63.012189999999997</v>
      </c>
      <c r="J5044">
        <v>-267.86880000000002</v>
      </c>
      <c r="K5044">
        <v>1.112463</v>
      </c>
      <c r="L5044">
        <v>-60.829160000000002</v>
      </c>
      <c r="M5044">
        <v>0.97456799999999999</v>
      </c>
      <c r="N5044">
        <v>-1.0097760000000001E-2</v>
      </c>
      <c r="O5044">
        <v>-0.2238648</v>
      </c>
      <c r="P5044">
        <v>0.98267579999999999</v>
      </c>
      <c r="Q5044">
        <v>0.15549849999999901</v>
      </c>
      <c r="R5044">
        <v>-0.1008405</v>
      </c>
      <c r="S5044">
        <v>3.0472109999999999</v>
      </c>
      <c r="T5044">
        <v>-0.1275628</v>
      </c>
      <c r="U5044">
        <v>-0.25338749999999999</v>
      </c>
      <c r="V5044">
        <v>-0.1226979</v>
      </c>
      <c r="W5044">
        <v>0.16466320000000001</v>
      </c>
      <c r="X5044">
        <v>0.97868849999999996</v>
      </c>
      <c r="Y5044">
        <v>-0.14208019999999999</v>
      </c>
      <c r="Z5044">
        <v>1.0680230000000001E-2</v>
      </c>
      <c r="AA5044">
        <v>0.9897975</v>
      </c>
      <c r="AB5044">
        <v>25</v>
      </c>
      <c r="AC5044">
        <v>26.450399999999998</v>
      </c>
      <c r="AD5044">
        <v>-1.1124632950221001</v>
      </c>
      <c r="AE5044">
        <v>-2.18303</v>
      </c>
      <c r="AF5044">
        <v>-3.7873412196604401</v>
      </c>
      <c r="AG5044">
        <v>-1.1124632950221001</v>
      </c>
      <c r="AH5044">
        <v>26.221683494245799</v>
      </c>
      <c r="AI5044">
        <v>92.404414138493706</v>
      </c>
      <c r="AJ5044">
        <v>98.218705645098893</v>
      </c>
      <c r="AK5044">
        <v>26.5171305643977</v>
      </c>
      <c r="AL5044">
        <v>80.522330000443205</v>
      </c>
      <c r="AM5044">
        <v>97.145872710987504</v>
      </c>
      <c r="AN5044">
        <v>0.99999996206544906</v>
      </c>
    </row>
    <row r="5045" spans="1:40" x14ac:dyDescent="0.25">
      <c r="A5045" t="str">
        <f>"20190304155519333"</f>
        <v>20190304155519333</v>
      </c>
      <c r="B5045" t="str">
        <f>"1551686119322611"</f>
        <v>1551686119322611</v>
      </c>
      <c r="C5045" t="s">
        <v>40</v>
      </c>
      <c r="D5045">
        <v>4.5634779999999999</v>
      </c>
      <c r="E5045">
        <v>0.4895042</v>
      </c>
      <c r="F5045" t="s">
        <v>94</v>
      </c>
      <c r="G5045">
        <v>-240.81710000000001</v>
      </c>
      <c r="H5045" s="1">
        <v>-4.153151E-8</v>
      </c>
      <c r="I5045">
        <v>-63.028889999999997</v>
      </c>
      <c r="J5045">
        <v>-267.74099999999999</v>
      </c>
      <c r="K5045">
        <v>1.1124989999999999</v>
      </c>
      <c r="L5045">
        <v>-60.856319999999997</v>
      </c>
      <c r="M5045">
        <v>0.97501000000000004</v>
      </c>
      <c r="N5045">
        <v>-1.009525E-2</v>
      </c>
      <c r="O5045">
        <v>-0.2219323</v>
      </c>
      <c r="P5045">
        <v>0.9829367</v>
      </c>
      <c r="Q5045">
        <v>0.15513250000000001</v>
      </c>
      <c r="R5045">
        <v>-9.8842009999999994E-2</v>
      </c>
      <c r="S5045">
        <v>3.0473330000000001</v>
      </c>
      <c r="T5045">
        <v>-0.12531729999999999</v>
      </c>
      <c r="U5045">
        <v>-0.24780269999999999</v>
      </c>
      <c r="V5045">
        <v>-0.12277440000000001</v>
      </c>
      <c r="W5045">
        <v>0.1642827</v>
      </c>
      <c r="X5045">
        <v>0.97874289999999997</v>
      </c>
      <c r="Y5045">
        <v>-0.1419337</v>
      </c>
      <c r="Z5045">
        <v>1.040492E-2</v>
      </c>
      <c r="AA5045">
        <v>0.98982150000000002</v>
      </c>
      <c r="AB5045">
        <v>25</v>
      </c>
      <c r="AC5045">
        <v>26.9238999999999</v>
      </c>
      <c r="AD5045">
        <v>-1.1124990415315099</v>
      </c>
      <c r="AE5045">
        <v>-2.1725699999999999</v>
      </c>
      <c r="AF5045">
        <v>-3.8506695176386998</v>
      </c>
      <c r="AG5045">
        <v>-1.1124990415315099</v>
      </c>
      <c r="AH5045">
        <v>26.6893194322776</v>
      </c>
      <c r="AI5045">
        <v>92.362461957904898</v>
      </c>
      <c r="AJ5045">
        <v>98.209841900780404</v>
      </c>
      <c r="AK5045">
        <v>26.9886102200471</v>
      </c>
      <c r="AL5045">
        <v>80.544432512367706</v>
      </c>
      <c r="AM5045">
        <v>97.149888627427998</v>
      </c>
      <c r="AN5045">
        <v>1.0000000115575201</v>
      </c>
    </row>
    <row r="5046" spans="1:40" x14ac:dyDescent="0.25">
      <c r="A5046" t="str">
        <f>"20190304155519345"</f>
        <v>20190304155519345</v>
      </c>
      <c r="B5046" t="str">
        <f>"1551686119342638"</f>
        <v>1551686119342638</v>
      </c>
      <c r="C5046" t="s">
        <v>40</v>
      </c>
      <c r="D5046">
        <v>4.542052</v>
      </c>
      <c r="E5046">
        <v>0.48982700000000001</v>
      </c>
      <c r="F5046" t="s">
        <v>94</v>
      </c>
      <c r="G5046">
        <v>-240.5307</v>
      </c>
      <c r="H5046" s="1">
        <v>8.0597540000000004E-8</v>
      </c>
      <c r="I5046">
        <v>-63.031680000000001</v>
      </c>
      <c r="J5046">
        <v>-267.61700000000002</v>
      </c>
      <c r="K5046">
        <v>1.1125309999999999</v>
      </c>
      <c r="L5046">
        <v>-60.882539999999999</v>
      </c>
      <c r="M5046">
        <v>0.97543809999999997</v>
      </c>
      <c r="N5046">
        <v>-1.0093090000000001E-2</v>
      </c>
      <c r="O5046">
        <v>-0.22004309999999999</v>
      </c>
      <c r="P5046">
        <v>0.9831647</v>
      </c>
      <c r="Q5046">
        <v>0.154856299999999</v>
      </c>
      <c r="R5046">
        <v>-9.6990409999999999E-2</v>
      </c>
      <c r="S5046">
        <v>3.0472410000000001</v>
      </c>
      <c r="T5046">
        <v>-0.12458710000000001</v>
      </c>
      <c r="U5046">
        <v>-0.2436218</v>
      </c>
      <c r="V5046">
        <v>-0.1227449</v>
      </c>
      <c r="W5046">
        <v>0.16399439999999901</v>
      </c>
      <c r="X5046">
        <v>0.97879490000000002</v>
      </c>
      <c r="Y5046">
        <v>-0.14136750000000001</v>
      </c>
      <c r="Z5046">
        <v>1.026677E-2</v>
      </c>
      <c r="AA5046">
        <v>0.98990389999999995</v>
      </c>
      <c r="AB5046">
        <v>25</v>
      </c>
      <c r="AC5046">
        <v>27.086300000000001</v>
      </c>
      <c r="AD5046">
        <v>-1.11253091940246</v>
      </c>
      <c r="AE5046">
        <v>-2.1491399999999898</v>
      </c>
      <c r="AF5046">
        <v>-3.8575294908023801</v>
      </c>
      <c r="AG5046">
        <v>-1.11253091940246</v>
      </c>
      <c r="AH5046">
        <v>26.850264016483699</v>
      </c>
      <c r="AI5046">
        <v>92.3485857314665</v>
      </c>
      <c r="AJ5046">
        <v>98.175638737752493</v>
      </c>
      <c r="AK5046">
        <v>27.148755709496399</v>
      </c>
      <c r="AL5046">
        <v>80.561177555982596</v>
      </c>
      <c r="AM5046">
        <v>97.147812608483804</v>
      </c>
      <c r="AN5046">
        <v>0.99999996498668897</v>
      </c>
    </row>
    <row r="5047" spans="1:40" x14ac:dyDescent="0.25">
      <c r="A5047" t="str">
        <f>"20190304155519356"</f>
        <v>20190304155519356</v>
      </c>
      <c r="B5047" t="str">
        <f>"1551686119352397"</f>
        <v>1551686119352397</v>
      </c>
      <c r="C5047" t="s">
        <v>40</v>
      </c>
      <c r="D5047">
        <v>4.5677789999999998</v>
      </c>
      <c r="E5047">
        <v>0.48998059999999899</v>
      </c>
      <c r="F5047" t="s">
        <v>94</v>
      </c>
      <c r="G5047">
        <v>-240.11799999999999</v>
      </c>
      <c r="H5047" s="1">
        <v>2.5317150000000002E-7</v>
      </c>
      <c r="I5047">
        <v>-63.048580000000001</v>
      </c>
      <c r="J5047">
        <v>-267.49549999999999</v>
      </c>
      <c r="K5047">
        <v>1.112565</v>
      </c>
      <c r="L5047">
        <v>-60.907899999999998</v>
      </c>
      <c r="M5047">
        <v>0.97586039999999996</v>
      </c>
      <c r="N5047">
        <v>-1.0091670000000001E-2</v>
      </c>
      <c r="O5047">
        <v>-0.21816240000000001</v>
      </c>
      <c r="P5047">
        <v>0.98338389999999998</v>
      </c>
      <c r="Q5047">
        <v>0.1547124</v>
      </c>
      <c r="R5047">
        <v>-9.4976900000000003E-2</v>
      </c>
      <c r="S5047">
        <v>3.0471189999999999</v>
      </c>
      <c r="T5047">
        <v>-0.1232774</v>
      </c>
      <c r="U5047">
        <v>-0.24002080000000001</v>
      </c>
      <c r="V5047">
        <v>-0.12288159999999999</v>
      </c>
      <c r="W5047">
        <v>0.16383729999999999</v>
      </c>
      <c r="X5047">
        <v>0.97880409999999995</v>
      </c>
      <c r="Y5047">
        <v>-0.14062569999999999</v>
      </c>
      <c r="Z5047">
        <v>1.0070849999999999E-2</v>
      </c>
      <c r="AA5047">
        <v>0.99001159999999999</v>
      </c>
      <c r="AB5047">
        <v>25</v>
      </c>
      <c r="AC5047">
        <v>27.377500000000001</v>
      </c>
      <c r="AD5047">
        <v>-1.1125647468285</v>
      </c>
      <c r="AE5047">
        <v>-2.1406800000000001</v>
      </c>
      <c r="AF5047">
        <v>-3.8775690019114002</v>
      </c>
      <c r="AG5047">
        <v>-1.1125647468285</v>
      </c>
      <c r="AH5047">
        <v>27.140467147793199</v>
      </c>
      <c r="AI5047">
        <v>92.323831383388793</v>
      </c>
      <c r="AJ5047">
        <v>98.130845920936295</v>
      </c>
      <c r="AK5047">
        <v>27.438627857108902</v>
      </c>
      <c r="AL5047">
        <v>80.570302542388305</v>
      </c>
      <c r="AM5047">
        <v>97.155624035586499</v>
      </c>
      <c r="AN5047">
        <v>1.0000000073333299</v>
      </c>
    </row>
    <row r="5048" spans="1:40" x14ac:dyDescent="0.25">
      <c r="A5048" t="str">
        <f>"20190304155519368"</f>
        <v>20190304155519368</v>
      </c>
      <c r="B5048" t="str">
        <f>"1551686119363134"</f>
        <v>1551686119363134</v>
      </c>
      <c r="C5048" t="s">
        <v>40</v>
      </c>
      <c r="D5048">
        <v>4.5648749999999998</v>
      </c>
      <c r="E5048">
        <v>0.4900775</v>
      </c>
      <c r="F5048" t="s">
        <v>98</v>
      </c>
      <c r="G5048">
        <v>-239.9384</v>
      </c>
      <c r="H5048" s="1">
        <v>-3.7258750000000001E-6</v>
      </c>
      <c r="I5048">
        <v>-63.031689999999998</v>
      </c>
      <c r="J5048">
        <v>-267.37450000000001</v>
      </c>
      <c r="K5048">
        <v>1.112598</v>
      </c>
      <c r="L5048">
        <v>-60.932859999999998</v>
      </c>
      <c r="M5048">
        <v>0.97628170000000003</v>
      </c>
      <c r="N5048">
        <v>-1.009064E-2</v>
      </c>
      <c r="O5048">
        <v>-0.2162694</v>
      </c>
      <c r="P5048">
        <v>0.98361169999999998</v>
      </c>
      <c r="Q5048">
        <v>0.1546496</v>
      </c>
      <c r="R5048">
        <v>-9.2692259999999999E-2</v>
      </c>
      <c r="S5048">
        <v>3.0473629999999998</v>
      </c>
      <c r="T5048">
        <v>-0.12303219999999999</v>
      </c>
      <c r="U5048">
        <v>-0.2348633</v>
      </c>
      <c r="V5048">
        <v>-0.1232729</v>
      </c>
      <c r="W5048">
        <v>0.16376009999999999</v>
      </c>
      <c r="X5048">
        <v>0.97876779999999997</v>
      </c>
      <c r="Y5048">
        <v>-0.14037929999999901</v>
      </c>
      <c r="Z5048">
        <v>9.9868660000000005E-3</v>
      </c>
      <c r="AA5048">
        <v>0.99004749999999997</v>
      </c>
      <c r="AB5048">
        <v>25</v>
      </c>
      <c r="AC5048">
        <v>27.4361</v>
      </c>
      <c r="AD5048">
        <v>-1.1126017258750001</v>
      </c>
      <c r="AE5048">
        <v>-2.09883</v>
      </c>
      <c r="AF5048">
        <v>-3.8783959662186298</v>
      </c>
      <c r="AG5048">
        <v>-1.1126017258750001</v>
      </c>
      <c r="AH5048">
        <v>27.196194742516798</v>
      </c>
      <c r="AI5048">
        <v>92.3192368526732</v>
      </c>
      <c r="AJ5048">
        <v>98.116114648172896</v>
      </c>
      <c r="AK5048">
        <v>27.493869250145501</v>
      </c>
      <c r="AL5048">
        <v>80.574786192360094</v>
      </c>
      <c r="AM5048">
        <v>97.178436292946401</v>
      </c>
      <c r="AN5048">
        <v>0.99999999227162994</v>
      </c>
    </row>
    <row r="5049" spans="1:40" x14ac:dyDescent="0.25">
      <c r="A5049" t="str">
        <f>"20190304155519379"</f>
        <v>20190304155519379</v>
      </c>
      <c r="B5049" t="str">
        <f>"1551686119372894"</f>
        <v>1551686119372894</v>
      </c>
      <c r="C5049" t="s">
        <v>40</v>
      </c>
      <c r="D5049">
        <v>4.5696370000000002</v>
      </c>
      <c r="E5049">
        <v>0.49022880000000002</v>
      </c>
      <c r="F5049" t="s">
        <v>98</v>
      </c>
      <c r="G5049">
        <v>-239.68719999999999</v>
      </c>
      <c r="H5049" s="1">
        <v>-3.6360329999999999E-6</v>
      </c>
      <c r="I5049">
        <v>-63.007119999999901</v>
      </c>
      <c r="J5049">
        <v>-267.24209999999999</v>
      </c>
      <c r="K5049">
        <v>1.1126389999999999</v>
      </c>
      <c r="L5049">
        <v>-60.959960000000002</v>
      </c>
      <c r="M5049">
        <v>0.97674229999999995</v>
      </c>
      <c r="N5049">
        <v>-1.008978E-2</v>
      </c>
      <c r="O5049">
        <v>-0.2141796</v>
      </c>
      <c r="P5049">
        <v>0.98382930000000002</v>
      </c>
      <c r="Q5049">
        <v>0.1546989</v>
      </c>
      <c r="R5049">
        <v>-9.0270009999999998E-2</v>
      </c>
      <c r="S5049">
        <v>3.0476990000000002</v>
      </c>
      <c r="T5049">
        <v>-0.1224707</v>
      </c>
      <c r="U5049">
        <v>-0.22833249999999999</v>
      </c>
      <c r="V5049">
        <v>-0.12360260000000001</v>
      </c>
      <c r="W5049">
        <v>0.16379440000000001</v>
      </c>
      <c r="X5049">
        <v>0.97872049999999999</v>
      </c>
      <c r="Y5049">
        <v>-0.14038129999999999</v>
      </c>
      <c r="Z5049">
        <v>9.8743149999999998E-3</v>
      </c>
      <c r="AA5049">
        <v>0.99004829999999999</v>
      </c>
      <c r="AB5049">
        <v>25</v>
      </c>
      <c r="AC5049">
        <v>27.5549</v>
      </c>
      <c r="AD5049">
        <v>-1.112642636033</v>
      </c>
      <c r="AE5049">
        <v>-2.0471599999999901</v>
      </c>
      <c r="AF5049">
        <v>-3.89603039125425</v>
      </c>
      <c r="AG5049">
        <v>-1.112642636033</v>
      </c>
      <c r="AH5049">
        <v>27.309602472579201</v>
      </c>
      <c r="AI5049">
        <v>92.309683853126899</v>
      </c>
      <c r="AJ5049">
        <v>98.119119896194903</v>
      </c>
      <c r="AK5049">
        <v>27.608538781605201</v>
      </c>
      <c r="AL5049">
        <v>80.572794241819096</v>
      </c>
      <c r="AM5049">
        <v>97.197778523691298</v>
      </c>
      <c r="AN5049">
        <v>1.0000000126591799</v>
      </c>
    </row>
    <row r="5050" spans="1:40" x14ac:dyDescent="0.25">
      <c r="A5050" t="str">
        <f>"20190304155519390"</f>
        <v>20190304155519390</v>
      </c>
      <c r="B5050" t="str">
        <f>"1551686119382654"</f>
        <v>1551686119382654</v>
      </c>
      <c r="C5050" t="s">
        <v>40</v>
      </c>
      <c r="D5050">
        <v>4.5546139999999999</v>
      </c>
      <c r="E5050">
        <v>0.49023129999999998</v>
      </c>
      <c r="F5050" t="s">
        <v>98</v>
      </c>
      <c r="G5050">
        <v>-239.29820000000001</v>
      </c>
      <c r="H5050" s="1">
        <v>-3.5016640000000001E-6</v>
      </c>
      <c r="I5050">
        <v>-62.99588</v>
      </c>
      <c r="J5050">
        <v>-267.12560000000002</v>
      </c>
      <c r="K5050">
        <v>1.112668</v>
      </c>
      <c r="L5050">
        <v>-60.983429999999998</v>
      </c>
      <c r="M5050">
        <v>0.97715059999999998</v>
      </c>
      <c r="N5050">
        <v>-1.008946E-2</v>
      </c>
      <c r="O5050">
        <v>-0.212309</v>
      </c>
      <c r="P5050">
        <v>0.98411539999999997</v>
      </c>
      <c r="Q5050">
        <v>0.1542405</v>
      </c>
      <c r="R5050">
        <v>-8.7902469999999996E-2</v>
      </c>
      <c r="S5050">
        <v>3.0480040000000002</v>
      </c>
      <c r="T5050">
        <v>-0.1213624</v>
      </c>
      <c r="U5050">
        <v>-0.22207640000000001</v>
      </c>
      <c r="V5050">
        <v>-0.1241095</v>
      </c>
      <c r="W5050">
        <v>0.1633231</v>
      </c>
      <c r="X5050">
        <v>0.97873509999999997</v>
      </c>
      <c r="Y5050">
        <v>-0.14051920000000001</v>
      </c>
      <c r="Z5050">
        <v>9.7218449999999998E-3</v>
      </c>
      <c r="AA5050">
        <v>0.99003019999999997</v>
      </c>
      <c r="AB5050">
        <v>25</v>
      </c>
      <c r="AC5050">
        <v>27.827400000000001</v>
      </c>
      <c r="AD5050">
        <v>-1.1126715016640001</v>
      </c>
      <c r="AE5050">
        <v>-2.0124499999999999</v>
      </c>
      <c r="AF5050">
        <v>-3.93548174132061</v>
      </c>
      <c r="AG5050">
        <v>-1.1126715016640001</v>
      </c>
      <c r="AH5050">
        <v>27.576365752912899</v>
      </c>
      <c r="AI5050">
        <v>92.287407817977694</v>
      </c>
      <c r="AJ5050">
        <v>98.121959425289404</v>
      </c>
      <c r="AK5050">
        <v>27.877984190850501</v>
      </c>
      <c r="AL5050">
        <v>80.600166221434705</v>
      </c>
      <c r="AM5050">
        <v>97.226878810929406</v>
      </c>
      <c r="AN5050">
        <v>0.99999999947793405</v>
      </c>
    </row>
    <row r="5051" spans="1:40" x14ac:dyDescent="0.25">
      <c r="A5051" t="str">
        <f>"20190304155519401"</f>
        <v>20190304155519401</v>
      </c>
      <c r="B5051" t="str">
        <f>"1551686119392413"</f>
        <v>1551686119392413</v>
      </c>
      <c r="C5051" t="s">
        <v>40</v>
      </c>
      <c r="D5051">
        <v>4.5967949999999904</v>
      </c>
      <c r="E5051">
        <v>0.49042170000000002</v>
      </c>
      <c r="F5051" t="s">
        <v>98</v>
      </c>
      <c r="G5051">
        <v>-239.40700000000001</v>
      </c>
      <c r="H5051" s="1">
        <v>-3.5283749999999999E-6</v>
      </c>
      <c r="I5051">
        <v>-62.937759999999997</v>
      </c>
      <c r="J5051">
        <v>-267.00670000000002</v>
      </c>
      <c r="K5051">
        <v>1.1126990000000001</v>
      </c>
      <c r="L5051">
        <v>-61.007289999999998</v>
      </c>
      <c r="M5051">
        <v>0.97756509999999996</v>
      </c>
      <c r="N5051">
        <v>-1.008909E-2</v>
      </c>
      <c r="O5051">
        <v>-0.21039250000000001</v>
      </c>
      <c r="P5051">
        <v>0.9843809</v>
      </c>
      <c r="Q5051">
        <v>0.15382850000000001</v>
      </c>
      <c r="R5051">
        <v>-8.5623069999999996E-2</v>
      </c>
      <c r="S5051">
        <v>3.0483699999999998</v>
      </c>
      <c r="T5051">
        <v>-0.1223668</v>
      </c>
      <c r="U5051">
        <v>-0.2149353</v>
      </c>
      <c r="V5051">
        <v>-0.12448139999999901</v>
      </c>
      <c r="W5051">
        <v>0.16289870000000001</v>
      </c>
      <c r="X5051">
        <v>0.97875860000000003</v>
      </c>
      <c r="Y5051">
        <v>-0.14089019999999999</v>
      </c>
      <c r="Z5051">
        <v>9.7681020000000007E-3</v>
      </c>
      <c r="AA5051">
        <v>0.98997710000000005</v>
      </c>
      <c r="AB5051">
        <v>25</v>
      </c>
      <c r="AC5051">
        <v>27.599699999999999</v>
      </c>
      <c r="AD5051">
        <v>-1.1127025283749901</v>
      </c>
      <c r="AE5051">
        <v>-1.9304699999999899</v>
      </c>
      <c r="AF5051">
        <v>-3.9134788204728501</v>
      </c>
      <c r="AG5051">
        <v>-1.1127025283749901</v>
      </c>
      <c r="AH5051">
        <v>27.343822318465701</v>
      </c>
      <c r="AI5051">
        <v>92.306772228766107</v>
      </c>
      <c r="AJ5051">
        <v>98.144924795463496</v>
      </c>
      <c r="AK5051">
        <v>27.644855622317301</v>
      </c>
      <c r="AL5051">
        <v>80.624812638128503</v>
      </c>
      <c r="AM5051">
        <v>97.248132340253207</v>
      </c>
      <c r="AN5051">
        <v>1.0000000012407999</v>
      </c>
    </row>
    <row r="5052" spans="1:40" x14ac:dyDescent="0.25">
      <c r="A5052" t="str">
        <f>"20190304155519412"</f>
        <v>20190304155519412</v>
      </c>
      <c r="B5052" t="str">
        <f>"1551686119403150"</f>
        <v>1551686119403150</v>
      </c>
      <c r="C5052" t="s">
        <v>40</v>
      </c>
      <c r="D5052">
        <v>4.5751150000000003</v>
      </c>
      <c r="E5052">
        <v>0.49062640000000002</v>
      </c>
      <c r="F5052" t="s">
        <v>98</v>
      </c>
      <c r="G5052">
        <v>-239.40719999999999</v>
      </c>
      <c r="H5052" s="1">
        <v>-3.522289E-6</v>
      </c>
      <c r="I5052">
        <v>-62.903060000000004</v>
      </c>
      <c r="J5052">
        <v>-266.88049999999998</v>
      </c>
      <c r="K5052">
        <v>1.1127290000000001</v>
      </c>
      <c r="L5052">
        <v>-61.0321</v>
      </c>
      <c r="M5052">
        <v>0.97800810000000005</v>
      </c>
      <c r="N5052">
        <v>-1.008941E-2</v>
      </c>
      <c r="O5052">
        <v>-0.2083228</v>
      </c>
      <c r="P5052">
        <v>0.98463849999999997</v>
      </c>
      <c r="Q5052">
        <v>0.1534181</v>
      </c>
      <c r="R5052">
        <v>-8.3368479999999995E-2</v>
      </c>
      <c r="S5052">
        <v>3.0486149999999999</v>
      </c>
      <c r="T5052">
        <v>-0.1229084</v>
      </c>
      <c r="U5052">
        <v>-0.2094116</v>
      </c>
      <c r="V5052">
        <v>-0.12467499999999999</v>
      </c>
      <c r="W5052">
        <v>0.16247809999999999</v>
      </c>
      <c r="X5052">
        <v>0.97880389999999995</v>
      </c>
      <c r="Y5052">
        <v>-0.14058419999999999</v>
      </c>
      <c r="Z5052">
        <v>9.7496749999999993E-3</v>
      </c>
      <c r="AA5052">
        <v>0.99002080000000003</v>
      </c>
      <c r="AB5052">
        <v>25</v>
      </c>
      <c r="AC5052">
        <v>27.473299999999899</v>
      </c>
      <c r="AD5052">
        <v>-1.1127325222890001</v>
      </c>
      <c r="AE5052">
        <v>-1.87095999999999</v>
      </c>
      <c r="AF5052">
        <v>-3.8873513552727399</v>
      </c>
      <c r="AG5052">
        <v>-1.1127325222890001</v>
      </c>
      <c r="AH5052">
        <v>27.215820921936199</v>
      </c>
      <c r="AI5052">
        <v>92.317765099678098</v>
      </c>
      <c r="AJ5052">
        <v>98.128816889830702</v>
      </c>
      <c r="AK5052">
        <v>27.514552198434899</v>
      </c>
      <c r="AL5052">
        <v>80.649236918582005</v>
      </c>
      <c r="AM5052">
        <v>97.258952474686595</v>
      </c>
      <c r="AN5052">
        <v>1.0000000316299</v>
      </c>
    </row>
    <row r="5053" spans="1:40" x14ac:dyDescent="0.25">
      <c r="A5053" t="str">
        <f>"20190304155519423"</f>
        <v>20190304155519423</v>
      </c>
      <c r="B5053" t="str">
        <f>"1551686119412911"</f>
        <v>1551686119412911</v>
      </c>
      <c r="C5053" t="s">
        <v>40</v>
      </c>
      <c r="D5053">
        <v>4.6036809999999999</v>
      </c>
      <c r="E5053">
        <v>0.4907589</v>
      </c>
      <c r="F5053" t="s">
        <v>98</v>
      </c>
      <c r="G5053">
        <v>-239.405</v>
      </c>
      <c r="H5053" s="1">
        <v>-3.515866E-6</v>
      </c>
      <c r="I5053">
        <v>-62.871110000000002</v>
      </c>
      <c r="J5053">
        <v>-266.76479999999998</v>
      </c>
      <c r="K5053">
        <v>1.1127560000000001</v>
      </c>
      <c r="L5053">
        <v>-61.054720000000003</v>
      </c>
      <c r="M5053">
        <v>0.9784117</v>
      </c>
      <c r="N5053">
        <v>-1.008968E-2</v>
      </c>
      <c r="O5053">
        <v>-0.20641860000000001</v>
      </c>
      <c r="P5053">
        <v>0.98488339999999996</v>
      </c>
      <c r="Q5053">
        <v>0.1530591</v>
      </c>
      <c r="R5053">
        <v>-8.1105120000000003E-2</v>
      </c>
      <c r="S5053">
        <v>3.0487980000000001</v>
      </c>
      <c r="T5053">
        <v>-0.1234736</v>
      </c>
      <c r="U5053">
        <v>-0.204071</v>
      </c>
      <c r="V5053">
        <v>-0.12504019999999999</v>
      </c>
      <c r="W5053">
        <v>0.1621088</v>
      </c>
      <c r="X5053">
        <v>0.97881850000000004</v>
      </c>
      <c r="Y5053">
        <v>-0.14038599999999901</v>
      </c>
      <c r="Z5053">
        <v>9.740327E-3</v>
      </c>
      <c r="AA5053">
        <v>0.99004890000000001</v>
      </c>
      <c r="AB5053">
        <v>25</v>
      </c>
      <c r="AC5053">
        <v>27.3597999999999</v>
      </c>
      <c r="AD5053">
        <v>-1.11275951586599</v>
      </c>
      <c r="AE5053">
        <v>-1.81638999999999</v>
      </c>
      <c r="AF5053">
        <v>-3.86422761859252</v>
      </c>
      <c r="AG5053">
        <v>-1.11275951586599</v>
      </c>
      <c r="AH5053">
        <v>27.100835972963502</v>
      </c>
      <c r="AI5053">
        <v>92.327725049162794</v>
      </c>
      <c r="AJ5053">
        <v>98.114934787430201</v>
      </c>
      <c r="AK5053">
        <v>27.397550971974098</v>
      </c>
      <c r="AL5053">
        <v>80.670680101258398</v>
      </c>
      <c r="AM5053">
        <v>97.279880306816693</v>
      </c>
      <c r="AN5053">
        <v>0.99999998529786405</v>
      </c>
    </row>
    <row r="5054" spans="1:40" x14ac:dyDescent="0.25">
      <c r="A5054" t="str">
        <f>"20190304155519436"</f>
        <v>20190304155519436</v>
      </c>
      <c r="B5054" t="str">
        <f>"1551686119432950"</f>
        <v>1551686119432950</v>
      </c>
      <c r="C5054" t="s">
        <v>40</v>
      </c>
      <c r="D5054">
        <v>4.825431</v>
      </c>
      <c r="E5054">
        <v>0.49039120000000003</v>
      </c>
      <c r="F5054" t="s">
        <v>98</v>
      </c>
      <c r="G5054">
        <v>-239.5377</v>
      </c>
      <c r="H5054" s="1">
        <v>-3.5524929999999999E-6</v>
      </c>
      <c r="I5054">
        <v>-62.822960000000002</v>
      </c>
      <c r="J5054">
        <v>-266.62270000000001</v>
      </c>
      <c r="K5054">
        <v>1.112784</v>
      </c>
      <c r="L5054">
        <v>-61.082120000000003</v>
      </c>
      <c r="M5054">
        <v>0.97890860000000002</v>
      </c>
      <c r="N5054">
        <v>-1.009037E-2</v>
      </c>
      <c r="O5054">
        <v>-0.20405010000000001</v>
      </c>
      <c r="P5054">
        <v>0.98510920000000002</v>
      </c>
      <c r="Q5054">
        <v>0.15286229999999901</v>
      </c>
      <c r="R5054">
        <v>-7.8698790000000005E-2</v>
      </c>
      <c r="S5054">
        <v>3.0491030000000001</v>
      </c>
      <c r="T5054">
        <v>-0.1246154</v>
      </c>
      <c r="U5054">
        <v>-0.1980286</v>
      </c>
      <c r="V5054">
        <v>-0.12507989999999999</v>
      </c>
      <c r="W5054">
        <v>0.16190270000000001</v>
      </c>
      <c r="X5054">
        <v>0.97884760000000004</v>
      </c>
      <c r="Y5054">
        <v>-0.13994679999999901</v>
      </c>
      <c r="Z5054">
        <v>9.7614090000000004E-3</v>
      </c>
      <c r="AA5054">
        <v>0.99011090000000002</v>
      </c>
      <c r="AB5054">
        <v>25</v>
      </c>
      <c r="AC5054">
        <v>27.085000000000001</v>
      </c>
      <c r="AD5054">
        <v>-1.112787552493</v>
      </c>
      <c r="AE5054">
        <v>-1.74083999999999</v>
      </c>
      <c r="AF5054">
        <v>-3.8163523226787199</v>
      </c>
      <c r="AG5054">
        <v>-1.112787552493</v>
      </c>
      <c r="AH5054">
        <v>26.8252277244022</v>
      </c>
      <c r="AI5054">
        <v>92.351777925725997</v>
      </c>
      <c r="AJ5054">
        <v>98.096979194212096</v>
      </c>
      <c r="AK5054">
        <v>27.118179947294301</v>
      </c>
      <c r="AL5054">
        <v>80.682647404226003</v>
      </c>
      <c r="AM5054">
        <v>97.281952679675996</v>
      </c>
      <c r="AN5054">
        <v>1.00000004483852</v>
      </c>
    </row>
    <row r="5055" spans="1:40" x14ac:dyDescent="0.25">
      <c r="A5055" t="str">
        <f>"20190304155519451"</f>
        <v>20190304155519451</v>
      </c>
      <c r="B5055" t="str">
        <f>"1551686119442698"</f>
        <v>1551686119442698</v>
      </c>
      <c r="C5055" t="s">
        <v>40</v>
      </c>
      <c r="D5055">
        <v>4.6152150000000001</v>
      </c>
      <c r="E5055">
        <v>0.49027670000000001</v>
      </c>
      <c r="F5055" t="s">
        <v>94</v>
      </c>
      <c r="G5055">
        <v>-240.49719999999999</v>
      </c>
      <c r="H5055" s="1">
        <v>1.859597E-7</v>
      </c>
      <c r="I5055">
        <v>-62.689700000000002</v>
      </c>
      <c r="J5055">
        <v>-266.46820000000002</v>
      </c>
      <c r="K5055">
        <v>1.112816</v>
      </c>
      <c r="L5055">
        <v>-61.111420000000003</v>
      </c>
      <c r="M5055">
        <v>0.97944679999999995</v>
      </c>
      <c r="N5055">
        <v>-1.009144E-2</v>
      </c>
      <c r="O5055">
        <v>-0.20144980000000001</v>
      </c>
      <c r="P5055">
        <v>0.98537620000000004</v>
      </c>
      <c r="Q5055">
        <v>0.1525002</v>
      </c>
      <c r="R5055">
        <v>-7.6010140000000004E-2</v>
      </c>
      <c r="S5055">
        <v>3.0505070000000001</v>
      </c>
      <c r="T5055">
        <v>-0.12993260000000001</v>
      </c>
      <c r="U5055">
        <v>-0.18771360000000001</v>
      </c>
      <c r="V5055">
        <v>-0.12517349999999999</v>
      </c>
      <c r="W5055">
        <v>0.16153190000000001</v>
      </c>
      <c r="X5055">
        <v>0.97889689999999996</v>
      </c>
      <c r="Y5055">
        <v>-0.1406598</v>
      </c>
      <c r="Z5055">
        <v>1.016915E-2</v>
      </c>
      <c r="AA5055">
        <v>0.99000569999999999</v>
      </c>
      <c r="AB5055">
        <v>25</v>
      </c>
      <c r="AC5055">
        <v>25.971</v>
      </c>
      <c r="AD5055">
        <v>-1.1128158140402999</v>
      </c>
      <c r="AE5055">
        <v>-1.5782799999999999</v>
      </c>
      <c r="AF5055">
        <v>-3.6794687637905898</v>
      </c>
      <c r="AG5055">
        <v>-1.1128158140402999</v>
      </c>
      <c r="AH5055">
        <v>25.709441446599602</v>
      </c>
      <c r="AI5055">
        <v>92.453493503116306</v>
      </c>
      <c r="AJ5055">
        <v>98.144715985637603</v>
      </c>
      <c r="AK5055">
        <v>25.995234734770499</v>
      </c>
      <c r="AL5055">
        <v>80.704176108808099</v>
      </c>
      <c r="AM5055">
        <v>97.286980300300797</v>
      </c>
      <c r="AN5055">
        <v>1.0000000503247299</v>
      </c>
    </row>
    <row r="5056" spans="1:40" x14ac:dyDescent="0.25">
      <c r="A5056" t="str">
        <f>"20190304155519466"</f>
        <v>20190304155519466</v>
      </c>
      <c r="B5056" t="str">
        <f>"1551686119463193"</f>
        <v>1551686119463193</v>
      </c>
      <c r="C5056" t="s">
        <v>40</v>
      </c>
      <c r="D5056">
        <v>4.6051739999999999</v>
      </c>
      <c r="E5056">
        <v>0.49006810000000001</v>
      </c>
      <c r="F5056" t="s">
        <v>94</v>
      </c>
      <c r="G5056">
        <v>-241.12639999999999</v>
      </c>
      <c r="H5056" s="1">
        <v>-5.869447E-8</v>
      </c>
      <c r="I5056">
        <v>-62.594749999999998</v>
      </c>
      <c r="J5056">
        <v>-266.30520000000001</v>
      </c>
      <c r="K5056">
        <v>1.1128420000000001</v>
      </c>
      <c r="L5056">
        <v>-61.141939999999998</v>
      </c>
      <c r="M5056">
        <v>0.98001190000000005</v>
      </c>
      <c r="N5056">
        <v>-1.0092790000000001E-2</v>
      </c>
      <c r="O5056">
        <v>-0.19868269999999999</v>
      </c>
      <c r="P5056">
        <v>0.98573809999999995</v>
      </c>
      <c r="Q5056">
        <v>0.15152589999999999</v>
      </c>
      <c r="R5056">
        <v>-7.3215130000000003E-2</v>
      </c>
      <c r="S5056">
        <v>3.0514830000000002</v>
      </c>
      <c r="T5056">
        <v>-0.133997799999999</v>
      </c>
      <c r="U5056">
        <v>-0.17861939999999901</v>
      </c>
      <c r="V5056">
        <v>-0.12522139999999901</v>
      </c>
      <c r="W5056">
        <v>0.1605502</v>
      </c>
      <c r="X5056">
        <v>0.97905220000000004</v>
      </c>
      <c r="Y5056">
        <v>-0.14080670000000001</v>
      </c>
      <c r="Z5056">
        <v>1.043967E-2</v>
      </c>
      <c r="AA5056">
        <v>0.98998209999999998</v>
      </c>
      <c r="AB5056">
        <v>25</v>
      </c>
      <c r="AC5056">
        <v>25.178799999999999</v>
      </c>
      <c r="AD5056">
        <v>-1.1128420586944601</v>
      </c>
      <c r="AE5056">
        <v>-1.4528099999999899</v>
      </c>
      <c r="AF5056">
        <v>-3.5720485829804001</v>
      </c>
      <c r="AG5056">
        <v>-1.1128420586944601</v>
      </c>
      <c r="AH5056">
        <v>24.916931492849798</v>
      </c>
      <c r="AI5056">
        <v>92.531403716976897</v>
      </c>
      <c r="AJ5056">
        <v>98.158239478560702</v>
      </c>
      <c r="AK5056">
        <v>25.1962581258834</v>
      </c>
      <c r="AL5056">
        <v>80.761166659427104</v>
      </c>
      <c r="AM5056">
        <v>97.288594927680705</v>
      </c>
      <c r="AN5056">
        <v>0.99999998803141998</v>
      </c>
    </row>
    <row r="5057" spans="1:40" x14ac:dyDescent="0.25">
      <c r="A5057" t="str">
        <f>"20190304155519479"</f>
        <v>20190304155519479</v>
      </c>
      <c r="B5057" t="str">
        <f>"1551686119472953"</f>
        <v>1551686119472953</v>
      </c>
      <c r="C5057" t="s">
        <v>40</v>
      </c>
      <c r="D5057">
        <v>4.6575870000000004</v>
      </c>
      <c r="E5057">
        <v>0.49003029999999997</v>
      </c>
      <c r="F5057" t="s">
        <v>94</v>
      </c>
      <c r="G5057">
        <v>-242.38059999999999</v>
      </c>
      <c r="H5057" s="1">
        <v>-5.6176759999999996E-7</v>
      </c>
      <c r="I5057">
        <v>-62.463290000000001</v>
      </c>
      <c r="J5057">
        <v>-266.1508</v>
      </c>
      <c r="K5057">
        <v>1.1128690000000001</v>
      </c>
      <c r="L5057">
        <v>-61.170380000000002</v>
      </c>
      <c r="M5057">
        <v>0.98054470000000005</v>
      </c>
      <c r="N5057">
        <v>-1.0094280000000001E-2</v>
      </c>
      <c r="O5057">
        <v>-0.19603619999999999</v>
      </c>
      <c r="P5057">
        <v>0.98602540000000005</v>
      </c>
      <c r="Q5057">
        <v>0.15089900000000001</v>
      </c>
      <c r="R5057">
        <v>-7.0592680000000005E-2</v>
      </c>
      <c r="S5057">
        <v>3.0527340000000001</v>
      </c>
      <c r="T5057">
        <v>-0.1419967</v>
      </c>
      <c r="U5057">
        <v>-0.1686096</v>
      </c>
      <c r="V5057">
        <v>-0.12520880000000001</v>
      </c>
      <c r="W5057">
        <v>0.15991669999999999</v>
      </c>
      <c r="X5057">
        <v>0.97915750000000001</v>
      </c>
      <c r="Y5057">
        <v>-0.14135799999999901</v>
      </c>
      <c r="Z5057">
        <v>1.105867E-2</v>
      </c>
      <c r="AA5057">
        <v>0.98989680000000002</v>
      </c>
      <c r="AB5057">
        <v>25</v>
      </c>
      <c r="AC5057">
        <v>23.770199999999999</v>
      </c>
      <c r="AD5057">
        <v>-1.1128695617676001</v>
      </c>
      <c r="AE5057">
        <v>-1.29290999999999</v>
      </c>
      <c r="AF5057">
        <v>-3.3848390914170401</v>
      </c>
      <c r="AG5057">
        <v>-1.1128695617676001</v>
      </c>
      <c r="AH5057">
        <v>23.511019280228499</v>
      </c>
      <c r="AI5057">
        <v>92.682397977741999</v>
      </c>
      <c r="AJ5057">
        <v>98.192478252009707</v>
      </c>
      <c r="AK5057">
        <v>23.779479429364599</v>
      </c>
      <c r="AL5057">
        <v>80.797938793777206</v>
      </c>
      <c r="AM5057">
        <v>97.287094098581093</v>
      </c>
      <c r="AN5057">
        <v>1.00000000217128</v>
      </c>
    </row>
    <row r="5058" spans="1:40" x14ac:dyDescent="0.25">
      <c r="A5058" t="str">
        <f>"20190304155519491"</f>
        <v>20190304155519491</v>
      </c>
      <c r="B5058" t="str">
        <f>"1551686119482713"</f>
        <v>1551686119482713</v>
      </c>
      <c r="C5058" t="s">
        <v>40</v>
      </c>
      <c r="D5058">
        <v>4.651294</v>
      </c>
      <c r="E5058">
        <v>0.48999540000000003</v>
      </c>
      <c r="F5058" t="s">
        <v>94</v>
      </c>
      <c r="G5058">
        <v>-242.89019999999999</v>
      </c>
      <c r="H5058" s="1">
        <v>-7.6140499999999995E-7</v>
      </c>
      <c r="I5058">
        <v>-62.392009999999999</v>
      </c>
      <c r="J5058">
        <v>-266.02820000000003</v>
      </c>
      <c r="K5058">
        <v>1.1128910000000001</v>
      </c>
      <c r="L5058">
        <v>-61.192540000000001</v>
      </c>
      <c r="M5058">
        <v>0.98096669999999997</v>
      </c>
      <c r="N5058">
        <v>-1.0095750000000001E-2</v>
      </c>
      <c r="O5058">
        <v>-0.19391349999999999</v>
      </c>
      <c r="P5058">
        <v>0.98626570000000002</v>
      </c>
      <c r="Q5058">
        <v>0.1503949</v>
      </c>
      <c r="R5058">
        <v>-6.8276729999999994E-2</v>
      </c>
      <c r="S5058">
        <v>3.0534059999999998</v>
      </c>
      <c r="T5058">
        <v>-0.14608560000000001</v>
      </c>
      <c r="U5058">
        <v>-0.16036989999999901</v>
      </c>
      <c r="V5058">
        <v>-0.12540970000000001</v>
      </c>
      <c r="W5058">
        <v>0.15940589999999999</v>
      </c>
      <c r="X5058">
        <v>0.9792151</v>
      </c>
      <c r="Y5058">
        <v>-0.14187239999999901</v>
      </c>
      <c r="Z5058">
        <v>1.134899E-2</v>
      </c>
      <c r="AA5058">
        <v>0.98981989999999997</v>
      </c>
      <c r="AB5058">
        <v>25</v>
      </c>
      <c r="AC5058">
        <v>23.138000000000002</v>
      </c>
      <c r="AD5058">
        <v>-1.112891761405</v>
      </c>
      <c r="AE5058">
        <v>-1.19946999999999</v>
      </c>
      <c r="AF5058">
        <v>-3.30267907810663</v>
      </c>
      <c r="AG5058">
        <v>-1.112891761405</v>
      </c>
      <c r="AH5058">
        <v>22.878583291154001</v>
      </c>
      <c r="AI5058">
        <v>92.756338927913703</v>
      </c>
      <c r="AJ5058">
        <v>98.214290176549994</v>
      </c>
      <c r="AK5058">
        <v>23.142510463989002</v>
      </c>
      <c r="AL5058">
        <v>80.827585986420402</v>
      </c>
      <c r="AM5058">
        <v>97.298235709250207</v>
      </c>
      <c r="AN5058">
        <v>1.00000002293845</v>
      </c>
    </row>
    <row r="5059" spans="1:40" x14ac:dyDescent="0.25">
      <c r="A5059" t="str">
        <f>"20190304155519503"</f>
        <v>20190304155519503</v>
      </c>
      <c r="B5059" t="str">
        <f>"1551686119492473"</f>
        <v>1551686119492473</v>
      </c>
      <c r="C5059" t="s">
        <v>40</v>
      </c>
      <c r="D5059">
        <v>4.6778820000000003</v>
      </c>
      <c r="E5059">
        <v>0.48999989999999999</v>
      </c>
      <c r="F5059" t="s">
        <v>94</v>
      </c>
      <c r="G5059">
        <v>-243.3261</v>
      </c>
      <c r="H5059" s="1">
        <v>-9.3219360000000002E-7</v>
      </c>
      <c r="I5059">
        <v>-62.331049999999998</v>
      </c>
      <c r="J5059">
        <v>-265.89089999999999</v>
      </c>
      <c r="K5059">
        <v>1.1129119999999999</v>
      </c>
      <c r="L5059">
        <v>-61.217129999999997</v>
      </c>
      <c r="M5059">
        <v>0.98143550000000002</v>
      </c>
      <c r="N5059">
        <v>-1.0097419999999999E-2</v>
      </c>
      <c r="O5059">
        <v>-0.19152640000000001</v>
      </c>
      <c r="P5059">
        <v>0.98646</v>
      </c>
      <c r="Q5059">
        <v>0.15020439999999999</v>
      </c>
      <c r="R5059">
        <v>-6.5845390000000004E-2</v>
      </c>
      <c r="S5059">
        <v>3.0540159999999998</v>
      </c>
      <c r="T5059">
        <v>-0.1497127</v>
      </c>
      <c r="U5059">
        <v>-0.15316769999999999</v>
      </c>
      <c r="V5059">
        <v>-0.12545529999999999</v>
      </c>
      <c r="W5059">
        <v>0.15920960000000001</v>
      </c>
      <c r="X5059">
        <v>0.97924120000000003</v>
      </c>
      <c r="Y5059">
        <v>-0.14178689999999999</v>
      </c>
      <c r="Z5059">
        <v>1.1567040000000001E-2</v>
      </c>
      <c r="AA5059">
        <v>0.98982959999999998</v>
      </c>
      <c r="AB5059">
        <v>25</v>
      </c>
      <c r="AC5059">
        <v>22.564799999999899</v>
      </c>
      <c r="AD5059">
        <v>-1.1129129321936</v>
      </c>
      <c r="AE5059">
        <v>-1.11391999999999</v>
      </c>
      <c r="AF5059">
        <v>-3.2208631202131</v>
      </c>
      <c r="AG5059">
        <v>-1.1129129321936</v>
      </c>
      <c r="AH5059">
        <v>22.3062523692026</v>
      </c>
      <c r="AI5059">
        <v>92.826986729284201</v>
      </c>
      <c r="AJ5059">
        <v>98.216312916631495</v>
      </c>
      <c r="AK5059">
        <v>22.565048840903199</v>
      </c>
      <c r="AL5059">
        <v>80.838978694151805</v>
      </c>
      <c r="AM5059">
        <v>97.300668288420496</v>
      </c>
      <c r="AN5059">
        <v>1.0000000284038399</v>
      </c>
    </row>
    <row r="5060" spans="1:40" x14ac:dyDescent="0.25">
      <c r="A5060" t="str">
        <f>"20190304155519514"</f>
        <v>20190304155519514</v>
      </c>
      <c r="B5060" t="str">
        <f>"1551686119512969"</f>
        <v>1551686119512969</v>
      </c>
      <c r="C5060" t="s">
        <v>40</v>
      </c>
      <c r="D5060">
        <v>4.710191</v>
      </c>
      <c r="E5060">
        <v>0.48980020000000002</v>
      </c>
      <c r="F5060" t="s">
        <v>94</v>
      </c>
      <c r="G5060">
        <v>-243.41540000000001</v>
      </c>
      <c r="H5060" s="1">
        <v>-9.5943870000000007E-7</v>
      </c>
      <c r="I5060">
        <v>-62.289549999999998</v>
      </c>
      <c r="J5060">
        <v>-265.76170000000002</v>
      </c>
      <c r="K5060">
        <v>1.1129359999999999</v>
      </c>
      <c r="L5060">
        <v>-61.239870000000003</v>
      </c>
      <c r="M5060">
        <v>0.98187550000000001</v>
      </c>
      <c r="N5060">
        <v>-1.009927E-2</v>
      </c>
      <c r="O5060">
        <v>-0.1892575</v>
      </c>
      <c r="P5060">
        <v>0.986676</v>
      </c>
      <c r="Q5060">
        <v>0.1498332</v>
      </c>
      <c r="R5060">
        <v>-6.3407770000000002E-2</v>
      </c>
      <c r="S5060">
        <v>3.0544739999999999</v>
      </c>
      <c r="T5060">
        <v>-0.1512474</v>
      </c>
      <c r="U5060">
        <v>-0.14575199999999999</v>
      </c>
      <c r="V5060">
        <v>-0.12562980000000001</v>
      </c>
      <c r="W5060">
        <v>0.1588321</v>
      </c>
      <c r="X5060">
        <v>0.97928009999999999</v>
      </c>
      <c r="Y5060">
        <v>-0.141898</v>
      </c>
      <c r="Z5060">
        <v>1.161335E-2</v>
      </c>
      <c r="AA5060">
        <v>0.9898131</v>
      </c>
      <c r="AB5060">
        <v>25</v>
      </c>
      <c r="AC5060">
        <v>22.346299999999999</v>
      </c>
      <c r="AD5060">
        <v>-1.1129369594387</v>
      </c>
      <c r="AE5060">
        <v>-1.0496799999999999</v>
      </c>
      <c r="AF5060">
        <v>-3.1908158745981301</v>
      </c>
      <c r="AG5060">
        <v>-1.1129369594387</v>
      </c>
      <c r="AH5060">
        <v>22.0864110937958</v>
      </c>
      <c r="AI5060">
        <v>92.855109913975596</v>
      </c>
      <c r="AJ5060">
        <v>98.220623376975098</v>
      </c>
      <c r="AK5060">
        <v>22.343443996515301</v>
      </c>
      <c r="AL5060">
        <v>80.860886347791094</v>
      </c>
      <c r="AM5060">
        <v>97.310425986826999</v>
      </c>
      <c r="AN5060">
        <v>0.99999999844722998</v>
      </c>
    </row>
    <row r="5061" spans="1:40" x14ac:dyDescent="0.25">
      <c r="A5061" t="str">
        <f>"20190304155519527"</f>
        <v>20190304155519527</v>
      </c>
      <c r="B5061" t="str">
        <f>"1551686119522730"</f>
        <v>1551686119522730</v>
      </c>
      <c r="C5061" t="s">
        <v>40</v>
      </c>
      <c r="D5061">
        <v>4.6801279999999998</v>
      </c>
      <c r="E5061">
        <v>0.48965690000000001</v>
      </c>
      <c r="F5061" t="s">
        <v>94</v>
      </c>
      <c r="G5061">
        <v>-243.38159999999999</v>
      </c>
      <c r="H5061" s="1">
        <v>-9.3162569999999995E-7</v>
      </c>
      <c r="I5061">
        <v>-62.239429999999999</v>
      </c>
      <c r="J5061">
        <v>-265.62950000000001</v>
      </c>
      <c r="K5061">
        <v>1.1129579999999999</v>
      </c>
      <c r="L5061">
        <v>-61.26285</v>
      </c>
      <c r="M5061">
        <v>0.98232260000000005</v>
      </c>
      <c r="N5061">
        <v>-1.010136E-2</v>
      </c>
      <c r="O5061">
        <v>-0.18692349999999999</v>
      </c>
      <c r="P5061">
        <v>0.98680849999999998</v>
      </c>
      <c r="Q5061">
        <v>0.1499489</v>
      </c>
      <c r="R5061">
        <v>-6.1028699999999901E-2</v>
      </c>
      <c r="S5061">
        <v>3.0547789999999999</v>
      </c>
      <c r="T5061">
        <v>-0.1519105</v>
      </c>
      <c r="U5061">
        <v>-0.13644410000000001</v>
      </c>
      <c r="V5061">
        <v>-0.125670899999999</v>
      </c>
      <c r="W5061">
        <v>0.15894129999999901</v>
      </c>
      <c r="X5061">
        <v>0.97925709999999999</v>
      </c>
      <c r="Y5061">
        <v>-0.1425572</v>
      </c>
      <c r="Z5061">
        <v>1.159901E-2</v>
      </c>
      <c r="AA5061">
        <v>0.9897186</v>
      </c>
      <c r="AB5061">
        <v>25</v>
      </c>
      <c r="AC5061">
        <v>22.247900000000001</v>
      </c>
      <c r="AD5061">
        <v>-1.11295893162569</v>
      </c>
      <c r="AE5061">
        <v>-0.976580000000005</v>
      </c>
      <c r="AF5061">
        <v>-3.1915302154595002</v>
      </c>
      <c r="AG5061">
        <v>-1.11295893162569</v>
      </c>
      <c r="AH5061">
        <v>21.983375387518802</v>
      </c>
      <c r="AI5061">
        <v>92.868237757524298</v>
      </c>
      <c r="AJ5061">
        <v>98.260446429781993</v>
      </c>
      <c r="AK5061">
        <v>22.2417026355503</v>
      </c>
      <c r="AL5061">
        <v>80.854549067464106</v>
      </c>
      <c r="AM5061">
        <v>97.3129616183043</v>
      </c>
      <c r="AN5061">
        <v>0.999999989926455</v>
      </c>
    </row>
    <row r="5062" spans="1:40" x14ac:dyDescent="0.25">
      <c r="A5062" t="str">
        <f>"20190304155519543"</f>
        <v>20190304155519543</v>
      </c>
      <c r="B5062" t="str">
        <f>"1551686119532490"</f>
        <v>1551686119532490</v>
      </c>
      <c r="C5062" t="s">
        <v>40</v>
      </c>
      <c r="D5062">
        <v>4.7048110000000003</v>
      </c>
      <c r="E5062">
        <v>0.48939290000000002</v>
      </c>
      <c r="F5062" t="s">
        <v>94</v>
      </c>
      <c r="G5062">
        <v>-243.15889999999999</v>
      </c>
      <c r="H5062" s="1">
        <v>-8.262274E-7</v>
      </c>
      <c r="I5062">
        <v>-62.202350000000003</v>
      </c>
      <c r="J5062">
        <v>-265.4502</v>
      </c>
      <c r="K5062">
        <v>1.1129910000000001</v>
      </c>
      <c r="L5062">
        <v>-61.293489999999998</v>
      </c>
      <c r="M5062">
        <v>0.98292400000000002</v>
      </c>
      <c r="N5062">
        <v>-1.010455E-2</v>
      </c>
      <c r="O5062">
        <v>-0.18373429999999999</v>
      </c>
      <c r="P5062">
        <v>0.98703529999999995</v>
      </c>
      <c r="Q5062">
        <v>0.1497916</v>
      </c>
      <c r="R5062">
        <v>-5.7650199999999999E-2</v>
      </c>
      <c r="S5062">
        <v>3.0551759999999999</v>
      </c>
      <c r="T5062">
        <v>-0.15132179999999901</v>
      </c>
      <c r="U5062">
        <v>-0.12774659999999999</v>
      </c>
      <c r="V5062">
        <v>-0.12586159999999999</v>
      </c>
      <c r="W5062">
        <v>0.1587751</v>
      </c>
      <c r="X5062">
        <v>0.97925960000000001</v>
      </c>
      <c r="Y5062">
        <v>-0.14216879999999901</v>
      </c>
      <c r="Z5062">
        <v>1.14146E-2</v>
      </c>
      <c r="AA5062">
        <v>0.98977660000000001</v>
      </c>
      <c r="AB5062">
        <v>25</v>
      </c>
      <c r="AC5062">
        <v>22.2913</v>
      </c>
      <c r="AD5062">
        <v>-1.1129918262273999</v>
      </c>
      <c r="AE5062">
        <v>-0.908859999999997</v>
      </c>
      <c r="AF5062">
        <v>-3.1945489877132598</v>
      </c>
      <c r="AG5062">
        <v>-1.1129918262273999</v>
      </c>
      <c r="AH5062">
        <v>22.023956406484501</v>
      </c>
      <c r="AI5062">
        <v>92.863099049505493</v>
      </c>
      <c r="AJ5062">
        <v>98.253127042997306</v>
      </c>
      <c r="AK5062">
        <v>22.2822474143628</v>
      </c>
      <c r="AL5062">
        <v>80.864194376663804</v>
      </c>
      <c r="AM5062">
        <v>97.323919819589094</v>
      </c>
      <c r="AN5062">
        <v>1.00000001946336</v>
      </c>
    </row>
    <row r="5063" spans="1:40" x14ac:dyDescent="0.25">
      <c r="A5063" t="str">
        <f>"20190304155519553"</f>
        <v>20190304155519553</v>
      </c>
      <c r="B5063" t="str">
        <f>"1551686119543226"</f>
        <v>1551686119543226</v>
      </c>
      <c r="C5063" t="s">
        <v>40</v>
      </c>
      <c r="D5063">
        <v>4.6982970000000002</v>
      </c>
      <c r="E5063">
        <v>0.48918070000000002</v>
      </c>
      <c r="F5063" t="s">
        <v>94</v>
      </c>
      <c r="G5063">
        <v>-243.05770000000001</v>
      </c>
      <c r="H5063" s="1">
        <v>-7.6512730000000002E-7</v>
      </c>
      <c r="I5063">
        <v>-62.135849999999998</v>
      </c>
      <c r="J5063">
        <v>-265.32589999999999</v>
      </c>
      <c r="K5063">
        <v>1.1130139999999999</v>
      </c>
      <c r="L5063">
        <v>-61.314269999999901</v>
      </c>
      <c r="M5063">
        <v>0.98333899999999996</v>
      </c>
      <c r="N5063">
        <v>-1.010694E-2</v>
      </c>
      <c r="O5063">
        <v>-0.18150040000000001</v>
      </c>
      <c r="P5063">
        <v>0.98722359999999998</v>
      </c>
      <c r="Q5063">
        <v>0.1493729</v>
      </c>
      <c r="R5063">
        <v>-5.5475240000000002E-2</v>
      </c>
      <c r="S5063">
        <v>3.0557249999999998</v>
      </c>
      <c r="T5063">
        <v>-0.1518813</v>
      </c>
      <c r="U5063">
        <v>-0.1149597</v>
      </c>
      <c r="V5063">
        <v>-0.1258119</v>
      </c>
      <c r="W5063">
        <v>0.15835279999999999</v>
      </c>
      <c r="X5063">
        <v>0.97933440000000005</v>
      </c>
      <c r="Y5063">
        <v>-0.144058299999999</v>
      </c>
      <c r="Z5063">
        <v>1.14304E-2</v>
      </c>
      <c r="AA5063">
        <v>0.98950320000000003</v>
      </c>
      <c r="AB5063">
        <v>25</v>
      </c>
      <c r="AC5063">
        <v>22.268199999999901</v>
      </c>
      <c r="AD5063">
        <v>-1.1130147651272999</v>
      </c>
      <c r="AE5063">
        <v>-0.82158000000000397</v>
      </c>
      <c r="AF5063">
        <v>-3.2259124123703899</v>
      </c>
      <c r="AG5063">
        <v>-1.1130147651272999</v>
      </c>
      <c r="AH5063">
        <v>21.992563546825199</v>
      </c>
      <c r="AI5063">
        <v>92.8665704991773</v>
      </c>
      <c r="AJ5063">
        <v>98.344749592627593</v>
      </c>
      <c r="AK5063">
        <v>22.255744519580201</v>
      </c>
      <c r="AL5063">
        <v>80.888700745823698</v>
      </c>
      <c r="AM5063">
        <v>97.320506040663602</v>
      </c>
      <c r="AN5063">
        <v>1.0000000552363999</v>
      </c>
    </row>
    <row r="5064" spans="1:40" x14ac:dyDescent="0.25">
      <c r="A5064" t="str">
        <f>"20190304155519566"</f>
        <v>20190304155519566</v>
      </c>
      <c r="B5064" t="str">
        <f>"1551686119562745"</f>
        <v>1551686119562745</v>
      </c>
      <c r="C5064" t="s">
        <v>40</v>
      </c>
      <c r="D5064">
        <v>4.7033860000000001</v>
      </c>
      <c r="E5064">
        <v>0.48877939999999998</v>
      </c>
      <c r="F5064" t="s">
        <v>94</v>
      </c>
      <c r="G5064">
        <v>-243.15610000000001</v>
      </c>
      <c r="H5064" s="1">
        <v>-7.9375039999999999E-7</v>
      </c>
      <c r="I5064">
        <v>-62.084850000000003</v>
      </c>
      <c r="J5064">
        <v>-265.20150000000001</v>
      </c>
      <c r="K5064">
        <v>1.1130359999999999</v>
      </c>
      <c r="L5064">
        <v>-61.334899999999998</v>
      </c>
      <c r="M5064">
        <v>0.98375060000000003</v>
      </c>
      <c r="N5064">
        <v>-1.010932E-2</v>
      </c>
      <c r="O5064">
        <v>-0.17925550000000001</v>
      </c>
      <c r="P5064">
        <v>0.98737059999999999</v>
      </c>
      <c r="Q5064">
        <v>0.14920739999999999</v>
      </c>
      <c r="R5064">
        <v>-5.3263289999999998E-2</v>
      </c>
      <c r="S5064">
        <v>3.0560610000000001</v>
      </c>
      <c r="T5064">
        <v>-0.1534269</v>
      </c>
      <c r="U5064">
        <v>-0.1062317</v>
      </c>
      <c r="V5064">
        <v>-0.1257836</v>
      </c>
      <c r="W5064">
        <v>0.15818279999999901</v>
      </c>
      <c r="X5064">
        <v>0.9793655</v>
      </c>
      <c r="Y5064">
        <v>-0.14461949999999901</v>
      </c>
      <c r="Z5064">
        <v>1.1486400000000001E-2</v>
      </c>
      <c r="AA5064">
        <v>0.98942070000000004</v>
      </c>
      <c r="AB5064">
        <v>25</v>
      </c>
      <c r="AC5064">
        <v>22.045400000000001</v>
      </c>
      <c r="AD5064">
        <v>-1.1130367937504</v>
      </c>
      <c r="AE5064">
        <v>-0.749950000000005</v>
      </c>
      <c r="AF5064">
        <v>-3.20599683296546</v>
      </c>
      <c r="AG5064">
        <v>-1.1130367937504</v>
      </c>
      <c r="AH5064">
        <v>21.767301152621901</v>
      </c>
      <c r="AI5064">
        <v>92.895991794842899</v>
      </c>
      <c r="AJ5064">
        <v>98.378570044154401</v>
      </c>
      <c r="AK5064">
        <v>22.030267044821802</v>
      </c>
      <c r="AL5064">
        <v>80.898565287409895</v>
      </c>
      <c r="AM5064">
        <v>97.318647336765494</v>
      </c>
      <c r="AN5064">
        <v>1.0000000474175199</v>
      </c>
    </row>
    <row r="5065" spans="1:40" x14ac:dyDescent="0.25">
      <c r="A5065" t="str">
        <f>"20190304155519577"</f>
        <v>20190304155519577</v>
      </c>
      <c r="B5065" t="str">
        <f>"1551686119572505"</f>
        <v>1551686119572505</v>
      </c>
      <c r="C5065" t="s">
        <v>40</v>
      </c>
      <c r="D5065">
        <v>4.7024369999999998</v>
      </c>
      <c r="E5065">
        <v>0.48861719999999997</v>
      </c>
      <c r="F5065" t="s">
        <v>94</v>
      </c>
      <c r="G5065">
        <v>-243.1482</v>
      </c>
      <c r="H5065" s="1">
        <v>-7.752826E-7</v>
      </c>
      <c r="I5065">
        <v>-62.028230000000001</v>
      </c>
      <c r="J5065">
        <v>-265.07330000000002</v>
      </c>
      <c r="K5065">
        <v>1.113059</v>
      </c>
      <c r="L5065">
        <v>-61.355739999999997</v>
      </c>
      <c r="M5065">
        <v>0.98417180000000004</v>
      </c>
      <c r="N5065">
        <v>-1.011189E-2</v>
      </c>
      <c r="O5065">
        <v>-0.1769289</v>
      </c>
      <c r="P5065">
        <v>0.98754209999999998</v>
      </c>
      <c r="Q5065">
        <v>0.1487841</v>
      </c>
      <c r="R5065">
        <v>-5.122844E-2</v>
      </c>
      <c r="S5065">
        <v>3.0564580000000001</v>
      </c>
      <c r="T5065">
        <v>-0.15426029999999999</v>
      </c>
      <c r="U5065">
        <v>-9.6099850000000001E-2</v>
      </c>
      <c r="V5065">
        <v>-0.12550269999999999</v>
      </c>
      <c r="W5065">
        <v>0.15775810000000001</v>
      </c>
      <c r="X5065">
        <v>0.97946999999999995</v>
      </c>
      <c r="Y5065">
        <v>-0.14555689999999999</v>
      </c>
      <c r="Z5065">
        <v>1.149055E-2</v>
      </c>
      <c r="AA5065">
        <v>0.98928309999999997</v>
      </c>
      <c r="AB5065">
        <v>25</v>
      </c>
      <c r="AC5065">
        <v>21.9251</v>
      </c>
      <c r="AD5065">
        <v>-1.1130597752825999</v>
      </c>
      <c r="AE5065">
        <v>-0.67249000000000303</v>
      </c>
      <c r="AF5065">
        <v>-3.20923909511139</v>
      </c>
      <c r="AG5065">
        <v>-1.1130597752825999</v>
      </c>
      <c r="AH5065">
        <v>21.642429858562402</v>
      </c>
      <c r="AI5065">
        <v>92.912311937796105</v>
      </c>
      <c r="AJ5065">
        <v>98.434619184426197</v>
      </c>
      <c r="AK5065">
        <v>21.9073706276161</v>
      </c>
      <c r="AL5065">
        <v>80.923207912921299</v>
      </c>
      <c r="AM5065">
        <v>97.301709249754595</v>
      </c>
      <c r="AN5065">
        <v>1.0000000133614499</v>
      </c>
    </row>
    <row r="5066" spans="1:40" x14ac:dyDescent="0.25">
      <c r="A5066" t="str">
        <f>"20190304155519590"</f>
        <v>20190304155519590</v>
      </c>
      <c r="B5066" t="str">
        <f>"1551686119583240"</f>
        <v>1551686119583240</v>
      </c>
      <c r="C5066" t="s">
        <v>40</v>
      </c>
      <c r="D5066">
        <v>4.7112100000000003</v>
      </c>
      <c r="E5066">
        <v>0.48846519999999999</v>
      </c>
      <c r="F5066" t="s">
        <v>94</v>
      </c>
      <c r="G5066">
        <v>-243.22720000000001</v>
      </c>
      <c r="H5066" s="1">
        <v>-7.9783179999999996E-7</v>
      </c>
      <c r="I5066">
        <v>-61.985579999999999</v>
      </c>
      <c r="J5066">
        <v>-264.93869999999998</v>
      </c>
      <c r="K5066">
        <v>1.113081</v>
      </c>
      <c r="L5066">
        <v>-61.37726</v>
      </c>
      <c r="M5066">
        <v>0.98461100000000001</v>
      </c>
      <c r="N5066">
        <v>-1.0114649999999999E-2</v>
      </c>
      <c r="O5066">
        <v>-0.17446800000000001</v>
      </c>
      <c r="P5066">
        <v>0.98766600000000004</v>
      </c>
      <c r="Q5066">
        <v>0.14862600000000001</v>
      </c>
      <c r="R5066">
        <v>-4.92586E-2</v>
      </c>
      <c r="S5066">
        <v>3.056702</v>
      </c>
      <c r="T5066">
        <v>-0.15573890000000001</v>
      </c>
      <c r="U5066">
        <v>-8.8134770000000001E-2</v>
      </c>
      <c r="V5066">
        <v>-0.1250192</v>
      </c>
      <c r="W5066">
        <v>0.15759989999999999</v>
      </c>
      <c r="X5066">
        <v>0.97955729999999996</v>
      </c>
      <c r="Y5066">
        <v>-0.14565620000000001</v>
      </c>
      <c r="Z5066">
        <v>1.1515050000000001E-2</v>
      </c>
      <c r="AA5066">
        <v>0.98926820000000004</v>
      </c>
      <c r="AB5066">
        <v>25</v>
      </c>
      <c r="AC5066">
        <v>21.711499999999901</v>
      </c>
      <c r="AD5066">
        <v>-1.1130817978317999</v>
      </c>
      <c r="AE5066">
        <v>-0.60832000000000597</v>
      </c>
      <c r="AF5066">
        <v>-3.1808126588065901</v>
      </c>
      <c r="AG5066">
        <v>-1.1130817978317999</v>
      </c>
      <c r="AH5066">
        <v>21.4283350120484</v>
      </c>
      <c r="AI5066">
        <v>92.941350637886401</v>
      </c>
      <c r="AJ5066">
        <v>98.443306513531297</v>
      </c>
      <c r="AK5066">
        <v>21.691704904125601</v>
      </c>
      <c r="AL5066">
        <v>80.932386958699695</v>
      </c>
      <c r="AM5066">
        <v>97.273239893613507</v>
      </c>
      <c r="AN5066">
        <v>1.0000000164159699</v>
      </c>
    </row>
    <row r="5067" spans="1:40" x14ac:dyDescent="0.25">
      <c r="A5067" t="str">
        <f>"20190304155519603"</f>
        <v>20190304155519603</v>
      </c>
      <c r="B5067" t="str">
        <f>"1551686119593002"</f>
        <v>1551686119593002</v>
      </c>
      <c r="C5067" t="s">
        <v>40</v>
      </c>
      <c r="D5067">
        <v>4.7076770000000003</v>
      </c>
      <c r="E5067">
        <v>0.48835440000000002</v>
      </c>
      <c r="F5067" t="s">
        <v>94</v>
      </c>
      <c r="G5067">
        <v>-243.18979999999999</v>
      </c>
      <c r="H5067" s="1">
        <v>-7.7178359999999998E-7</v>
      </c>
      <c r="I5067">
        <v>-61.948</v>
      </c>
      <c r="J5067">
        <v>-264.78149999999999</v>
      </c>
      <c r="K5067">
        <v>1.1131070000000001</v>
      </c>
      <c r="L5067">
        <v>-61.40204</v>
      </c>
      <c r="M5067">
        <v>0.98511800000000005</v>
      </c>
      <c r="N5067">
        <v>-1.0117879999999999E-2</v>
      </c>
      <c r="O5067">
        <v>-0.17158180000000001</v>
      </c>
      <c r="P5067">
        <v>0.98777269999999995</v>
      </c>
      <c r="Q5067">
        <v>0.14871980000000001</v>
      </c>
      <c r="R5067">
        <v>-4.6777350000000002E-2</v>
      </c>
      <c r="S5067">
        <v>3.0569760000000001</v>
      </c>
      <c r="T5067">
        <v>-0.15645229999999999</v>
      </c>
      <c r="U5067">
        <v>-8.0230709999999997E-2</v>
      </c>
      <c r="V5067">
        <v>-0.12461750000000001</v>
      </c>
      <c r="W5067">
        <v>0.15769169999999999</v>
      </c>
      <c r="X5067">
        <v>0.97959370000000001</v>
      </c>
      <c r="Y5067">
        <v>-0.1453149</v>
      </c>
      <c r="Z5067">
        <v>1.144534E-2</v>
      </c>
      <c r="AA5067">
        <v>0.98931930000000001</v>
      </c>
      <c r="AB5067">
        <v>25</v>
      </c>
      <c r="AC5067">
        <v>21.591699999999999</v>
      </c>
      <c r="AD5067">
        <v>-1.1131077717836</v>
      </c>
      <c r="AE5067">
        <v>-0.54596</v>
      </c>
      <c r="AF5067">
        <v>-3.1586802280969999</v>
      </c>
      <c r="AG5067">
        <v>-1.1131077717836</v>
      </c>
      <c r="AH5067">
        <v>21.308546174519101</v>
      </c>
      <c r="AI5067">
        <v>92.958012961989596</v>
      </c>
      <c r="AJ5067">
        <v>98.431859080591593</v>
      </c>
      <c r="AK5067">
        <v>21.570127717901599</v>
      </c>
      <c r="AL5067">
        <v>80.927060502462496</v>
      </c>
      <c r="AM5067">
        <v>97.249852723733596</v>
      </c>
      <c r="AN5067">
        <v>1.0000000053174101</v>
      </c>
    </row>
    <row r="5068" spans="1:40" x14ac:dyDescent="0.25">
      <c r="A5068" t="str">
        <f>"20190304155519616"</f>
        <v>20190304155519616</v>
      </c>
      <c r="B5068" t="str">
        <f>"1551686119612522"</f>
        <v>1551686119612522</v>
      </c>
      <c r="C5068" t="s">
        <v>40</v>
      </c>
      <c r="D5068">
        <v>4.7423310000000001</v>
      </c>
      <c r="E5068">
        <v>0.48822919999999997</v>
      </c>
      <c r="F5068" t="s">
        <v>94</v>
      </c>
      <c r="G5068">
        <v>-243.0127</v>
      </c>
      <c r="H5068" s="1">
        <v>-6.8560230000000003E-7</v>
      </c>
      <c r="I5068">
        <v>-61.909570000000002</v>
      </c>
      <c r="J5068">
        <v>-264.64139999999998</v>
      </c>
      <c r="K5068">
        <v>1.113129</v>
      </c>
      <c r="L5068">
        <v>-61.423650000000002</v>
      </c>
      <c r="M5068">
        <v>0.9855661</v>
      </c>
      <c r="N5068">
        <v>-1.0120840000000001E-2</v>
      </c>
      <c r="O5068">
        <v>-0.16898840000000001</v>
      </c>
      <c r="P5068">
        <v>0.98789669999999896</v>
      </c>
      <c r="Q5068">
        <v>0.1486151</v>
      </c>
      <c r="R5068">
        <v>-4.4430560000000001E-2</v>
      </c>
      <c r="S5068">
        <v>3.057312</v>
      </c>
      <c r="T5068">
        <v>-0.15633</v>
      </c>
      <c r="U5068">
        <v>-7.1289060000000001E-2</v>
      </c>
      <c r="V5068">
        <v>-0.1243768</v>
      </c>
      <c r="W5068">
        <v>0.15758529999999901</v>
      </c>
      <c r="X5068">
        <v>0.9796414</v>
      </c>
      <c r="Y5068">
        <v>-0.14560770000000001</v>
      </c>
      <c r="Z5068">
        <v>1.133959E-2</v>
      </c>
      <c r="AA5068">
        <v>0.98927739999999997</v>
      </c>
      <c r="AB5068">
        <v>25</v>
      </c>
      <c r="AC5068">
        <v>21.628699999999899</v>
      </c>
      <c r="AD5068">
        <v>-1.1131296856023001</v>
      </c>
      <c r="AE5068">
        <v>-0.48591999999999302</v>
      </c>
      <c r="AF5068">
        <v>-3.1678692672968598</v>
      </c>
      <c r="AG5068">
        <v>-1.1131296856023001</v>
      </c>
      <c r="AH5068">
        <v>21.343220864928099</v>
      </c>
      <c r="AI5068">
        <v>92.953192686601199</v>
      </c>
      <c r="AJ5068">
        <v>98.442494663565199</v>
      </c>
      <c r="AK5068">
        <v>21.605729107825901</v>
      </c>
      <c r="AL5068">
        <v>80.933233856187101</v>
      </c>
      <c r="AM5068">
        <v>97.235649525905202</v>
      </c>
      <c r="AN5068">
        <v>0.99999999387414495</v>
      </c>
    </row>
    <row r="5069" spans="1:40" x14ac:dyDescent="0.25">
      <c r="A5069" t="str">
        <f>"20190304155519630"</f>
        <v>20190304155519630</v>
      </c>
      <c r="B5069" t="str">
        <f>"1551686119623258"</f>
        <v>1551686119623258</v>
      </c>
      <c r="C5069" t="s">
        <v>40</v>
      </c>
      <c r="D5069">
        <v>4.7005239999999997</v>
      </c>
      <c r="E5069">
        <v>0.48818620000000001</v>
      </c>
      <c r="F5069" t="s">
        <v>94</v>
      </c>
      <c r="G5069">
        <v>-242.9682</v>
      </c>
      <c r="H5069" s="1">
        <v>-6.5534269999999904E-7</v>
      </c>
      <c r="I5069">
        <v>-61.867690000000003</v>
      </c>
      <c r="J5069">
        <v>-264.49340000000001</v>
      </c>
      <c r="K5069">
        <v>1.113148</v>
      </c>
      <c r="L5069">
        <v>-61.446010000000001</v>
      </c>
      <c r="M5069">
        <v>0.98603379999999996</v>
      </c>
      <c r="N5069">
        <v>-1.012392E-2</v>
      </c>
      <c r="O5069">
        <v>-0.16623840000000001</v>
      </c>
      <c r="P5069">
        <v>0.98797020000000002</v>
      </c>
      <c r="Q5069">
        <v>0.14881910000000001</v>
      </c>
      <c r="R5069">
        <v>-4.2047439999999998E-2</v>
      </c>
      <c r="S5069">
        <v>3.0575869999999998</v>
      </c>
      <c r="T5069">
        <v>-0.15703629999999999</v>
      </c>
      <c r="U5069">
        <v>-6.2652589999999994E-2</v>
      </c>
      <c r="V5069">
        <v>-0.1240106</v>
      </c>
      <c r="W5069">
        <v>0.1577897</v>
      </c>
      <c r="X5069">
        <v>0.9796549</v>
      </c>
      <c r="Y5069">
        <v>-0.14564170000000001</v>
      </c>
      <c r="Z5069">
        <v>1.128441E-2</v>
      </c>
      <c r="AA5069">
        <v>0.98927310000000002</v>
      </c>
      <c r="AB5069">
        <v>25</v>
      </c>
      <c r="AC5069">
        <v>21.525200000000002</v>
      </c>
      <c r="AD5069">
        <v>-1.1131486553426999</v>
      </c>
      <c r="AE5069">
        <v>-0.421680000000002</v>
      </c>
      <c r="AF5069">
        <v>-3.1542533777148098</v>
      </c>
      <c r="AG5069">
        <v>-1.1131486553426999</v>
      </c>
      <c r="AH5069">
        <v>21.238983895982901</v>
      </c>
      <c r="AI5069">
        <v>92.967673448575795</v>
      </c>
      <c r="AJ5069">
        <v>98.447392210036895</v>
      </c>
      <c r="AK5069">
        <v>21.500763968602101</v>
      </c>
      <c r="AL5069">
        <v>80.921374011640594</v>
      </c>
      <c r="AM5069">
        <v>97.2144721817141</v>
      </c>
      <c r="AN5069">
        <v>0.99999997071622904</v>
      </c>
    </row>
    <row r="5070" spans="1:40" x14ac:dyDescent="0.25">
      <c r="A5070" t="str">
        <f>"20190304155519645"</f>
        <v>20190304155519645</v>
      </c>
      <c r="B5070" t="str">
        <f>"1551686119633017"</f>
        <v>1551686119633017</v>
      </c>
      <c r="C5070" t="s">
        <v>40</v>
      </c>
      <c r="D5070">
        <v>4.7301589999999996</v>
      </c>
      <c r="E5070">
        <v>0.48816579999999898</v>
      </c>
      <c r="F5070" t="s">
        <v>94</v>
      </c>
      <c r="G5070">
        <v>-242.7465</v>
      </c>
      <c r="H5070" s="1">
        <v>-5.516445E-7</v>
      </c>
      <c r="I5070">
        <v>-61.835320000000003</v>
      </c>
      <c r="J5070">
        <v>-264.32170000000002</v>
      </c>
      <c r="K5070">
        <v>1.1131690000000001</v>
      </c>
      <c r="L5070">
        <v>-61.471530000000001</v>
      </c>
      <c r="M5070">
        <v>0.986568</v>
      </c>
      <c r="N5070">
        <v>-1.012737E-2</v>
      </c>
      <c r="O5070">
        <v>-0.1630363</v>
      </c>
      <c r="P5070">
        <v>0.98810200000000004</v>
      </c>
      <c r="Q5070">
        <v>0.1485966</v>
      </c>
      <c r="R5070">
        <v>-3.9661889999999998E-2</v>
      </c>
      <c r="S5070">
        <v>3.0577999999999999</v>
      </c>
      <c r="T5070">
        <v>-0.1565182</v>
      </c>
      <c r="U5070">
        <v>-5.4748539999999998E-2</v>
      </c>
      <c r="V5070">
        <v>-0.1232063</v>
      </c>
      <c r="W5070">
        <v>0.15757119999999999</v>
      </c>
      <c r="X5070">
        <v>0.97979159999999998</v>
      </c>
      <c r="Y5070">
        <v>-0.1449937</v>
      </c>
      <c r="Z5070">
        <v>1.1094659999999999E-2</v>
      </c>
      <c r="AA5070">
        <v>0.98937030000000004</v>
      </c>
      <c r="AB5070">
        <v>25</v>
      </c>
      <c r="AC5070">
        <v>21.575199999999999</v>
      </c>
      <c r="AD5070">
        <v>-1.1131695516444999</v>
      </c>
      <c r="AE5070">
        <v>-0.36378999999999401</v>
      </c>
      <c r="AF5070">
        <v>-3.1504153714750198</v>
      </c>
      <c r="AG5070">
        <v>-1.1131695516444999</v>
      </c>
      <c r="AH5070">
        <v>21.289153257584701</v>
      </c>
      <c r="AI5070">
        <v>92.960975199783206</v>
      </c>
      <c r="AJ5070">
        <v>98.417663912737694</v>
      </c>
      <c r="AK5070">
        <v>21.549763569201101</v>
      </c>
      <c r="AL5070">
        <v>80.934052254282804</v>
      </c>
      <c r="AM5070">
        <v>97.167179610075294</v>
      </c>
      <c r="AN5070">
        <v>1.00000002742984</v>
      </c>
    </row>
    <row r="5071" spans="1:40" x14ac:dyDescent="0.25">
      <c r="A5071" t="str">
        <f>"20190304155519659"</f>
        <v>20190304155519659</v>
      </c>
      <c r="B5071" t="str">
        <f>"1551686119652537"</f>
        <v>1551686119652537</v>
      </c>
      <c r="C5071" t="s">
        <v>40</v>
      </c>
      <c r="D5071">
        <v>4.7275419999999997</v>
      </c>
      <c r="E5071">
        <v>0.48815130000000001</v>
      </c>
      <c r="F5071" t="s">
        <v>94</v>
      </c>
      <c r="G5071">
        <v>-242.68639999999999</v>
      </c>
      <c r="H5071" s="1">
        <v>-5.1851009999999999E-7</v>
      </c>
      <c r="I5071">
        <v>-61.807650000000002</v>
      </c>
      <c r="J5071">
        <v>-264.1644</v>
      </c>
      <c r="K5071">
        <v>1.113186</v>
      </c>
      <c r="L5071">
        <v>-61.494349999999997</v>
      </c>
      <c r="M5071">
        <v>0.98705019999999999</v>
      </c>
      <c r="N5071">
        <v>-1.013031E-2</v>
      </c>
      <c r="O5071">
        <v>-0.16009219999999999</v>
      </c>
      <c r="P5071">
        <v>0.9882379</v>
      </c>
      <c r="Q5071">
        <v>0.148316</v>
      </c>
      <c r="R5071">
        <v>-3.7261450000000002E-2</v>
      </c>
      <c r="S5071">
        <v>3.0578919999999998</v>
      </c>
      <c r="T5071">
        <v>-0.15733339999999901</v>
      </c>
      <c r="U5071">
        <v>-4.7515870000000002E-2</v>
      </c>
      <c r="V5071">
        <v>-0.12267260000000001</v>
      </c>
      <c r="W5071">
        <v>0.15729479999999901</v>
      </c>
      <c r="X5071">
        <v>0.97990290000000002</v>
      </c>
      <c r="Y5071">
        <v>-0.14438129999999999</v>
      </c>
      <c r="Z5071">
        <v>1.1018740000000001E-2</v>
      </c>
      <c r="AA5071">
        <v>0.98946080000000003</v>
      </c>
      <c r="AB5071">
        <v>25</v>
      </c>
      <c r="AC5071">
        <v>21.478000000000002</v>
      </c>
      <c r="AD5071">
        <v>-1.1131865185101</v>
      </c>
      <c r="AE5071">
        <v>-0.31330000000000502</v>
      </c>
      <c r="AF5071">
        <v>-3.12099563163288</v>
      </c>
      <c r="AG5071">
        <v>-1.1131865185101</v>
      </c>
      <c r="AH5071">
        <v>21.194188053958499</v>
      </c>
      <c r="AI5071">
        <v>92.974574984122398</v>
      </c>
      <c r="AJ5071">
        <v>98.377008274043305</v>
      </c>
      <c r="AK5071">
        <v>21.451652738757002</v>
      </c>
      <c r="AL5071">
        <v>80.950088146959999</v>
      </c>
      <c r="AM5071">
        <v>97.135651684216</v>
      </c>
      <c r="AN5071">
        <v>0.99999995716310397</v>
      </c>
    </row>
    <row r="5072" spans="1:40" x14ac:dyDescent="0.25">
      <c r="A5072" t="str">
        <f>"20190304155519674"</f>
        <v>20190304155519674</v>
      </c>
      <c r="B5072" t="str">
        <f>"1551686119662297"</f>
        <v>1551686119662297</v>
      </c>
      <c r="C5072" t="s">
        <v>40</v>
      </c>
      <c r="D5072">
        <v>4.7224300000000001</v>
      </c>
      <c r="E5072">
        <v>0.48816680000000001</v>
      </c>
      <c r="F5072" t="s">
        <v>94</v>
      </c>
      <c r="G5072">
        <v>-242.65960000000001</v>
      </c>
      <c r="H5072" s="1">
        <v>-4.9798890000000001E-7</v>
      </c>
      <c r="I5072">
        <v>-61.773719999999997</v>
      </c>
      <c r="J5072">
        <v>-263.9984</v>
      </c>
      <c r="K5072">
        <v>1.1131960000000001</v>
      </c>
      <c r="L5072">
        <v>-61.517819999999901</v>
      </c>
      <c r="M5072">
        <v>0.98754980000000003</v>
      </c>
      <c r="N5072">
        <v>-1.013325E-2</v>
      </c>
      <c r="O5072">
        <v>-0.15698000000000001</v>
      </c>
      <c r="P5072">
        <v>0.98831809999999998</v>
      </c>
      <c r="Q5072">
        <v>0.1483978</v>
      </c>
      <c r="R5072">
        <v>-3.4718609999999997E-2</v>
      </c>
      <c r="S5072">
        <v>3.0579830000000001</v>
      </c>
      <c r="T5072">
        <v>-0.15829550000000001</v>
      </c>
      <c r="U5072">
        <v>-3.9733890000000001E-2</v>
      </c>
      <c r="V5072">
        <v>-0.12210790000000001</v>
      </c>
      <c r="W5072">
        <v>0.15738089999999999</v>
      </c>
      <c r="X5072">
        <v>0.97995969999999999</v>
      </c>
      <c r="Y5072">
        <v>-0.14377909999999999</v>
      </c>
      <c r="Z5072">
        <v>1.0945430000000001E-2</v>
      </c>
      <c r="AA5072">
        <v>0.98954929999999997</v>
      </c>
      <c r="AB5072">
        <v>25</v>
      </c>
      <c r="AC5072">
        <v>21.3387999999999</v>
      </c>
      <c r="AD5072">
        <v>-1.11319649798889</v>
      </c>
      <c r="AE5072">
        <v>-0.25590000000000401</v>
      </c>
      <c r="AF5072">
        <v>-3.0888049491127898</v>
      </c>
      <c r="AG5072">
        <v>-1.11319649798889</v>
      </c>
      <c r="AH5072">
        <v>21.057084810352801</v>
      </c>
      <c r="AI5072">
        <v>92.994179238893395</v>
      </c>
      <c r="AJ5072">
        <v>98.345043647555002</v>
      </c>
      <c r="AK5072">
        <v>21.3115166791852</v>
      </c>
      <c r="AL5072">
        <v>80.945093611993997</v>
      </c>
      <c r="AM5072">
        <v>97.1027328583057</v>
      </c>
      <c r="AN5072">
        <v>1.0000000502756501</v>
      </c>
    </row>
    <row r="5073" spans="1:40" x14ac:dyDescent="0.25">
      <c r="A5073" t="str">
        <f>"20190304155519689"</f>
        <v>20190304155519689</v>
      </c>
      <c r="B5073" t="str">
        <f>"1551686119682793"</f>
        <v>1551686119682793</v>
      </c>
      <c r="C5073" t="s">
        <v>40</v>
      </c>
      <c r="D5073">
        <v>4.7180359999999997</v>
      </c>
      <c r="E5073">
        <v>0.48822409999999999</v>
      </c>
      <c r="F5073" t="s">
        <v>94</v>
      </c>
      <c r="G5073">
        <v>-242.4847</v>
      </c>
      <c r="H5073" s="1">
        <v>-4.1465360000000001E-7</v>
      </c>
      <c r="I5073">
        <v>-61.742539999999998</v>
      </c>
      <c r="J5073">
        <v>-263.8261</v>
      </c>
      <c r="K5073">
        <v>1.1132040000000001</v>
      </c>
      <c r="L5073">
        <v>-61.541719999999998</v>
      </c>
      <c r="M5073">
        <v>0.98805860000000001</v>
      </c>
      <c r="N5073">
        <v>-1.013615E-2</v>
      </c>
      <c r="O5073">
        <v>-0.15374460000000001</v>
      </c>
      <c r="P5073">
        <v>0.9884503</v>
      </c>
      <c r="Q5073">
        <v>0.14796860000000001</v>
      </c>
      <c r="R5073">
        <v>-3.2735420000000001E-2</v>
      </c>
      <c r="S5073">
        <v>3.0581360000000002</v>
      </c>
      <c r="T5073">
        <v>-0.15823880000000001</v>
      </c>
      <c r="U5073">
        <v>-3.1951899999999998E-2</v>
      </c>
      <c r="V5073">
        <v>-0.12087249999999999</v>
      </c>
      <c r="W5073">
        <v>0.15696370000000001</v>
      </c>
      <c r="X5073">
        <v>0.98017969999999999</v>
      </c>
      <c r="Y5073">
        <v>-0.14306050000000001</v>
      </c>
      <c r="Z5073">
        <v>1.0786169999999999E-2</v>
      </c>
      <c r="AA5073">
        <v>0.98965519999999996</v>
      </c>
      <c r="AB5073">
        <v>25</v>
      </c>
      <c r="AC5073">
        <v>21.3414</v>
      </c>
      <c r="AD5073">
        <v>-1.1132044146536</v>
      </c>
      <c r="AE5073">
        <v>-0.20082000000000699</v>
      </c>
      <c r="AF5073">
        <v>-3.0744970493424399</v>
      </c>
      <c r="AG5073">
        <v>-1.1132044146536</v>
      </c>
      <c r="AH5073">
        <v>21.061215068054299</v>
      </c>
      <c r="AI5073">
        <v>92.993917537272793</v>
      </c>
      <c r="AJ5073">
        <v>98.305322236143198</v>
      </c>
      <c r="AK5073">
        <v>21.3135294195508</v>
      </c>
      <c r="AL5073">
        <v>80.969297826426796</v>
      </c>
      <c r="AM5073">
        <v>97.030033059061296</v>
      </c>
      <c r="AN5073">
        <v>1.00000000433301</v>
      </c>
    </row>
    <row r="5074" spans="1:40" x14ac:dyDescent="0.25">
      <c r="A5074" t="str">
        <f>"20190304155519702"</f>
        <v>20190304155519702</v>
      </c>
      <c r="B5074" t="str">
        <f>"1551686119692554"</f>
        <v>1551686119692554</v>
      </c>
      <c r="C5074" t="s">
        <v>40</v>
      </c>
      <c r="D5074">
        <v>4.6934909999999999</v>
      </c>
      <c r="E5074">
        <v>0.48827510000000002</v>
      </c>
      <c r="F5074" t="s">
        <v>94</v>
      </c>
      <c r="G5074">
        <v>-242.49430000000001</v>
      </c>
      <c r="H5074" s="1">
        <v>-4.12929E-7</v>
      </c>
      <c r="I5074">
        <v>-61.720680000000002</v>
      </c>
      <c r="J5074">
        <v>-263.68880000000001</v>
      </c>
      <c r="K5074">
        <v>1.1132040000000001</v>
      </c>
      <c r="L5074">
        <v>-61.560459999999999</v>
      </c>
      <c r="M5074">
        <v>0.98845669999999997</v>
      </c>
      <c r="N5074">
        <v>-1.0138370000000001E-2</v>
      </c>
      <c r="O5074">
        <v>-0.1511642</v>
      </c>
      <c r="P5074">
        <v>0.98852240000000002</v>
      </c>
      <c r="Q5074">
        <v>0.14791760000000001</v>
      </c>
      <c r="R5074">
        <v>-3.0726320000000001E-2</v>
      </c>
      <c r="S5074">
        <v>3.0581049999999999</v>
      </c>
      <c r="T5074">
        <v>-0.15958749999999999</v>
      </c>
      <c r="U5074">
        <v>-2.5665279999999999E-2</v>
      </c>
      <c r="V5074">
        <v>-0.12030730000000001</v>
      </c>
      <c r="W5074">
        <v>0.15691849999999999</v>
      </c>
      <c r="X5074">
        <v>0.98025640000000003</v>
      </c>
      <c r="Y5074">
        <v>-0.142507299999999</v>
      </c>
      <c r="Z5074">
        <v>1.0761369999999999E-2</v>
      </c>
      <c r="AA5074">
        <v>0.98973520000000004</v>
      </c>
      <c r="AB5074">
        <v>25</v>
      </c>
      <c r="AC5074">
        <v>21.194500000000001</v>
      </c>
      <c r="AD5074">
        <v>-1.113204412929</v>
      </c>
      <c r="AE5074">
        <v>-0.160220000000002</v>
      </c>
      <c r="AF5074">
        <v>-3.0372571744432699</v>
      </c>
      <c r="AG5074">
        <v>-1.113204412929</v>
      </c>
      <c r="AH5074">
        <v>20.917441028187501</v>
      </c>
      <c r="AI5074">
        <v>93.014791426795</v>
      </c>
      <c r="AJ5074">
        <v>98.261730109408703</v>
      </c>
      <c r="AK5074">
        <v>21.1660930352385</v>
      </c>
      <c r="AL5074">
        <v>80.971919467935706</v>
      </c>
      <c r="AM5074">
        <v>96.996945176847404</v>
      </c>
      <c r="AN5074">
        <v>0.99999993590824798</v>
      </c>
    </row>
    <row r="5075" spans="1:40" x14ac:dyDescent="0.25">
      <c r="A5075" t="str">
        <f>"20190304155519713"</f>
        <v>20190304155519713</v>
      </c>
      <c r="B5075" t="str">
        <f>"1551686119702314"</f>
        <v>1551686119702314</v>
      </c>
      <c r="C5075" t="s">
        <v>40</v>
      </c>
      <c r="D5075">
        <v>4.6938719999999998</v>
      </c>
      <c r="E5075">
        <v>0.48834759999999999</v>
      </c>
      <c r="F5075" t="s">
        <v>94</v>
      </c>
      <c r="G5075">
        <v>-242.4058</v>
      </c>
      <c r="H5075" s="1">
        <v>-3.6928840000000001E-7</v>
      </c>
      <c r="I5075">
        <v>-61.699300000000001</v>
      </c>
      <c r="J5075">
        <v>-263.55430000000001</v>
      </c>
      <c r="K5075">
        <v>1.113208</v>
      </c>
      <c r="L5075">
        <v>-61.578189999999999</v>
      </c>
      <c r="M5075">
        <v>0.98883989999999999</v>
      </c>
      <c r="N5075">
        <v>-1.0140400000000001E-2</v>
      </c>
      <c r="O5075">
        <v>-0.14863709999999999</v>
      </c>
      <c r="P5075">
        <v>0.98859629999999998</v>
      </c>
      <c r="Q5075">
        <v>0.1478315</v>
      </c>
      <c r="R5075">
        <v>-2.869648E-2</v>
      </c>
      <c r="S5075">
        <v>3.0581049999999999</v>
      </c>
      <c r="T5075">
        <v>-0.1599536</v>
      </c>
      <c r="U5075">
        <v>-1.9958500000000001E-2</v>
      </c>
      <c r="V5075">
        <v>-0.1198166</v>
      </c>
      <c r="W5075">
        <v>0.15683800000000001</v>
      </c>
      <c r="X5075">
        <v>0.98032949999999996</v>
      </c>
      <c r="Y5075">
        <v>-0.1418257</v>
      </c>
      <c r="Z5075">
        <v>1.0661769999999999E-2</v>
      </c>
      <c r="AA5075">
        <v>0.9898342</v>
      </c>
      <c r="AB5075">
        <v>25</v>
      </c>
      <c r="AC5075">
        <v>21.148499999999999</v>
      </c>
      <c r="AD5075">
        <v>-1.1132083692884001</v>
      </c>
      <c r="AE5075">
        <v>-0.12111000000000099</v>
      </c>
      <c r="AF5075">
        <v>-3.01549369748684</v>
      </c>
      <c r="AG5075">
        <v>-1.1132083692884001</v>
      </c>
      <c r="AH5075">
        <v>20.873723059549299</v>
      </c>
      <c r="AI5075">
        <v>93.0214205763574</v>
      </c>
      <c r="AJ5075">
        <v>98.220285742547702</v>
      </c>
      <c r="AK5075">
        <v>21.119771530009402</v>
      </c>
      <c r="AL5075">
        <v>80.976590662692004</v>
      </c>
      <c r="AM5075">
        <v>96.968173242813606</v>
      </c>
      <c r="AN5075">
        <v>1.0000000522249</v>
      </c>
    </row>
    <row r="5076" spans="1:40" x14ac:dyDescent="0.25">
      <c r="A5076" t="str">
        <f>"20190304155519725"</f>
        <v>20190304155519725</v>
      </c>
      <c r="B5076" t="str">
        <f>"1551686119722809"</f>
        <v>1551686119722809</v>
      </c>
      <c r="C5076" t="s">
        <v>40</v>
      </c>
      <c r="D5076">
        <v>4.693263</v>
      </c>
      <c r="E5076">
        <v>0.48853020000000003</v>
      </c>
      <c r="F5076" t="s">
        <v>94</v>
      </c>
      <c r="G5076">
        <v>-242.3176</v>
      </c>
      <c r="H5076" s="1">
        <v>-3.2533859999999998E-7</v>
      </c>
      <c r="I5076">
        <v>-61.67624</v>
      </c>
      <c r="J5076">
        <v>-263.4194</v>
      </c>
      <c r="K5076">
        <v>1.113213</v>
      </c>
      <c r="L5076">
        <v>-61.595829999999999</v>
      </c>
      <c r="M5076">
        <v>0.98921720000000002</v>
      </c>
      <c r="N5076">
        <v>-1.0142399999999999E-2</v>
      </c>
      <c r="O5076">
        <v>-0.14610409999999999</v>
      </c>
      <c r="P5076">
        <v>0.98861770000000004</v>
      </c>
      <c r="Q5076">
        <v>0.14804879999999901</v>
      </c>
      <c r="R5076">
        <v>-2.6765029999999999E-2</v>
      </c>
      <c r="S5076">
        <v>3.0581360000000002</v>
      </c>
      <c r="T5076">
        <v>-0.160305</v>
      </c>
      <c r="U5076">
        <v>-1.4129640000000001E-2</v>
      </c>
      <c r="V5076">
        <v>-0.1192182</v>
      </c>
      <c r="W5076">
        <v>0.1570617</v>
      </c>
      <c r="X5076">
        <v>0.98036659999999998</v>
      </c>
      <c r="Y5076">
        <v>-0.14117879999999899</v>
      </c>
      <c r="Z5076">
        <v>1.056112E-2</v>
      </c>
      <c r="AA5076">
        <v>0.98992780000000002</v>
      </c>
      <c r="AB5076">
        <v>25</v>
      </c>
      <c r="AC5076">
        <v>21.101800000000001</v>
      </c>
      <c r="AD5076">
        <v>-1.1132133253386001</v>
      </c>
      <c r="AE5076">
        <v>-8.0409999999993403E-2</v>
      </c>
      <c r="AF5076">
        <v>-2.9953351354364401</v>
      </c>
      <c r="AG5076">
        <v>-1.1132133253386001</v>
      </c>
      <c r="AH5076">
        <v>20.8291194428997</v>
      </c>
      <c r="AI5076">
        <v>93.028173099516906</v>
      </c>
      <c r="AJ5076">
        <v>98.183327066487095</v>
      </c>
      <c r="AK5076">
        <v>21.072814079943701</v>
      </c>
      <c r="AL5076">
        <v>80.963612404861806</v>
      </c>
      <c r="AM5076">
        <v>96.933451875559697</v>
      </c>
      <c r="AN5076">
        <v>1.0000000136068401</v>
      </c>
    </row>
    <row r="5077" spans="1:40" x14ac:dyDescent="0.25">
      <c r="A5077" t="str">
        <f>"20190304155519737"</f>
        <v>20190304155519737</v>
      </c>
      <c r="B5077" t="str">
        <f>"1551686119732421"</f>
        <v>1551686119732421</v>
      </c>
      <c r="C5077" t="s">
        <v>40</v>
      </c>
      <c r="D5077">
        <v>4.7027650000000003</v>
      </c>
      <c r="E5077">
        <v>0.48860330000000002</v>
      </c>
      <c r="F5077" t="s">
        <v>94</v>
      </c>
      <c r="G5077">
        <v>-242.1113</v>
      </c>
      <c r="H5077" s="1">
        <v>-2.3283870000000001E-7</v>
      </c>
      <c r="I5077">
        <v>-61.661250000000003</v>
      </c>
      <c r="J5077">
        <v>-263.28410000000002</v>
      </c>
      <c r="K5077">
        <v>1.1132249999999999</v>
      </c>
      <c r="L5077">
        <v>-61.613129999999998</v>
      </c>
      <c r="M5077">
        <v>0.98958900000000005</v>
      </c>
      <c r="N5077">
        <v>-1.014435E-2</v>
      </c>
      <c r="O5077">
        <v>-0.14356429999999901</v>
      </c>
      <c r="P5077">
        <v>0.98862740000000005</v>
      </c>
      <c r="Q5077">
        <v>0.1483421</v>
      </c>
      <c r="R5077">
        <v>-2.4708399999999998E-2</v>
      </c>
      <c r="S5077">
        <v>3.0581969999999998</v>
      </c>
      <c r="T5077">
        <v>-0.1597713</v>
      </c>
      <c r="U5077">
        <v>-9.399414E-3</v>
      </c>
      <c r="V5077">
        <v>-0.1187366</v>
      </c>
      <c r="W5077">
        <v>0.15735969999999999</v>
      </c>
      <c r="X5077">
        <v>0.98037730000000001</v>
      </c>
      <c r="Y5077">
        <v>-0.1401751</v>
      </c>
      <c r="Z5077">
        <v>1.03865E-2</v>
      </c>
      <c r="AA5077">
        <v>0.99007230000000002</v>
      </c>
      <c r="AB5077">
        <v>26</v>
      </c>
      <c r="AC5077">
        <v>21.172799999999999</v>
      </c>
      <c r="AD5077">
        <v>-1.1132252328387</v>
      </c>
      <c r="AE5077">
        <v>-4.81199999999972E-2</v>
      </c>
      <c r="AF5077">
        <v>-2.98394420863871</v>
      </c>
      <c r="AG5077">
        <v>-1.1132252328387</v>
      </c>
      <c r="AH5077">
        <v>20.9025728419244</v>
      </c>
      <c r="AI5077">
        <v>93.018027944116596</v>
      </c>
      <c r="AJ5077">
        <v>98.124360040823106</v>
      </c>
      <c r="AK5077">
        <v>21.143811029974</v>
      </c>
      <c r="AL5077">
        <v>80.946323632217698</v>
      </c>
      <c r="AM5077">
        <v>96.905639508582198</v>
      </c>
      <c r="AN5077">
        <v>1.0000000528594599</v>
      </c>
    </row>
    <row r="5078" spans="1:40" x14ac:dyDescent="0.25">
      <c r="A5078" t="str">
        <f>"20190304155519748"</f>
        <v>20190304155519748</v>
      </c>
      <c r="B5078" t="str">
        <f>"1551686119743141"</f>
        <v>1551686119743141</v>
      </c>
      <c r="C5078" t="s">
        <v>40</v>
      </c>
      <c r="D5078">
        <v>4.6883850000000002</v>
      </c>
      <c r="E5078">
        <v>0.48870160000000001</v>
      </c>
      <c r="F5078" t="s">
        <v>94</v>
      </c>
      <c r="G5078">
        <v>-241.83150000000001</v>
      </c>
      <c r="H5078" s="1">
        <v>-1.055712E-7</v>
      </c>
      <c r="I5078">
        <v>-61.634039999999999</v>
      </c>
      <c r="J5078">
        <v>-263.16430000000003</v>
      </c>
      <c r="K5078">
        <v>1.113227</v>
      </c>
      <c r="L5078">
        <v>-61.62811</v>
      </c>
      <c r="M5078">
        <v>0.98991169999999995</v>
      </c>
      <c r="N5078">
        <v>-1.0145970000000001E-2</v>
      </c>
      <c r="O5078">
        <v>-0.1413227</v>
      </c>
      <c r="P5078">
        <v>0.98857640000000002</v>
      </c>
      <c r="Q5078">
        <v>0.1489539</v>
      </c>
      <c r="R5078">
        <v>-2.301249E-2</v>
      </c>
      <c r="S5078">
        <v>3.0582579999999999</v>
      </c>
      <c r="T5078">
        <v>-0.1587006</v>
      </c>
      <c r="U5078">
        <v>-2.9907229999999998E-3</v>
      </c>
      <c r="V5078">
        <v>-0.118189</v>
      </c>
      <c r="W5078">
        <v>0.15797749999999999</v>
      </c>
      <c r="X5078">
        <v>0.98034410000000005</v>
      </c>
      <c r="Y5078">
        <v>-0.14001459999999999</v>
      </c>
      <c r="Z5078">
        <v>1.0214569999999999E-2</v>
      </c>
      <c r="AA5078">
        <v>0.99009669999999905</v>
      </c>
      <c r="AB5078">
        <v>26</v>
      </c>
      <c r="AC5078">
        <v>21.332799999999999</v>
      </c>
      <c r="AD5078">
        <v>-1.1132271055712</v>
      </c>
      <c r="AE5078">
        <v>-5.9299999999993204E-3</v>
      </c>
      <c r="AF5078">
        <v>-3.0009213071277201</v>
      </c>
      <c r="AG5078">
        <v>-1.1132271055712</v>
      </c>
      <c r="AH5078">
        <v>21.062155651743002</v>
      </c>
      <c r="AI5078">
        <v>92.995323069743407</v>
      </c>
      <c r="AJ5078">
        <v>98.108885710062196</v>
      </c>
      <c r="AK5078">
        <v>21.303971554111701</v>
      </c>
      <c r="AL5078">
        <v>80.910477849391697</v>
      </c>
      <c r="AM5078">
        <v>96.874327468553801</v>
      </c>
      <c r="AN5078">
        <v>1.00000004231602</v>
      </c>
    </row>
    <row r="5079" spans="1:40" x14ac:dyDescent="0.25">
      <c r="A5079" t="str">
        <f>"20190304155519760"</f>
        <v>20190304155519760</v>
      </c>
      <c r="B5079" t="str">
        <f>"1551686119752901"</f>
        <v>1551686119752901</v>
      </c>
      <c r="C5079" t="s">
        <v>40</v>
      </c>
      <c r="D5079">
        <v>4.6794609999999999</v>
      </c>
      <c r="E5079">
        <v>0.48878139999999998</v>
      </c>
      <c r="F5079" t="s">
        <v>94</v>
      </c>
      <c r="G5079">
        <v>-241.43639999999999</v>
      </c>
      <c r="H5079" s="1">
        <v>6.9686909999999998E-8</v>
      </c>
      <c r="I5079">
        <v>-61.612439999999999</v>
      </c>
      <c r="J5079">
        <v>-263.02710000000002</v>
      </c>
      <c r="K5079">
        <v>1.113229</v>
      </c>
      <c r="L5079">
        <v>-61.645049999999998</v>
      </c>
      <c r="M5079">
        <v>0.99027430000000005</v>
      </c>
      <c r="N5079">
        <v>-1.014776E-2</v>
      </c>
      <c r="O5079">
        <v>-0.13875870000000001</v>
      </c>
      <c r="P5079">
        <v>0.98857870000000003</v>
      </c>
      <c r="Q5079">
        <v>0.14926639999999999</v>
      </c>
      <c r="R5079">
        <v>-2.0785580000000001E-2</v>
      </c>
      <c r="S5079">
        <v>3.058319</v>
      </c>
      <c r="T5079">
        <v>-0.1566929</v>
      </c>
      <c r="U5079">
        <v>2.1972659999999998E-3</v>
      </c>
      <c r="V5079">
        <v>-0.1178539</v>
      </c>
      <c r="W5079">
        <v>0.1582944</v>
      </c>
      <c r="X5079">
        <v>0.98033329999999996</v>
      </c>
      <c r="Y5079">
        <v>-0.13914260000000001</v>
      </c>
      <c r="Z5079">
        <v>9.9453670000000001E-3</v>
      </c>
      <c r="AA5079">
        <v>0.99022239999999995</v>
      </c>
      <c r="AB5079">
        <v>26</v>
      </c>
      <c r="AC5079">
        <v>21.590699999999998</v>
      </c>
      <c r="AD5079">
        <v>-1.11322893031309</v>
      </c>
      <c r="AE5079">
        <v>3.2609999999998203E-2</v>
      </c>
      <c r="AF5079">
        <v>-3.0203165492742401</v>
      </c>
      <c r="AG5079">
        <v>-1.11322893031309</v>
      </c>
      <c r="AH5079">
        <v>21.3206090307343</v>
      </c>
      <c r="AI5079">
        <v>92.959419120444593</v>
      </c>
      <c r="AJ5079">
        <v>98.062974648026199</v>
      </c>
      <c r="AK5079">
        <v>21.562234581567299</v>
      </c>
      <c r="AL5079">
        <v>80.892089228064293</v>
      </c>
      <c r="AM5079">
        <v>96.855097288813994</v>
      </c>
      <c r="AN5079">
        <v>1.0000000189527201</v>
      </c>
    </row>
    <row r="5080" spans="1:40" x14ac:dyDescent="0.25">
      <c r="A5080" t="str">
        <f>"20190304155519778"</f>
        <v>20190304155519778</v>
      </c>
      <c r="B5080" t="str">
        <f>"1551686119773398"</f>
        <v>1551686119773398</v>
      </c>
      <c r="C5080" t="s">
        <v>40</v>
      </c>
      <c r="D5080">
        <v>4.7025489999999897</v>
      </c>
      <c r="E5080">
        <v>0.48902230000000002</v>
      </c>
      <c r="F5080" t="s">
        <v>94</v>
      </c>
      <c r="G5080">
        <v>-241.14709999999999</v>
      </c>
      <c r="H5080" s="1">
        <v>2.022676E-7</v>
      </c>
      <c r="I5080">
        <v>-61.580579999999998</v>
      </c>
      <c r="J5080">
        <v>-262.83030000000002</v>
      </c>
      <c r="K5080">
        <v>1.1132219999999999</v>
      </c>
      <c r="L5080">
        <v>-61.668610000000001</v>
      </c>
      <c r="M5080">
        <v>0.99077879999999996</v>
      </c>
      <c r="N5080">
        <v>-1.0149699999999999E-2</v>
      </c>
      <c r="O5080">
        <v>-0.13511020000000001</v>
      </c>
      <c r="P5080">
        <v>0.98853420000000003</v>
      </c>
      <c r="Q5080">
        <v>0.14996599999999999</v>
      </c>
      <c r="R5080">
        <v>-1.7627400000000001E-2</v>
      </c>
      <c r="S5080">
        <v>3.0583499999999999</v>
      </c>
      <c r="T5080">
        <v>-0.1556053</v>
      </c>
      <c r="U5080">
        <v>9.0026859999999993E-3</v>
      </c>
      <c r="V5080">
        <v>-0.1173612</v>
      </c>
      <c r="W5080">
        <v>0.15900249999999999</v>
      </c>
      <c r="X5080">
        <v>0.98027779999999998</v>
      </c>
      <c r="Y5080">
        <v>-0.13770839999999901</v>
      </c>
      <c r="Z5080">
        <v>9.6809210000000003E-3</v>
      </c>
      <c r="AA5080">
        <v>0.99042549999999996</v>
      </c>
      <c r="AB5080">
        <v>26</v>
      </c>
      <c r="AC5080">
        <v>21.683199999999999</v>
      </c>
      <c r="AD5080">
        <v>-1.1132217977323999</v>
      </c>
      <c r="AE5080">
        <v>8.8029999999996195E-2</v>
      </c>
      <c r="AF5080">
        <v>-3.0090632922402998</v>
      </c>
      <c r="AG5080">
        <v>-1.1132217977323999</v>
      </c>
      <c r="AH5080">
        <v>21.416014779521898</v>
      </c>
      <c r="AI5080">
        <v>92.946710265173706</v>
      </c>
      <c r="AJ5080">
        <v>97.998002678484198</v>
      </c>
      <c r="AK5080">
        <v>21.655008974931299</v>
      </c>
      <c r="AL5080">
        <v>80.850997545300004</v>
      </c>
      <c r="AM5080">
        <v>96.827092747755401</v>
      </c>
      <c r="AN5080">
        <v>1.00000000572226</v>
      </c>
    </row>
    <row r="5081" spans="1:40" x14ac:dyDescent="0.25">
      <c r="A5081" t="str">
        <f>"20190304155519789"</f>
        <v>20190304155519789</v>
      </c>
      <c r="B5081" t="str">
        <f>"1551686119783157"</f>
        <v>1551686119783157</v>
      </c>
      <c r="C5081" t="s">
        <v>40</v>
      </c>
      <c r="D5081">
        <v>4.8984430000000003</v>
      </c>
      <c r="E5081">
        <v>0.48902230000000002</v>
      </c>
      <c r="F5081" t="s">
        <v>94</v>
      </c>
      <c r="G5081">
        <v>-240.6114</v>
      </c>
      <c r="H5081" s="1">
        <v>4.4214400000000002E-7</v>
      </c>
      <c r="I5081">
        <v>-61.542839999999998</v>
      </c>
      <c r="J5081">
        <v>-262.70350000000002</v>
      </c>
      <c r="K5081">
        <v>1.1132089999999999</v>
      </c>
      <c r="L5081">
        <v>-61.68338</v>
      </c>
      <c r="M5081">
        <v>0.99109329999999995</v>
      </c>
      <c r="N5081">
        <v>-1.015041E-2</v>
      </c>
      <c r="O5081">
        <v>-0.1327826</v>
      </c>
      <c r="P5081">
        <v>0.98854730000000002</v>
      </c>
      <c r="Q5081">
        <v>0.15012400000000001</v>
      </c>
      <c r="R5081">
        <v>-1.540568E-2</v>
      </c>
      <c r="S5081">
        <v>3.0583499999999999</v>
      </c>
      <c r="T5081">
        <v>-0.1532309</v>
      </c>
      <c r="U5081">
        <v>1.7303470000000001E-2</v>
      </c>
      <c r="V5081">
        <v>-0.11725480000000001</v>
      </c>
      <c r="W5081">
        <v>0.15916540000000001</v>
      </c>
      <c r="X5081">
        <v>0.98026409999999997</v>
      </c>
      <c r="Y5081">
        <v>-0.1380815</v>
      </c>
      <c r="Z5081">
        <v>9.4425900000000007E-3</v>
      </c>
      <c r="AA5081">
        <v>0.99037589999999998</v>
      </c>
      <c r="AB5081">
        <v>26</v>
      </c>
      <c r="AC5081">
        <v>22.092099999999999</v>
      </c>
      <c r="AD5081">
        <v>-1.113208557856</v>
      </c>
      <c r="AE5081">
        <v>0.140540000000001</v>
      </c>
      <c r="AF5081">
        <v>-3.0651104663360398</v>
      </c>
      <c r="AG5081">
        <v>-1.113208557856</v>
      </c>
      <c r="AH5081">
        <v>21.822389248299999</v>
      </c>
      <c r="AI5081">
        <v>92.891915746984196</v>
      </c>
      <c r="AJ5081">
        <v>97.995297692182604</v>
      </c>
      <c r="AK5081">
        <v>22.064695963653101</v>
      </c>
      <c r="AL5081">
        <v>80.841543700554197</v>
      </c>
      <c r="AM5081">
        <v>96.821056056876003</v>
      </c>
      <c r="AN5081">
        <v>1.0000000092145001</v>
      </c>
    </row>
    <row r="5082" spans="1:40" x14ac:dyDescent="0.25">
      <c r="A5082" t="str">
        <f>"20190304155519799"</f>
        <v>20190304155519799</v>
      </c>
      <c r="B5082" t="str">
        <f>"1551686119792917"</f>
        <v>1551686119792917</v>
      </c>
      <c r="C5082" t="s">
        <v>40</v>
      </c>
      <c r="D5082">
        <v>4.6771500000000001</v>
      </c>
      <c r="E5082">
        <v>0.48915730000000002</v>
      </c>
      <c r="F5082" t="s">
        <v>94</v>
      </c>
      <c r="G5082">
        <v>-240.40819999999999</v>
      </c>
      <c r="H5082" s="1">
        <v>5.3932179999999995E-7</v>
      </c>
      <c r="I5082">
        <v>-61.505119999999998</v>
      </c>
      <c r="J5082">
        <v>-262.57709999999997</v>
      </c>
      <c r="K5082">
        <v>1.113192</v>
      </c>
      <c r="L5082">
        <v>-61.697940000000003</v>
      </c>
      <c r="M5082">
        <v>0.99140019999999995</v>
      </c>
      <c r="N5082">
        <v>-1.0150920000000001E-2</v>
      </c>
      <c r="O5082">
        <v>-0.13047159999999999</v>
      </c>
      <c r="P5082">
        <v>0.98856770000000005</v>
      </c>
      <c r="Q5082">
        <v>0.150226</v>
      </c>
      <c r="R5082">
        <v>-1.290582E-2</v>
      </c>
      <c r="S5082">
        <v>3.058319</v>
      </c>
      <c r="T5082">
        <v>-0.15270259999999999</v>
      </c>
      <c r="U5082">
        <v>2.444458E-2</v>
      </c>
      <c r="V5082">
        <v>-0.11744110000000001</v>
      </c>
      <c r="W5082">
        <v>0.1592703</v>
      </c>
      <c r="X5082">
        <v>0.98022469999999995</v>
      </c>
      <c r="Y5082">
        <v>-0.13808889999999999</v>
      </c>
      <c r="Z5082">
        <v>9.3173739999999998E-3</v>
      </c>
      <c r="AA5082">
        <v>0.99037600000000003</v>
      </c>
      <c r="AB5082">
        <v>26</v>
      </c>
      <c r="AC5082">
        <v>22.168899999999901</v>
      </c>
      <c r="AD5082">
        <v>-1.1131914606782001</v>
      </c>
      <c r="AE5082">
        <v>0.19282000000000399</v>
      </c>
      <c r="AF5082">
        <v>-3.07597680112631</v>
      </c>
      <c r="AG5082">
        <v>-1.1131914606782001</v>
      </c>
      <c r="AH5082">
        <v>21.899009672485999</v>
      </c>
      <c r="AI5082">
        <v>92.881768500169301</v>
      </c>
      <c r="AJ5082">
        <v>97.995565681255798</v>
      </c>
      <c r="AK5082">
        <v>22.141983947804398</v>
      </c>
      <c r="AL5082">
        <v>80.835455177899405</v>
      </c>
      <c r="AM5082">
        <v>96.832063331368502</v>
      </c>
      <c r="AN5082">
        <v>0.99999995146069298</v>
      </c>
    </row>
    <row r="5083" spans="1:40" x14ac:dyDescent="0.25">
      <c r="A5083" t="str">
        <f>"20190304155519812"</f>
        <v>20190304155519812</v>
      </c>
      <c r="B5083" t="str">
        <f>"1551686119802678"</f>
        <v>1551686119802678</v>
      </c>
      <c r="C5083" t="s">
        <v>40</v>
      </c>
      <c r="D5083">
        <v>4.6491110000000004</v>
      </c>
      <c r="E5083">
        <v>0.48928909999999998</v>
      </c>
      <c r="F5083" t="s">
        <v>94</v>
      </c>
      <c r="G5083">
        <v>-240.2149</v>
      </c>
      <c r="H5083" s="1">
        <v>6.317795E-7</v>
      </c>
      <c r="I5083">
        <v>-61.469369999999998</v>
      </c>
      <c r="J5083">
        <v>-262.44650000000001</v>
      </c>
      <c r="K5083">
        <v>1.113164</v>
      </c>
      <c r="L5083">
        <v>-61.712490000000003</v>
      </c>
      <c r="M5083">
        <v>0.99170659999999999</v>
      </c>
      <c r="N5083">
        <v>-1.01508E-2</v>
      </c>
      <c r="O5083">
        <v>-0.1281214</v>
      </c>
      <c r="P5083">
        <v>0.98863630000000002</v>
      </c>
      <c r="Q5083">
        <v>0.14997349999999901</v>
      </c>
      <c r="R5083">
        <v>-1.030234E-2</v>
      </c>
      <c r="S5083">
        <v>3.0581969999999998</v>
      </c>
      <c r="T5083">
        <v>-0.15223719999999999</v>
      </c>
      <c r="U5083">
        <v>3.125E-2</v>
      </c>
      <c r="V5083">
        <v>-0.1176922</v>
      </c>
      <c r="W5083">
        <v>0.1590232</v>
      </c>
      <c r="X5083">
        <v>0.98023470000000001</v>
      </c>
      <c r="Y5083">
        <v>-0.1379495</v>
      </c>
      <c r="Z5083">
        <v>9.1913120000000001E-3</v>
      </c>
      <c r="AA5083">
        <v>0.99039659999999996</v>
      </c>
      <c r="AB5083">
        <v>26</v>
      </c>
      <c r="AC5083">
        <v>22.2316</v>
      </c>
      <c r="AD5083">
        <v>-1.1131633682205</v>
      </c>
      <c r="AE5083">
        <v>0.243120000000004</v>
      </c>
      <c r="AF5083">
        <v>-3.0818806868852802</v>
      </c>
      <c r="AG5083">
        <v>-1.1131633682205</v>
      </c>
      <c r="AH5083">
        <v>21.962153350308601</v>
      </c>
      <c r="AI5083">
        <v>92.873477929638298</v>
      </c>
      <c r="AJ5083">
        <v>97.987978971177697</v>
      </c>
      <c r="AK5083">
        <v>22.2052539061145</v>
      </c>
      <c r="AL5083">
        <v>80.849795719740598</v>
      </c>
      <c r="AM5083">
        <v>96.846463223949002</v>
      </c>
      <c r="AN5083">
        <v>0.999999949581583</v>
      </c>
    </row>
    <row r="5084" spans="1:40" x14ac:dyDescent="0.25">
      <c r="A5084" t="str">
        <f>"20190304155519825"</f>
        <v>20190304155519825</v>
      </c>
      <c r="B5084" t="str">
        <f>"1551686119823173"</f>
        <v>1551686119823173</v>
      </c>
      <c r="C5084" t="s">
        <v>40</v>
      </c>
      <c r="D5084">
        <v>4.6729779999999996</v>
      </c>
      <c r="E5084">
        <v>0.49842330000000001</v>
      </c>
      <c r="F5084" t="s">
        <v>94</v>
      </c>
      <c r="G5084">
        <v>-240.1747</v>
      </c>
      <c r="H5084" s="1">
        <v>6.5934630000000001E-7</v>
      </c>
      <c r="I5084">
        <v>-61.430610000000001</v>
      </c>
      <c r="J5084">
        <v>-262.29489999999998</v>
      </c>
      <c r="K5084">
        <v>1.1131249999999999</v>
      </c>
      <c r="L5084">
        <v>-61.72925</v>
      </c>
      <c r="M5084">
        <v>0.99205290000000002</v>
      </c>
      <c r="N5084">
        <v>-1.015044E-2</v>
      </c>
      <c r="O5084">
        <v>-0.12541240000000001</v>
      </c>
      <c r="P5084">
        <v>0.98875000000000002</v>
      </c>
      <c r="Q5084">
        <v>0.1493989</v>
      </c>
      <c r="R5084">
        <v>-7.3181740000000002E-3</v>
      </c>
      <c r="S5084">
        <v>3.0580750000000001</v>
      </c>
      <c r="T5084">
        <v>-0.1528447</v>
      </c>
      <c r="U5084">
        <v>3.8696290000000001E-2</v>
      </c>
      <c r="V5084">
        <v>-0.11796810000000001</v>
      </c>
      <c r="W5084">
        <v>0.1584564</v>
      </c>
      <c r="X5084">
        <v>0.98029339999999998</v>
      </c>
      <c r="Y5084">
        <v>-0.13765620000000001</v>
      </c>
      <c r="Z5084">
        <v>9.1152479999999994E-3</v>
      </c>
      <c r="AA5084">
        <v>0.99043809999999999</v>
      </c>
      <c r="AB5084">
        <v>26</v>
      </c>
      <c r="AC5084">
        <v>22.120199999999901</v>
      </c>
      <c r="AD5084">
        <v>-1.1131243406536999</v>
      </c>
      <c r="AE5084">
        <v>0.29864000000000601</v>
      </c>
      <c r="AF5084">
        <v>-3.0628173855564098</v>
      </c>
      <c r="AG5084">
        <v>-1.1131243406536999</v>
      </c>
      <c r="AH5084">
        <v>21.852754319574</v>
      </c>
      <c r="AI5084">
        <v>92.887805084427995</v>
      </c>
      <c r="AJ5084">
        <v>97.978435030238401</v>
      </c>
      <c r="AK5084">
        <v>22.094405796189299</v>
      </c>
      <c r="AL5084">
        <v>80.882688738448905</v>
      </c>
      <c r="AM5084">
        <v>96.861953174439094</v>
      </c>
      <c r="AN5084">
        <v>1.00000002670106</v>
      </c>
    </row>
    <row r="5085" spans="1:40" x14ac:dyDescent="0.25">
      <c r="A5085" t="str">
        <f>"20190304155519835"</f>
        <v>20190304155519835</v>
      </c>
      <c r="B5085" t="str">
        <f>"1551686119832934"</f>
        <v>1551686119832934</v>
      </c>
      <c r="C5085" t="s">
        <v>40</v>
      </c>
      <c r="D5085">
        <v>4.6700200000000001</v>
      </c>
      <c r="E5085">
        <v>0.49888719999999998</v>
      </c>
      <c r="F5085" t="s">
        <v>98</v>
      </c>
      <c r="G5085">
        <v>-237.95599999999999</v>
      </c>
      <c r="H5085" s="1">
        <v>-2.8099879999999999E-6</v>
      </c>
      <c r="I5085">
        <v>-61.923690000000001</v>
      </c>
      <c r="J5085">
        <v>-262.16590000000002</v>
      </c>
      <c r="K5085">
        <v>1.113081</v>
      </c>
      <c r="L5085">
        <v>-61.743099999999998</v>
      </c>
      <c r="M5085">
        <v>0.99233629999999995</v>
      </c>
      <c r="N5085">
        <v>-1.014967E-2</v>
      </c>
      <c r="O5085">
        <v>-0.1231483</v>
      </c>
      <c r="P5085">
        <v>0.98884590000000006</v>
      </c>
      <c r="Q5085">
        <v>0.14886440000000001</v>
      </c>
      <c r="R5085">
        <v>-4.828138E-3</v>
      </c>
      <c r="S5085">
        <v>3.0550540000000002</v>
      </c>
      <c r="T5085">
        <v>-0.13972129999999999</v>
      </c>
      <c r="U5085">
        <v>-2.4414060000000001E-2</v>
      </c>
      <c r="V5085">
        <v>-0.1181913</v>
      </c>
      <c r="W5085">
        <v>0.1579304</v>
      </c>
      <c r="X5085">
        <v>0.98035130000000004</v>
      </c>
      <c r="Y5085">
        <v>-0.11499620000000001</v>
      </c>
      <c r="Z5085">
        <v>7.5778939999999999E-3</v>
      </c>
      <c r="AA5085">
        <v>0.99333700000000003</v>
      </c>
      <c r="AB5085">
        <v>26</v>
      </c>
      <c r="AC5085">
        <v>24.209900000000001</v>
      </c>
      <c r="AD5085">
        <v>-1.1130838099880001</v>
      </c>
      <c r="AE5085">
        <v>-0.180590000000002</v>
      </c>
      <c r="AF5085">
        <v>-2.7964357134905602</v>
      </c>
      <c r="AG5085">
        <v>-1.1130838099880001</v>
      </c>
      <c r="AH5085">
        <v>23.997119435895499</v>
      </c>
      <c r="AI5085">
        <v>92.637882344539804</v>
      </c>
      <c r="AJ5085">
        <v>96.646820696027206</v>
      </c>
      <c r="AK5085">
        <v>24.185134886710401</v>
      </c>
      <c r="AL5085">
        <v>80.913209786988801</v>
      </c>
      <c r="AM5085">
        <v>96.874409960248599</v>
      </c>
      <c r="AN5085">
        <v>0.99999993302576695</v>
      </c>
    </row>
    <row r="5086" spans="1:40" x14ac:dyDescent="0.25">
      <c r="A5086" t="str">
        <f>"20190304155519849"</f>
        <v>20190304155519849</v>
      </c>
      <c r="B5086" t="str">
        <f>"1551686119842694"</f>
        <v>1551686119842694</v>
      </c>
      <c r="C5086" t="s">
        <v>40</v>
      </c>
      <c r="D5086">
        <v>4.6566689999999999</v>
      </c>
      <c r="E5086">
        <v>0.49926769999999998</v>
      </c>
      <c r="F5086" t="s">
        <v>98</v>
      </c>
      <c r="G5086">
        <v>-238.1842</v>
      </c>
      <c r="H5086" s="1">
        <v>-2.9023519999999999E-6</v>
      </c>
      <c r="I5086">
        <v>-61.902830000000002</v>
      </c>
      <c r="J5086">
        <v>-262.02760000000001</v>
      </c>
      <c r="K5086">
        <v>1.1130329999999999</v>
      </c>
      <c r="L5086">
        <v>-61.757689999999997</v>
      </c>
      <c r="M5086">
        <v>0.99263049999999997</v>
      </c>
      <c r="N5086">
        <v>-1.0148600000000001E-2</v>
      </c>
      <c r="O5086">
        <v>-0.120755399999999</v>
      </c>
      <c r="P5086">
        <v>0.98898819999999998</v>
      </c>
      <c r="Q5086">
        <v>0.14797859999999999</v>
      </c>
      <c r="R5086">
        <v>-2.2376700000000002E-3</v>
      </c>
      <c r="S5086">
        <v>3.0550839999999999</v>
      </c>
      <c r="T5086">
        <v>-0.14179829999999999</v>
      </c>
      <c r="U5086">
        <v>-2.035522E-2</v>
      </c>
      <c r="V5086">
        <v>-0.11838899999999999</v>
      </c>
      <c r="W5086">
        <v>0.157056</v>
      </c>
      <c r="X5086">
        <v>0.98046800000000001</v>
      </c>
      <c r="Y5086">
        <v>-0.1139169</v>
      </c>
      <c r="Z5086">
        <v>7.5840739999999997E-3</v>
      </c>
      <c r="AA5086">
        <v>0.99346129999999999</v>
      </c>
      <c r="AB5086">
        <v>26</v>
      </c>
      <c r="AC5086">
        <v>23.843399999999999</v>
      </c>
      <c r="AD5086">
        <v>-1.113035902352</v>
      </c>
      <c r="AE5086">
        <v>-0.14513999999999699</v>
      </c>
      <c r="AF5086">
        <v>-2.7293421885428999</v>
      </c>
      <c r="AG5086">
        <v>-1.113035902352</v>
      </c>
      <c r="AH5086">
        <v>23.634928762510199</v>
      </c>
      <c r="AI5086">
        <v>92.678455077745397</v>
      </c>
      <c r="AJ5086">
        <v>96.587291553212495</v>
      </c>
      <c r="AK5086">
        <v>23.818018710862901</v>
      </c>
      <c r="AL5086">
        <v>80.963943159913399</v>
      </c>
      <c r="AM5086">
        <v>96.884986844122807</v>
      </c>
      <c r="AN5086">
        <v>1.00000002074049</v>
      </c>
    </row>
    <row r="5087" spans="1:40" x14ac:dyDescent="0.25">
      <c r="A5087" t="str">
        <f>"20190304155519862"</f>
        <v>20190304155519862</v>
      </c>
      <c r="B5087" t="str">
        <f>"1551686119852456"</f>
        <v>1551686119852456</v>
      </c>
      <c r="C5087" t="s">
        <v>40</v>
      </c>
      <c r="D5087">
        <v>4.6670069999999999</v>
      </c>
      <c r="E5087">
        <v>0.49989879999999998</v>
      </c>
      <c r="F5087" t="s">
        <v>98</v>
      </c>
      <c r="G5087">
        <v>-238.63640000000001</v>
      </c>
      <c r="H5087" s="1">
        <v>-3.077998E-6</v>
      </c>
      <c r="I5087">
        <v>-61.87726</v>
      </c>
      <c r="J5087">
        <v>-261.87670000000003</v>
      </c>
      <c r="K5087">
        <v>1.1129770000000001</v>
      </c>
      <c r="L5087">
        <v>-61.773380000000003</v>
      </c>
      <c r="M5087">
        <v>0.99294119999999997</v>
      </c>
      <c r="N5087">
        <v>-1.0147359999999999E-2</v>
      </c>
      <c r="O5087">
        <v>-0.1181735</v>
      </c>
      <c r="P5087">
        <v>0.98913300000000004</v>
      </c>
      <c r="Q5087">
        <v>0.1470225</v>
      </c>
      <c r="R5087">
        <v>7.5875780000000004E-4</v>
      </c>
      <c r="S5087">
        <v>3.0551149999999998</v>
      </c>
      <c r="T5087">
        <v>-0.1453729</v>
      </c>
      <c r="U5087">
        <v>-1.5625E-2</v>
      </c>
      <c r="V5087">
        <v>-0.11880110000000001</v>
      </c>
      <c r="W5087">
        <v>0.15611029999999901</v>
      </c>
      <c r="X5087">
        <v>0.98056909999999997</v>
      </c>
      <c r="Y5087">
        <v>-0.1128625</v>
      </c>
      <c r="Z5087">
        <v>7.6654369999999998E-3</v>
      </c>
      <c r="AA5087">
        <v>0.99358109999999999</v>
      </c>
      <c r="AB5087">
        <v>26</v>
      </c>
      <c r="AC5087">
        <v>23.240300000000001</v>
      </c>
      <c r="AD5087">
        <v>-1.1129800779979999</v>
      </c>
      <c r="AE5087">
        <v>-0.103879999999996</v>
      </c>
      <c r="AF5087">
        <v>-2.63732824150815</v>
      </c>
      <c r="AG5087">
        <v>-1.1129800779979999</v>
      </c>
      <c r="AH5087">
        <v>23.036880915716399</v>
      </c>
      <c r="AI5087">
        <v>92.748056350511902</v>
      </c>
      <c r="AJ5087">
        <v>96.530952050150702</v>
      </c>
      <c r="AK5087">
        <v>23.214049780949001</v>
      </c>
      <c r="AL5087">
        <v>81.018803807025805</v>
      </c>
      <c r="AM5087">
        <v>96.908016117839907</v>
      </c>
      <c r="AN5087">
        <v>0.99999994350105303</v>
      </c>
    </row>
    <row r="5088" spans="1:40" x14ac:dyDescent="0.25">
      <c r="A5088" t="str">
        <f>"20190304155519879"</f>
        <v>20190304155519879</v>
      </c>
      <c r="B5088" t="str">
        <f>"1551686119872950"</f>
        <v>1551686119872950</v>
      </c>
      <c r="C5088" t="s">
        <v>40</v>
      </c>
      <c r="D5088">
        <v>4.6746339999999904</v>
      </c>
      <c r="E5088">
        <v>0.50005159999999904</v>
      </c>
      <c r="F5088" t="s">
        <v>98</v>
      </c>
      <c r="G5088">
        <v>-239.00020000000001</v>
      </c>
      <c r="H5088" s="1">
        <v>-3.1984460000000002E-6</v>
      </c>
      <c r="I5088">
        <v>-61.8583199999999</v>
      </c>
      <c r="J5088">
        <v>-261.67689999999999</v>
      </c>
      <c r="K5088">
        <v>1.1128899999999999</v>
      </c>
      <c r="L5088">
        <v>-61.793460000000003</v>
      </c>
      <c r="M5088">
        <v>0.99332989999999999</v>
      </c>
      <c r="N5088">
        <v>-1.0145110000000001E-2</v>
      </c>
      <c r="O5088">
        <v>-0.114861</v>
      </c>
      <c r="P5088">
        <v>0.98940349999999999</v>
      </c>
      <c r="Q5088">
        <v>0.1451229</v>
      </c>
      <c r="R5088">
        <v>4.4735189999999996E-3</v>
      </c>
      <c r="S5088">
        <v>3.0550540000000002</v>
      </c>
      <c r="T5088">
        <v>-0.148633399999999</v>
      </c>
      <c r="U5088">
        <v>-1.135254E-2</v>
      </c>
      <c r="V5088">
        <v>-0.1192029</v>
      </c>
      <c r="W5088">
        <v>0.15423029999999999</v>
      </c>
      <c r="X5088">
        <v>0.98081790000000002</v>
      </c>
      <c r="Y5088">
        <v>-0.11093160000000001</v>
      </c>
      <c r="Z5088">
        <v>7.6685490000000002E-3</v>
      </c>
      <c r="AA5088">
        <v>0.99379839999999997</v>
      </c>
      <c r="AB5088">
        <v>26</v>
      </c>
      <c r="AC5088">
        <v>22.676699999999901</v>
      </c>
      <c r="AD5088">
        <v>-1.112893198446</v>
      </c>
      <c r="AE5088">
        <v>-6.4859999999995893E-2</v>
      </c>
      <c r="AF5088">
        <v>-2.5342677200306598</v>
      </c>
      <c r="AG5088">
        <v>-1.112893198446</v>
      </c>
      <c r="AH5088">
        <v>22.4799082423865</v>
      </c>
      <c r="AI5088">
        <v>92.816366985654398</v>
      </c>
      <c r="AJ5088">
        <v>96.432070692086299</v>
      </c>
      <c r="AK5088">
        <v>22.6496648702371</v>
      </c>
      <c r="AL5088">
        <v>81.127841395718704</v>
      </c>
      <c r="AM5088">
        <v>96.929411886723301</v>
      </c>
      <c r="AN5088">
        <v>1.0000000348834499</v>
      </c>
    </row>
    <row r="5089" spans="1:40" x14ac:dyDescent="0.25">
      <c r="A5089" t="str">
        <f>"20190304155519892"</f>
        <v>20190304155519892</v>
      </c>
      <c r="B5089" t="str">
        <f>"1551686119882709"</f>
        <v>1551686119882709</v>
      </c>
      <c r="C5089" t="s">
        <v>40</v>
      </c>
      <c r="D5089">
        <v>4.679049</v>
      </c>
      <c r="E5089">
        <v>0.50035959999999902</v>
      </c>
      <c r="F5089" t="s">
        <v>98</v>
      </c>
      <c r="G5089">
        <v>-238.90090000000001</v>
      </c>
      <c r="H5089" s="1">
        <v>-3.1549320000000001E-6</v>
      </c>
      <c r="I5089">
        <v>-61.80341</v>
      </c>
      <c r="J5089">
        <v>-261.52510000000001</v>
      </c>
      <c r="K5089">
        <v>1.1128229999999999</v>
      </c>
      <c r="L5089">
        <v>-61.808320000000002</v>
      </c>
      <c r="M5089">
        <v>0.99360950000000003</v>
      </c>
      <c r="N5089">
        <v>-1.0142979999999999E-2</v>
      </c>
      <c r="O5089">
        <v>-0.11241660000000001</v>
      </c>
      <c r="P5089">
        <v>0.98950300000000002</v>
      </c>
      <c r="Q5089">
        <v>0.14434559999999999</v>
      </c>
      <c r="R5089">
        <v>6.9762260000000003E-3</v>
      </c>
      <c r="S5089">
        <v>3.0540159999999998</v>
      </c>
      <c r="T5089">
        <v>-0.14922679999999999</v>
      </c>
      <c r="U5089">
        <v>-1.34277299999999E-3</v>
      </c>
      <c r="V5089">
        <v>-0.1192555</v>
      </c>
      <c r="W5089">
        <v>0.15346940000000001</v>
      </c>
      <c r="X5089">
        <v>0.98093079999999999</v>
      </c>
      <c r="Y5089">
        <v>-0.1117408</v>
      </c>
      <c r="Z5089">
        <v>7.6348129999999998E-3</v>
      </c>
      <c r="AA5089">
        <v>0.99370809999999998</v>
      </c>
      <c r="AB5089">
        <v>26</v>
      </c>
      <c r="AC5089">
        <v>22.624199999999998</v>
      </c>
      <c r="AD5089">
        <v>-1.112826154932</v>
      </c>
      <c r="AE5089">
        <v>4.9099999999953001E-3</v>
      </c>
      <c r="AF5089">
        <v>-2.5421944941604</v>
      </c>
      <c r="AG5089">
        <v>-1.112826154932</v>
      </c>
      <c r="AH5089">
        <v>22.425964691098599</v>
      </c>
      <c r="AI5089">
        <v>92.822764249641196</v>
      </c>
      <c r="AJ5089">
        <v>96.467408158794001</v>
      </c>
      <c r="AK5089">
        <v>22.597013679325901</v>
      </c>
      <c r="AL5089">
        <v>81.171962591588098</v>
      </c>
      <c r="AM5089">
        <v>96.931649716729694</v>
      </c>
      <c r="AN5089">
        <v>0.99999998270262402</v>
      </c>
    </row>
    <row r="5090" spans="1:40" x14ac:dyDescent="0.25">
      <c r="A5090" t="str">
        <f>"20190304155519903"</f>
        <v>20190304155519903</v>
      </c>
      <c r="B5090" t="str">
        <f>"1551686119892470"</f>
        <v>1551686119892470</v>
      </c>
      <c r="C5090" t="s">
        <v>40</v>
      </c>
      <c r="D5090">
        <v>4.6430949999999998</v>
      </c>
      <c r="E5090">
        <v>0.50053019999999904</v>
      </c>
      <c r="F5090" t="s">
        <v>98</v>
      </c>
      <c r="G5090">
        <v>-238.7501</v>
      </c>
      <c r="H5090" s="1">
        <v>-3.0995740000000001E-6</v>
      </c>
      <c r="I5090">
        <v>-61.780709999999999</v>
      </c>
      <c r="J5090">
        <v>-261.40359999999998</v>
      </c>
      <c r="K5090">
        <v>1.112771</v>
      </c>
      <c r="L5090">
        <v>-61.820070000000001</v>
      </c>
      <c r="M5090">
        <v>0.99382610000000005</v>
      </c>
      <c r="N5090">
        <v>-1.0141290000000001E-2</v>
      </c>
      <c r="O5090">
        <v>-0.1104854</v>
      </c>
      <c r="P5090">
        <v>0.98962090000000003</v>
      </c>
      <c r="Q5090">
        <v>0.143432</v>
      </c>
      <c r="R5090">
        <v>8.8375820000000001E-3</v>
      </c>
      <c r="S5090">
        <v>3.053528</v>
      </c>
      <c r="T5090">
        <v>-0.14920039999999901</v>
      </c>
      <c r="U5090">
        <v>3.692627E-3</v>
      </c>
      <c r="V5090">
        <v>-0.1191839</v>
      </c>
      <c r="W5090">
        <v>0.15257029999999999</v>
      </c>
      <c r="X5090">
        <v>0.98107979999999995</v>
      </c>
      <c r="Y5090">
        <v>-0.1114501</v>
      </c>
      <c r="Z5090">
        <v>7.552156E-3</v>
      </c>
      <c r="AA5090">
        <v>0.99374130000000005</v>
      </c>
      <c r="AB5090">
        <v>26</v>
      </c>
      <c r="AC5090">
        <v>22.653499999999902</v>
      </c>
      <c r="AD5090">
        <v>-1.1127740995740001</v>
      </c>
      <c r="AE5090">
        <v>3.9359999999994899E-2</v>
      </c>
      <c r="AF5090">
        <v>-2.53600931837597</v>
      </c>
      <c r="AG5090">
        <v>-1.1127740995740001</v>
      </c>
      <c r="AH5090">
        <v>22.456261277136999</v>
      </c>
      <c r="AI5090">
        <v>92.818965129272698</v>
      </c>
      <c r="AJ5090">
        <v>96.443174623637205</v>
      </c>
      <c r="AK5090">
        <v>22.626384598663002</v>
      </c>
      <c r="AL5090">
        <v>81.224091615016306</v>
      </c>
      <c r="AM5090">
        <v>96.926486579034901</v>
      </c>
      <c r="AN5090">
        <v>1.0000000362146599</v>
      </c>
    </row>
    <row r="5091" spans="1:40" x14ac:dyDescent="0.25">
      <c r="A5091" t="str">
        <f>"20190304155519914"</f>
        <v>20190304155519914</v>
      </c>
      <c r="B5091" t="str">
        <f>"1551686119912965"</f>
        <v>1551686119912965</v>
      </c>
      <c r="C5091" t="s">
        <v>40</v>
      </c>
      <c r="D5091">
        <v>4.7140029999999999</v>
      </c>
      <c r="E5091">
        <v>0.50119639999999999</v>
      </c>
      <c r="F5091" t="s">
        <v>98</v>
      </c>
      <c r="G5091">
        <v>-238.79239999999999</v>
      </c>
      <c r="H5091" s="1">
        <v>-3.1105659999999998E-6</v>
      </c>
      <c r="I5091">
        <v>-61.761470000000003</v>
      </c>
      <c r="J5091">
        <v>-261.26190000000003</v>
      </c>
      <c r="K5091">
        <v>1.1127039999999999</v>
      </c>
      <c r="L5091">
        <v>-61.833440000000003</v>
      </c>
      <c r="M5091">
        <v>0.99406550000000005</v>
      </c>
      <c r="N5091">
        <v>-1.0138879999999999E-2</v>
      </c>
      <c r="O5091">
        <v>-0.1083103</v>
      </c>
      <c r="P5091">
        <v>0.98969019999999996</v>
      </c>
      <c r="Q5091">
        <v>0.14279620000000001</v>
      </c>
      <c r="R5091">
        <v>1.1073660000000001E-2</v>
      </c>
      <c r="S5091">
        <v>3.053131</v>
      </c>
      <c r="T5091">
        <v>-0.15025479999999899</v>
      </c>
      <c r="U5091">
        <v>7.9040529999999994E-3</v>
      </c>
      <c r="V5091">
        <v>-0.1192356</v>
      </c>
      <c r="W5091">
        <v>0.15195149999999999</v>
      </c>
      <c r="X5091">
        <v>0.98116950000000003</v>
      </c>
      <c r="Y5091">
        <v>-0.1106454</v>
      </c>
      <c r="Z5091">
        <v>7.5024799999999997E-3</v>
      </c>
      <c r="AA5091">
        <v>0.99383160000000004</v>
      </c>
      <c r="AB5091">
        <v>26</v>
      </c>
      <c r="AC5091">
        <v>22.4695</v>
      </c>
      <c r="AD5091">
        <v>-1.112707110566</v>
      </c>
      <c r="AE5091">
        <v>7.1970000000007403E-2</v>
      </c>
      <c r="AF5091">
        <v>-2.49922098830808</v>
      </c>
      <c r="AG5091">
        <v>-1.112707110566</v>
      </c>
      <c r="AH5091">
        <v>22.27488157322</v>
      </c>
      <c r="AI5091">
        <v>92.841941941264096</v>
      </c>
      <c r="AJ5091">
        <v>96.401759612788197</v>
      </c>
      <c r="AK5091">
        <v>22.442249703701201</v>
      </c>
      <c r="AL5091">
        <v>81.259964076808203</v>
      </c>
      <c r="AM5091">
        <v>96.928834623895</v>
      </c>
      <c r="AN5091">
        <v>0.999999987194929</v>
      </c>
    </row>
    <row r="5092" spans="1:40" x14ac:dyDescent="0.25">
      <c r="A5092" t="str">
        <f>"20190304155519926"</f>
        <v>20190304155519926</v>
      </c>
      <c r="B5092" t="str">
        <f>"1551686119922726"</f>
        <v>1551686119922726</v>
      </c>
      <c r="C5092" t="s">
        <v>40</v>
      </c>
      <c r="D5092">
        <v>4.6438360000000003</v>
      </c>
      <c r="E5092">
        <v>0.50146800000000002</v>
      </c>
      <c r="F5092" t="s">
        <v>98</v>
      </c>
      <c r="G5092">
        <v>-238.4956</v>
      </c>
      <c r="H5092" s="1">
        <v>-2.9987600000000002E-6</v>
      </c>
      <c r="I5092">
        <v>-61.76305</v>
      </c>
      <c r="J5092">
        <v>-261.13940000000002</v>
      </c>
      <c r="K5092">
        <v>1.1126419999999999</v>
      </c>
      <c r="L5092">
        <v>-61.844850000000001</v>
      </c>
      <c r="M5092">
        <v>0.99426429999999999</v>
      </c>
      <c r="N5092">
        <v>-1.0136640000000001E-2</v>
      </c>
      <c r="O5092">
        <v>-0.1064696</v>
      </c>
      <c r="P5092">
        <v>0.98978549999999998</v>
      </c>
      <c r="Q5092">
        <v>0.1420216</v>
      </c>
      <c r="R5092">
        <v>1.2438039999999999E-2</v>
      </c>
      <c r="S5092">
        <v>3.052673</v>
      </c>
      <c r="T5092">
        <v>-0.14920020000000001</v>
      </c>
      <c r="U5092">
        <v>9.4299320000000002E-3</v>
      </c>
      <c r="V5092">
        <v>-0.1187569</v>
      </c>
      <c r="W5092">
        <v>0.151196</v>
      </c>
      <c r="X5092">
        <v>0.98134429999999995</v>
      </c>
      <c r="Y5092">
        <v>-0.10930910000000001</v>
      </c>
      <c r="Z5092">
        <v>7.3372400000000001E-3</v>
      </c>
      <c r="AA5092">
        <v>0.99398070000000005</v>
      </c>
      <c r="AB5092">
        <v>26</v>
      </c>
      <c r="AC5092">
        <v>22.643799999999999</v>
      </c>
      <c r="AD5092">
        <v>-1.11264499876</v>
      </c>
      <c r="AE5092">
        <v>8.1800000000001205E-2</v>
      </c>
      <c r="AF5092">
        <v>-2.4863321686934898</v>
      </c>
      <c r="AG5092">
        <v>-1.11264499876</v>
      </c>
      <c r="AH5092">
        <v>22.452160305505</v>
      </c>
      <c r="AI5092">
        <v>92.819834135172201</v>
      </c>
      <c r="AJ5092">
        <v>96.319136517033002</v>
      </c>
      <c r="AK5092">
        <v>22.616793073520402</v>
      </c>
      <c r="AL5092">
        <v>81.303757430968801</v>
      </c>
      <c r="AM5092">
        <v>96.900068532637704</v>
      </c>
      <c r="AN5092">
        <v>1.0000000334280399</v>
      </c>
    </row>
    <row r="5093" spans="1:40" x14ac:dyDescent="0.25">
      <c r="A5093" t="str">
        <f>"20190304155519938"</f>
        <v>20190304155519938</v>
      </c>
      <c r="B5093" t="str">
        <f>"1551686119932485"</f>
        <v>1551686119932485</v>
      </c>
      <c r="C5093" t="s">
        <v>40</v>
      </c>
      <c r="D5093">
        <v>4.6607940000000001</v>
      </c>
      <c r="E5093">
        <v>0.50174529999999995</v>
      </c>
      <c r="F5093" t="s">
        <v>98</v>
      </c>
      <c r="G5093">
        <v>-238.37700000000001</v>
      </c>
      <c r="H5093" s="1">
        <v>-2.9465070000000001E-6</v>
      </c>
      <c r="I5093">
        <v>-61.757849999999998</v>
      </c>
      <c r="J5093">
        <v>-261.00540000000001</v>
      </c>
      <c r="K5093">
        <v>1.1125780000000001</v>
      </c>
      <c r="L5093">
        <v>-61.857120000000002</v>
      </c>
      <c r="M5093">
        <v>0.9944731</v>
      </c>
      <c r="N5093">
        <v>-1.0133959999999999E-2</v>
      </c>
      <c r="O5093">
        <v>-0.104502</v>
      </c>
      <c r="P5093">
        <v>0.98986030000000003</v>
      </c>
      <c r="Q5093">
        <v>0.141346</v>
      </c>
      <c r="R5093">
        <v>1.407711E-2</v>
      </c>
      <c r="S5093">
        <v>3.052216</v>
      </c>
      <c r="T5093">
        <v>-0.14919479999999999</v>
      </c>
      <c r="U5093">
        <v>1.165771E-2</v>
      </c>
      <c r="V5093">
        <v>-0.1184216</v>
      </c>
      <c r="W5093">
        <v>0.15053939999999999</v>
      </c>
      <c r="X5093">
        <v>0.98148570000000002</v>
      </c>
      <c r="Y5093">
        <v>-0.1080713</v>
      </c>
      <c r="Z5093">
        <v>7.2261080000000002E-3</v>
      </c>
      <c r="AA5093">
        <v>0.99411689999999997</v>
      </c>
      <c r="AB5093">
        <v>26</v>
      </c>
      <c r="AC5093">
        <v>22.628399999999999</v>
      </c>
      <c r="AD5093">
        <v>-1.112580946507</v>
      </c>
      <c r="AE5093">
        <v>9.9269999999997E-2</v>
      </c>
      <c r="AF5093">
        <v>-2.4576197356243799</v>
      </c>
      <c r="AG5093">
        <v>-1.112580946507</v>
      </c>
      <c r="AH5093">
        <v>22.439869022897099</v>
      </c>
      <c r="AI5093">
        <v>92.821587611957099</v>
      </c>
      <c r="AJ5093">
        <v>96.250137217513398</v>
      </c>
      <c r="AK5093">
        <v>22.6014480264482</v>
      </c>
      <c r="AL5093">
        <v>81.341812987932002</v>
      </c>
      <c r="AM5093">
        <v>96.879792016456705</v>
      </c>
      <c r="AN5093">
        <v>0.99999998280170399</v>
      </c>
    </row>
    <row r="5094" spans="1:40" x14ac:dyDescent="0.25">
      <c r="A5094" t="str">
        <f>"20190304155519949"</f>
        <v>20190304155519949</v>
      </c>
      <c r="B5094" t="str">
        <f>"1551686119943222"</f>
        <v>1551686119943222</v>
      </c>
      <c r="C5094" t="s">
        <v>40</v>
      </c>
      <c r="D5094">
        <v>4.6814099999999996</v>
      </c>
      <c r="E5094">
        <v>0.50174529999999995</v>
      </c>
      <c r="F5094" t="s">
        <v>98</v>
      </c>
      <c r="G5094">
        <v>-238.2782</v>
      </c>
      <c r="H5094" s="1">
        <v>-2.901176E-6</v>
      </c>
      <c r="I5094">
        <v>-61.746830000000003</v>
      </c>
      <c r="J5094">
        <v>-260.8793</v>
      </c>
      <c r="K5094">
        <v>1.1125149999999999</v>
      </c>
      <c r="L5094">
        <v>-61.868409999999997</v>
      </c>
      <c r="M5094">
        <v>0.99465950000000003</v>
      </c>
      <c r="N5094">
        <v>-1.0131279999999999E-2</v>
      </c>
      <c r="O5094">
        <v>-0.1027121</v>
      </c>
      <c r="P5094">
        <v>0.989923</v>
      </c>
      <c r="Q5094">
        <v>0.14076449999999999</v>
      </c>
      <c r="R5094">
        <v>1.5420619999999999E-2</v>
      </c>
      <c r="S5094">
        <v>3.0518489999999998</v>
      </c>
      <c r="T5094">
        <v>-0.14939949999999999</v>
      </c>
      <c r="U5094">
        <v>1.480103E-2</v>
      </c>
      <c r="V5094">
        <v>-0.1179685</v>
      </c>
      <c r="W5094">
        <v>0.14997739999999901</v>
      </c>
      <c r="X5094">
        <v>0.98162629999999995</v>
      </c>
      <c r="Y5094">
        <v>-0.10730820000000001</v>
      </c>
      <c r="Z5094">
        <v>7.1462840000000001E-3</v>
      </c>
      <c r="AA5094">
        <v>0.99420010000000003</v>
      </c>
      <c r="AB5094">
        <v>26</v>
      </c>
      <c r="AC5094">
        <v>22.601099999999999</v>
      </c>
      <c r="AD5094">
        <v>-1.112517901176</v>
      </c>
      <c r="AE5094">
        <v>0.121579999999994</v>
      </c>
      <c r="AF5094">
        <v>-2.43655894219784</v>
      </c>
      <c r="AG5094">
        <v>-1.112517901176</v>
      </c>
      <c r="AH5094">
        <v>22.414755382844</v>
      </c>
      <c r="AI5094">
        <v>92.824832419842096</v>
      </c>
      <c r="AJ5094">
        <v>96.203883659317896</v>
      </c>
      <c r="AK5094">
        <v>22.5742281026833</v>
      </c>
      <c r="AL5094">
        <v>81.374383056274596</v>
      </c>
      <c r="AM5094">
        <v>96.852747357045601</v>
      </c>
      <c r="AN5094">
        <v>0.99999999017734897</v>
      </c>
    </row>
    <row r="5095" spans="1:40" x14ac:dyDescent="0.25">
      <c r="A5095" t="str">
        <f>"20190304155519958"</f>
        <v>20190304155519958</v>
      </c>
      <c r="B5095" t="str">
        <f>"1551686119952982"</f>
        <v>1551686119952982</v>
      </c>
      <c r="C5095" t="s">
        <v>40</v>
      </c>
      <c r="D5095">
        <v>4.6731879999999997</v>
      </c>
      <c r="E5095">
        <v>0.50576869999999996</v>
      </c>
      <c r="F5095" t="s">
        <v>98</v>
      </c>
      <c r="G5095">
        <v>-238.4237</v>
      </c>
      <c r="H5095" s="1">
        <v>-2.9588590000000001E-6</v>
      </c>
      <c r="I5095">
        <v>-61.729109999999999</v>
      </c>
      <c r="J5095">
        <v>-260.76190000000003</v>
      </c>
      <c r="K5095">
        <v>1.1124540000000001</v>
      </c>
      <c r="L5095">
        <v>-61.878810000000001</v>
      </c>
      <c r="M5095">
        <v>0.99482760000000003</v>
      </c>
      <c r="N5095">
        <v>-1.012886E-2</v>
      </c>
      <c r="O5095">
        <v>-0.10107099999999999</v>
      </c>
      <c r="P5095">
        <v>0.98991260000000003</v>
      </c>
      <c r="Q5095">
        <v>0.14067070000000001</v>
      </c>
      <c r="R5095">
        <v>1.6876599999999999E-2</v>
      </c>
      <c r="S5095">
        <v>3.051666</v>
      </c>
      <c r="T5095">
        <v>-0.15118860000000001</v>
      </c>
      <c r="U5095">
        <v>1.8920900000000001E-2</v>
      </c>
      <c r="V5095">
        <v>-0.1177719</v>
      </c>
      <c r="W5095">
        <v>0.14989959999999999</v>
      </c>
      <c r="X5095">
        <v>0.98166180000000003</v>
      </c>
      <c r="Y5095">
        <v>-0.1070063</v>
      </c>
      <c r="Z5095">
        <v>7.1651199999999996E-3</v>
      </c>
      <c r="AA5095">
        <v>0.99423249999999996</v>
      </c>
      <c r="AB5095">
        <v>26</v>
      </c>
      <c r="AC5095">
        <v>22.338200000000001</v>
      </c>
      <c r="AD5095">
        <v>-1.1124569588590001</v>
      </c>
      <c r="AE5095">
        <v>0.149699999999995</v>
      </c>
      <c r="AF5095">
        <v>-2.4008394283278598</v>
      </c>
      <c r="AG5095">
        <v>-1.1124569588590001</v>
      </c>
      <c r="AH5095">
        <v>22.153726898057698</v>
      </c>
      <c r="AI5095">
        <v>92.858006597987298</v>
      </c>
      <c r="AJ5095">
        <v>96.185108997172094</v>
      </c>
      <c r="AK5095">
        <v>22.311190150228398</v>
      </c>
      <c r="AL5095">
        <v>81.378891721707603</v>
      </c>
      <c r="AM5095">
        <v>96.841190203662904</v>
      </c>
      <c r="AN5095">
        <v>1.0000000000445</v>
      </c>
    </row>
    <row r="5096" spans="1:40" x14ac:dyDescent="0.25">
      <c r="A5096" t="str">
        <f>"20190304155519970"</f>
        <v>20190304155519970</v>
      </c>
      <c r="B5096" t="str">
        <f>"1551686119962742"</f>
        <v>1551686119962742</v>
      </c>
      <c r="C5096" t="s">
        <v>40</v>
      </c>
      <c r="D5096">
        <v>4.7300740000000001</v>
      </c>
      <c r="E5096">
        <v>0.50739499999999904</v>
      </c>
      <c r="F5096" t="s">
        <v>98</v>
      </c>
      <c r="G5096">
        <v>-234.15450000000001</v>
      </c>
      <c r="H5096" s="1">
        <v>-1.1867170000000001E-6</v>
      </c>
      <c r="I5096">
        <v>-61.951990000000002</v>
      </c>
      <c r="J5096">
        <v>-260.64069999999998</v>
      </c>
      <c r="K5096">
        <v>1.1123860000000001</v>
      </c>
      <c r="L5096">
        <v>-61.889310000000002</v>
      </c>
      <c r="M5096">
        <v>0.99499099999999996</v>
      </c>
      <c r="N5096">
        <v>-1.01242E-2</v>
      </c>
      <c r="O5096">
        <v>-9.94506E-2</v>
      </c>
      <c r="P5096">
        <v>0.98987259999999999</v>
      </c>
      <c r="Q5096">
        <v>0.14076920000000001</v>
      </c>
      <c r="R5096">
        <v>1.8341079999999999E-2</v>
      </c>
      <c r="S5096">
        <v>3.0488279999999999</v>
      </c>
      <c r="T5096">
        <v>-0.12747169999999999</v>
      </c>
      <c r="U5096">
        <v>-8.3923339999999996E-3</v>
      </c>
      <c r="V5096">
        <v>-0.11760039999999999</v>
      </c>
      <c r="W5096">
        <v>0.1500128</v>
      </c>
      <c r="X5096">
        <v>0.98166509999999996</v>
      </c>
      <c r="Y5096">
        <v>-9.6561900000000006E-2</v>
      </c>
      <c r="Z5096">
        <v>5.6498989999999999E-3</v>
      </c>
      <c r="AA5096">
        <v>0.99531099999999995</v>
      </c>
      <c r="AB5096">
        <v>26</v>
      </c>
      <c r="AC5096">
        <v>26.486199999999901</v>
      </c>
      <c r="AD5096">
        <v>-1.1123871867170001</v>
      </c>
      <c r="AE5096">
        <v>-6.2680000000007396E-2</v>
      </c>
      <c r="AF5096">
        <v>-2.5673058087285998</v>
      </c>
      <c r="AG5096">
        <v>-1.1123871867170001</v>
      </c>
      <c r="AH5096">
        <v>26.314698975204099</v>
      </c>
      <c r="AI5096">
        <v>92.409167837866505</v>
      </c>
      <c r="AJ5096">
        <v>95.572236850323094</v>
      </c>
      <c r="AK5096">
        <v>26.4630279167806</v>
      </c>
      <c r="AL5096">
        <v>81.3723319351149</v>
      </c>
      <c r="AM5096">
        <v>96.831299494139699</v>
      </c>
      <c r="AN5096">
        <v>1.000000031401</v>
      </c>
    </row>
    <row r="5097" spans="1:40" x14ac:dyDescent="0.25">
      <c r="A5097" t="str">
        <f>"20190304155519980"</f>
        <v>20190304155519980</v>
      </c>
      <c r="B5097" t="str">
        <f>"1551686119972502"</f>
        <v>1551686119972502</v>
      </c>
      <c r="C5097" t="s">
        <v>40</v>
      </c>
      <c r="D5097">
        <v>4.662026</v>
      </c>
      <c r="E5097">
        <v>0.5079709</v>
      </c>
      <c r="F5097" t="s">
        <v>98</v>
      </c>
      <c r="G5097">
        <v>-234.3657</v>
      </c>
      <c r="H5097" s="1">
        <v>-1.2997339999999999E-6</v>
      </c>
      <c r="I5097">
        <v>-62.036239999999999</v>
      </c>
      <c r="J5097">
        <v>-260.51479999999998</v>
      </c>
      <c r="K5097">
        <v>1.1123179999999999</v>
      </c>
      <c r="L5097">
        <v>-61.900179999999999</v>
      </c>
      <c r="M5097">
        <v>0.99515620000000005</v>
      </c>
      <c r="N5097">
        <v>-1.0119019999999999E-2</v>
      </c>
      <c r="O5097">
        <v>-9.7785789999999997E-2</v>
      </c>
      <c r="P5097">
        <v>0.98988209999999999</v>
      </c>
      <c r="Q5097">
        <v>0.14051369999999999</v>
      </c>
      <c r="R5097">
        <v>1.974093E-2</v>
      </c>
      <c r="S5097">
        <v>3.0493769999999998</v>
      </c>
      <c r="T5097">
        <v>-0.12909949999999901</v>
      </c>
      <c r="U5097">
        <v>-1.7059330000000001E-2</v>
      </c>
      <c r="V5097">
        <v>-0.11732339999999999</v>
      </c>
      <c r="W5097">
        <v>0.1497742</v>
      </c>
      <c r="X5097">
        <v>0.98173460000000001</v>
      </c>
      <c r="Y5097">
        <v>-9.2069150000000002E-2</v>
      </c>
      <c r="Z5097">
        <v>5.556465E-3</v>
      </c>
      <c r="AA5097">
        <v>0.99573710000000004</v>
      </c>
      <c r="AB5097">
        <v>26</v>
      </c>
      <c r="AC5097">
        <v>26.149099999999901</v>
      </c>
      <c r="AD5097">
        <v>-1.1123192997339999</v>
      </c>
      <c r="AE5097">
        <v>-0.13605999999999299</v>
      </c>
      <c r="AF5097">
        <v>-2.4173590927666</v>
      </c>
      <c r="AG5097">
        <v>-1.1123192997339999</v>
      </c>
      <c r="AH5097">
        <v>25.990046355953599</v>
      </c>
      <c r="AI5097">
        <v>92.440124030955602</v>
      </c>
      <c r="AJ5097">
        <v>95.313847063516704</v>
      </c>
      <c r="AK5097">
        <v>26.125914123577701</v>
      </c>
      <c r="AL5097">
        <v>81.386158285930307</v>
      </c>
      <c r="AM5097">
        <v>96.814882402835707</v>
      </c>
      <c r="AN5097">
        <v>0.99999995800517905</v>
      </c>
    </row>
    <row r="5098" spans="1:40" x14ac:dyDescent="0.25">
      <c r="A5098" t="str">
        <f>"20190304155519991"</f>
        <v>20190304155519991</v>
      </c>
      <c r="B5098" t="str">
        <f>"1551686119983238"</f>
        <v>1551686119983238</v>
      </c>
      <c r="C5098" t="s">
        <v>40</v>
      </c>
      <c r="D5098">
        <v>4.6791660000000004</v>
      </c>
      <c r="E5098">
        <v>0.5082082</v>
      </c>
      <c r="F5098" t="s">
        <v>98</v>
      </c>
      <c r="G5098">
        <v>-233.94739999999999</v>
      </c>
      <c r="H5098" s="1">
        <v>-1.1240289999999999E-6</v>
      </c>
      <c r="I5098">
        <v>-62.050350000000002</v>
      </c>
      <c r="J5098">
        <v>-260.4024</v>
      </c>
      <c r="K5098">
        <v>1.112255</v>
      </c>
      <c r="L5098">
        <v>-61.909640000000003</v>
      </c>
      <c r="M5098">
        <v>0.99529279999999998</v>
      </c>
      <c r="N5098">
        <v>-1.0112289999999999E-2</v>
      </c>
      <c r="O5098">
        <v>-9.6383360000000001E-2</v>
      </c>
      <c r="P5098">
        <v>0.98986390000000002</v>
      </c>
      <c r="Q5098">
        <v>0.14046689999999901</v>
      </c>
      <c r="R5098">
        <v>2.0939269999999999E-2</v>
      </c>
      <c r="S5098">
        <v>3.0491329999999999</v>
      </c>
      <c r="T5098">
        <v>-0.1276603</v>
      </c>
      <c r="U5098">
        <v>-1.724243E-2</v>
      </c>
      <c r="V5098">
        <v>-0.117104399999999</v>
      </c>
      <c r="W5098">
        <v>0.14974029999999999</v>
      </c>
      <c r="X5098">
        <v>0.98176600000000003</v>
      </c>
      <c r="Y5098">
        <v>-9.0611430000000007E-2</v>
      </c>
      <c r="Z5098">
        <v>5.4074279999999997E-3</v>
      </c>
      <c r="AA5098">
        <v>0.99587170000000003</v>
      </c>
      <c r="AB5098">
        <v>26</v>
      </c>
      <c r="AC5098">
        <v>26.454999999999998</v>
      </c>
      <c r="AD5098">
        <v>-1.1122561240289901</v>
      </c>
      <c r="AE5098">
        <v>-0.140709999999998</v>
      </c>
      <c r="AF5098">
        <v>-2.4056454401563698</v>
      </c>
      <c r="AG5098">
        <v>-1.1122561240289901</v>
      </c>
      <c r="AH5098">
        <v>26.298897536891999</v>
      </c>
      <c r="AI5098">
        <v>92.411703497970507</v>
      </c>
      <c r="AJ5098">
        <v>95.226485850071896</v>
      </c>
      <c r="AK5098">
        <v>26.4321065245495</v>
      </c>
      <c r="AL5098">
        <v>81.388123463967403</v>
      </c>
      <c r="AM5098">
        <v>96.802065289654493</v>
      </c>
      <c r="AN5098">
        <v>1.0000000383497201</v>
      </c>
    </row>
    <row r="5099" spans="1:40" x14ac:dyDescent="0.25">
      <c r="A5099" t="str">
        <f>"20190304155520002"</f>
        <v>20190304155520002</v>
      </c>
      <c r="B5099" t="str">
        <f>"1551686119992998"</f>
        <v>1551686119992998</v>
      </c>
      <c r="C5099" t="s">
        <v>40</v>
      </c>
      <c r="D5099">
        <v>4.7262979999999999</v>
      </c>
      <c r="E5099">
        <v>0.50846749999999996</v>
      </c>
      <c r="F5099" t="s">
        <v>98</v>
      </c>
      <c r="G5099">
        <v>-233.23140000000001</v>
      </c>
      <c r="H5099" s="1">
        <v>-8.1547969999999896E-7</v>
      </c>
      <c r="I5099">
        <v>-62.045020000000001</v>
      </c>
      <c r="J5099">
        <v>-260.26589999999999</v>
      </c>
      <c r="K5099">
        <v>1.1121730000000001</v>
      </c>
      <c r="L5099">
        <v>-61.921080000000003</v>
      </c>
      <c r="M5099">
        <v>0.99545490000000003</v>
      </c>
      <c r="N5099">
        <v>-1.0104149999999999E-2</v>
      </c>
      <c r="O5099">
        <v>-9.4696950000000002E-2</v>
      </c>
      <c r="P5099">
        <v>0.98983719999999997</v>
      </c>
      <c r="Q5099">
        <v>0.1404446</v>
      </c>
      <c r="R5099">
        <v>2.2309200000000001E-2</v>
      </c>
      <c r="S5099">
        <v>3.048737</v>
      </c>
      <c r="T5099">
        <v>-0.12480140000000001</v>
      </c>
      <c r="U5099">
        <v>-1.5197749999999999E-2</v>
      </c>
      <c r="V5099">
        <v>-0.1167702</v>
      </c>
      <c r="W5099">
        <v>0.14973510000000001</v>
      </c>
      <c r="X5099">
        <v>0.98180659999999997</v>
      </c>
      <c r="Y5099">
        <v>-8.9599819999999997E-2</v>
      </c>
      <c r="Z5099">
        <v>5.1985800000000004E-3</v>
      </c>
      <c r="AA5099">
        <v>0.99596430000000002</v>
      </c>
      <c r="AB5099">
        <v>26</v>
      </c>
      <c r="AC5099">
        <v>27.034499999999898</v>
      </c>
      <c r="AD5099">
        <v>-1.1121738154796901</v>
      </c>
      <c r="AE5099">
        <v>-0.12393999999999</v>
      </c>
      <c r="AF5099">
        <v>-2.4327152381807702</v>
      </c>
      <c r="AG5099">
        <v>-1.1121738154796901</v>
      </c>
      <c r="AH5099">
        <v>26.879245761444</v>
      </c>
      <c r="AI5099">
        <v>92.359723503856301</v>
      </c>
      <c r="AJ5099">
        <v>95.171484386020893</v>
      </c>
      <c r="AK5099">
        <v>27.012013748145801</v>
      </c>
      <c r="AL5099">
        <v>81.388424811850498</v>
      </c>
      <c r="AM5099">
        <v>96.782556364203103</v>
      </c>
      <c r="AN5099">
        <v>1.0000000397918001</v>
      </c>
    </row>
    <row r="5100" spans="1:40" x14ac:dyDescent="0.25">
      <c r="A5100" t="str">
        <f>"20190304155520013"</f>
        <v>20190304155520013</v>
      </c>
      <c r="B5100" t="str">
        <f>"1551686120002758"</f>
        <v>1551686120002758</v>
      </c>
      <c r="C5100" t="s">
        <v>40</v>
      </c>
      <c r="D5100">
        <v>4.7142330000000001</v>
      </c>
      <c r="E5100">
        <v>0.50892579999999998</v>
      </c>
      <c r="F5100" t="s">
        <v>98</v>
      </c>
      <c r="G5100">
        <v>-232.89</v>
      </c>
      <c r="H5100" s="1">
        <v>-6.6633469999999901E-7</v>
      </c>
      <c r="I5100">
        <v>-62.035020000000003</v>
      </c>
      <c r="J5100">
        <v>-260.13400000000001</v>
      </c>
      <c r="K5100">
        <v>1.11209</v>
      </c>
      <c r="L5100">
        <v>-61.93188</v>
      </c>
      <c r="M5100">
        <v>0.99559920000000002</v>
      </c>
      <c r="N5100">
        <v>-1.0095649999999999E-2</v>
      </c>
      <c r="O5100">
        <v>-9.316816E-2</v>
      </c>
      <c r="P5100">
        <v>0.98977040000000005</v>
      </c>
      <c r="Q5100">
        <v>0.14067270000000001</v>
      </c>
      <c r="R5100">
        <v>2.378423E-2</v>
      </c>
      <c r="S5100">
        <v>3.0486759999999999</v>
      </c>
      <c r="T5100">
        <v>-0.12385549999999999</v>
      </c>
      <c r="U5100">
        <v>-1.269531E-2</v>
      </c>
      <c r="V5100">
        <v>-0.1166938</v>
      </c>
      <c r="W5100">
        <v>0.14997839999999901</v>
      </c>
      <c r="X5100">
        <v>0.9817785</v>
      </c>
      <c r="Y5100">
        <v>-8.8891319999999996E-2</v>
      </c>
      <c r="Z5100">
        <v>5.0916210000000002E-3</v>
      </c>
      <c r="AA5100">
        <v>0.99602829999999998</v>
      </c>
      <c r="AB5100">
        <v>26</v>
      </c>
      <c r="AC5100">
        <v>27.244</v>
      </c>
      <c r="AD5100">
        <v>-1.1120906663346899</v>
      </c>
      <c r="AE5100">
        <v>-0.103139999999989</v>
      </c>
      <c r="AF5100">
        <v>-2.4316597042099701</v>
      </c>
      <c r="AG5100">
        <v>-1.1120906663346899</v>
      </c>
      <c r="AH5100">
        <v>27.089959062513799</v>
      </c>
      <c r="AI5100">
        <v>92.341369911687906</v>
      </c>
      <c r="AJ5100">
        <v>95.129260099696097</v>
      </c>
      <c r="AK5100">
        <v>27.221601653391101</v>
      </c>
      <c r="AL5100">
        <v>81.374325131678503</v>
      </c>
      <c r="AM5100">
        <v>96.778352194588393</v>
      </c>
      <c r="AN5100">
        <v>0.99999999324362498</v>
      </c>
    </row>
    <row r="5101" spans="1:40" x14ac:dyDescent="0.25">
      <c r="A5101" t="str">
        <f>"20190304155520026"</f>
        <v>20190304155520026</v>
      </c>
      <c r="B5101" t="str">
        <f>"1551686120023253"</f>
        <v>1551686120023253</v>
      </c>
      <c r="C5101" t="s">
        <v>40</v>
      </c>
      <c r="D5101">
        <v>4.7107799999999997</v>
      </c>
      <c r="E5101">
        <v>0.50954909999999998</v>
      </c>
      <c r="F5101" t="s">
        <v>98</v>
      </c>
      <c r="G5101">
        <v>-232.15360000000001</v>
      </c>
      <c r="H5101" s="1">
        <v>-3.5151600000000001E-7</v>
      </c>
      <c r="I5101">
        <v>-62.039099999999998</v>
      </c>
      <c r="J5101">
        <v>-259.99130000000002</v>
      </c>
      <c r="K5101">
        <v>1.1120030000000001</v>
      </c>
      <c r="L5101">
        <v>-61.943480000000001</v>
      </c>
      <c r="M5101">
        <v>0.99574879999999999</v>
      </c>
      <c r="N5101">
        <v>-1.008682E-2</v>
      </c>
      <c r="O5101">
        <v>-9.1556700000000005E-2</v>
      </c>
      <c r="P5101">
        <v>0.98968480000000003</v>
      </c>
      <c r="Q5101">
        <v>0.1409908</v>
      </c>
      <c r="R5101">
        <v>2.540545E-2</v>
      </c>
      <c r="S5101">
        <v>3.048492</v>
      </c>
      <c r="T5101">
        <v>-0.1211632</v>
      </c>
      <c r="U5101">
        <v>-1.1688230000000001E-2</v>
      </c>
      <c r="V5101">
        <v>-0.116678</v>
      </c>
      <c r="W5101">
        <v>0.15031220000000001</v>
      </c>
      <c r="X5101">
        <v>0.98172930000000003</v>
      </c>
      <c r="Y5101">
        <v>-8.7615929999999995E-2</v>
      </c>
      <c r="Z5101">
        <v>4.8918169999999997E-3</v>
      </c>
      <c r="AA5101">
        <v>0.99614230000000004</v>
      </c>
      <c r="AB5101">
        <v>26</v>
      </c>
      <c r="AC5101">
        <v>27.837700000000002</v>
      </c>
      <c r="AD5101">
        <v>-1.1120033515159999</v>
      </c>
      <c r="AE5101">
        <v>-9.5619999999989602E-2</v>
      </c>
      <c r="AF5101">
        <v>-2.4497302788837998</v>
      </c>
      <c r="AG5101">
        <v>-1.1120033515159999</v>
      </c>
      <c r="AH5101">
        <v>27.6853446773946</v>
      </c>
      <c r="AI5101">
        <v>92.291150815995707</v>
      </c>
      <c r="AJ5101">
        <v>95.056632037018503</v>
      </c>
      <c r="AK5101">
        <v>27.815751649006501</v>
      </c>
      <c r="AL5101">
        <v>81.354980269532902</v>
      </c>
      <c r="AM5101">
        <v>96.777779459412599</v>
      </c>
      <c r="AN5101">
        <v>0.99999996581566397</v>
      </c>
    </row>
    <row r="5102" spans="1:40" x14ac:dyDescent="0.25">
      <c r="A5102" t="str">
        <f>"20190304155520037"</f>
        <v>20190304155520037</v>
      </c>
      <c r="B5102" t="str">
        <f>"1551686120033013"</f>
        <v>1551686120033013</v>
      </c>
      <c r="C5102" t="s">
        <v>40</v>
      </c>
      <c r="D5102">
        <v>4.8497000000000003</v>
      </c>
      <c r="E5102">
        <v>0.50954909999999998</v>
      </c>
      <c r="F5102" t="s">
        <v>98</v>
      </c>
      <c r="G5102">
        <v>-231.11619999999999</v>
      </c>
      <c r="H5102" s="1">
        <v>8.9512070000000004E-8</v>
      </c>
      <c r="I5102">
        <v>-62.054139999999997</v>
      </c>
      <c r="J5102">
        <v>-259.84840000000003</v>
      </c>
      <c r="K5102">
        <v>1.1119049999999999</v>
      </c>
      <c r="L5102">
        <v>-61.95496</v>
      </c>
      <c r="M5102">
        <v>0.99589000000000005</v>
      </c>
      <c r="N5102">
        <v>-1.007837E-2</v>
      </c>
      <c r="O5102">
        <v>-9.0010220000000002E-2</v>
      </c>
      <c r="P5102">
        <v>0.98960190000000003</v>
      </c>
      <c r="Q5102">
        <v>0.1412514</v>
      </c>
      <c r="R5102">
        <v>2.7133480000000001E-2</v>
      </c>
      <c r="S5102">
        <v>3.048279</v>
      </c>
      <c r="T5102">
        <v>-0.1173916</v>
      </c>
      <c r="U5102">
        <v>-1.1688230000000001E-2</v>
      </c>
      <c r="V5102">
        <v>-0.11683399999999999</v>
      </c>
      <c r="W5102">
        <v>0.15058840000000001</v>
      </c>
      <c r="X5102">
        <v>0.98166850000000005</v>
      </c>
      <c r="Y5102">
        <v>-8.6078630000000003E-2</v>
      </c>
      <c r="Z5102">
        <v>4.6443409999999997E-3</v>
      </c>
      <c r="AA5102">
        <v>0.99627750000000004</v>
      </c>
      <c r="AB5102">
        <v>26</v>
      </c>
      <c r="AC5102">
        <v>28.732199999999999</v>
      </c>
      <c r="AD5102">
        <v>-1.1119049104879299</v>
      </c>
      <c r="AE5102">
        <v>-9.9180000000004001E-2</v>
      </c>
      <c r="AF5102">
        <v>-2.4838254833704201</v>
      </c>
      <c r="AG5102">
        <v>-1.1119049104879299</v>
      </c>
      <c r="AH5102">
        <v>28.5816836960404</v>
      </c>
      <c r="AI5102">
        <v>92.219480908090503</v>
      </c>
      <c r="AJ5102">
        <v>94.966680097331903</v>
      </c>
      <c r="AK5102">
        <v>28.710945029070601</v>
      </c>
      <c r="AL5102">
        <v>81.338973679821905</v>
      </c>
      <c r="AM5102">
        <v>96.787173386863998</v>
      </c>
      <c r="AN5102">
        <v>1.0000000468314001</v>
      </c>
    </row>
    <row r="5103" spans="1:40" x14ac:dyDescent="0.25">
      <c r="A5103" t="str">
        <f>"20190304155520049"</f>
        <v>20190304155520049</v>
      </c>
      <c r="B5103" t="str">
        <f>"1551686120042774"</f>
        <v>1551686120042774</v>
      </c>
      <c r="C5103" t="s">
        <v>40</v>
      </c>
      <c r="D5103">
        <v>4.7063220000000001</v>
      </c>
      <c r="E5103">
        <v>0.5097467</v>
      </c>
      <c r="F5103" t="s">
        <v>98</v>
      </c>
      <c r="G5103">
        <v>-230.76849999999999</v>
      </c>
      <c r="H5103" s="1">
        <v>2.4868179999999999E-7</v>
      </c>
      <c r="I5103">
        <v>-62.01661</v>
      </c>
      <c r="J5103">
        <v>-259.72379999999998</v>
      </c>
      <c r="K5103">
        <v>1.1118300000000001</v>
      </c>
      <c r="L5103">
        <v>-61.964779999999998</v>
      </c>
      <c r="M5103">
        <v>0.99600460000000002</v>
      </c>
      <c r="N5103">
        <v>-1.007139E-2</v>
      </c>
      <c r="O5103">
        <v>-8.8731679999999993E-2</v>
      </c>
      <c r="P5103">
        <v>0.98948829999999999</v>
      </c>
      <c r="Q5103">
        <v>0.1417032</v>
      </c>
      <c r="R5103">
        <v>2.8861959999999999E-2</v>
      </c>
      <c r="S5103">
        <v>3.04834</v>
      </c>
      <c r="T5103">
        <v>-0.1165566</v>
      </c>
      <c r="U5103">
        <v>-6.4697269999999998E-3</v>
      </c>
      <c r="V5103">
        <v>-0.11725770000000001</v>
      </c>
      <c r="W5103">
        <v>0.15105080000000001</v>
      </c>
      <c r="X5103">
        <v>0.9815469</v>
      </c>
      <c r="Y5103">
        <v>-8.6507089999999995E-2</v>
      </c>
      <c r="Z5103">
        <v>4.5828199999999996E-3</v>
      </c>
      <c r="AA5103">
        <v>0.99624069999999998</v>
      </c>
      <c r="AB5103">
        <v>26</v>
      </c>
      <c r="AC5103">
        <v>28.955299999999902</v>
      </c>
      <c r="AD5103">
        <v>-1.1118297513181901</v>
      </c>
      <c r="AE5103">
        <v>-5.1829999999995303E-2</v>
      </c>
      <c r="AF5103">
        <v>-2.5140505593355398</v>
      </c>
      <c r="AG5103">
        <v>-1.1118297513181901</v>
      </c>
      <c r="AH5103">
        <v>28.803207469942102</v>
      </c>
      <c r="AI5103">
        <v>92.202206705015698</v>
      </c>
      <c r="AJ5103">
        <v>94.988345531150301</v>
      </c>
      <c r="AK5103">
        <v>28.934086751915</v>
      </c>
      <c r="AL5103">
        <v>81.312173272050003</v>
      </c>
      <c r="AM5103">
        <v>96.812392233504994</v>
      </c>
      <c r="AN5103">
        <v>1.0000000146447601</v>
      </c>
    </row>
    <row r="5104" spans="1:40" x14ac:dyDescent="0.25">
      <c r="A5104" t="str">
        <f>"20190304155520062"</f>
        <v>20190304155520062</v>
      </c>
      <c r="B5104" t="str">
        <f>"1551686120052534"</f>
        <v>1551686120052534</v>
      </c>
      <c r="C5104" t="s">
        <v>40</v>
      </c>
      <c r="D5104">
        <v>4.7145769999999896</v>
      </c>
      <c r="E5104">
        <v>0.51020710000000002</v>
      </c>
      <c r="F5104" t="s">
        <v>97</v>
      </c>
      <c r="G5104">
        <v>-229.8571</v>
      </c>
      <c r="H5104" s="1">
        <v>-3.5784419999999998E-6</v>
      </c>
      <c r="I5104">
        <v>-61.99438</v>
      </c>
      <c r="J5104">
        <v>-259.57589999999999</v>
      </c>
      <c r="K5104">
        <v>1.111742</v>
      </c>
      <c r="L5104">
        <v>-61.976349999999996</v>
      </c>
      <c r="M5104">
        <v>0.9961354</v>
      </c>
      <c r="N5104">
        <v>-1.0063300000000001E-2</v>
      </c>
      <c r="O5104">
        <v>-8.7253090000000005E-2</v>
      </c>
      <c r="P5104">
        <v>0.98940459999999997</v>
      </c>
      <c r="Q5104">
        <v>0.14196789999999901</v>
      </c>
      <c r="R5104">
        <v>3.0403550000000001E-2</v>
      </c>
      <c r="S5104">
        <v>3.0482179999999999</v>
      </c>
      <c r="T5104">
        <v>-0.1134748</v>
      </c>
      <c r="U5104">
        <v>-3.0212400000000001E-3</v>
      </c>
      <c r="V5104">
        <v>-0.1172952</v>
      </c>
      <c r="W5104">
        <v>0.15133269999999999</v>
      </c>
      <c r="X5104">
        <v>0.98149900000000001</v>
      </c>
      <c r="Y5104">
        <v>-8.6162249999999996E-2</v>
      </c>
      <c r="Z5104">
        <v>4.4021210000000002E-3</v>
      </c>
      <c r="AA5104">
        <v>0.99627140000000003</v>
      </c>
      <c r="AB5104">
        <v>26</v>
      </c>
      <c r="AC5104">
        <v>29.718799999999899</v>
      </c>
      <c r="AD5104">
        <v>-1.1117455784420001</v>
      </c>
      <c r="AE5104">
        <v>-1.8030000000010201E-2</v>
      </c>
      <c r="AF5104">
        <v>-2.5716282837270898</v>
      </c>
      <c r="AG5104">
        <v>-1.1117455784420001</v>
      </c>
      <c r="AH5104">
        <v>29.5656447472781</v>
      </c>
      <c r="AI5104">
        <v>92.145364050132699</v>
      </c>
      <c r="AJ5104">
        <v>94.971092190867296</v>
      </c>
      <c r="AK5104">
        <v>29.698090840710702</v>
      </c>
      <c r="AL5104">
        <v>81.2958337943369</v>
      </c>
      <c r="AM5104">
        <v>96.814879851334993</v>
      </c>
      <c r="AN5104">
        <v>1.00000001851666</v>
      </c>
    </row>
    <row r="5105" spans="1:40" x14ac:dyDescent="0.25">
      <c r="A5105" t="str">
        <f>"20190304155520075"</f>
        <v>20190304155520075</v>
      </c>
      <c r="B5105" t="str">
        <f>"1551686120073030"</f>
        <v>1551686120073030</v>
      </c>
      <c r="C5105" t="s">
        <v>40</v>
      </c>
      <c r="D5105">
        <v>4.7345870000000003</v>
      </c>
      <c r="E5105">
        <v>0.51086120000000002</v>
      </c>
      <c r="F5105" t="s">
        <v>97</v>
      </c>
      <c r="G5105">
        <v>-228.9426</v>
      </c>
      <c r="H5105" s="1">
        <v>-3.2676139999999998E-6</v>
      </c>
      <c r="I5105">
        <v>-61.997199999999999</v>
      </c>
      <c r="J5105">
        <v>-259.41820000000001</v>
      </c>
      <c r="K5105">
        <v>1.111645</v>
      </c>
      <c r="L5105">
        <v>-61.988529999999997</v>
      </c>
      <c r="M5105">
        <v>0.99626179999999998</v>
      </c>
      <c r="N5105">
        <v>-1.0051650000000001E-2</v>
      </c>
      <c r="O5105">
        <v>-8.5799589999999995E-2</v>
      </c>
      <c r="P5105">
        <v>0.98934339999999998</v>
      </c>
      <c r="Q5105">
        <v>0.14203660000000001</v>
      </c>
      <c r="R5105">
        <v>3.2022670000000003E-2</v>
      </c>
      <c r="S5105">
        <v>3.0480649999999998</v>
      </c>
      <c r="T5105">
        <v>-0.1106207</v>
      </c>
      <c r="U5105">
        <v>-2.0751950000000002E-3</v>
      </c>
      <c r="V5105">
        <v>-0.1174331</v>
      </c>
      <c r="W5105">
        <v>0.1514161</v>
      </c>
      <c r="X5105">
        <v>0.98146960000000005</v>
      </c>
      <c r="Y5105">
        <v>-8.5024710000000003E-2</v>
      </c>
      <c r="Z5105">
        <v>4.2167439999999997E-3</v>
      </c>
      <c r="AA5105">
        <v>0.99636990000000003</v>
      </c>
      <c r="AB5105">
        <v>26</v>
      </c>
      <c r="AC5105">
        <v>30.4756</v>
      </c>
      <c r="AD5105">
        <v>-1.111648267614</v>
      </c>
      <c r="AE5105">
        <v>-8.6699999999950705E-3</v>
      </c>
      <c r="AF5105">
        <v>-2.6028246480990802</v>
      </c>
      <c r="AG5105">
        <v>-1.111648267614</v>
      </c>
      <c r="AH5105">
        <v>30.323604248502001</v>
      </c>
      <c r="AI5105">
        <v>92.091809798612601</v>
      </c>
      <c r="AJ5105">
        <v>94.905954752343703</v>
      </c>
      <c r="AK5105">
        <v>30.455400713821</v>
      </c>
      <c r="AL5105">
        <v>81.290999211712602</v>
      </c>
      <c r="AM5105">
        <v>96.823018843266993</v>
      </c>
      <c r="AN5105">
        <v>0.99999997201948898</v>
      </c>
    </row>
    <row r="5106" spans="1:40" x14ac:dyDescent="0.25">
      <c r="A5106" t="str">
        <f>"20190304155520091"</f>
        <v>20190304155520091</v>
      </c>
      <c r="B5106" t="str">
        <f>"1551686120082790"</f>
        <v>1551686120082790</v>
      </c>
      <c r="C5106" t="s">
        <v>40</v>
      </c>
      <c r="D5106">
        <v>4.811286</v>
      </c>
      <c r="E5106">
        <v>0.51100190000000001</v>
      </c>
      <c r="F5106" t="s">
        <v>97</v>
      </c>
      <c r="G5106">
        <v>-228.25970000000001</v>
      </c>
      <c r="H5106" s="1">
        <v>-3.0232129999999998E-6</v>
      </c>
      <c r="I5106">
        <v>-62.010680000000001</v>
      </c>
      <c r="J5106">
        <v>-259.2373</v>
      </c>
      <c r="K5106">
        <v>1.1115360000000001</v>
      </c>
      <c r="L5106">
        <v>-62.002290000000002</v>
      </c>
      <c r="M5106">
        <v>0.99639679999999997</v>
      </c>
      <c r="N5106">
        <v>-1.0036700000000001E-2</v>
      </c>
      <c r="O5106">
        <v>-8.4219340000000004E-2</v>
      </c>
      <c r="P5106">
        <v>0.98927989999999999</v>
      </c>
      <c r="Q5106">
        <v>0.14210809999999999</v>
      </c>
      <c r="R5106">
        <v>3.3627869999999997E-2</v>
      </c>
      <c r="S5106">
        <v>3.0480040000000002</v>
      </c>
      <c r="T5106">
        <v>-0.1087444</v>
      </c>
      <c r="U5106">
        <v>-2.166748E-3</v>
      </c>
      <c r="V5106">
        <v>-0.1174297</v>
      </c>
      <c r="W5106">
        <v>0.15150279999999999</v>
      </c>
      <c r="X5106">
        <v>0.98145660000000001</v>
      </c>
      <c r="Y5106">
        <v>-8.3419660000000007E-2</v>
      </c>
      <c r="Z5106">
        <v>4.0616200000000002E-3</v>
      </c>
      <c r="AA5106">
        <v>0.99650620000000001</v>
      </c>
      <c r="AB5106">
        <v>26</v>
      </c>
      <c r="AC5106">
        <v>30.977599999999899</v>
      </c>
      <c r="AD5106">
        <v>-1.111539023213</v>
      </c>
      <c r="AE5106">
        <v>-8.3900000000056707E-3</v>
      </c>
      <c r="AF5106">
        <v>-2.5973398448756999</v>
      </c>
      <c r="AG5106">
        <v>-1.111539023213</v>
      </c>
      <c r="AH5106">
        <v>30.828547224409402</v>
      </c>
      <c r="AI5106">
        <v>92.057650465281895</v>
      </c>
      <c r="AJ5106">
        <v>94.815860748776998</v>
      </c>
      <c r="AK5106">
        <v>30.9577295232959</v>
      </c>
      <c r="AL5106">
        <v>81.2859734554781</v>
      </c>
      <c r="AM5106">
        <v>96.822912681561505</v>
      </c>
      <c r="AN5106">
        <v>0.99999994526674296</v>
      </c>
    </row>
    <row r="5107" spans="1:40" x14ac:dyDescent="0.25">
      <c r="A5107" t="str">
        <f>"20190304155520114"</f>
        <v>20190304155520114</v>
      </c>
      <c r="B5107" t="str">
        <f>"1551686120103286"</f>
        <v>1551686120103286</v>
      </c>
      <c r="C5107" t="s">
        <v>40</v>
      </c>
      <c r="D5107">
        <v>4.7335580000000004</v>
      </c>
      <c r="E5107">
        <v>0.5111639</v>
      </c>
      <c r="F5107" t="s">
        <v>97</v>
      </c>
      <c r="G5107">
        <v>-227.85050000000001</v>
      </c>
      <c r="H5107" s="1">
        <v>-2.8411100000000001E-6</v>
      </c>
      <c r="I5107">
        <v>-61.98124</v>
      </c>
      <c r="J5107">
        <v>-258.97930000000002</v>
      </c>
      <c r="K5107">
        <v>1.11138</v>
      </c>
      <c r="L5107">
        <v>-62.021639999999998</v>
      </c>
      <c r="M5107">
        <v>0.99657079999999998</v>
      </c>
      <c r="N5107">
        <v>-1.000856E-2</v>
      </c>
      <c r="O5107">
        <v>-8.2138840000000005E-2</v>
      </c>
      <c r="P5107">
        <v>0.98913680000000004</v>
      </c>
      <c r="Q5107">
        <v>0.14253270000000001</v>
      </c>
      <c r="R5107">
        <v>3.596419E-2</v>
      </c>
      <c r="S5107">
        <v>3.0479430000000001</v>
      </c>
      <c r="T5107">
        <v>-0.1079403</v>
      </c>
      <c r="U5107">
        <v>2.0446779999999999E-3</v>
      </c>
      <c r="V5107">
        <v>-0.1176417</v>
      </c>
      <c r="W5107">
        <v>0.15193970000000001</v>
      </c>
      <c r="X5107">
        <v>0.98136369999999895</v>
      </c>
      <c r="Y5107">
        <v>-8.271858E-2</v>
      </c>
      <c r="Z5107">
        <v>3.9612750000000002E-3</v>
      </c>
      <c r="AA5107">
        <v>0.99656500000000003</v>
      </c>
      <c r="AB5107">
        <v>26</v>
      </c>
      <c r="AC5107">
        <v>31.128799999999998</v>
      </c>
      <c r="AD5107">
        <v>-1.11138284111</v>
      </c>
      <c r="AE5107">
        <v>4.04000000000053E-2</v>
      </c>
      <c r="AF5107">
        <v>-2.5939681723210599</v>
      </c>
      <c r="AG5107">
        <v>-1.11138284111</v>
      </c>
      <c r="AH5107">
        <v>30.980792798461898</v>
      </c>
      <c r="AI5107">
        <v>92.047349148493396</v>
      </c>
      <c r="AJ5107">
        <v>94.786113080807297</v>
      </c>
      <c r="AK5107">
        <v>31.1090559985313</v>
      </c>
      <c r="AL5107">
        <v>81.260648018267005</v>
      </c>
      <c r="AM5107">
        <v>96.835754817017801</v>
      </c>
      <c r="AN5107">
        <v>0.99999997684633402</v>
      </c>
    </row>
    <row r="5108" spans="1:40" x14ac:dyDescent="0.25">
      <c r="A5108" t="str">
        <f>"20190304155520123"</f>
        <v>20190304155520123</v>
      </c>
      <c r="B5108" t="str">
        <f>"1551686120113045"</f>
        <v>1551686120113045</v>
      </c>
      <c r="C5108" t="s">
        <v>40</v>
      </c>
      <c r="D5108">
        <v>4.8426629999999999</v>
      </c>
      <c r="E5108">
        <v>0.51109589999999905</v>
      </c>
      <c r="F5108" t="s">
        <v>97</v>
      </c>
      <c r="G5108">
        <v>-228.07509999999999</v>
      </c>
      <c r="H5108" s="1">
        <v>-2.9289099999999901E-6</v>
      </c>
      <c r="I5108">
        <v>-61.942749999999997</v>
      </c>
      <c r="J5108">
        <v>-258.85640000000001</v>
      </c>
      <c r="K5108">
        <v>1.1113090000000001</v>
      </c>
      <c r="L5108">
        <v>-62.030790000000003</v>
      </c>
      <c r="M5108">
        <v>0.99664710000000001</v>
      </c>
      <c r="N5108">
        <v>-9.9922540000000008E-3</v>
      </c>
      <c r="O5108">
        <v>-8.1208530000000001E-2</v>
      </c>
      <c r="P5108">
        <v>0.98913779999999996</v>
      </c>
      <c r="Q5108">
        <v>0.14218699999999901</v>
      </c>
      <c r="R5108">
        <v>3.7276070000000001E-2</v>
      </c>
      <c r="S5108">
        <v>3.0484619999999998</v>
      </c>
      <c r="T5108">
        <v>-0.1096292</v>
      </c>
      <c r="U5108">
        <v>7.7819819999999998E-3</v>
      </c>
      <c r="V5108">
        <v>-0.1180055</v>
      </c>
      <c r="W5108">
        <v>0.15159610000000001</v>
      </c>
      <c r="X5108">
        <v>0.98137319999999995</v>
      </c>
      <c r="Y5108">
        <v>-8.3660250000000005E-2</v>
      </c>
      <c r="Z5108">
        <v>4.0271789999999997E-3</v>
      </c>
      <c r="AA5108">
        <v>0.99648619999999999</v>
      </c>
      <c r="AB5108">
        <v>26</v>
      </c>
      <c r="AC5108">
        <v>30.781300000000002</v>
      </c>
      <c r="AD5108">
        <v>-1.11131192891</v>
      </c>
      <c r="AE5108">
        <v>8.8040000000006502E-2</v>
      </c>
      <c r="AF5108">
        <v>-2.5842095826642701</v>
      </c>
      <c r="AG5108">
        <v>-1.11131192891</v>
      </c>
      <c r="AH5108">
        <v>30.632545341798799</v>
      </c>
      <c r="AI5108">
        <v>92.070363050442396</v>
      </c>
      <c r="AJ5108">
        <v>94.822143946748398</v>
      </c>
      <c r="AK5108">
        <v>30.761436694143999</v>
      </c>
      <c r="AL5108">
        <v>81.280565919948501</v>
      </c>
      <c r="AM5108">
        <v>96.856627296608806</v>
      </c>
      <c r="AN5108">
        <v>1.0000000166218399</v>
      </c>
    </row>
    <row r="5109" spans="1:40" x14ac:dyDescent="0.25">
      <c r="A5109" t="str">
        <f>"20190304155520134"</f>
        <v>20190304155520134</v>
      </c>
      <c r="B5109" t="str">
        <f>"1551686120122806"</f>
        <v>1551686120122806</v>
      </c>
      <c r="C5109" t="s">
        <v>40</v>
      </c>
      <c r="D5109">
        <v>4.8287459999999998</v>
      </c>
      <c r="E5109">
        <v>0.51097490000000001</v>
      </c>
      <c r="F5109" t="s">
        <v>97</v>
      </c>
      <c r="G5109">
        <v>-229.148</v>
      </c>
      <c r="H5109" s="1">
        <v>-3.3262750000000002E-6</v>
      </c>
      <c r="I5109">
        <v>-61.913330000000002</v>
      </c>
      <c r="J5109">
        <v>-258.72730000000001</v>
      </c>
      <c r="K5109">
        <v>1.1112359999999999</v>
      </c>
      <c r="L5109">
        <v>-62.04025</v>
      </c>
      <c r="M5109">
        <v>0.99672110000000003</v>
      </c>
      <c r="N5109">
        <v>-9.9726520000000003E-3</v>
      </c>
      <c r="O5109">
        <v>-8.0297779999999999E-2</v>
      </c>
      <c r="P5109">
        <v>0.98910489999999995</v>
      </c>
      <c r="Q5109">
        <v>0.1421838</v>
      </c>
      <c r="R5109">
        <v>3.81477E-2</v>
      </c>
      <c r="S5109">
        <v>3.048889</v>
      </c>
      <c r="T5109">
        <v>-0.1140507</v>
      </c>
      <c r="U5109">
        <v>1.205444E-2</v>
      </c>
      <c r="V5109">
        <v>-0.117948</v>
      </c>
      <c r="W5109">
        <v>0.15159329999999999</v>
      </c>
      <c r="X5109">
        <v>0.98138049999999999</v>
      </c>
      <c r="Y5109">
        <v>-8.4137439999999994E-2</v>
      </c>
      <c r="Z5109">
        <v>4.1920000000000004E-3</v>
      </c>
      <c r="AA5109">
        <v>0.99644540000000004</v>
      </c>
      <c r="AB5109">
        <v>26</v>
      </c>
      <c r="AC5109">
        <v>29.5793</v>
      </c>
      <c r="AD5109">
        <v>-1.111239326275</v>
      </c>
      <c r="AE5109">
        <v>0.12691999999999801</v>
      </c>
      <c r="AF5109">
        <v>-2.4982543172115399</v>
      </c>
      <c r="AG5109">
        <v>-1.111239326275</v>
      </c>
      <c r="AH5109">
        <v>29.432046062581801</v>
      </c>
      <c r="AI5109">
        <v>92.154497952721798</v>
      </c>
      <c r="AJ5109">
        <v>94.8517569866206</v>
      </c>
      <c r="AK5109">
        <v>29.558779793889801</v>
      </c>
      <c r="AL5109">
        <v>81.2807278366015</v>
      </c>
      <c r="AM5109">
        <v>96.853267589214596</v>
      </c>
      <c r="AN5109">
        <v>0.99999997254456896</v>
      </c>
    </row>
    <row r="5110" spans="1:40" x14ac:dyDescent="0.25">
      <c r="A5110" t="str">
        <f>"20190304155520146"</f>
        <v>20190304155520146</v>
      </c>
      <c r="B5110" t="str">
        <f>"1551686120143302"</f>
        <v>1551686120143302</v>
      </c>
      <c r="C5110" t="s">
        <v>40</v>
      </c>
      <c r="D5110">
        <v>4.8423730000000003</v>
      </c>
      <c r="E5110">
        <v>0.51100639999999997</v>
      </c>
      <c r="F5110" t="s">
        <v>98</v>
      </c>
      <c r="G5110">
        <v>-230.01</v>
      </c>
      <c r="H5110" s="1">
        <v>6.0608569999999896E-7</v>
      </c>
      <c r="I5110">
        <v>-61.896210000000004</v>
      </c>
      <c r="J5110">
        <v>-258.60019999999997</v>
      </c>
      <c r="K5110">
        <v>1.111165</v>
      </c>
      <c r="L5110">
        <v>-62.049529999999997</v>
      </c>
      <c r="M5110">
        <v>0.99679050000000002</v>
      </c>
      <c r="N5110">
        <v>-9.9523909999999997E-3</v>
      </c>
      <c r="O5110">
        <v>-7.9434939999999996E-2</v>
      </c>
      <c r="P5110">
        <v>0.98915790000000003</v>
      </c>
      <c r="Q5110">
        <v>0.14158860000000001</v>
      </c>
      <c r="R5110">
        <v>3.8980859999999999E-2</v>
      </c>
      <c r="S5110">
        <v>3.049423</v>
      </c>
      <c r="T5110">
        <v>-0.1179998</v>
      </c>
      <c r="U5110">
        <v>1.528931E-2</v>
      </c>
      <c r="V5110">
        <v>-0.117906399999999</v>
      </c>
      <c r="W5110">
        <v>0.15099799999999999</v>
      </c>
      <c r="X5110">
        <v>0.9814773</v>
      </c>
      <c r="Y5110">
        <v>-8.4323759999999998E-2</v>
      </c>
      <c r="Z5110">
        <v>4.3300869999999998E-3</v>
      </c>
      <c r="AA5110">
        <v>0.99642900000000001</v>
      </c>
      <c r="AB5110">
        <v>26</v>
      </c>
      <c r="AC5110">
        <v>28.5901999999999</v>
      </c>
      <c r="AD5110">
        <v>-1.1111643939143001</v>
      </c>
      <c r="AE5110">
        <v>0.15332000000000701</v>
      </c>
      <c r="AF5110">
        <v>-2.4203526269250002</v>
      </c>
      <c r="AG5110">
        <v>-1.1111643939143001</v>
      </c>
      <c r="AH5110">
        <v>28.444703324104001</v>
      </c>
      <c r="AI5110">
        <v>92.229019265353401</v>
      </c>
      <c r="AJ5110">
        <v>94.863568154497997</v>
      </c>
      <c r="AK5110">
        <v>28.569108147529899</v>
      </c>
      <c r="AL5110">
        <v>81.315233487162104</v>
      </c>
      <c r="AM5110">
        <v>96.850204174470306</v>
      </c>
      <c r="AN5110">
        <v>1.0000000027901199</v>
      </c>
    </row>
    <row r="5111" spans="1:40" x14ac:dyDescent="0.25">
      <c r="A5111" t="str">
        <f>"20190304155520156"</f>
        <v>20190304155520156</v>
      </c>
      <c r="B5111" t="str">
        <f>"1551686120153062"</f>
        <v>1551686120153062</v>
      </c>
      <c r="C5111" t="s">
        <v>40</v>
      </c>
      <c r="D5111">
        <v>4.9403759999999997</v>
      </c>
      <c r="E5111">
        <v>0.51115200000000005</v>
      </c>
      <c r="F5111" t="s">
        <v>98</v>
      </c>
      <c r="G5111">
        <v>-231.8468</v>
      </c>
      <c r="H5111" s="1">
        <v>-1.81827E-7</v>
      </c>
      <c r="I5111">
        <v>-61.896099999999997</v>
      </c>
      <c r="J5111">
        <v>-258.46890000000002</v>
      </c>
      <c r="K5111">
        <v>1.1110899999999999</v>
      </c>
      <c r="L5111">
        <v>-62.059049999999999</v>
      </c>
      <c r="M5111">
        <v>0.9968574</v>
      </c>
      <c r="N5111">
        <v>-9.9299850000000005E-3</v>
      </c>
      <c r="O5111">
        <v>-7.8592369999999995E-2</v>
      </c>
      <c r="P5111">
        <v>0.98916729999999997</v>
      </c>
      <c r="Q5111">
        <v>0.1413316</v>
      </c>
      <c r="R5111">
        <v>3.9669259999999998E-2</v>
      </c>
      <c r="S5111">
        <v>3.0503230000000001</v>
      </c>
      <c r="T5111">
        <v>-0.1266909</v>
      </c>
      <c r="U5111">
        <v>1.748657E-2</v>
      </c>
      <c r="V5111">
        <v>-0.11773749999999999</v>
      </c>
      <c r="W5111">
        <v>0.15073829999999999</v>
      </c>
      <c r="X5111">
        <v>0.98153749999999995</v>
      </c>
      <c r="Y5111">
        <v>-8.4180759999999993E-2</v>
      </c>
      <c r="Z5111">
        <v>4.6452969999999996E-3</v>
      </c>
      <c r="AA5111">
        <v>0.99643970000000004</v>
      </c>
      <c r="AB5111">
        <v>26</v>
      </c>
      <c r="AC5111">
        <v>26.6221</v>
      </c>
      <c r="AD5111">
        <v>-1.11109018182699</v>
      </c>
      <c r="AE5111">
        <v>0.16295000000000201</v>
      </c>
      <c r="AF5111">
        <v>-2.250922320525</v>
      </c>
      <c r="AG5111">
        <v>-1.11109018182699</v>
      </c>
      <c r="AH5111">
        <v>26.480813864872999</v>
      </c>
      <c r="AI5111">
        <v>92.394001692219703</v>
      </c>
      <c r="AJ5111">
        <v>94.858577076078802</v>
      </c>
      <c r="AK5111">
        <v>26.599523973771401</v>
      </c>
      <c r="AL5111">
        <v>81.330285541714204</v>
      </c>
      <c r="AM5111">
        <v>96.840068789157698</v>
      </c>
      <c r="AN5111">
        <v>1.0000000089496901</v>
      </c>
    </row>
    <row r="5112" spans="1:40" x14ac:dyDescent="0.25">
      <c r="A5112" t="str">
        <f>"20190304155520168"</f>
        <v>20190304155520168</v>
      </c>
      <c r="B5112" t="str">
        <f>"1551686120162822"</f>
        <v>1551686120162822</v>
      </c>
      <c r="C5112" t="s">
        <v>40</v>
      </c>
      <c r="D5112">
        <v>4.8431490000000004</v>
      </c>
      <c r="E5112">
        <v>0.51123689999999999</v>
      </c>
      <c r="F5112" t="s">
        <v>98</v>
      </c>
      <c r="G5112">
        <v>-232.37440000000001</v>
      </c>
      <c r="H5112" s="1">
        <v>-4.097118E-7</v>
      </c>
      <c r="I5112">
        <v>-61.90184</v>
      </c>
      <c r="J5112">
        <v>-258.33280000000002</v>
      </c>
      <c r="K5112">
        <v>1.1110260000000001</v>
      </c>
      <c r="L5112">
        <v>-62.06888</v>
      </c>
      <c r="M5112">
        <v>0.99692179999999997</v>
      </c>
      <c r="N5112">
        <v>-9.9065449999999992E-3</v>
      </c>
      <c r="O5112">
        <v>-7.7772579999999994E-2</v>
      </c>
      <c r="P5112">
        <v>0.98921420000000004</v>
      </c>
      <c r="Q5112">
        <v>0.14082549999999999</v>
      </c>
      <c r="R5112">
        <v>4.0295499999999998E-2</v>
      </c>
      <c r="S5112">
        <v>3.0506739999999999</v>
      </c>
      <c r="T5112">
        <v>-0.12989629999999999</v>
      </c>
      <c r="U5112">
        <v>1.8371579999999998E-2</v>
      </c>
      <c r="V5112">
        <v>-0.11753089999999999</v>
      </c>
      <c r="W5112">
        <v>0.15022959999999999</v>
      </c>
      <c r="X5112">
        <v>0.98164019999999996</v>
      </c>
      <c r="Y5112">
        <v>-8.3643969999999998E-2</v>
      </c>
      <c r="Z5112">
        <v>4.7314260000000004E-3</v>
      </c>
      <c r="AA5112">
        <v>0.9964845</v>
      </c>
      <c r="AB5112">
        <v>26</v>
      </c>
      <c r="AC5112">
        <v>25.958400000000001</v>
      </c>
      <c r="AD5112">
        <v>-1.1110264097117999</v>
      </c>
      <c r="AE5112">
        <v>0.16704000000000699</v>
      </c>
      <c r="AF5112">
        <v>-2.1814890096209401</v>
      </c>
      <c r="AG5112">
        <v>-1.1110264097117999</v>
      </c>
      <c r="AH5112">
        <v>25.8194799732318</v>
      </c>
      <c r="AI5112">
        <v>92.455211849287593</v>
      </c>
      <c r="AJ5112">
        <v>94.829452958068202</v>
      </c>
      <c r="AK5112">
        <v>25.935281376347</v>
      </c>
      <c r="AL5112">
        <v>81.359767239716206</v>
      </c>
      <c r="AM5112">
        <v>96.827471965756303</v>
      </c>
      <c r="AN5112">
        <v>0.99999996371350397</v>
      </c>
    </row>
    <row r="5113" spans="1:40" x14ac:dyDescent="0.25">
      <c r="A5113" t="str">
        <f>"20190304155520179"</f>
        <v>20190304155520179</v>
      </c>
      <c r="B5113" t="str">
        <f>"1551686120172582"</f>
        <v>1551686120172582</v>
      </c>
      <c r="C5113" t="s">
        <v>40</v>
      </c>
      <c r="D5113">
        <v>4.8344060000000004</v>
      </c>
      <c r="E5113">
        <v>0.51127400000000001</v>
      </c>
      <c r="F5113" t="s">
        <v>98</v>
      </c>
      <c r="G5113">
        <v>-232.91909999999999</v>
      </c>
      <c r="H5113" s="1">
        <v>-6.4437510000000002E-7</v>
      </c>
      <c r="I5113">
        <v>-61.905610000000003</v>
      </c>
      <c r="J5113">
        <v>-258.2029</v>
      </c>
      <c r="K5113">
        <v>1.1109610000000001</v>
      </c>
      <c r="L5113">
        <v>-62.078159999999997</v>
      </c>
      <c r="M5113">
        <v>0.99698070000000005</v>
      </c>
      <c r="N5113">
        <v>-9.8841039999999995E-3</v>
      </c>
      <c r="O5113">
        <v>-7.7020119999999997E-2</v>
      </c>
      <c r="P5113">
        <v>0.98931519999999995</v>
      </c>
      <c r="Q5113">
        <v>0.13995060000000001</v>
      </c>
      <c r="R5113">
        <v>4.0862040000000002E-2</v>
      </c>
      <c r="S5113">
        <v>3.0509029999999999</v>
      </c>
      <c r="T5113">
        <v>-0.133378</v>
      </c>
      <c r="U5113">
        <v>1.9592289999999998E-2</v>
      </c>
      <c r="V5113">
        <v>-0.1173365</v>
      </c>
      <c r="W5113">
        <v>0.1493527</v>
      </c>
      <c r="X5113">
        <v>0.98179729999999998</v>
      </c>
      <c r="Y5113">
        <v>-8.3283399999999994E-2</v>
      </c>
      <c r="Z5113">
        <v>4.8331009999999898E-3</v>
      </c>
      <c r="AA5113">
        <v>0.99651420000000002</v>
      </c>
      <c r="AB5113">
        <v>26</v>
      </c>
      <c r="AC5113">
        <v>25.283799999999999</v>
      </c>
      <c r="AD5113">
        <v>-1.1109616443751</v>
      </c>
      <c r="AE5113">
        <v>0.17255000000000101</v>
      </c>
      <c r="AF5113">
        <v>-2.1154095175627301</v>
      </c>
      <c r="AG5113">
        <v>-1.1109616443751</v>
      </c>
      <c r="AH5113">
        <v>25.1468490485362</v>
      </c>
      <c r="AI5113">
        <v>92.520731288883994</v>
      </c>
      <c r="AJ5113">
        <v>94.808528600254306</v>
      </c>
      <c r="AK5113">
        <v>25.260111050273199</v>
      </c>
      <c r="AL5113">
        <v>81.410583642879104</v>
      </c>
      <c r="AM5113">
        <v>96.815205006513807</v>
      </c>
      <c r="AN5113">
        <v>1.0000000107584099</v>
      </c>
    </row>
    <row r="5114" spans="1:40" x14ac:dyDescent="0.25">
      <c r="A5114" t="str">
        <f>"20190304155520191"</f>
        <v>20190304155520191</v>
      </c>
      <c r="B5114" t="str">
        <f>"1551686120183318"</f>
        <v>1551686120183318</v>
      </c>
      <c r="C5114" t="s">
        <v>40</v>
      </c>
      <c r="D5114">
        <v>4.7698390000000002</v>
      </c>
      <c r="E5114">
        <v>0.51182269999999996</v>
      </c>
      <c r="F5114" t="s">
        <v>98</v>
      </c>
      <c r="G5114">
        <v>-233.61</v>
      </c>
      <c r="H5114" s="1">
        <v>-9.4191249999999996E-7</v>
      </c>
      <c r="I5114">
        <v>-61.909840000000003</v>
      </c>
      <c r="J5114">
        <v>-258.07400000000001</v>
      </c>
      <c r="K5114">
        <v>1.1108960000000001</v>
      </c>
      <c r="L5114">
        <v>-62.087310000000002</v>
      </c>
      <c r="M5114">
        <v>0.99703319999999995</v>
      </c>
      <c r="N5114">
        <v>-9.8604269999999997E-3</v>
      </c>
      <c r="O5114">
        <v>-7.6338100000000006E-2</v>
      </c>
      <c r="P5114">
        <v>0.98939270000000001</v>
      </c>
      <c r="Q5114">
        <v>0.13931189999999999</v>
      </c>
      <c r="R5114">
        <v>4.1161730000000001E-2</v>
      </c>
      <c r="S5114">
        <v>3.0510410000000001</v>
      </c>
      <c r="T5114">
        <v>-0.137827799999999</v>
      </c>
      <c r="U5114">
        <v>2.087402E-2</v>
      </c>
      <c r="V5114">
        <v>-0.1169454</v>
      </c>
      <c r="W5114">
        <v>0.14870999999999901</v>
      </c>
      <c r="X5114">
        <v>0.98194150000000002</v>
      </c>
      <c r="Y5114">
        <v>-8.3010929999999997E-2</v>
      </c>
      <c r="Z5114">
        <v>4.9749909999999998E-3</v>
      </c>
      <c r="AA5114">
        <v>0.99653619999999998</v>
      </c>
      <c r="AB5114">
        <v>26</v>
      </c>
      <c r="AC5114">
        <v>24.463999999999999</v>
      </c>
      <c r="AD5114">
        <v>-1.1108969419125001</v>
      </c>
      <c r="AE5114">
        <v>0.177469999999992</v>
      </c>
      <c r="AF5114">
        <v>-2.0403711618158802</v>
      </c>
      <c r="AG5114">
        <v>-1.1108969419125001</v>
      </c>
      <c r="AH5114">
        <v>24.328894465630299</v>
      </c>
      <c r="AI5114">
        <v>92.605269211026595</v>
      </c>
      <c r="AJ5114">
        <v>94.7939590089739</v>
      </c>
      <c r="AK5114">
        <v>24.4395644890268</v>
      </c>
      <c r="AL5114">
        <v>81.447823425774104</v>
      </c>
      <c r="AM5114">
        <v>96.791713318579497</v>
      </c>
      <c r="AN5114">
        <v>1.0000000000517</v>
      </c>
    </row>
    <row r="5115" spans="1:40" x14ac:dyDescent="0.25">
      <c r="A5115" t="str">
        <f>"20190304155520202"</f>
        <v>20190304155520202</v>
      </c>
      <c r="B5115" t="str">
        <f>"1551686120193078"</f>
        <v>1551686120193078</v>
      </c>
      <c r="C5115" t="s">
        <v>40</v>
      </c>
      <c r="D5115">
        <v>4.7700779999999998</v>
      </c>
      <c r="E5115">
        <v>0.51233569999999995</v>
      </c>
      <c r="F5115" t="s">
        <v>98</v>
      </c>
      <c r="G5115">
        <v>-233.50049999999999</v>
      </c>
      <c r="H5115" s="1">
        <v>-9.0492560000000002E-7</v>
      </c>
      <c r="I5115">
        <v>-61.947380000000003</v>
      </c>
      <c r="J5115">
        <v>-257.93819999999999</v>
      </c>
      <c r="K5115">
        <v>1.1108279999999999</v>
      </c>
      <c r="L5115">
        <v>-62.09695</v>
      </c>
      <c r="M5115">
        <v>0.9970869</v>
      </c>
      <c r="N5115">
        <v>-9.8352590000000007E-3</v>
      </c>
      <c r="O5115">
        <v>-7.5638230000000001E-2</v>
      </c>
      <c r="P5115">
        <v>0.98946179999999995</v>
      </c>
      <c r="Q5115">
        <v>0.13873869999999999</v>
      </c>
      <c r="R5115">
        <v>4.1438580000000003E-2</v>
      </c>
      <c r="S5115">
        <v>3.050888</v>
      </c>
      <c r="T5115">
        <v>-0.13792170000000001</v>
      </c>
      <c r="U5115">
        <v>1.7364500000000001E-2</v>
      </c>
      <c r="V5115">
        <v>-0.1165122</v>
      </c>
      <c r="W5115">
        <v>0.1481324</v>
      </c>
      <c r="X5115">
        <v>0.98208030000000002</v>
      </c>
      <c r="Y5115">
        <v>-8.116777E-2</v>
      </c>
      <c r="Z5115">
        <v>4.9043519999999998E-3</v>
      </c>
      <c r="AA5115">
        <v>0.99668840000000003</v>
      </c>
      <c r="AB5115">
        <v>26</v>
      </c>
      <c r="AC5115">
        <v>24.4377</v>
      </c>
      <c r="AD5115">
        <v>-1.1108289049255999</v>
      </c>
      <c r="AE5115">
        <v>0.14956999999999701</v>
      </c>
      <c r="AF5115">
        <v>-1.9935362191749799</v>
      </c>
      <c r="AG5115">
        <v>-1.1108289049255999</v>
      </c>
      <c r="AH5115">
        <v>24.3061537790832</v>
      </c>
      <c r="AI5115">
        <v>92.607940348228695</v>
      </c>
      <c r="AJ5115">
        <v>94.688776463523794</v>
      </c>
      <c r="AK5115">
        <v>24.413054684852899</v>
      </c>
      <c r="AL5115">
        <v>81.481288185093106</v>
      </c>
      <c r="AM5115">
        <v>96.765841042684997</v>
      </c>
      <c r="AN5115">
        <v>1.00000000816334</v>
      </c>
    </row>
    <row r="5116" spans="1:40" x14ac:dyDescent="0.25">
      <c r="A5116" t="str">
        <f>"20190304155520213"</f>
        <v>20190304155520213</v>
      </c>
      <c r="B5116" t="str">
        <f>"1551686120202838"</f>
        <v>1551686120202838</v>
      </c>
      <c r="C5116" t="s">
        <v>40</v>
      </c>
      <c r="D5116">
        <v>4.7557400000000003</v>
      </c>
      <c r="E5116">
        <v>0.51266800000000001</v>
      </c>
      <c r="F5116" t="s">
        <v>98</v>
      </c>
      <c r="G5116">
        <v>-233.3176</v>
      </c>
      <c r="H5116" s="1">
        <v>-8.3578209999999998E-7</v>
      </c>
      <c r="I5116">
        <v>-61.982370000000003</v>
      </c>
      <c r="J5116">
        <v>-257.80329999999998</v>
      </c>
      <c r="K5116">
        <v>1.1107629999999999</v>
      </c>
      <c r="L5116">
        <v>-62.106450000000002</v>
      </c>
      <c r="M5116">
        <v>0.99713430000000003</v>
      </c>
      <c r="N5116">
        <v>-9.8095869999999998E-3</v>
      </c>
      <c r="O5116">
        <v>-7.5013570000000002E-2</v>
      </c>
      <c r="P5116">
        <v>0.98943479999999995</v>
      </c>
      <c r="Q5116">
        <v>0.1388691</v>
      </c>
      <c r="R5116">
        <v>4.1647110000000001E-2</v>
      </c>
      <c r="S5116">
        <v>3.050659</v>
      </c>
      <c r="T5116">
        <v>-0.13763919999999999</v>
      </c>
      <c r="U5116">
        <v>1.4190670000000001E-2</v>
      </c>
      <c r="V5116">
        <v>-0.11608060000000001</v>
      </c>
      <c r="W5116">
        <v>0.14825550000000001</v>
      </c>
      <c r="X5116">
        <v>0.98211280000000001</v>
      </c>
      <c r="Y5116">
        <v>-7.9509789999999997E-2</v>
      </c>
      <c r="Z5116">
        <v>4.8273769999999999E-3</v>
      </c>
      <c r="AA5116">
        <v>0.9968224</v>
      </c>
      <c r="AB5116">
        <v>26</v>
      </c>
      <c r="AC5116">
        <v>24.485699999999898</v>
      </c>
      <c r="AD5116">
        <v>-1.1107638357820999</v>
      </c>
      <c r="AE5116">
        <v>0.124080000000006</v>
      </c>
      <c r="AF5116">
        <v>-1.95655222283486</v>
      </c>
      <c r="AG5116">
        <v>-1.1107638357820999</v>
      </c>
      <c r="AH5116">
        <v>24.3572742129105</v>
      </c>
      <c r="AI5116">
        <v>92.602676467654206</v>
      </c>
      <c r="AJ5116">
        <v>94.592550103729806</v>
      </c>
      <c r="AK5116">
        <v>24.460962777096</v>
      </c>
      <c r="AL5116">
        <v>81.4741560459901</v>
      </c>
      <c r="AM5116">
        <v>96.740788160273596</v>
      </c>
      <c r="AN5116">
        <v>0.99999997545022401</v>
      </c>
    </row>
    <row r="5117" spans="1:40" x14ac:dyDescent="0.25">
      <c r="A5117" t="str">
        <f>"20190304155520225"</f>
        <v>20190304155520225</v>
      </c>
      <c r="B5117" t="str">
        <f>"1551686120212598"</f>
        <v>1551686120212598</v>
      </c>
      <c r="C5117" t="s">
        <v>40</v>
      </c>
      <c r="D5117">
        <v>4.7415180000000001</v>
      </c>
      <c r="E5117">
        <v>0.51297099999999995</v>
      </c>
      <c r="F5117" t="s">
        <v>98</v>
      </c>
      <c r="G5117">
        <v>-232.7226</v>
      </c>
      <c r="H5117" s="1">
        <v>-5.8632680000000002E-7</v>
      </c>
      <c r="I5117">
        <v>-62.004260000000002</v>
      </c>
      <c r="J5117">
        <v>-257.67869999999999</v>
      </c>
      <c r="K5117">
        <v>1.1107039999999999</v>
      </c>
      <c r="L5117">
        <v>-62.115229999999997</v>
      </c>
      <c r="M5117">
        <v>0.99717650000000002</v>
      </c>
      <c r="N5117">
        <v>-9.7856060000000005E-3</v>
      </c>
      <c r="O5117">
        <v>-7.4455380000000002E-2</v>
      </c>
      <c r="P5117">
        <v>0.98939540000000004</v>
      </c>
      <c r="Q5117">
        <v>0.1391047</v>
      </c>
      <c r="R5117">
        <v>4.1799290000000003E-2</v>
      </c>
      <c r="S5117">
        <v>3.0504760000000002</v>
      </c>
      <c r="T5117">
        <v>-0.1350981</v>
      </c>
      <c r="U5117">
        <v>1.242065E-2</v>
      </c>
      <c r="V5117">
        <v>-0.11565930000000001</v>
      </c>
      <c r="W5117">
        <v>0.14848420000000001</v>
      </c>
      <c r="X5117">
        <v>0.982128</v>
      </c>
      <c r="Y5117">
        <v>-7.8380699999999998E-2</v>
      </c>
      <c r="Z5117">
        <v>4.6833730000000002E-3</v>
      </c>
      <c r="AA5117">
        <v>0.99691249999999998</v>
      </c>
      <c r="AB5117">
        <v>26</v>
      </c>
      <c r="AC5117">
        <v>24.9560999999999</v>
      </c>
      <c r="AD5117">
        <v>-1.1107045863267999</v>
      </c>
      <c r="AE5117">
        <v>0.11097000000000801</v>
      </c>
      <c r="AF5117">
        <v>-1.9649743543118401</v>
      </c>
      <c r="AG5117">
        <v>-1.1107045863267999</v>
      </c>
      <c r="AH5117">
        <v>24.829379764792701</v>
      </c>
      <c r="AI5117">
        <v>92.553359348624895</v>
      </c>
      <c r="AJ5117">
        <v>94.524904710385002</v>
      </c>
      <c r="AK5117">
        <v>24.931764646640801</v>
      </c>
      <c r="AL5117">
        <v>81.460906228904307</v>
      </c>
      <c r="AM5117">
        <v>96.716444229193698</v>
      </c>
      <c r="AN5117">
        <v>1.00000001985506</v>
      </c>
    </row>
    <row r="5118" spans="1:40" x14ac:dyDescent="0.25">
      <c r="A5118" t="str">
        <f>"20190304155520236"</f>
        <v>20190304155520236</v>
      </c>
      <c r="B5118" t="str">
        <f>"1551686120233093"</f>
        <v>1551686120233093</v>
      </c>
      <c r="C5118" t="s">
        <v>40</v>
      </c>
      <c r="D5118">
        <v>4.7694839999999896</v>
      </c>
      <c r="E5118">
        <v>0.51373690000000005</v>
      </c>
      <c r="F5118" t="s">
        <v>98</v>
      </c>
      <c r="G5118">
        <v>-232.13460000000001</v>
      </c>
      <c r="H5118" s="1">
        <v>-3.3987090000000002E-7</v>
      </c>
      <c r="I5118">
        <v>-62.02599</v>
      </c>
      <c r="J5118">
        <v>-257.54219999999998</v>
      </c>
      <c r="K5118">
        <v>1.1106450000000001</v>
      </c>
      <c r="L5118">
        <v>-62.124760000000002</v>
      </c>
      <c r="M5118">
        <v>0.99721859999999996</v>
      </c>
      <c r="N5118">
        <v>-9.7584119999999993E-3</v>
      </c>
      <c r="O5118">
        <v>-7.3892680000000002E-2</v>
      </c>
      <c r="P5118">
        <v>0.98935010000000001</v>
      </c>
      <c r="Q5118">
        <v>0.13937479999999999</v>
      </c>
      <c r="R5118">
        <v>4.1969850000000003E-2</v>
      </c>
      <c r="S5118">
        <v>3.050354</v>
      </c>
      <c r="T5118">
        <v>-0.1326349</v>
      </c>
      <c r="U5118">
        <v>1.0650629999999999E-2</v>
      </c>
      <c r="V5118">
        <v>-0.11525050000000001</v>
      </c>
      <c r="W5118">
        <v>0.1487444</v>
      </c>
      <c r="X5118">
        <v>0.98213669999999997</v>
      </c>
      <c r="Y5118">
        <v>-7.7246519999999999E-2</v>
      </c>
      <c r="Z5118">
        <v>4.5438079999999999E-3</v>
      </c>
      <c r="AA5118">
        <v>0.99700160000000004</v>
      </c>
      <c r="AB5118">
        <v>26</v>
      </c>
      <c r="AC5118">
        <v>25.407599999999899</v>
      </c>
      <c r="AD5118">
        <v>-1.1106453398709</v>
      </c>
      <c r="AE5118">
        <v>9.8769999999994695E-2</v>
      </c>
      <c r="AF5118">
        <v>-1.9722561354167201</v>
      </c>
      <c r="AG5118">
        <v>-1.1106453398709</v>
      </c>
      <c r="AH5118">
        <v>25.282525309542301</v>
      </c>
      <c r="AI5118">
        <v>92.507741240136198</v>
      </c>
      <c r="AJ5118">
        <v>94.460534131919204</v>
      </c>
      <c r="AK5118">
        <v>25.383644603608701</v>
      </c>
      <c r="AL5118">
        <v>81.445830592574097</v>
      </c>
      <c r="AM5118">
        <v>96.692861822904703</v>
      </c>
      <c r="AN5118">
        <v>1.00000003588424</v>
      </c>
    </row>
    <row r="5119" spans="1:40" x14ac:dyDescent="0.25">
      <c r="A5119" t="str">
        <f>"20190304155520246"</f>
        <v>20190304155520246</v>
      </c>
      <c r="B5119" t="str">
        <f>"1551686120242854"</f>
        <v>1551686120242854</v>
      </c>
      <c r="C5119" t="s">
        <v>40</v>
      </c>
      <c r="D5119">
        <v>4.7596660000000002</v>
      </c>
      <c r="E5119">
        <v>0.51412639999999998</v>
      </c>
      <c r="F5119" t="s">
        <v>98</v>
      </c>
      <c r="G5119">
        <v>-231.3494</v>
      </c>
      <c r="H5119" s="1">
        <v>-1.7298929999999999E-8</v>
      </c>
      <c r="I5119">
        <v>-62.079619999999998</v>
      </c>
      <c r="J5119">
        <v>-257.41930000000002</v>
      </c>
      <c r="K5119">
        <v>1.1105929999999999</v>
      </c>
      <c r="L5119">
        <v>-62.133330000000001</v>
      </c>
      <c r="M5119">
        <v>0.99725399999999997</v>
      </c>
      <c r="N5119">
        <v>-9.7339269999999999E-3</v>
      </c>
      <c r="O5119">
        <v>-7.3416229999999999E-2</v>
      </c>
      <c r="P5119">
        <v>0.98928680000000002</v>
      </c>
      <c r="Q5119">
        <v>0.1396598</v>
      </c>
      <c r="R5119">
        <v>4.2506700000000001E-2</v>
      </c>
      <c r="S5119">
        <v>3.050262</v>
      </c>
      <c r="T5119">
        <v>-0.1293395</v>
      </c>
      <c r="U5119">
        <v>5.2490230000000002E-3</v>
      </c>
      <c r="V5119">
        <v>-0.11529399999999999</v>
      </c>
      <c r="W5119">
        <v>0.14901889999999901</v>
      </c>
      <c r="X5119">
        <v>0.98208989999999996</v>
      </c>
      <c r="Y5119">
        <v>-7.5013860000000002E-2</v>
      </c>
      <c r="Z5119">
        <v>4.3497070000000004E-3</v>
      </c>
      <c r="AA5119">
        <v>0.99717299999999998</v>
      </c>
      <c r="AB5119">
        <v>26</v>
      </c>
      <c r="AC5119">
        <v>26.069900000000001</v>
      </c>
      <c r="AD5119">
        <v>-1.11059301729893</v>
      </c>
      <c r="AE5119">
        <v>5.3710000000009403E-2</v>
      </c>
      <c r="AF5119">
        <v>-1.96404492184396</v>
      </c>
      <c r="AG5119">
        <v>-1.11059301729893</v>
      </c>
      <c r="AH5119">
        <v>25.948505999952602</v>
      </c>
      <c r="AI5119">
        <v>92.443775250837803</v>
      </c>
      <c r="AJ5119">
        <v>94.328469746837399</v>
      </c>
      <c r="AK5119">
        <v>26.046417276367801</v>
      </c>
      <c r="AL5119">
        <v>81.429924945801602</v>
      </c>
      <c r="AM5119">
        <v>96.695681198658704</v>
      </c>
      <c r="AN5119">
        <v>0.99999995533760899</v>
      </c>
    </row>
    <row r="5120" spans="1:40" x14ac:dyDescent="0.25">
      <c r="A5120" t="str">
        <f>"20190304155520258"</f>
        <v>20190304155520258</v>
      </c>
      <c r="B5120" t="str">
        <f>"1551686120252614"</f>
        <v>1551686120252614</v>
      </c>
      <c r="C5120" t="s">
        <v>40</v>
      </c>
      <c r="D5120">
        <v>4.8505129999999896</v>
      </c>
      <c r="E5120">
        <v>0.51424629999999905</v>
      </c>
      <c r="F5120" t="s">
        <v>98</v>
      </c>
      <c r="G5120">
        <v>-230.75059999999999</v>
      </c>
      <c r="H5120" s="1">
        <v>2.3468359999999999E-7</v>
      </c>
      <c r="I5120">
        <v>-62.098050000000001</v>
      </c>
      <c r="J5120">
        <v>-257.27859999999998</v>
      </c>
      <c r="K5120">
        <v>1.1105339999999999</v>
      </c>
      <c r="L5120">
        <v>-62.143129999999999</v>
      </c>
      <c r="M5120">
        <v>0.9972917</v>
      </c>
      <c r="N5120">
        <v>-9.7058500000000002E-3</v>
      </c>
      <c r="O5120">
        <v>-7.290634E-2</v>
      </c>
      <c r="P5120">
        <v>0.98923720000000004</v>
      </c>
      <c r="Q5120">
        <v>0.13995859999999999</v>
      </c>
      <c r="R5120">
        <v>4.2682200000000003E-2</v>
      </c>
      <c r="S5120">
        <v>3.050217</v>
      </c>
      <c r="T5120">
        <v>-0.12702330000000001</v>
      </c>
      <c r="U5120">
        <v>4.0283200000000002E-3</v>
      </c>
      <c r="V5120">
        <v>-0.1149433</v>
      </c>
      <c r="W5120">
        <v>0.14930650000000001</v>
      </c>
      <c r="X5120">
        <v>0.98208740000000005</v>
      </c>
      <c r="Y5120">
        <v>-7.4110579999999995E-2</v>
      </c>
      <c r="Z5120">
        <v>4.2272669999999998E-3</v>
      </c>
      <c r="AA5120">
        <v>0.99724109999999999</v>
      </c>
      <c r="AB5120">
        <v>26</v>
      </c>
      <c r="AC5120">
        <v>26.527999999999899</v>
      </c>
      <c r="AD5120">
        <v>-1.11053376531639</v>
      </c>
      <c r="AE5120">
        <v>4.5080000000005699E-2</v>
      </c>
      <c r="AF5120">
        <v>-1.9756479640600999</v>
      </c>
      <c r="AG5120">
        <v>-1.11053376531639</v>
      </c>
      <c r="AH5120">
        <v>26.407830839530401</v>
      </c>
      <c r="AI5120">
        <v>92.401349078174405</v>
      </c>
      <c r="AJ5120">
        <v>94.278496460494196</v>
      </c>
      <c r="AK5120">
        <v>26.504905202076401</v>
      </c>
      <c r="AL5120">
        <v>81.413260866939297</v>
      </c>
      <c r="AM5120">
        <v>96.675515279311995</v>
      </c>
      <c r="AN5120">
        <v>1.0000000271979399</v>
      </c>
    </row>
    <row r="5121" spans="1:40" x14ac:dyDescent="0.25">
      <c r="A5121" t="str">
        <f>"20190304155520271"</f>
        <v>20190304155520271</v>
      </c>
      <c r="B5121" t="str">
        <f>"1551686120263350"</f>
        <v>1551686120263350</v>
      </c>
      <c r="C5121" t="s">
        <v>40</v>
      </c>
      <c r="D5121">
        <v>4.7669790000000001</v>
      </c>
      <c r="E5121">
        <v>0.51458870000000001</v>
      </c>
      <c r="F5121" t="s">
        <v>98</v>
      </c>
      <c r="G5121">
        <v>-230.09039999999999</v>
      </c>
      <c r="H5121" s="1">
        <v>5.1440050000000001E-7</v>
      </c>
      <c r="I5121">
        <v>-62.111240000000002</v>
      </c>
      <c r="J5121">
        <v>-257.13780000000003</v>
      </c>
      <c r="K5121">
        <v>1.1104750000000001</v>
      </c>
      <c r="L5121">
        <v>-62.152859999999997</v>
      </c>
      <c r="M5121">
        <v>0.99732520000000002</v>
      </c>
      <c r="N5121">
        <v>-9.677036E-3</v>
      </c>
      <c r="O5121">
        <v>-7.2448879999999993E-2</v>
      </c>
      <c r="P5121">
        <v>0.98918499999999998</v>
      </c>
      <c r="Q5121">
        <v>0.14019709999999999</v>
      </c>
      <c r="R5121">
        <v>4.3106499999999999E-2</v>
      </c>
      <c r="S5121">
        <v>3.0501100000000001</v>
      </c>
      <c r="T5121">
        <v>-0.1245854</v>
      </c>
      <c r="U5121">
        <v>3.5705569999999998E-3</v>
      </c>
      <c r="V5121">
        <v>-0.1148921</v>
      </c>
      <c r="W5121">
        <v>0.14953139999999901</v>
      </c>
      <c r="X5121">
        <v>0.98205909999999996</v>
      </c>
      <c r="Y5121">
        <v>-7.3508870000000004E-2</v>
      </c>
      <c r="Z5121">
        <v>4.1112930000000002E-3</v>
      </c>
      <c r="AA5121">
        <v>0.99728609999999895</v>
      </c>
      <c r="AB5121">
        <v>26</v>
      </c>
      <c r="AC5121">
        <v>27.0474</v>
      </c>
      <c r="AD5121">
        <v>-1.1104744855994999</v>
      </c>
      <c r="AE5121">
        <v>4.1619999999994599E-2</v>
      </c>
      <c r="AF5121">
        <v>-1.9977886188107801</v>
      </c>
      <c r="AG5121">
        <v>-1.1104744855994999</v>
      </c>
      <c r="AH5121">
        <v>26.927909952861999</v>
      </c>
      <c r="AI5121">
        <v>92.355005695036994</v>
      </c>
      <c r="AJ5121">
        <v>94.243015332100896</v>
      </c>
      <c r="AK5121">
        <v>27.024741393361499</v>
      </c>
      <c r="AL5121">
        <v>81.400228122516793</v>
      </c>
      <c r="AM5121">
        <v>96.672759125947906</v>
      </c>
      <c r="AN5121">
        <v>0.99999995506058803</v>
      </c>
    </row>
    <row r="5122" spans="1:40" x14ac:dyDescent="0.25">
      <c r="A5122" t="str">
        <f>"20190304155520283"</f>
        <v>20190304155520283</v>
      </c>
      <c r="B5122" t="str">
        <f>"1551686120273110"</f>
        <v>1551686120273110</v>
      </c>
      <c r="C5122" t="s">
        <v>40</v>
      </c>
      <c r="D5122">
        <v>4.7664749999999998</v>
      </c>
      <c r="E5122">
        <v>0.51489609999999997</v>
      </c>
      <c r="F5122" t="s">
        <v>97</v>
      </c>
      <c r="G5122">
        <v>-229.55070000000001</v>
      </c>
      <c r="H5122" s="1">
        <v>-3.492815E-6</v>
      </c>
      <c r="I5122">
        <v>-62.133819999999901</v>
      </c>
      <c r="J5122">
        <v>-256.98520000000002</v>
      </c>
      <c r="K5122">
        <v>1.1104149999999999</v>
      </c>
      <c r="L5122">
        <v>-62.163420000000002</v>
      </c>
      <c r="M5122">
        <v>0.99735929999999995</v>
      </c>
      <c r="N5122">
        <v>-9.6451920000000003E-3</v>
      </c>
      <c r="O5122">
        <v>-7.1982989999999997E-2</v>
      </c>
      <c r="P5122">
        <v>0.98916729999999997</v>
      </c>
      <c r="Q5122">
        <v>0.14015939999999999</v>
      </c>
      <c r="R5122">
        <v>4.3631820000000002E-2</v>
      </c>
      <c r="S5122">
        <v>3.0501100000000001</v>
      </c>
      <c r="T5122">
        <v>-0.1227779</v>
      </c>
      <c r="U5122">
        <v>2.1057129999999999E-3</v>
      </c>
      <c r="V5122">
        <v>-0.1149338</v>
      </c>
      <c r="W5122">
        <v>0.1494781</v>
      </c>
      <c r="X5122">
        <v>0.9820624</v>
      </c>
      <c r="Y5122">
        <v>-7.2568419999999995E-2</v>
      </c>
      <c r="Z5122">
        <v>4.0101310000000001E-3</v>
      </c>
      <c r="AA5122">
        <v>0.9973554</v>
      </c>
      <c r="AB5122">
        <v>27</v>
      </c>
      <c r="AC5122">
        <v>27.4345</v>
      </c>
      <c r="AD5122">
        <v>-1.1104184928149901</v>
      </c>
      <c r="AE5122">
        <v>2.9600000000002E-2</v>
      </c>
      <c r="AF5122">
        <v>-2.0011538785731999</v>
      </c>
      <c r="AG5122">
        <v>-1.1104184928149901</v>
      </c>
      <c r="AH5122">
        <v>27.316442629058599</v>
      </c>
      <c r="AI5122">
        <v>92.321587976480203</v>
      </c>
      <c r="AJ5122">
        <v>94.189901930704195</v>
      </c>
      <c r="AK5122">
        <v>27.412144826364202</v>
      </c>
      <c r="AL5122">
        <v>81.403317255144401</v>
      </c>
      <c r="AM5122">
        <v>96.675136919315307</v>
      </c>
      <c r="AN5122">
        <v>1.0000000191278999</v>
      </c>
    </row>
    <row r="5123" spans="1:40" x14ac:dyDescent="0.25">
      <c r="A5123" t="str">
        <f>"20190304155520303"</f>
        <v>20190304155520303</v>
      </c>
      <c r="B5123" t="str">
        <f>"1551686120292629"</f>
        <v>1551686120292629</v>
      </c>
      <c r="C5123" t="s">
        <v>40</v>
      </c>
      <c r="D5123">
        <v>4.7547810000000004</v>
      </c>
      <c r="E5123">
        <v>0.51531579999999999</v>
      </c>
      <c r="F5123" t="s">
        <v>97</v>
      </c>
      <c r="G5123">
        <v>-229.1799</v>
      </c>
      <c r="H5123" s="1">
        <v>-3.3689789999999999E-6</v>
      </c>
      <c r="I5123">
        <v>-62.15146</v>
      </c>
      <c r="J5123">
        <v>-256.7432</v>
      </c>
      <c r="K5123">
        <v>1.1103179999999999</v>
      </c>
      <c r="L5123">
        <v>-62.180109999999999</v>
      </c>
      <c r="M5123">
        <v>0.99740459999999997</v>
      </c>
      <c r="N5123">
        <v>-9.5910079999999998E-3</v>
      </c>
      <c r="O5123">
        <v>-7.1358809999999995E-2</v>
      </c>
      <c r="P5123">
        <v>0.98908750000000001</v>
      </c>
      <c r="Q5123">
        <v>0.14055049999999999</v>
      </c>
      <c r="R5123">
        <v>4.4177889999999997E-2</v>
      </c>
      <c r="S5123">
        <v>3.0500180000000001</v>
      </c>
      <c r="T5123">
        <v>-0.121804</v>
      </c>
      <c r="U5123">
        <v>1.3122559999999999E-3</v>
      </c>
      <c r="V5123">
        <v>-0.1148257</v>
      </c>
      <c r="W5123">
        <v>0.14984120000000001</v>
      </c>
      <c r="X5123">
        <v>0.98201970000000005</v>
      </c>
      <c r="Y5123">
        <v>-7.1687609999999999E-2</v>
      </c>
      <c r="Z5123">
        <v>3.9369870000000003E-3</v>
      </c>
      <c r="AA5123">
        <v>0.99741939999999996</v>
      </c>
      <c r="AB5123">
        <v>27</v>
      </c>
      <c r="AC5123">
        <v>27.563300000000002</v>
      </c>
      <c r="AD5123">
        <v>-1.1103213689789999</v>
      </c>
      <c r="AE5123">
        <v>2.8649999999998899E-2</v>
      </c>
      <c r="AF5123">
        <v>-1.99231880318819</v>
      </c>
      <c r="AG5123">
        <v>-1.1103213689789999</v>
      </c>
      <c r="AH5123">
        <v>27.446445213613899</v>
      </c>
      <c r="AI5123">
        <v>92.310513613446005</v>
      </c>
      <c r="AJ5123">
        <v>94.151779711238106</v>
      </c>
      <c r="AK5123">
        <v>27.541051225758601</v>
      </c>
      <c r="AL5123">
        <v>81.382276095498597</v>
      </c>
      <c r="AM5123">
        <v>96.669202617553694</v>
      </c>
      <c r="AN5123">
        <v>1.0000000088930101</v>
      </c>
    </row>
    <row r="5124" spans="1:40" x14ac:dyDescent="0.25">
      <c r="A5124" t="str">
        <f>"20190304155520315"</f>
        <v>20190304155520315</v>
      </c>
      <c r="B5124" t="str">
        <f>"1551686120303366"</f>
        <v>1551686120303366</v>
      </c>
      <c r="C5124" t="s">
        <v>40</v>
      </c>
      <c r="D5124">
        <v>4.7634420000000004</v>
      </c>
      <c r="E5124">
        <v>0.5155748</v>
      </c>
      <c r="F5124" t="s">
        <v>97</v>
      </c>
      <c r="G5124">
        <v>-228.749</v>
      </c>
      <c r="H5124" s="1">
        <v>-3.226196E-6</v>
      </c>
      <c r="I5124">
        <v>-62.180399999999999</v>
      </c>
      <c r="J5124">
        <v>-256.60480000000001</v>
      </c>
      <c r="K5124">
        <v>1.1102639999999999</v>
      </c>
      <c r="L5124">
        <v>-62.189639999999997</v>
      </c>
      <c r="M5124">
        <v>0.99742660000000005</v>
      </c>
      <c r="N5124">
        <v>-9.5596410000000007E-3</v>
      </c>
      <c r="O5124">
        <v>-7.1055320000000005E-2</v>
      </c>
      <c r="P5124">
        <v>0.98906400000000005</v>
      </c>
      <c r="Q5124">
        <v>0.14061609999999999</v>
      </c>
      <c r="R5124">
        <v>4.4492169999999998E-2</v>
      </c>
      <c r="S5124">
        <v>3.0503230000000001</v>
      </c>
      <c r="T5124">
        <v>-0.12098349999999999</v>
      </c>
      <c r="U5124" s="1">
        <v>-3.0517579999999999E-5</v>
      </c>
      <c r="V5124">
        <v>-0.1148198</v>
      </c>
      <c r="W5124">
        <v>0.1498892</v>
      </c>
      <c r="X5124">
        <v>0.98201300000000002</v>
      </c>
      <c r="Y5124">
        <v>-7.0947270000000007E-2</v>
      </c>
      <c r="Z5124">
        <v>3.8815439999999998E-3</v>
      </c>
      <c r="AA5124">
        <v>0.99747249999999998</v>
      </c>
      <c r="AB5124">
        <v>27</v>
      </c>
      <c r="AC5124">
        <v>27.855799999999899</v>
      </c>
      <c r="AD5124">
        <v>-1.1102672261959901</v>
      </c>
      <c r="AE5124">
        <v>9.2400000000054609E-3</v>
      </c>
      <c r="AF5124">
        <v>-1.98545564436948</v>
      </c>
      <c r="AG5124">
        <v>-1.1102672261959901</v>
      </c>
      <c r="AH5124">
        <v>27.740658260918199</v>
      </c>
      <c r="AI5124">
        <v>92.286090031858706</v>
      </c>
      <c r="AJ5124">
        <v>94.093795404715195</v>
      </c>
      <c r="AK5124">
        <v>27.8337717203107</v>
      </c>
      <c r="AL5124">
        <v>81.379493932805801</v>
      </c>
      <c r="AM5124">
        <v>96.668908115693199</v>
      </c>
      <c r="AN5124">
        <v>0.99999994545883797</v>
      </c>
    </row>
    <row r="5125" spans="1:40" x14ac:dyDescent="0.25">
      <c r="A5125" t="str">
        <f>"20190304155520325"</f>
        <v>20190304155520325</v>
      </c>
      <c r="B5125" t="str">
        <f>"1551686120322886"</f>
        <v>1551686120322886</v>
      </c>
      <c r="C5125" t="s">
        <v>40</v>
      </c>
      <c r="D5125">
        <v>4.9591450000000004</v>
      </c>
      <c r="E5125">
        <v>0.51568939999999996</v>
      </c>
      <c r="F5125" t="s">
        <v>97</v>
      </c>
      <c r="G5125">
        <v>-228.34440000000001</v>
      </c>
      <c r="H5125" s="1">
        <v>-3.0911389999999999E-6</v>
      </c>
      <c r="I5125">
        <v>-62.200099999999999</v>
      </c>
      <c r="J5125">
        <v>-256.4873</v>
      </c>
      <c r="K5125">
        <v>1.11022</v>
      </c>
      <c r="L5125">
        <v>-62.197719999999997</v>
      </c>
      <c r="M5125">
        <v>0.997444</v>
      </c>
      <c r="N5125">
        <v>-9.5328679999999999E-3</v>
      </c>
      <c r="O5125">
        <v>-7.0813630000000002E-2</v>
      </c>
      <c r="P5125">
        <v>0.98904219999999998</v>
      </c>
      <c r="Q5125">
        <v>0.140652</v>
      </c>
      <c r="R5125">
        <v>4.4861860000000003E-2</v>
      </c>
      <c r="S5125">
        <v>3.0502319999999998</v>
      </c>
      <c r="T5125">
        <v>-0.1198345</v>
      </c>
      <c r="U5125">
        <v>-1.12915E-3</v>
      </c>
      <c r="V5125">
        <v>-0.1149346</v>
      </c>
      <c r="W5125">
        <v>0.1499095</v>
      </c>
      <c r="X5125">
        <v>0.98199650000000005</v>
      </c>
      <c r="Y5125">
        <v>-7.0348889999999997E-2</v>
      </c>
      <c r="Z5125">
        <v>3.820773E-3</v>
      </c>
      <c r="AA5125">
        <v>0.99751509999999999</v>
      </c>
      <c r="AB5125">
        <v>27</v>
      </c>
      <c r="AC5125">
        <v>28.142900000000001</v>
      </c>
      <c r="AD5125">
        <v>-1.1102230911390001</v>
      </c>
      <c r="AE5125">
        <v>-2.3800000000022601E-3</v>
      </c>
      <c r="AF5125">
        <v>-1.9875243539717899</v>
      </c>
      <c r="AG5125">
        <v>-1.1102230911390001</v>
      </c>
      <c r="AH5125">
        <v>28.028791004959</v>
      </c>
      <c r="AI5125">
        <v>92.262630040466703</v>
      </c>
      <c r="AJ5125">
        <v>94.056060223144399</v>
      </c>
      <c r="AK5125">
        <v>28.121094814558699</v>
      </c>
      <c r="AL5125">
        <v>81.378317777967396</v>
      </c>
      <c r="AM5125">
        <v>96.675626879006401</v>
      </c>
      <c r="AN5125">
        <v>0.99999997323982903</v>
      </c>
    </row>
    <row r="5126" spans="1:40" x14ac:dyDescent="0.25">
      <c r="A5126" t="str">
        <f>"20190304155520336"</f>
        <v>20190304155520336</v>
      </c>
      <c r="B5126" t="str">
        <f>"1551686120332646"</f>
        <v>1551686120332646</v>
      </c>
      <c r="C5126" t="s">
        <v>40</v>
      </c>
      <c r="D5126">
        <v>4.8214509999999997</v>
      </c>
      <c r="E5126">
        <v>0.51581149999999998</v>
      </c>
      <c r="F5126" t="s">
        <v>97</v>
      </c>
      <c r="G5126">
        <v>-228.6574</v>
      </c>
      <c r="H5126" s="1">
        <v>-3.1983820000000001E-6</v>
      </c>
      <c r="I5126">
        <v>-62.2055199999999</v>
      </c>
      <c r="J5126">
        <v>-256.35109999999997</v>
      </c>
      <c r="K5126">
        <v>1.1101669999999999</v>
      </c>
      <c r="L5126">
        <v>-62.207090000000001</v>
      </c>
      <c r="M5126">
        <v>0.99746219999999997</v>
      </c>
      <c r="N5126">
        <v>-9.5015159999999998E-3</v>
      </c>
      <c r="O5126">
        <v>-7.0563730000000005E-2</v>
      </c>
      <c r="P5126">
        <v>0.98904230000000004</v>
      </c>
      <c r="Q5126">
        <v>0.14057349999999999</v>
      </c>
      <c r="R5126">
        <v>4.5109759999999999E-2</v>
      </c>
      <c r="S5126">
        <v>3.050583</v>
      </c>
      <c r="T5126">
        <v>-0.12169729999999999</v>
      </c>
      <c r="U5126">
        <v>-8.5449219999999995E-4</v>
      </c>
      <c r="V5126">
        <v>-0.11492040000000001</v>
      </c>
      <c r="W5126">
        <v>0.1498119</v>
      </c>
      <c r="X5126">
        <v>0.98201309999999997</v>
      </c>
      <c r="Y5126">
        <v>-7.0185880000000006E-2</v>
      </c>
      <c r="Z5126">
        <v>3.8744500000000002E-3</v>
      </c>
      <c r="AA5126">
        <v>0.99752640000000004</v>
      </c>
      <c r="AB5126">
        <v>27</v>
      </c>
      <c r="AC5126">
        <v>27.6936999999999</v>
      </c>
      <c r="AD5126">
        <v>-1.11017019838199</v>
      </c>
      <c r="AE5126">
        <v>1.57000000000806E-3</v>
      </c>
      <c r="AF5126">
        <v>-1.9526867437180999</v>
      </c>
      <c r="AG5126">
        <v>-1.11017019838199</v>
      </c>
      <c r="AH5126">
        <v>27.580228606460899</v>
      </c>
      <c r="AI5126">
        <v>92.299298432507001</v>
      </c>
      <c r="AJ5126">
        <v>94.049797065234003</v>
      </c>
      <c r="AK5126">
        <v>27.671546277234199</v>
      </c>
      <c r="AL5126">
        <v>81.383974090533201</v>
      </c>
      <c r="AM5126">
        <v>96.674697744415695</v>
      </c>
      <c r="AN5126">
        <v>1.00000001614468</v>
      </c>
    </row>
    <row r="5127" spans="1:40" x14ac:dyDescent="0.25">
      <c r="A5127" t="str">
        <f>"20190304155520348"</f>
        <v>20190304155520348</v>
      </c>
      <c r="B5127" t="str">
        <f>"1551686120343382"</f>
        <v>1551686120343382</v>
      </c>
      <c r="C5127" t="s">
        <v>40</v>
      </c>
      <c r="D5127">
        <v>4.8768539999999998</v>
      </c>
      <c r="E5127">
        <v>0.51576060000000001</v>
      </c>
      <c r="F5127" t="s">
        <v>97</v>
      </c>
      <c r="G5127">
        <v>-228.8192</v>
      </c>
      <c r="H5127" s="1">
        <v>-3.2551270000000001E-6</v>
      </c>
      <c r="I5127">
        <v>-62.218110000000003</v>
      </c>
      <c r="J5127">
        <v>-256.2176</v>
      </c>
      <c r="K5127">
        <v>1.1101240000000001</v>
      </c>
      <c r="L5127">
        <v>-62.21631</v>
      </c>
      <c r="M5127">
        <v>0.99747770000000002</v>
      </c>
      <c r="N5127">
        <v>-9.4696009999999994E-3</v>
      </c>
      <c r="O5127">
        <v>-7.0346210000000006E-2</v>
      </c>
      <c r="P5127">
        <v>0.98909340000000001</v>
      </c>
      <c r="Q5127">
        <v>0.14011460000000001</v>
      </c>
      <c r="R5127">
        <v>4.5410699999999998E-2</v>
      </c>
      <c r="S5127">
        <v>3.050751</v>
      </c>
      <c r="T5127">
        <v>-0.12301529999999999</v>
      </c>
      <c r="U5127">
        <v>-1.2207030000000001E-3</v>
      </c>
      <c r="V5127">
        <v>-0.1149944</v>
      </c>
      <c r="W5127">
        <v>0.14933339999999901</v>
      </c>
      <c r="X5127">
        <v>0.98207730000000004</v>
      </c>
      <c r="Y5127">
        <v>-6.9846740000000004E-2</v>
      </c>
      <c r="Z5127">
        <v>3.9057969999999999E-3</v>
      </c>
      <c r="AA5127">
        <v>0.9975501</v>
      </c>
      <c r="AB5127">
        <v>27</v>
      </c>
      <c r="AC5127">
        <v>27.398399999999999</v>
      </c>
      <c r="AD5127">
        <v>-1.1101272551269901</v>
      </c>
      <c r="AE5127">
        <v>-1.7999999999958E-3</v>
      </c>
      <c r="AF5127">
        <v>-1.9225082673704399</v>
      </c>
      <c r="AG5127">
        <v>-1.1101272551269901</v>
      </c>
      <c r="AH5127">
        <v>27.285849429394901</v>
      </c>
      <c r="AI5127">
        <v>92.324043869316696</v>
      </c>
      <c r="AJ5127">
        <v>94.030289562102396</v>
      </c>
      <c r="AK5127">
        <v>27.3760113903449</v>
      </c>
      <c r="AL5127">
        <v>81.411701898225601</v>
      </c>
      <c r="AM5127">
        <v>96.678524254492203</v>
      </c>
      <c r="AN5127">
        <v>0.99999999978110499</v>
      </c>
    </row>
    <row r="5128" spans="1:40" x14ac:dyDescent="0.25">
      <c r="A5128" t="str">
        <f>"20190304155520358"</f>
        <v>20190304155520358</v>
      </c>
      <c r="B5128" t="str">
        <f>"1551686120353142"</f>
        <v>1551686120353142</v>
      </c>
      <c r="C5128" t="s">
        <v>40</v>
      </c>
      <c r="D5128">
        <v>4.8246880000000001</v>
      </c>
      <c r="E5128">
        <v>0.51576060000000001</v>
      </c>
      <c r="F5128" t="s">
        <v>97</v>
      </c>
      <c r="G5128">
        <v>-228.6756</v>
      </c>
      <c r="H5128" s="1">
        <v>-3.2061340000000002E-6</v>
      </c>
      <c r="I5128">
        <v>-62.217140000000001</v>
      </c>
      <c r="J5128">
        <v>-256.08460000000002</v>
      </c>
      <c r="K5128">
        <v>1.11008</v>
      </c>
      <c r="L5128">
        <v>-62.225459999999998</v>
      </c>
      <c r="M5128">
        <v>0.99749189999999999</v>
      </c>
      <c r="N5128">
        <v>-9.4369429999999997E-3</v>
      </c>
      <c r="O5128">
        <v>-7.0150610000000002E-2</v>
      </c>
      <c r="P5128">
        <v>0.9890835</v>
      </c>
      <c r="Q5128">
        <v>0.139991</v>
      </c>
      <c r="R5128">
        <v>4.6007869999999999E-2</v>
      </c>
      <c r="S5128">
        <v>3.0505070000000001</v>
      </c>
      <c r="T5128">
        <v>-0.1229558</v>
      </c>
      <c r="U5128" s="1">
        <v>-9.1552730000000004E-5</v>
      </c>
      <c r="V5128">
        <v>-0.11538329999999999</v>
      </c>
      <c r="W5128">
        <v>0.14918719999999999</v>
      </c>
      <c r="X5128">
        <v>0.98205390000000004</v>
      </c>
      <c r="Y5128">
        <v>-7.0020299999999994E-2</v>
      </c>
      <c r="Z5128">
        <v>3.9035540000000001E-3</v>
      </c>
      <c r="AA5128">
        <v>0.99753789999999998</v>
      </c>
      <c r="AB5128">
        <v>27</v>
      </c>
      <c r="AC5128">
        <v>27.408999999999999</v>
      </c>
      <c r="AD5128">
        <v>-1.110083206134</v>
      </c>
      <c r="AE5128">
        <v>8.3199999999976609E-3</v>
      </c>
      <c r="AF5128">
        <v>-1.9279804717939799</v>
      </c>
      <c r="AG5128">
        <v>-1.110083206134</v>
      </c>
      <c r="AH5128">
        <v>27.2961118624495</v>
      </c>
      <c r="AI5128">
        <v>92.323050642149894</v>
      </c>
      <c r="AJ5128">
        <v>94.0402088441855</v>
      </c>
      <c r="AK5128">
        <v>27.386622943172799</v>
      </c>
      <c r="AL5128">
        <v>81.420173394573993</v>
      </c>
      <c r="AM5128">
        <v>96.701063544575703</v>
      </c>
      <c r="AN5128">
        <v>0.99999999453397004</v>
      </c>
    </row>
    <row r="5129" spans="1:40" x14ac:dyDescent="0.25">
      <c r="A5129" t="str">
        <f>"20190304155520370"</f>
        <v>20190304155520370</v>
      </c>
      <c r="B5129" t="str">
        <f>"1551686120362902"</f>
        <v>1551686120362902</v>
      </c>
      <c r="C5129" t="s">
        <v>40</v>
      </c>
      <c r="D5129">
        <v>4.2778080000000003</v>
      </c>
      <c r="E5129">
        <v>0.51757429999999904</v>
      </c>
      <c r="F5129" t="s">
        <v>97</v>
      </c>
      <c r="G5129">
        <v>-228.62139999999999</v>
      </c>
      <c r="H5129" s="1">
        <v>-3.1868690000000001E-6</v>
      </c>
      <c r="I5129">
        <v>-62.210900000000002</v>
      </c>
      <c r="J5129">
        <v>-255.953</v>
      </c>
      <c r="K5129">
        <v>1.1100449999999999</v>
      </c>
      <c r="L5129">
        <v>-62.234499999999997</v>
      </c>
      <c r="M5129">
        <v>0.99750320000000003</v>
      </c>
      <c r="N5129">
        <v>-9.4047599999999999E-3</v>
      </c>
      <c r="O5129">
        <v>-6.9991830000000005E-2</v>
      </c>
      <c r="P5129">
        <v>0.98909539999999996</v>
      </c>
      <c r="Q5129">
        <v>0.13972019999999999</v>
      </c>
      <c r="R5129">
        <v>4.6567530000000003E-2</v>
      </c>
      <c r="S5129">
        <v>3.0504609999999999</v>
      </c>
      <c r="T5129">
        <v>-0.1233022</v>
      </c>
      <c r="U5129">
        <v>1.617432E-3</v>
      </c>
      <c r="V5129">
        <v>-0.1157734</v>
      </c>
      <c r="W5129">
        <v>0.14889439999999901</v>
      </c>
      <c r="X5129">
        <v>0.98205240000000005</v>
      </c>
      <c r="Y5129">
        <v>-7.0419389999999998E-2</v>
      </c>
      <c r="Z5129">
        <v>3.9217230000000002E-3</v>
      </c>
      <c r="AA5129">
        <v>0.9975098</v>
      </c>
      <c r="AB5129">
        <v>27</v>
      </c>
      <c r="AC5129">
        <v>27.331600000000002</v>
      </c>
      <c r="AD5129">
        <v>-1.110048186869</v>
      </c>
      <c r="AE5129">
        <v>2.3599999999994702E-2</v>
      </c>
      <c r="AF5129">
        <v>-1.9334262895651899</v>
      </c>
      <c r="AG5129">
        <v>-1.110048186869</v>
      </c>
      <c r="AH5129">
        <v>27.218016984240101</v>
      </c>
      <c r="AI5129">
        <v>92.329569219412505</v>
      </c>
      <c r="AJ5129">
        <v>94.063169020711499</v>
      </c>
      <c r="AK5129">
        <v>27.309170488111398</v>
      </c>
      <c r="AL5129">
        <v>81.437138871360801</v>
      </c>
      <c r="AM5129">
        <v>96.723522311915502</v>
      </c>
      <c r="AN5129">
        <v>0.99999996942233904</v>
      </c>
    </row>
    <row r="5130" spans="1:40" x14ac:dyDescent="0.25">
      <c r="A5130" t="str">
        <f>"20190304155520425"</f>
        <v>20190304155520425</v>
      </c>
      <c r="B5130" t="str">
        <f>"1551686120423414"</f>
        <v>1551686120423414</v>
      </c>
      <c r="C5130" t="s">
        <v>40</v>
      </c>
      <c r="D5130">
        <v>4.5442210000000003</v>
      </c>
      <c r="E5130">
        <v>0.51757429999999904</v>
      </c>
      <c r="F5130" t="s">
        <v>97</v>
      </c>
      <c r="G5130">
        <v>-229.04060000000001</v>
      </c>
      <c r="H5130" s="1">
        <v>-3.3457570000000001E-6</v>
      </c>
      <c r="I5130">
        <v>-62.332470000000001</v>
      </c>
      <c r="J5130">
        <v>-255.2937</v>
      </c>
      <c r="K5130">
        <v>1.109883</v>
      </c>
      <c r="L5130">
        <v>-62.279940000000003</v>
      </c>
      <c r="M5130">
        <v>0.99754169999999998</v>
      </c>
      <c r="N5130">
        <v>-9.2529880000000002E-3</v>
      </c>
      <c r="O5130">
        <v>-6.9461869999999995E-2</v>
      </c>
      <c r="P5130">
        <v>0.98890820000000001</v>
      </c>
      <c r="Q5130">
        <v>0.14021789999999901</v>
      </c>
      <c r="R5130">
        <v>4.8983180000000001E-2</v>
      </c>
      <c r="S5130">
        <v>3.0513759999999999</v>
      </c>
      <c r="T5130">
        <v>-0.125859</v>
      </c>
      <c r="U5130">
        <v>-1.1108399999999999E-2</v>
      </c>
      <c r="V5130">
        <v>-0.117596699999999</v>
      </c>
      <c r="W5130">
        <v>0.1492792</v>
      </c>
      <c r="X5130">
        <v>0.98177729999999996</v>
      </c>
      <c r="Y5130">
        <v>-6.5728880000000003E-2</v>
      </c>
      <c r="Z5130">
        <v>3.878308E-3</v>
      </c>
      <c r="AA5130">
        <v>0.99782999999999999</v>
      </c>
      <c r="AB5130">
        <v>27</v>
      </c>
      <c r="AC5130">
        <v>26.2530999999999</v>
      </c>
      <c r="AD5130">
        <v>-1.1098863457569901</v>
      </c>
      <c r="AE5130">
        <v>-5.2529999999990203E-2</v>
      </c>
      <c r="AF5130">
        <v>-1.7681042620163001</v>
      </c>
      <c r="AG5130">
        <v>-1.1098863457569901</v>
      </c>
      <c r="AH5130">
        <v>26.1466005479997</v>
      </c>
      <c r="AI5130">
        <v>92.425133965392305</v>
      </c>
      <c r="AJ5130">
        <v>93.8686068297459</v>
      </c>
      <c r="AK5130">
        <v>26.229806720571101</v>
      </c>
      <c r="AL5130">
        <v>81.414842232874193</v>
      </c>
      <c r="AM5130">
        <v>96.830313297352603</v>
      </c>
      <c r="AN5130">
        <v>0.99999996509940903</v>
      </c>
    </row>
    <row r="5131" spans="1:40" x14ac:dyDescent="0.25">
      <c r="A5131" t="str">
        <f>"20190304155520436"</f>
        <v>20190304155520436</v>
      </c>
      <c r="B5131" t="str">
        <f>"1551686120433174"</f>
        <v>1551686120433174</v>
      </c>
      <c r="C5131" t="s">
        <v>40</v>
      </c>
      <c r="D5131">
        <v>4.6691200000000004</v>
      </c>
      <c r="E5131">
        <v>0.54993409999999998</v>
      </c>
      <c r="F5131" t="s">
        <v>97</v>
      </c>
      <c r="G5131">
        <v>-227.99979999999999</v>
      </c>
      <c r="H5131" s="1">
        <v>-2.9805819999999998E-6</v>
      </c>
      <c r="I5131">
        <v>-62.320329999999998</v>
      </c>
      <c r="J5131">
        <v>-255.15860000000001</v>
      </c>
      <c r="K5131">
        <v>1.1098589999999999</v>
      </c>
      <c r="L5131">
        <v>-62.289250000000003</v>
      </c>
      <c r="M5131">
        <v>0.99754670000000001</v>
      </c>
      <c r="N5131">
        <v>-9.2231580000000004E-3</v>
      </c>
      <c r="O5131">
        <v>-6.9394339999999999E-2</v>
      </c>
      <c r="P5131">
        <v>0.98898569999999997</v>
      </c>
      <c r="Q5131">
        <v>0.13974690000000001</v>
      </c>
      <c r="R5131">
        <v>4.8767650000000003E-2</v>
      </c>
      <c r="S5131">
        <v>3.0514679999999998</v>
      </c>
      <c r="T5131">
        <v>-0.12408569999999999</v>
      </c>
      <c r="U5131">
        <v>-4.5166019999999998E-3</v>
      </c>
      <c r="V5131">
        <v>-0.1173144</v>
      </c>
      <c r="W5131">
        <v>0.14878449999999999</v>
      </c>
      <c r="X5131">
        <v>0.98188620000000004</v>
      </c>
      <c r="Y5131">
        <v>-6.781769E-2</v>
      </c>
      <c r="Z5131">
        <v>3.8699440000000002E-3</v>
      </c>
      <c r="AA5131">
        <v>0.99769019999999997</v>
      </c>
      <c r="AB5131">
        <v>27</v>
      </c>
      <c r="AC5131">
        <v>27.158799999999999</v>
      </c>
      <c r="AD5131">
        <v>-1.109861980582</v>
      </c>
      <c r="AE5131">
        <v>-3.10800000000028E-2</v>
      </c>
      <c r="AF5131">
        <v>-1.8506514556692799</v>
      </c>
      <c r="AG5131">
        <v>-1.109861980582</v>
      </c>
      <c r="AH5131">
        <v>27.050305782632599</v>
      </c>
      <c r="AI5131">
        <v>92.344029228264901</v>
      </c>
      <c r="AJ5131">
        <v>93.9138021332829</v>
      </c>
      <c r="AK5131">
        <v>27.1362441645899</v>
      </c>
      <c r="AL5131">
        <v>81.443506893437501</v>
      </c>
      <c r="AM5131">
        <v>96.813322317928495</v>
      </c>
      <c r="AN5131">
        <v>1.0000000028190199</v>
      </c>
    </row>
    <row r="5132" spans="1:40" x14ac:dyDescent="0.25">
      <c r="A5132" t="str">
        <f>"20190304155520459"</f>
        <v>20190304155520459</v>
      </c>
      <c r="B5132" t="str">
        <f>"1551686120452695"</f>
        <v>1551686120452695</v>
      </c>
      <c r="C5132" t="s">
        <v>40</v>
      </c>
      <c r="D5132">
        <v>4.664879</v>
      </c>
      <c r="E5132">
        <v>0.54748949999999996</v>
      </c>
      <c r="F5132" t="s">
        <v>48</v>
      </c>
      <c r="G5132">
        <v>-254.3989</v>
      </c>
      <c r="H5132">
        <v>0.98322339999999997</v>
      </c>
      <c r="I5132">
        <v>-62.355600000000003</v>
      </c>
      <c r="J5132">
        <v>-254.87719999999999</v>
      </c>
      <c r="K5132">
        <v>1.109831</v>
      </c>
      <c r="L5132">
        <v>-62.30865</v>
      </c>
      <c r="M5132">
        <v>0.99755570000000005</v>
      </c>
      <c r="N5132">
        <v>-9.164363E-3</v>
      </c>
      <c r="O5132">
        <v>-6.9270979999999996E-2</v>
      </c>
      <c r="P5132">
        <v>0.98909000000000002</v>
      </c>
      <c r="Q5132">
        <v>0.13923859999999999</v>
      </c>
      <c r="R5132">
        <v>4.8101600000000001E-2</v>
      </c>
      <c r="S5132">
        <v>3.1202999999999999</v>
      </c>
      <c r="T5132">
        <v>-0.5200688</v>
      </c>
      <c r="U5132">
        <v>-0.27154539999999999</v>
      </c>
      <c r="V5132">
        <v>-0.1165269</v>
      </c>
      <c r="W5132">
        <v>0.1482272</v>
      </c>
      <c r="X5132">
        <v>0.98206420000000005</v>
      </c>
      <c r="Y5132">
        <v>1.8060059999999999E-2</v>
      </c>
      <c r="Z5132">
        <v>9.2239269999999998E-3</v>
      </c>
      <c r="AA5132">
        <v>0.99979439999999997</v>
      </c>
      <c r="AB5132">
        <v>27</v>
      </c>
      <c r="AC5132">
        <v>0.47829999999999001</v>
      </c>
      <c r="AD5132">
        <v>-0.12660759999999899</v>
      </c>
      <c r="AE5132">
        <v>-4.69500000000024E-2</v>
      </c>
      <c r="AF5132">
        <v>1.28142114981752E-2</v>
      </c>
      <c r="AG5132">
        <v>-0.12660759999999899</v>
      </c>
      <c r="AH5132">
        <v>0.44922737620404402</v>
      </c>
      <c r="AI5132">
        <v>105.73356454431401</v>
      </c>
      <c r="AJ5132">
        <v>88.366080877868896</v>
      </c>
      <c r="AK5132">
        <v>0.46690354884627899</v>
      </c>
      <c r="AL5132">
        <v>81.475795474292198</v>
      </c>
      <c r="AM5132">
        <v>96.766796658632799</v>
      </c>
      <c r="AN5132">
        <v>0.99999995708254397</v>
      </c>
    </row>
    <row r="5133" spans="1:40" x14ac:dyDescent="0.25">
      <c r="A5133" t="str">
        <f>"20190304155520471"</f>
        <v>20190304155520471</v>
      </c>
      <c r="B5133" t="str">
        <f>"1551686120463430"</f>
        <v>1551686120463430</v>
      </c>
      <c r="C5133" t="s">
        <v>40</v>
      </c>
      <c r="D5133">
        <v>4.7185040000000003</v>
      </c>
      <c r="E5133">
        <v>0.54811759999999998</v>
      </c>
      <c r="F5133" t="s">
        <v>48</v>
      </c>
      <c r="G5133">
        <v>-254.1421</v>
      </c>
      <c r="H5133">
        <v>1.015053</v>
      </c>
      <c r="I5133">
        <v>-62.368099999999998</v>
      </c>
      <c r="J5133">
        <v>-254.74160000000001</v>
      </c>
      <c r="K5133">
        <v>1.1098239999999999</v>
      </c>
      <c r="L5133">
        <v>-62.317990000000002</v>
      </c>
      <c r="M5133">
        <v>0.99755970000000005</v>
      </c>
      <c r="N5133">
        <v>-9.1388870000000001E-3</v>
      </c>
      <c r="O5133">
        <v>-6.9218719999999997E-2</v>
      </c>
      <c r="P5133">
        <v>0.9891818</v>
      </c>
      <c r="Q5133">
        <v>0.13878480000000001</v>
      </c>
      <c r="R5133">
        <v>4.7523969999999999E-2</v>
      </c>
      <c r="S5133">
        <v>3.1015779999999999</v>
      </c>
      <c r="T5133">
        <v>-0.39987210000000001</v>
      </c>
      <c r="U5133">
        <v>-0.25073240000000002</v>
      </c>
      <c r="V5133">
        <v>-0.11590350000000001</v>
      </c>
      <c r="W5133">
        <v>0.14775089999999999</v>
      </c>
      <c r="X5133">
        <v>0.98220980000000002</v>
      </c>
      <c r="Y5133">
        <v>1.1773860000000001E-2</v>
      </c>
      <c r="Z5133">
        <v>7.4227299999999998E-3</v>
      </c>
      <c r="AA5133">
        <v>0.99990310000000004</v>
      </c>
      <c r="AB5133">
        <v>27</v>
      </c>
      <c r="AC5133">
        <v>0.59950000000000603</v>
      </c>
      <c r="AD5133">
        <v>-9.4770999999999897E-2</v>
      </c>
      <c r="AE5133">
        <v>-5.0109999999996498E-2</v>
      </c>
      <c r="AF5133">
        <v>8.2858191268971402E-3</v>
      </c>
      <c r="AG5133">
        <v>-9.4770999999999897E-2</v>
      </c>
      <c r="AH5133">
        <v>0.58696400807029503</v>
      </c>
      <c r="AI5133">
        <v>99.170904056932898</v>
      </c>
      <c r="AJ5133">
        <v>89.191243536898696</v>
      </c>
      <c r="AK5133">
        <v>0.59462336315482001</v>
      </c>
      <c r="AL5133">
        <v>81.503389833813301</v>
      </c>
      <c r="AM5133">
        <v>96.729939807123898</v>
      </c>
      <c r="AN5133">
        <v>1.0000000204895401</v>
      </c>
    </row>
    <row r="5134" spans="1:40" x14ac:dyDescent="0.25">
      <c r="A5134" t="str">
        <f>"20190304155520484"</f>
        <v>20190304155520484</v>
      </c>
      <c r="B5134" t="str">
        <f>"1551686120473190"</f>
        <v>1551686120473190</v>
      </c>
      <c r="C5134" t="s">
        <v>40</v>
      </c>
      <c r="D5134">
        <v>4.8393309999999996</v>
      </c>
      <c r="E5134">
        <v>0.54300119999999996</v>
      </c>
      <c r="F5134" t="s">
        <v>48</v>
      </c>
      <c r="G5134">
        <v>-253.89330000000001</v>
      </c>
      <c r="H5134">
        <v>1.0305219999999999</v>
      </c>
      <c r="I5134">
        <v>-62.388269999999999</v>
      </c>
      <c r="J5134">
        <v>-254.5727</v>
      </c>
      <c r="K5134">
        <v>1.1098159999999999</v>
      </c>
      <c r="L5134">
        <v>-62.329650000000001</v>
      </c>
      <c r="M5134">
        <v>0.99756440000000002</v>
      </c>
      <c r="N5134">
        <v>-9.1085579999999992E-3</v>
      </c>
      <c r="O5134">
        <v>-6.9155090000000002E-2</v>
      </c>
      <c r="P5134">
        <v>0.98923139999999998</v>
      </c>
      <c r="Q5134">
        <v>0.13855290000000001</v>
      </c>
      <c r="R5134">
        <v>4.716455E-2</v>
      </c>
      <c r="S5134">
        <v>3.085556</v>
      </c>
      <c r="T5134">
        <v>-0.28846759999999999</v>
      </c>
      <c r="U5134">
        <v>-0.255249</v>
      </c>
      <c r="V5134">
        <v>-0.11548460000000001</v>
      </c>
      <c r="W5134">
        <v>0.1474915</v>
      </c>
      <c r="X5134">
        <v>0.98229809999999995</v>
      </c>
      <c r="Y5134">
        <v>1.350138E-2</v>
      </c>
      <c r="Z5134">
        <v>5.1129829999999998E-3</v>
      </c>
      <c r="AA5134">
        <v>0.9998958</v>
      </c>
      <c r="AB5134">
        <v>27</v>
      </c>
      <c r="AC5134">
        <v>0.67939999999998602</v>
      </c>
      <c r="AD5134">
        <v>-7.9293999999999906E-2</v>
      </c>
      <c r="AE5134">
        <v>-5.8619999999997598E-2</v>
      </c>
      <c r="AF5134">
        <v>1.13403996717746E-2</v>
      </c>
      <c r="AG5134">
        <v>-7.9293999999999906E-2</v>
      </c>
      <c r="AH5134">
        <v>0.67273137479480904</v>
      </c>
      <c r="AI5134">
        <v>96.721418329430506</v>
      </c>
      <c r="AJ5134">
        <v>89.034242303011794</v>
      </c>
      <c r="AK5134">
        <v>0.67748331767950498</v>
      </c>
      <c r="AL5134">
        <v>81.518416790384407</v>
      </c>
      <c r="AM5134">
        <v>96.705240972031802</v>
      </c>
      <c r="AN5134">
        <v>0.99999999633650904</v>
      </c>
    </row>
    <row r="5135" spans="1:40" x14ac:dyDescent="0.25">
      <c r="A5135" t="str">
        <f>"20190304155520498"</f>
        <v>20190304155520498</v>
      </c>
      <c r="B5135" t="str">
        <f>"1551686120492710"</f>
        <v>1551686120492710</v>
      </c>
      <c r="C5135" t="s">
        <v>40</v>
      </c>
      <c r="D5135">
        <v>4.8682280000000002</v>
      </c>
      <c r="E5135">
        <v>0.53735769999999905</v>
      </c>
      <c r="F5135" t="s">
        <v>48</v>
      </c>
      <c r="G5135">
        <v>-253.6506</v>
      </c>
      <c r="H5135">
        <v>1.0301389999999999</v>
      </c>
      <c r="I5135">
        <v>-62.394159999999999</v>
      </c>
      <c r="J5135">
        <v>-254.405</v>
      </c>
      <c r="K5135">
        <v>1.1098159999999999</v>
      </c>
      <c r="L5135">
        <v>-62.341189999999997</v>
      </c>
      <c r="M5135">
        <v>0.99756909999999999</v>
      </c>
      <c r="N5135">
        <v>-9.0810539999999999E-3</v>
      </c>
      <c r="O5135">
        <v>-6.9092990000000007E-2</v>
      </c>
      <c r="P5135">
        <v>0.98928240000000001</v>
      </c>
      <c r="Q5135">
        <v>0.1383181</v>
      </c>
      <c r="R5135">
        <v>4.6786590000000003E-2</v>
      </c>
      <c r="S5135">
        <v>3.0802</v>
      </c>
      <c r="T5135">
        <v>-0.26613799999999999</v>
      </c>
      <c r="U5135">
        <v>-0.2152405</v>
      </c>
      <c r="V5135">
        <v>-0.11505020000000001</v>
      </c>
      <c r="W5135">
        <v>0.14723020000000001</v>
      </c>
      <c r="X5135">
        <v>0.98238829999999999</v>
      </c>
      <c r="Y5135">
        <v>8.1559949999999895E-4</v>
      </c>
      <c r="Z5135">
        <v>5.2791269999999998E-3</v>
      </c>
      <c r="AA5135">
        <v>0.99998580000000004</v>
      </c>
      <c r="AB5135">
        <v>27</v>
      </c>
      <c r="AC5135">
        <v>0.75440000000000396</v>
      </c>
      <c r="AD5135">
        <v>-7.9676999999999998E-2</v>
      </c>
      <c r="AE5135">
        <v>-5.2969999999994799E-2</v>
      </c>
      <c r="AF5135">
        <v>7.0963597997629403E-4</v>
      </c>
      <c r="AG5135">
        <v>-7.9676999999999998E-2</v>
      </c>
      <c r="AH5135">
        <v>0.74795464237129805</v>
      </c>
      <c r="AI5135">
        <v>96.080585450183605</v>
      </c>
      <c r="AJ5135">
        <v>89.945639572054205</v>
      </c>
      <c r="AK5135">
        <v>0.75218686172852101</v>
      </c>
      <c r="AL5135">
        <v>81.533553681629101</v>
      </c>
      <c r="AM5135">
        <v>96.679639497124896</v>
      </c>
      <c r="AN5135">
        <v>1.0000000261444799</v>
      </c>
    </row>
    <row r="5136" spans="1:40" x14ac:dyDescent="0.25">
      <c r="A5136" t="str">
        <f>"20190304155520511"</f>
        <v>20190304155520511</v>
      </c>
      <c r="B5136" t="str">
        <f>"1551686120503447"</f>
        <v>1551686120503447</v>
      </c>
      <c r="C5136" t="s">
        <v>40</v>
      </c>
      <c r="D5136">
        <v>4.8931570000000004</v>
      </c>
      <c r="E5136">
        <v>0.53568970000000005</v>
      </c>
      <c r="F5136" t="s">
        <v>98</v>
      </c>
      <c r="G5136">
        <v>-239.864</v>
      </c>
      <c r="H5136" s="1">
        <v>-3.7215409999999999E-6</v>
      </c>
      <c r="I5136">
        <v>-63.149979999999999</v>
      </c>
      <c r="J5136">
        <v>-254.25190000000001</v>
      </c>
      <c r="K5136">
        <v>1.109807</v>
      </c>
      <c r="L5136">
        <v>-62.351750000000003</v>
      </c>
      <c r="M5136">
        <v>0.99757309999999999</v>
      </c>
      <c r="N5136">
        <v>-9.0580529999999999E-3</v>
      </c>
      <c r="O5136">
        <v>-6.9034219999999993E-2</v>
      </c>
      <c r="P5136">
        <v>0.98926820000000004</v>
      </c>
      <c r="Q5136">
        <v>0.13841519999999999</v>
      </c>
      <c r="R5136">
        <v>4.6793349999999997E-2</v>
      </c>
      <c r="S5136">
        <v>3.0733799999999998</v>
      </c>
      <c r="T5136">
        <v>-0.234571</v>
      </c>
      <c r="U5136">
        <v>-0.17095949999999999</v>
      </c>
      <c r="V5136">
        <v>-0.1149979</v>
      </c>
      <c r="W5136">
        <v>0.14730379999999901</v>
      </c>
      <c r="X5136">
        <v>0.98238340000000002</v>
      </c>
      <c r="Y5136">
        <v>-1.332473E-2</v>
      </c>
      <c r="Z5136">
        <v>5.1947139999999996E-3</v>
      </c>
      <c r="AA5136">
        <v>0.9998977</v>
      </c>
      <c r="AB5136">
        <v>27</v>
      </c>
      <c r="AC5136">
        <v>14.3879</v>
      </c>
      <c r="AD5136">
        <v>-1.109810721541</v>
      </c>
      <c r="AE5136">
        <v>-0.79823000000000299</v>
      </c>
      <c r="AF5136">
        <v>-0.195811307838124</v>
      </c>
      <c r="AG5136">
        <v>-1.109810721541</v>
      </c>
      <c r="AH5136">
        <v>14.323717431430699</v>
      </c>
      <c r="AI5136">
        <v>94.430049526248496</v>
      </c>
      <c r="AJ5136">
        <v>90.783208882134502</v>
      </c>
      <c r="AK5136">
        <v>14.3679818680772</v>
      </c>
      <c r="AL5136">
        <v>81.529290307197101</v>
      </c>
      <c r="AM5136">
        <v>96.676663459966704</v>
      </c>
      <c r="AN5136">
        <v>1.0000000355472001</v>
      </c>
    </row>
    <row r="5137" spans="1:40" x14ac:dyDescent="0.25">
      <c r="A5137" t="str">
        <f>"20190304155520526"</f>
        <v>20190304155520526</v>
      </c>
      <c r="B5137" t="str">
        <f>"1551686120522966"</f>
        <v>1551686120522966</v>
      </c>
      <c r="C5137" t="s">
        <v>40</v>
      </c>
      <c r="D5137">
        <v>4.9122430000000001</v>
      </c>
      <c r="E5137">
        <v>0.53309430000000002</v>
      </c>
      <c r="F5137" t="s">
        <v>98</v>
      </c>
      <c r="G5137">
        <v>-238.97710000000001</v>
      </c>
      <c r="H5137" s="1">
        <v>-3.4169939999999999E-6</v>
      </c>
      <c r="I5137">
        <v>-63.13456</v>
      </c>
      <c r="J5137">
        <v>-254.066</v>
      </c>
      <c r="K5137">
        <v>1.109807</v>
      </c>
      <c r="L5137">
        <v>-62.364530000000002</v>
      </c>
      <c r="M5137">
        <v>0.99757859999999998</v>
      </c>
      <c r="N5137">
        <v>-9.0319119999999996E-3</v>
      </c>
      <c r="O5137">
        <v>-6.8959809999999996E-2</v>
      </c>
      <c r="P5137">
        <v>0.98919049999999997</v>
      </c>
      <c r="Q5137">
        <v>0.13892299999999999</v>
      </c>
      <c r="R5137">
        <v>4.6933099999999998E-2</v>
      </c>
      <c r="S5137">
        <v>3.0712280000000001</v>
      </c>
      <c r="T5137">
        <v>-0.22314500000000001</v>
      </c>
      <c r="U5137">
        <v>-0.15740970000000001</v>
      </c>
      <c r="V5137">
        <v>-0.1150603</v>
      </c>
      <c r="W5137">
        <v>0.14778440000000001</v>
      </c>
      <c r="X5137">
        <v>0.98230390000000001</v>
      </c>
      <c r="Y5137">
        <v>-1.7617549999999999E-2</v>
      </c>
      <c r="Z5137">
        <v>5.09145E-3</v>
      </c>
      <c r="AA5137">
        <v>0.9998319</v>
      </c>
      <c r="AB5137">
        <v>27</v>
      </c>
      <c r="AC5137">
        <v>15.088899999999899</v>
      </c>
      <c r="AD5137">
        <v>-1.109810416994</v>
      </c>
      <c r="AE5137">
        <v>-0.77002999999999799</v>
      </c>
      <c r="AF5137">
        <v>-0.27091155020614599</v>
      </c>
      <c r="AG5137">
        <v>-1.109810416994</v>
      </c>
      <c r="AH5137">
        <v>15.025008921419101</v>
      </c>
      <c r="AI5137">
        <v>94.223751872674598</v>
      </c>
      <c r="AJ5137">
        <v>91.032971544116407</v>
      </c>
      <c r="AK5137">
        <v>15.068376333182901</v>
      </c>
      <c r="AL5137">
        <v>81.5014491737778</v>
      </c>
      <c r="AM5137">
        <v>96.680789367802603</v>
      </c>
      <c r="AN5137">
        <v>1.0000000267373199</v>
      </c>
    </row>
    <row r="5138" spans="1:40" x14ac:dyDescent="0.25">
      <c r="A5138" t="str">
        <f>"20190304155520538"</f>
        <v>20190304155520538</v>
      </c>
      <c r="B5138" t="str">
        <f>"1551686120532727"</f>
        <v>1551686120532727</v>
      </c>
      <c r="C5138" t="s">
        <v>40</v>
      </c>
      <c r="D5138">
        <v>4.9158010000000001</v>
      </c>
      <c r="E5138">
        <v>0.53217780000000003</v>
      </c>
      <c r="F5138" t="s">
        <v>98</v>
      </c>
      <c r="G5138">
        <v>-237.3141</v>
      </c>
      <c r="H5138" s="1">
        <v>-2.8459839999999999E-6</v>
      </c>
      <c r="I5138">
        <v>-63.10604</v>
      </c>
      <c r="J5138">
        <v>-253.91909999999999</v>
      </c>
      <c r="K5138">
        <v>1.1098110000000001</v>
      </c>
      <c r="L5138">
        <v>-62.374630000000003</v>
      </c>
      <c r="M5138">
        <v>0.99758309999999994</v>
      </c>
      <c r="N5138">
        <v>-9.012885E-3</v>
      </c>
      <c r="O5138">
        <v>-6.8896390000000002E-2</v>
      </c>
      <c r="P5138">
        <v>0.9891626</v>
      </c>
      <c r="Q5138">
        <v>0.1391886</v>
      </c>
      <c r="R5138">
        <v>4.6732879999999997E-2</v>
      </c>
      <c r="S5138">
        <v>3.0677639999999999</v>
      </c>
      <c r="T5138">
        <v>-0.2032388</v>
      </c>
      <c r="U5138">
        <v>-0.13580320000000001</v>
      </c>
      <c r="V5138">
        <v>-0.1147975</v>
      </c>
      <c r="W5138">
        <v>0.1480301</v>
      </c>
      <c r="X5138">
        <v>0.98229770000000005</v>
      </c>
      <c r="Y5138">
        <v>-2.4539189999999999E-2</v>
      </c>
      <c r="Z5138">
        <v>4.8543730000000004E-3</v>
      </c>
      <c r="AA5138">
        <v>0.99968710000000005</v>
      </c>
      <c r="AB5138">
        <v>27</v>
      </c>
      <c r="AC5138">
        <v>16.604999999999901</v>
      </c>
      <c r="AD5138">
        <v>-1.1098138459839999</v>
      </c>
      <c r="AE5138">
        <v>-0.73140999999999601</v>
      </c>
      <c r="AF5138">
        <v>-0.41255977161928398</v>
      </c>
      <c r="AG5138">
        <v>-1.1098138459839999</v>
      </c>
      <c r="AH5138">
        <v>16.5421819361909</v>
      </c>
      <c r="AI5138">
        <v>93.837028553996703</v>
      </c>
      <c r="AJ5138">
        <v>91.428652805502196</v>
      </c>
      <c r="AK5138">
        <v>16.584501064184501</v>
      </c>
      <c r="AL5138">
        <v>81.487215448315595</v>
      </c>
      <c r="AM5138">
        <v>96.665709471220097</v>
      </c>
      <c r="AN5138">
        <v>1.00000007396877</v>
      </c>
    </row>
    <row r="5139" spans="1:40" x14ac:dyDescent="0.25">
      <c r="A5139" t="str">
        <f>"20190304155520550"</f>
        <v>20190304155520550</v>
      </c>
      <c r="B5139" t="str">
        <f>"1551686120543462"</f>
        <v>1551686120543462</v>
      </c>
      <c r="C5139" t="s">
        <v>40</v>
      </c>
      <c r="D5139">
        <v>4.9226320000000001</v>
      </c>
      <c r="E5139">
        <v>0.53136830000000002</v>
      </c>
      <c r="F5139" t="s">
        <v>98</v>
      </c>
      <c r="G5139">
        <v>-236.56950000000001</v>
      </c>
      <c r="H5139" s="1">
        <v>-2.5289410000000001E-6</v>
      </c>
      <c r="I5139">
        <v>-63.102849999999997</v>
      </c>
      <c r="J5139">
        <v>-253.78200000000001</v>
      </c>
      <c r="K5139">
        <v>1.1098159999999999</v>
      </c>
      <c r="L5139">
        <v>-62.384030000000003</v>
      </c>
      <c r="M5139">
        <v>0.99758780000000002</v>
      </c>
      <c r="N5139">
        <v>-8.9967940000000007E-3</v>
      </c>
      <c r="O5139">
        <v>-6.8830589999999997E-2</v>
      </c>
      <c r="P5139">
        <v>0.98909800000000003</v>
      </c>
      <c r="Q5139">
        <v>0.1394765</v>
      </c>
      <c r="R5139">
        <v>4.7237620000000001E-2</v>
      </c>
      <c r="S5139">
        <v>3.0665439999999999</v>
      </c>
      <c r="T5139">
        <v>-0.1961598</v>
      </c>
      <c r="U5139">
        <v>-0.12872310000000001</v>
      </c>
      <c r="V5139">
        <v>-0.115233</v>
      </c>
      <c r="W5139">
        <v>0.1483003</v>
      </c>
      <c r="X5139">
        <v>0.98220589999999997</v>
      </c>
      <c r="Y5139">
        <v>-2.6766890000000002E-2</v>
      </c>
      <c r="Z5139">
        <v>4.7487340000000001E-3</v>
      </c>
      <c r="AA5139">
        <v>0.99963049999999998</v>
      </c>
      <c r="AB5139">
        <v>27</v>
      </c>
      <c r="AC5139">
        <v>17.212499999999999</v>
      </c>
      <c r="AD5139">
        <v>-1.1098185289410001</v>
      </c>
      <c r="AE5139">
        <v>-0.71881999999999302</v>
      </c>
      <c r="AF5139">
        <v>-0.46574649557189501</v>
      </c>
      <c r="AG5139">
        <v>-1.1098185289410001</v>
      </c>
      <c r="AH5139">
        <v>17.149979443614399</v>
      </c>
      <c r="AI5139">
        <v>93.701231232790207</v>
      </c>
      <c r="AJ5139">
        <v>91.555614175496402</v>
      </c>
      <c r="AK5139">
        <v>17.192161349921001</v>
      </c>
      <c r="AL5139">
        <v>81.471560942934801</v>
      </c>
      <c r="AM5139">
        <v>96.691387584817704</v>
      </c>
      <c r="AN5139">
        <v>1.00000002663194</v>
      </c>
    </row>
    <row r="5140" spans="1:40" x14ac:dyDescent="0.25">
      <c r="A5140" t="str">
        <f>"20190304155520560"</f>
        <v>20190304155520560</v>
      </c>
      <c r="B5140" t="str">
        <f>"1551686120553222"</f>
        <v>1551686120553222</v>
      </c>
      <c r="C5140" t="s">
        <v>40</v>
      </c>
      <c r="D5140">
        <v>4.8853859999999996</v>
      </c>
      <c r="E5140">
        <v>0.53112169999999903</v>
      </c>
      <c r="F5140" t="s">
        <v>98</v>
      </c>
      <c r="G5140">
        <v>-235.79470000000001</v>
      </c>
      <c r="H5140" s="1">
        <v>-2.1934769999999998E-6</v>
      </c>
      <c r="I5140">
        <v>-63.091299999999997</v>
      </c>
      <c r="J5140">
        <v>-253.65360000000001</v>
      </c>
      <c r="K5140">
        <v>1.109818</v>
      </c>
      <c r="L5140">
        <v>-62.392819999999901</v>
      </c>
      <c r="M5140">
        <v>0.99759229999999999</v>
      </c>
      <c r="N5140">
        <v>-8.9822189999999996E-3</v>
      </c>
      <c r="O5140">
        <v>-6.876707E-2</v>
      </c>
      <c r="P5140">
        <v>0.98906179999999999</v>
      </c>
      <c r="Q5140">
        <v>0.139651</v>
      </c>
      <c r="R5140">
        <v>4.7479559999999997E-2</v>
      </c>
      <c r="S5140">
        <v>3.0654599999999999</v>
      </c>
      <c r="T5140">
        <v>-0.189139</v>
      </c>
      <c r="U5140">
        <v>-0.1205444</v>
      </c>
      <c r="V5140">
        <v>-0.115411</v>
      </c>
      <c r="W5140">
        <v>0.14845829999999999</v>
      </c>
      <c r="X5140">
        <v>0.98216110000000001</v>
      </c>
      <c r="Y5140">
        <v>-2.9357790000000002E-2</v>
      </c>
      <c r="Z5140">
        <v>4.6523220000000004E-3</v>
      </c>
      <c r="AA5140">
        <v>0.99955819999999995</v>
      </c>
      <c r="AB5140">
        <v>27</v>
      </c>
      <c r="AC5140">
        <v>17.858899999999998</v>
      </c>
      <c r="AD5140">
        <v>-1.109820193477</v>
      </c>
      <c r="AE5140">
        <v>-0.69848000000000299</v>
      </c>
      <c r="AF5140">
        <v>-0.52928648921885801</v>
      </c>
      <c r="AG5140">
        <v>-1.109820193477</v>
      </c>
      <c r="AH5140">
        <v>17.796033627131099</v>
      </c>
      <c r="AI5140">
        <v>93.566961847113205</v>
      </c>
      <c r="AJ5140">
        <v>91.703578758833501</v>
      </c>
      <c r="AK5140">
        <v>17.838460076685401</v>
      </c>
      <c r="AL5140">
        <v>81.462406616340402</v>
      </c>
      <c r="AM5140">
        <v>96.701932709473496</v>
      </c>
      <c r="AN5140">
        <v>0.99999999605654999</v>
      </c>
    </row>
    <row r="5141" spans="1:40" x14ac:dyDescent="0.25">
      <c r="A5141" t="str">
        <f>"20190304155520571"</f>
        <v>20190304155520571</v>
      </c>
      <c r="B5141" t="str">
        <f>"1551686120562982"</f>
        <v>1551686120562982</v>
      </c>
      <c r="C5141" t="s">
        <v>40</v>
      </c>
      <c r="D5141">
        <v>4.9250819999999997</v>
      </c>
      <c r="E5141">
        <v>0.53064040000000001</v>
      </c>
      <c r="F5141" t="s">
        <v>98</v>
      </c>
      <c r="G5141">
        <v>-235.00960000000001</v>
      </c>
      <c r="H5141" s="1">
        <v>-1.8610189999999999E-6</v>
      </c>
      <c r="I5141">
        <v>-63.107550000000003</v>
      </c>
      <c r="J5141">
        <v>-253.52029999999999</v>
      </c>
      <c r="K5141">
        <v>1.10982</v>
      </c>
      <c r="L5141">
        <v>-62.401949999999999</v>
      </c>
      <c r="M5141">
        <v>0.99759779999999998</v>
      </c>
      <c r="N5141">
        <v>-8.9689049999999992E-3</v>
      </c>
      <c r="O5141">
        <v>-6.8689340000000002E-2</v>
      </c>
      <c r="P5141">
        <v>0.98908119999999999</v>
      </c>
      <c r="Q5141">
        <v>0.13944679999999901</v>
      </c>
      <c r="R5141">
        <v>4.7678199999999997E-2</v>
      </c>
      <c r="S5141">
        <v>3.064575</v>
      </c>
      <c r="T5141">
        <v>-0.18242530000000001</v>
      </c>
      <c r="U5141">
        <v>-0.11749270000000001</v>
      </c>
      <c r="V5141">
        <v>-0.1155366</v>
      </c>
      <c r="W5141">
        <v>0.14823939999999999</v>
      </c>
      <c r="X5141">
        <v>0.98217940000000004</v>
      </c>
      <c r="Y5141">
        <v>-3.0272420000000001E-2</v>
      </c>
      <c r="Z5141">
        <v>4.4998820000000002E-3</v>
      </c>
      <c r="AA5141">
        <v>0.99953159999999996</v>
      </c>
      <c r="AB5141">
        <v>27</v>
      </c>
      <c r="AC5141">
        <v>18.5106999999999</v>
      </c>
      <c r="AD5141">
        <v>-1.109821861019</v>
      </c>
      <c r="AE5141">
        <v>-0.705600000000004</v>
      </c>
      <c r="AF5141">
        <v>-0.56557546164440098</v>
      </c>
      <c r="AG5141">
        <v>-1.109821861019</v>
      </c>
      <c r="AH5141">
        <v>18.449222244426899</v>
      </c>
      <c r="AI5141">
        <v>93.440894229309905</v>
      </c>
      <c r="AJ5141">
        <v>91.7558974058595</v>
      </c>
      <c r="AK5141">
        <v>18.491224448106902</v>
      </c>
      <c r="AL5141">
        <v>81.475089023302999</v>
      </c>
      <c r="AM5141">
        <v>96.709035999455097</v>
      </c>
      <c r="AN5141">
        <v>0.99999999971814002</v>
      </c>
    </row>
    <row r="5142" spans="1:40" x14ac:dyDescent="0.25">
      <c r="A5142" t="str">
        <f>"20190304155520585"</f>
        <v>20190304155520585</v>
      </c>
      <c r="B5142" t="str">
        <f>"1551686120572742"</f>
        <v>1551686120572742</v>
      </c>
      <c r="C5142" t="s">
        <v>40</v>
      </c>
      <c r="D5142">
        <v>4.8976119999999996</v>
      </c>
      <c r="E5142">
        <v>0.53037599999999996</v>
      </c>
      <c r="F5142" t="s">
        <v>98</v>
      </c>
      <c r="G5142">
        <v>-234.32470000000001</v>
      </c>
      <c r="H5142" s="1">
        <v>-1.5674109999999999E-6</v>
      </c>
      <c r="I5142">
        <v>-63.108440000000002</v>
      </c>
      <c r="J5142">
        <v>-253.36269999999999</v>
      </c>
      <c r="K5142">
        <v>1.1098269999999999</v>
      </c>
      <c r="L5142">
        <v>-62.412719999999901</v>
      </c>
      <c r="M5142">
        <v>0.99760470000000001</v>
      </c>
      <c r="N5142">
        <v>-8.9538529999999995E-3</v>
      </c>
      <c r="O5142">
        <v>-6.8591769999999996E-2</v>
      </c>
      <c r="P5142">
        <v>0.9891084</v>
      </c>
      <c r="Q5142">
        <v>0.13923139999999901</v>
      </c>
      <c r="R5142">
        <v>4.7744460000000002E-2</v>
      </c>
      <c r="S5142">
        <v>3.0635219999999999</v>
      </c>
      <c r="T5142">
        <v>-0.1771218</v>
      </c>
      <c r="U5142">
        <v>-0.1127625</v>
      </c>
      <c r="V5142">
        <v>-0.11551169999999999</v>
      </c>
      <c r="W5142">
        <v>0.148007</v>
      </c>
      <c r="X5142">
        <v>0.98221740000000002</v>
      </c>
      <c r="Y5142">
        <v>-3.1708989999999999E-2</v>
      </c>
      <c r="Z5142">
        <v>4.4011299999999996E-3</v>
      </c>
      <c r="AA5142">
        <v>0.99948749999999997</v>
      </c>
      <c r="AB5142">
        <v>27</v>
      </c>
      <c r="AC5142">
        <v>19.037999999999901</v>
      </c>
      <c r="AD5142">
        <v>-1.109828567411</v>
      </c>
      <c r="AE5142">
        <v>-0.695720000000008</v>
      </c>
      <c r="AF5142">
        <v>-0.60975166736020603</v>
      </c>
      <c r="AG5142">
        <v>-1.109828567411</v>
      </c>
      <c r="AH5142">
        <v>18.976478033091801</v>
      </c>
      <c r="AI5142">
        <v>93.345375890299394</v>
      </c>
      <c r="AJ5142">
        <v>91.840393197385097</v>
      </c>
      <c r="AK5142">
        <v>19.0186812130943</v>
      </c>
      <c r="AL5142">
        <v>81.488553284251495</v>
      </c>
      <c r="AM5142">
        <v>96.707346131196005</v>
      </c>
      <c r="AN5142">
        <v>1.00000002287432</v>
      </c>
    </row>
    <row r="5143" spans="1:40" x14ac:dyDescent="0.25">
      <c r="A5143" t="str">
        <f>"20190304155520597"</f>
        <v>20190304155520597</v>
      </c>
      <c r="B5143" t="str">
        <f>"1551686120593238"</f>
        <v>1551686120593238</v>
      </c>
      <c r="C5143" t="s">
        <v>40</v>
      </c>
      <c r="D5143">
        <v>4.8700049999999999</v>
      </c>
      <c r="E5143">
        <v>0.52996650000000001</v>
      </c>
      <c r="F5143" t="s">
        <v>98</v>
      </c>
      <c r="G5143">
        <v>-233.70140000000001</v>
      </c>
      <c r="H5143" s="1">
        <v>-1.303219E-6</v>
      </c>
      <c r="I5143">
        <v>-63.120489999999997</v>
      </c>
      <c r="J5143">
        <v>-253.20509999999999</v>
      </c>
      <c r="K5143">
        <v>1.1098380000000001</v>
      </c>
      <c r="L5143">
        <v>-62.423459999999999</v>
      </c>
      <c r="M5143">
        <v>0.99761250000000001</v>
      </c>
      <c r="N5143">
        <v>-8.9404940000000002E-3</v>
      </c>
      <c r="O5143">
        <v>-6.8478330000000004E-2</v>
      </c>
      <c r="P5143">
        <v>0.98911570000000004</v>
      </c>
      <c r="Q5143">
        <v>0.1391713</v>
      </c>
      <c r="R5143">
        <v>4.7765990000000001E-2</v>
      </c>
      <c r="S5143">
        <v>3.0626829999999998</v>
      </c>
      <c r="T5143">
        <v>-0.17288020000000001</v>
      </c>
      <c r="U5143">
        <v>-0.11026</v>
      </c>
      <c r="V5143">
        <v>-0.1154273</v>
      </c>
      <c r="W5143">
        <v>0.14793010000000001</v>
      </c>
      <c r="X5143">
        <v>0.98223890000000003</v>
      </c>
      <c r="Y5143">
        <v>-3.2406799999999999E-2</v>
      </c>
      <c r="Z5143">
        <v>4.304118E-3</v>
      </c>
      <c r="AA5143">
        <v>0.99946550000000001</v>
      </c>
      <c r="AB5143">
        <v>27</v>
      </c>
      <c r="AC5143">
        <v>19.503699999999899</v>
      </c>
      <c r="AD5143">
        <v>-1.1098393032189999</v>
      </c>
      <c r="AE5143">
        <v>-0.69703000000000503</v>
      </c>
      <c r="AF5143">
        <v>-0.638176755097558</v>
      </c>
      <c r="AG5143">
        <v>-1.1098393032189999</v>
      </c>
      <c r="AH5143">
        <v>19.442770049818101</v>
      </c>
      <c r="AI5143">
        <v>93.265278588569998</v>
      </c>
      <c r="AJ5143">
        <v>91.879964209266404</v>
      </c>
      <c r="AK5143">
        <v>19.4848741350777</v>
      </c>
      <c r="AL5143">
        <v>81.493008315167103</v>
      </c>
      <c r="AM5143">
        <v>96.702344557979401</v>
      </c>
      <c r="AN5143">
        <v>1.00000001637225</v>
      </c>
    </row>
    <row r="5144" spans="1:40" x14ac:dyDescent="0.25">
      <c r="A5144" t="str">
        <f>"20190304155520609"</f>
        <v>20190304155520609</v>
      </c>
      <c r="B5144" t="str">
        <f>"1551686120602999"</f>
        <v>1551686120602999</v>
      </c>
      <c r="C5144" t="s">
        <v>40</v>
      </c>
      <c r="D5144">
        <v>4.8862610000000002</v>
      </c>
      <c r="E5144">
        <v>0.52966489999999999</v>
      </c>
      <c r="F5144" t="s">
        <v>98</v>
      </c>
      <c r="G5144">
        <v>-232.7628</v>
      </c>
      <c r="H5144" s="1">
        <v>-9.0438740000000001E-7</v>
      </c>
      <c r="I5144">
        <v>-63.134770000000003</v>
      </c>
      <c r="J5144">
        <v>-253.05510000000001</v>
      </c>
      <c r="K5144">
        <v>1.1098539999999999</v>
      </c>
      <c r="L5144">
        <v>-62.433619999999998</v>
      </c>
      <c r="M5144">
        <v>0.99762099999999998</v>
      </c>
      <c r="N5144">
        <v>-8.9290159999999997E-3</v>
      </c>
      <c r="O5144">
        <v>-6.8357119999999993E-2</v>
      </c>
      <c r="P5144">
        <v>0.98916680000000001</v>
      </c>
      <c r="Q5144">
        <v>0.13877519999999999</v>
      </c>
      <c r="R5144">
        <v>4.78629E-2</v>
      </c>
      <c r="S5144">
        <v>3.0615230000000002</v>
      </c>
      <c r="T5144">
        <v>-0.1662141</v>
      </c>
      <c r="U5144">
        <v>-0.1065369</v>
      </c>
      <c r="V5144">
        <v>-0.1154134</v>
      </c>
      <c r="W5144">
        <v>0.14751889999999901</v>
      </c>
      <c r="X5144">
        <v>0.98230240000000002</v>
      </c>
      <c r="Y5144">
        <v>-3.3494889999999999E-2</v>
      </c>
      <c r="Z5144">
        <v>4.1517330000000003E-3</v>
      </c>
      <c r="AA5144">
        <v>0.99943020000000005</v>
      </c>
      <c r="AB5144">
        <v>27</v>
      </c>
      <c r="AC5144">
        <v>20.292300000000001</v>
      </c>
      <c r="AD5144">
        <v>-1.1098549043874</v>
      </c>
      <c r="AE5144">
        <v>-0.70114999999999805</v>
      </c>
      <c r="AF5144">
        <v>-0.68562011058684302</v>
      </c>
      <c r="AG5144">
        <v>-1.1098549043874</v>
      </c>
      <c r="AH5144">
        <v>20.232311211537201</v>
      </c>
      <c r="AI5144">
        <v>93.138047917647697</v>
      </c>
      <c r="AJ5144">
        <v>91.940861408936399</v>
      </c>
      <c r="AK5144">
        <v>20.274325384715802</v>
      </c>
      <c r="AL5144">
        <v>81.516829912733499</v>
      </c>
      <c r="AM5144">
        <v>96.701115513885995</v>
      </c>
      <c r="AN5144">
        <v>1.00000004190126</v>
      </c>
    </row>
    <row r="5145" spans="1:40" x14ac:dyDescent="0.25">
      <c r="A5145" t="str">
        <f>"20190304155520622"</f>
        <v>20190304155520622</v>
      </c>
      <c r="B5145" t="str">
        <f>"1551686120612758"</f>
        <v>1551686120612758</v>
      </c>
      <c r="C5145" t="s">
        <v>40</v>
      </c>
      <c r="D5145">
        <v>4.9870749999999999</v>
      </c>
      <c r="E5145">
        <v>0.52964460000000002</v>
      </c>
      <c r="F5145" t="s">
        <v>98</v>
      </c>
      <c r="G5145">
        <v>-232.40289999999999</v>
      </c>
      <c r="H5145" s="1">
        <v>-7.4902139999999996E-7</v>
      </c>
      <c r="I5145">
        <v>-63.131169999999997</v>
      </c>
      <c r="J5145">
        <v>-252.89840000000001</v>
      </c>
      <c r="K5145">
        <v>1.1098669999999999</v>
      </c>
      <c r="L5145">
        <v>-62.444240000000001</v>
      </c>
      <c r="M5145">
        <v>0.99763029999999997</v>
      </c>
      <c r="N5145">
        <v>-8.9178049999999991E-3</v>
      </c>
      <c r="O5145">
        <v>-6.8221699999999996E-2</v>
      </c>
      <c r="P5145">
        <v>0.98913150000000005</v>
      </c>
      <c r="Q5145">
        <v>0.1390924</v>
      </c>
      <c r="R5145">
        <v>4.7665409999999998E-2</v>
      </c>
      <c r="S5145">
        <v>3.0609280000000001</v>
      </c>
      <c r="T5145">
        <v>-0.16449449999999999</v>
      </c>
      <c r="U5145">
        <v>-0.1033936</v>
      </c>
      <c r="V5145">
        <v>-0.11508690000000001</v>
      </c>
      <c r="W5145">
        <v>0.14781929999999999</v>
      </c>
      <c r="X5145">
        <v>0.98229549999999999</v>
      </c>
      <c r="Y5145">
        <v>-3.437896E-2</v>
      </c>
      <c r="Z5145">
        <v>4.1272749999999997E-3</v>
      </c>
      <c r="AA5145">
        <v>0.99940030000000002</v>
      </c>
      <c r="AB5145">
        <v>27</v>
      </c>
      <c r="AC5145">
        <v>20.4955</v>
      </c>
      <c r="AD5145">
        <v>-1.1098677490214</v>
      </c>
      <c r="AE5145">
        <v>-0.68692999999999604</v>
      </c>
      <c r="AF5145">
        <v>-0.71088177995721402</v>
      </c>
      <c r="AG5145">
        <v>-1.1098677490214</v>
      </c>
      <c r="AH5145">
        <v>20.434754942313401</v>
      </c>
      <c r="AI5145">
        <v>93.106961128780497</v>
      </c>
      <c r="AJ5145">
        <v>91.992395167582004</v>
      </c>
      <c r="AK5145">
        <v>20.477215847809799</v>
      </c>
      <c r="AL5145">
        <v>81.499427070697095</v>
      </c>
      <c r="AM5145">
        <v>96.682376514016894</v>
      </c>
      <c r="AN5145">
        <v>0.99999999466217404</v>
      </c>
    </row>
    <row r="5146" spans="1:40" x14ac:dyDescent="0.25">
      <c r="A5146" t="str">
        <f>"20190304155520639"</f>
        <v>20190304155520639</v>
      </c>
      <c r="B5146" t="str">
        <f>"1551686120633255"</f>
        <v>1551686120633255</v>
      </c>
      <c r="C5146" t="s">
        <v>40</v>
      </c>
      <c r="D5146">
        <v>4.8797810000000004</v>
      </c>
      <c r="E5146">
        <v>0.52935889999999997</v>
      </c>
      <c r="F5146" t="s">
        <v>98</v>
      </c>
      <c r="G5146">
        <v>-231.63839999999999</v>
      </c>
      <c r="H5146" s="1">
        <v>-4.2977470000000002E-7</v>
      </c>
      <c r="I5146">
        <v>-63.163910000000001</v>
      </c>
      <c r="J5146">
        <v>-252.69710000000001</v>
      </c>
      <c r="K5146">
        <v>1.1098939999999999</v>
      </c>
      <c r="L5146">
        <v>-62.457819999999998</v>
      </c>
      <c r="M5146">
        <v>0.99764470000000005</v>
      </c>
      <c r="N5146">
        <v>-8.9055169999999999E-3</v>
      </c>
      <c r="O5146">
        <v>-6.801488E-2</v>
      </c>
      <c r="P5146">
        <v>0.98915540000000002</v>
      </c>
      <c r="Q5146">
        <v>0.1393953</v>
      </c>
      <c r="R5146">
        <v>4.6267240000000001E-2</v>
      </c>
      <c r="S5146">
        <v>3.0604399999999998</v>
      </c>
      <c r="T5146">
        <v>-0.15976879999999999</v>
      </c>
      <c r="U5146">
        <v>-0.103607199999999</v>
      </c>
      <c r="V5146">
        <v>-0.1135</v>
      </c>
      <c r="W5146">
        <v>0.14810409999999999</v>
      </c>
      <c r="X5146">
        <v>0.98243729999999996</v>
      </c>
      <c r="Y5146">
        <v>-3.4104910000000002E-2</v>
      </c>
      <c r="Z5146">
        <v>3.9798309999999996E-3</v>
      </c>
      <c r="AA5146">
        <v>0.99941029999999997</v>
      </c>
      <c r="AB5146">
        <v>27</v>
      </c>
      <c r="AC5146">
        <v>21.058700000000002</v>
      </c>
      <c r="AD5146">
        <v>-1.1098944297747</v>
      </c>
      <c r="AE5146">
        <v>-0.706089999999996</v>
      </c>
      <c r="AF5146">
        <v>-0.72589265373720002</v>
      </c>
      <c r="AG5146">
        <v>-1.1098944297747</v>
      </c>
      <c r="AH5146">
        <v>20.999689845849399</v>
      </c>
      <c r="AI5146">
        <v>93.023630355578703</v>
      </c>
      <c r="AJ5146">
        <v>91.979745060851201</v>
      </c>
      <c r="AK5146">
        <v>21.041524645611201</v>
      </c>
      <c r="AL5146">
        <v>81.482928197579199</v>
      </c>
      <c r="AM5146">
        <v>96.590108525751603</v>
      </c>
      <c r="AN5146">
        <v>1.0000000614340401</v>
      </c>
    </row>
    <row r="5147" spans="1:40" x14ac:dyDescent="0.25">
      <c r="A5147" t="str">
        <f>"20190304155520650"</f>
        <v>20190304155520650</v>
      </c>
      <c r="B5147" t="str">
        <f>"1551686120643014"</f>
        <v>1551686120643014</v>
      </c>
      <c r="C5147" t="s">
        <v>40</v>
      </c>
      <c r="D5147">
        <v>5.0284810000000002</v>
      </c>
      <c r="E5147">
        <v>0.52937209999999901</v>
      </c>
      <c r="F5147" t="s">
        <v>98</v>
      </c>
      <c r="G5147">
        <v>-230.7346</v>
      </c>
      <c r="H5147" s="1">
        <v>-5.4312519999999997E-8</v>
      </c>
      <c r="I5147">
        <v>-63.210019999999901</v>
      </c>
      <c r="J5147">
        <v>-252.54740000000001</v>
      </c>
      <c r="K5147">
        <v>1.1099190000000001</v>
      </c>
      <c r="L5147">
        <v>-62.4679</v>
      </c>
      <c r="M5147">
        <v>0.99765669999999995</v>
      </c>
      <c r="N5147">
        <v>-8.8975200000000008E-3</v>
      </c>
      <c r="O5147">
        <v>-6.7838179999999998E-2</v>
      </c>
      <c r="P5147">
        <v>0.98913870000000004</v>
      </c>
      <c r="Q5147">
        <v>0.13959679999999999</v>
      </c>
      <c r="R5147">
        <v>4.6015750000000001E-2</v>
      </c>
      <c r="S5147">
        <v>3.0596009999999998</v>
      </c>
      <c r="T5147">
        <v>-0.15461920000000001</v>
      </c>
      <c r="U5147">
        <v>-0.1047974</v>
      </c>
      <c r="V5147">
        <v>-0.11308319999999999</v>
      </c>
      <c r="W5147">
        <v>0.14829129999999999</v>
      </c>
      <c r="X5147">
        <v>0.98245700000000002</v>
      </c>
      <c r="Y5147">
        <v>-3.3539260000000001E-2</v>
      </c>
      <c r="Z5147">
        <v>3.8145060000000001E-3</v>
      </c>
      <c r="AA5147">
        <v>0.99943009999999999</v>
      </c>
      <c r="AB5147">
        <v>27</v>
      </c>
      <c r="AC5147">
        <v>21.812799999999999</v>
      </c>
      <c r="AD5147">
        <v>-1.1099190543125199</v>
      </c>
      <c r="AE5147">
        <v>-0.74211999999999201</v>
      </c>
      <c r="AF5147">
        <v>-0.73748164808553596</v>
      </c>
      <c r="AG5147">
        <v>-1.1099190543125199</v>
      </c>
      <c r="AH5147">
        <v>21.7566263735897</v>
      </c>
      <c r="AI5147">
        <v>92.918751525468494</v>
      </c>
      <c r="AJ5147">
        <v>91.941404556285804</v>
      </c>
      <c r="AK5147">
        <v>21.797398712882501</v>
      </c>
      <c r="AL5147">
        <v>81.472081611548901</v>
      </c>
      <c r="AM5147">
        <v>96.565989224618704</v>
      </c>
      <c r="AN5147">
        <v>0.99999993831346301</v>
      </c>
    </row>
    <row r="5148" spans="1:40" x14ac:dyDescent="0.25">
      <c r="A5148" t="str">
        <f>"20190304155520663"</f>
        <v>20190304155520663</v>
      </c>
      <c r="B5148" t="str">
        <f>"1551686120652775"</f>
        <v>1551686120652775</v>
      </c>
      <c r="C5148" t="s">
        <v>40</v>
      </c>
      <c r="D5148">
        <v>4.9078419999999996</v>
      </c>
      <c r="E5148">
        <v>0.52916839999999998</v>
      </c>
      <c r="F5148" t="s">
        <v>98</v>
      </c>
      <c r="G5148">
        <v>-230.1994</v>
      </c>
      <c r="H5148" s="1">
        <v>1.684798E-7</v>
      </c>
      <c r="I5148">
        <v>-63.235599999999998</v>
      </c>
      <c r="J5148">
        <v>-252.39750000000001</v>
      </c>
      <c r="K5148">
        <v>1.1099429999999999</v>
      </c>
      <c r="L5148">
        <v>-62.477939999999997</v>
      </c>
      <c r="M5148">
        <v>0.99766949999999999</v>
      </c>
      <c r="N5148">
        <v>-8.8900290000000007E-3</v>
      </c>
      <c r="O5148">
        <v>-6.764966E-2</v>
      </c>
      <c r="P5148">
        <v>0.98912940000000005</v>
      </c>
      <c r="Q5148">
        <v>0.1397796</v>
      </c>
      <c r="R5148">
        <v>4.5658549999999999E-2</v>
      </c>
      <c r="S5148">
        <v>3.0592959999999998</v>
      </c>
      <c r="T5148">
        <v>-0.15194059999999901</v>
      </c>
      <c r="U5148">
        <v>-0.1051025</v>
      </c>
      <c r="V5148">
        <v>-0.112549499999999</v>
      </c>
      <c r="W5148">
        <v>0.1484606</v>
      </c>
      <c r="X5148">
        <v>0.98249280000000005</v>
      </c>
      <c r="Y5148">
        <v>-3.3251969999999999E-2</v>
      </c>
      <c r="Z5148">
        <v>3.725361E-3</v>
      </c>
      <c r="AA5148">
        <v>0.99944010000000005</v>
      </c>
      <c r="AB5148">
        <v>28</v>
      </c>
      <c r="AC5148">
        <v>22.1981</v>
      </c>
      <c r="AD5148">
        <v>-1.1099428315202</v>
      </c>
      <c r="AE5148">
        <v>-0.757659999999994</v>
      </c>
      <c r="AF5148">
        <v>-0.74397124900087797</v>
      </c>
      <c r="AG5148">
        <v>-1.1099428315202</v>
      </c>
      <c r="AH5148">
        <v>22.1432032896608</v>
      </c>
      <c r="AI5148">
        <v>92.867971830353497</v>
      </c>
      <c r="AJ5148">
        <v>91.924309844147203</v>
      </c>
      <c r="AK5148">
        <v>22.183483005060999</v>
      </c>
      <c r="AL5148">
        <v>81.462273572853903</v>
      </c>
      <c r="AM5148">
        <v>96.535033447754998</v>
      </c>
      <c r="AN5148">
        <v>1.00000002087722</v>
      </c>
    </row>
    <row r="5149" spans="1:40" x14ac:dyDescent="0.25">
      <c r="A5149" t="str">
        <f>"20190304155520675"</f>
        <v>20190304155520675</v>
      </c>
      <c r="B5149" t="str">
        <f>"1551686120662534"</f>
        <v>1551686120662534</v>
      </c>
      <c r="C5149" t="s">
        <v>40</v>
      </c>
      <c r="D5149">
        <v>4.9318949999999999</v>
      </c>
      <c r="E5149">
        <v>0.52908469999999996</v>
      </c>
      <c r="F5149" t="s">
        <v>97</v>
      </c>
      <c r="G5149">
        <v>-229.89060000000001</v>
      </c>
      <c r="H5149" s="1">
        <v>-3.7569800000000001E-6</v>
      </c>
      <c r="I5149">
        <v>-63.244709999999998</v>
      </c>
      <c r="J5149">
        <v>-252.24930000000001</v>
      </c>
      <c r="K5149">
        <v>1.10998</v>
      </c>
      <c r="L5149">
        <v>-62.487760000000002</v>
      </c>
      <c r="M5149">
        <v>0.99768440000000003</v>
      </c>
      <c r="N5149">
        <v>-8.8837719999999998E-3</v>
      </c>
      <c r="O5149">
        <v>-6.7430589999999999E-2</v>
      </c>
      <c r="P5149">
        <v>0.9891276</v>
      </c>
      <c r="Q5149">
        <v>0.13994300000000001</v>
      </c>
      <c r="R5149">
        <v>4.5193659999999997E-2</v>
      </c>
      <c r="S5149">
        <v>3.059097</v>
      </c>
      <c r="T5149">
        <v>-0.1508622</v>
      </c>
      <c r="U5149">
        <v>-0.1042175</v>
      </c>
      <c r="V5149">
        <v>-0.1118803</v>
      </c>
      <c r="W5149">
        <v>0.14861009999999999</v>
      </c>
      <c r="X5149">
        <v>0.98254660000000005</v>
      </c>
      <c r="Y5149">
        <v>-3.3320750000000003E-2</v>
      </c>
      <c r="Z5149">
        <v>3.6895270000000002E-3</v>
      </c>
      <c r="AA5149">
        <v>0.99943789999999999</v>
      </c>
      <c r="AB5149">
        <v>28</v>
      </c>
      <c r="AC5149">
        <v>22.358699999999999</v>
      </c>
      <c r="AD5149">
        <v>-1.10998375698</v>
      </c>
      <c r="AE5149">
        <v>-0.75695000000000301</v>
      </c>
      <c r="AF5149">
        <v>-0.75064493788563103</v>
      </c>
      <c r="AG5149">
        <v>-1.10998375698</v>
      </c>
      <c r="AH5149">
        <v>22.303943879663201</v>
      </c>
      <c r="AI5149">
        <v>92.847436362460897</v>
      </c>
      <c r="AJ5149">
        <v>91.927576565322198</v>
      </c>
      <c r="AK5149">
        <v>22.344159065641701</v>
      </c>
      <c r="AL5149">
        <v>81.4536115230635</v>
      </c>
      <c r="AM5149">
        <v>96.496157736003099</v>
      </c>
      <c r="AN5149">
        <v>0.99999999226083003</v>
      </c>
    </row>
    <row r="5150" spans="1:40" x14ac:dyDescent="0.25">
      <c r="A5150" t="str">
        <f>"20190304155520688"</f>
        <v>20190304155520688</v>
      </c>
      <c r="B5150" t="str">
        <f>"1551686120683030"</f>
        <v>1551686120683030</v>
      </c>
      <c r="C5150" t="s">
        <v>40</v>
      </c>
      <c r="D5150">
        <v>4.8834679999999997</v>
      </c>
      <c r="E5150">
        <v>0.52859959999999995</v>
      </c>
      <c r="F5150" t="s">
        <v>97</v>
      </c>
      <c r="G5150">
        <v>-229.78620000000001</v>
      </c>
      <c r="H5150" s="1">
        <v>-3.7231049999999999E-6</v>
      </c>
      <c r="I5150">
        <v>-63.257280000000002</v>
      </c>
      <c r="J5150">
        <v>-252.08850000000001</v>
      </c>
      <c r="K5150">
        <v>1.110017</v>
      </c>
      <c r="L5150">
        <v>-62.498379999999997</v>
      </c>
      <c r="M5150">
        <v>0.99770199999999998</v>
      </c>
      <c r="N5150">
        <v>-8.8776469999999903E-3</v>
      </c>
      <c r="O5150">
        <v>-6.7171910000000001E-2</v>
      </c>
      <c r="P5150">
        <v>0.98909689999999995</v>
      </c>
      <c r="Q5150">
        <v>0.14021889999999901</v>
      </c>
      <c r="R5150">
        <v>4.5012459999999997E-2</v>
      </c>
      <c r="S5150">
        <v>3.0591430000000002</v>
      </c>
      <c r="T5150">
        <v>-0.1511632</v>
      </c>
      <c r="U5150">
        <v>-0.1047974</v>
      </c>
      <c r="V5150">
        <v>-0.1114551</v>
      </c>
      <c r="W5150">
        <v>0.14887129999999901</v>
      </c>
      <c r="X5150">
        <v>0.98255539999999997</v>
      </c>
      <c r="Y5150">
        <v>-3.2873300000000001E-2</v>
      </c>
      <c r="Z5150">
        <v>3.6745359999999999E-3</v>
      </c>
      <c r="AA5150">
        <v>0.99945280000000003</v>
      </c>
      <c r="AB5150">
        <v>28</v>
      </c>
      <c r="AC5150">
        <v>22.302299999999999</v>
      </c>
      <c r="AD5150">
        <v>-1.1100207231049899</v>
      </c>
      <c r="AE5150">
        <v>-0.75889999999999702</v>
      </c>
      <c r="AF5150">
        <v>-0.73913231234396204</v>
      </c>
      <c r="AG5150">
        <v>-1.1100207231049899</v>
      </c>
      <c r="AH5150">
        <v>22.247854325652401</v>
      </c>
      <c r="AI5150">
        <v>92.854739331645803</v>
      </c>
      <c r="AJ5150">
        <v>91.902816820918304</v>
      </c>
      <c r="AK5150">
        <v>22.287787792338701</v>
      </c>
      <c r="AL5150">
        <v>81.438477659725805</v>
      </c>
      <c r="AM5150">
        <v>96.471621527592006</v>
      </c>
      <c r="AN5150">
        <v>1.0000000086744201</v>
      </c>
    </row>
    <row r="5151" spans="1:40" x14ac:dyDescent="0.25">
      <c r="A5151" t="str">
        <f>"20190304155520702"</f>
        <v>20190304155520702</v>
      </c>
      <c r="B5151" t="str">
        <f>"1551686120692790"</f>
        <v>1551686120692790</v>
      </c>
      <c r="C5151" t="s">
        <v>40</v>
      </c>
      <c r="D5151">
        <v>4.8738919999999997</v>
      </c>
      <c r="E5151">
        <v>0.52841649999999996</v>
      </c>
      <c r="F5151" t="s">
        <v>97</v>
      </c>
      <c r="G5151">
        <v>-229.37899999999999</v>
      </c>
      <c r="H5151" s="1">
        <v>-3.5835160000000001E-6</v>
      </c>
      <c r="I5151">
        <v>-63.249679999999998</v>
      </c>
      <c r="J5151">
        <v>-251.9127</v>
      </c>
      <c r="K5151">
        <v>1.1100540000000001</v>
      </c>
      <c r="L5151">
        <v>-62.509950000000003</v>
      </c>
      <c r="M5151">
        <v>0.99772269999999996</v>
      </c>
      <c r="N5151">
        <v>-8.871716E-3</v>
      </c>
      <c r="O5151">
        <v>-6.6864199999999999E-2</v>
      </c>
      <c r="P5151">
        <v>0.98905679999999996</v>
      </c>
      <c r="Q5151">
        <v>0.140546</v>
      </c>
      <c r="R5151">
        <v>4.4874949999999997E-2</v>
      </c>
      <c r="S5151">
        <v>3.0588679999999999</v>
      </c>
      <c r="T5151">
        <v>-0.1495148</v>
      </c>
      <c r="U5151">
        <v>-0.1011963</v>
      </c>
      <c r="V5151">
        <v>-0.1110254</v>
      </c>
      <c r="W5151">
        <v>0.1491825</v>
      </c>
      <c r="X5151">
        <v>0.98255680000000001</v>
      </c>
      <c r="Y5151">
        <v>-3.3738619999999997E-2</v>
      </c>
      <c r="Z5151">
        <v>3.6430820000000002E-3</v>
      </c>
      <c r="AA5151">
        <v>0.99942399999999998</v>
      </c>
      <c r="AB5151">
        <v>28</v>
      </c>
      <c r="AC5151">
        <v>22.5336999999999</v>
      </c>
      <c r="AD5151">
        <v>-1.110057583516</v>
      </c>
      <c r="AE5151">
        <v>-0.739730000000001</v>
      </c>
      <c r="AF5151">
        <v>-0.76682372731854898</v>
      </c>
      <c r="AG5151">
        <v>-1.110057583516</v>
      </c>
      <c r="AH5151">
        <v>22.478240462032801</v>
      </c>
      <c r="AI5151">
        <v>92.825537029236301</v>
      </c>
      <c r="AJ5151">
        <v>91.953833152143801</v>
      </c>
      <c r="AK5151">
        <v>22.518693140066301</v>
      </c>
      <c r="AL5151">
        <v>81.420445446732401</v>
      </c>
      <c r="AM5151">
        <v>96.446872421420593</v>
      </c>
      <c r="AN5151">
        <v>0.99999996148882397</v>
      </c>
    </row>
    <row r="5152" spans="1:40" x14ac:dyDescent="0.25">
      <c r="A5152" t="str">
        <f>"20190304155520715"</f>
        <v>20190304155520715</v>
      </c>
      <c r="B5152" t="str">
        <f>"1551686120713287"</f>
        <v>1551686120713287</v>
      </c>
      <c r="C5152" t="s">
        <v>40</v>
      </c>
      <c r="D5152">
        <v>4.9544449999999998</v>
      </c>
      <c r="E5152">
        <v>0.52826470000000003</v>
      </c>
      <c r="F5152" t="s">
        <v>97</v>
      </c>
      <c r="G5152">
        <v>-228.91640000000001</v>
      </c>
      <c r="H5152" s="1">
        <v>-3.4276750000000002E-6</v>
      </c>
      <c r="I5152">
        <v>-63.261360000000003</v>
      </c>
      <c r="J5152">
        <v>-251.74799999999999</v>
      </c>
      <c r="K5152">
        <v>1.1100909999999999</v>
      </c>
      <c r="L5152">
        <v>-62.520659999999999</v>
      </c>
      <c r="M5152">
        <v>0.99774470000000004</v>
      </c>
      <c r="N5152">
        <v>-8.8672360000000006E-3</v>
      </c>
      <c r="O5152">
        <v>-6.6534579999999996E-2</v>
      </c>
      <c r="P5152">
        <v>0.98910050000000005</v>
      </c>
      <c r="Q5152">
        <v>0.14046989999999901</v>
      </c>
      <c r="R5152">
        <v>4.4140230000000003E-2</v>
      </c>
      <c r="S5152">
        <v>3.0587309999999999</v>
      </c>
      <c r="T5152">
        <v>-0.14764849999999999</v>
      </c>
      <c r="U5152">
        <v>-9.9945069999999997E-2</v>
      </c>
      <c r="V5152">
        <v>-0.109983399999999</v>
      </c>
      <c r="W5152">
        <v>0.14909430000000001</v>
      </c>
      <c r="X5152">
        <v>0.98268739999999999</v>
      </c>
      <c r="Y5152">
        <v>-3.3818189999999998E-2</v>
      </c>
      <c r="Z5152">
        <v>3.581898E-3</v>
      </c>
      <c r="AA5152">
        <v>0.99942160000000002</v>
      </c>
      <c r="AB5152">
        <v>28</v>
      </c>
      <c r="AC5152">
        <v>22.831599999999899</v>
      </c>
      <c r="AD5152">
        <v>-1.110094427675</v>
      </c>
      <c r="AE5152">
        <v>-0.74069999999999603</v>
      </c>
      <c r="AF5152">
        <v>-0.77825424297603096</v>
      </c>
      <c r="AG5152">
        <v>-1.110094427675</v>
      </c>
      <c r="AH5152">
        <v>22.776501027230101</v>
      </c>
      <c r="AI5152">
        <v>92.788682304715607</v>
      </c>
      <c r="AJ5152">
        <v>91.956988121797707</v>
      </c>
      <c r="AK5152">
        <v>22.816813720335201</v>
      </c>
      <c r="AL5152">
        <v>81.425556356984501</v>
      </c>
      <c r="AM5152">
        <v>96.386027489508095</v>
      </c>
      <c r="AN5152">
        <v>0.99999999234340498</v>
      </c>
    </row>
    <row r="5153" spans="1:40" x14ac:dyDescent="0.25">
      <c r="A5153" t="str">
        <f>"20190304155520726"</f>
        <v>20190304155520726</v>
      </c>
      <c r="B5153" t="str">
        <f>"1551686120723047"</f>
        <v>1551686120723047</v>
      </c>
      <c r="C5153" t="s">
        <v>40</v>
      </c>
      <c r="D5153">
        <v>4.8618040000000002</v>
      </c>
      <c r="E5153">
        <v>0.52809019999999995</v>
      </c>
      <c r="F5153" t="s">
        <v>97</v>
      </c>
      <c r="G5153">
        <v>-228.7775</v>
      </c>
      <c r="H5153" s="1">
        <v>-3.3821389999999998E-6</v>
      </c>
      <c r="I5153">
        <v>-63.274259999999998</v>
      </c>
      <c r="J5153">
        <v>-251.60919999999999</v>
      </c>
      <c r="K5153">
        <v>1.1101209999999999</v>
      </c>
      <c r="L5153">
        <v>-62.52966</v>
      </c>
      <c r="M5153">
        <v>0.99776450000000005</v>
      </c>
      <c r="N5153">
        <v>-8.8638699999999994E-3</v>
      </c>
      <c r="O5153">
        <v>-6.6240179999999996E-2</v>
      </c>
      <c r="P5153">
        <v>0.98906740000000004</v>
      </c>
      <c r="Q5153">
        <v>0.14065839999999999</v>
      </c>
      <c r="R5153">
        <v>4.4286720000000002E-2</v>
      </c>
      <c r="S5153">
        <v>3.0585170000000002</v>
      </c>
      <c r="T5153">
        <v>-0.14780929999999901</v>
      </c>
      <c r="U5153">
        <v>-0.10034179999999999</v>
      </c>
      <c r="V5153">
        <v>-0.1098483</v>
      </c>
      <c r="W5153">
        <v>0.1492716</v>
      </c>
      <c r="X5153">
        <v>0.98267559999999998</v>
      </c>
      <c r="Y5153">
        <v>-3.3392070000000003E-2</v>
      </c>
      <c r="Z5153">
        <v>3.5629619999999998E-3</v>
      </c>
      <c r="AA5153">
        <v>0.99943599999999999</v>
      </c>
      <c r="AB5153">
        <v>28</v>
      </c>
      <c r="AC5153">
        <v>22.831699999999898</v>
      </c>
      <c r="AD5153">
        <v>-1.1101243821390001</v>
      </c>
      <c r="AE5153">
        <v>-0.74459999999999804</v>
      </c>
      <c r="AF5153">
        <v>-0.76765767841092303</v>
      </c>
      <c r="AG5153">
        <v>-1.1101243821390001</v>
      </c>
      <c r="AH5153">
        <v>22.7770851329499</v>
      </c>
      <c r="AI5153">
        <v>92.788730022628798</v>
      </c>
      <c r="AJ5153">
        <v>91.9303129692602</v>
      </c>
      <c r="AK5153">
        <v>22.817039282270802</v>
      </c>
      <c r="AL5153">
        <v>81.415282892725102</v>
      </c>
      <c r="AM5153">
        <v>96.3783237481545</v>
      </c>
      <c r="AN5153">
        <v>0.99999999720740496</v>
      </c>
    </row>
    <row r="5154" spans="1:40" x14ac:dyDescent="0.25">
      <c r="A5154" t="str">
        <f>"20190304155520738"</f>
        <v>20190304155520738</v>
      </c>
      <c r="B5154" t="str">
        <f>"1551686120732806"</f>
        <v>1551686120732806</v>
      </c>
      <c r="C5154" t="s">
        <v>40</v>
      </c>
      <c r="D5154">
        <v>4.8854050000000004</v>
      </c>
      <c r="E5154">
        <v>0.52786889999999997</v>
      </c>
      <c r="F5154" t="s">
        <v>97</v>
      </c>
      <c r="G5154">
        <v>-228.4401</v>
      </c>
      <c r="H5154" s="1">
        <v>-3.2675320000000001E-6</v>
      </c>
      <c r="I5154">
        <v>-63.275930000000002</v>
      </c>
      <c r="J5154">
        <v>-251.46539999999999</v>
      </c>
      <c r="K5154">
        <v>1.11015</v>
      </c>
      <c r="L5154">
        <v>-62.538879999999999</v>
      </c>
      <c r="M5154">
        <v>0.99778579999999994</v>
      </c>
      <c r="N5154">
        <v>-8.8608130000000004E-3</v>
      </c>
      <c r="O5154">
        <v>-6.5916829999999996E-2</v>
      </c>
      <c r="P5154">
        <v>0.98908110000000005</v>
      </c>
      <c r="Q5154">
        <v>0.14056959999999999</v>
      </c>
      <c r="R5154">
        <v>4.426281E-2</v>
      </c>
      <c r="S5154">
        <v>3.0584259999999999</v>
      </c>
      <c r="T5154">
        <v>-0.14654139999999999</v>
      </c>
      <c r="U5154">
        <v>-9.8510739999999999E-2</v>
      </c>
      <c r="V5154">
        <v>-0.1095177</v>
      </c>
      <c r="W5154">
        <v>0.1491721</v>
      </c>
      <c r="X5154">
        <v>0.98272760000000003</v>
      </c>
      <c r="Y5154">
        <v>-3.3666580000000002E-2</v>
      </c>
      <c r="Z5154">
        <v>3.5241959999999998E-3</v>
      </c>
      <c r="AA5154">
        <v>0.99942690000000001</v>
      </c>
      <c r="AB5154">
        <v>28</v>
      </c>
      <c r="AC5154">
        <v>23.025299999999898</v>
      </c>
      <c r="AD5154">
        <v>-1.1101532675320001</v>
      </c>
      <c r="AE5154">
        <v>-0.73704999999999599</v>
      </c>
      <c r="AF5154">
        <v>-0.78055480842706104</v>
      </c>
      <c r="AG5154">
        <v>-1.1101532675320001</v>
      </c>
      <c r="AH5154">
        <v>22.9704613809504</v>
      </c>
      <c r="AI5154">
        <v>92.765335683206601</v>
      </c>
      <c r="AJ5154">
        <v>91.946207947613999</v>
      </c>
      <c r="AK5154">
        <v>23.010515034220798</v>
      </c>
      <c r="AL5154">
        <v>81.421048302968799</v>
      </c>
      <c r="AM5154">
        <v>96.358951271350094</v>
      </c>
      <c r="AN5154">
        <v>0.99999998891672903</v>
      </c>
    </row>
    <row r="5155" spans="1:40" x14ac:dyDescent="0.25">
      <c r="A5155" t="str">
        <f>"20190304155520750"</f>
        <v>20190304155520750</v>
      </c>
      <c r="B5155" t="str">
        <f>"1551686120742566"</f>
        <v>1551686120742566</v>
      </c>
      <c r="C5155" t="s">
        <v>40</v>
      </c>
      <c r="D5155">
        <v>4.8983930000000004</v>
      </c>
      <c r="E5155">
        <v>0.52765530000000005</v>
      </c>
      <c r="F5155" t="s">
        <v>97</v>
      </c>
      <c r="G5155">
        <v>-228.5034</v>
      </c>
      <c r="H5155" s="1">
        <v>-3.2877400000000001E-6</v>
      </c>
      <c r="I5155">
        <v>-63.266100000000002</v>
      </c>
      <c r="J5155">
        <v>-251.32429999999999</v>
      </c>
      <c r="K5155">
        <v>1.1101780000000001</v>
      </c>
      <c r="L5155">
        <v>-62.547879999999999</v>
      </c>
      <c r="M5155">
        <v>0.99780829999999998</v>
      </c>
      <c r="N5155">
        <v>-8.8583399999999993E-3</v>
      </c>
      <c r="O5155">
        <v>-6.5575620000000001E-2</v>
      </c>
      <c r="P5155">
        <v>0.98903660000000004</v>
      </c>
      <c r="Q5155">
        <v>0.1407746</v>
      </c>
      <c r="R5155">
        <v>4.4603249999999997E-2</v>
      </c>
      <c r="S5155">
        <v>3.0584560000000001</v>
      </c>
      <c r="T5155">
        <v>-0.14786839999999901</v>
      </c>
      <c r="U5155">
        <v>-9.6862790000000004E-2</v>
      </c>
      <c r="V5155">
        <v>-0.1095285</v>
      </c>
      <c r="W5155">
        <v>0.1493669</v>
      </c>
      <c r="X5155">
        <v>0.98269680000000004</v>
      </c>
      <c r="Y5155">
        <v>-3.3861179999999998E-2</v>
      </c>
      <c r="Z5155">
        <v>3.5522829999999998E-3</v>
      </c>
      <c r="AA5155">
        <v>0.99942019999999998</v>
      </c>
      <c r="AB5155">
        <v>28</v>
      </c>
      <c r="AC5155">
        <v>22.820899999999899</v>
      </c>
      <c r="AD5155">
        <v>-1.1101812877399999</v>
      </c>
      <c r="AE5155">
        <v>-0.71821999999999497</v>
      </c>
      <c r="AF5155">
        <v>-0.77803989829934195</v>
      </c>
      <c r="AG5155">
        <v>-1.1101812877399999</v>
      </c>
      <c r="AH5155">
        <v>22.765053921444402</v>
      </c>
      <c r="AI5155">
        <v>92.790299569829699</v>
      </c>
      <c r="AJ5155">
        <v>91.957432561986593</v>
      </c>
      <c r="AK5155">
        <v>22.805383763955099</v>
      </c>
      <c r="AL5155">
        <v>81.409760563542207</v>
      </c>
      <c r="AM5155">
        <v>96.359770907341499</v>
      </c>
      <c r="AN5155">
        <v>0.99999998192904904</v>
      </c>
    </row>
    <row r="5156" spans="1:40" x14ac:dyDescent="0.25">
      <c r="A5156" t="str">
        <f>"20190304155520761"</f>
        <v>20190304155520761</v>
      </c>
      <c r="B5156" t="str">
        <f>"1551686120753302"</f>
        <v>1551686120753302</v>
      </c>
      <c r="C5156" t="s">
        <v>40</v>
      </c>
      <c r="D5156">
        <v>5.0036690000000004</v>
      </c>
      <c r="E5156">
        <v>0.52733149999999995</v>
      </c>
      <c r="F5156" t="s">
        <v>97</v>
      </c>
      <c r="G5156">
        <v>-228.39099999999999</v>
      </c>
      <c r="H5156" s="1">
        <v>-3.247545E-6</v>
      </c>
      <c r="I5156">
        <v>-63.251510000000003</v>
      </c>
      <c r="J5156">
        <v>-251.18680000000001</v>
      </c>
      <c r="K5156">
        <v>1.1102050000000001</v>
      </c>
      <c r="L5156">
        <v>-62.556609999999999</v>
      </c>
      <c r="M5156">
        <v>0.99783080000000002</v>
      </c>
      <c r="N5156">
        <v>-8.8560930000000006E-3</v>
      </c>
      <c r="O5156">
        <v>-6.5235150000000006E-2</v>
      </c>
      <c r="P5156">
        <v>0.98903609999999997</v>
      </c>
      <c r="Q5156">
        <v>0.14070869999999999</v>
      </c>
      <c r="R5156">
        <v>4.482204E-2</v>
      </c>
      <c r="S5156">
        <v>3.0585779999999998</v>
      </c>
      <c r="T5156">
        <v>-0.1480629</v>
      </c>
      <c r="U5156">
        <v>-9.3841549999999996E-2</v>
      </c>
      <c r="V5156">
        <v>-0.109421</v>
      </c>
      <c r="W5156">
        <v>0.14929139999999999</v>
      </c>
      <c r="X5156">
        <v>0.98272029999999999</v>
      </c>
      <c r="Y5156">
        <v>-3.4506769999999999E-2</v>
      </c>
      <c r="Z5156">
        <v>3.562609E-3</v>
      </c>
      <c r="AA5156">
        <v>0.99939809999999996</v>
      </c>
      <c r="AB5156">
        <v>28</v>
      </c>
      <c r="AC5156">
        <v>22.7958</v>
      </c>
      <c r="AD5156">
        <v>-1.1102082475449999</v>
      </c>
      <c r="AE5156">
        <v>-0.69489999999999696</v>
      </c>
      <c r="AF5156">
        <v>-0.79184933700147997</v>
      </c>
      <c r="AG5156">
        <v>-1.1102082475449999</v>
      </c>
      <c r="AH5156">
        <v>22.7386888018261</v>
      </c>
      <c r="AI5156">
        <v>92.793535304924902</v>
      </c>
      <c r="AJ5156">
        <v>91.994455300208699</v>
      </c>
      <c r="AK5156">
        <v>22.779542492151101</v>
      </c>
      <c r="AL5156">
        <v>81.414135887331895</v>
      </c>
      <c r="AM5156">
        <v>96.353429299153802</v>
      </c>
      <c r="AN5156">
        <v>1.0000000326935199</v>
      </c>
    </row>
    <row r="5157" spans="1:40" x14ac:dyDescent="0.25">
      <c r="A5157" t="str">
        <f>"20190304155520771"</f>
        <v>20190304155520771</v>
      </c>
      <c r="B5157" t="str">
        <f>"1551686120763063"</f>
        <v>1551686120763063</v>
      </c>
      <c r="C5157" t="s">
        <v>40</v>
      </c>
      <c r="D5157">
        <v>4.8680099999999999</v>
      </c>
      <c r="E5157">
        <v>0.52710630000000003</v>
      </c>
      <c r="F5157" t="s">
        <v>97</v>
      </c>
      <c r="G5157">
        <v>-228.3554</v>
      </c>
      <c r="H5157" s="1">
        <v>-3.2330140000000002E-6</v>
      </c>
      <c r="I5157">
        <v>-63.233440000000002</v>
      </c>
      <c r="J5157">
        <v>-251.05179999999999</v>
      </c>
      <c r="K5157">
        <v>1.110225</v>
      </c>
      <c r="L5157">
        <v>-62.565089999999998</v>
      </c>
      <c r="M5157">
        <v>0.99785420000000002</v>
      </c>
      <c r="N5157">
        <v>-8.8544780000000007E-3</v>
      </c>
      <c r="O5157">
        <v>-6.4875160000000001E-2</v>
      </c>
      <c r="P5157">
        <v>0.98902460000000003</v>
      </c>
      <c r="Q5157">
        <v>0.1407079</v>
      </c>
      <c r="R5157">
        <v>4.507477E-2</v>
      </c>
      <c r="S5157">
        <v>3.0585019999999998</v>
      </c>
      <c r="T5157">
        <v>-0.14872349999999901</v>
      </c>
      <c r="U5157">
        <v>-9.0667719999999993E-2</v>
      </c>
      <c r="V5157">
        <v>-0.1093261</v>
      </c>
      <c r="W5157">
        <v>0.14928339999999901</v>
      </c>
      <c r="X5157">
        <v>0.9827321</v>
      </c>
      <c r="Y5157">
        <v>-3.5179960000000003E-2</v>
      </c>
      <c r="Z5157">
        <v>3.5857160000000001E-3</v>
      </c>
      <c r="AA5157">
        <v>0.9993746</v>
      </c>
      <c r="AB5157">
        <v>28</v>
      </c>
      <c r="AC5157">
        <v>22.696399999999901</v>
      </c>
      <c r="AD5157">
        <v>-1.1102282330140001</v>
      </c>
      <c r="AE5157">
        <v>-0.668349999999996</v>
      </c>
      <c r="AF5157">
        <v>-0.80362695702933196</v>
      </c>
      <c r="AG5157">
        <v>-1.1102282330140001</v>
      </c>
      <c r="AH5157">
        <v>22.637823380442601</v>
      </c>
      <c r="AI5157">
        <v>92.805946354519193</v>
      </c>
      <c r="AJ5157">
        <v>92.033106497879999</v>
      </c>
      <c r="AK5157">
        <v>22.679274027612902</v>
      </c>
      <c r="AL5157">
        <v>81.414599641361406</v>
      </c>
      <c r="AM5157">
        <v>96.347888419731802</v>
      </c>
      <c r="AN5157">
        <v>1.0000000550135799</v>
      </c>
    </row>
    <row r="5158" spans="1:40" x14ac:dyDescent="0.25">
      <c r="A5158" t="str">
        <f>"20190304155520783"</f>
        <v>20190304155520783</v>
      </c>
      <c r="B5158" t="str">
        <f>"1551686120772823"</f>
        <v>1551686120772823</v>
      </c>
      <c r="C5158" t="s">
        <v>40</v>
      </c>
      <c r="D5158">
        <v>4.8637040000000002</v>
      </c>
      <c r="E5158">
        <v>0.52691100000000002</v>
      </c>
      <c r="F5158" t="s">
        <v>97</v>
      </c>
      <c r="G5158">
        <v>-228.38679999999999</v>
      </c>
      <c r="H5158" s="1">
        <v>-3.2415100000000001E-6</v>
      </c>
      <c r="I5158">
        <v>-63.217059999999996</v>
      </c>
      <c r="J5158">
        <v>-250.9117</v>
      </c>
      <c r="K5158">
        <v>1.110247</v>
      </c>
      <c r="L5158">
        <v>-62.57385</v>
      </c>
      <c r="M5158">
        <v>0.99787870000000001</v>
      </c>
      <c r="N5158">
        <v>-8.8529119999999992E-3</v>
      </c>
      <c r="O5158">
        <v>-6.4497170000000006E-2</v>
      </c>
      <c r="P5158">
        <v>0.98897449999999998</v>
      </c>
      <c r="Q5158">
        <v>0.14096979999999901</v>
      </c>
      <c r="R5158">
        <v>4.535786E-2</v>
      </c>
      <c r="S5158">
        <v>3.0586090000000001</v>
      </c>
      <c r="T5158">
        <v>-0.14982319999999999</v>
      </c>
      <c r="U5158">
        <v>-8.7982179999999993E-2</v>
      </c>
      <c r="V5158">
        <v>-0.1092407</v>
      </c>
      <c r="W5158">
        <v>0.14953749999999999</v>
      </c>
      <c r="X5158">
        <v>0.98270290000000005</v>
      </c>
      <c r="Y5158">
        <v>-3.5677170000000001E-2</v>
      </c>
      <c r="Z5158">
        <v>3.614557E-3</v>
      </c>
      <c r="AA5158">
        <v>0.99935680000000005</v>
      </c>
      <c r="AB5158">
        <v>28</v>
      </c>
      <c r="AC5158">
        <v>22.524899999999999</v>
      </c>
      <c r="AD5158">
        <v>-1.11025024151</v>
      </c>
      <c r="AE5158">
        <v>-0.64320999999999595</v>
      </c>
      <c r="AF5158">
        <v>-0.80901456647702696</v>
      </c>
      <c r="AG5158">
        <v>-1.11025024151</v>
      </c>
      <c r="AH5158">
        <v>22.464949838633199</v>
      </c>
      <c r="AI5158">
        <v>92.827508169435404</v>
      </c>
      <c r="AJ5158">
        <v>92.062461652402803</v>
      </c>
      <c r="AK5158">
        <v>22.506912969571101</v>
      </c>
      <c r="AL5158">
        <v>81.399874964487395</v>
      </c>
      <c r="AM5158">
        <v>96.343157141131201</v>
      </c>
      <c r="AN5158">
        <v>0.99999999205557499</v>
      </c>
    </row>
    <row r="5159" spans="1:40" x14ac:dyDescent="0.25">
      <c r="A5159" t="str">
        <f>"20190304155520794"</f>
        <v>20190304155520794</v>
      </c>
      <c r="B5159" t="str">
        <f>"1551686120782583"</f>
        <v>1551686120782583</v>
      </c>
      <c r="C5159" t="s">
        <v>40</v>
      </c>
      <c r="D5159">
        <v>4.8723190000000001</v>
      </c>
      <c r="E5159">
        <v>0.52670709999999998</v>
      </c>
      <c r="F5159" t="s">
        <v>97</v>
      </c>
      <c r="G5159">
        <v>-228.23560000000001</v>
      </c>
      <c r="H5159" s="1">
        <v>-3.1887679999999998E-6</v>
      </c>
      <c r="I5159">
        <v>-63.207340000000002</v>
      </c>
      <c r="J5159">
        <v>-250.7714</v>
      </c>
      <c r="K5159">
        <v>1.1102650000000001</v>
      </c>
      <c r="L5159">
        <v>-62.582520000000002</v>
      </c>
      <c r="M5159">
        <v>0.99790420000000002</v>
      </c>
      <c r="N5159">
        <v>-8.8518780000000005E-3</v>
      </c>
      <c r="O5159">
        <v>-6.4101340000000007E-2</v>
      </c>
      <c r="P5159">
        <v>0.98890109999999998</v>
      </c>
      <c r="Q5159">
        <v>0.1412822</v>
      </c>
      <c r="R5159">
        <v>4.5979069999999997E-2</v>
      </c>
      <c r="S5159">
        <v>3.058716</v>
      </c>
      <c r="T5159">
        <v>-0.1497589</v>
      </c>
      <c r="U5159">
        <v>-8.5449220000000006E-2</v>
      </c>
      <c r="V5159">
        <v>-0.10947369999999999</v>
      </c>
      <c r="W5159">
        <v>0.14984249999999999</v>
      </c>
      <c r="X5159">
        <v>0.98263049999999996</v>
      </c>
      <c r="Y5159">
        <v>-3.6108469999999997E-2</v>
      </c>
      <c r="Z5159">
        <v>3.6094450000000002E-3</v>
      </c>
      <c r="AA5159">
        <v>0.99934140000000005</v>
      </c>
      <c r="AB5159">
        <v>28</v>
      </c>
      <c r="AC5159">
        <v>22.535799999999899</v>
      </c>
      <c r="AD5159">
        <v>-1.1102681887679999</v>
      </c>
      <c r="AE5159">
        <v>-0.62482000000000604</v>
      </c>
      <c r="AF5159">
        <v>-0.81910995575606704</v>
      </c>
      <c r="AG5159">
        <v>-1.1102681887679999</v>
      </c>
      <c r="AH5159">
        <v>22.474992545550101</v>
      </c>
      <c r="AI5159">
        <v>92.826248173931603</v>
      </c>
      <c r="AJ5159">
        <v>92.087243440403498</v>
      </c>
      <c r="AK5159">
        <v>22.517302824564499</v>
      </c>
      <c r="AL5159">
        <v>81.382200532695904</v>
      </c>
      <c r="AM5159">
        <v>96.357040380667598</v>
      </c>
      <c r="AN5159">
        <v>0.99999998266409396</v>
      </c>
    </row>
    <row r="5160" spans="1:40" x14ac:dyDescent="0.25">
      <c r="A5160" t="str">
        <f>"20190304155520805"</f>
        <v>20190304155520805</v>
      </c>
      <c r="B5160" t="str">
        <f>"1551686120803078"</f>
        <v>1551686120803078</v>
      </c>
      <c r="C5160" t="s">
        <v>40</v>
      </c>
      <c r="D5160">
        <v>4.8575239999999997</v>
      </c>
      <c r="E5160">
        <v>0.52643289999999998</v>
      </c>
      <c r="F5160" t="s">
        <v>97</v>
      </c>
      <c r="G5160">
        <v>-228.0566</v>
      </c>
      <c r="H5160" s="1">
        <v>-3.12567E-6</v>
      </c>
      <c r="I5160">
        <v>-63.191000000000003</v>
      </c>
      <c r="J5160">
        <v>-250.64400000000001</v>
      </c>
      <c r="K5160">
        <v>1.110287</v>
      </c>
      <c r="L5160">
        <v>-62.590359999999997</v>
      </c>
      <c r="M5160">
        <v>0.99792749999999997</v>
      </c>
      <c r="N5160">
        <v>-8.8510759999999994E-3</v>
      </c>
      <c r="O5160">
        <v>-6.3737379999999996E-2</v>
      </c>
      <c r="P5160">
        <v>0.98887239999999998</v>
      </c>
      <c r="Q5160">
        <v>0.1414096</v>
      </c>
      <c r="R5160">
        <v>4.6205000000000003E-2</v>
      </c>
      <c r="S5160">
        <v>3.0588380000000002</v>
      </c>
      <c r="T5160">
        <v>-0.1495117</v>
      </c>
      <c r="U5160">
        <v>-8.1939699999999893E-2</v>
      </c>
      <c r="V5160">
        <v>-0.1093442</v>
      </c>
      <c r="W5160">
        <v>0.14996519999999999</v>
      </c>
      <c r="X5160">
        <v>0.98262620000000001</v>
      </c>
      <c r="Y5160">
        <v>-3.6890369999999999E-2</v>
      </c>
      <c r="Z5160">
        <v>3.6108249999999998E-3</v>
      </c>
      <c r="AA5160">
        <v>0.9993128</v>
      </c>
      <c r="AB5160">
        <v>28</v>
      </c>
      <c r="AC5160">
        <v>22.587399999999999</v>
      </c>
      <c r="AD5160">
        <v>-1.11029012567</v>
      </c>
      <c r="AE5160">
        <v>-0.60064000000000495</v>
      </c>
      <c r="AF5160">
        <v>-0.83827535618806204</v>
      </c>
      <c r="AG5160">
        <v>-1.11029012567</v>
      </c>
      <c r="AH5160">
        <v>22.525366015244298</v>
      </c>
      <c r="AI5160">
        <v>92.819914010782895</v>
      </c>
      <c r="AJ5160">
        <v>92.131263292023206</v>
      </c>
      <c r="AK5160">
        <v>22.568286684121102</v>
      </c>
      <c r="AL5160">
        <v>81.375089990615507</v>
      </c>
      <c r="AM5160">
        <v>96.349609444639498</v>
      </c>
      <c r="AN5160">
        <v>0.99999998210555896</v>
      </c>
    </row>
    <row r="5161" spans="1:40" x14ac:dyDescent="0.25">
      <c r="A5161" t="str">
        <f>"20190304155520816"</f>
        <v>20190304155520816</v>
      </c>
      <c r="B5161" t="str">
        <f>"1551686120812839"</f>
        <v>1551686120812839</v>
      </c>
      <c r="C5161" t="s">
        <v>40</v>
      </c>
      <c r="D5161">
        <v>4.8556089999999896</v>
      </c>
      <c r="E5161">
        <v>0.52629749999999997</v>
      </c>
      <c r="F5161" t="s">
        <v>97</v>
      </c>
      <c r="G5161">
        <v>-228.25489999999999</v>
      </c>
      <c r="H5161" s="1">
        <v>-3.1902200000000001E-6</v>
      </c>
      <c r="I5161">
        <v>-63.169069999999998</v>
      </c>
      <c r="J5161">
        <v>-250.4933</v>
      </c>
      <c r="K5161">
        <v>1.1103000000000001</v>
      </c>
      <c r="L5161">
        <v>-62.599580000000003</v>
      </c>
      <c r="M5161">
        <v>0.99795560000000005</v>
      </c>
      <c r="N5161">
        <v>-8.8505019999999997E-3</v>
      </c>
      <c r="O5161">
        <v>-6.3297000000000006E-2</v>
      </c>
      <c r="P5161">
        <v>0.98883129999999997</v>
      </c>
      <c r="Q5161">
        <v>0.14156450000000001</v>
      </c>
      <c r="R5161">
        <v>4.6607669999999997E-2</v>
      </c>
      <c r="S5161">
        <v>3.0591430000000002</v>
      </c>
      <c r="T5161">
        <v>-0.15170500000000001</v>
      </c>
      <c r="U5161">
        <v>-7.9071039999999995E-2</v>
      </c>
      <c r="V5161">
        <v>-0.10931490000000001</v>
      </c>
      <c r="W5161">
        <v>0.15011550000000001</v>
      </c>
      <c r="X5161">
        <v>0.98260650000000005</v>
      </c>
      <c r="Y5161">
        <v>-3.7384899999999999E-2</v>
      </c>
      <c r="Z5161">
        <v>3.6658720000000001E-3</v>
      </c>
      <c r="AA5161">
        <v>0.99929420000000002</v>
      </c>
      <c r="AB5161">
        <v>28</v>
      </c>
      <c r="AC5161">
        <v>22.238399999999999</v>
      </c>
      <c r="AD5161">
        <v>-1.11030319022</v>
      </c>
      <c r="AE5161">
        <v>-0.56948999999999395</v>
      </c>
      <c r="AF5161">
        <v>-0.83724538789333303</v>
      </c>
      <c r="AG5161">
        <v>-1.11030319022</v>
      </c>
      <c r="AH5161">
        <v>22.174611825584599</v>
      </c>
      <c r="AI5161">
        <v>92.864420822545597</v>
      </c>
      <c r="AJ5161">
        <v>92.162285932106002</v>
      </c>
      <c r="AK5161">
        <v>22.2181719011515</v>
      </c>
      <c r="AL5161">
        <v>81.366379749181107</v>
      </c>
      <c r="AM5161">
        <v>96.348048115701303</v>
      </c>
      <c r="AN5161">
        <v>0.99999997227225401</v>
      </c>
    </row>
    <row r="5162" spans="1:40" x14ac:dyDescent="0.25">
      <c r="A5162" t="str">
        <f>"20190304155520829"</f>
        <v>20190304155520829</v>
      </c>
      <c r="B5162" t="str">
        <f>"1551686120822599"</f>
        <v>1551686120822599</v>
      </c>
      <c r="C5162" t="s">
        <v>40</v>
      </c>
      <c r="D5162">
        <v>4.6599120000000003</v>
      </c>
      <c r="E5162">
        <v>0.52638850000000004</v>
      </c>
      <c r="F5162" t="s">
        <v>97</v>
      </c>
      <c r="G5162">
        <v>-228.12270000000001</v>
      </c>
      <c r="H5162" s="1">
        <v>-3.1441149999999999E-6</v>
      </c>
      <c r="I5162">
        <v>-63.160820000000001</v>
      </c>
      <c r="J5162">
        <v>-250.33580000000001</v>
      </c>
      <c r="K5162">
        <v>1.1103099999999999</v>
      </c>
      <c r="L5162">
        <v>-62.609099999999998</v>
      </c>
      <c r="M5162">
        <v>0.99798500000000001</v>
      </c>
      <c r="N5162">
        <v>-8.8501980000000001E-3</v>
      </c>
      <c r="O5162">
        <v>-6.2831269999999995E-2</v>
      </c>
      <c r="P5162">
        <v>0.98875040000000003</v>
      </c>
      <c r="Q5162">
        <v>0.14194409999999999</v>
      </c>
      <c r="R5162">
        <v>4.7166270000000003E-2</v>
      </c>
      <c r="S5162">
        <v>3.0592350000000001</v>
      </c>
      <c r="T5162">
        <v>-0.15183650000000001</v>
      </c>
      <c r="U5162">
        <v>-7.6751710000000001E-2</v>
      </c>
      <c r="V5162">
        <v>-0.1094136</v>
      </c>
      <c r="W5162">
        <v>0.15049079999999901</v>
      </c>
      <c r="X5162">
        <v>0.98253820000000003</v>
      </c>
      <c r="Y5162">
        <v>-3.7676199999999903E-2</v>
      </c>
      <c r="Z5162">
        <v>3.65892E-3</v>
      </c>
      <c r="AA5162">
        <v>0.99928329999999999</v>
      </c>
      <c r="AB5162">
        <v>28</v>
      </c>
      <c r="AC5162">
        <v>22.213100000000001</v>
      </c>
      <c r="AD5162">
        <v>-1.110313144115</v>
      </c>
      <c r="AE5162">
        <v>-0.55171999999999599</v>
      </c>
      <c r="AF5162">
        <v>-0.84299713428562595</v>
      </c>
      <c r="AG5162">
        <v>-1.110313144115</v>
      </c>
      <c r="AH5162">
        <v>22.148570513071402</v>
      </c>
      <c r="AI5162">
        <v>92.867775774559306</v>
      </c>
      <c r="AJ5162">
        <v>92.179683557988497</v>
      </c>
      <c r="AK5162">
        <v>22.192399942748501</v>
      </c>
      <c r="AL5162">
        <v>81.344630373298898</v>
      </c>
      <c r="AM5162">
        <v>96.354170950655401</v>
      </c>
      <c r="AN5162">
        <v>1.0000000656044099</v>
      </c>
    </row>
    <row r="5163" spans="1:40" x14ac:dyDescent="0.25">
      <c r="A5163" t="str">
        <f>"20190304155520840"</f>
        <v>20190304155520840</v>
      </c>
      <c r="B5163" t="str">
        <f>"1551686120833335"</f>
        <v>1551686120833335</v>
      </c>
      <c r="C5163" t="s">
        <v>40</v>
      </c>
      <c r="D5163">
        <v>4.8961990000000002</v>
      </c>
      <c r="E5163">
        <v>0.52611779999999997</v>
      </c>
      <c r="F5163" t="s">
        <v>97</v>
      </c>
      <c r="G5163">
        <v>-227.8219</v>
      </c>
      <c r="H5163" s="1">
        <v>-3.0427110000000002E-6</v>
      </c>
      <c r="I5163">
        <v>-63.167850000000001</v>
      </c>
      <c r="J5163">
        <v>-250.19220000000001</v>
      </c>
      <c r="K5163">
        <v>1.110322</v>
      </c>
      <c r="L5163">
        <v>-62.617739999999998</v>
      </c>
      <c r="M5163">
        <v>0.99801189999999995</v>
      </c>
      <c r="N5163">
        <v>-8.8500769999999996E-3</v>
      </c>
      <c r="O5163">
        <v>-6.2403350000000003E-2</v>
      </c>
      <c r="P5163">
        <v>0.98873330000000004</v>
      </c>
      <c r="Q5163">
        <v>0.1418951</v>
      </c>
      <c r="R5163">
        <v>4.7671659999999998E-2</v>
      </c>
      <c r="S5163">
        <v>3.059402</v>
      </c>
      <c r="T5163">
        <v>-0.15087990000000001</v>
      </c>
      <c r="U5163">
        <v>-7.5927729999999999E-2</v>
      </c>
      <c r="V5163">
        <v>-0.10949830000000001</v>
      </c>
      <c r="W5163">
        <v>0.1504385</v>
      </c>
      <c r="X5163">
        <v>0.98253670000000004</v>
      </c>
      <c r="Y5163">
        <v>-3.7520079999999997E-2</v>
      </c>
      <c r="Z5163">
        <v>3.61145E-3</v>
      </c>
      <c r="AA5163">
        <v>0.99928930000000005</v>
      </c>
      <c r="AB5163">
        <v>28</v>
      </c>
      <c r="AC5163">
        <v>22.3703</v>
      </c>
      <c r="AD5163">
        <v>-1.1103250427110001</v>
      </c>
      <c r="AE5163">
        <v>-0.55010999999999599</v>
      </c>
      <c r="AF5163">
        <v>-0.84491817958415805</v>
      </c>
      <c r="AG5163">
        <v>-1.1103250427110001</v>
      </c>
      <c r="AH5163">
        <v>22.3061087803143</v>
      </c>
      <c r="AI5163">
        <v>92.847605541739696</v>
      </c>
      <c r="AJ5163">
        <v>92.1692314702224</v>
      </c>
      <c r="AK5163">
        <v>22.349702399581901</v>
      </c>
      <c r="AL5163">
        <v>81.347660820602997</v>
      </c>
      <c r="AM5163">
        <v>96.359059233850303</v>
      </c>
      <c r="AN5163">
        <v>0.99999999341601498</v>
      </c>
    </row>
    <row r="5164" spans="1:40" x14ac:dyDescent="0.25">
      <c r="A5164" t="str">
        <f>"20190304155520851"</f>
        <v>20190304155520851</v>
      </c>
      <c r="B5164" t="str">
        <f>"1551686120843347"</f>
        <v>1551686120843347</v>
      </c>
      <c r="C5164" t="s">
        <v>40</v>
      </c>
      <c r="D5164">
        <v>4.917732</v>
      </c>
      <c r="E5164">
        <v>0.52611779999999997</v>
      </c>
      <c r="F5164" t="s">
        <v>97</v>
      </c>
      <c r="G5164">
        <v>-227.8169</v>
      </c>
      <c r="H5164" s="1">
        <v>-3.0383050000000001E-6</v>
      </c>
      <c r="I5164">
        <v>-63.147590000000001</v>
      </c>
      <c r="J5164">
        <v>-250.0658</v>
      </c>
      <c r="K5164">
        <v>1.1103259999999999</v>
      </c>
      <c r="L5164">
        <v>-62.625269999999901</v>
      </c>
      <c r="M5164">
        <v>0.99803569999999997</v>
      </c>
      <c r="N5164">
        <v>-8.8502500000000005E-3</v>
      </c>
      <c r="O5164">
        <v>-6.2023630000000003E-2</v>
      </c>
      <c r="P5164">
        <v>0.98871030000000004</v>
      </c>
      <c r="Q5164">
        <v>0.14191599999999999</v>
      </c>
      <c r="R5164">
        <v>4.8086299999999998E-2</v>
      </c>
      <c r="S5164">
        <v>3.0594640000000002</v>
      </c>
      <c r="T5164">
        <v>-0.15181929999999999</v>
      </c>
      <c r="U5164">
        <v>-7.2448730000000003E-2</v>
      </c>
      <c r="V5164">
        <v>-0.10953830000000001</v>
      </c>
      <c r="W5164">
        <v>0.1504588</v>
      </c>
      <c r="X5164">
        <v>0.98252919999999999</v>
      </c>
      <c r="Y5164">
        <v>-3.8273830000000002E-2</v>
      </c>
      <c r="Z5164">
        <v>3.6429019999999999E-3</v>
      </c>
      <c r="AA5164">
        <v>0.9992607</v>
      </c>
      <c r="AB5164">
        <v>28</v>
      </c>
      <c r="AC5164">
        <v>22.2488999999999</v>
      </c>
      <c r="AD5164">
        <v>-1.110329038305</v>
      </c>
      <c r="AE5164">
        <v>-0.522320000000007</v>
      </c>
      <c r="AF5164">
        <v>-0.85656484479426698</v>
      </c>
      <c r="AG5164">
        <v>-1.110329038305</v>
      </c>
      <c r="AH5164">
        <v>22.183240982075301</v>
      </c>
      <c r="AI5164">
        <v>92.8632816573257</v>
      </c>
      <c r="AJ5164">
        <v>92.211272067101902</v>
      </c>
      <c r="AK5164">
        <v>22.227521552693801</v>
      </c>
      <c r="AL5164">
        <v>81.346484899335195</v>
      </c>
      <c r="AM5164">
        <v>96.361411334724906</v>
      </c>
      <c r="AN5164">
        <v>1.0000000592584799</v>
      </c>
    </row>
    <row r="5165" spans="1:40" x14ac:dyDescent="0.25">
      <c r="A5165" t="str">
        <f>"20190304155520862"</f>
        <v>20190304155520862</v>
      </c>
      <c r="B5165" t="str">
        <f>"1551686120853107"</f>
        <v>1551686120853107</v>
      </c>
      <c r="C5165" t="s">
        <v>40</v>
      </c>
      <c r="D5165">
        <v>4.8196839999999996</v>
      </c>
      <c r="E5165">
        <v>0.4962336</v>
      </c>
      <c r="F5165" t="s">
        <v>97</v>
      </c>
      <c r="G5165">
        <v>-227.68700000000001</v>
      </c>
      <c r="H5165" s="1">
        <v>-2.9937779999999998E-6</v>
      </c>
      <c r="I5165">
        <v>-63.145159999999997</v>
      </c>
      <c r="J5165">
        <v>-249.92089999999999</v>
      </c>
      <c r="K5165">
        <v>1.110331</v>
      </c>
      <c r="L5165">
        <v>-62.633879999999998</v>
      </c>
      <c r="M5165">
        <v>0.99806249999999996</v>
      </c>
      <c r="N5165">
        <v>-8.850498E-3</v>
      </c>
      <c r="O5165">
        <v>-6.1587879999999998E-2</v>
      </c>
      <c r="P5165">
        <v>0.98867910000000003</v>
      </c>
      <c r="Q5165">
        <v>0.14204820000000001</v>
      </c>
      <c r="R5165">
        <v>4.8333950000000001E-2</v>
      </c>
      <c r="S5165">
        <v>3.0594790000000001</v>
      </c>
      <c r="T5165">
        <v>-0.15179709999999999</v>
      </c>
      <c r="U5165">
        <v>-7.1075440000000004E-2</v>
      </c>
      <c r="V5165">
        <v>-0.1093561</v>
      </c>
      <c r="W5165">
        <v>0.1505898</v>
      </c>
      <c r="X5165">
        <v>0.98252930000000005</v>
      </c>
      <c r="Y5165">
        <v>-3.8286340000000002E-2</v>
      </c>
      <c r="Z5165">
        <v>3.624974E-3</v>
      </c>
      <c r="AA5165">
        <v>0.99926020000000004</v>
      </c>
      <c r="AB5165">
        <v>28</v>
      </c>
      <c r="AC5165">
        <v>22.233899999999899</v>
      </c>
      <c r="AD5165">
        <v>-1.1103339937779999</v>
      </c>
      <c r="AE5165">
        <v>-0.51127999999999196</v>
      </c>
      <c r="AF5165">
        <v>-0.85694695650543895</v>
      </c>
      <c r="AG5165">
        <v>-1.1103339937779999</v>
      </c>
      <c r="AH5165">
        <v>22.167924203110999</v>
      </c>
      <c r="AI5165">
        <v>92.865264647358998</v>
      </c>
      <c r="AJ5165">
        <v>92.213784555087798</v>
      </c>
      <c r="AK5165">
        <v>22.2122502943506</v>
      </c>
      <c r="AL5165">
        <v>81.3388915636843</v>
      </c>
      <c r="AM5165">
        <v>96.350915999960904</v>
      </c>
      <c r="AN5165">
        <v>0.99999993491486705</v>
      </c>
    </row>
    <row r="5166" spans="1:40" x14ac:dyDescent="0.25">
      <c r="A5166" t="str">
        <f>"20190304155520874"</f>
        <v>20190304155520874</v>
      </c>
      <c r="B5166" t="str">
        <f>"1551686120862868"</f>
        <v>1551686120862868</v>
      </c>
      <c r="C5166" t="s">
        <v>40</v>
      </c>
      <c r="D5166">
        <v>4.8025650000000004</v>
      </c>
      <c r="E5166">
        <v>0.4916719</v>
      </c>
      <c r="F5166" t="s">
        <v>97</v>
      </c>
      <c r="G5166">
        <v>-228.4239</v>
      </c>
      <c r="H5166" s="1">
        <v>-2.9692540000000001E-6</v>
      </c>
      <c r="I5166">
        <v>-61.451250000000002</v>
      </c>
      <c r="J5166">
        <v>-249.7697</v>
      </c>
      <c r="K5166">
        <v>1.11032999999999</v>
      </c>
      <c r="L5166">
        <v>-62.64273</v>
      </c>
      <c r="M5166">
        <v>0.99809040000000004</v>
      </c>
      <c r="N5166">
        <v>-8.8510700000000008E-3</v>
      </c>
      <c r="O5166">
        <v>-6.1133430000000002E-2</v>
      </c>
      <c r="P5166">
        <v>0.98866679999999996</v>
      </c>
      <c r="Q5166">
        <v>0.14198160000000001</v>
      </c>
      <c r="R5166">
        <v>4.8779250000000003E-2</v>
      </c>
      <c r="S5166">
        <v>3.0487820000000001</v>
      </c>
      <c r="T5166">
        <v>-0.15747149999999999</v>
      </c>
      <c r="U5166">
        <v>0.1677246</v>
      </c>
      <c r="V5166">
        <v>-0.10935309999999999</v>
      </c>
      <c r="W5166">
        <v>0.15052289999999999</v>
      </c>
      <c r="X5166">
        <v>0.98253999999999997</v>
      </c>
      <c r="Y5166">
        <v>-0.1156354</v>
      </c>
      <c r="Z5166">
        <v>6.1071449999999996E-3</v>
      </c>
      <c r="AA5166">
        <v>0.99327299999999996</v>
      </c>
      <c r="AB5166">
        <v>28</v>
      </c>
      <c r="AC5166">
        <v>21.345800000000001</v>
      </c>
      <c r="AD5166">
        <v>-1.1103329692539901</v>
      </c>
      <c r="AE5166">
        <v>1.1914800000000001</v>
      </c>
      <c r="AF5166">
        <v>-2.4875346700588401</v>
      </c>
      <c r="AG5166">
        <v>-1.1103329692539901</v>
      </c>
      <c r="AH5166">
        <v>21.175911672846699</v>
      </c>
      <c r="AI5166">
        <v>92.981025245779307</v>
      </c>
      <c r="AJ5166">
        <v>96.699831243120499</v>
      </c>
      <c r="AK5166">
        <v>21.3504075655141</v>
      </c>
      <c r="AL5166">
        <v>81.342769831439398</v>
      </c>
      <c r="AM5166">
        <v>96.350674601397003</v>
      </c>
      <c r="AN5166">
        <v>1.0000000477519999</v>
      </c>
    </row>
    <row r="5167" spans="1:40" x14ac:dyDescent="0.25">
      <c r="A5167" t="str">
        <f>"20190304155520888"</f>
        <v>20190304155520888</v>
      </c>
      <c r="B5167" t="str">
        <f>"1551686120883363"</f>
        <v>1551686120883363</v>
      </c>
      <c r="C5167" t="s">
        <v>40</v>
      </c>
      <c r="D5167">
        <v>4.815143</v>
      </c>
      <c r="E5167">
        <v>0.48879499999999998</v>
      </c>
      <c r="F5167" t="s">
        <v>97</v>
      </c>
      <c r="G5167">
        <v>-228.81559999999999</v>
      </c>
      <c r="H5167" s="1">
        <v>-3.0878849999999999E-6</v>
      </c>
      <c r="I5167">
        <v>-61.229039999999998</v>
      </c>
      <c r="J5167">
        <v>-249.60220000000001</v>
      </c>
      <c r="K5167">
        <v>1.110333</v>
      </c>
      <c r="L5167">
        <v>-62.652500000000003</v>
      </c>
      <c r="M5167">
        <v>0.99812109999999998</v>
      </c>
      <c r="N5167">
        <v>-8.8518739999999992E-3</v>
      </c>
      <c r="O5167">
        <v>-6.0630360000000001E-2</v>
      </c>
      <c r="P5167">
        <v>0.98861330000000003</v>
      </c>
      <c r="Q5167">
        <v>0.1421444</v>
      </c>
      <c r="R5167">
        <v>4.9387029999999998E-2</v>
      </c>
      <c r="S5167">
        <v>3.0474239999999999</v>
      </c>
      <c r="T5167">
        <v>-0.16147899999999901</v>
      </c>
      <c r="U5167">
        <v>0.2055969</v>
      </c>
      <c r="V5167">
        <v>-0.1094623</v>
      </c>
      <c r="W5167">
        <v>0.15068500000000001</v>
      </c>
      <c r="X5167">
        <v>0.98250289999999996</v>
      </c>
      <c r="Y5167">
        <v>-0.12741739999999999</v>
      </c>
      <c r="Z5167">
        <v>6.6059450000000002E-3</v>
      </c>
      <c r="AA5167">
        <v>0.99182720000000002</v>
      </c>
      <c r="AB5167">
        <v>28</v>
      </c>
      <c r="AC5167">
        <v>20.7866</v>
      </c>
      <c r="AD5167">
        <v>-1.1103360878849999</v>
      </c>
      <c r="AE5167">
        <v>1.42345999999999</v>
      </c>
      <c r="AF5167">
        <v>-2.6735965070887202</v>
      </c>
      <c r="AG5167">
        <v>-1.1103360878849999</v>
      </c>
      <c r="AH5167">
        <v>20.603534434946098</v>
      </c>
      <c r="AI5167">
        <v>93.059119039119295</v>
      </c>
      <c r="AJ5167">
        <v>97.393613180264097</v>
      </c>
      <c r="AK5167">
        <v>20.805926937360599</v>
      </c>
      <c r="AL5167">
        <v>81.333374233035201</v>
      </c>
      <c r="AM5167">
        <v>96.357202572053893</v>
      </c>
      <c r="AN5167">
        <v>0.99999995642734896</v>
      </c>
    </row>
    <row r="5168" spans="1:40" x14ac:dyDescent="0.25">
      <c r="A5168" t="str">
        <f>"20190304155520902"</f>
        <v>20190304155520902</v>
      </c>
      <c r="B5168" t="str">
        <f>"1551686120893123"</f>
        <v>1551686120893123</v>
      </c>
      <c r="C5168" t="s">
        <v>40</v>
      </c>
      <c r="D5168">
        <v>4.7602529999999996</v>
      </c>
      <c r="E5168">
        <v>0.48843140000000002</v>
      </c>
      <c r="F5168" t="s">
        <v>97</v>
      </c>
      <c r="G5168">
        <v>-229.238</v>
      </c>
      <c r="H5168" s="1">
        <v>-3.2430780000000002E-6</v>
      </c>
      <c r="I5168">
        <v>-61.111960000000003</v>
      </c>
      <c r="J5168">
        <v>-249.4187</v>
      </c>
      <c r="K5168">
        <v>1.1103350000000001</v>
      </c>
      <c r="L5168">
        <v>-62.663150000000002</v>
      </c>
      <c r="M5168">
        <v>0.9981544</v>
      </c>
      <c r="N5168">
        <v>-8.8529779999999992E-3</v>
      </c>
      <c r="O5168">
        <v>-6.0081030000000001E-2</v>
      </c>
      <c r="P5168">
        <v>0.98855590000000004</v>
      </c>
      <c r="Q5168">
        <v>0.14239299999999999</v>
      </c>
      <c r="R5168">
        <v>4.9819269999999999E-2</v>
      </c>
      <c r="S5168">
        <v>3.0469360000000001</v>
      </c>
      <c r="T5168">
        <v>-0.16613149999999999</v>
      </c>
      <c r="U5168">
        <v>0.23049929999999999</v>
      </c>
      <c r="V5168">
        <v>-0.1093499</v>
      </c>
      <c r="W5168">
        <v>0.15093389999999901</v>
      </c>
      <c r="X5168">
        <v>0.98247720000000005</v>
      </c>
      <c r="Y5168">
        <v>-0.1349156</v>
      </c>
      <c r="Z5168">
        <v>7.0070890000000002E-3</v>
      </c>
      <c r="AA5168">
        <v>0.9908323</v>
      </c>
      <c r="AB5168">
        <v>28</v>
      </c>
      <c r="AC5168">
        <v>20.180700000000002</v>
      </c>
      <c r="AD5168">
        <v>-1.110338243078</v>
      </c>
      <c r="AE5168">
        <v>1.5511900000000001</v>
      </c>
      <c r="AF5168">
        <v>-2.7526283740676298</v>
      </c>
      <c r="AG5168">
        <v>-1.110338243078</v>
      </c>
      <c r="AH5168">
        <v>19.990879516434099</v>
      </c>
      <c r="AI5168">
        <v>93.149414471644405</v>
      </c>
      <c r="AJ5168">
        <v>97.839997196367804</v>
      </c>
      <c r="AK5168">
        <v>20.210024191483502</v>
      </c>
      <c r="AL5168">
        <v>81.318948227336804</v>
      </c>
      <c r="AM5168">
        <v>96.350892886969902</v>
      </c>
      <c r="AN5168">
        <v>0.99999994565952799</v>
      </c>
    </row>
    <row r="5169" spans="1:40" x14ac:dyDescent="0.25">
      <c r="A5169" t="str">
        <f>"20190304155520917"</f>
        <v>20190304155520917</v>
      </c>
      <c r="B5169" t="str">
        <f>"1551686120912643"</f>
        <v>1551686120912643</v>
      </c>
      <c r="C5169" t="s">
        <v>40</v>
      </c>
      <c r="D5169">
        <v>4.7546089999999896</v>
      </c>
      <c r="E5169">
        <v>0.4876973</v>
      </c>
      <c r="F5169" t="s">
        <v>97</v>
      </c>
      <c r="G5169">
        <v>-228.7835</v>
      </c>
      <c r="H5169" s="1">
        <v>-3.0392620000000001E-6</v>
      </c>
      <c r="I5169">
        <v>-61.072330000000001</v>
      </c>
      <c r="J5169">
        <v>-249.22669999999999</v>
      </c>
      <c r="K5169">
        <v>1.1103339999999999</v>
      </c>
      <c r="L5169">
        <v>-62.674100000000003</v>
      </c>
      <c r="M5169">
        <v>0.99818859999999998</v>
      </c>
      <c r="N5169">
        <v>-8.8544569999999996E-3</v>
      </c>
      <c r="O5169">
        <v>-5.9509659999999999E-2</v>
      </c>
      <c r="P5169">
        <v>0.98843829999999999</v>
      </c>
      <c r="Q5169">
        <v>0.14279169999999999</v>
      </c>
      <c r="R5169">
        <v>5.0995199999999997E-2</v>
      </c>
      <c r="S5169">
        <v>3.0465089999999999</v>
      </c>
      <c r="T5169">
        <v>-0.1639264</v>
      </c>
      <c r="U5169">
        <v>0.2348633</v>
      </c>
      <c r="V5169">
        <v>-0.109955399999999</v>
      </c>
      <c r="W5169">
        <v>0.15133170000000001</v>
      </c>
      <c r="X5169">
        <v>0.98234840000000001</v>
      </c>
      <c r="Y5169">
        <v>-0.1357767</v>
      </c>
      <c r="Z5169">
        <v>6.9171069999999996E-3</v>
      </c>
      <c r="AA5169">
        <v>0.99071529999999997</v>
      </c>
      <c r="AB5169">
        <v>28</v>
      </c>
      <c r="AC5169">
        <v>20.443199999999901</v>
      </c>
      <c r="AD5169">
        <v>-1.110337039262</v>
      </c>
      <c r="AE5169">
        <v>1.6017699999999899</v>
      </c>
      <c r="AF5169">
        <v>-2.8073155532206902</v>
      </c>
      <c r="AG5169">
        <v>-1.110337039262</v>
      </c>
      <c r="AH5169">
        <v>20.252263520945199</v>
      </c>
      <c r="AI5169">
        <v>93.108455439747104</v>
      </c>
      <c r="AJ5169">
        <v>97.891899798767895</v>
      </c>
      <c r="AK5169">
        <v>20.476035912205301</v>
      </c>
      <c r="AL5169">
        <v>81.295890947893199</v>
      </c>
      <c r="AM5169">
        <v>96.3866001412419</v>
      </c>
      <c r="AN5169">
        <v>0.99999992619830202</v>
      </c>
    </row>
    <row r="5170" spans="1:40" x14ac:dyDescent="0.25">
      <c r="A5170" t="str">
        <f>"20190304155520939"</f>
        <v>20190304155520939</v>
      </c>
      <c r="B5170" t="str">
        <f>"1551686120933139"</f>
        <v>1551686120933139</v>
      </c>
      <c r="C5170" t="s">
        <v>40</v>
      </c>
      <c r="D5170">
        <v>4.8447829999999996</v>
      </c>
      <c r="E5170">
        <v>0.48677140000000002</v>
      </c>
      <c r="F5170" t="s">
        <v>97</v>
      </c>
      <c r="G5170">
        <v>-228.45519999999999</v>
      </c>
      <c r="H5170" s="1">
        <v>-2.88425E-6</v>
      </c>
      <c r="I5170">
        <v>-61.008609999999997</v>
      </c>
      <c r="J5170">
        <v>-248.95169999999999</v>
      </c>
      <c r="K5170">
        <v>1.1103350000000001</v>
      </c>
      <c r="L5170">
        <v>-62.689639999999997</v>
      </c>
      <c r="M5170">
        <v>0.99823680000000004</v>
      </c>
      <c r="N5170">
        <v>-8.856905E-3</v>
      </c>
      <c r="O5170">
        <v>-5.86951E-2</v>
      </c>
      <c r="P5170">
        <v>0.98831170000000002</v>
      </c>
      <c r="Q5170">
        <v>0.14312739999999999</v>
      </c>
      <c r="R5170">
        <v>5.248879E-2</v>
      </c>
      <c r="S5170">
        <v>3.0460050000000001</v>
      </c>
      <c r="T5170">
        <v>-0.1628233</v>
      </c>
      <c r="U5170">
        <v>0.24423220000000001</v>
      </c>
      <c r="V5170">
        <v>-0.11063770000000001</v>
      </c>
      <c r="W5170">
        <v>0.15166679999999999</v>
      </c>
      <c r="X5170">
        <v>0.98222019999999999</v>
      </c>
      <c r="Y5170">
        <v>-0.13800989999999999</v>
      </c>
      <c r="Z5170">
        <v>6.9049019999999897E-3</v>
      </c>
      <c r="AA5170">
        <v>0.99040680000000003</v>
      </c>
      <c r="AB5170">
        <v>28</v>
      </c>
      <c r="AC5170">
        <v>20.496500000000001</v>
      </c>
      <c r="AD5170">
        <v>-1.11033788425</v>
      </c>
      <c r="AE5170">
        <v>1.68103</v>
      </c>
      <c r="AF5170">
        <v>-2.8728483800431199</v>
      </c>
      <c r="AG5170">
        <v>-1.11033788425</v>
      </c>
      <c r="AH5170">
        <v>20.3033040514647</v>
      </c>
      <c r="AI5170">
        <v>93.099435041646601</v>
      </c>
      <c r="AJ5170">
        <v>98.053693239236196</v>
      </c>
      <c r="AK5170">
        <v>20.535585295728499</v>
      </c>
      <c r="AL5170">
        <v>81.276467751803395</v>
      </c>
      <c r="AM5170">
        <v>96.426731765154898</v>
      </c>
      <c r="AN5170">
        <v>1.0000000200857799</v>
      </c>
    </row>
    <row r="5171" spans="1:40" x14ac:dyDescent="0.25">
      <c r="A5171" t="str">
        <f>"20190304155520950"</f>
        <v>20190304155520950</v>
      </c>
      <c r="B5171" t="str">
        <f>"1551686120942563"</f>
        <v>1551686120942563</v>
      </c>
      <c r="C5171" t="s">
        <v>40</v>
      </c>
      <c r="D5171">
        <v>4.739973</v>
      </c>
      <c r="E5171">
        <v>0.48662640000000001</v>
      </c>
      <c r="F5171" t="s">
        <v>97</v>
      </c>
      <c r="G5171">
        <v>-228.04990000000001</v>
      </c>
      <c r="H5171" s="1">
        <v>-2.6934330000000002E-6</v>
      </c>
      <c r="I5171">
        <v>-60.932470000000002</v>
      </c>
      <c r="J5171">
        <v>-248.8126</v>
      </c>
      <c r="K5171">
        <v>1.1103350000000001</v>
      </c>
      <c r="L5171">
        <v>-62.697420000000001</v>
      </c>
      <c r="M5171">
        <v>0.99826079999999995</v>
      </c>
      <c r="N5171">
        <v>-8.858388E-3</v>
      </c>
      <c r="O5171">
        <v>-5.8283590000000003E-2</v>
      </c>
      <c r="P5171">
        <v>0.98821619999999999</v>
      </c>
      <c r="Q5171">
        <v>0.14353109999999999</v>
      </c>
      <c r="R5171">
        <v>5.3177259999999997E-2</v>
      </c>
      <c r="S5171">
        <v>3.0453030000000001</v>
      </c>
      <c r="T5171">
        <v>-0.16177139999999901</v>
      </c>
      <c r="U5171">
        <v>0.25601200000000002</v>
      </c>
      <c r="V5171">
        <v>-0.1109146</v>
      </c>
      <c r="W5171">
        <v>0.15207029999999999</v>
      </c>
      <c r="X5171">
        <v>0.98212650000000001</v>
      </c>
      <c r="Y5171">
        <v>-0.14142270000000001</v>
      </c>
      <c r="Z5171">
        <v>6.9491500000000003E-3</v>
      </c>
      <c r="AA5171">
        <v>0.9899249</v>
      </c>
      <c r="AB5171">
        <v>28</v>
      </c>
      <c r="AC5171">
        <v>20.762699999999899</v>
      </c>
      <c r="AD5171">
        <v>-1.110337693433</v>
      </c>
      <c r="AE5171">
        <v>1.76494999999999</v>
      </c>
      <c r="AF5171">
        <v>-2.9637066642730701</v>
      </c>
      <c r="AG5171">
        <v>-1.110337693433</v>
      </c>
      <c r="AH5171">
        <v>20.566136360381499</v>
      </c>
      <c r="AI5171">
        <v>93.058784785963198</v>
      </c>
      <c r="AJ5171">
        <v>98.200221456275003</v>
      </c>
      <c r="AK5171">
        <v>20.8082284632575</v>
      </c>
      <c r="AL5171">
        <v>81.253076918891097</v>
      </c>
      <c r="AM5171">
        <v>96.443290777083504</v>
      </c>
      <c r="AN5171">
        <v>0.99999994331874797</v>
      </c>
    </row>
    <row r="5172" spans="1:40" x14ac:dyDescent="0.25">
      <c r="A5172" t="str">
        <f>"20190304155520962"</f>
        <v>20190304155520962</v>
      </c>
      <c r="B5172" t="str">
        <f>"1551686120953279"</f>
        <v>1551686120953279</v>
      </c>
      <c r="C5172" t="s">
        <v>40</v>
      </c>
      <c r="D5172">
        <v>4.7010719999999999</v>
      </c>
      <c r="E5172">
        <v>0.48650379999999899</v>
      </c>
      <c r="F5172" t="s">
        <v>97</v>
      </c>
      <c r="G5172">
        <v>-227.73320000000001</v>
      </c>
      <c r="H5172" s="1">
        <v>-2.550992E-6</v>
      </c>
      <c r="I5172">
        <v>-60.902819999999998</v>
      </c>
      <c r="J5172">
        <v>-248.66890000000001</v>
      </c>
      <c r="K5172">
        <v>1.1103369999999999</v>
      </c>
      <c r="L5172">
        <v>-62.705379999999998</v>
      </c>
      <c r="M5172">
        <v>0.99828570000000005</v>
      </c>
      <c r="N5172">
        <v>-8.85997E-3</v>
      </c>
      <c r="O5172">
        <v>-5.7858119999999999E-2</v>
      </c>
      <c r="P5172">
        <v>0.98813609999999996</v>
      </c>
      <c r="Q5172">
        <v>0.1437997</v>
      </c>
      <c r="R5172">
        <v>5.3935700000000003E-2</v>
      </c>
      <c r="S5172">
        <v>3.0451199999999998</v>
      </c>
      <c r="T5172">
        <v>-0.16039900000000001</v>
      </c>
      <c r="U5172">
        <v>0.2592468</v>
      </c>
      <c r="V5172">
        <v>-0.1112495</v>
      </c>
      <c r="W5172">
        <v>0.1523389</v>
      </c>
      <c r="X5172">
        <v>0.98204709999999995</v>
      </c>
      <c r="Y5172">
        <v>-0.14205409999999999</v>
      </c>
      <c r="Z5172">
        <v>6.8922159999999996E-3</v>
      </c>
      <c r="AA5172">
        <v>0.98983489999999996</v>
      </c>
      <c r="AB5172">
        <v>28</v>
      </c>
      <c r="AC5172">
        <v>20.935700000000001</v>
      </c>
      <c r="AD5172">
        <v>-1.110339550992</v>
      </c>
      <c r="AE5172">
        <v>1.8025599999999999</v>
      </c>
      <c r="AF5172">
        <v>-3.00250443541902</v>
      </c>
      <c r="AG5172">
        <v>-1.110339550992</v>
      </c>
      <c r="AH5172">
        <v>20.738425801382402</v>
      </c>
      <c r="AI5172">
        <v>93.033137355644101</v>
      </c>
      <c r="AJ5172">
        <v>98.238028206075498</v>
      </c>
      <c r="AK5172">
        <v>20.984046118960201</v>
      </c>
      <c r="AL5172">
        <v>81.237506787933896</v>
      </c>
      <c r="AM5172">
        <v>96.463099650699803</v>
      </c>
      <c r="AN5172">
        <v>1.00000004916093</v>
      </c>
    </row>
    <row r="5173" spans="1:40" x14ac:dyDescent="0.25">
      <c r="A5173" t="str">
        <f>"20190304155520972"</f>
        <v>20190304155520972</v>
      </c>
      <c r="B5173" t="str">
        <f>"1551686120963039"</f>
        <v>1551686120963039</v>
      </c>
      <c r="C5173" t="s">
        <v>40</v>
      </c>
      <c r="D5173">
        <v>4.6999750000000002</v>
      </c>
      <c r="E5173">
        <v>0.48650120000000002</v>
      </c>
      <c r="F5173" t="s">
        <v>97</v>
      </c>
      <c r="G5173">
        <v>-227.43639999999999</v>
      </c>
      <c r="H5173" s="1">
        <v>-2.417303E-6</v>
      </c>
      <c r="I5173">
        <v>-60.874189999999999</v>
      </c>
      <c r="J5173">
        <v>-248.5275</v>
      </c>
      <c r="K5173">
        <v>1.1103430000000001</v>
      </c>
      <c r="L5173">
        <v>-62.713169999999998</v>
      </c>
      <c r="M5173">
        <v>0.99830989999999997</v>
      </c>
      <c r="N5173">
        <v>-8.8615350000000002E-3</v>
      </c>
      <c r="O5173">
        <v>-5.7436460000000002E-2</v>
      </c>
      <c r="P5173">
        <v>0.98803719999999995</v>
      </c>
      <c r="Q5173">
        <v>0.14418929999999999</v>
      </c>
      <c r="R5173">
        <v>5.4701779999999998E-2</v>
      </c>
      <c r="S5173">
        <v>3.044861</v>
      </c>
      <c r="T5173">
        <v>-0.1592287</v>
      </c>
      <c r="U5173">
        <v>0.2626038</v>
      </c>
      <c r="V5173">
        <v>-0.11159529999999999</v>
      </c>
      <c r="W5173">
        <v>0.15272769999999999</v>
      </c>
      <c r="X5173">
        <v>0.98194740000000003</v>
      </c>
      <c r="Y5173">
        <v>-0.14272979999999999</v>
      </c>
      <c r="Z5173">
        <v>6.8455759999999999E-3</v>
      </c>
      <c r="AA5173">
        <v>0.98973800000000001</v>
      </c>
      <c r="AB5173">
        <v>28</v>
      </c>
      <c r="AC5173">
        <v>21.091100000000001</v>
      </c>
      <c r="AD5173">
        <v>-1.1103454173029901</v>
      </c>
      <c r="AE5173">
        <v>1.8389799999999901</v>
      </c>
      <c r="AF5173">
        <v>-3.0390303386603099</v>
      </c>
      <c r="AG5173">
        <v>-1.1103454173029901</v>
      </c>
      <c r="AH5173">
        <v>20.893181748445102</v>
      </c>
      <c r="AI5173">
        <v>93.010439605957004</v>
      </c>
      <c r="AJ5173">
        <v>98.275952134613803</v>
      </c>
      <c r="AK5173">
        <v>21.142223532982101</v>
      </c>
      <c r="AL5173">
        <v>81.214965807447001</v>
      </c>
      <c r="AM5173">
        <v>96.483670954034807</v>
      </c>
      <c r="AN5173">
        <v>0.99999997884806902</v>
      </c>
    </row>
    <row r="5174" spans="1:40" x14ac:dyDescent="0.25">
      <c r="A5174" t="str">
        <f>"20190304155520983"</f>
        <v>20190304155520983</v>
      </c>
      <c r="B5174" t="str">
        <f>"1551686120972799"</f>
        <v>1551686120972799</v>
      </c>
      <c r="C5174" t="s">
        <v>40</v>
      </c>
      <c r="D5174">
        <v>4.714188</v>
      </c>
      <c r="E5174">
        <v>0.48646820000000002</v>
      </c>
      <c r="F5174" t="s">
        <v>97</v>
      </c>
      <c r="G5174">
        <v>-227.18190000000001</v>
      </c>
      <c r="H5174" s="1">
        <v>-2.3037859999999999E-6</v>
      </c>
      <c r="I5174">
        <v>-60.854619999999997</v>
      </c>
      <c r="J5174">
        <v>-248.39080000000001</v>
      </c>
      <c r="K5174">
        <v>1.110349</v>
      </c>
      <c r="L5174">
        <v>-62.720640000000003</v>
      </c>
      <c r="M5174">
        <v>0.99833329999999998</v>
      </c>
      <c r="N5174">
        <v>-8.8631089999999992E-3</v>
      </c>
      <c r="O5174">
        <v>-5.7028269999999999E-2</v>
      </c>
      <c r="P5174">
        <v>0.98798439999999998</v>
      </c>
      <c r="Q5174">
        <v>0.14435539999999999</v>
      </c>
      <c r="R5174">
        <v>5.5214190000000003E-2</v>
      </c>
      <c r="S5174">
        <v>3.0447690000000001</v>
      </c>
      <c r="T5174">
        <v>-0.15838169999999999</v>
      </c>
      <c r="U5174">
        <v>0.26510620000000001</v>
      </c>
      <c r="V5174">
        <v>-0.11170339999999999</v>
      </c>
      <c r="W5174">
        <v>0.15289359999999999</v>
      </c>
      <c r="X5174">
        <v>0.98190929999999998</v>
      </c>
      <c r="Y5174">
        <v>-0.1431376</v>
      </c>
      <c r="Z5174">
        <v>6.8047469999999999E-3</v>
      </c>
      <c r="AA5174">
        <v>0.98967939999999999</v>
      </c>
      <c r="AB5174">
        <v>28</v>
      </c>
      <c r="AC5174">
        <v>21.2089</v>
      </c>
      <c r="AD5174">
        <v>-1.110351303786</v>
      </c>
      <c r="AE5174">
        <v>1.86602</v>
      </c>
      <c r="AF5174">
        <v>-3.06420322991859</v>
      </c>
      <c r="AG5174">
        <v>-1.110351303786</v>
      </c>
      <c r="AH5174">
        <v>21.010816061113101</v>
      </c>
      <c r="AI5174">
        <v>92.993467961027605</v>
      </c>
      <c r="AJ5174">
        <v>98.297481112079495</v>
      </c>
      <c r="AK5174">
        <v>21.262093335464201</v>
      </c>
      <c r="AL5174">
        <v>81.205347555530594</v>
      </c>
      <c r="AM5174">
        <v>96.490147663519906</v>
      </c>
      <c r="AN5174">
        <v>0.99999998795950396</v>
      </c>
    </row>
    <row r="5175" spans="1:40" x14ac:dyDescent="0.25">
      <c r="A5175" t="str">
        <f>"20190304155520995"</f>
        <v>20190304155520995</v>
      </c>
      <c r="B5175" t="str">
        <f>"1551686120982559"</f>
        <v>1551686120982559</v>
      </c>
      <c r="C5175" t="s">
        <v>40</v>
      </c>
      <c r="D5175">
        <v>4.706512</v>
      </c>
      <c r="E5175">
        <v>0.4864907</v>
      </c>
      <c r="F5175" t="s">
        <v>97</v>
      </c>
      <c r="G5175">
        <v>-227.0104</v>
      </c>
      <c r="H5175" s="1">
        <v>-2.2280960000000002E-6</v>
      </c>
      <c r="I5175">
        <v>-60.845080000000003</v>
      </c>
      <c r="J5175">
        <v>-248.24799999999999</v>
      </c>
      <c r="K5175">
        <v>1.110355</v>
      </c>
      <c r="L5175">
        <v>-62.728360000000002</v>
      </c>
      <c r="M5175">
        <v>0.99835770000000001</v>
      </c>
      <c r="N5175">
        <v>-8.8649760000000001E-3</v>
      </c>
      <c r="O5175">
        <v>-5.6597769999999999E-2</v>
      </c>
      <c r="P5175">
        <v>0.98792310000000005</v>
      </c>
      <c r="Q5175">
        <v>0.14448429999999901</v>
      </c>
      <c r="R5175">
        <v>5.5968339999999998E-2</v>
      </c>
      <c r="S5175">
        <v>3.0446780000000002</v>
      </c>
      <c r="T5175">
        <v>-0.15811979999999901</v>
      </c>
      <c r="U5175">
        <v>0.26708979999999999</v>
      </c>
      <c r="V5175">
        <v>-0.112031199999999</v>
      </c>
      <c r="W5175">
        <v>0.1530222</v>
      </c>
      <c r="X5175">
        <v>0.9818519</v>
      </c>
      <c r="Y5175">
        <v>-0.14335429999999999</v>
      </c>
      <c r="Z5175">
        <v>6.7818929999999998E-3</v>
      </c>
      <c r="AA5175">
        <v>0.98964819999999998</v>
      </c>
      <c r="AB5175">
        <v>28</v>
      </c>
      <c r="AC5175">
        <v>21.237599999999901</v>
      </c>
      <c r="AD5175">
        <v>-1.1103572280959999</v>
      </c>
      <c r="AE5175">
        <v>1.8832799999999901</v>
      </c>
      <c r="AF5175">
        <v>-3.07397196293745</v>
      </c>
      <c r="AG5175">
        <v>-1.1103572280959999</v>
      </c>
      <c r="AH5175">
        <v>21.039897873856301</v>
      </c>
      <c r="AI5175">
        <v>92.989241714192701</v>
      </c>
      <c r="AJ5175">
        <v>98.312219439504702</v>
      </c>
      <c r="AK5175">
        <v>21.292240355237698</v>
      </c>
      <c r="AL5175">
        <v>81.197891408903999</v>
      </c>
      <c r="AM5175">
        <v>96.509407421054306</v>
      </c>
      <c r="AN5175">
        <v>0.99999996849994399</v>
      </c>
    </row>
    <row r="5176" spans="1:40" x14ac:dyDescent="0.25">
      <c r="A5176" t="str">
        <f>"20190304155521005"</f>
        <v>20190304155521005</v>
      </c>
      <c r="B5176" t="str">
        <f>"1551686121003055"</f>
        <v>1551686121003055</v>
      </c>
      <c r="C5176" t="s">
        <v>40</v>
      </c>
      <c r="D5176">
        <v>4.6870240000000001</v>
      </c>
      <c r="E5176">
        <v>0.4863943</v>
      </c>
      <c r="F5176" t="s">
        <v>97</v>
      </c>
      <c r="G5176">
        <v>-226.79830000000001</v>
      </c>
      <c r="H5176" s="1">
        <v>-2.1336959999999999E-6</v>
      </c>
      <c r="I5176">
        <v>-60.829810000000002</v>
      </c>
      <c r="J5176">
        <v>-248.11060000000001</v>
      </c>
      <c r="K5176">
        <v>1.110358</v>
      </c>
      <c r="L5176">
        <v>-62.735719999999901</v>
      </c>
      <c r="M5176">
        <v>0.99838119999999997</v>
      </c>
      <c r="N5176">
        <v>-8.8668369999999903E-3</v>
      </c>
      <c r="O5176">
        <v>-5.6180979999999998E-2</v>
      </c>
      <c r="P5176">
        <v>0.98787230000000004</v>
      </c>
      <c r="Q5176">
        <v>0.14460300000000001</v>
      </c>
      <c r="R5176">
        <v>5.6553029999999997E-2</v>
      </c>
      <c r="S5176">
        <v>3.0444490000000002</v>
      </c>
      <c r="T5176">
        <v>-0.15759799999999999</v>
      </c>
      <c r="U5176">
        <v>0.26947019999999999</v>
      </c>
      <c r="V5176">
        <v>-0.1122037</v>
      </c>
      <c r="W5176">
        <v>0.15314049999999901</v>
      </c>
      <c r="X5176">
        <v>0.98181379999999996</v>
      </c>
      <c r="Y5176">
        <v>-0.14371709999999999</v>
      </c>
      <c r="Z5176">
        <v>6.7534880000000002E-3</v>
      </c>
      <c r="AA5176">
        <v>0.98959580000000003</v>
      </c>
      <c r="AB5176">
        <v>28</v>
      </c>
      <c r="AC5176">
        <v>21.3123</v>
      </c>
      <c r="AD5176">
        <v>-1.1103601336960001</v>
      </c>
      <c r="AE5176">
        <v>1.90590999999999</v>
      </c>
      <c r="AF5176">
        <v>-3.0919664597474799</v>
      </c>
      <c r="AG5176">
        <v>-1.1103601336960001</v>
      </c>
      <c r="AH5176">
        <v>21.114698498331698</v>
      </c>
      <c r="AI5176">
        <v>92.978536466769796</v>
      </c>
      <c r="AJ5176">
        <v>98.330991680195496</v>
      </c>
      <c r="AK5176">
        <v>21.368754032235</v>
      </c>
      <c r="AL5176">
        <v>81.191032848264896</v>
      </c>
      <c r="AM5176">
        <v>96.519594868459393</v>
      </c>
      <c r="AN5176">
        <v>1.00000001045218</v>
      </c>
    </row>
    <row r="5177" spans="1:40" x14ac:dyDescent="0.25">
      <c r="A5177" t="str">
        <f>"20190304155521017"</f>
        <v>20190304155521017</v>
      </c>
      <c r="B5177" t="str">
        <f>"1551686121012818"</f>
        <v>1551686121012818</v>
      </c>
      <c r="C5177" t="s">
        <v>40</v>
      </c>
      <c r="D5177">
        <v>4.7626289999999996</v>
      </c>
      <c r="E5177">
        <v>0.48623460000000002</v>
      </c>
      <c r="F5177" t="s">
        <v>97</v>
      </c>
      <c r="G5177">
        <v>-226.5864</v>
      </c>
      <c r="H5177" s="1">
        <v>-2.038928E-6</v>
      </c>
      <c r="I5177">
        <v>-60.812330000000003</v>
      </c>
      <c r="J5177">
        <v>-247.95699999999999</v>
      </c>
      <c r="K5177">
        <v>1.110365</v>
      </c>
      <c r="L5177">
        <v>-62.743929999999999</v>
      </c>
      <c r="M5177">
        <v>0.99840770000000001</v>
      </c>
      <c r="N5177">
        <v>-8.8690119999999904E-3</v>
      </c>
      <c r="O5177">
        <v>-5.5709700000000001E-2</v>
      </c>
      <c r="P5177">
        <v>0.98784360000000004</v>
      </c>
      <c r="Q5177">
        <v>0.1445681</v>
      </c>
      <c r="R5177">
        <v>5.7141839999999999E-2</v>
      </c>
      <c r="S5177">
        <v>3.0442659999999999</v>
      </c>
      <c r="T5177">
        <v>-0.1570435</v>
      </c>
      <c r="U5177">
        <v>0.27203369999999999</v>
      </c>
      <c r="V5177">
        <v>-0.1123289</v>
      </c>
      <c r="W5177">
        <v>0.1531052</v>
      </c>
      <c r="X5177">
        <v>0.98180500000000004</v>
      </c>
      <c r="Y5177">
        <v>-0.14408360000000001</v>
      </c>
      <c r="Z5177">
        <v>6.7214759999999997E-3</v>
      </c>
      <c r="AA5177">
        <v>0.9895427</v>
      </c>
      <c r="AB5177">
        <v>28</v>
      </c>
      <c r="AC5177">
        <v>21.3706</v>
      </c>
      <c r="AD5177">
        <v>-1.110367038928</v>
      </c>
      <c r="AE5177">
        <v>1.9316</v>
      </c>
      <c r="AF5177">
        <v>-3.1108664024771899</v>
      </c>
      <c r="AG5177">
        <v>-1.110367038928</v>
      </c>
      <c r="AH5177">
        <v>21.173100202968399</v>
      </c>
      <c r="AI5177">
        <v>92.970145880895103</v>
      </c>
      <c r="AJ5177">
        <v>98.358403692539795</v>
      </c>
      <c r="AK5177">
        <v>21.429199167027601</v>
      </c>
      <c r="AL5177">
        <v>81.193079619325104</v>
      </c>
      <c r="AM5177">
        <v>96.526864872746401</v>
      </c>
      <c r="AN5177">
        <v>1.00000002103362</v>
      </c>
    </row>
    <row r="5178" spans="1:40" x14ac:dyDescent="0.25">
      <c r="A5178" t="str">
        <f>"20190304155521030"</f>
        <v>20190304155521030</v>
      </c>
      <c r="B5178" t="str">
        <f>"1551686121022574"</f>
        <v>1551686121022574</v>
      </c>
      <c r="C5178" t="s">
        <v>40</v>
      </c>
      <c r="D5178">
        <v>4.6636829999999998</v>
      </c>
      <c r="E5178">
        <v>0.48622799999999999</v>
      </c>
      <c r="F5178" t="s">
        <v>97</v>
      </c>
      <c r="G5178">
        <v>-226.44450000000001</v>
      </c>
      <c r="H5178" s="1">
        <v>-1.9754909999999999E-6</v>
      </c>
      <c r="I5178">
        <v>-60.800930000000001</v>
      </c>
      <c r="J5178">
        <v>-247.81</v>
      </c>
      <c r="K5178">
        <v>1.1103730000000001</v>
      </c>
      <c r="L5178">
        <v>-62.751649999999998</v>
      </c>
      <c r="M5178">
        <v>0.99843320000000002</v>
      </c>
      <c r="N5178">
        <v>-8.8712280000000001E-3</v>
      </c>
      <c r="O5178">
        <v>-5.5249600000000003E-2</v>
      </c>
      <c r="P5178">
        <v>0.98778679999999996</v>
      </c>
      <c r="Q5178">
        <v>0.14471319999999999</v>
      </c>
      <c r="R5178">
        <v>5.7753449999999998E-2</v>
      </c>
      <c r="S5178">
        <v>3.044006</v>
      </c>
      <c r="T5178">
        <v>-0.15711629999999999</v>
      </c>
      <c r="U5178">
        <v>0.27493289999999998</v>
      </c>
      <c r="V5178">
        <v>-0.1124874</v>
      </c>
      <c r="W5178">
        <v>0.15324939999999901</v>
      </c>
      <c r="X5178">
        <v>0.98176430000000003</v>
      </c>
      <c r="Y5178">
        <v>-0.14456939999999999</v>
      </c>
      <c r="Z5178">
        <v>6.7199549999999997E-3</v>
      </c>
      <c r="AA5178">
        <v>0.98947189999999996</v>
      </c>
      <c r="AB5178">
        <v>28</v>
      </c>
      <c r="AC5178">
        <v>21.365500000000001</v>
      </c>
      <c r="AD5178">
        <v>-1.1103749754909999</v>
      </c>
      <c r="AE5178">
        <v>1.95071999999998</v>
      </c>
      <c r="AF5178">
        <v>-3.1198650532590002</v>
      </c>
      <c r="AG5178">
        <v>-1.1103749754909999</v>
      </c>
      <c r="AH5178">
        <v>21.168380853978299</v>
      </c>
      <c r="AI5178">
        <v>92.970632504807796</v>
      </c>
      <c r="AJ5178">
        <v>98.384080812548504</v>
      </c>
      <c r="AK5178">
        <v>21.425845106221999</v>
      </c>
      <c r="AL5178">
        <v>81.184718423095802</v>
      </c>
      <c r="AM5178">
        <v>96.536263484640997</v>
      </c>
      <c r="AN5178">
        <v>0.99999996725680396</v>
      </c>
    </row>
    <row r="5179" spans="1:40" x14ac:dyDescent="0.25">
      <c r="A5179" t="str">
        <f>"20190304155521040"</f>
        <v>20190304155521040</v>
      </c>
      <c r="B5179" t="str">
        <f>"1551686121033311"</f>
        <v>1551686121033311</v>
      </c>
      <c r="C5179" t="s">
        <v>40</v>
      </c>
      <c r="D5179">
        <v>4.6764549999999998</v>
      </c>
      <c r="E5179">
        <v>0.48626140000000001</v>
      </c>
      <c r="F5179" t="s">
        <v>97</v>
      </c>
      <c r="G5179">
        <v>-226.2166</v>
      </c>
      <c r="H5179" s="1">
        <v>-1.8746039999999999E-6</v>
      </c>
      <c r="I5179">
        <v>-60.786940000000001</v>
      </c>
      <c r="J5179">
        <v>-247.6738</v>
      </c>
      <c r="K5179">
        <v>1.110384</v>
      </c>
      <c r="L5179">
        <v>-62.758789999999998</v>
      </c>
      <c r="M5179">
        <v>0.99845680000000003</v>
      </c>
      <c r="N5179">
        <v>-8.8733340000000001E-3</v>
      </c>
      <c r="O5179">
        <v>-5.4819899999999998E-2</v>
      </c>
      <c r="P5179">
        <v>0.98770060000000004</v>
      </c>
      <c r="Q5179">
        <v>0.1449358</v>
      </c>
      <c r="R5179">
        <v>5.8662180000000001E-2</v>
      </c>
      <c r="S5179">
        <v>3.0438230000000002</v>
      </c>
      <c r="T5179">
        <v>-0.15651909999999999</v>
      </c>
      <c r="U5179">
        <v>0.276947</v>
      </c>
      <c r="V5179">
        <v>-0.1129708</v>
      </c>
      <c r="W5179">
        <v>0.15346979999999999</v>
      </c>
      <c r="X5179">
        <v>0.98167439999999995</v>
      </c>
      <c r="Y5179">
        <v>-0.1448004</v>
      </c>
      <c r="Z5179">
        <v>6.6840220000000004E-3</v>
      </c>
      <c r="AA5179">
        <v>0.98943829999999999</v>
      </c>
      <c r="AB5179">
        <v>29</v>
      </c>
      <c r="AC5179">
        <v>21.4572</v>
      </c>
      <c r="AD5179">
        <v>-1.1103858746040001</v>
      </c>
      <c r="AE5179">
        <v>1.9718500000000001</v>
      </c>
      <c r="AF5179">
        <v>-3.1368824654834602</v>
      </c>
      <c r="AG5179">
        <v>-1.1103858746040001</v>
      </c>
      <c r="AH5179">
        <v>21.260373158511701</v>
      </c>
      <c r="AI5179">
        <v>92.957761283330299</v>
      </c>
      <c r="AJ5179">
        <v>98.393205024634995</v>
      </c>
      <c r="AK5179">
        <v>21.519211305992201</v>
      </c>
      <c r="AL5179">
        <v>81.171939591503303</v>
      </c>
      <c r="AM5179">
        <v>96.564703492171503</v>
      </c>
      <c r="AN5179">
        <v>1.0000000043900199</v>
      </c>
    </row>
    <row r="5180" spans="1:40" x14ac:dyDescent="0.25">
      <c r="A5180" t="str">
        <f>"20190304155521051"</f>
        <v>20190304155521051</v>
      </c>
      <c r="B5180" t="str">
        <f>"1551686121042619"</f>
        <v>1551686121042619</v>
      </c>
      <c r="C5180" t="s">
        <v>40</v>
      </c>
      <c r="D5180">
        <v>4.6582369999999997</v>
      </c>
      <c r="E5180">
        <v>0.48625590000000002</v>
      </c>
      <c r="F5180" t="s">
        <v>97</v>
      </c>
      <c r="G5180">
        <v>-225.9589</v>
      </c>
      <c r="H5180" s="1">
        <v>-1.7594719999999999E-6</v>
      </c>
      <c r="I5180">
        <v>-60.76634</v>
      </c>
      <c r="J5180">
        <v>-247.5299</v>
      </c>
      <c r="K5180">
        <v>1.110393</v>
      </c>
      <c r="L5180">
        <v>-62.766199999999998</v>
      </c>
      <c r="M5180">
        <v>0.9984826</v>
      </c>
      <c r="N5180">
        <v>-8.8756080000000001E-3</v>
      </c>
      <c r="O5180">
        <v>-5.4350120000000002E-2</v>
      </c>
      <c r="P5180">
        <v>0.98760040000000004</v>
      </c>
      <c r="Q5180">
        <v>0.145343</v>
      </c>
      <c r="R5180">
        <v>5.9339929999999999E-2</v>
      </c>
      <c r="S5180">
        <v>3.043625</v>
      </c>
      <c r="T5180">
        <v>-0.15563450000000001</v>
      </c>
      <c r="U5180">
        <v>0.27926640000000003</v>
      </c>
      <c r="V5180">
        <v>-0.11318499999999999</v>
      </c>
      <c r="W5180">
        <v>0.1538746</v>
      </c>
      <c r="X5180">
        <v>0.98158630000000002</v>
      </c>
      <c r="Y5180">
        <v>-0.14509129999999901</v>
      </c>
      <c r="Z5180">
        <v>6.6363940000000003E-3</v>
      </c>
      <c r="AA5180">
        <v>0.98939600000000005</v>
      </c>
      <c r="AB5180">
        <v>29</v>
      </c>
      <c r="AC5180">
        <v>21.571000000000002</v>
      </c>
      <c r="AD5180">
        <v>-1.1103947594720001</v>
      </c>
      <c r="AE5180">
        <v>1.99985999999999</v>
      </c>
      <c r="AF5180">
        <v>-3.1610316055892</v>
      </c>
      <c r="AG5180">
        <v>-1.1103947594720001</v>
      </c>
      <c r="AH5180">
        <v>21.374262353490199</v>
      </c>
      <c r="AI5180">
        <v>92.941906708156097</v>
      </c>
      <c r="AJ5180">
        <v>98.412474208421102</v>
      </c>
      <c r="AK5180">
        <v>21.635253372429599</v>
      </c>
      <c r="AL5180">
        <v>81.148466974691601</v>
      </c>
      <c r="AM5180">
        <v>96.5776267783272</v>
      </c>
      <c r="AN5180">
        <v>0.99999995054892299</v>
      </c>
    </row>
    <row r="5181" spans="1:40" x14ac:dyDescent="0.25">
      <c r="A5181" t="str">
        <f>"20190304155521063"</f>
        <v>20190304155521063</v>
      </c>
      <c r="B5181" t="str">
        <f>"1551686121053337"</f>
        <v>1551686121053337</v>
      </c>
      <c r="C5181" t="s">
        <v>40</v>
      </c>
      <c r="D5181">
        <v>4.634315</v>
      </c>
      <c r="E5181">
        <v>0.4862879</v>
      </c>
      <c r="F5181" t="s">
        <v>97</v>
      </c>
      <c r="G5181">
        <v>-225.62430000000001</v>
      </c>
      <c r="H5181" s="1">
        <v>-1.610626E-6</v>
      </c>
      <c r="I5181">
        <v>-60.742339999999999</v>
      </c>
      <c r="J5181">
        <v>-247.38130000000001</v>
      </c>
      <c r="K5181">
        <v>1.1104080000000001</v>
      </c>
      <c r="L5181">
        <v>-62.773859999999999</v>
      </c>
      <c r="M5181">
        <v>0.99850919999999999</v>
      </c>
      <c r="N5181">
        <v>-8.8779759999999992E-3</v>
      </c>
      <c r="O5181">
        <v>-5.3859459999999998E-2</v>
      </c>
      <c r="P5181">
        <v>0.98754609999999998</v>
      </c>
      <c r="Q5181">
        <v>0.14538309999999999</v>
      </c>
      <c r="R5181">
        <v>6.0138480000000001E-2</v>
      </c>
      <c r="S5181">
        <v>3.043472</v>
      </c>
      <c r="T5181">
        <v>-0.1542741</v>
      </c>
      <c r="U5181">
        <v>0.28118900000000002</v>
      </c>
      <c r="V5181">
        <v>-0.11350209999999999</v>
      </c>
      <c r="W5181">
        <v>0.15391179999999999</v>
      </c>
      <c r="X5181">
        <v>0.98154390000000002</v>
      </c>
      <c r="Y5181">
        <v>-0.14523420000000001</v>
      </c>
      <c r="Z5181">
        <v>6.5638939999999998E-3</v>
      </c>
      <c r="AA5181">
        <v>0.98937549999999996</v>
      </c>
      <c r="AB5181">
        <v>29</v>
      </c>
      <c r="AC5181">
        <v>21.757000000000001</v>
      </c>
      <c r="AD5181">
        <v>-1.110409610626</v>
      </c>
      <c r="AE5181">
        <v>2.0315199999999898</v>
      </c>
      <c r="AF5181">
        <v>-3.1921943127733501</v>
      </c>
      <c r="AG5181">
        <v>-1.110409610626</v>
      </c>
      <c r="AH5181">
        <v>21.560322771489201</v>
      </c>
      <c r="AI5181">
        <v>92.916530421710206</v>
      </c>
      <c r="AJ5181">
        <v>98.421956496949903</v>
      </c>
      <c r="AK5181">
        <v>21.823625547664399</v>
      </c>
      <c r="AL5181">
        <v>81.146310300882803</v>
      </c>
      <c r="AM5181">
        <v>96.596174965993697</v>
      </c>
      <c r="AN5181">
        <v>0.99999999825542996</v>
      </c>
    </row>
    <row r="5182" spans="1:40" x14ac:dyDescent="0.25">
      <c r="A5182" t="str">
        <f>"20190304155521073"</f>
        <v>20190304155521073</v>
      </c>
      <c r="B5182" t="str">
        <f>"1551686121063098"</f>
        <v>1551686121063098</v>
      </c>
      <c r="C5182" t="s">
        <v>40</v>
      </c>
      <c r="D5182">
        <v>4.650372</v>
      </c>
      <c r="E5182">
        <v>0.48634050000000001</v>
      </c>
      <c r="F5182" t="s">
        <v>97</v>
      </c>
      <c r="G5182">
        <v>-225.4204</v>
      </c>
      <c r="H5182" s="1">
        <v>-1.5201230000000001E-6</v>
      </c>
      <c r="I5182">
        <v>-60.728859999999997</v>
      </c>
      <c r="J5182">
        <v>-247.24</v>
      </c>
      <c r="K5182">
        <v>1.1104240000000001</v>
      </c>
      <c r="L5182">
        <v>-62.780940000000001</v>
      </c>
      <c r="M5182">
        <v>0.99853510000000001</v>
      </c>
      <c r="N5182">
        <v>-8.8803879999999995E-3</v>
      </c>
      <c r="O5182">
        <v>-5.3372589999999998E-2</v>
      </c>
      <c r="P5182">
        <v>0.98747470000000004</v>
      </c>
      <c r="Q5182">
        <v>0.1455322</v>
      </c>
      <c r="R5182">
        <v>6.0944360000000003E-2</v>
      </c>
      <c r="S5182">
        <v>3.043228</v>
      </c>
      <c r="T5182">
        <v>-0.1538746</v>
      </c>
      <c r="U5182">
        <v>0.28338619999999998</v>
      </c>
      <c r="V5182">
        <v>-0.1138309</v>
      </c>
      <c r="W5182">
        <v>0.15405739999999901</v>
      </c>
      <c r="X5182">
        <v>0.98148299999999999</v>
      </c>
      <c r="Y5182">
        <v>-0.14546870000000001</v>
      </c>
      <c r="Z5182">
        <v>6.5344660000000001E-3</v>
      </c>
      <c r="AA5182">
        <v>0.98934129999999998</v>
      </c>
      <c r="AB5182">
        <v>29</v>
      </c>
      <c r="AC5182">
        <v>21.819600000000001</v>
      </c>
      <c r="AD5182">
        <v>-1.110425520123</v>
      </c>
      <c r="AE5182">
        <v>2.0520800000000001</v>
      </c>
      <c r="AF5182">
        <v>-3.2055401674823498</v>
      </c>
      <c r="AG5182">
        <v>-1.110425520123</v>
      </c>
      <c r="AH5182">
        <v>21.623456316961899</v>
      </c>
      <c r="AI5182">
        <v>92.907993501643105</v>
      </c>
      <c r="AJ5182">
        <v>98.432323484858998</v>
      </c>
      <c r="AK5182">
        <v>21.8879509249414</v>
      </c>
      <c r="AL5182">
        <v>81.137867512744705</v>
      </c>
      <c r="AM5182">
        <v>96.615520887171201</v>
      </c>
      <c r="AN5182">
        <v>1.00000001778928</v>
      </c>
    </row>
    <row r="5183" spans="1:40" x14ac:dyDescent="0.25">
      <c r="A5183" t="str">
        <f>"20190304155521086"</f>
        <v>20190304155521086</v>
      </c>
      <c r="B5183" t="str">
        <f>"1551686121082617"</f>
        <v>1551686121082617</v>
      </c>
      <c r="C5183" t="s">
        <v>40</v>
      </c>
      <c r="D5183">
        <v>4.6304420000000004</v>
      </c>
      <c r="E5183">
        <v>0.48650009999999999</v>
      </c>
      <c r="F5183" t="s">
        <v>97</v>
      </c>
      <c r="G5183">
        <v>-225.20349999999999</v>
      </c>
      <c r="H5183" s="1">
        <v>-1.4241299999999901E-6</v>
      </c>
      <c r="I5183">
        <v>-60.715510000000002</v>
      </c>
      <c r="J5183">
        <v>-247.0872</v>
      </c>
      <c r="K5183">
        <v>1.1104459999999901</v>
      </c>
      <c r="L5183">
        <v>-62.788600000000002</v>
      </c>
      <c r="M5183">
        <v>0.9985638</v>
      </c>
      <c r="N5183">
        <v>-8.8830349999999992E-3</v>
      </c>
      <c r="O5183">
        <v>-5.283587E-2</v>
      </c>
      <c r="P5183">
        <v>0.98739809999999995</v>
      </c>
      <c r="Q5183">
        <v>0.14568800000000001</v>
      </c>
      <c r="R5183">
        <v>6.1806630000000001E-2</v>
      </c>
      <c r="S5183">
        <v>3.0430299999999999</v>
      </c>
      <c r="T5183">
        <v>-0.15333939999999999</v>
      </c>
      <c r="U5183">
        <v>0.28521729999999901</v>
      </c>
      <c r="V5183">
        <v>-0.1141679</v>
      </c>
      <c r="W5183">
        <v>0.1542087</v>
      </c>
      <c r="X5183">
        <v>0.98142010000000002</v>
      </c>
      <c r="Y5183">
        <v>-0.1455352</v>
      </c>
      <c r="Z5183">
        <v>6.4924450000000003E-3</v>
      </c>
      <c r="AA5183">
        <v>0.98933179999999998</v>
      </c>
      <c r="AB5183">
        <v>29</v>
      </c>
      <c r="AC5183">
        <v>21.883700000000001</v>
      </c>
      <c r="AD5183">
        <v>-1.11044742412999</v>
      </c>
      <c r="AE5183">
        <v>2.0730900000000001</v>
      </c>
      <c r="AF5183">
        <v>-3.21827102436787</v>
      </c>
      <c r="AG5183">
        <v>-1.11044742412999</v>
      </c>
      <c r="AH5183">
        <v>21.6882452240066</v>
      </c>
      <c r="AI5183">
        <v>92.899317893888394</v>
      </c>
      <c r="AJ5183">
        <v>98.440404776125803</v>
      </c>
      <c r="AK5183">
        <v>21.953822964684001</v>
      </c>
      <c r="AL5183">
        <v>81.129093859829197</v>
      </c>
      <c r="AM5183">
        <v>96.635353422978596</v>
      </c>
      <c r="AN5183">
        <v>1.0000000226150501</v>
      </c>
    </row>
    <row r="5184" spans="1:40" x14ac:dyDescent="0.25">
      <c r="A5184" t="str">
        <f>"20190304155521099"</f>
        <v>20190304155521099</v>
      </c>
      <c r="B5184" t="str">
        <f>"1551686121093353"</f>
        <v>1551686121093353</v>
      </c>
      <c r="C5184" t="s">
        <v>40</v>
      </c>
      <c r="D5184">
        <v>4.8981899999999996</v>
      </c>
      <c r="E5184">
        <v>0.4866259</v>
      </c>
      <c r="F5184" t="s">
        <v>97</v>
      </c>
      <c r="G5184">
        <v>-225.0034</v>
      </c>
      <c r="H5184" s="1">
        <v>-1.337203E-6</v>
      </c>
      <c r="I5184">
        <v>-60.71069</v>
      </c>
      <c r="J5184">
        <v>-246.9162</v>
      </c>
      <c r="K5184">
        <v>1.1104700000000001</v>
      </c>
      <c r="L5184">
        <v>-62.797060000000002</v>
      </c>
      <c r="M5184">
        <v>0.99859640000000005</v>
      </c>
      <c r="N5184">
        <v>-8.8860769999999992E-3</v>
      </c>
      <c r="O5184">
        <v>-5.2216499999999999E-2</v>
      </c>
      <c r="P5184">
        <v>0.98731349999999996</v>
      </c>
      <c r="Q5184">
        <v>0.14579539999999999</v>
      </c>
      <c r="R5184">
        <v>6.2896830000000001E-2</v>
      </c>
      <c r="S5184">
        <v>3.042923</v>
      </c>
      <c r="T5184">
        <v>-0.15300800000000001</v>
      </c>
      <c r="U5184">
        <v>0.28631590000000001</v>
      </c>
      <c r="V5184">
        <v>-0.1146528</v>
      </c>
      <c r="W5184">
        <v>0.15431039999999999</v>
      </c>
      <c r="X5184">
        <v>0.98134759999999999</v>
      </c>
      <c r="Y5184">
        <v>-0.14528079999999999</v>
      </c>
      <c r="Z5184">
        <v>6.4459340000000004E-3</v>
      </c>
      <c r="AA5184">
        <v>0.98936950000000001</v>
      </c>
      <c r="AB5184">
        <v>29</v>
      </c>
      <c r="AC5184">
        <v>21.912800000000001</v>
      </c>
      <c r="AD5184">
        <v>-1.110471337203</v>
      </c>
      <c r="AE5184">
        <v>2.0863699999999898</v>
      </c>
      <c r="AF5184">
        <v>-3.2195841891886499</v>
      </c>
      <c r="AG5184">
        <v>-1.110471337203</v>
      </c>
      <c r="AH5184">
        <v>21.7186811654501</v>
      </c>
      <c r="AI5184">
        <v>92.895385896723894</v>
      </c>
      <c r="AJ5184">
        <v>98.432136445315194</v>
      </c>
      <c r="AK5184">
        <v>21.9840847093642</v>
      </c>
      <c r="AL5184">
        <v>81.123196425579806</v>
      </c>
      <c r="AM5184">
        <v>96.663770403513297</v>
      </c>
      <c r="AN5184">
        <v>1.00000003806087</v>
      </c>
    </row>
    <row r="5185" spans="1:40" x14ac:dyDescent="0.25">
      <c r="A5185" t="str">
        <f>"20190304155521119"</f>
        <v>20190304155521119</v>
      </c>
      <c r="B5185" t="str">
        <f>"1551686121112872"</f>
        <v>1551686121112872</v>
      </c>
      <c r="C5185" t="s">
        <v>40</v>
      </c>
      <c r="D5185">
        <v>4.6166729999999996</v>
      </c>
      <c r="E5185">
        <v>0.48676009999999997</v>
      </c>
      <c r="F5185" t="s">
        <v>97</v>
      </c>
      <c r="G5185">
        <v>-225.0712</v>
      </c>
      <c r="H5185" s="1">
        <v>-1.3698039999999999E-6</v>
      </c>
      <c r="I5185">
        <v>-60.726559999999999</v>
      </c>
      <c r="J5185">
        <v>-246.66849999999999</v>
      </c>
      <c r="K5185">
        <v>1.1105160000000001</v>
      </c>
      <c r="L5185">
        <v>-62.809049999999999</v>
      </c>
      <c r="M5185">
        <v>0.99864520000000001</v>
      </c>
      <c r="N5185">
        <v>-8.8907910000000003E-3</v>
      </c>
      <c r="O5185">
        <v>-5.1271909999999997E-2</v>
      </c>
      <c r="P5185">
        <v>0.98729319999999998</v>
      </c>
      <c r="Q5185">
        <v>0.14517439999999901</v>
      </c>
      <c r="R5185">
        <v>6.4627770000000001E-2</v>
      </c>
      <c r="S5185">
        <v>3.0430299999999999</v>
      </c>
      <c r="T5185">
        <v>-0.154689299999999</v>
      </c>
      <c r="U5185">
        <v>0.2884216</v>
      </c>
      <c r="V5185">
        <v>-0.11546579999999999</v>
      </c>
      <c r="W5185">
        <v>0.1536805</v>
      </c>
      <c r="X5185">
        <v>0.98135110000000003</v>
      </c>
      <c r="Y5185">
        <v>-0.14501610000000001</v>
      </c>
      <c r="Z5185">
        <v>6.4669769999999996E-3</v>
      </c>
      <c r="AA5185">
        <v>0.98940819999999996</v>
      </c>
      <c r="AB5185">
        <v>29</v>
      </c>
      <c r="AC5185">
        <v>21.597299999999901</v>
      </c>
      <c r="AD5185">
        <v>-1.1105173698040001</v>
      </c>
      <c r="AE5185">
        <v>2.08249</v>
      </c>
      <c r="AF5185">
        <v>-3.1788021438371001</v>
      </c>
      <c r="AG5185">
        <v>-1.1105173698040001</v>
      </c>
      <c r="AH5185">
        <v>21.406039083042302</v>
      </c>
      <c r="AI5185">
        <v>92.937611300439897</v>
      </c>
      <c r="AJ5185">
        <v>98.446708667027707</v>
      </c>
      <c r="AK5185">
        <v>21.6692533586886</v>
      </c>
      <c r="AL5185">
        <v>81.159722526303796</v>
      </c>
      <c r="AM5185">
        <v>96.710569862017906</v>
      </c>
      <c r="AN5185">
        <v>1.0000000142605501</v>
      </c>
    </row>
    <row r="5186" spans="1:40" x14ac:dyDescent="0.25">
      <c r="A5186" t="str">
        <f>"20190304155521140"</f>
        <v>20190304155521140</v>
      </c>
      <c r="B5186" t="str">
        <f>"1551686121132743"</f>
        <v>1551686121132743</v>
      </c>
      <c r="C5186" t="s">
        <v>40</v>
      </c>
      <c r="D5186">
        <v>4.6875580000000001</v>
      </c>
      <c r="E5186">
        <v>0.46612819999999999</v>
      </c>
      <c r="F5186" t="s">
        <v>97</v>
      </c>
      <c r="G5186">
        <v>-225.03479999999999</v>
      </c>
      <c r="H5186" s="1">
        <v>-1.3549219999999999E-6</v>
      </c>
      <c r="I5186">
        <v>-60.729759999999999</v>
      </c>
      <c r="J5186">
        <v>-246.3931</v>
      </c>
      <c r="K5186">
        <v>1.11056</v>
      </c>
      <c r="L5186">
        <v>-62.822049999999997</v>
      </c>
      <c r="M5186">
        <v>0.99870179999999997</v>
      </c>
      <c r="N5186">
        <v>-8.8962190000000003E-3</v>
      </c>
      <c r="O5186">
        <v>-5.01582E-2</v>
      </c>
      <c r="P5186">
        <v>0.987263</v>
      </c>
      <c r="Q5186">
        <v>0.14461270000000001</v>
      </c>
      <c r="R5186">
        <v>6.6327300000000006E-2</v>
      </c>
      <c r="S5186">
        <v>3.0424349999999998</v>
      </c>
      <c r="T5186">
        <v>-0.1561767</v>
      </c>
      <c r="U5186">
        <v>0.2924194</v>
      </c>
      <c r="V5186">
        <v>-0.11608449999999999</v>
      </c>
      <c r="W5186">
        <v>0.15310699999999999</v>
      </c>
      <c r="X5186">
        <v>0.98136769999999995</v>
      </c>
      <c r="Y5186">
        <v>-0.14521489999999901</v>
      </c>
      <c r="Z5186">
        <v>6.4871369999999996E-3</v>
      </c>
      <c r="AA5186">
        <v>0.98937889999999995</v>
      </c>
      <c r="AB5186">
        <v>29</v>
      </c>
      <c r="AC5186">
        <v>21.3583</v>
      </c>
      <c r="AD5186">
        <v>-1.1105613549219999</v>
      </c>
      <c r="AE5186">
        <v>2.09228999999999</v>
      </c>
      <c r="AF5186">
        <v>-3.1525499281182201</v>
      </c>
      <c r="AG5186">
        <v>-1.1105613549219999</v>
      </c>
      <c r="AH5186">
        <v>21.1697724487471</v>
      </c>
      <c r="AI5186">
        <v>92.970275749425198</v>
      </c>
      <c r="AJ5186">
        <v>98.470099018327303</v>
      </c>
      <c r="AK5186">
        <v>21.432013043670299</v>
      </c>
      <c r="AL5186">
        <v>81.192974746586401</v>
      </c>
      <c r="AM5186">
        <v>96.7460834861118</v>
      </c>
      <c r="AN5186">
        <v>0.99999996359626897</v>
      </c>
    </row>
    <row r="5187" spans="1:40" x14ac:dyDescent="0.25">
      <c r="A5187" t="str">
        <f>"20190304155521151"</f>
        <v>20190304155521151</v>
      </c>
      <c r="B5187" t="str">
        <f>"1551686121143216"</f>
        <v>1551686121143216</v>
      </c>
      <c r="C5187" t="s">
        <v>40</v>
      </c>
      <c r="D5187">
        <v>4.6339560000000004</v>
      </c>
      <c r="E5187">
        <v>0.4579299</v>
      </c>
      <c r="F5187" t="s">
        <v>97</v>
      </c>
      <c r="G5187">
        <v>-226.77379999999999</v>
      </c>
      <c r="H5187" s="1">
        <v>-2.1456670000000002E-6</v>
      </c>
      <c r="I5187">
        <v>-59.833370000000002</v>
      </c>
      <c r="J5187">
        <v>-246.2518</v>
      </c>
      <c r="K5187">
        <v>1.110589</v>
      </c>
      <c r="L5187">
        <v>-62.82855</v>
      </c>
      <c r="M5187">
        <v>0.99873199999999995</v>
      </c>
      <c r="N5187">
        <v>-8.899087E-3</v>
      </c>
      <c r="O5187">
        <v>-4.9552400000000003E-2</v>
      </c>
      <c r="P5187">
        <v>0.98725339999999995</v>
      </c>
      <c r="Q5187">
        <v>0.14439389999999999</v>
      </c>
      <c r="R5187">
        <v>6.694514E-2</v>
      </c>
      <c r="S5187">
        <v>3.0328369999999998</v>
      </c>
      <c r="T5187">
        <v>-0.171676</v>
      </c>
      <c r="U5187">
        <v>0.46200560000000002</v>
      </c>
      <c r="V5187">
        <v>-0.11611580000000001</v>
      </c>
      <c r="W5187">
        <v>0.15288370000000001</v>
      </c>
      <c r="X5187">
        <v>0.98139889999999996</v>
      </c>
      <c r="Y5187">
        <v>-0.19898440000000001</v>
      </c>
      <c r="Z5187">
        <v>8.8369699999999995E-3</v>
      </c>
      <c r="AA5187">
        <v>0.97996280000000002</v>
      </c>
      <c r="AB5187">
        <v>29</v>
      </c>
      <c r="AC5187">
        <v>19.478000000000002</v>
      </c>
      <c r="AD5187">
        <v>-1.1105911456669999</v>
      </c>
      <c r="AE5187">
        <v>2.99518</v>
      </c>
      <c r="AF5187">
        <v>-3.9441935039053302</v>
      </c>
      <c r="AG5187">
        <v>-1.1105911456669999</v>
      </c>
      <c r="AH5187">
        <v>19.244526534935201</v>
      </c>
      <c r="AI5187">
        <v>93.235732714834597</v>
      </c>
      <c r="AJ5187">
        <v>101.58245635027799</v>
      </c>
      <c r="AK5187">
        <v>19.6759212400057</v>
      </c>
      <c r="AL5187">
        <v>81.205922106734306</v>
      </c>
      <c r="AM5187">
        <v>96.747673123236794</v>
      </c>
      <c r="AN5187">
        <v>1.00000005282826</v>
      </c>
    </row>
    <row r="5188" spans="1:40" x14ac:dyDescent="0.25">
      <c r="A5188" t="str">
        <f>"20190304155521163"</f>
        <v>20190304155521163</v>
      </c>
      <c r="B5188" t="str">
        <f>"1551686121153391"</f>
        <v>1551686121153391</v>
      </c>
      <c r="C5188" t="s">
        <v>40</v>
      </c>
      <c r="D5188">
        <v>4.7235649999999998</v>
      </c>
      <c r="E5188">
        <v>0.45204499999999997</v>
      </c>
      <c r="F5188" t="s">
        <v>97</v>
      </c>
      <c r="G5188">
        <v>-224.37260000000001</v>
      </c>
      <c r="H5188" s="1">
        <v>-1.300205E-6</v>
      </c>
      <c r="I5188">
        <v>-58.998190000000001</v>
      </c>
      <c r="J5188">
        <v>-246.09460000000001</v>
      </c>
      <c r="K5188">
        <v>1.1106199999999999</v>
      </c>
      <c r="L5188">
        <v>-62.835720000000002</v>
      </c>
      <c r="M5188">
        <v>0.99876549999999997</v>
      </c>
      <c r="N5188">
        <v>-8.9022700000000003E-3</v>
      </c>
      <c r="O5188">
        <v>-4.8868259999999997E-2</v>
      </c>
      <c r="P5188">
        <v>0.98729279999999997</v>
      </c>
      <c r="Q5188">
        <v>0.1437609</v>
      </c>
      <c r="R5188">
        <v>6.7717379999999994E-2</v>
      </c>
      <c r="S5188">
        <v>3.0252840000000001</v>
      </c>
      <c r="T5188">
        <v>-0.1535639</v>
      </c>
      <c r="U5188">
        <v>0.52963260000000001</v>
      </c>
      <c r="V5188">
        <v>-0.116227</v>
      </c>
      <c r="W5188">
        <v>0.15224509999999999</v>
      </c>
      <c r="X5188">
        <v>0.98148489999999999</v>
      </c>
      <c r="Y5188">
        <v>-0.2200116</v>
      </c>
      <c r="Z5188">
        <v>8.5566819999999995E-3</v>
      </c>
      <c r="AA5188">
        <v>0.97545979999999999</v>
      </c>
      <c r="AB5188">
        <v>29</v>
      </c>
      <c r="AC5188">
        <v>21.722000000000001</v>
      </c>
      <c r="AD5188">
        <v>-1.1106213002050001</v>
      </c>
      <c r="AE5188">
        <v>3.8375299999999899</v>
      </c>
      <c r="AF5188">
        <v>-4.8821267625736198</v>
      </c>
      <c r="AG5188">
        <v>-1.1106213002050001</v>
      </c>
      <c r="AH5188">
        <v>21.454117287520901</v>
      </c>
      <c r="AI5188">
        <v>92.889656560996798</v>
      </c>
      <c r="AJ5188">
        <v>102.819986854775</v>
      </c>
      <c r="AK5188">
        <v>22.030610295336999</v>
      </c>
      <c r="AL5188">
        <v>81.242943662892003</v>
      </c>
      <c r="AM5188">
        <v>96.753489120794299</v>
      </c>
      <c r="AN5188">
        <v>0.99999994746550802</v>
      </c>
    </row>
    <row r="5189" spans="1:40" x14ac:dyDescent="0.25">
      <c r="A5189" t="str">
        <f>"20190304155521173"</f>
        <v>20190304155521173</v>
      </c>
      <c r="B5189" t="str">
        <f>"1551686121162922"</f>
        <v>1551686121162922</v>
      </c>
      <c r="C5189" t="s">
        <v>40</v>
      </c>
      <c r="D5189">
        <v>4.6291690000000001</v>
      </c>
      <c r="E5189">
        <v>0.44837490000000002</v>
      </c>
      <c r="F5189" t="s">
        <v>97</v>
      </c>
      <c r="G5189">
        <v>-221.74170000000001</v>
      </c>
      <c r="H5189" s="1">
        <v>-4.0127590000000001E-7</v>
      </c>
      <c r="I5189">
        <v>-58.166759999999996</v>
      </c>
      <c r="J5189">
        <v>-245.9571</v>
      </c>
      <c r="K5189">
        <v>1.1106560000000001</v>
      </c>
      <c r="L5189">
        <v>-62.841799999999999</v>
      </c>
      <c r="M5189">
        <v>0.99879589999999996</v>
      </c>
      <c r="N5189">
        <v>-8.9051570000000004E-3</v>
      </c>
      <c r="O5189">
        <v>-4.824399E-2</v>
      </c>
      <c r="P5189">
        <v>0.98732010000000003</v>
      </c>
      <c r="Q5189">
        <v>0.14310290000000001</v>
      </c>
      <c r="R5189">
        <v>6.8707050000000006E-2</v>
      </c>
      <c r="S5189">
        <v>3.0189509999999999</v>
      </c>
      <c r="T5189">
        <v>-0.1376801</v>
      </c>
      <c r="U5189">
        <v>0.57879639999999999</v>
      </c>
      <c r="V5189">
        <v>-0.1166111</v>
      </c>
      <c r="W5189">
        <v>0.1515811</v>
      </c>
      <c r="X5189">
        <v>0.98154220000000003</v>
      </c>
      <c r="Y5189">
        <v>-0.2351403</v>
      </c>
      <c r="Z5189">
        <v>8.1237069999999904E-3</v>
      </c>
      <c r="AA5189">
        <v>0.97192750000000006</v>
      </c>
      <c r="AB5189">
        <v>29</v>
      </c>
      <c r="AC5189">
        <v>24.215399999999899</v>
      </c>
      <c r="AD5189">
        <v>-1.1106564012758999</v>
      </c>
      <c r="AE5189">
        <v>4.6750400000000001</v>
      </c>
      <c r="AF5189">
        <v>-5.8260739855592201</v>
      </c>
      <c r="AG5189">
        <v>-1.1106564012758999</v>
      </c>
      <c r="AH5189">
        <v>23.9131517742839</v>
      </c>
      <c r="AI5189">
        <v>92.583745067590101</v>
      </c>
      <c r="AJ5189">
        <v>103.69248209313299</v>
      </c>
      <c r="AK5189">
        <v>24.637685027348699</v>
      </c>
      <c r="AL5189">
        <v>81.281435561327996</v>
      </c>
      <c r="AM5189">
        <v>96.775208620456297</v>
      </c>
      <c r="AN5189">
        <v>1.0000000344506199</v>
      </c>
    </row>
    <row r="5190" spans="1:40" x14ac:dyDescent="0.25">
      <c r="A5190" t="str">
        <f>"20190304155521185"</f>
        <v>20190304155521185</v>
      </c>
      <c r="B5190" t="str">
        <f>"1551686121183144"</f>
        <v>1551686121183144</v>
      </c>
      <c r="C5190" t="s">
        <v>40</v>
      </c>
      <c r="D5190">
        <v>4.6083610000000004</v>
      </c>
      <c r="E5190">
        <v>0.44382559999999899</v>
      </c>
      <c r="F5190" t="s">
        <v>99</v>
      </c>
      <c r="G5190">
        <v>-219.8948</v>
      </c>
      <c r="H5190" s="1">
        <v>-3.714708E-6</v>
      </c>
      <c r="I5190">
        <v>-57.560029999999998</v>
      </c>
      <c r="J5190">
        <v>-245.81739999999999</v>
      </c>
      <c r="K5190">
        <v>1.1106830000000001</v>
      </c>
      <c r="L5190">
        <v>-62.84796</v>
      </c>
      <c r="M5190">
        <v>0.99882680000000001</v>
      </c>
      <c r="N5190">
        <v>-8.9080679999999999E-3</v>
      </c>
      <c r="O5190">
        <v>-4.7601739999999997E-2</v>
      </c>
      <c r="P5190">
        <v>0.98729290000000003</v>
      </c>
      <c r="Q5190">
        <v>0.14265939999999999</v>
      </c>
      <c r="R5190">
        <v>7.0010810000000007E-2</v>
      </c>
      <c r="S5190">
        <v>3.014618</v>
      </c>
      <c r="T5190">
        <v>-0.12846920000000001</v>
      </c>
      <c r="U5190">
        <v>0.61093140000000001</v>
      </c>
      <c r="V5190">
        <v>-0.117289</v>
      </c>
      <c r="W5190">
        <v>0.15113089999999901</v>
      </c>
      <c r="X5190">
        <v>0.98153080000000004</v>
      </c>
      <c r="Y5190">
        <v>-0.2447628</v>
      </c>
      <c r="Z5190">
        <v>7.8521979999999995E-3</v>
      </c>
      <c r="AA5190">
        <v>0.96955119999999895</v>
      </c>
      <c r="AB5190">
        <v>29</v>
      </c>
      <c r="AC5190">
        <v>25.9225999999999</v>
      </c>
      <c r="AD5190">
        <v>-1.110686714708</v>
      </c>
      <c r="AE5190">
        <v>5.2879299999999896</v>
      </c>
      <c r="AF5190">
        <v>-6.5044808570592103</v>
      </c>
      <c r="AG5190">
        <v>-1.110686714708</v>
      </c>
      <c r="AH5190">
        <v>25.596374364993501</v>
      </c>
      <c r="AI5190">
        <v>92.408195040237402</v>
      </c>
      <c r="AJ5190">
        <v>104.258053242288</v>
      </c>
      <c r="AK5190">
        <v>26.433241890297399</v>
      </c>
      <c r="AL5190">
        <v>81.307530321000499</v>
      </c>
      <c r="AM5190">
        <v>96.814304313998207</v>
      </c>
      <c r="AN5190">
        <v>0.99999998490222397</v>
      </c>
    </row>
    <row r="5191" spans="1:40" x14ac:dyDescent="0.25">
      <c r="A5191" t="str">
        <f>"20190304155521195"</f>
        <v>20190304155521195</v>
      </c>
      <c r="B5191" t="str">
        <f>"1551686121192903"</f>
        <v>1551686121192903</v>
      </c>
      <c r="C5191" t="s">
        <v>40</v>
      </c>
      <c r="D5191">
        <v>4.631799</v>
      </c>
      <c r="E5191">
        <v>0.44251980000000002</v>
      </c>
      <c r="F5191" t="s">
        <v>99</v>
      </c>
      <c r="G5191">
        <v>-216.84049999999999</v>
      </c>
      <c r="H5191" s="1">
        <v>-2.5787369999999999E-6</v>
      </c>
      <c r="I5191">
        <v>-56.577460000000002</v>
      </c>
      <c r="J5191">
        <v>-245.6739</v>
      </c>
      <c r="K5191">
        <v>1.110708</v>
      </c>
      <c r="L5191">
        <v>-62.85416</v>
      </c>
      <c r="M5191">
        <v>0.99885880000000005</v>
      </c>
      <c r="N5191">
        <v>-8.9110819999999903E-3</v>
      </c>
      <c r="O5191">
        <v>-4.6923140000000002E-2</v>
      </c>
      <c r="P5191">
        <v>0.98726329999999995</v>
      </c>
      <c r="Q5191">
        <v>0.1422872</v>
      </c>
      <c r="R5191">
        <v>7.1174029999999999E-2</v>
      </c>
      <c r="S5191">
        <v>3.009109</v>
      </c>
      <c r="T5191">
        <v>-0.115339</v>
      </c>
      <c r="U5191">
        <v>0.6511536</v>
      </c>
      <c r="V5191">
        <v>-0.1177906</v>
      </c>
      <c r="W5191">
        <v>0.15075339999999901</v>
      </c>
      <c r="X5191">
        <v>0.98152879999999998</v>
      </c>
      <c r="Y5191">
        <v>-0.2568859</v>
      </c>
      <c r="Z5191">
        <v>7.3896119999999899E-3</v>
      </c>
      <c r="AA5191">
        <v>0.96641350000000004</v>
      </c>
      <c r="AB5191">
        <v>29</v>
      </c>
      <c r="AC5191">
        <v>28.833400000000001</v>
      </c>
      <c r="AD5191">
        <v>-1.110710578737</v>
      </c>
      <c r="AE5191">
        <v>6.2766999999999999</v>
      </c>
      <c r="AF5191">
        <v>-7.6120084671768602</v>
      </c>
      <c r="AG5191">
        <v>-1.110710578737</v>
      </c>
      <c r="AH5191">
        <v>28.466772265730899</v>
      </c>
      <c r="AI5191">
        <v>92.158654492953701</v>
      </c>
      <c r="AJ5191">
        <v>104.970625321637</v>
      </c>
      <c r="AK5191">
        <v>29.487852992767699</v>
      </c>
      <c r="AL5191">
        <v>81.329410288852799</v>
      </c>
      <c r="AM5191">
        <v>96.843184516360296</v>
      </c>
      <c r="AN5191">
        <v>0.99999999914467996</v>
      </c>
    </row>
    <row r="5192" spans="1:40" x14ac:dyDescent="0.25">
      <c r="A5192" t="str">
        <f>"20190304155521207"</f>
        <v>20190304155521207</v>
      </c>
      <c r="B5192" t="str">
        <f>"1551686121202664"</f>
        <v>1551686121202664</v>
      </c>
      <c r="C5192" t="s">
        <v>40</v>
      </c>
      <c r="D5192">
        <v>4.7947829999999998</v>
      </c>
      <c r="E5192">
        <v>0.44081759999999898</v>
      </c>
      <c r="F5192" t="s">
        <v>99</v>
      </c>
      <c r="G5192">
        <v>-215.8048</v>
      </c>
      <c r="H5192" s="1">
        <v>-2.1931510000000002E-6</v>
      </c>
      <c r="I5192">
        <v>-56.246389999999998</v>
      </c>
      <c r="J5192">
        <v>-245.52869999999999</v>
      </c>
      <c r="K5192">
        <v>1.110735</v>
      </c>
      <c r="L5192">
        <v>-62.860289999999999</v>
      </c>
      <c r="M5192">
        <v>0.99889139999999998</v>
      </c>
      <c r="N5192">
        <v>-8.9140750000000005E-3</v>
      </c>
      <c r="O5192">
        <v>-4.6225839999999997E-2</v>
      </c>
      <c r="P5192">
        <v>0.98721389999999998</v>
      </c>
      <c r="Q5192">
        <v>0.14205960000000001</v>
      </c>
      <c r="R5192">
        <v>7.2305869999999994E-2</v>
      </c>
      <c r="S5192">
        <v>3.0068969999999999</v>
      </c>
      <c r="T5192">
        <v>-0.11181430000000001</v>
      </c>
      <c r="U5192">
        <v>0.66519169999999905</v>
      </c>
      <c r="V5192">
        <v>-0.1182404</v>
      </c>
      <c r="W5192">
        <v>0.15052099999999999</v>
      </c>
      <c r="X5192">
        <v>0.98151040000000001</v>
      </c>
      <c r="Y5192">
        <v>-0.26067249999999997</v>
      </c>
      <c r="Z5192">
        <v>7.2563150000000002E-3</v>
      </c>
      <c r="AA5192">
        <v>0.96540000000000004</v>
      </c>
      <c r="AB5192">
        <v>29</v>
      </c>
      <c r="AC5192">
        <v>29.723899999999901</v>
      </c>
      <c r="AD5192">
        <v>-1.1107371931509999</v>
      </c>
      <c r="AE5192">
        <v>6.6138999999999903</v>
      </c>
      <c r="AF5192">
        <v>-7.9702912030522102</v>
      </c>
      <c r="AG5192">
        <v>-1.1107371931509999</v>
      </c>
      <c r="AH5192">
        <v>29.347330443787001</v>
      </c>
      <c r="AI5192">
        <v>92.091794676490295</v>
      </c>
      <c r="AJ5192">
        <v>105.194178197068</v>
      </c>
      <c r="AK5192">
        <v>30.4306602483503</v>
      </c>
      <c r="AL5192">
        <v>81.342879657676406</v>
      </c>
      <c r="AM5192">
        <v>96.869194513121897</v>
      </c>
      <c r="AN5192">
        <v>1.00000001447066</v>
      </c>
    </row>
    <row r="5193" spans="1:40" x14ac:dyDescent="0.25">
      <c r="A5193" t="str">
        <f>"20190304155521218"</f>
        <v>20190304155521218</v>
      </c>
      <c r="B5193" t="str">
        <f>"1551686121212423"</f>
        <v>1551686121212423</v>
      </c>
      <c r="C5193" t="s">
        <v>40</v>
      </c>
      <c r="D5193">
        <v>4.6065839999999998</v>
      </c>
      <c r="E5193">
        <v>0.43981490000000001</v>
      </c>
      <c r="F5193" t="s">
        <v>99</v>
      </c>
      <c r="G5193">
        <v>-216.86150000000001</v>
      </c>
      <c r="H5193" s="1">
        <v>-2.6275490000000001E-6</v>
      </c>
      <c r="I5193">
        <v>-56.353110000000001</v>
      </c>
      <c r="J5193">
        <v>-245.37899999999999</v>
      </c>
      <c r="K5193">
        <v>1.1107530000000001</v>
      </c>
      <c r="L5193">
        <v>-62.866520000000001</v>
      </c>
      <c r="M5193">
        <v>0.99892479999999995</v>
      </c>
      <c r="N5193">
        <v>-8.9171119999999996E-3</v>
      </c>
      <c r="O5193">
        <v>-4.5497089999999997E-2</v>
      </c>
      <c r="P5193">
        <v>0.98706479999999996</v>
      </c>
      <c r="Q5193">
        <v>0.14232049999999999</v>
      </c>
      <c r="R5193">
        <v>7.3809299999999994E-2</v>
      </c>
      <c r="S5193">
        <v>3.0056609999999999</v>
      </c>
      <c r="T5193">
        <v>-0.1164573</v>
      </c>
      <c r="U5193">
        <v>0.68225100000000005</v>
      </c>
      <c r="V5193">
        <v>-0.1190276</v>
      </c>
      <c r="W5193">
        <v>0.1507751</v>
      </c>
      <c r="X5193">
        <v>0.98137620000000003</v>
      </c>
      <c r="Y5193">
        <v>-0.26524419999999999</v>
      </c>
      <c r="Z5193">
        <v>7.6119600000000001E-3</v>
      </c>
      <c r="AA5193">
        <v>0.96415119999999999</v>
      </c>
      <c r="AB5193">
        <v>29</v>
      </c>
      <c r="AC5193">
        <v>28.517499999999998</v>
      </c>
      <c r="AD5193">
        <v>-1.110755627549</v>
      </c>
      <c r="AE5193">
        <v>6.5134099999999897</v>
      </c>
      <c r="AF5193">
        <v>-7.7929428265829497</v>
      </c>
      <c r="AG5193">
        <v>-1.110755627549</v>
      </c>
      <c r="AH5193">
        <v>28.151023581655298</v>
      </c>
      <c r="AI5193">
        <v>92.177729624811903</v>
      </c>
      <c r="AJ5193">
        <v>105.473486411224</v>
      </c>
      <c r="AK5193">
        <v>29.230871773818802</v>
      </c>
      <c r="AL5193">
        <v>81.328152367373207</v>
      </c>
      <c r="AM5193">
        <v>96.915422105266501</v>
      </c>
      <c r="AN5193">
        <v>0.99999997313410405</v>
      </c>
    </row>
    <row r="5194" spans="1:40" x14ac:dyDescent="0.25">
      <c r="A5194" t="str">
        <f>"20190304155521229"</f>
        <v>20190304155521229</v>
      </c>
      <c r="B5194" t="str">
        <f>"1551686121223159"</f>
        <v>1551686121223159</v>
      </c>
      <c r="C5194" t="s">
        <v>40</v>
      </c>
      <c r="D5194">
        <v>4.6456549999999996</v>
      </c>
      <c r="E5194">
        <v>0.43918459999999998</v>
      </c>
      <c r="F5194" t="s">
        <v>99</v>
      </c>
      <c r="G5194">
        <v>-215.66909999999999</v>
      </c>
      <c r="H5194" s="1">
        <v>-2.1802380000000001E-6</v>
      </c>
      <c r="I5194">
        <v>-55.991059999999997</v>
      </c>
      <c r="J5194">
        <v>-245.23580000000001</v>
      </c>
      <c r="K5194">
        <v>1.11077</v>
      </c>
      <c r="L5194">
        <v>-62.872340000000001</v>
      </c>
      <c r="M5194">
        <v>0.99895670000000003</v>
      </c>
      <c r="N5194">
        <v>-8.9200080000000001E-3</v>
      </c>
      <c r="O5194">
        <v>-4.4789120000000002E-2</v>
      </c>
      <c r="P5194">
        <v>0.98692880000000005</v>
      </c>
      <c r="Q5194">
        <v>0.14244609999999999</v>
      </c>
      <c r="R5194">
        <v>7.5373200000000001E-2</v>
      </c>
      <c r="S5194">
        <v>3.0035249999999998</v>
      </c>
      <c r="T5194">
        <v>-0.1122919</v>
      </c>
      <c r="U5194">
        <v>0.69506840000000003</v>
      </c>
      <c r="V5194">
        <v>-0.11989379999999999</v>
      </c>
      <c r="W5194">
        <v>0.15089569999999999</v>
      </c>
      <c r="X5194">
        <v>0.98125229999999997</v>
      </c>
      <c r="Y5194">
        <v>-0.26863039999999999</v>
      </c>
      <c r="Z5194">
        <v>7.4287160000000001E-3</v>
      </c>
      <c r="AA5194">
        <v>0.96321469999999998</v>
      </c>
      <c r="AB5194">
        <v>29</v>
      </c>
      <c r="AC5194">
        <v>29.566700000000001</v>
      </c>
      <c r="AD5194">
        <v>-1.110772180238</v>
      </c>
      <c r="AE5194">
        <v>6.8812800000000003</v>
      </c>
      <c r="AF5194">
        <v>-8.1877306990023495</v>
      </c>
      <c r="AG5194">
        <v>-1.110772180238</v>
      </c>
      <c r="AH5194">
        <v>29.189726729417199</v>
      </c>
      <c r="AI5194">
        <v>92.098345316346496</v>
      </c>
      <c r="AJ5194">
        <v>105.66883066252601</v>
      </c>
      <c r="AK5194">
        <v>30.336659265216198</v>
      </c>
      <c r="AL5194">
        <v>81.321163248530297</v>
      </c>
      <c r="AM5194">
        <v>96.966125973299299</v>
      </c>
      <c r="AN5194">
        <v>1.0000000559061</v>
      </c>
    </row>
    <row r="5195" spans="1:40" x14ac:dyDescent="0.25">
      <c r="A5195" t="str">
        <f>"20190304155521240"</f>
        <v>20190304155521240</v>
      </c>
      <c r="B5195" t="str">
        <f>"1551686121232920"</f>
        <v>1551686121232920</v>
      </c>
      <c r="C5195" t="s">
        <v>40</v>
      </c>
      <c r="D5195">
        <v>4.5771129999999998</v>
      </c>
      <c r="E5195">
        <v>0.43856529999999999</v>
      </c>
      <c r="F5195" t="s">
        <v>99</v>
      </c>
      <c r="G5195">
        <v>-214.88720000000001</v>
      </c>
      <c r="H5195" s="1">
        <v>-1.8887250000000001E-6</v>
      </c>
      <c r="I5195">
        <v>-55.743429999999996</v>
      </c>
      <c r="J5195">
        <v>-245.0968</v>
      </c>
      <c r="K5195">
        <v>1.1107849999999999</v>
      </c>
      <c r="L5195">
        <v>-62.877960000000002</v>
      </c>
      <c r="M5195">
        <v>0.99898739999999997</v>
      </c>
      <c r="N5195">
        <v>-8.9228050000000007E-3</v>
      </c>
      <c r="O5195">
        <v>-4.4097980000000002E-2</v>
      </c>
      <c r="P5195">
        <v>0.98675919999999895</v>
      </c>
      <c r="Q5195">
        <v>0.1427879</v>
      </c>
      <c r="R5195">
        <v>7.6927679999999998E-2</v>
      </c>
      <c r="S5195">
        <v>3.0017550000000002</v>
      </c>
      <c r="T5195">
        <v>-0.1098654</v>
      </c>
      <c r="U5195">
        <v>0.70510859999999997</v>
      </c>
      <c r="V5195">
        <v>-0.1207657</v>
      </c>
      <c r="W5195">
        <v>0.15123229999999999</v>
      </c>
      <c r="X5195">
        <v>0.98109349999999995</v>
      </c>
      <c r="Y5195">
        <v>-0.27115099999999998</v>
      </c>
      <c r="Z5195">
        <v>7.3261609999999899E-3</v>
      </c>
      <c r="AA5195">
        <v>0.9625089</v>
      </c>
      <c r="AB5195">
        <v>29</v>
      </c>
      <c r="AC5195">
        <v>30.209599999999899</v>
      </c>
      <c r="AD5195">
        <v>-1.1107868887250001</v>
      </c>
      <c r="AE5195">
        <v>7.13452999999999</v>
      </c>
      <c r="AF5195">
        <v>-8.4490049153107094</v>
      </c>
      <c r="AG5195">
        <v>-1.1107868887250001</v>
      </c>
      <c r="AH5195">
        <v>29.827383448209201</v>
      </c>
      <c r="AI5195">
        <v>92.052072574508202</v>
      </c>
      <c r="AJ5195">
        <v>105.815482739575</v>
      </c>
      <c r="AK5195">
        <v>31.020837108911302</v>
      </c>
      <c r="AL5195">
        <v>81.3016531885566</v>
      </c>
      <c r="AM5195">
        <v>97.017406710210096</v>
      </c>
      <c r="AN5195">
        <v>1.00000000930101</v>
      </c>
    </row>
    <row r="5196" spans="1:40" x14ac:dyDescent="0.25">
      <c r="A5196" t="str">
        <f>"20190304155521252"</f>
        <v>20190304155521252</v>
      </c>
      <c r="B5196" t="str">
        <f>"1551686121242679"</f>
        <v>1551686121242679</v>
      </c>
      <c r="C5196" t="s">
        <v>40</v>
      </c>
      <c r="D5196">
        <v>4.604603</v>
      </c>
      <c r="E5196">
        <v>0.43804199999999999</v>
      </c>
      <c r="F5196" t="s">
        <v>99</v>
      </c>
      <c r="G5196">
        <v>-213.9238</v>
      </c>
      <c r="H5196" s="1">
        <v>-1.6205490000000001E-6</v>
      </c>
      <c r="I5196">
        <v>-55.450920000000004</v>
      </c>
      <c r="J5196">
        <v>-244.9496</v>
      </c>
      <c r="K5196">
        <v>1.110798</v>
      </c>
      <c r="L5196">
        <v>-62.883699999999997</v>
      </c>
      <c r="M5196">
        <v>0.99901980000000001</v>
      </c>
      <c r="N5196">
        <v>-8.9257069999999997E-3</v>
      </c>
      <c r="O5196">
        <v>-4.3358580000000001E-2</v>
      </c>
      <c r="P5196">
        <v>0.98659160000000001</v>
      </c>
      <c r="Q5196">
        <v>0.1430341</v>
      </c>
      <c r="R5196">
        <v>7.8602980000000003E-2</v>
      </c>
      <c r="S5196">
        <v>3</v>
      </c>
      <c r="T5196">
        <v>-0.10689899999999999</v>
      </c>
      <c r="U5196">
        <v>0.71475219999999995</v>
      </c>
      <c r="V5196">
        <v>-0.1217094</v>
      </c>
      <c r="W5196">
        <v>0.15147449999999901</v>
      </c>
      <c r="X5196">
        <v>0.98093949999999996</v>
      </c>
      <c r="Y5196">
        <v>-0.2735031</v>
      </c>
      <c r="Z5196">
        <v>7.1857070000000004E-3</v>
      </c>
      <c r="AA5196">
        <v>0.96184429999999999</v>
      </c>
      <c r="AB5196">
        <v>29</v>
      </c>
      <c r="AC5196">
        <v>31.0258</v>
      </c>
      <c r="AD5196">
        <v>-1.1107996205490001</v>
      </c>
      <c r="AE5196">
        <v>7.4327800000000002</v>
      </c>
      <c r="AF5196">
        <v>-8.7604577672727206</v>
      </c>
      <c r="AG5196">
        <v>-1.1107996205490001</v>
      </c>
      <c r="AH5196">
        <v>30.637192957365201</v>
      </c>
      <c r="AI5196">
        <v>91.996491854136906</v>
      </c>
      <c r="AJ5196">
        <v>105.957453303253</v>
      </c>
      <c r="AK5196">
        <v>31.884433324053401</v>
      </c>
      <c r="AL5196">
        <v>81.287614359917498</v>
      </c>
      <c r="AM5196">
        <v>97.072788736436706</v>
      </c>
      <c r="AN5196">
        <v>1.00000000242943</v>
      </c>
    </row>
    <row r="5197" spans="1:40" x14ac:dyDescent="0.25">
      <c r="A5197" t="str">
        <f>"20190304155521263"</f>
        <v>20190304155521263</v>
      </c>
      <c r="B5197" t="str">
        <f>"1551686121253416"</f>
        <v>1551686121253416</v>
      </c>
      <c r="C5197" t="s">
        <v>40</v>
      </c>
      <c r="D5197">
        <v>4.7755989999999997</v>
      </c>
      <c r="E5197">
        <v>0.43745200000000001</v>
      </c>
      <c r="F5197" t="s">
        <v>99</v>
      </c>
      <c r="G5197">
        <v>-213.23990000000001</v>
      </c>
      <c r="H5197" s="1">
        <v>-1.447527E-6</v>
      </c>
      <c r="I5197">
        <v>-55.2264699999999</v>
      </c>
      <c r="J5197">
        <v>-244.80080000000001</v>
      </c>
      <c r="K5197">
        <v>1.1108089999999999</v>
      </c>
      <c r="L5197">
        <v>-62.889470000000003</v>
      </c>
      <c r="M5197">
        <v>0.99905189999999999</v>
      </c>
      <c r="N5197">
        <v>-8.9286139999999996E-3</v>
      </c>
      <c r="O5197">
        <v>-4.260978E-2</v>
      </c>
      <c r="P5197">
        <v>0.9864349</v>
      </c>
      <c r="Q5197">
        <v>0.14315220000000001</v>
      </c>
      <c r="R5197">
        <v>8.0333760000000004E-2</v>
      </c>
      <c r="S5197">
        <v>2.9983369999999998</v>
      </c>
      <c r="T5197">
        <v>-0.1050326</v>
      </c>
      <c r="U5197">
        <v>0.72402949999999999</v>
      </c>
      <c r="V5197">
        <v>-0.12269919999999999</v>
      </c>
      <c r="W5197">
        <v>0.15158859999999999</v>
      </c>
      <c r="X5197">
        <v>0.98079850000000002</v>
      </c>
      <c r="Y5197">
        <v>-0.27572140000000001</v>
      </c>
      <c r="Z5197">
        <v>7.1063109999999997E-3</v>
      </c>
      <c r="AA5197">
        <v>0.96121129999999999</v>
      </c>
      <c r="AB5197">
        <v>29</v>
      </c>
      <c r="AC5197">
        <v>31.5609</v>
      </c>
      <c r="AD5197">
        <v>-1.110810447527</v>
      </c>
      <c r="AE5197">
        <v>7.6630000000000003</v>
      </c>
      <c r="AF5197">
        <v>-8.9903796606032795</v>
      </c>
      <c r="AG5197">
        <v>-1.110810447527</v>
      </c>
      <c r="AH5197">
        <v>31.169240849021801</v>
      </c>
      <c r="AI5197">
        <v>91.961160516744997</v>
      </c>
      <c r="AJ5197">
        <v>106.089547815226</v>
      </c>
      <c r="AK5197">
        <v>32.458934076713803</v>
      </c>
      <c r="AL5197">
        <v>81.281000054901</v>
      </c>
      <c r="AM5197">
        <v>97.130732922581601</v>
      </c>
      <c r="AN5197">
        <v>0.99999994746642296</v>
      </c>
    </row>
    <row r="5198" spans="1:40" x14ac:dyDescent="0.25">
      <c r="A5198" t="str">
        <f>"20190304155521273"</f>
        <v>20190304155521273</v>
      </c>
      <c r="B5198" t="str">
        <f>"1551686121263176"</f>
        <v>1551686121263176</v>
      </c>
      <c r="C5198" t="s">
        <v>40</v>
      </c>
      <c r="D5198">
        <v>4.7710309999999998</v>
      </c>
      <c r="E5198">
        <v>0.43695929999999999</v>
      </c>
      <c r="F5198" t="s">
        <v>99</v>
      </c>
      <c r="G5198">
        <v>-213.6815</v>
      </c>
      <c r="H5198" s="1">
        <v>-1.5867199999999999E-6</v>
      </c>
      <c r="I5198">
        <v>-55.2682199999999</v>
      </c>
      <c r="J5198">
        <v>-244.655</v>
      </c>
      <c r="K5198">
        <v>1.1108119999999999</v>
      </c>
      <c r="L5198">
        <v>-62.894959999999998</v>
      </c>
      <c r="M5198">
        <v>0.99908319999999995</v>
      </c>
      <c r="N5198">
        <v>-8.9314540000000001E-3</v>
      </c>
      <c r="O5198">
        <v>-4.1872439999999997E-2</v>
      </c>
      <c r="P5198">
        <v>0.98628289999999996</v>
      </c>
      <c r="Q5198">
        <v>0.1432879</v>
      </c>
      <c r="R5198">
        <v>8.1943119999999994E-2</v>
      </c>
      <c r="S5198">
        <v>2.9970249999999998</v>
      </c>
      <c r="T5198">
        <v>-0.10697959999999999</v>
      </c>
      <c r="U5198">
        <v>0.73397829999999997</v>
      </c>
      <c r="V5198">
        <v>-0.1235792</v>
      </c>
      <c r="W5198">
        <v>0.15172099999999999</v>
      </c>
      <c r="X5198">
        <v>0.98066759999999997</v>
      </c>
      <c r="Y5198">
        <v>-0.27811069999999999</v>
      </c>
      <c r="Z5198">
        <v>7.2563169999999896E-3</v>
      </c>
      <c r="AA5198">
        <v>0.96052159999999998</v>
      </c>
      <c r="AB5198">
        <v>29</v>
      </c>
      <c r="AC5198">
        <v>30.973500000000001</v>
      </c>
      <c r="AD5198">
        <v>-1.11081358672</v>
      </c>
      <c r="AE5198">
        <v>7.6267399999999999</v>
      </c>
      <c r="AF5198">
        <v>-8.9062379024974803</v>
      </c>
      <c r="AG5198">
        <v>-1.11081358672</v>
      </c>
      <c r="AH5198">
        <v>30.589875117698899</v>
      </c>
      <c r="AI5198">
        <v>91.996833009059699</v>
      </c>
      <c r="AJ5198">
        <v>106.232911644917</v>
      </c>
      <c r="AK5198">
        <v>31.879388954569698</v>
      </c>
      <c r="AL5198">
        <v>81.273325883305603</v>
      </c>
      <c r="AM5198">
        <v>97.182291114814007</v>
      </c>
      <c r="AN5198">
        <v>1.0000000111017</v>
      </c>
    </row>
    <row r="5199" spans="1:40" x14ac:dyDescent="0.25">
      <c r="A5199" t="str">
        <f>"20190304155521285"</f>
        <v>20190304155521285</v>
      </c>
      <c r="B5199" t="str">
        <f>"1551686121282696"</f>
        <v>1551686121282696</v>
      </c>
      <c r="C5199" t="s">
        <v>40</v>
      </c>
      <c r="D5199">
        <v>4.6009760000000002</v>
      </c>
      <c r="E5199">
        <v>0.43636770000000003</v>
      </c>
      <c r="F5199" t="s">
        <v>99</v>
      </c>
      <c r="G5199">
        <v>-214.02099999999999</v>
      </c>
      <c r="H5199" s="1">
        <v>-1.693385E-6</v>
      </c>
      <c r="I5199">
        <v>-55.30151</v>
      </c>
      <c r="J5199">
        <v>-244.5146</v>
      </c>
      <c r="K5199">
        <v>1.1108169999999999</v>
      </c>
      <c r="L5199">
        <v>-62.900179999999999</v>
      </c>
      <c r="M5199">
        <v>0.99911249999999996</v>
      </c>
      <c r="N5199">
        <v>-8.9341799999999999E-3</v>
      </c>
      <c r="O5199">
        <v>-4.1162530000000003E-2</v>
      </c>
      <c r="P5199">
        <v>0.98616680000000001</v>
      </c>
      <c r="Q5199">
        <v>0.1431182</v>
      </c>
      <c r="R5199">
        <v>8.3618869999999998E-2</v>
      </c>
      <c r="S5199">
        <v>2.9958040000000001</v>
      </c>
      <c r="T5199">
        <v>-0.1086304</v>
      </c>
      <c r="U5199">
        <v>0.74258419999999903</v>
      </c>
      <c r="V5199">
        <v>-0.1245523</v>
      </c>
      <c r="W5199">
        <v>0.15154899999999999</v>
      </c>
      <c r="X5199">
        <v>0.98057110000000003</v>
      </c>
      <c r="Y5199">
        <v>-0.28011160000000002</v>
      </c>
      <c r="Z5199">
        <v>7.3813350000000002E-3</v>
      </c>
      <c r="AA5199">
        <v>0.95993910000000005</v>
      </c>
      <c r="AB5199">
        <v>29</v>
      </c>
      <c r="AC5199">
        <v>30.493600000000001</v>
      </c>
      <c r="AD5199">
        <v>-1.1108186933849999</v>
      </c>
      <c r="AE5199">
        <v>7.5986700000000003</v>
      </c>
      <c r="AF5199">
        <v>-8.8364328434574801</v>
      </c>
      <c r="AG5199">
        <v>-1.1108186933849999</v>
      </c>
      <c r="AH5199">
        <v>30.117331593537401</v>
      </c>
      <c r="AI5199">
        <v>92.026919246805903</v>
      </c>
      <c r="AJ5199">
        <v>106.35170215839599</v>
      </c>
      <c r="AK5199">
        <v>31.4065299879116</v>
      </c>
      <c r="AL5199">
        <v>81.283296199500995</v>
      </c>
      <c r="AM5199">
        <v>97.238953908441701</v>
      </c>
      <c r="AN5199">
        <v>1.00000002849574</v>
      </c>
    </row>
    <row r="5200" spans="1:40" x14ac:dyDescent="0.25">
      <c r="A5200" t="str">
        <f>"20190304155521299"</f>
        <v>20190304155521299</v>
      </c>
      <c r="B5200" t="str">
        <f>"1551686121293431"</f>
        <v>1551686121293431</v>
      </c>
      <c r="C5200" t="s">
        <v>40</v>
      </c>
      <c r="D5200">
        <v>4.7725669999999996</v>
      </c>
      <c r="E5200">
        <v>0.43630449999999998</v>
      </c>
      <c r="F5200" t="s">
        <v>99</v>
      </c>
      <c r="G5200">
        <v>-214.3698</v>
      </c>
      <c r="H5200" s="1">
        <v>-1.805494E-6</v>
      </c>
      <c r="I5200">
        <v>-55.326230000000002</v>
      </c>
      <c r="J5200">
        <v>-244.34</v>
      </c>
      <c r="K5200">
        <v>1.110822</v>
      </c>
      <c r="L5200">
        <v>-62.906519999999901</v>
      </c>
      <c r="M5200">
        <v>0.99914849999999999</v>
      </c>
      <c r="N5200">
        <v>-8.9375710000000001E-3</v>
      </c>
      <c r="O5200">
        <v>-4.0278809999999998E-2</v>
      </c>
      <c r="P5200">
        <v>0.98607719999999999</v>
      </c>
      <c r="Q5200">
        <v>0.14288020000000001</v>
      </c>
      <c r="R5200">
        <v>8.5069850000000002E-2</v>
      </c>
      <c r="S5200">
        <v>2.9943080000000002</v>
      </c>
      <c r="T5200">
        <v>-0.1103384</v>
      </c>
      <c r="U5200">
        <v>0.75231930000000002</v>
      </c>
      <c r="V5200">
        <v>-0.12513150000000001</v>
      </c>
      <c r="W5200">
        <v>0.151311</v>
      </c>
      <c r="X5200">
        <v>0.98053409999999996</v>
      </c>
      <c r="Y5200">
        <v>-0.28230329999999998</v>
      </c>
      <c r="Z5200">
        <v>7.510058E-3</v>
      </c>
      <c r="AA5200">
        <v>0.95929580000000003</v>
      </c>
      <c r="AB5200">
        <v>29</v>
      </c>
      <c r="AC5200">
        <v>29.970199999999998</v>
      </c>
      <c r="AD5200">
        <v>-1.1108238054940001</v>
      </c>
      <c r="AE5200">
        <v>7.58028999999999</v>
      </c>
      <c r="AF5200">
        <v>-8.7700266381994396</v>
      </c>
      <c r="AG5200">
        <v>-1.1108238054940001</v>
      </c>
      <c r="AH5200">
        <v>29.602317977301499</v>
      </c>
      <c r="AI5200">
        <v>92.060563900535399</v>
      </c>
      <c r="AJ5200">
        <v>106.50252771532</v>
      </c>
      <c r="AK5200">
        <v>30.894085621536799</v>
      </c>
      <c r="AL5200">
        <v>81.297091576034603</v>
      </c>
      <c r="AM5200">
        <v>97.2725288144225</v>
      </c>
      <c r="AN5200">
        <v>1.00000001613802</v>
      </c>
    </row>
    <row r="5201" spans="1:40" x14ac:dyDescent="0.25">
      <c r="A5201" t="str">
        <f>"20190304155521311"</f>
        <v>20190304155521311</v>
      </c>
      <c r="B5201" t="str">
        <f>"1551686121303191"</f>
        <v>1551686121303191</v>
      </c>
      <c r="C5201" t="s">
        <v>40</v>
      </c>
      <c r="D5201">
        <v>4.5877780000000001</v>
      </c>
      <c r="E5201">
        <v>0.43617860000000003</v>
      </c>
      <c r="F5201" t="s">
        <v>99</v>
      </c>
      <c r="G5201">
        <v>-213.44569999999999</v>
      </c>
      <c r="H5201" s="1">
        <v>-1.5535959999999999E-6</v>
      </c>
      <c r="I5201">
        <v>-55.091090000000001</v>
      </c>
      <c r="J5201">
        <v>-244.17140000000001</v>
      </c>
      <c r="K5201">
        <v>1.110827</v>
      </c>
      <c r="L5201">
        <v>-62.912480000000002</v>
      </c>
      <c r="M5201">
        <v>0.99918249999999997</v>
      </c>
      <c r="N5201">
        <v>-8.9408460000000006E-3</v>
      </c>
      <c r="O5201">
        <v>-3.9427650000000002E-2</v>
      </c>
      <c r="P5201">
        <v>0.98594859999999895</v>
      </c>
      <c r="Q5201">
        <v>0.142818</v>
      </c>
      <c r="R5201">
        <v>8.6651039999999999E-2</v>
      </c>
      <c r="S5201">
        <v>2.9926300000000001</v>
      </c>
      <c r="T5201">
        <v>-0.1076018</v>
      </c>
      <c r="U5201">
        <v>0.75704959999999999</v>
      </c>
      <c r="V5201">
        <v>-0.12587100000000001</v>
      </c>
      <c r="W5201">
        <v>0.15124789999999999</v>
      </c>
      <c r="X5201">
        <v>0.98044920000000002</v>
      </c>
      <c r="Y5201">
        <v>-0.2830493</v>
      </c>
      <c r="Z5201">
        <v>7.3437049999999999E-3</v>
      </c>
      <c r="AA5201">
        <v>0.95907719999999996</v>
      </c>
      <c r="AB5201">
        <v>29</v>
      </c>
      <c r="AC5201">
        <v>30.7257</v>
      </c>
      <c r="AD5201">
        <v>-1.1108285535959901</v>
      </c>
      <c r="AE5201">
        <v>7.8213900000000001</v>
      </c>
      <c r="AF5201">
        <v>-9.0157314488464806</v>
      </c>
      <c r="AG5201">
        <v>-1.1108285535959901</v>
      </c>
      <c r="AH5201">
        <v>30.3561529988384</v>
      </c>
      <c r="AI5201">
        <v>92.009041536582501</v>
      </c>
      <c r="AJ5201">
        <v>106.54133974199</v>
      </c>
      <c r="AK5201">
        <v>31.686170146013001</v>
      </c>
      <c r="AL5201">
        <v>81.300749197143801</v>
      </c>
      <c r="AM5201">
        <v>97.315670274365203</v>
      </c>
      <c r="AN5201">
        <v>1.00000003483802</v>
      </c>
    </row>
    <row r="5202" spans="1:40" x14ac:dyDescent="0.25">
      <c r="A5202" t="str">
        <f>"20190304155521331"</f>
        <v>20190304155521331</v>
      </c>
      <c r="B5202" t="str">
        <f>"1551686121322712"</f>
        <v>1551686121322712</v>
      </c>
      <c r="C5202" t="s">
        <v>40</v>
      </c>
      <c r="D5202">
        <v>4.8046720000000001</v>
      </c>
      <c r="E5202">
        <v>0.4357434</v>
      </c>
      <c r="F5202" t="s">
        <v>99</v>
      </c>
      <c r="G5202">
        <v>-213.30940000000001</v>
      </c>
      <c r="H5202" s="1">
        <v>-1.519944E-6</v>
      </c>
      <c r="I5202">
        <v>-55.043219999999998</v>
      </c>
      <c r="J5202">
        <v>-243.91409999999999</v>
      </c>
      <c r="K5202">
        <v>1.1108279999999999</v>
      </c>
      <c r="L5202">
        <v>-62.921300000000002</v>
      </c>
      <c r="M5202">
        <v>0.99923280000000003</v>
      </c>
      <c r="N5202">
        <v>-8.9458579999999992E-3</v>
      </c>
      <c r="O5202">
        <v>-3.8131610000000003E-2</v>
      </c>
      <c r="P5202">
        <v>0.98570979999999997</v>
      </c>
      <c r="Q5202">
        <v>0.14264830000000001</v>
      </c>
      <c r="R5202">
        <v>8.9598720000000007E-2</v>
      </c>
      <c r="S5202">
        <v>2.9913180000000001</v>
      </c>
      <c r="T5202">
        <v>-0.1076676</v>
      </c>
      <c r="U5202">
        <v>0.76272580000000001</v>
      </c>
      <c r="V5202">
        <v>-0.12753619999999999</v>
      </c>
      <c r="W5202">
        <v>0.1510753</v>
      </c>
      <c r="X5202">
        <v>0.98026060000000004</v>
      </c>
      <c r="Y5202">
        <v>-0.28361459999999999</v>
      </c>
      <c r="Z5202">
        <v>7.3277819999999997E-3</v>
      </c>
      <c r="AA5202">
        <v>0.95891029999999999</v>
      </c>
      <c r="AB5202">
        <v>29</v>
      </c>
      <c r="AC5202">
        <v>30.604699999999902</v>
      </c>
      <c r="AD5202">
        <v>-1.1108295199439999</v>
      </c>
      <c r="AE5202">
        <v>7.8780799999999997</v>
      </c>
      <c r="AF5202">
        <v>-9.0282483572962793</v>
      </c>
      <c r="AG5202">
        <v>-1.1108295199439999</v>
      </c>
      <c r="AH5202">
        <v>30.244656055899199</v>
      </c>
      <c r="AI5202">
        <v>92.015612296846001</v>
      </c>
      <c r="AJ5202">
        <v>106.620744421788</v>
      </c>
      <c r="AK5202">
        <v>31.582945248393901</v>
      </c>
      <c r="AL5202">
        <v>81.310753418400395</v>
      </c>
      <c r="AM5202">
        <v>97.412793330023106</v>
      </c>
      <c r="AN5202">
        <v>1.0000000362464401</v>
      </c>
    </row>
    <row r="5203" spans="1:40" x14ac:dyDescent="0.25">
      <c r="A5203" t="str">
        <f>"20190304155521342"</f>
        <v>20190304155521342</v>
      </c>
      <c r="B5203" t="str">
        <f>"1551686121332472"</f>
        <v>1551686121332472</v>
      </c>
      <c r="C5203" t="s">
        <v>40</v>
      </c>
      <c r="D5203">
        <v>4.5535480000000002</v>
      </c>
      <c r="E5203">
        <v>0.43576280000000001</v>
      </c>
      <c r="F5203" t="s">
        <v>99</v>
      </c>
      <c r="G5203">
        <v>-214.74180000000001</v>
      </c>
      <c r="H5203" s="1">
        <v>-1.9234530000000001E-6</v>
      </c>
      <c r="I5203">
        <v>-55.35868</v>
      </c>
      <c r="J5203">
        <v>-243.77330000000001</v>
      </c>
      <c r="K5203">
        <v>1.1108279999999999</v>
      </c>
      <c r="L5203">
        <v>-62.926029999999997</v>
      </c>
      <c r="M5203">
        <v>0.99925949999999997</v>
      </c>
      <c r="N5203">
        <v>-8.9486059999999996E-3</v>
      </c>
      <c r="O5203">
        <v>-3.7423499999999998E-2</v>
      </c>
      <c r="P5203">
        <v>0.98562879999999997</v>
      </c>
      <c r="Q5203">
        <v>0.1425659</v>
      </c>
      <c r="R5203">
        <v>9.0615660000000001E-2</v>
      </c>
      <c r="S5203">
        <v>2.9895170000000002</v>
      </c>
      <c r="T5203">
        <v>-0.1138353</v>
      </c>
      <c r="U5203">
        <v>0.77499390000000001</v>
      </c>
      <c r="V5203">
        <v>-0.12785479999999999</v>
      </c>
      <c r="W5203">
        <v>0.1509933</v>
      </c>
      <c r="X5203">
        <v>0.98023170000000004</v>
      </c>
      <c r="Y5203">
        <v>-0.28673549999999998</v>
      </c>
      <c r="Z5203">
        <v>7.7467169999999898E-3</v>
      </c>
      <c r="AA5203">
        <v>0.95797849999999996</v>
      </c>
      <c r="AB5203">
        <v>29</v>
      </c>
      <c r="AC5203">
        <v>29.031499999999902</v>
      </c>
      <c r="AD5203">
        <v>-1.1108299234529999</v>
      </c>
      <c r="AE5203">
        <v>7.5673499999999896</v>
      </c>
      <c r="AF5203">
        <v>-8.6367122524621394</v>
      </c>
      <c r="AG5203">
        <v>-1.1108299234529999</v>
      </c>
      <c r="AH5203">
        <v>28.688624210737199</v>
      </c>
      <c r="AI5203">
        <v>92.123355191484094</v>
      </c>
      <c r="AJ5203">
        <v>106.754424994525</v>
      </c>
      <c r="AK5203">
        <v>29.981059033255701</v>
      </c>
      <c r="AL5203">
        <v>81.315505929725205</v>
      </c>
      <c r="AM5203">
        <v>97.4313212612076</v>
      </c>
      <c r="AN5203">
        <v>1.00000000610641</v>
      </c>
    </row>
    <row r="5204" spans="1:40" x14ac:dyDescent="0.25">
      <c r="A5204" t="str">
        <f>"20190304155521353"</f>
        <v>20190304155521353</v>
      </c>
      <c r="B5204" t="str">
        <f>"1551686121342758"</f>
        <v>1551686121342758</v>
      </c>
      <c r="C5204" t="s">
        <v>40</v>
      </c>
      <c r="D5204">
        <v>4.7286109999999999</v>
      </c>
      <c r="E5204">
        <v>0.43565330000000002</v>
      </c>
      <c r="F5204" t="s">
        <v>99</v>
      </c>
      <c r="G5204">
        <v>-214.6352</v>
      </c>
      <c r="H5204" s="1">
        <v>-1.892106E-6</v>
      </c>
      <c r="I5204">
        <v>-55.34019</v>
      </c>
      <c r="J5204">
        <v>-243.61580000000001</v>
      </c>
      <c r="K5204">
        <v>1.110833</v>
      </c>
      <c r="L5204">
        <v>-62.9311199999999</v>
      </c>
      <c r="M5204">
        <v>0.99928870000000003</v>
      </c>
      <c r="N5204">
        <v>-8.9517050000000008E-3</v>
      </c>
      <c r="O5204">
        <v>-3.6634100000000003E-2</v>
      </c>
      <c r="P5204">
        <v>0.9855102</v>
      </c>
      <c r="Q5204">
        <v>0.14244409999999999</v>
      </c>
      <c r="R5204">
        <v>9.2083970000000001E-2</v>
      </c>
      <c r="S5204">
        <v>2.9887079999999999</v>
      </c>
      <c r="T5204">
        <v>-0.11393830000000001</v>
      </c>
      <c r="U5204">
        <v>0.7780762</v>
      </c>
      <c r="V5204">
        <v>-0.12854289999999999</v>
      </c>
      <c r="W5204">
        <v>0.1508707</v>
      </c>
      <c r="X5204">
        <v>0.98016060000000005</v>
      </c>
      <c r="Y5204">
        <v>-0.28696680000000002</v>
      </c>
      <c r="Z5204">
        <v>7.7369909999999899E-3</v>
      </c>
      <c r="AA5204">
        <v>0.95790929999999996</v>
      </c>
      <c r="AB5204">
        <v>29</v>
      </c>
      <c r="AC5204">
        <v>28.980599999999999</v>
      </c>
      <c r="AD5204">
        <v>-1.1108348921060001</v>
      </c>
      <c r="AE5204">
        <v>7.5909299999999904</v>
      </c>
      <c r="AF5204">
        <v>-8.6356817835970094</v>
      </c>
      <c r="AG5204">
        <v>-1.1108348921060001</v>
      </c>
      <c r="AH5204">
        <v>28.6436653862058</v>
      </c>
      <c r="AI5204">
        <v>92.126438260248193</v>
      </c>
      <c r="AJ5204">
        <v>106.777356166085</v>
      </c>
      <c r="AK5204">
        <v>29.937744083046599</v>
      </c>
      <c r="AL5204">
        <v>81.322611948330803</v>
      </c>
      <c r="AM5204">
        <v>97.471401000735398</v>
      </c>
      <c r="AN5204">
        <v>1.0000000235256199</v>
      </c>
    </row>
    <row r="5205" spans="1:40" x14ac:dyDescent="0.25">
      <c r="A5205" t="str">
        <f>"20190304155521365"</f>
        <v>20190304155521365</v>
      </c>
      <c r="B5205" t="str">
        <f>"1551686121363236"</f>
        <v>1551686121363236</v>
      </c>
      <c r="C5205" t="s">
        <v>40</v>
      </c>
      <c r="D5205">
        <v>4.6932219999999996</v>
      </c>
      <c r="E5205">
        <v>0.4353033</v>
      </c>
      <c r="F5205" t="s">
        <v>99</v>
      </c>
      <c r="G5205">
        <v>-214.99629999999999</v>
      </c>
      <c r="H5205" s="1">
        <v>-1.9916909999999999E-6</v>
      </c>
      <c r="I5205">
        <v>-55.427779999999998</v>
      </c>
      <c r="J5205">
        <v>-243.47319999999999</v>
      </c>
      <c r="K5205">
        <v>1.1108359999999999</v>
      </c>
      <c r="L5205">
        <v>-62.935699999999997</v>
      </c>
      <c r="M5205">
        <v>0.99931449999999999</v>
      </c>
      <c r="N5205">
        <v>-8.9545049999999998E-3</v>
      </c>
      <c r="O5205">
        <v>-3.5920750000000001E-2</v>
      </c>
      <c r="P5205">
        <v>0.98535249999999996</v>
      </c>
      <c r="Q5205">
        <v>0.1427417</v>
      </c>
      <c r="R5205">
        <v>9.3302140000000006E-2</v>
      </c>
      <c r="S5205">
        <v>2.9876860000000001</v>
      </c>
      <c r="T5205">
        <v>-0.1159642</v>
      </c>
      <c r="U5205">
        <v>0.78329469999999901</v>
      </c>
      <c r="V5205">
        <v>-0.1290557</v>
      </c>
      <c r="W5205">
        <v>0.15116869999999999</v>
      </c>
      <c r="X5205">
        <v>0.98004729999999995</v>
      </c>
      <c r="Y5205">
        <v>-0.2879198</v>
      </c>
      <c r="Z5205">
        <v>7.859988E-3</v>
      </c>
      <c r="AA5205">
        <v>0.95762219999999998</v>
      </c>
      <c r="AB5205">
        <v>29</v>
      </c>
      <c r="AC5205">
        <v>28.476900000000001</v>
      </c>
      <c r="AD5205">
        <v>-1.1108379916910001</v>
      </c>
      <c r="AE5205">
        <v>7.5079199999999897</v>
      </c>
      <c r="AF5205">
        <v>-8.5139137231828492</v>
      </c>
      <c r="AG5205">
        <v>-1.1108379916910001</v>
      </c>
      <c r="AH5205">
        <v>28.1487709193465</v>
      </c>
      <c r="AI5205">
        <v>92.163211788943499</v>
      </c>
      <c r="AJ5205">
        <v>106.82853427723801</v>
      </c>
      <c r="AK5205">
        <v>29.429135090916802</v>
      </c>
      <c r="AL5205">
        <v>81.305339762628293</v>
      </c>
      <c r="AM5205">
        <v>97.501725428363002</v>
      </c>
      <c r="AN5205">
        <v>1.00000002989973</v>
      </c>
    </row>
    <row r="5206" spans="1:40" x14ac:dyDescent="0.25">
      <c r="A5206" t="str">
        <f>"20190304155521374"</f>
        <v>20190304155521374</v>
      </c>
      <c r="B5206" t="str">
        <f>"1551686121372996"</f>
        <v>1551686121372996</v>
      </c>
      <c r="C5206" t="s">
        <v>40</v>
      </c>
      <c r="D5206">
        <v>4.475676</v>
      </c>
      <c r="E5206">
        <v>0.43516510000000003</v>
      </c>
      <c r="F5206" t="s">
        <v>99</v>
      </c>
      <c r="G5206">
        <v>-215.52019999999999</v>
      </c>
      <c r="H5206" s="1">
        <v>-2.195608E-6</v>
      </c>
      <c r="I5206">
        <v>-55.544269999999997</v>
      </c>
      <c r="J5206">
        <v>-243.3339</v>
      </c>
      <c r="K5206">
        <v>1.110838</v>
      </c>
      <c r="L5206">
        <v>-62.94</v>
      </c>
      <c r="M5206">
        <v>0.99933939999999999</v>
      </c>
      <c r="N5206">
        <v>-8.9572439999999996E-3</v>
      </c>
      <c r="O5206">
        <v>-3.5224569999999997E-2</v>
      </c>
      <c r="P5206">
        <v>0.98522730000000003</v>
      </c>
      <c r="Q5206">
        <v>0.14281749999999999</v>
      </c>
      <c r="R5206">
        <v>9.4502589999999997E-2</v>
      </c>
      <c r="S5206">
        <v>2.9870000000000001</v>
      </c>
      <c r="T5206">
        <v>-0.11870169999999999</v>
      </c>
      <c r="U5206">
        <v>0.78982540000000001</v>
      </c>
      <c r="V5206">
        <v>-0.12956819999999999</v>
      </c>
      <c r="W5206">
        <v>0.15124360000000001</v>
      </c>
      <c r="X5206">
        <v>0.97996810000000001</v>
      </c>
      <c r="Y5206">
        <v>-0.2892517</v>
      </c>
      <c r="Z5206">
        <v>8.0333130000000003E-3</v>
      </c>
      <c r="AA5206">
        <v>0.95721940000000005</v>
      </c>
      <c r="AB5206">
        <v>29</v>
      </c>
      <c r="AC5206">
        <v>27.813700000000001</v>
      </c>
      <c r="AD5206">
        <v>-1.1108401956080001</v>
      </c>
      <c r="AE5206">
        <v>7.3957300000000004</v>
      </c>
      <c r="AF5206">
        <v>-8.3584527333637002</v>
      </c>
      <c r="AG5206">
        <v>-1.1108401956080001</v>
      </c>
      <c r="AH5206">
        <v>27.494955354575001</v>
      </c>
      <c r="AI5206">
        <v>92.213660756067398</v>
      </c>
      <c r="AJ5206">
        <v>106.90924568739401</v>
      </c>
      <c r="AK5206">
        <v>28.758829391790702</v>
      </c>
      <c r="AL5206">
        <v>81.300998227252606</v>
      </c>
      <c r="AM5206">
        <v>97.531776317469806</v>
      </c>
      <c r="AN5206">
        <v>1.0000000110049001</v>
      </c>
    </row>
    <row r="5207" spans="1:40" x14ac:dyDescent="0.25">
      <c r="A5207" t="str">
        <f>"20190304155521386"</f>
        <v>20190304155521386</v>
      </c>
      <c r="B5207" t="str">
        <f>"1551686121382755"</f>
        <v>1551686121382755</v>
      </c>
      <c r="C5207" t="s">
        <v>40</v>
      </c>
      <c r="D5207">
        <v>4.478637</v>
      </c>
      <c r="E5207">
        <v>0.43505840000000001</v>
      </c>
      <c r="F5207" t="s">
        <v>99</v>
      </c>
      <c r="G5207">
        <v>-214.95779999999999</v>
      </c>
      <c r="H5207" s="1">
        <v>-1.9894299999999999E-6</v>
      </c>
      <c r="I5207">
        <v>-55.387050000000002</v>
      </c>
      <c r="J5207">
        <v>-243.1953</v>
      </c>
      <c r="K5207">
        <v>1.110843</v>
      </c>
      <c r="L5207">
        <v>-62.944240000000001</v>
      </c>
      <c r="M5207">
        <v>0.99936340000000001</v>
      </c>
      <c r="N5207">
        <v>-8.9599620000000001E-3</v>
      </c>
      <c r="O5207">
        <v>-3.4532569999999999E-2</v>
      </c>
      <c r="P5207">
        <v>0.98508209999999996</v>
      </c>
      <c r="Q5207">
        <v>0.14315349999999999</v>
      </c>
      <c r="R5207">
        <v>9.5500329999999994E-2</v>
      </c>
      <c r="S5207">
        <v>2.985703</v>
      </c>
      <c r="T5207">
        <v>-0.1168816</v>
      </c>
      <c r="U5207">
        <v>0.79470830000000003</v>
      </c>
      <c r="V5207">
        <v>-0.1298829</v>
      </c>
      <c r="W5207">
        <v>0.1515801</v>
      </c>
      <c r="X5207">
        <v>0.97987440000000003</v>
      </c>
      <c r="Y5207">
        <v>-0.29016130000000001</v>
      </c>
      <c r="Z5207">
        <v>7.9288540000000008E-3</v>
      </c>
      <c r="AA5207">
        <v>0.95694489999999999</v>
      </c>
      <c r="AB5207">
        <v>29</v>
      </c>
      <c r="AC5207">
        <v>28.237500000000001</v>
      </c>
      <c r="AD5207">
        <v>-1.1108449894299901</v>
      </c>
      <c r="AE5207">
        <v>7.5571899999999896</v>
      </c>
      <c r="AF5207">
        <v>-8.5155372357956693</v>
      </c>
      <c r="AG5207">
        <v>-1.1108449894299901</v>
      </c>
      <c r="AH5207">
        <v>27.919357714772801</v>
      </c>
      <c r="AI5207">
        <v>92.179442972438807</v>
      </c>
      <c r="AJ5207">
        <v>106.961955847139</v>
      </c>
      <c r="AK5207">
        <v>29.2102531007557</v>
      </c>
      <c r="AL5207">
        <v>81.281492935148705</v>
      </c>
      <c r="AM5207">
        <v>97.550572623091298</v>
      </c>
      <c r="AN5207">
        <v>0.99999996710188899</v>
      </c>
    </row>
    <row r="5208" spans="1:40" x14ac:dyDescent="0.25">
      <c r="A5208" t="str">
        <f>"20190304155521396"</f>
        <v>20190304155521396</v>
      </c>
      <c r="B5208" t="str">
        <f>"1551686121392515"</f>
        <v>1551686121392515</v>
      </c>
      <c r="C5208" t="s">
        <v>40</v>
      </c>
      <c r="D5208">
        <v>4.7945209999999996</v>
      </c>
      <c r="E5208">
        <v>0.43527120000000002</v>
      </c>
      <c r="F5208" t="s">
        <v>99</v>
      </c>
      <c r="G5208">
        <v>-214.24680000000001</v>
      </c>
      <c r="H5208" s="1">
        <v>-1.7981509999999999E-6</v>
      </c>
      <c r="I5208">
        <v>-55.196489999999997</v>
      </c>
      <c r="J5208">
        <v>-243.0549</v>
      </c>
      <c r="K5208">
        <v>1.1108469999999999</v>
      </c>
      <c r="L5208">
        <v>-62.948390000000003</v>
      </c>
      <c r="M5208">
        <v>0.99938740000000004</v>
      </c>
      <c r="N5208">
        <v>-8.9627179999999997E-3</v>
      </c>
      <c r="O5208">
        <v>-3.3831979999999998E-2</v>
      </c>
      <c r="P5208">
        <v>0.98495790000000005</v>
      </c>
      <c r="Q5208">
        <v>0.14356659999999999</v>
      </c>
      <c r="R5208">
        <v>9.6159830000000002E-2</v>
      </c>
      <c r="S5208">
        <v>2.9846339999999998</v>
      </c>
      <c r="T5208">
        <v>-0.11452950000000001</v>
      </c>
      <c r="U5208">
        <v>0.7987976</v>
      </c>
      <c r="V5208">
        <v>-0.12985169999999999</v>
      </c>
      <c r="W5208">
        <v>0.1519944</v>
      </c>
      <c r="X5208">
        <v>0.97981439999999997</v>
      </c>
      <c r="Y5208">
        <v>-0.29080919999999999</v>
      </c>
      <c r="Z5208">
        <v>7.7865230000000001E-3</v>
      </c>
      <c r="AA5208">
        <v>0.95674939999999997</v>
      </c>
      <c r="AB5208">
        <v>29</v>
      </c>
      <c r="AC5208">
        <v>28.8081</v>
      </c>
      <c r="AD5208">
        <v>-1.110848798151</v>
      </c>
      <c r="AE5208">
        <v>7.7518999999999902</v>
      </c>
      <c r="AF5208">
        <v>-8.7100595916493901</v>
      </c>
      <c r="AG5208">
        <v>-1.110848798151</v>
      </c>
      <c r="AH5208">
        <v>28.489833174697001</v>
      </c>
      <c r="AI5208">
        <v>92.1354209831281</v>
      </c>
      <c r="AJ5208">
        <v>106.99971213129</v>
      </c>
      <c r="AK5208">
        <v>29.812241067462601</v>
      </c>
      <c r="AL5208">
        <v>81.257477403171293</v>
      </c>
      <c r="AM5208">
        <v>97.549236697407196</v>
      </c>
      <c r="AN5208">
        <v>1.0000000100358</v>
      </c>
    </row>
    <row r="5209" spans="1:40" x14ac:dyDescent="0.25">
      <c r="A5209" t="str">
        <f>"20190304155521409"</f>
        <v>20190304155521409</v>
      </c>
      <c r="B5209" t="str">
        <f>"1551686121403252"</f>
        <v>1551686121403252</v>
      </c>
      <c r="C5209" t="s">
        <v>40</v>
      </c>
      <c r="D5209">
        <v>4.4926940000000002</v>
      </c>
      <c r="E5209">
        <v>0.43535059999999898</v>
      </c>
      <c r="F5209" t="s">
        <v>99</v>
      </c>
      <c r="G5209">
        <v>-213.1737</v>
      </c>
      <c r="H5209" s="1">
        <v>-1.500611E-6</v>
      </c>
      <c r="I5209">
        <v>-54.942349999999998</v>
      </c>
      <c r="J5209">
        <v>-242.90049999999999</v>
      </c>
      <c r="K5209">
        <v>1.1108469999999999</v>
      </c>
      <c r="L5209">
        <v>-62.952910000000003</v>
      </c>
      <c r="M5209">
        <v>0.9994132</v>
      </c>
      <c r="N5209">
        <v>-8.9657569999999995E-3</v>
      </c>
      <c r="O5209">
        <v>-3.3062479999999998E-2</v>
      </c>
      <c r="P5209">
        <v>0.98479620000000001</v>
      </c>
      <c r="Q5209">
        <v>0.1441837</v>
      </c>
      <c r="R5209">
        <v>9.6892569999999997E-2</v>
      </c>
      <c r="S5209">
        <v>2.9839020000000001</v>
      </c>
      <c r="T5209">
        <v>-0.1109282</v>
      </c>
      <c r="U5209">
        <v>0.79946899999999999</v>
      </c>
      <c r="V5209">
        <v>-0.1298261</v>
      </c>
      <c r="W5209">
        <v>0.1526132</v>
      </c>
      <c r="X5209">
        <v>0.97972159999999997</v>
      </c>
      <c r="Y5209">
        <v>-0.29034759999999998</v>
      </c>
      <c r="Z5209">
        <v>7.5439840000000001E-3</v>
      </c>
      <c r="AA5209">
        <v>0.95689150000000001</v>
      </c>
      <c r="AB5209">
        <v>29</v>
      </c>
      <c r="AC5209">
        <v>29.726800000000001</v>
      </c>
      <c r="AD5209">
        <v>-1.1108485006109901</v>
      </c>
      <c r="AE5209">
        <v>8.0105599999999892</v>
      </c>
      <c r="AF5209">
        <v>-8.9773738610999008</v>
      </c>
      <c r="AG5209">
        <v>-1.1108485006109901</v>
      </c>
      <c r="AH5209">
        <v>29.407402310589699</v>
      </c>
      <c r="AI5209">
        <v>92.069109363738804</v>
      </c>
      <c r="AJ5209">
        <v>106.976172031922</v>
      </c>
      <c r="AK5209">
        <v>30.767231537630199</v>
      </c>
      <c r="AL5209">
        <v>81.221604262032102</v>
      </c>
      <c r="AM5209">
        <v>97.548472227849601</v>
      </c>
      <c r="AN5209">
        <v>1.000000009281</v>
      </c>
    </row>
    <row r="5210" spans="1:40" x14ac:dyDescent="0.25">
      <c r="A5210" t="str">
        <f>"20190304155521419"</f>
        <v>20190304155521419</v>
      </c>
      <c r="B5210" t="str">
        <f>"1551686121413012"</f>
        <v>1551686121413012</v>
      </c>
      <c r="C5210" t="s">
        <v>40</v>
      </c>
      <c r="D5210">
        <v>4.4380350000000002</v>
      </c>
      <c r="E5210">
        <v>0.43526179999999898</v>
      </c>
      <c r="F5210" t="s">
        <v>99</v>
      </c>
      <c r="G5210">
        <v>-212.33879999999999</v>
      </c>
      <c r="H5210" s="1">
        <v>-1.2692610000000001E-6</v>
      </c>
      <c r="I5210">
        <v>-54.743949999999998</v>
      </c>
      <c r="J5210">
        <v>-242.74879999999999</v>
      </c>
      <c r="K5210">
        <v>1.1108530000000001</v>
      </c>
      <c r="L5210">
        <v>-62.957210000000003</v>
      </c>
      <c r="M5210">
        <v>0.99943789999999999</v>
      </c>
      <c r="N5210">
        <v>-8.968742E-3</v>
      </c>
      <c r="O5210">
        <v>-3.2306939999999999E-2</v>
      </c>
      <c r="P5210">
        <v>0.98468049999999996</v>
      </c>
      <c r="Q5210">
        <v>0.1447821</v>
      </c>
      <c r="R5210">
        <v>9.7173800000000005E-2</v>
      </c>
      <c r="S5210">
        <v>2.9833530000000001</v>
      </c>
      <c r="T5210">
        <v>-0.10843800000000001</v>
      </c>
      <c r="U5210">
        <v>0.8013306</v>
      </c>
      <c r="V5210">
        <v>-0.12936400000000001</v>
      </c>
      <c r="W5210">
        <v>0.15321489999999999</v>
      </c>
      <c r="X5210">
        <v>0.97968880000000003</v>
      </c>
      <c r="Y5210">
        <v>-0.29023569999999999</v>
      </c>
      <c r="Z5210">
        <v>7.3761310000000002E-3</v>
      </c>
      <c r="AA5210">
        <v>0.95692679999999997</v>
      </c>
      <c r="AB5210">
        <v>29</v>
      </c>
      <c r="AC5210">
        <v>30.41</v>
      </c>
      <c r="AD5210">
        <v>-1.1108542692609999</v>
      </c>
      <c r="AE5210">
        <v>8.2132599999999893</v>
      </c>
      <c r="AF5210">
        <v>-9.1800487948025697</v>
      </c>
      <c r="AG5210">
        <v>-1.1108542692609999</v>
      </c>
      <c r="AH5210">
        <v>30.091345034</v>
      </c>
      <c r="AI5210">
        <v>92.022245455877197</v>
      </c>
      <c r="AJ5210">
        <v>106.96551830414199</v>
      </c>
      <c r="AK5210">
        <v>31.4800943301911</v>
      </c>
      <c r="AL5210">
        <v>81.186719019314495</v>
      </c>
      <c r="AM5210">
        <v>97.522161510131994</v>
      </c>
      <c r="AN5210">
        <v>0.99999999746172497</v>
      </c>
    </row>
    <row r="5211" spans="1:40" x14ac:dyDescent="0.25">
      <c r="A5211" t="str">
        <f>"20190304155521430"</f>
        <v>20190304155521430</v>
      </c>
      <c r="B5211" t="str">
        <f>"1551686121422773"</f>
        <v>1551686121422773</v>
      </c>
      <c r="C5211" t="s">
        <v>40</v>
      </c>
      <c r="D5211">
        <v>4.4160149999999998</v>
      </c>
      <c r="E5211">
        <v>0.43515490000000001</v>
      </c>
      <c r="F5211" t="s">
        <v>99</v>
      </c>
      <c r="G5211">
        <v>-211.3862</v>
      </c>
      <c r="H5211" s="1">
        <v>-1.0061659999999999E-6</v>
      </c>
      <c r="I5211">
        <v>-54.51444</v>
      </c>
      <c r="J5211">
        <v>-242.60939999999999</v>
      </c>
      <c r="K5211">
        <v>1.110857</v>
      </c>
      <c r="L5211">
        <v>-62.960999999999999</v>
      </c>
      <c r="M5211">
        <v>0.99945989999999996</v>
      </c>
      <c r="N5211">
        <v>-8.9715030000000005E-3</v>
      </c>
      <c r="O5211">
        <v>-3.161303E-2</v>
      </c>
      <c r="P5211">
        <v>0.98455320000000002</v>
      </c>
      <c r="Q5211">
        <v>0.14540310000000001</v>
      </c>
      <c r="R5211">
        <v>9.7535010000000005E-2</v>
      </c>
      <c r="S5211">
        <v>2.9829859999999999</v>
      </c>
      <c r="T5211">
        <v>-0.10565629999999999</v>
      </c>
      <c r="U5211">
        <v>0.80300899999999997</v>
      </c>
      <c r="V5211">
        <v>-0.12904260000000001</v>
      </c>
      <c r="W5211">
        <v>0.15383829999999901</v>
      </c>
      <c r="X5211">
        <v>0.97963350000000005</v>
      </c>
      <c r="Y5211">
        <v>-0.29011419999999999</v>
      </c>
      <c r="Z5211">
        <v>7.1936550000000002E-3</v>
      </c>
      <c r="AA5211">
        <v>0.95696499999999995</v>
      </c>
      <c r="AB5211">
        <v>29</v>
      </c>
      <c r="AC5211">
        <v>31.223199999999899</v>
      </c>
      <c r="AD5211">
        <v>-1.1108580061660001</v>
      </c>
      <c r="AE5211">
        <v>8.4465599999999998</v>
      </c>
      <c r="AF5211">
        <v>-9.4183289434334192</v>
      </c>
      <c r="AG5211">
        <v>-1.1108580061660001</v>
      </c>
      <c r="AH5211">
        <v>30.904110123858</v>
      </c>
      <c r="AI5211">
        <v>91.969282106336493</v>
      </c>
      <c r="AJ5211">
        <v>106.949111382845</v>
      </c>
      <c r="AK5211">
        <v>32.326505350008397</v>
      </c>
      <c r="AL5211">
        <v>81.1505723576159</v>
      </c>
      <c r="AM5211">
        <v>97.504104956198105</v>
      </c>
      <c r="AN5211">
        <v>1.0000000047419499</v>
      </c>
    </row>
    <row r="5212" spans="1:40" x14ac:dyDescent="0.25">
      <c r="A5212" t="str">
        <f>"20190304155521442"</f>
        <v>20190304155521442</v>
      </c>
      <c r="B5212" t="str">
        <f>"1551686121432531"</f>
        <v>1551686121432531</v>
      </c>
      <c r="C5212" t="s">
        <v>40</v>
      </c>
      <c r="D5212">
        <v>4.5122200000000001</v>
      </c>
      <c r="E5212">
        <v>0.43523250000000002</v>
      </c>
      <c r="F5212" t="s">
        <v>99</v>
      </c>
      <c r="G5212">
        <v>-210.3416</v>
      </c>
      <c r="H5212" s="1">
        <v>-7.2077930000000003E-7</v>
      </c>
      <c r="I5212">
        <v>-54.250970000000002</v>
      </c>
      <c r="J5212">
        <v>-242.46129999999999</v>
      </c>
      <c r="K5212">
        <v>1.1108629999999999</v>
      </c>
      <c r="L5212">
        <v>-62.965000000000003</v>
      </c>
      <c r="M5212">
        <v>0.99948300000000001</v>
      </c>
      <c r="N5212">
        <v>-8.9744349999999994E-3</v>
      </c>
      <c r="O5212">
        <v>-3.087693E-2</v>
      </c>
      <c r="P5212">
        <v>0.98441449999999997</v>
      </c>
      <c r="Q5212">
        <v>0.14613480000000001</v>
      </c>
      <c r="R5212">
        <v>9.7841429999999993E-2</v>
      </c>
      <c r="S5212">
        <v>2.9824830000000002</v>
      </c>
      <c r="T5212">
        <v>-0.1026754</v>
      </c>
      <c r="U5212">
        <v>0.80505369999999998</v>
      </c>
      <c r="V5212">
        <v>-0.12862399999999999</v>
      </c>
      <c r="W5212">
        <v>0.1545733</v>
      </c>
      <c r="X5212">
        <v>0.97957280000000002</v>
      </c>
      <c r="Y5212">
        <v>-0.29007339999999998</v>
      </c>
      <c r="Z5212">
        <v>7.0019039999999998E-3</v>
      </c>
      <c r="AA5212">
        <v>0.95697880000000002</v>
      </c>
      <c r="AB5212">
        <v>30</v>
      </c>
      <c r="AC5212">
        <v>32.119699999999902</v>
      </c>
      <c r="AD5212">
        <v>-1.1108637207793</v>
      </c>
      <c r="AE5212">
        <v>8.7140299999999993</v>
      </c>
      <c r="AF5212">
        <v>-9.69087546596419</v>
      </c>
      <c r="AG5212">
        <v>-1.1108637207793</v>
      </c>
      <c r="AH5212">
        <v>31.799881472488501</v>
      </c>
      <c r="AI5212">
        <v>91.913868579453506</v>
      </c>
      <c r="AJ5212">
        <v>106.948371913617</v>
      </c>
      <c r="AK5212">
        <v>33.262284154388603</v>
      </c>
      <c r="AL5212">
        <v>81.107949693271394</v>
      </c>
      <c r="AM5212">
        <v>97.480496811444695</v>
      </c>
      <c r="AN5212">
        <v>0.99999995447436396</v>
      </c>
    </row>
    <row r="5213" spans="1:40" x14ac:dyDescent="0.25">
      <c r="A5213" t="str">
        <f>"20190304155521453"</f>
        <v>20190304155521453</v>
      </c>
      <c r="B5213" t="str">
        <f>"1551686121442624"</f>
        <v>1551686121442624</v>
      </c>
      <c r="C5213" t="s">
        <v>40</v>
      </c>
      <c r="D5213">
        <v>4.4327239999999897</v>
      </c>
      <c r="E5213">
        <v>0.4351217</v>
      </c>
      <c r="F5213" t="s">
        <v>74</v>
      </c>
      <c r="G5213">
        <v>-209.5898</v>
      </c>
      <c r="H5213" s="1">
        <v>-1.9070440000000001E-6</v>
      </c>
      <c r="I5213">
        <v>-54.089480000000002</v>
      </c>
      <c r="J5213">
        <v>-242.30600000000001</v>
      </c>
      <c r="K5213">
        <v>1.110867</v>
      </c>
      <c r="L5213">
        <v>-62.968989999999998</v>
      </c>
      <c r="M5213">
        <v>0.99950649999999996</v>
      </c>
      <c r="N5213">
        <v>-8.9775480000000001E-3</v>
      </c>
      <c r="O5213">
        <v>-3.0107330000000002E-2</v>
      </c>
      <c r="P5213">
        <v>0.98437189999999997</v>
      </c>
      <c r="Q5213">
        <v>0.14635119999999999</v>
      </c>
      <c r="R5213">
        <v>9.7947030000000004E-2</v>
      </c>
      <c r="S5213">
        <v>2.9824069999999998</v>
      </c>
      <c r="T5213">
        <v>-0.1007879</v>
      </c>
      <c r="U5213">
        <v>0.80526730000000002</v>
      </c>
      <c r="V5213">
        <v>-0.12797349999999999</v>
      </c>
      <c r="W5213">
        <v>0.15479519999999999</v>
      </c>
      <c r="X5213">
        <v>0.97962300000000002</v>
      </c>
      <c r="Y5213">
        <v>-0.28941430000000001</v>
      </c>
      <c r="Z5213">
        <v>6.8602949999999998E-3</v>
      </c>
      <c r="AA5213">
        <v>0.95717940000000001</v>
      </c>
      <c r="AB5213">
        <v>30</v>
      </c>
      <c r="AC5213">
        <v>32.716199999999901</v>
      </c>
      <c r="AD5213">
        <v>-1.1108689070440001</v>
      </c>
      <c r="AE5213">
        <v>8.8795099999999998</v>
      </c>
      <c r="AF5213">
        <v>-9.8499442517999505</v>
      </c>
      <c r="AG5213">
        <v>-1.1108689070440001</v>
      </c>
      <c r="AH5213">
        <v>32.399227595032201</v>
      </c>
      <c r="AI5213">
        <v>91.878879325944695</v>
      </c>
      <c r="AJ5213">
        <v>106.910209207438</v>
      </c>
      <c r="AK5213">
        <v>33.8816378034903</v>
      </c>
      <c r="AL5213">
        <v>81.095081245739706</v>
      </c>
      <c r="AM5213">
        <v>97.442713231615102</v>
      </c>
      <c r="AN5213">
        <v>0.99999999638714498</v>
      </c>
    </row>
    <row r="5214" spans="1:40" x14ac:dyDescent="0.25">
      <c r="A5214" t="str">
        <f>"20190304155521465"</f>
        <v>20190304155521465</v>
      </c>
      <c r="B5214" t="str">
        <f>"1551686121453332"</f>
        <v>1551686121453332</v>
      </c>
      <c r="C5214" t="s">
        <v>40</v>
      </c>
      <c r="D5214">
        <v>4.6238960000000002</v>
      </c>
      <c r="E5214">
        <v>0.43492199999999998</v>
      </c>
      <c r="F5214" t="s">
        <v>74</v>
      </c>
      <c r="G5214">
        <v>-209.06200000000001</v>
      </c>
      <c r="H5214" s="1">
        <v>-2.2715799999999999E-6</v>
      </c>
      <c r="I5214">
        <v>-53.980460000000001</v>
      </c>
      <c r="J5214">
        <v>-242.16059999999999</v>
      </c>
      <c r="K5214">
        <v>1.110868</v>
      </c>
      <c r="L5214">
        <v>-62.972720000000002</v>
      </c>
      <c r="M5214">
        <v>0.99952779999999997</v>
      </c>
      <c r="N5214">
        <v>-8.9804199999999994E-3</v>
      </c>
      <c r="O5214">
        <v>-2.9388649999999999E-2</v>
      </c>
      <c r="P5214">
        <v>0.98430819999999997</v>
      </c>
      <c r="Q5214">
        <v>0.1467685</v>
      </c>
      <c r="R5214">
        <v>9.7962469999999996E-2</v>
      </c>
      <c r="S5214">
        <v>2.982224</v>
      </c>
      <c r="T5214">
        <v>-9.9652770000000002E-2</v>
      </c>
      <c r="U5214">
        <v>0.80633540000000004</v>
      </c>
      <c r="V5214">
        <v>-0.1272829</v>
      </c>
      <c r="W5214">
        <v>0.15521779999999999</v>
      </c>
      <c r="X5214">
        <v>0.97964609999999996</v>
      </c>
      <c r="Y5214">
        <v>-0.28906500000000002</v>
      </c>
      <c r="Z5214">
        <v>6.7708300000000003E-3</v>
      </c>
      <c r="AA5214">
        <v>0.95728550000000001</v>
      </c>
      <c r="AB5214">
        <v>30</v>
      </c>
      <c r="AC5214">
        <v>33.098599999999898</v>
      </c>
      <c r="AD5214">
        <v>-1.1108702715799901</v>
      </c>
      <c r="AE5214">
        <v>8.9922599999999893</v>
      </c>
      <c r="AF5214">
        <v>-9.9506995045293394</v>
      </c>
      <c r="AG5214">
        <v>-1.1108702715799901</v>
      </c>
      <c r="AH5214">
        <v>32.7856287698175</v>
      </c>
      <c r="AI5214">
        <v>91.857016446014697</v>
      </c>
      <c r="AJ5214">
        <v>106.883461747521</v>
      </c>
      <c r="AK5214">
        <v>34.280430382683399</v>
      </c>
      <c r="AL5214">
        <v>81.070571771986806</v>
      </c>
      <c r="AM5214">
        <v>97.402823232719996</v>
      </c>
      <c r="AN5214">
        <v>0.99999999165722997</v>
      </c>
    </row>
    <row r="5215" spans="1:40" x14ac:dyDescent="0.25">
      <c r="A5215" t="str">
        <f>"20190304155521475"</f>
        <v>20190304155521475</v>
      </c>
      <c r="B5215" t="str">
        <f>"1551686121472855"</f>
        <v>1551686121472855</v>
      </c>
      <c r="C5215" t="s">
        <v>40</v>
      </c>
      <c r="D5215">
        <v>4.4265980000000003</v>
      </c>
      <c r="E5215">
        <v>0.43474679999999999</v>
      </c>
      <c r="F5215" t="s">
        <v>74</v>
      </c>
      <c r="G5215">
        <v>-208.82990000000001</v>
      </c>
      <c r="H5215" s="1">
        <v>-2.4287160000000002E-6</v>
      </c>
      <c r="I5215">
        <v>-53.944130000000001</v>
      </c>
      <c r="J5215">
        <v>-242.01169999999999</v>
      </c>
      <c r="K5215">
        <v>1.1108690000000001</v>
      </c>
      <c r="L5215">
        <v>-62.976379999999999</v>
      </c>
      <c r="M5215">
        <v>0.99954900000000002</v>
      </c>
      <c r="N5215">
        <v>-8.9832760000000001E-3</v>
      </c>
      <c r="O5215">
        <v>-2.8656259999999999E-2</v>
      </c>
      <c r="P5215">
        <v>0.98426469999999999</v>
      </c>
      <c r="Q5215">
        <v>0.1470921</v>
      </c>
      <c r="R5215">
        <v>9.7912700000000005E-2</v>
      </c>
      <c r="S5215">
        <v>2.9822540000000002</v>
      </c>
      <c r="T5215">
        <v>-9.9394800000000005E-2</v>
      </c>
      <c r="U5215">
        <v>0.80783079999999996</v>
      </c>
      <c r="V5215">
        <v>-0.1265134</v>
      </c>
      <c r="W5215">
        <v>0.15554699999999999</v>
      </c>
      <c r="X5215">
        <v>0.97969360000000005</v>
      </c>
      <c r="Y5215">
        <v>-0.2888097</v>
      </c>
      <c r="Z5215">
        <v>6.7331700000000001E-3</v>
      </c>
      <c r="AA5215">
        <v>0.95736279999999996</v>
      </c>
      <c r="AB5215">
        <v>30</v>
      </c>
      <c r="AC5215">
        <v>33.181799999999903</v>
      </c>
      <c r="AD5215">
        <v>-1.110871428716</v>
      </c>
      <c r="AE5215">
        <v>9.0322499999999994</v>
      </c>
      <c r="AF5215">
        <v>-9.9690424871582</v>
      </c>
      <c r="AG5215">
        <v>-1.110871428716</v>
      </c>
      <c r="AH5215">
        <v>32.875026543582599</v>
      </c>
      <c r="AI5215">
        <v>91.852109540701207</v>
      </c>
      <c r="AJ5215">
        <v>106.86943341094501</v>
      </c>
      <c r="AK5215">
        <v>34.371255631459903</v>
      </c>
      <c r="AL5215">
        <v>81.051478440455298</v>
      </c>
      <c r="AM5215">
        <v>97.358207925989305</v>
      </c>
      <c r="AN5215">
        <v>1.00000002973475</v>
      </c>
    </row>
    <row r="5216" spans="1:40" x14ac:dyDescent="0.25">
      <c r="A5216" t="str">
        <f>"20190304155521486"</f>
        <v>20190304155521486</v>
      </c>
      <c r="B5216" t="str">
        <f>"1551686121482614"</f>
        <v>1551686121482614</v>
      </c>
      <c r="C5216" t="s">
        <v>40</v>
      </c>
      <c r="D5216">
        <v>4.4165510000000001</v>
      </c>
      <c r="E5216">
        <v>0.43468489999999999</v>
      </c>
      <c r="F5216" t="s">
        <v>74</v>
      </c>
      <c r="G5216">
        <v>-207.98670000000001</v>
      </c>
      <c r="H5216" s="1">
        <v>-2.9916100000000001E-6</v>
      </c>
      <c r="I5216">
        <v>-53.746459999999999</v>
      </c>
      <c r="J5216">
        <v>-241.87309999999999</v>
      </c>
      <c r="K5216">
        <v>1.110867</v>
      </c>
      <c r="L5216">
        <v>-62.979709999999997</v>
      </c>
      <c r="M5216">
        <v>0.99956829999999997</v>
      </c>
      <c r="N5216">
        <v>-8.9859280000000007E-3</v>
      </c>
      <c r="O5216">
        <v>-2.797871E-2</v>
      </c>
      <c r="P5216">
        <v>0.98421230000000004</v>
      </c>
      <c r="Q5216">
        <v>0.1475677</v>
      </c>
      <c r="R5216">
        <v>9.7726060000000003E-2</v>
      </c>
      <c r="S5216">
        <v>2.9820250000000001</v>
      </c>
      <c r="T5216">
        <v>-9.7359180000000003E-2</v>
      </c>
      <c r="U5216">
        <v>0.80892940000000002</v>
      </c>
      <c r="V5216">
        <v>-0.12566050000000001</v>
      </c>
      <c r="W5216">
        <v>0.1560289</v>
      </c>
      <c r="X5216">
        <v>0.97972669999999995</v>
      </c>
      <c r="Y5216">
        <v>-0.28851559999999998</v>
      </c>
      <c r="Z5216">
        <v>6.595882E-3</v>
      </c>
      <c r="AA5216">
        <v>0.95745250000000004</v>
      </c>
      <c r="AB5216">
        <v>30</v>
      </c>
      <c r="AC5216">
        <v>33.886399999999902</v>
      </c>
      <c r="AD5216">
        <v>-1.11086999161</v>
      </c>
      <c r="AE5216">
        <v>9.2332499999999893</v>
      </c>
      <c r="AF5216">
        <v>-10.1675992992531</v>
      </c>
      <c r="AG5216">
        <v>-1.11086999161</v>
      </c>
      <c r="AH5216">
        <v>33.581193685935297</v>
      </c>
      <c r="AI5216">
        <v>91.813419460731396</v>
      </c>
      <c r="AJ5216">
        <v>106.845083721687</v>
      </c>
      <c r="AK5216">
        <v>35.104282887145402</v>
      </c>
      <c r="AL5216">
        <v>81.023525989759094</v>
      </c>
      <c r="AM5216">
        <v>97.308895944668507</v>
      </c>
      <c r="AN5216">
        <v>0.99999999279417495</v>
      </c>
    </row>
    <row r="5217" spans="1:40" x14ac:dyDescent="0.25">
      <c r="A5217" t="str">
        <f>"20190304155521498"</f>
        <v>20190304155521498</v>
      </c>
      <c r="B5217" t="str">
        <f>"1551686121493348"</f>
        <v>1551686121493348</v>
      </c>
      <c r="C5217" t="s">
        <v>40</v>
      </c>
      <c r="D5217">
        <v>4.6590020000000001</v>
      </c>
      <c r="E5217">
        <v>0.43468489999999999</v>
      </c>
      <c r="F5217" t="s">
        <v>74</v>
      </c>
      <c r="G5217">
        <v>-207.16980000000001</v>
      </c>
      <c r="H5217" s="1">
        <v>-3.4784119999999999E-6</v>
      </c>
      <c r="I5217">
        <v>-53.566070000000003</v>
      </c>
      <c r="J5217">
        <v>-241.71809999999999</v>
      </c>
      <c r="K5217">
        <v>1.1108629999999999</v>
      </c>
      <c r="L5217">
        <v>-62.983310000000003</v>
      </c>
      <c r="M5217">
        <v>0.9995889</v>
      </c>
      <c r="N5217">
        <v>-8.9888759999999998E-3</v>
      </c>
      <c r="O5217">
        <v>-2.7226319999999998E-2</v>
      </c>
      <c r="P5217">
        <v>0.98419400000000001</v>
      </c>
      <c r="Q5217">
        <v>0.14777589999999999</v>
      </c>
      <c r="R5217">
        <v>9.759466E-2</v>
      </c>
      <c r="S5217">
        <v>2.9821170000000001</v>
      </c>
      <c r="T5217">
        <v>-9.5458979999999999E-2</v>
      </c>
      <c r="U5217">
        <v>0.80892940000000002</v>
      </c>
      <c r="V5217">
        <v>-0.124789</v>
      </c>
      <c r="W5217">
        <v>0.15624460000000001</v>
      </c>
      <c r="X5217">
        <v>0.97980370000000006</v>
      </c>
      <c r="Y5217">
        <v>-0.28779480000000002</v>
      </c>
      <c r="Z5217">
        <v>6.4566340000000002E-3</v>
      </c>
      <c r="AA5217">
        <v>0.95767029999999997</v>
      </c>
      <c r="AB5217">
        <v>30</v>
      </c>
      <c r="AC5217">
        <v>34.548299999999898</v>
      </c>
      <c r="AD5217">
        <v>-1.1108664784119999</v>
      </c>
      <c r="AE5217">
        <v>9.4172399999999996</v>
      </c>
      <c r="AF5217">
        <v>-10.3444545089584</v>
      </c>
      <c r="AG5217">
        <v>-1.1108664784119999</v>
      </c>
      <c r="AH5217">
        <v>34.246126971836098</v>
      </c>
      <c r="AI5217">
        <v>91.778578642499994</v>
      </c>
      <c r="AJ5217">
        <v>106.80757290863799</v>
      </c>
      <c r="AK5217">
        <v>35.791604825599698</v>
      </c>
      <c r="AL5217">
        <v>81.011013718436402</v>
      </c>
      <c r="AM5217">
        <v>97.258184307703004</v>
      </c>
      <c r="AN5217">
        <v>0.99999998004192403</v>
      </c>
    </row>
    <row r="5218" spans="1:40" x14ac:dyDescent="0.25">
      <c r="A5218" t="str">
        <f>"20190304155521510"</f>
        <v>20190304155521510</v>
      </c>
      <c r="B5218" t="str">
        <f>"1551686121503108"</f>
        <v>1551686121503108</v>
      </c>
      <c r="C5218" t="s">
        <v>40</v>
      </c>
      <c r="D5218">
        <v>4.7564580000000003</v>
      </c>
      <c r="E5218">
        <v>0.43625750000000002</v>
      </c>
      <c r="F5218" t="s">
        <v>74</v>
      </c>
      <c r="G5218">
        <v>-206.81639999999999</v>
      </c>
      <c r="H5218" s="1">
        <v>-3.6813860000000001E-6</v>
      </c>
      <c r="I5218">
        <v>-53.522390000000001</v>
      </c>
      <c r="J5218">
        <v>-241.54849999999999</v>
      </c>
      <c r="K5218">
        <v>1.1108549999999999</v>
      </c>
      <c r="L5218">
        <v>-62.98715</v>
      </c>
      <c r="M5218">
        <v>0.99961080000000002</v>
      </c>
      <c r="N5218">
        <v>-8.9920409999999992E-3</v>
      </c>
      <c r="O5218">
        <v>-2.6415310000000001E-2</v>
      </c>
      <c r="P5218">
        <v>0.98410039999999999</v>
      </c>
      <c r="Q5218">
        <v>0.14839140000000001</v>
      </c>
      <c r="R5218">
        <v>9.7604389999999999E-2</v>
      </c>
      <c r="S5218">
        <v>2.9822690000000001</v>
      </c>
      <c r="T5218">
        <v>-9.4920749999999998E-2</v>
      </c>
      <c r="U5218">
        <v>0.80841059999999998</v>
      </c>
      <c r="V5218">
        <v>-0.1239982</v>
      </c>
      <c r="W5218">
        <v>0.15686810000000001</v>
      </c>
      <c r="X5218">
        <v>0.97980449999999997</v>
      </c>
      <c r="Y5218">
        <v>-0.28685280000000002</v>
      </c>
      <c r="Z5218">
        <v>6.3892369999999999E-3</v>
      </c>
      <c r="AA5218">
        <v>0.95795330000000001</v>
      </c>
      <c r="AB5218">
        <v>30</v>
      </c>
      <c r="AC5218">
        <v>34.732100000000003</v>
      </c>
      <c r="AD5218">
        <v>-1.110858681386</v>
      </c>
      <c r="AE5218">
        <v>9.4647599999999894</v>
      </c>
      <c r="AF5218">
        <v>-10.369079318732</v>
      </c>
      <c r="AG5218">
        <v>-1.110858681386</v>
      </c>
      <c r="AH5218">
        <v>34.4371623840862</v>
      </c>
      <c r="AI5218">
        <v>91.769175531154403</v>
      </c>
      <c r="AJ5218">
        <v>106.757123997067</v>
      </c>
      <c r="AK5218">
        <v>35.981522563617197</v>
      </c>
      <c r="AL5218">
        <v>80.974844027209897</v>
      </c>
      <c r="AM5218">
        <v>97.212668574067195</v>
      </c>
      <c r="AN5218">
        <v>1.0000000063105401</v>
      </c>
    </row>
    <row r="5219" spans="1:40" x14ac:dyDescent="0.25">
      <c r="A5219" t="str">
        <f>"20190304155521523"</f>
        <v>20190304155521523</v>
      </c>
      <c r="B5219" t="str">
        <f>"1551686121512868"</f>
        <v>1551686121512868</v>
      </c>
      <c r="C5219" t="s">
        <v>40</v>
      </c>
      <c r="D5219">
        <v>4.3126480000000003</v>
      </c>
      <c r="E5219">
        <v>0.43625750000000002</v>
      </c>
      <c r="F5219" t="s">
        <v>74</v>
      </c>
      <c r="G5219">
        <v>-205.4845</v>
      </c>
      <c r="H5219" s="1">
        <v>-4.4444080000000004E-6</v>
      </c>
      <c r="I5219">
        <v>-53.366570000000003</v>
      </c>
      <c r="J5219">
        <v>-241.37989999999999</v>
      </c>
      <c r="K5219">
        <v>1.1108439999999999</v>
      </c>
      <c r="L5219">
        <v>-62.990839999999999</v>
      </c>
      <c r="M5219">
        <v>0.99963150000000001</v>
      </c>
      <c r="N5219">
        <v>-8.9951349999999996E-3</v>
      </c>
      <c r="O5219">
        <v>-2.5618149999999999E-2</v>
      </c>
      <c r="P5219">
        <v>0.98400759999999998</v>
      </c>
      <c r="Q5219">
        <v>0.1488382</v>
      </c>
      <c r="R5219">
        <v>9.7859749999999995E-2</v>
      </c>
      <c r="S5219">
        <v>2.9834139999999998</v>
      </c>
      <c r="T5219">
        <v>-9.1896409999999998E-2</v>
      </c>
      <c r="U5219">
        <v>0.79586789999999996</v>
      </c>
      <c r="V5219">
        <v>-0.1234659</v>
      </c>
      <c r="W5219">
        <v>0.15732260000000001</v>
      </c>
      <c r="X5219">
        <v>0.97979890000000003</v>
      </c>
      <c r="Y5219">
        <v>-0.282250099999999</v>
      </c>
      <c r="Z5219">
        <v>6.1126649999999998E-3</v>
      </c>
      <c r="AA5219">
        <v>0.95932139999999999</v>
      </c>
      <c r="AB5219">
        <v>30</v>
      </c>
      <c r="AC5219">
        <v>35.895399999999903</v>
      </c>
      <c r="AD5219">
        <v>-1.110848444408</v>
      </c>
      <c r="AE5219">
        <v>9.6242700000000099</v>
      </c>
      <c r="AF5219">
        <v>-10.531312397134901</v>
      </c>
      <c r="AG5219">
        <v>-1.110848444408</v>
      </c>
      <c r="AH5219">
        <v>35.605239902591499</v>
      </c>
      <c r="AI5219">
        <v>91.713650379722097</v>
      </c>
      <c r="AJ5219">
        <v>106.47715529674799</v>
      </c>
      <c r="AK5219">
        <v>37.146677288737202</v>
      </c>
      <c r="AL5219">
        <v>80.9484761511372</v>
      </c>
      <c r="AM5219">
        <v>97.182070623157401</v>
      </c>
      <c r="AN5219">
        <v>1.0000000566873799</v>
      </c>
    </row>
    <row r="5220" spans="1:40" x14ac:dyDescent="0.25">
      <c r="A5220" t="str">
        <f>"20190304155521538"</f>
        <v>20190304155521538</v>
      </c>
      <c r="B5220" t="str">
        <f>"1551686121533365"</f>
        <v>1551686121533365</v>
      </c>
      <c r="C5220" t="s">
        <v>40</v>
      </c>
      <c r="D5220">
        <v>4.7712149999999998</v>
      </c>
      <c r="E5220">
        <v>0.52630269999999901</v>
      </c>
      <c r="F5220" t="s">
        <v>74</v>
      </c>
      <c r="G5220">
        <v>-204.7843</v>
      </c>
      <c r="H5220" s="1">
        <v>-4.8537389999999998E-6</v>
      </c>
      <c r="I5220">
        <v>-53.218179999999997</v>
      </c>
      <c r="J5220">
        <v>-241.19130000000001</v>
      </c>
      <c r="K5220">
        <v>1.110827</v>
      </c>
      <c r="L5220">
        <v>-62.994810000000001</v>
      </c>
      <c r="M5220">
        <v>0.99965329999999997</v>
      </c>
      <c r="N5220">
        <v>-8.9983990000000007E-3</v>
      </c>
      <c r="O5220">
        <v>-2.4748079999999999E-2</v>
      </c>
      <c r="P5220">
        <v>0.9839696</v>
      </c>
      <c r="Q5220">
        <v>0.14908689999999999</v>
      </c>
      <c r="R5220">
        <v>9.7861799999999999E-2</v>
      </c>
      <c r="S5220">
        <v>2.9832459999999998</v>
      </c>
      <c r="T5220">
        <v>-9.0555549999999999E-2</v>
      </c>
      <c r="U5220">
        <v>0.79666139999999996</v>
      </c>
      <c r="V5220">
        <v>-0.1226071</v>
      </c>
      <c r="W5220">
        <v>0.15758249999999999</v>
      </c>
      <c r="X5220">
        <v>0.97986490000000004</v>
      </c>
      <c r="Y5220">
        <v>-0.28167170000000002</v>
      </c>
      <c r="Z5220">
        <v>6.0100070000000004E-3</v>
      </c>
      <c r="AA5220">
        <v>0.95949200000000001</v>
      </c>
      <c r="AB5220">
        <v>30</v>
      </c>
      <c r="AC5220">
        <v>36.406999999999996</v>
      </c>
      <c r="AD5220">
        <v>-1.1108318537390001</v>
      </c>
      <c r="AE5220">
        <v>9.7766299999999902</v>
      </c>
      <c r="AF5220">
        <v>-10.6654139844154</v>
      </c>
      <c r="AG5220">
        <v>-1.1108318537390001</v>
      </c>
      <c r="AH5220">
        <v>36.122519341817899</v>
      </c>
      <c r="AI5220">
        <v>91.689339839464495</v>
      </c>
      <c r="AJ5220">
        <v>106.44958589855401</v>
      </c>
      <c r="AK5220">
        <v>37.680517598173402</v>
      </c>
      <c r="AL5220">
        <v>80.933396221751195</v>
      </c>
      <c r="AM5220">
        <v>97.132154638880806</v>
      </c>
      <c r="AN5220">
        <v>0.99999998376433397</v>
      </c>
    </row>
    <row r="5221" spans="1:40" x14ac:dyDescent="0.25">
      <c r="A5221" t="str">
        <f>"20190304155521550"</f>
        <v>20190304155521550</v>
      </c>
      <c r="B5221" t="str">
        <f>"1551686121542674"</f>
        <v>1551686121542674</v>
      </c>
      <c r="C5221" t="s">
        <v>40</v>
      </c>
      <c r="D5221">
        <v>4.5672519999999999</v>
      </c>
      <c r="E5221">
        <v>0.53114779999999995</v>
      </c>
      <c r="F5221" t="s">
        <v>99</v>
      </c>
      <c r="G5221">
        <v>-214.5694</v>
      </c>
      <c r="H5221" s="1">
        <v>-1.4356339999999999E-6</v>
      </c>
      <c r="I5221">
        <v>-62.28669</v>
      </c>
      <c r="J5221">
        <v>-241.0256</v>
      </c>
      <c r="K5221">
        <v>1.1108049999999901</v>
      </c>
      <c r="L5221">
        <v>-62.998139999999999</v>
      </c>
      <c r="M5221">
        <v>0.99967150000000005</v>
      </c>
      <c r="N5221">
        <v>-9.0012219999999997E-3</v>
      </c>
      <c r="O5221">
        <v>-2.4001870000000002E-2</v>
      </c>
      <c r="P5221">
        <v>0.98391729999999999</v>
      </c>
      <c r="Q5221">
        <v>0.1493061</v>
      </c>
      <c r="R5221">
        <v>9.8055489999999995E-2</v>
      </c>
      <c r="S5221">
        <v>3.0601349999999998</v>
      </c>
      <c r="T5221">
        <v>-0.12768750000000001</v>
      </c>
      <c r="U5221">
        <v>8.1390379999999998E-2</v>
      </c>
      <c r="V5221">
        <v>-0.12206060000000001</v>
      </c>
      <c r="W5221">
        <v>0.1578118</v>
      </c>
      <c r="X5221">
        <v>0.9798962</v>
      </c>
      <c r="Y5221">
        <v>-5.0508039999999997E-2</v>
      </c>
      <c r="Z5221">
        <v>2.065552E-3</v>
      </c>
      <c r="AA5221">
        <v>0.99872150000000004</v>
      </c>
      <c r="AB5221">
        <v>30</v>
      </c>
      <c r="AC5221">
        <v>26.4561999999999</v>
      </c>
      <c r="AD5221">
        <v>-1.11080643563399</v>
      </c>
      <c r="AE5221">
        <v>0.71144999999999903</v>
      </c>
      <c r="AF5221">
        <v>-1.3439015335279101</v>
      </c>
      <c r="AG5221">
        <v>-1.11080643563399</v>
      </c>
      <c r="AH5221">
        <v>26.385020976472799</v>
      </c>
      <c r="AI5221">
        <v>92.407605013395795</v>
      </c>
      <c r="AJ5221">
        <v>92.915798421027006</v>
      </c>
      <c r="AK5221">
        <v>26.4425659533672</v>
      </c>
      <c r="AL5221">
        <v>80.920091597311895</v>
      </c>
      <c r="AM5221">
        <v>97.100465016336599</v>
      </c>
      <c r="AN5221">
        <v>0.99999995853301904</v>
      </c>
    </row>
    <row r="5222" spans="1:40" x14ac:dyDescent="0.25">
      <c r="A5222" t="str">
        <f>"20190304155521565"</f>
        <v>20190304155521565</v>
      </c>
      <c r="B5222" t="str">
        <f>"1551686121563153"</f>
        <v>1551686121563153</v>
      </c>
      <c r="C5222" t="s">
        <v>40</v>
      </c>
      <c r="D5222">
        <v>4.5285460000000004</v>
      </c>
      <c r="E5222">
        <v>0.53500159999999997</v>
      </c>
      <c r="F5222" t="s">
        <v>74</v>
      </c>
      <c r="G5222">
        <v>-209.6754</v>
      </c>
      <c r="H5222" s="1">
        <v>-6.8342749999999895E-7</v>
      </c>
      <c r="I5222">
        <v>-62.552759999999999</v>
      </c>
      <c r="J5222">
        <v>-240.8235</v>
      </c>
      <c r="K5222">
        <v>1.1107849999999999</v>
      </c>
      <c r="L5222">
        <v>-63.002139999999997</v>
      </c>
      <c r="M5222">
        <v>0.99969229999999998</v>
      </c>
      <c r="N5222">
        <v>-9.0046559999999998E-3</v>
      </c>
      <c r="O5222">
        <v>-2.3111119999999999E-2</v>
      </c>
      <c r="P5222">
        <v>0.98393520000000001</v>
      </c>
      <c r="Q5222">
        <v>0.14951979999999901</v>
      </c>
      <c r="R5222">
        <v>9.754612E-2</v>
      </c>
      <c r="S5222">
        <v>3.0611419999999998</v>
      </c>
      <c r="T5222">
        <v>-0.1084628</v>
      </c>
      <c r="U5222">
        <v>4.348755E-2</v>
      </c>
      <c r="V5222">
        <v>-0.1206682</v>
      </c>
      <c r="W5222">
        <v>0.15804109999999999</v>
      </c>
      <c r="X5222">
        <v>0.98003169999999995</v>
      </c>
      <c r="Y5222">
        <v>-3.7273420000000002E-2</v>
      </c>
      <c r="Z5222">
        <v>1.4384930000000001E-3</v>
      </c>
      <c r="AA5222">
        <v>0.99930410000000003</v>
      </c>
      <c r="AB5222">
        <v>30</v>
      </c>
      <c r="AC5222">
        <v>31.148099999999999</v>
      </c>
      <c r="AD5222">
        <v>-1.1107856834275001</v>
      </c>
      <c r="AE5222">
        <v>0.449380000000005</v>
      </c>
      <c r="AF5222">
        <v>-1.16767199745898</v>
      </c>
      <c r="AG5222">
        <v>-1.1107856834275001</v>
      </c>
      <c r="AH5222">
        <v>31.089863731861598</v>
      </c>
      <c r="AI5222">
        <v>92.044765760352504</v>
      </c>
      <c r="AJ5222">
        <v>92.150901876897606</v>
      </c>
      <c r="AK5222">
        <v>31.131606601553301</v>
      </c>
      <c r="AL5222">
        <v>80.906786800238507</v>
      </c>
      <c r="AM5222">
        <v>97.019318715623996</v>
      </c>
      <c r="AN5222">
        <v>0.99999996839266903</v>
      </c>
    </row>
    <row r="5223" spans="1:40" x14ac:dyDescent="0.25">
      <c r="A5223" t="str">
        <f>"20190304155521576"</f>
        <v>20190304155521576</v>
      </c>
      <c r="B5223" t="str">
        <f>"1551686121572913"</f>
        <v>1551686121572913</v>
      </c>
      <c r="C5223" t="s">
        <v>40</v>
      </c>
      <c r="D5223">
        <v>4.5254890000000003</v>
      </c>
      <c r="E5223">
        <v>0.53653070000000003</v>
      </c>
      <c r="F5223" t="s">
        <v>74</v>
      </c>
      <c r="G5223">
        <v>-206.6446</v>
      </c>
      <c r="H5223" s="1">
        <v>-2.4517580000000001E-6</v>
      </c>
      <c r="I5223">
        <v>-62.878529999999998</v>
      </c>
      <c r="J5223">
        <v>-240.66249999999999</v>
      </c>
      <c r="K5223">
        <v>1.1107629999999999</v>
      </c>
      <c r="L5223">
        <v>-63.005189999999999</v>
      </c>
      <c r="M5223">
        <v>0.99970809999999999</v>
      </c>
      <c r="N5223">
        <v>-9.0073970000000003E-3</v>
      </c>
      <c r="O5223">
        <v>-2.242539E-2</v>
      </c>
      <c r="P5223">
        <v>0.98394499999999996</v>
      </c>
      <c r="Q5223">
        <v>0.1495243</v>
      </c>
      <c r="R5223">
        <v>9.7442360000000006E-2</v>
      </c>
      <c r="S5223">
        <v>3.0630039999999998</v>
      </c>
      <c r="T5223">
        <v>-9.9545120000000001E-2</v>
      </c>
      <c r="U5223">
        <v>1.107788E-2</v>
      </c>
      <c r="V5223">
        <v>-0.1198828</v>
      </c>
      <c r="W5223">
        <v>0.15805759999999999</v>
      </c>
      <c r="X5223">
        <v>0.98012549999999998</v>
      </c>
      <c r="Y5223">
        <v>-2.6018159999999999E-2</v>
      </c>
      <c r="Z5223">
        <v>1.0664959999999999E-3</v>
      </c>
      <c r="AA5223">
        <v>0.99966089999999996</v>
      </c>
      <c r="AB5223">
        <v>30</v>
      </c>
      <c r="AC5223">
        <v>34.017899999999997</v>
      </c>
      <c r="AD5223">
        <v>-1.1107654517579999</v>
      </c>
      <c r="AE5223">
        <v>0.126659999999994</v>
      </c>
      <c r="AF5223">
        <v>-0.888576279957767</v>
      </c>
      <c r="AG5223">
        <v>-1.1107654517579999</v>
      </c>
      <c r="AH5223">
        <v>33.970286078815001</v>
      </c>
      <c r="AI5223">
        <v>91.872158727474798</v>
      </c>
      <c r="AJ5223">
        <v>91.498370187279804</v>
      </c>
      <c r="AK5223">
        <v>34.000054470113099</v>
      </c>
      <c r="AL5223">
        <v>80.905830072414901</v>
      </c>
      <c r="AM5223">
        <v>96.973422192658802</v>
      </c>
      <c r="AN5223">
        <v>1.00000004320192</v>
      </c>
    </row>
    <row r="5224" spans="1:40" x14ac:dyDescent="0.25">
      <c r="A5224" t="str">
        <f>"20190304155521589"</f>
        <v>20190304155521589</v>
      </c>
      <c r="B5224" t="str">
        <f>"1551686121582673"</f>
        <v>1551686121582673</v>
      </c>
      <c r="C5224" t="s">
        <v>40</v>
      </c>
      <c r="D5224">
        <v>4.5474019999999999</v>
      </c>
      <c r="E5224">
        <v>0.53758719999999904</v>
      </c>
      <c r="F5224" t="s">
        <v>74</v>
      </c>
      <c r="G5224">
        <v>-205.3212</v>
      </c>
      <c r="H5224" s="1">
        <v>-3.312454E-6</v>
      </c>
      <c r="I5224">
        <v>-63.018909999999998</v>
      </c>
      <c r="J5224">
        <v>-240.50530000000001</v>
      </c>
      <c r="K5224">
        <v>1.110741</v>
      </c>
      <c r="L5224">
        <v>-63.00806</v>
      </c>
      <c r="M5224">
        <v>0.99972240000000001</v>
      </c>
      <c r="N5224">
        <v>-9.0100900000000001E-3</v>
      </c>
      <c r="O5224">
        <v>-2.177639E-2</v>
      </c>
      <c r="P5224">
        <v>0.98392610000000003</v>
      </c>
      <c r="Q5224">
        <v>0.14964749999999999</v>
      </c>
      <c r="R5224">
        <v>9.7445500000000004E-2</v>
      </c>
      <c r="S5224">
        <v>3.0636899999999998</v>
      </c>
      <c r="T5224">
        <v>-9.6290829999999994E-2</v>
      </c>
      <c r="U5224">
        <v>-1.190186E-3</v>
      </c>
      <c r="V5224">
        <v>-0.119239</v>
      </c>
      <c r="W5224">
        <v>0.15819220000000001</v>
      </c>
      <c r="X5224">
        <v>0.98018229999999995</v>
      </c>
      <c r="Y5224">
        <v>-2.1369829999999999E-2</v>
      </c>
      <c r="Z5224">
        <v>9.2007160000000005E-4</v>
      </c>
      <c r="AA5224">
        <v>0.99977119999999997</v>
      </c>
      <c r="AB5224">
        <v>30</v>
      </c>
      <c r="AC5224">
        <v>35.184100000000001</v>
      </c>
      <c r="AD5224">
        <v>-1.110744312454</v>
      </c>
      <c r="AE5224">
        <v>-1.0849999999997801E-2</v>
      </c>
      <c r="AF5224">
        <v>-0.75461418159617399</v>
      </c>
      <c r="AG5224">
        <v>-1.110744312454</v>
      </c>
      <c r="AH5224">
        <v>35.140969622579199</v>
      </c>
      <c r="AI5224">
        <v>91.809999177723</v>
      </c>
      <c r="AJ5224">
        <v>91.230175611128402</v>
      </c>
      <c r="AK5224">
        <v>35.166616861815797</v>
      </c>
      <c r="AL5224">
        <v>80.898019645097193</v>
      </c>
      <c r="AM5224">
        <v>96.935940973070302</v>
      </c>
      <c r="AN5224">
        <v>1.0000000262475599</v>
      </c>
    </row>
    <row r="5225" spans="1:40" x14ac:dyDescent="0.25">
      <c r="A5225" t="str">
        <f>"20190304155521602"</f>
        <v>20190304155521602</v>
      </c>
      <c r="B5225" t="str">
        <f>"1551686121593409"</f>
        <v>1551686121593409</v>
      </c>
      <c r="C5225" t="s">
        <v>40</v>
      </c>
      <c r="D5225">
        <v>4.528397</v>
      </c>
      <c r="E5225">
        <v>0.53836740000000005</v>
      </c>
      <c r="F5225" t="s">
        <v>74</v>
      </c>
      <c r="G5225">
        <v>-204.05869999999999</v>
      </c>
      <c r="H5225" s="1">
        <v>-3.8700850000000002E-6</v>
      </c>
      <c r="I5225">
        <v>-63.123139999999999</v>
      </c>
      <c r="J5225">
        <v>-240.3323</v>
      </c>
      <c r="K5225">
        <v>1.110716</v>
      </c>
      <c r="L5225">
        <v>-63.0111699999999</v>
      </c>
      <c r="M5225">
        <v>0.99973730000000005</v>
      </c>
      <c r="N5225">
        <v>-9.0130880000000007E-3</v>
      </c>
      <c r="O5225">
        <v>-2.107591E-2</v>
      </c>
      <c r="P5225">
        <v>0.98394269999999995</v>
      </c>
      <c r="Q5225">
        <v>0.1497521</v>
      </c>
      <c r="R5225">
        <v>9.7116040000000001E-2</v>
      </c>
      <c r="S5225">
        <v>3.0641780000000001</v>
      </c>
      <c r="T5225">
        <v>-9.3383789999999994E-2</v>
      </c>
      <c r="U5225">
        <v>-9.6740720000000006E-3</v>
      </c>
      <c r="V5225">
        <v>-0.1182126</v>
      </c>
      <c r="W5225">
        <v>0.15831129999999999</v>
      </c>
      <c r="X5225">
        <v>0.98028740000000003</v>
      </c>
      <c r="Y5225">
        <v>-1.7904610000000001E-2</v>
      </c>
      <c r="Z5225">
        <v>8.0565369999999995E-4</v>
      </c>
      <c r="AA5225">
        <v>0.99983940000000004</v>
      </c>
      <c r="AB5225">
        <v>30</v>
      </c>
      <c r="AC5225">
        <v>36.273600000000002</v>
      </c>
      <c r="AD5225">
        <v>-1.1107198700849901</v>
      </c>
      <c r="AE5225">
        <v>-0.111970000000006</v>
      </c>
      <c r="AF5225">
        <v>-0.65197371938762905</v>
      </c>
      <c r="AG5225">
        <v>-1.1107198700849901</v>
      </c>
      <c r="AH5225">
        <v>36.233928756249902</v>
      </c>
      <c r="AI5225">
        <v>91.755518949106801</v>
      </c>
      <c r="AJ5225">
        <v>91.030838032029706</v>
      </c>
      <c r="AK5225">
        <v>36.256811242490201</v>
      </c>
      <c r="AL5225">
        <v>80.891108725506797</v>
      </c>
      <c r="AM5225">
        <v>96.876080879888093</v>
      </c>
      <c r="AN5225">
        <v>1.0000000365526001</v>
      </c>
    </row>
    <row r="5226" spans="1:40" x14ac:dyDescent="0.25">
      <c r="A5226" t="str">
        <f>"20190304155521615"</f>
        <v>20190304155521615</v>
      </c>
      <c r="B5226" t="str">
        <f>"1551686121603170"</f>
        <v>1551686121603170</v>
      </c>
      <c r="C5226" t="s">
        <v>40</v>
      </c>
      <c r="D5226">
        <v>4.5237249999999998</v>
      </c>
      <c r="E5226">
        <v>0.53883769999999998</v>
      </c>
      <c r="F5226" t="s">
        <v>74</v>
      </c>
      <c r="G5226">
        <v>-203.23910000000001</v>
      </c>
      <c r="H5226" s="1">
        <v>-4.2165290000000004E-6</v>
      </c>
      <c r="I5226">
        <v>-63.213230000000003</v>
      </c>
      <c r="J5226">
        <v>-240.1567</v>
      </c>
      <c r="K5226">
        <v>1.1106860000000001</v>
      </c>
      <c r="L5226">
        <v>-63.014159999999997</v>
      </c>
      <c r="M5226">
        <v>0.9997511</v>
      </c>
      <c r="N5226">
        <v>-9.0161189999999995E-3</v>
      </c>
      <c r="O5226">
        <v>-2.0406469999999999E-2</v>
      </c>
      <c r="P5226">
        <v>0.98389349999999998</v>
      </c>
      <c r="Q5226">
        <v>0.14994350000000001</v>
      </c>
      <c r="R5226">
        <v>9.7318160000000001E-2</v>
      </c>
      <c r="S5226">
        <v>3.0645600000000002</v>
      </c>
      <c r="T5226">
        <v>-9.1765169999999993E-2</v>
      </c>
      <c r="U5226">
        <v>-1.6693119999999999E-2</v>
      </c>
      <c r="V5226">
        <v>-0.1177445</v>
      </c>
      <c r="W5226">
        <v>0.15851570000000001</v>
      </c>
      <c r="X5226">
        <v>0.98031069999999998</v>
      </c>
      <c r="Y5226">
        <v>-1.494788E-2</v>
      </c>
      <c r="Z5226">
        <v>7.1805190000000002E-4</v>
      </c>
      <c r="AA5226">
        <v>0.999888</v>
      </c>
      <c r="AB5226">
        <v>30</v>
      </c>
      <c r="AC5226">
        <v>36.917599999999901</v>
      </c>
      <c r="AD5226">
        <v>-1.110690216529</v>
      </c>
      <c r="AE5226">
        <v>-0.19907000000000599</v>
      </c>
      <c r="AF5226">
        <v>-0.55385867569882397</v>
      </c>
      <c r="AG5226">
        <v>-1.110690216529</v>
      </c>
      <c r="AH5226">
        <v>36.8805929914164</v>
      </c>
      <c r="AI5226">
        <v>91.724795064234996</v>
      </c>
      <c r="AJ5226">
        <v>90.860381482145797</v>
      </c>
      <c r="AK5226">
        <v>36.901470588423102</v>
      </c>
      <c r="AL5226">
        <v>80.879247651067502</v>
      </c>
      <c r="AM5226">
        <v>96.848950782834606</v>
      </c>
      <c r="AN5226">
        <v>1.0000000314806099</v>
      </c>
    </row>
    <row r="5227" spans="1:40" x14ac:dyDescent="0.25">
      <c r="A5227" t="str">
        <f>"20190304155521628"</f>
        <v>20190304155521628</v>
      </c>
      <c r="B5227" t="str">
        <f>"1551686121623359"</f>
        <v>1551686121623359</v>
      </c>
      <c r="C5227" t="s">
        <v>40</v>
      </c>
      <c r="D5227">
        <v>4.5846519999999904</v>
      </c>
      <c r="E5227">
        <v>0.53906669999999901</v>
      </c>
      <c r="F5227" t="s">
        <v>74</v>
      </c>
      <c r="G5227">
        <v>-202.7115</v>
      </c>
      <c r="H5227" s="1">
        <v>-4.4877250000000003E-6</v>
      </c>
      <c r="I5227">
        <v>-63.254640000000002</v>
      </c>
      <c r="J5227">
        <v>-239.98679999999999</v>
      </c>
      <c r="K5227">
        <v>1.1106549999999999</v>
      </c>
      <c r="L5227">
        <v>-63.017029999999998</v>
      </c>
      <c r="M5227">
        <v>0.99976370000000003</v>
      </c>
      <c r="N5227">
        <v>-9.0190319999999997E-3</v>
      </c>
      <c r="O5227">
        <v>-1.977874E-2</v>
      </c>
      <c r="P5227">
        <v>0.98383549999999997</v>
      </c>
      <c r="Q5227">
        <v>0.1504199</v>
      </c>
      <c r="R5227">
        <v>9.7167890000000007E-2</v>
      </c>
      <c r="S5227">
        <v>3.0649410000000001</v>
      </c>
      <c r="T5227">
        <v>-9.0911510000000001E-2</v>
      </c>
      <c r="U5227">
        <v>-1.9683840000000001E-2</v>
      </c>
      <c r="V5227">
        <v>-0.11696570000000001</v>
      </c>
      <c r="W5227">
        <v>0.1590058</v>
      </c>
      <c r="X5227">
        <v>0.98032450000000004</v>
      </c>
      <c r="Y5227">
        <v>-1.334641E-2</v>
      </c>
      <c r="Z5227">
        <v>6.6622600000000001E-4</v>
      </c>
      <c r="AA5227">
        <v>0.99991070000000004</v>
      </c>
      <c r="AB5227">
        <v>30</v>
      </c>
      <c r="AC5227">
        <v>37.275299999999902</v>
      </c>
      <c r="AD5227">
        <v>-1.110659487725</v>
      </c>
      <c r="AE5227">
        <v>-0.23760999999999599</v>
      </c>
      <c r="AF5227">
        <v>-0.49928169120027799</v>
      </c>
      <c r="AG5227">
        <v>-1.110659487725</v>
      </c>
      <c r="AH5227">
        <v>37.2396471370322</v>
      </c>
      <c r="AI5227">
        <v>91.708166810764297</v>
      </c>
      <c r="AJ5227">
        <v>90.768133481741003</v>
      </c>
      <c r="AK5227">
        <v>37.259551333792402</v>
      </c>
      <c r="AL5227">
        <v>80.850805724886797</v>
      </c>
      <c r="AM5227">
        <v>96.803980832671101</v>
      </c>
      <c r="AN5227">
        <v>0.999999972355189</v>
      </c>
    </row>
    <row r="5228" spans="1:40" x14ac:dyDescent="0.25">
      <c r="A5228" t="str">
        <f>"20190304155521640"</f>
        <v>20190304155521640</v>
      </c>
      <c r="B5228" t="str">
        <f>"1551686121633178"</f>
        <v>1551686121633178</v>
      </c>
      <c r="C5228" t="s">
        <v>40</v>
      </c>
      <c r="D5228">
        <v>4.585979</v>
      </c>
      <c r="E5228">
        <v>0.53918489999999997</v>
      </c>
      <c r="F5228" t="s">
        <v>74</v>
      </c>
      <c r="G5228">
        <v>-201.42429999999999</v>
      </c>
      <c r="H5228" s="1">
        <v>-5.14580799999999E-6</v>
      </c>
      <c r="I5228">
        <v>-63.29271</v>
      </c>
      <c r="J5228">
        <v>-239.8109</v>
      </c>
      <c r="K5228">
        <v>1.1106180000000001</v>
      </c>
      <c r="L5228">
        <v>-63.019869999999997</v>
      </c>
      <c r="M5228">
        <v>0.99977590000000005</v>
      </c>
      <c r="N5228">
        <v>-9.022024E-3</v>
      </c>
      <c r="O5228">
        <v>-1.9150199999999999E-2</v>
      </c>
      <c r="P5228">
        <v>0.98376790000000003</v>
      </c>
      <c r="Q5228">
        <v>0.15094589999999999</v>
      </c>
      <c r="R5228">
        <v>9.7036839999999999E-2</v>
      </c>
      <c r="S5228">
        <v>3.0649570000000002</v>
      </c>
      <c r="T5228">
        <v>-8.8275549999999994E-2</v>
      </c>
      <c r="U5228">
        <v>-2.191162E-2</v>
      </c>
      <c r="V5228">
        <v>-0.11620510000000001</v>
      </c>
      <c r="W5228">
        <v>0.1595462</v>
      </c>
      <c r="X5228">
        <v>0.98032719999999995</v>
      </c>
      <c r="Y5228">
        <v>-1.1992630000000001E-2</v>
      </c>
      <c r="Z5228">
        <v>6.0541930000000005E-4</v>
      </c>
      <c r="AA5228">
        <v>0.99992789999999998</v>
      </c>
      <c r="AB5228">
        <v>30</v>
      </c>
      <c r="AC5228">
        <v>38.386600000000001</v>
      </c>
      <c r="AD5228">
        <v>-1.110623145808</v>
      </c>
      <c r="AE5228">
        <v>-0.27284000000000203</v>
      </c>
      <c r="AF5228">
        <v>-0.461964345397327</v>
      </c>
      <c r="AG5228">
        <v>-1.110623145808</v>
      </c>
      <c r="AH5228">
        <v>38.352682000615197</v>
      </c>
      <c r="AI5228">
        <v>91.658596618974997</v>
      </c>
      <c r="AJ5228">
        <v>90.690103688529803</v>
      </c>
      <c r="AK5228">
        <v>38.371540384362198</v>
      </c>
      <c r="AL5228">
        <v>80.819443121609595</v>
      </c>
      <c r="AM5228">
        <v>96.760128519806401</v>
      </c>
      <c r="AN5228">
        <v>1.00000001713014</v>
      </c>
    </row>
    <row r="5229" spans="1:40" x14ac:dyDescent="0.25">
      <c r="A5229" t="str">
        <f>"20190304155521655"</f>
        <v>20190304155521655</v>
      </c>
      <c r="B5229" t="str">
        <f>"1551686121642814"</f>
        <v>1551686121642814</v>
      </c>
      <c r="C5229" t="s">
        <v>40</v>
      </c>
      <c r="D5229">
        <v>4.5405749999999996</v>
      </c>
      <c r="E5229">
        <v>0.53891719999999999</v>
      </c>
      <c r="F5229" t="s">
        <v>74</v>
      </c>
      <c r="G5229">
        <v>-200.41849999999999</v>
      </c>
      <c r="H5229" s="1">
        <v>-5.6597960000000003E-6</v>
      </c>
      <c r="I5229">
        <v>-63.318339999999999</v>
      </c>
      <c r="J5229">
        <v>-239.62389999999999</v>
      </c>
      <c r="K5229">
        <v>1.110584</v>
      </c>
      <c r="L5229">
        <v>-63.022799999999997</v>
      </c>
      <c r="M5229">
        <v>0.99978769999999995</v>
      </c>
      <c r="N5229">
        <v>-9.0251440000000006E-3</v>
      </c>
      <c r="O5229">
        <v>-1.853053E-2</v>
      </c>
      <c r="P5229">
        <v>0.98367879999999996</v>
      </c>
      <c r="Q5229">
        <v>0.1520975</v>
      </c>
      <c r="R5229">
        <v>9.6139619999999995E-2</v>
      </c>
      <c r="S5229">
        <v>3.0650330000000001</v>
      </c>
      <c r="T5229">
        <v>-8.6415049999999993E-2</v>
      </c>
      <c r="U5229">
        <v>-2.3223879999999999E-2</v>
      </c>
      <c r="V5229">
        <v>-0.1146857</v>
      </c>
      <c r="W5229">
        <v>0.16071440000000001</v>
      </c>
      <c r="X5229">
        <v>0.9803153</v>
      </c>
      <c r="Y5229">
        <v>-1.094609E-2</v>
      </c>
      <c r="Z5229">
        <v>5.5875769999999905E-4</v>
      </c>
      <c r="AA5229">
        <v>0.99993989999999999</v>
      </c>
      <c r="AB5229">
        <v>30</v>
      </c>
      <c r="AC5229">
        <v>39.205399999999997</v>
      </c>
      <c r="AD5229">
        <v>-1.1105896597959899</v>
      </c>
      <c r="AE5229">
        <v>-0.29554000000000202</v>
      </c>
      <c r="AF5229">
        <v>-0.43069149219063302</v>
      </c>
      <c r="AG5229">
        <v>-1.1105896597959899</v>
      </c>
      <c r="AH5229">
        <v>39.172712249653799</v>
      </c>
      <c r="AI5229">
        <v>91.623865528145899</v>
      </c>
      <c r="AJ5229">
        <v>90.629923461873204</v>
      </c>
      <c r="AK5229">
        <v>39.190818944595499</v>
      </c>
      <c r="AL5229">
        <v>80.751635100390203</v>
      </c>
      <c r="AM5229">
        <v>96.672621264720803</v>
      </c>
      <c r="AN5229">
        <v>1.0000000077829601</v>
      </c>
    </row>
    <row r="5230" spans="1:40" x14ac:dyDescent="0.25">
      <c r="A5230" t="str">
        <f>"20190304155521667"</f>
        <v>20190304155521667</v>
      </c>
      <c r="B5230" t="str">
        <f>"1551686121663293"</f>
        <v>1551686121663293</v>
      </c>
      <c r="C5230" t="s">
        <v>40</v>
      </c>
      <c r="D5230">
        <v>4.5666379999999904</v>
      </c>
      <c r="E5230">
        <v>0.53902299999999903</v>
      </c>
      <c r="F5230" t="s">
        <v>74</v>
      </c>
      <c r="G5230">
        <v>-199.97</v>
      </c>
      <c r="H5230" s="1">
        <v>-5.8893459999999997E-6</v>
      </c>
      <c r="I5230">
        <v>-63.33625</v>
      </c>
      <c r="J5230">
        <v>-239.46299999999999</v>
      </c>
      <c r="K5230">
        <v>1.11054599999999</v>
      </c>
      <c r="L5230">
        <v>-63.025300000000001</v>
      </c>
      <c r="M5230">
        <v>0.99979700000000005</v>
      </c>
      <c r="N5230">
        <v>-9.0278010000000002E-3</v>
      </c>
      <c r="O5230">
        <v>-1.8020629999999999E-2</v>
      </c>
      <c r="P5230">
        <v>0.98360460000000005</v>
      </c>
      <c r="Q5230">
        <v>0.1527289</v>
      </c>
      <c r="R5230">
        <v>9.5896040000000002E-2</v>
      </c>
      <c r="S5230">
        <v>3.0654140000000001</v>
      </c>
      <c r="T5230">
        <v>-8.5853460000000006E-2</v>
      </c>
      <c r="U5230">
        <v>-2.4230959999999999E-2</v>
      </c>
      <c r="V5230">
        <v>-0.1139279</v>
      </c>
      <c r="W5230">
        <v>0.16135920000000001</v>
      </c>
      <c r="X5230">
        <v>0.98029770000000005</v>
      </c>
      <c r="Y5230">
        <v>-1.010922E-2</v>
      </c>
      <c r="Z5230">
        <v>5.2907500000000005E-4</v>
      </c>
      <c r="AA5230">
        <v>0.99994870000000002</v>
      </c>
      <c r="AB5230">
        <v>30</v>
      </c>
      <c r="AC5230">
        <v>39.493000000000002</v>
      </c>
      <c r="AD5230">
        <v>-1.11055188934599</v>
      </c>
      <c r="AE5230">
        <v>-0.31094999999999801</v>
      </c>
      <c r="AF5230">
        <v>-0.40050146449817497</v>
      </c>
      <c r="AG5230">
        <v>-1.11055188934599</v>
      </c>
      <c r="AH5230">
        <v>39.460988443824199</v>
      </c>
      <c r="AI5230">
        <v>91.611968512989307</v>
      </c>
      <c r="AJ5230">
        <v>90.581492168494094</v>
      </c>
      <c r="AK5230">
        <v>39.478644048214498</v>
      </c>
      <c r="AL5230">
        <v>80.714201861269999</v>
      </c>
      <c r="AM5230">
        <v>96.629042732171598</v>
      </c>
      <c r="AN5230">
        <v>0.99999996922416901</v>
      </c>
    </row>
    <row r="5231" spans="1:40" x14ac:dyDescent="0.25">
      <c r="A5231" t="str">
        <f>"20190304155521676"</f>
        <v>20190304155521676</v>
      </c>
      <c r="B5231" t="str">
        <f>"1551686121673054"</f>
        <v>1551686121673054</v>
      </c>
      <c r="C5231" t="s">
        <v>40</v>
      </c>
      <c r="D5231">
        <v>4.5969439999999997</v>
      </c>
      <c r="E5231">
        <v>0.53849720000000001</v>
      </c>
      <c r="F5231" t="s">
        <v>74</v>
      </c>
      <c r="G5231">
        <v>-199.38300000000001</v>
      </c>
      <c r="H5231" s="1">
        <v>-6.1312879999999997E-6</v>
      </c>
      <c r="I5231">
        <v>-63.363630000000001</v>
      </c>
      <c r="J5231">
        <v>-239.3176</v>
      </c>
      <c r="K5231">
        <v>1.110514</v>
      </c>
      <c r="L5231">
        <v>-63.027470000000001</v>
      </c>
      <c r="M5231">
        <v>0.99980469999999999</v>
      </c>
      <c r="N5231">
        <v>-9.0301640000000002E-3</v>
      </c>
      <c r="O5231">
        <v>-1.7585460000000001E-2</v>
      </c>
      <c r="P5231">
        <v>0.98356310000000002</v>
      </c>
      <c r="Q5231">
        <v>0.1531391</v>
      </c>
      <c r="R5231">
        <v>9.5668230000000007E-2</v>
      </c>
      <c r="S5231">
        <v>3.0656889999999999</v>
      </c>
      <c r="T5231">
        <v>-8.4945320000000005E-2</v>
      </c>
      <c r="U5231">
        <v>-2.5878910000000001E-2</v>
      </c>
      <c r="V5231">
        <v>-0.1132599</v>
      </c>
      <c r="W5231">
        <v>0.16178219999999999</v>
      </c>
      <c r="X5231">
        <v>0.98030539999999999</v>
      </c>
      <c r="Y5231">
        <v>-9.1379749999999996E-3</v>
      </c>
      <c r="Z5231">
        <v>4.9618989999999897E-4</v>
      </c>
      <c r="AA5231">
        <v>0.99995809999999996</v>
      </c>
      <c r="AB5231">
        <v>30</v>
      </c>
      <c r="AC5231">
        <v>39.934600000000003</v>
      </c>
      <c r="AD5231">
        <v>-1.110520131288</v>
      </c>
      <c r="AE5231">
        <v>-0.336160000000013</v>
      </c>
      <c r="AF5231">
        <v>-0.36590591228463198</v>
      </c>
      <c r="AG5231">
        <v>-1.110520131288</v>
      </c>
      <c r="AH5231">
        <v>39.9034803189451</v>
      </c>
      <c r="AI5231">
        <v>91.594072091867005</v>
      </c>
      <c r="AJ5231">
        <v>90.525374647181593</v>
      </c>
      <c r="AK5231">
        <v>39.920607255690399</v>
      </c>
      <c r="AL5231">
        <v>80.689643183798793</v>
      </c>
      <c r="AM5231">
        <v>96.590465908536402</v>
      </c>
      <c r="AN5231">
        <v>0.99999998122700395</v>
      </c>
    </row>
    <row r="5232" spans="1:40" x14ac:dyDescent="0.25">
      <c r="A5232" t="str">
        <f>"20190304155521687"</f>
        <v>20190304155521687</v>
      </c>
      <c r="B5232" t="str">
        <f>"1551686121682814"</f>
        <v>1551686121682814</v>
      </c>
      <c r="C5232" t="s">
        <v>40</v>
      </c>
      <c r="D5232">
        <v>4.59781</v>
      </c>
      <c r="E5232">
        <v>0.53803469999999998</v>
      </c>
      <c r="F5232" t="s">
        <v>74</v>
      </c>
      <c r="G5232">
        <v>-200.47120000000001</v>
      </c>
      <c r="H5232" s="1">
        <v>-5.6326019999999997E-6</v>
      </c>
      <c r="I5232">
        <v>-63.312060000000002</v>
      </c>
      <c r="J5232">
        <v>-239.18190000000001</v>
      </c>
      <c r="K5232">
        <v>1.110484</v>
      </c>
      <c r="L5232">
        <v>-63.02948</v>
      </c>
      <c r="M5232">
        <v>0.99981129999999996</v>
      </c>
      <c r="N5232">
        <v>-9.0324099999999994E-3</v>
      </c>
      <c r="O5232">
        <v>-1.720286E-2</v>
      </c>
      <c r="P5232">
        <v>0.98352810000000002</v>
      </c>
      <c r="Q5232">
        <v>0.15353610000000001</v>
      </c>
      <c r="R5232">
        <v>9.5391119999999996E-2</v>
      </c>
      <c r="S5232">
        <v>3.065979</v>
      </c>
      <c r="T5232">
        <v>-8.7648390000000007E-2</v>
      </c>
      <c r="U5232">
        <v>-2.2460939999999999E-2</v>
      </c>
      <c r="V5232">
        <v>-0.1125941</v>
      </c>
      <c r="W5232">
        <v>0.16219159999999999</v>
      </c>
      <c r="X5232">
        <v>0.98031449999999998</v>
      </c>
      <c r="Y5232">
        <v>-9.8699200000000008E-3</v>
      </c>
      <c r="Z5232">
        <v>5.2191640000000001E-4</v>
      </c>
      <c r="AA5232">
        <v>0.99995120000000004</v>
      </c>
      <c r="AB5232">
        <v>30</v>
      </c>
      <c r="AC5232">
        <v>38.710700000000003</v>
      </c>
      <c r="AD5232">
        <v>-1.110489632602</v>
      </c>
      <c r="AE5232">
        <v>-0.28257999999998801</v>
      </c>
      <c r="AF5232">
        <v>-0.38310842851794502</v>
      </c>
      <c r="AG5232">
        <v>-1.110489632602</v>
      </c>
      <c r="AH5232">
        <v>38.678004607786796</v>
      </c>
      <c r="AI5232">
        <v>91.644494771357301</v>
      </c>
      <c r="AJ5232">
        <v>90.567500274563798</v>
      </c>
      <c r="AK5232">
        <v>38.695839566187097</v>
      </c>
      <c r="AL5232">
        <v>80.665872832057303</v>
      </c>
      <c r="AM5232">
        <v>96.552001320755295</v>
      </c>
      <c r="AN5232">
        <v>1.0000000326878</v>
      </c>
    </row>
    <row r="5233" spans="1:40" x14ac:dyDescent="0.25">
      <c r="A5233" t="str">
        <f>"20190304155521699"</f>
        <v>20190304155521699</v>
      </c>
      <c r="B5233" t="str">
        <f>"1551686121692573"</f>
        <v>1551686121692573</v>
      </c>
      <c r="C5233" t="s">
        <v>40</v>
      </c>
      <c r="D5233">
        <v>4.5709939999999998</v>
      </c>
      <c r="E5233">
        <v>0.53790090000000002</v>
      </c>
      <c r="F5233" t="s">
        <v>74</v>
      </c>
      <c r="G5233">
        <v>-201.38810000000001</v>
      </c>
      <c r="H5233" s="1">
        <v>-5.1632479999999996E-6</v>
      </c>
      <c r="I5233">
        <v>-63.275120000000001</v>
      </c>
      <c r="J5233">
        <v>-239.01759999999999</v>
      </c>
      <c r="K5233">
        <v>1.1104480000000001</v>
      </c>
      <c r="L5233">
        <v>-63.031860000000002</v>
      </c>
      <c r="M5233">
        <v>0.99981880000000001</v>
      </c>
      <c r="N5233">
        <v>-9.0351719999999993E-3</v>
      </c>
      <c r="O5233">
        <v>-1.675989E-2</v>
      </c>
      <c r="P5233">
        <v>0.98349679999999995</v>
      </c>
      <c r="Q5233">
        <v>0.1540176</v>
      </c>
      <c r="R5233">
        <v>9.4936149999999997E-2</v>
      </c>
      <c r="S5233">
        <v>3.0662379999999998</v>
      </c>
      <c r="T5233">
        <v>-9.0094919999999995E-2</v>
      </c>
      <c r="U5233">
        <v>-1.9927980000000001E-2</v>
      </c>
      <c r="V5233">
        <v>-0.1116882</v>
      </c>
      <c r="W5233">
        <v>0.1626889</v>
      </c>
      <c r="X5233">
        <v>0.98033570000000003</v>
      </c>
      <c r="Y5233">
        <v>-1.0252860000000001E-2</v>
      </c>
      <c r="Z5233">
        <v>5.378316E-4</v>
      </c>
      <c r="AA5233">
        <v>0.99994729999999998</v>
      </c>
      <c r="AB5233">
        <v>30</v>
      </c>
      <c r="AC5233">
        <v>37.629499999999901</v>
      </c>
      <c r="AD5233">
        <v>-1.1104531632479999</v>
      </c>
      <c r="AE5233">
        <v>-0.243259999999999</v>
      </c>
      <c r="AF5233">
        <v>-0.38712902644210301</v>
      </c>
      <c r="AG5233">
        <v>-1.1104531632479999</v>
      </c>
      <c r="AH5233">
        <v>37.595552689400598</v>
      </c>
      <c r="AI5233">
        <v>91.691753741454704</v>
      </c>
      <c r="AJ5233">
        <v>90.589965403943594</v>
      </c>
      <c r="AK5233">
        <v>37.613940994428901</v>
      </c>
      <c r="AL5233">
        <v>80.636995882972698</v>
      </c>
      <c r="AM5233">
        <v>96.499599339614093</v>
      </c>
      <c r="AN5233">
        <v>1.0000000084484699</v>
      </c>
    </row>
    <row r="5234" spans="1:40" x14ac:dyDescent="0.25">
      <c r="A5234" t="str">
        <f>"20190304155521713"</f>
        <v>20190304155521713</v>
      </c>
      <c r="B5234" t="str">
        <f>"1551686121703310"</f>
        <v>1551686121703310</v>
      </c>
      <c r="C5234" t="s">
        <v>40</v>
      </c>
      <c r="D5234">
        <v>4.637785</v>
      </c>
      <c r="E5234">
        <v>0.53743450000000004</v>
      </c>
      <c r="F5234" t="s">
        <v>74</v>
      </c>
      <c r="G5234">
        <v>-201.1866</v>
      </c>
      <c r="H5234" s="1">
        <v>-5.2663220000000001E-6</v>
      </c>
      <c r="I5234">
        <v>-63.281869999999998</v>
      </c>
      <c r="J5234">
        <v>-238.8477</v>
      </c>
      <c r="K5234">
        <v>1.110406</v>
      </c>
      <c r="L5234">
        <v>-63.034300000000002</v>
      </c>
      <c r="M5234">
        <v>0.99982559999999998</v>
      </c>
      <c r="N5234">
        <v>-9.037949E-3</v>
      </c>
      <c r="O5234">
        <v>-1.6345209999999999E-2</v>
      </c>
      <c r="P5234">
        <v>0.98340649999999996</v>
      </c>
      <c r="Q5234">
        <v>0.15460850000000001</v>
      </c>
      <c r="R5234">
        <v>9.4908610000000004E-2</v>
      </c>
      <c r="S5234">
        <v>3.06636</v>
      </c>
      <c r="T5234">
        <v>-9.0006710000000004E-2</v>
      </c>
      <c r="U5234">
        <v>-2.0263670000000001E-2</v>
      </c>
      <c r="V5234">
        <v>-0.1112356</v>
      </c>
      <c r="W5234">
        <v>0.16329440000000001</v>
      </c>
      <c r="X5234">
        <v>0.98028649999999995</v>
      </c>
      <c r="Y5234">
        <v>-9.7293169999999995E-3</v>
      </c>
      <c r="Z5234">
        <v>5.186756E-4</v>
      </c>
      <c r="AA5234">
        <v>0.99995259999999997</v>
      </c>
      <c r="AB5234">
        <v>30</v>
      </c>
      <c r="AC5234">
        <v>37.661099999999998</v>
      </c>
      <c r="AD5234">
        <v>-1.110411266322</v>
      </c>
      <c r="AE5234">
        <v>-0.24756999999999599</v>
      </c>
      <c r="AF5234">
        <v>-0.36774710504445202</v>
      </c>
      <c r="AG5234">
        <v>-1.110411266322</v>
      </c>
      <c r="AH5234">
        <v>37.627406124037201</v>
      </c>
      <c r="AI5234">
        <v>91.690267561538803</v>
      </c>
      <c r="AJ5234">
        <v>90.5599558508695</v>
      </c>
      <c r="AK5234">
        <v>37.6455833098236</v>
      </c>
      <c r="AL5234">
        <v>80.601833190054506</v>
      </c>
      <c r="AM5234">
        <v>96.473806836120204</v>
      </c>
      <c r="AN5234">
        <v>1.00000002093048</v>
      </c>
    </row>
    <row r="5235" spans="1:40" x14ac:dyDescent="0.25">
      <c r="A5235" t="str">
        <f>"20190304155521725"</f>
        <v>20190304155521725</v>
      </c>
      <c r="B5235" t="str">
        <f>"1551686121722829"</f>
        <v>1551686121722829</v>
      </c>
      <c r="C5235" t="s">
        <v>40</v>
      </c>
      <c r="D5235">
        <v>4.6342980000000003</v>
      </c>
      <c r="E5235">
        <v>0.53678349999999997</v>
      </c>
      <c r="F5235" t="s">
        <v>74</v>
      </c>
      <c r="G5235">
        <v>-201.6506</v>
      </c>
      <c r="H5235" s="1">
        <v>-5.0273790000000004E-6</v>
      </c>
      <c r="I5235">
        <v>-63.238630000000001</v>
      </c>
      <c r="J5235">
        <v>-238.6713</v>
      </c>
      <c r="K5235">
        <v>1.11036</v>
      </c>
      <c r="L5235">
        <v>-63.036740000000002</v>
      </c>
      <c r="M5235">
        <v>0.99983230000000001</v>
      </c>
      <c r="N5235">
        <v>-9.0408469999999994E-3</v>
      </c>
      <c r="O5235">
        <v>-1.5939140000000001E-2</v>
      </c>
      <c r="P5235">
        <v>0.98331919999999995</v>
      </c>
      <c r="Q5235">
        <v>0.1553358</v>
      </c>
      <c r="R5235">
        <v>9.46274E-2</v>
      </c>
      <c r="S5235">
        <v>3.0666199999999999</v>
      </c>
      <c r="T5235">
        <v>-9.1544990000000007E-2</v>
      </c>
      <c r="U5235">
        <v>-1.6845699999999901E-2</v>
      </c>
      <c r="V5235">
        <v>-0.11053739999999999</v>
      </c>
      <c r="W5235">
        <v>0.16403809999999999</v>
      </c>
      <c r="X5235">
        <v>0.98024129999999998</v>
      </c>
      <c r="Y5235">
        <v>-1.043758E-2</v>
      </c>
      <c r="Z5235">
        <v>5.3455089999999896E-4</v>
      </c>
      <c r="AA5235">
        <v>0.99994539999999998</v>
      </c>
      <c r="AB5235">
        <v>30</v>
      </c>
      <c r="AC5235">
        <v>37.020699999999998</v>
      </c>
      <c r="AD5235">
        <v>-1.110365027379</v>
      </c>
      <c r="AE5235">
        <v>-0.20189000000000501</v>
      </c>
      <c r="AF5235">
        <v>-0.387888833710476</v>
      </c>
      <c r="AG5235">
        <v>-1.110365027379</v>
      </c>
      <c r="AH5235">
        <v>36.985943716033603</v>
      </c>
      <c r="AI5235">
        <v>91.719481123912004</v>
      </c>
      <c r="AJ5235">
        <v>90.600865521197406</v>
      </c>
      <c r="AK5235">
        <v>37.004640260472101</v>
      </c>
      <c r="AL5235">
        <v>80.5586397920721</v>
      </c>
      <c r="AM5235">
        <v>96.433808177072393</v>
      </c>
      <c r="AN5235">
        <v>1.00000001063802</v>
      </c>
    </row>
    <row r="5236" spans="1:40" x14ac:dyDescent="0.25">
      <c r="A5236" t="str">
        <f>"20190304155521739"</f>
        <v>20190304155521739</v>
      </c>
      <c r="B5236" t="str">
        <f>"1551686121732591"</f>
        <v>1551686121732591</v>
      </c>
      <c r="C5236" t="s">
        <v>40</v>
      </c>
      <c r="D5236">
        <v>4.6664629999999896</v>
      </c>
      <c r="E5236">
        <v>0.53648969999999996</v>
      </c>
      <c r="F5236" t="s">
        <v>74</v>
      </c>
      <c r="G5236">
        <v>-202.554</v>
      </c>
      <c r="H5236" s="1">
        <v>-4.5640419999999997E-6</v>
      </c>
      <c r="I5236">
        <v>-63.186230000000002</v>
      </c>
      <c r="J5236">
        <v>-238.4855</v>
      </c>
      <c r="K5236">
        <v>1.1103160000000001</v>
      </c>
      <c r="L5236">
        <v>-63.039340000000003</v>
      </c>
      <c r="M5236">
        <v>0.99983820000000001</v>
      </c>
      <c r="N5236">
        <v>-9.0439100000000005E-3</v>
      </c>
      <c r="O5236">
        <v>-1.5553020000000001E-2</v>
      </c>
      <c r="P5236">
        <v>0.98326340000000001</v>
      </c>
      <c r="Q5236">
        <v>0.15577530000000001</v>
      </c>
      <c r="R5236">
        <v>9.4484090000000007E-2</v>
      </c>
      <c r="S5236">
        <v>3.0670009999999999</v>
      </c>
      <c r="T5236">
        <v>-9.4289659999999997E-2</v>
      </c>
      <c r="U5236">
        <v>-1.269531E-2</v>
      </c>
      <c r="V5236">
        <v>-0.1099952</v>
      </c>
      <c r="W5236">
        <v>0.1644939</v>
      </c>
      <c r="X5236">
        <v>0.98022589999999998</v>
      </c>
      <c r="Y5236">
        <v>-1.14041E-2</v>
      </c>
      <c r="Z5236">
        <v>5.6421659999999997E-4</v>
      </c>
      <c r="AA5236">
        <v>0.99993480000000001</v>
      </c>
      <c r="AB5236">
        <v>30</v>
      </c>
      <c r="AC5236">
        <v>35.9315</v>
      </c>
      <c r="AD5236">
        <v>-1.110320564042</v>
      </c>
      <c r="AE5236">
        <v>-0.14688999999999899</v>
      </c>
      <c r="AF5236">
        <v>-0.41160091012788702</v>
      </c>
      <c r="AG5236">
        <v>-1.110320564042</v>
      </c>
      <c r="AH5236">
        <v>35.895163422012303</v>
      </c>
      <c r="AI5236">
        <v>91.771609882636795</v>
      </c>
      <c r="AJ5236">
        <v>90.656967658403204</v>
      </c>
      <c r="AK5236">
        <v>35.914690366995004</v>
      </c>
      <c r="AL5236">
        <v>80.532164649625301</v>
      </c>
      <c r="AM5236">
        <v>96.402611978085702</v>
      </c>
      <c r="AN5236">
        <v>1.0000000010955299</v>
      </c>
    </row>
    <row r="5237" spans="1:40" x14ac:dyDescent="0.25">
      <c r="A5237" t="str">
        <f>"20190304155521751"</f>
        <v>20190304155521751</v>
      </c>
      <c r="B5237" t="str">
        <f>"1551686121742869"</f>
        <v>1551686121742869</v>
      </c>
      <c r="C5237" t="s">
        <v>40</v>
      </c>
      <c r="D5237">
        <v>4.7934380000000001</v>
      </c>
      <c r="E5237">
        <v>0.53641569999999905</v>
      </c>
      <c r="F5237" t="s">
        <v>74</v>
      </c>
      <c r="G5237">
        <v>-202.99549999999999</v>
      </c>
      <c r="H5237" s="1">
        <v>-4.3379410000000001E-6</v>
      </c>
      <c r="I5237">
        <v>-63.167160000000003</v>
      </c>
      <c r="J5237">
        <v>-238.32230000000001</v>
      </c>
      <c r="K5237">
        <v>1.110276</v>
      </c>
      <c r="L5237">
        <v>-63.041530000000002</v>
      </c>
      <c r="M5237">
        <v>0.99984289999999998</v>
      </c>
      <c r="N5237">
        <v>-9.0466330000000001E-3</v>
      </c>
      <c r="O5237">
        <v>-1.525171E-2</v>
      </c>
      <c r="P5237">
        <v>0.98321309999999995</v>
      </c>
      <c r="Q5237">
        <v>0.15631589999999901</v>
      </c>
      <c r="R5237">
        <v>9.4115119999999997E-2</v>
      </c>
      <c r="S5237">
        <v>3.0673219999999999</v>
      </c>
      <c r="T5237">
        <v>-9.5962519999999996E-2</v>
      </c>
      <c r="U5237">
        <v>-1.1047360000000001E-2</v>
      </c>
      <c r="V5237">
        <v>-0.1093136</v>
      </c>
      <c r="W5237">
        <v>0.16504929999999901</v>
      </c>
      <c r="X5237">
        <v>0.98020879999999999</v>
      </c>
      <c r="Y5237">
        <v>-1.163994E-2</v>
      </c>
      <c r="Z5237">
        <v>5.7376550000000001E-4</v>
      </c>
      <c r="AA5237">
        <v>0.99993209999999999</v>
      </c>
      <c r="AB5237">
        <v>30</v>
      </c>
      <c r="AC5237">
        <v>35.326799999999999</v>
      </c>
      <c r="AD5237">
        <v>-1.110280337941</v>
      </c>
      <c r="AE5237">
        <v>-0.125629999999993</v>
      </c>
      <c r="AF5237">
        <v>-0.41279295595041399</v>
      </c>
      <c r="AG5237">
        <v>-1.110280337941</v>
      </c>
      <c r="AH5237">
        <v>35.2897490264466</v>
      </c>
      <c r="AI5237">
        <v>91.801912874373301</v>
      </c>
      <c r="AJ5237">
        <v>90.670172393647107</v>
      </c>
      <c r="AK5237">
        <v>35.309623430488401</v>
      </c>
      <c r="AL5237">
        <v>80.499901708700605</v>
      </c>
      <c r="AM5237">
        <v>96.363373869752294</v>
      </c>
      <c r="AN5237">
        <v>1.0000000130864399</v>
      </c>
    </row>
    <row r="5238" spans="1:40" x14ac:dyDescent="0.25">
      <c r="A5238" t="str">
        <f>"20190304155521765"</f>
        <v>20190304155521765</v>
      </c>
      <c r="B5238" t="str">
        <f>"1551686121763352"</f>
        <v>1551686121763352</v>
      </c>
      <c r="C5238" t="s">
        <v>40</v>
      </c>
      <c r="D5238">
        <v>4.5647229999999999</v>
      </c>
      <c r="E5238">
        <v>0.53618679999999996</v>
      </c>
      <c r="F5238" t="s">
        <v>74</v>
      </c>
      <c r="G5238">
        <v>-202.74879999999999</v>
      </c>
      <c r="H5238" s="1">
        <v>-4.4642439999999999E-6</v>
      </c>
      <c r="I5238">
        <v>-63.177430000000001</v>
      </c>
      <c r="J5238">
        <v>-238.1232</v>
      </c>
      <c r="K5238">
        <v>1.110231</v>
      </c>
      <c r="L5238">
        <v>-63.044249999999998</v>
      </c>
      <c r="M5238">
        <v>0.99984799999999996</v>
      </c>
      <c r="N5238">
        <v>-9.0499689999999997E-3</v>
      </c>
      <c r="O5238">
        <v>-1.491283E-2</v>
      </c>
      <c r="P5238">
        <v>0.98312109999999997</v>
      </c>
      <c r="Q5238">
        <v>0.15745809999999999</v>
      </c>
      <c r="R5238">
        <v>9.3166470000000001E-2</v>
      </c>
      <c r="S5238">
        <v>3.0675659999999998</v>
      </c>
      <c r="T5238">
        <v>-9.5741389999999996E-2</v>
      </c>
      <c r="U5238">
        <v>-1.171875E-2</v>
      </c>
      <c r="V5238">
        <v>-0.1080115</v>
      </c>
      <c r="W5238">
        <v>0.16620950000000001</v>
      </c>
      <c r="X5238">
        <v>0.9801571</v>
      </c>
      <c r="Y5238">
        <v>-1.1082949999999999E-2</v>
      </c>
      <c r="Z5238">
        <v>5.5344550000000002E-4</v>
      </c>
      <c r="AA5238">
        <v>0.99993840000000001</v>
      </c>
      <c r="AB5238">
        <v>30</v>
      </c>
      <c r="AC5238">
        <v>35.374400000000001</v>
      </c>
      <c r="AD5238">
        <v>-1.110235464244</v>
      </c>
      <c r="AE5238">
        <v>-0.13318000000001001</v>
      </c>
      <c r="AF5238">
        <v>-0.39400064597265799</v>
      </c>
      <c r="AG5238">
        <v>-1.110235464244</v>
      </c>
      <c r="AH5238">
        <v>35.337643779607298</v>
      </c>
      <c r="AI5238">
        <v>91.799410832312105</v>
      </c>
      <c r="AJ5238">
        <v>90.638798639431599</v>
      </c>
      <c r="AK5238">
        <v>35.357275449184499</v>
      </c>
      <c r="AL5238">
        <v>80.432496124046907</v>
      </c>
      <c r="AM5238">
        <v>96.288515725998494</v>
      </c>
      <c r="AN5238">
        <v>1.00000001135145</v>
      </c>
    </row>
    <row r="5239" spans="1:40" x14ac:dyDescent="0.25">
      <c r="A5239" t="str">
        <f>"20190304155521776"</f>
        <v>20190304155521776</v>
      </c>
      <c r="B5239" t="str">
        <f>"1551686121773113"</f>
        <v>1551686121773113</v>
      </c>
      <c r="C5239" t="s">
        <v>40</v>
      </c>
      <c r="D5239">
        <v>4.5973169999999897</v>
      </c>
      <c r="E5239">
        <v>0.53628739999999997</v>
      </c>
      <c r="F5239" t="s">
        <v>74</v>
      </c>
      <c r="G5239">
        <v>-202.3177</v>
      </c>
      <c r="H5239" s="1">
        <v>-4.6849120000000001E-6</v>
      </c>
      <c r="I5239">
        <v>-63.19455</v>
      </c>
      <c r="J5239">
        <v>-237.97200000000001</v>
      </c>
      <c r="K5239">
        <v>1.110196</v>
      </c>
      <c r="L5239">
        <v>-63.046259999999997</v>
      </c>
      <c r="M5239">
        <v>0.99985119999999905</v>
      </c>
      <c r="N5239">
        <v>-9.0524720000000006E-3</v>
      </c>
      <c r="O5239">
        <v>-1.468707E-2</v>
      </c>
      <c r="P5239">
        <v>0.98307880000000003</v>
      </c>
      <c r="Q5239">
        <v>0.15810589999999999</v>
      </c>
      <c r="R5239">
        <v>9.2512759999999999E-2</v>
      </c>
      <c r="S5239">
        <v>3.0679780000000001</v>
      </c>
      <c r="T5239">
        <v>-9.513009E-2</v>
      </c>
      <c r="U5239">
        <v>-1.287842E-2</v>
      </c>
      <c r="V5239">
        <v>-0.1071207</v>
      </c>
      <c r="W5239">
        <v>0.16687099999999999</v>
      </c>
      <c r="X5239">
        <v>0.98014250000000003</v>
      </c>
      <c r="Y5239">
        <v>-1.04803E-2</v>
      </c>
      <c r="Z5239">
        <v>5.3223859999999997E-4</v>
      </c>
      <c r="AA5239">
        <v>0.99994490000000003</v>
      </c>
      <c r="AB5239">
        <v>30</v>
      </c>
      <c r="AC5239">
        <v>35.654299999999999</v>
      </c>
      <c r="AD5239">
        <v>-1.1102006849120001</v>
      </c>
      <c r="AE5239">
        <v>-0.148290000000002</v>
      </c>
      <c r="AF5239">
        <v>-0.37504101034062598</v>
      </c>
      <c r="AG5239">
        <v>-1.1102006849120001</v>
      </c>
      <c r="AH5239">
        <v>35.618098376522397</v>
      </c>
      <c r="AI5239">
        <v>91.785207694377902</v>
      </c>
      <c r="AJ5239">
        <v>90.603274007615795</v>
      </c>
      <c r="AK5239">
        <v>35.637369898462502</v>
      </c>
      <c r="AL5239">
        <v>80.394058518374393</v>
      </c>
      <c r="AM5239">
        <v>96.237155236165805</v>
      </c>
      <c r="AN5239">
        <v>1.0000000476578601</v>
      </c>
    </row>
    <row r="5240" spans="1:40" x14ac:dyDescent="0.25">
      <c r="A5240" t="str">
        <f>"20190304155521788"</f>
        <v>20190304155521788</v>
      </c>
      <c r="B5240" t="str">
        <f>"1551686121782872"</f>
        <v>1551686121782872</v>
      </c>
      <c r="C5240" t="s">
        <v>40</v>
      </c>
      <c r="D5240">
        <v>4.6035370000000002</v>
      </c>
      <c r="E5240">
        <v>0.53641260000000002</v>
      </c>
      <c r="F5240" t="s">
        <v>74</v>
      </c>
      <c r="G5240">
        <v>-201.35929999999999</v>
      </c>
      <c r="H5240" s="1">
        <v>-5.1754999999999998E-6</v>
      </c>
      <c r="I5240">
        <v>-63.233089999999997</v>
      </c>
      <c r="J5240">
        <v>-237.81659999999999</v>
      </c>
      <c r="K5240">
        <v>1.110161</v>
      </c>
      <c r="L5240">
        <v>-63.048340000000003</v>
      </c>
      <c r="M5240">
        <v>0.99985429999999997</v>
      </c>
      <c r="N5240">
        <v>-9.0550869999999999E-3</v>
      </c>
      <c r="O5240">
        <v>-1.4478349999999999E-2</v>
      </c>
      <c r="P5240">
        <v>0.98304979999999997</v>
      </c>
      <c r="Q5240">
        <v>0.15860379999999999</v>
      </c>
      <c r="R5240">
        <v>9.1970060000000006E-2</v>
      </c>
      <c r="S5240">
        <v>3.0680689999999999</v>
      </c>
      <c r="T5240">
        <v>-9.3032599999999993E-2</v>
      </c>
      <c r="U5240">
        <v>-1.5655519999999999E-2</v>
      </c>
      <c r="V5240">
        <v>-0.10635839999999901</v>
      </c>
      <c r="W5240">
        <v>0.16738149999999999</v>
      </c>
      <c r="X5240">
        <v>0.98013839999999997</v>
      </c>
      <c r="Y5240">
        <v>-9.3677670000000008E-3</v>
      </c>
      <c r="Z5240">
        <v>4.9223940000000003E-4</v>
      </c>
      <c r="AA5240">
        <v>0.99995599999999996</v>
      </c>
      <c r="AB5240">
        <v>30</v>
      </c>
      <c r="AC5240">
        <v>36.457299999999996</v>
      </c>
      <c r="AD5240">
        <v>-1.1101661755000001</v>
      </c>
      <c r="AE5240">
        <v>-0.184750000000001</v>
      </c>
      <c r="AF5240">
        <v>-0.34281462030027199</v>
      </c>
      <c r="AG5240">
        <v>-1.1101661755000001</v>
      </c>
      <c r="AH5240">
        <v>36.422380760911999</v>
      </c>
      <c r="AI5240">
        <v>91.745776444923905</v>
      </c>
      <c r="AJ5240">
        <v>90.539263235939202</v>
      </c>
      <c r="AK5240">
        <v>36.4409084833785</v>
      </c>
      <c r="AL5240">
        <v>80.364391112952504</v>
      </c>
      <c r="AM5240">
        <v>96.193141781063702</v>
      </c>
      <c r="AN5240">
        <v>0.99999997947368402</v>
      </c>
    </row>
    <row r="5241" spans="1:40" x14ac:dyDescent="0.25">
      <c r="A5241" t="str">
        <f>"20190304155521799"</f>
        <v>20190304155521799</v>
      </c>
      <c r="B5241" t="str">
        <f>"1551686121792633"</f>
        <v>1551686121792633</v>
      </c>
      <c r="C5241" t="s">
        <v>40</v>
      </c>
      <c r="D5241">
        <v>4.6295080000000004</v>
      </c>
      <c r="E5241">
        <v>0.53647429999999996</v>
      </c>
      <c r="F5241" t="s">
        <v>74</v>
      </c>
      <c r="G5241">
        <v>-200.63050000000001</v>
      </c>
      <c r="H5241" s="1">
        <v>-5.5489119999999998E-6</v>
      </c>
      <c r="I5241">
        <v>-63.268790000000003</v>
      </c>
      <c r="J5241">
        <v>-237.65629999999999</v>
      </c>
      <c r="K5241">
        <v>1.1101209999999999</v>
      </c>
      <c r="L5241">
        <v>-63.050420000000003</v>
      </c>
      <c r="M5241">
        <v>0.99985710000000005</v>
      </c>
      <c r="N5241">
        <v>-9.0578150000000003E-3</v>
      </c>
      <c r="O5241">
        <v>-1.427989E-2</v>
      </c>
      <c r="P5241">
        <v>0.98303960000000001</v>
      </c>
      <c r="Q5241">
        <v>0.15911129999999901</v>
      </c>
      <c r="R5241">
        <v>9.1196490000000005E-2</v>
      </c>
      <c r="S5241">
        <v>3.0681919999999998</v>
      </c>
      <c r="T5241">
        <v>-9.1598750000000007E-2</v>
      </c>
      <c r="U5241">
        <v>-1.818848E-2</v>
      </c>
      <c r="V5241">
        <v>-0.10537539999999999</v>
      </c>
      <c r="W5241">
        <v>0.16790289999999999</v>
      </c>
      <c r="X5241">
        <v>0.98015540000000001</v>
      </c>
      <c r="Y5241">
        <v>-8.3449259999999904E-3</v>
      </c>
      <c r="Z5241">
        <v>4.5921420000000001E-4</v>
      </c>
      <c r="AA5241">
        <v>0.99996510000000005</v>
      </c>
      <c r="AB5241">
        <v>30</v>
      </c>
      <c r="AC5241">
        <v>37.025799999999897</v>
      </c>
      <c r="AD5241">
        <v>-1.110126548912</v>
      </c>
      <c r="AE5241">
        <v>-0.218370000000007</v>
      </c>
      <c r="AF5241">
        <v>-0.31011948920217097</v>
      </c>
      <c r="AG5241">
        <v>-1.110126548912</v>
      </c>
      <c r="AH5241">
        <v>36.991890118596999</v>
      </c>
      <c r="AI5241">
        <v>91.718869964622101</v>
      </c>
      <c r="AJ5241">
        <v>90.480324783790195</v>
      </c>
      <c r="AK5241">
        <v>37.009843144743797</v>
      </c>
      <c r="AL5241">
        <v>80.334088282248899</v>
      </c>
      <c r="AM5241">
        <v>96.136235777471697</v>
      </c>
      <c r="AN5241">
        <v>0.99999998345136498</v>
      </c>
    </row>
    <row r="5242" spans="1:40" x14ac:dyDescent="0.25">
      <c r="A5242" t="str">
        <f>"20190304155521811"</f>
        <v>20190304155521811</v>
      </c>
      <c r="B5242" t="str">
        <f>"1551686121803369"</f>
        <v>1551686121803369</v>
      </c>
      <c r="C5242" t="s">
        <v>40</v>
      </c>
      <c r="D5242">
        <v>4.6186470000000002</v>
      </c>
      <c r="E5242">
        <v>0.53652319999999998</v>
      </c>
      <c r="F5242" t="s">
        <v>74</v>
      </c>
      <c r="G5242">
        <v>-199.87219999999999</v>
      </c>
      <c r="H5242" s="1">
        <v>-5.92891E-6</v>
      </c>
      <c r="I5242">
        <v>-63.309719999999999</v>
      </c>
      <c r="J5242">
        <v>-237.50899999999999</v>
      </c>
      <c r="K5242">
        <v>1.110088</v>
      </c>
      <c r="L5242">
        <v>-63.052370000000003</v>
      </c>
      <c r="M5242">
        <v>0.99985919999999895</v>
      </c>
      <c r="N5242">
        <v>-9.0624079999999992E-3</v>
      </c>
      <c r="O5242">
        <v>-1.412836E-2</v>
      </c>
      <c r="P5242">
        <v>0.98301760000000005</v>
      </c>
      <c r="Q5242">
        <v>0.15955730000000001</v>
      </c>
      <c r="R5242">
        <v>9.0652969999999999E-2</v>
      </c>
      <c r="S5242">
        <v>3.0682830000000001</v>
      </c>
      <c r="T5242">
        <v>-9.0148450000000005E-2</v>
      </c>
      <c r="U5242">
        <v>-2.105713E-2</v>
      </c>
      <c r="V5242">
        <v>-0.1046702</v>
      </c>
      <c r="W5242">
        <v>0.1683616</v>
      </c>
      <c r="X5242">
        <v>0.98015229999999998</v>
      </c>
      <c r="Y5242">
        <v>-7.2596049999999997E-3</v>
      </c>
      <c r="Z5242">
        <v>4.264955E-4</v>
      </c>
      <c r="AA5242">
        <v>0.99997349999999996</v>
      </c>
      <c r="AB5242">
        <v>30</v>
      </c>
      <c r="AC5242">
        <v>37.636800000000001</v>
      </c>
      <c r="AD5242">
        <v>-1.11009392891</v>
      </c>
      <c r="AE5242">
        <v>-0.25735000000000202</v>
      </c>
      <c r="AF5242">
        <v>-0.274205209234545</v>
      </c>
      <c r="AG5242">
        <v>-1.11009392891</v>
      </c>
      <c r="AH5242">
        <v>37.6039672104693</v>
      </c>
      <c r="AI5242">
        <v>91.690873216428997</v>
      </c>
      <c r="AJ5242">
        <v>90.417788970819501</v>
      </c>
      <c r="AK5242">
        <v>37.621348287824802</v>
      </c>
      <c r="AL5242">
        <v>80.307427384284196</v>
      </c>
      <c r="AM5242">
        <v>96.095499781272295</v>
      </c>
      <c r="AN5242">
        <v>1.0000000051589399</v>
      </c>
    </row>
    <row r="5243" spans="1:40" x14ac:dyDescent="0.25">
      <c r="A5243" t="str">
        <f>"20190304155521822"</f>
        <v>20190304155521822</v>
      </c>
      <c r="B5243" t="str">
        <f>"1551686121813129"</f>
        <v>1551686121813129</v>
      </c>
      <c r="C5243" t="s">
        <v>40</v>
      </c>
      <c r="D5243">
        <v>4.6326869999999998</v>
      </c>
      <c r="E5243">
        <v>0.53653830000000002</v>
      </c>
      <c r="F5243" t="s">
        <v>74</v>
      </c>
      <c r="G5243">
        <v>-199.2672</v>
      </c>
      <c r="H5243" s="1">
        <v>-6.1772360000000001E-6</v>
      </c>
      <c r="I5243">
        <v>-63.342190000000002</v>
      </c>
      <c r="J5243">
        <v>-237.34639999999999</v>
      </c>
      <c r="K5243">
        <v>1.1100540000000001</v>
      </c>
      <c r="L5243">
        <v>-63.054470000000002</v>
      </c>
      <c r="M5243">
        <v>0.99986140000000001</v>
      </c>
      <c r="N5243">
        <v>-9.0683210000000007E-3</v>
      </c>
      <c r="O5243">
        <v>-1.397019E-2</v>
      </c>
      <c r="P5243">
        <v>0.98301320000000003</v>
      </c>
      <c r="Q5243">
        <v>0.1599506</v>
      </c>
      <c r="R5243">
        <v>9.0007000000000004E-2</v>
      </c>
      <c r="S5243">
        <v>3.0684200000000001</v>
      </c>
      <c r="T5243">
        <v>-8.9070800000000006E-2</v>
      </c>
      <c r="U5243">
        <v>-2.325439E-2</v>
      </c>
      <c r="V5243">
        <v>-0.10385460000000001</v>
      </c>
      <c r="W5243">
        <v>0.16877049999999999</v>
      </c>
      <c r="X5243">
        <v>0.9801687</v>
      </c>
      <c r="Y5243">
        <v>-6.3863899999999996E-3</v>
      </c>
      <c r="Z5243">
        <v>4.0038790000000002E-4</v>
      </c>
      <c r="AA5243">
        <v>0.99997959999999997</v>
      </c>
      <c r="AB5243">
        <v>30</v>
      </c>
      <c r="AC5243">
        <v>38.079199999999901</v>
      </c>
      <c r="AD5243">
        <v>-1.1100601772359999</v>
      </c>
      <c r="AE5243">
        <v>-0.28772000000000703</v>
      </c>
      <c r="AF5243">
        <v>-0.24409613409105199</v>
      </c>
      <c r="AG5243">
        <v>-1.1100601772359999</v>
      </c>
      <c r="AH5243">
        <v>38.047172602549701</v>
      </c>
      <c r="AI5243">
        <v>91.671146989788994</v>
      </c>
      <c r="AJ5243">
        <v>90.367582804259101</v>
      </c>
      <c r="AK5243">
        <v>38.0641453282215</v>
      </c>
      <c r="AL5243">
        <v>80.283658678725502</v>
      </c>
      <c r="AM5243">
        <v>96.048256066144305</v>
      </c>
      <c r="AN5243">
        <v>0.99999997003554897</v>
      </c>
    </row>
    <row r="5244" spans="1:40" x14ac:dyDescent="0.25">
      <c r="A5244" t="str">
        <f>"20190304155521834"</f>
        <v>20190304155521834</v>
      </c>
      <c r="B5244" t="str">
        <f>"1551686121822889"</f>
        <v>1551686121822889</v>
      </c>
      <c r="C5244" t="s">
        <v>40</v>
      </c>
      <c r="D5244">
        <v>4.6183170000000002</v>
      </c>
      <c r="E5244">
        <v>0.53656740000000003</v>
      </c>
      <c r="F5244" t="s">
        <v>74</v>
      </c>
      <c r="G5244">
        <v>-198.77760000000001</v>
      </c>
      <c r="H5244" s="1">
        <v>-6.3784130000000004E-6</v>
      </c>
      <c r="I5244">
        <v>-63.37323</v>
      </c>
      <c r="J5244">
        <v>-237.1832</v>
      </c>
      <c r="K5244">
        <v>1.110028</v>
      </c>
      <c r="L5244">
        <v>-63.056640000000002</v>
      </c>
      <c r="M5244">
        <v>0.99986299999999995</v>
      </c>
      <c r="N5244">
        <v>-9.0784950000000007E-3</v>
      </c>
      <c r="O5244">
        <v>-1.3843619999999999E-2</v>
      </c>
      <c r="P5244">
        <v>0.98300650000000001</v>
      </c>
      <c r="Q5244">
        <v>0.1603098</v>
      </c>
      <c r="R5244">
        <v>8.9436740000000001E-2</v>
      </c>
      <c r="S5244">
        <v>3.0685579999999999</v>
      </c>
      <c r="T5244">
        <v>-8.8317160000000006E-2</v>
      </c>
      <c r="U5244">
        <v>-2.5360110000000002E-2</v>
      </c>
      <c r="V5244">
        <v>-0.1031468</v>
      </c>
      <c r="W5244">
        <v>0.1691484</v>
      </c>
      <c r="X5244">
        <v>0.98017840000000001</v>
      </c>
      <c r="Y5244">
        <v>-5.5745609999999996E-3</v>
      </c>
      <c r="Z5244">
        <v>3.7818230000000001E-4</v>
      </c>
      <c r="AA5244">
        <v>0.9999844</v>
      </c>
      <c r="AB5244">
        <v>31</v>
      </c>
      <c r="AC5244">
        <v>38.4055999999999</v>
      </c>
      <c r="AD5244">
        <v>-1.110034378413</v>
      </c>
      <c r="AE5244">
        <v>-0.31659000000000498</v>
      </c>
      <c r="AF5244">
        <v>-0.21495520494540499</v>
      </c>
      <c r="AG5244">
        <v>-1.110034378413</v>
      </c>
      <c r="AH5244">
        <v>38.374247439711397</v>
      </c>
      <c r="AI5244">
        <v>91.656880906354502</v>
      </c>
      <c r="AJ5244">
        <v>90.320941726213206</v>
      </c>
      <c r="AK5244">
        <v>38.3909005966986</v>
      </c>
      <c r="AL5244">
        <v>80.261691750299207</v>
      </c>
      <c r="AM5244">
        <v>96.007278839512907</v>
      </c>
      <c r="AN5244">
        <v>1.00000006969967</v>
      </c>
    </row>
    <row r="5245" spans="1:40" x14ac:dyDescent="0.25">
      <c r="A5245" t="str">
        <f>"20190304155521845"</f>
        <v>20190304155521845</v>
      </c>
      <c r="B5245" t="str">
        <f>"1551686121832649"</f>
        <v>1551686121832649</v>
      </c>
      <c r="C5245" t="s">
        <v>40</v>
      </c>
      <c r="D5245">
        <v>4.6082970000000003</v>
      </c>
      <c r="E5245">
        <v>0.53652509999999998</v>
      </c>
      <c r="F5245" t="s">
        <v>74</v>
      </c>
      <c r="G5245">
        <v>-198.34</v>
      </c>
      <c r="H5245" s="1">
        <v>-6.5585519999999997E-6</v>
      </c>
      <c r="I5245">
        <v>-63.405850000000001</v>
      </c>
      <c r="J5245">
        <v>-237.04300000000001</v>
      </c>
      <c r="K5245">
        <v>1.110004</v>
      </c>
      <c r="L5245">
        <v>-63.058439999999997</v>
      </c>
      <c r="M5245">
        <v>0.99986450000000004</v>
      </c>
      <c r="N5245">
        <v>-9.0878850000000004E-3</v>
      </c>
      <c r="O5245">
        <v>-1.374356E-2</v>
      </c>
      <c r="P5245">
        <v>0.98298110000000005</v>
      </c>
      <c r="Q5245">
        <v>0.1607837</v>
      </c>
      <c r="R5245">
        <v>8.8864699999999894E-2</v>
      </c>
      <c r="S5245">
        <v>3.0686800000000001</v>
      </c>
      <c r="T5245">
        <v>-8.7694640000000004E-2</v>
      </c>
      <c r="U5245">
        <v>-2.758789E-2</v>
      </c>
      <c r="V5245">
        <v>-0.1024654</v>
      </c>
      <c r="W5245">
        <v>0.1696386</v>
      </c>
      <c r="X5245">
        <v>0.98016510000000001</v>
      </c>
      <c r="Y5245">
        <v>-4.7494720000000002E-3</v>
      </c>
      <c r="Z5245">
        <v>3.5719970000000001E-4</v>
      </c>
      <c r="AA5245">
        <v>0.99998869999999895</v>
      </c>
      <c r="AB5245">
        <v>31</v>
      </c>
      <c r="AC5245">
        <v>38.703000000000003</v>
      </c>
      <c r="AD5245">
        <v>-1.1100105585519999</v>
      </c>
      <c r="AE5245">
        <v>-0.347409999999996</v>
      </c>
      <c r="AF5245">
        <v>-0.184409977662814</v>
      </c>
      <c r="AG5245">
        <v>-1.1100105585519999</v>
      </c>
      <c r="AH5245">
        <v>38.672311615423503</v>
      </c>
      <c r="AI5245">
        <v>91.644089483139993</v>
      </c>
      <c r="AJ5245">
        <v>90.273214423817194</v>
      </c>
      <c r="AK5245">
        <v>38.688678139222802</v>
      </c>
      <c r="AL5245">
        <v>80.233193009065999</v>
      </c>
      <c r="AM5245">
        <v>95.967961786850694</v>
      </c>
      <c r="AN5245">
        <v>1.0000000180325599</v>
      </c>
    </row>
    <row r="5246" spans="1:40" x14ac:dyDescent="0.25">
      <c r="A5246" t="str">
        <f>"20190304155521856"</f>
        <v>20190304155521856</v>
      </c>
      <c r="B5246" t="str">
        <f>"1551686121853145"</f>
        <v>1551686121853145</v>
      </c>
      <c r="C5246" t="s">
        <v>40</v>
      </c>
      <c r="D5246">
        <v>4.6430069999999999</v>
      </c>
      <c r="E5246">
        <v>0.53596140000000003</v>
      </c>
      <c r="F5246" t="s">
        <v>74</v>
      </c>
      <c r="G5246">
        <v>-198.0164</v>
      </c>
      <c r="H5246" s="1">
        <v>-6.6915040000000003E-6</v>
      </c>
      <c r="I5246">
        <v>-63.425579999999997</v>
      </c>
      <c r="J5246">
        <v>-236.87950000000001</v>
      </c>
      <c r="K5246">
        <v>1.109982</v>
      </c>
      <c r="L5246">
        <v>-63.060580000000002</v>
      </c>
      <c r="M5246">
        <v>0.99986560000000002</v>
      </c>
      <c r="N5246">
        <v>-9.1004020000000005E-3</v>
      </c>
      <c r="O5246">
        <v>-1.364665E-2</v>
      </c>
      <c r="P5246">
        <v>0.98303569999999996</v>
      </c>
      <c r="Q5246">
        <v>0.1608704</v>
      </c>
      <c r="R5246">
        <v>8.8100419999999999E-2</v>
      </c>
      <c r="S5246">
        <v>3.0688170000000001</v>
      </c>
      <c r="T5246">
        <v>-8.7284559999999997E-2</v>
      </c>
      <c r="U5246">
        <v>-2.886963E-2</v>
      </c>
      <c r="V5246">
        <v>-0.10159459999999999</v>
      </c>
      <c r="W5246">
        <v>0.16974620000000001</v>
      </c>
      <c r="X5246">
        <v>0.98023709999999997</v>
      </c>
      <c r="Y5246">
        <v>-4.2356779999999997E-3</v>
      </c>
      <c r="Z5246">
        <v>3.4336579999999999E-4</v>
      </c>
      <c r="AA5246">
        <v>0.99999099999999996</v>
      </c>
      <c r="AB5246">
        <v>31</v>
      </c>
      <c r="AC5246">
        <v>38.863100000000003</v>
      </c>
      <c r="AD5246">
        <v>-1.109988691504</v>
      </c>
      <c r="AE5246">
        <v>-0.36500000000000199</v>
      </c>
      <c r="AF5246">
        <v>-0.16527219650260999</v>
      </c>
      <c r="AG5246">
        <v>-1.109988691504</v>
      </c>
      <c r="AH5246">
        <v>38.8327865805418</v>
      </c>
      <c r="AI5246">
        <v>91.637270601067002</v>
      </c>
      <c r="AJ5246">
        <v>90.243849154032901</v>
      </c>
      <c r="AK5246">
        <v>38.848998743907302</v>
      </c>
      <c r="AL5246">
        <v>80.226937115061006</v>
      </c>
      <c r="AM5246">
        <v>95.917173054884799</v>
      </c>
      <c r="AN5246">
        <v>1.0000000036900001</v>
      </c>
    </row>
    <row r="5247" spans="1:40" x14ac:dyDescent="0.25">
      <c r="A5247" t="str">
        <f>"20190304155521867"</f>
        <v>20190304155521867</v>
      </c>
      <c r="B5247" t="str">
        <f>"1551686121862904"</f>
        <v>1551686121862904</v>
      </c>
      <c r="C5247" t="s">
        <v>40</v>
      </c>
      <c r="D5247">
        <v>4.6281249999999998</v>
      </c>
      <c r="E5247">
        <v>0.53596659999999996</v>
      </c>
      <c r="F5247" t="s">
        <v>74</v>
      </c>
      <c r="G5247">
        <v>-199.61670000000001</v>
      </c>
      <c r="H5247" s="1">
        <v>-6.0371789999999996E-6</v>
      </c>
      <c r="I5247">
        <v>-63.382190000000001</v>
      </c>
      <c r="J5247">
        <v>-236.72980000000001</v>
      </c>
      <c r="K5247">
        <v>1.1099589999999999</v>
      </c>
      <c r="L5247">
        <v>-63.062530000000002</v>
      </c>
      <c r="M5247">
        <v>0.99986640000000004</v>
      </c>
      <c r="N5247">
        <v>-9.1133919999999997E-3</v>
      </c>
      <c r="O5247">
        <v>-1.3572829999999999E-2</v>
      </c>
      <c r="P5247">
        <v>0.98308470000000003</v>
      </c>
      <c r="Q5247">
        <v>0.1608608</v>
      </c>
      <c r="R5247">
        <v>8.7569770000000005E-2</v>
      </c>
      <c r="S5247">
        <v>3.0691069999999998</v>
      </c>
      <c r="T5247">
        <v>-9.1422799999999999E-2</v>
      </c>
      <c r="U5247">
        <v>-2.6489260000000001E-2</v>
      </c>
      <c r="V5247">
        <v>-0.1009816</v>
      </c>
      <c r="W5247">
        <v>0.16975699999999999</v>
      </c>
      <c r="X5247">
        <v>0.98029860000000002</v>
      </c>
      <c r="Y5247">
        <v>-4.9373159999999998E-3</v>
      </c>
      <c r="Z5247">
        <v>3.7653989999999999E-4</v>
      </c>
      <c r="AA5247">
        <v>0.99998770000000003</v>
      </c>
      <c r="AB5247">
        <v>31</v>
      </c>
      <c r="AC5247">
        <v>37.113100000000003</v>
      </c>
      <c r="AD5247">
        <v>-1.109965037179</v>
      </c>
      <c r="AE5247">
        <v>-0.319659999999998</v>
      </c>
      <c r="AF5247">
        <v>-0.18395561120439999</v>
      </c>
      <c r="AG5247">
        <v>-1.109965037179</v>
      </c>
      <c r="AH5247">
        <v>37.080854784063099</v>
      </c>
      <c r="AI5247">
        <v>91.714538301870604</v>
      </c>
      <c r="AJ5247">
        <v>90.284238153011302</v>
      </c>
      <c r="AK5247">
        <v>37.097919801080899</v>
      </c>
      <c r="AL5247">
        <v>80.226309505663295</v>
      </c>
      <c r="AM5247">
        <v>95.8813547456827</v>
      </c>
      <c r="AN5247">
        <v>1.0000000338747499</v>
      </c>
    </row>
    <row r="5248" spans="1:40" x14ac:dyDescent="0.25">
      <c r="A5248" t="str">
        <f>"20190304155521878"</f>
        <v>20190304155521878</v>
      </c>
      <c r="B5248" t="str">
        <f>"1551686121872665"</f>
        <v>1551686121872665</v>
      </c>
      <c r="C5248" t="s">
        <v>40</v>
      </c>
      <c r="D5248">
        <v>4.6344560000000001</v>
      </c>
      <c r="E5248">
        <v>0.53568660000000001</v>
      </c>
      <c r="F5248" t="s">
        <v>74</v>
      </c>
      <c r="G5248">
        <v>-199.76060000000001</v>
      </c>
      <c r="H5248" s="1">
        <v>-5.9794970000000002E-6</v>
      </c>
      <c r="I5248">
        <v>-63.398139999999998</v>
      </c>
      <c r="J5248">
        <v>-236.57239999999999</v>
      </c>
      <c r="K5248">
        <v>1.109936</v>
      </c>
      <c r="L5248">
        <v>-63.064579999999999</v>
      </c>
      <c r="M5248">
        <v>0.99986719999999896</v>
      </c>
      <c r="N5248">
        <v>-9.1283059999999992E-3</v>
      </c>
      <c r="O5248">
        <v>-1.3507369999999999E-2</v>
      </c>
      <c r="P5248">
        <v>0.98318019999999995</v>
      </c>
      <c r="Q5248">
        <v>0.16066569999999999</v>
      </c>
      <c r="R5248">
        <v>8.6854000000000001E-2</v>
      </c>
      <c r="S5248">
        <v>3.0691679999999999</v>
      </c>
      <c r="T5248">
        <v>-9.214878E-2</v>
      </c>
      <c r="U5248">
        <v>-2.786255E-2</v>
      </c>
      <c r="V5248">
        <v>-0.1001918</v>
      </c>
      <c r="W5248">
        <v>0.16958409999999999</v>
      </c>
      <c r="X5248">
        <v>0.98040950000000004</v>
      </c>
      <c r="Y5248">
        <v>-4.4248259999999998E-3</v>
      </c>
      <c r="Z5248">
        <v>3.6875729999999999E-4</v>
      </c>
      <c r="AA5248">
        <v>0.99999020000000005</v>
      </c>
      <c r="AB5248">
        <v>31</v>
      </c>
      <c r="AC5248">
        <v>36.811799999999899</v>
      </c>
      <c r="AD5248">
        <v>-1.109941979497</v>
      </c>
      <c r="AE5248">
        <v>-0.33355999999999802</v>
      </c>
      <c r="AF5248">
        <v>-0.16357300816308801</v>
      </c>
      <c r="AG5248">
        <v>-1.109941979497</v>
      </c>
      <c r="AH5248">
        <v>36.779512486094802</v>
      </c>
      <c r="AI5248">
        <v>91.728545674311604</v>
      </c>
      <c r="AJ5248">
        <v>90.254815264976699</v>
      </c>
      <c r="AK5248">
        <v>36.796620307327899</v>
      </c>
      <c r="AL5248">
        <v>80.236361120589095</v>
      </c>
      <c r="AM5248">
        <v>95.835018485967296</v>
      </c>
      <c r="AN5248">
        <v>0.99999997572514898</v>
      </c>
    </row>
    <row r="5249" spans="1:40" x14ac:dyDescent="0.25">
      <c r="A5249" t="str">
        <f>"20190304155521890"</f>
        <v>20190304155521890</v>
      </c>
      <c r="B5249" t="str">
        <f>"1551686121883400"</f>
        <v>1551686121883400</v>
      </c>
      <c r="C5249" t="s">
        <v>40</v>
      </c>
      <c r="D5249">
        <v>4.6716199999999999</v>
      </c>
      <c r="E5249">
        <v>0.53543689999999999</v>
      </c>
      <c r="F5249" t="s">
        <v>74</v>
      </c>
      <c r="G5249">
        <v>-200.55269999999999</v>
      </c>
      <c r="H5249" s="1">
        <v>-5.5957759999999899E-6</v>
      </c>
      <c r="I5249">
        <v>-63.393700000000003</v>
      </c>
      <c r="J5249">
        <v>-236.42760000000001</v>
      </c>
      <c r="K5249">
        <v>1.1099139999999901</v>
      </c>
      <c r="L5249">
        <v>-63.066470000000002</v>
      </c>
      <c r="M5249">
        <v>0.99986750000000002</v>
      </c>
      <c r="N5249">
        <v>-9.1449099999999992E-3</v>
      </c>
      <c r="O5249">
        <v>-1.34649E-2</v>
      </c>
      <c r="P5249">
        <v>0.98317500000000002</v>
      </c>
      <c r="Q5249">
        <v>0.16078999999999999</v>
      </c>
      <c r="R5249">
        <v>8.6681209999999995E-2</v>
      </c>
      <c r="S5249">
        <v>3.0692599999999999</v>
      </c>
      <c r="T5249">
        <v>-9.4578860000000001E-2</v>
      </c>
      <c r="U5249">
        <v>-2.8045649999999998E-2</v>
      </c>
      <c r="V5249">
        <v>-9.9967230000000004E-2</v>
      </c>
      <c r="W5249">
        <v>0.1697302</v>
      </c>
      <c r="X5249">
        <v>0.98040720000000003</v>
      </c>
      <c r="Y5249">
        <v>-4.322691E-3</v>
      </c>
      <c r="Z5249">
        <v>3.7803350000000001E-4</v>
      </c>
      <c r="AA5249">
        <v>0.99999059999999995</v>
      </c>
      <c r="AB5249">
        <v>31</v>
      </c>
      <c r="AC5249">
        <v>35.874899999999997</v>
      </c>
      <c r="AD5249">
        <v>-1.10991959577599</v>
      </c>
      <c r="AE5249">
        <v>-0.32723000000000702</v>
      </c>
      <c r="AF5249">
        <v>-0.155722775633828</v>
      </c>
      <c r="AG5249">
        <v>-1.10991959577599</v>
      </c>
      <c r="AH5249">
        <v>35.841748975964997</v>
      </c>
      <c r="AI5249">
        <v>91.773707873365595</v>
      </c>
      <c r="AJ5249">
        <v>90.248933211478999</v>
      </c>
      <c r="AK5249">
        <v>35.859268547309</v>
      </c>
      <c r="AL5249">
        <v>80.227867633574405</v>
      </c>
      <c r="AM5249">
        <v>95.822043375539096</v>
      </c>
      <c r="AN5249">
        <v>1.0000000328388701</v>
      </c>
    </row>
    <row r="5250" spans="1:40" x14ac:dyDescent="0.25">
      <c r="A5250" t="str">
        <f>"20190304155521899"</f>
        <v>20190304155521899</v>
      </c>
      <c r="B5250" t="str">
        <f>"1551686121893161"</f>
        <v>1551686121893161</v>
      </c>
      <c r="C5250" t="s">
        <v>40</v>
      </c>
      <c r="D5250">
        <v>4.588457</v>
      </c>
      <c r="E5250">
        <v>0.53531240000000002</v>
      </c>
      <c r="F5250" t="s">
        <v>74</v>
      </c>
      <c r="G5250">
        <v>-200.93090000000001</v>
      </c>
      <c r="H5250" s="1">
        <v>-5.4019190000000002E-6</v>
      </c>
      <c r="I5250">
        <v>-63.3735199999999</v>
      </c>
      <c r="J5250">
        <v>-236.2843</v>
      </c>
      <c r="K5250">
        <v>1.1098920000000001</v>
      </c>
      <c r="L5250">
        <v>-63.068330000000003</v>
      </c>
      <c r="M5250">
        <v>0.99986799999999998</v>
      </c>
      <c r="N5250">
        <v>-9.1621480000000002E-3</v>
      </c>
      <c r="O5250">
        <v>-1.3428020000000001E-2</v>
      </c>
      <c r="P5250">
        <v>0.98322299999999996</v>
      </c>
      <c r="Q5250">
        <v>0.16079979999999999</v>
      </c>
      <c r="R5250">
        <v>8.6118100000000003E-2</v>
      </c>
      <c r="S5250">
        <v>3.0693820000000001</v>
      </c>
      <c r="T5250">
        <v>-9.5974329999999997E-2</v>
      </c>
      <c r="U5250">
        <v>-2.6550290000000001E-2</v>
      </c>
      <c r="V5250">
        <v>-9.9359829999999996E-2</v>
      </c>
      <c r="W5250">
        <v>0.1697631</v>
      </c>
      <c r="X5250">
        <v>0.98046319999999998</v>
      </c>
      <c r="Y5250">
        <v>-4.7728429999999997E-3</v>
      </c>
      <c r="Z5250">
        <v>3.932044E-4</v>
      </c>
      <c r="AA5250">
        <v>0.99998860000000001</v>
      </c>
      <c r="AB5250">
        <v>31</v>
      </c>
      <c r="AC5250">
        <v>35.353399999999901</v>
      </c>
      <c r="AD5250">
        <v>-1.109897401919</v>
      </c>
      <c r="AE5250">
        <v>-0.30518999999998803</v>
      </c>
      <c r="AF5250">
        <v>-0.16941657656103701</v>
      </c>
      <c r="AG5250">
        <v>-1.109897401919</v>
      </c>
      <c r="AH5250">
        <v>35.3195020265617</v>
      </c>
      <c r="AI5250">
        <v>91.799877751571401</v>
      </c>
      <c r="AJ5250">
        <v>90.274827781107206</v>
      </c>
      <c r="AK5250">
        <v>35.337342820640899</v>
      </c>
      <c r="AL5250">
        <v>80.225954383712605</v>
      </c>
      <c r="AM5250">
        <v>95.786581220401402</v>
      </c>
      <c r="AN5250">
        <v>0.99999998624673903</v>
      </c>
    </row>
    <row r="5251" spans="1:40" x14ac:dyDescent="0.25">
      <c r="A5251" t="str">
        <f>"20190304155521912"</f>
        <v>20190304155521912</v>
      </c>
      <c r="B5251" t="str">
        <f>"1551686121902923"</f>
        <v>1551686121902923</v>
      </c>
      <c r="C5251" t="s">
        <v>40</v>
      </c>
      <c r="D5251">
        <v>4.6012250000000003</v>
      </c>
      <c r="E5251">
        <v>0.53515179999999996</v>
      </c>
      <c r="F5251" t="s">
        <v>74</v>
      </c>
      <c r="G5251">
        <v>-201.24080000000001</v>
      </c>
      <c r="H5251" s="1">
        <v>-5.2443020000000004E-6</v>
      </c>
      <c r="I5251">
        <v>-63.37876</v>
      </c>
      <c r="J5251">
        <v>-236.1234</v>
      </c>
      <c r="K5251">
        <v>1.109874</v>
      </c>
      <c r="L5251">
        <v>-63.070469999999901</v>
      </c>
      <c r="M5251">
        <v>0.99986810000000004</v>
      </c>
      <c r="N5251">
        <v>-9.1855579999999999E-3</v>
      </c>
      <c r="O5251">
        <v>-1.3403089999999999E-2</v>
      </c>
      <c r="P5251">
        <v>0.98319979999999996</v>
      </c>
      <c r="Q5251">
        <v>0.16107739999999901</v>
      </c>
      <c r="R5251">
        <v>8.5861099999999996E-2</v>
      </c>
      <c r="S5251">
        <v>3.0694889999999999</v>
      </c>
      <c r="T5251">
        <v>-9.7216730000000001E-2</v>
      </c>
      <c r="U5251">
        <v>-2.7191159999999999E-2</v>
      </c>
      <c r="V5251">
        <v>-9.9068870000000003E-2</v>
      </c>
      <c r="W5251">
        <v>0.170069</v>
      </c>
      <c r="X5251">
        <v>0.98043970000000003</v>
      </c>
      <c r="Y5251">
        <v>-4.5394190000000003E-3</v>
      </c>
      <c r="Z5251">
        <v>3.9399690000000001E-4</v>
      </c>
      <c r="AA5251">
        <v>0.99998960000000003</v>
      </c>
      <c r="AB5251">
        <v>31</v>
      </c>
      <c r="AC5251">
        <v>34.882599999999996</v>
      </c>
      <c r="AD5251">
        <v>-1.109879244302</v>
      </c>
      <c r="AE5251">
        <v>-0.308290000000006</v>
      </c>
      <c r="AF5251">
        <v>-0.15913090748938599</v>
      </c>
      <c r="AG5251">
        <v>-1.109879244302</v>
      </c>
      <c r="AH5251">
        <v>34.848322410000101</v>
      </c>
      <c r="AI5251">
        <v>91.824169472876505</v>
      </c>
      <c r="AJ5251">
        <v>90.261632853088003</v>
      </c>
      <c r="AK5251">
        <v>34.866355263691801</v>
      </c>
      <c r="AL5251">
        <v>80.208169663987505</v>
      </c>
      <c r="AM5251">
        <v>95.769887958353195</v>
      </c>
      <c r="AN5251">
        <v>1.0000000555500801</v>
      </c>
    </row>
    <row r="5252" spans="1:40" x14ac:dyDescent="0.25">
      <c r="A5252" t="str">
        <f>"20190304155521926"</f>
        <v>20190304155521926</v>
      </c>
      <c r="B5252" t="str">
        <f>"1551686121923418"</f>
        <v>1551686121923418</v>
      </c>
      <c r="C5252" t="s">
        <v>40</v>
      </c>
      <c r="D5252">
        <v>4.6186610000000003</v>
      </c>
      <c r="E5252">
        <v>0.53507510000000003</v>
      </c>
      <c r="F5252" t="s">
        <v>74</v>
      </c>
      <c r="G5252">
        <v>-201.12979999999999</v>
      </c>
      <c r="H5252" s="1">
        <v>-5.3005899999999998E-6</v>
      </c>
      <c r="I5252">
        <v>-63.374180000000003</v>
      </c>
      <c r="J5252">
        <v>-235.9358</v>
      </c>
      <c r="K5252">
        <v>1.1098570000000001</v>
      </c>
      <c r="L5252">
        <v>-63.072940000000003</v>
      </c>
      <c r="M5252">
        <v>0.99986819999999998</v>
      </c>
      <c r="N5252">
        <v>-9.2158469999999992E-3</v>
      </c>
      <c r="O5252">
        <v>-1.338072E-2</v>
      </c>
      <c r="P5252">
        <v>0.98322359999999998</v>
      </c>
      <c r="Q5252">
        <v>0.16111639999999999</v>
      </c>
      <c r="R5252">
        <v>8.551628E-2</v>
      </c>
      <c r="S5252">
        <v>3.06955</v>
      </c>
      <c r="T5252">
        <v>-9.7355839999999999E-2</v>
      </c>
      <c r="U5252">
        <v>-2.6641850000000002E-2</v>
      </c>
      <c r="V5252">
        <v>-9.8692630000000003E-2</v>
      </c>
      <c r="W5252">
        <v>0.17014370000000001</v>
      </c>
      <c r="X5252">
        <v>0.98046460000000002</v>
      </c>
      <c r="Y5252">
        <v>-4.6960530000000004E-3</v>
      </c>
      <c r="Z5252">
        <v>3.9706209999999998E-4</v>
      </c>
      <c r="AA5252">
        <v>0.99998889999999996</v>
      </c>
      <c r="AB5252">
        <v>31</v>
      </c>
      <c r="AC5252">
        <v>34.805999999999997</v>
      </c>
      <c r="AD5252">
        <v>-1.1098623005899999</v>
      </c>
      <c r="AE5252">
        <v>-0.30123999999999901</v>
      </c>
      <c r="AF5252">
        <v>-0.16436888313124901</v>
      </c>
      <c r="AG5252">
        <v>-1.1098623005899999</v>
      </c>
      <c r="AH5252">
        <v>34.771562055857402</v>
      </c>
      <c r="AI5252">
        <v>91.828164453932402</v>
      </c>
      <c r="AJ5252">
        <v>90.270841244493894</v>
      </c>
      <c r="AK5252">
        <v>34.789658510257802</v>
      </c>
      <c r="AL5252">
        <v>80.203825551023996</v>
      </c>
      <c r="AM5252">
        <v>95.747977306593796</v>
      </c>
      <c r="AN5252">
        <v>0.99999997285958298</v>
      </c>
    </row>
    <row r="5253" spans="1:40" x14ac:dyDescent="0.25">
      <c r="A5253" t="str">
        <f>"20190304155521939"</f>
        <v>20190304155521939</v>
      </c>
      <c r="B5253" t="str">
        <f>"1551686121933177"</f>
        <v>1551686121933177</v>
      </c>
      <c r="C5253" t="s">
        <v>40</v>
      </c>
      <c r="D5253">
        <v>4.5975010000000003</v>
      </c>
      <c r="E5253">
        <v>0.5350528</v>
      </c>
      <c r="F5253" t="s">
        <v>74</v>
      </c>
      <c r="G5253">
        <v>-201.102</v>
      </c>
      <c r="H5253" s="1">
        <v>-5.3150370000000003E-6</v>
      </c>
      <c r="I5253">
        <v>-63.379069999999999</v>
      </c>
      <c r="J5253">
        <v>-235.75550000000001</v>
      </c>
      <c r="K5253">
        <v>1.1098410000000001</v>
      </c>
      <c r="L5253">
        <v>-63.075319999999998</v>
      </c>
      <c r="M5253">
        <v>0.99986799999999998</v>
      </c>
      <c r="N5253">
        <v>-9.2505550000000006E-3</v>
      </c>
      <c r="O5253">
        <v>-1.336916E-2</v>
      </c>
      <c r="P5253">
        <v>0.9831626</v>
      </c>
      <c r="Q5253">
        <v>0.16146079999999999</v>
      </c>
      <c r="R5253">
        <v>8.5568519999999995E-2</v>
      </c>
      <c r="S5253">
        <v>3.06955</v>
      </c>
      <c r="T5253">
        <v>-9.7800970000000001E-2</v>
      </c>
      <c r="U5253">
        <v>-2.6977540000000001E-2</v>
      </c>
      <c r="V5253">
        <v>-9.8724800000000001E-2</v>
      </c>
      <c r="W5253">
        <v>0.1705257</v>
      </c>
      <c r="X5253">
        <v>0.98039500000000002</v>
      </c>
      <c r="Y5253">
        <v>-4.5751680000000001E-3</v>
      </c>
      <c r="Z5253">
        <v>3.962126E-4</v>
      </c>
      <c r="AA5253">
        <v>0.99998940000000003</v>
      </c>
      <c r="AB5253">
        <v>31</v>
      </c>
      <c r="AC5253">
        <v>34.653500000000001</v>
      </c>
      <c r="AD5253">
        <v>-1.1098463150369999</v>
      </c>
      <c r="AE5253">
        <v>-0.30375000000000002</v>
      </c>
      <c r="AF5253">
        <v>-0.159421573037481</v>
      </c>
      <c r="AG5253">
        <v>-1.1098463150369999</v>
      </c>
      <c r="AH5253">
        <v>34.618956920496501</v>
      </c>
      <c r="AI5253">
        <v>91.8361923659821</v>
      </c>
      <c r="AJ5253">
        <v>90.263847312112105</v>
      </c>
      <c r="AK5253">
        <v>34.637109468662999</v>
      </c>
      <c r="AL5253">
        <v>80.181614021841796</v>
      </c>
      <c r="AM5253">
        <v>95.750243830090398</v>
      </c>
      <c r="AN5253">
        <v>0.99999997826026399</v>
      </c>
    </row>
    <row r="5254" spans="1:40" x14ac:dyDescent="0.25">
      <c r="A5254" t="str">
        <f>"20190304155521952"</f>
        <v>20190304155521952</v>
      </c>
      <c r="B5254" t="str">
        <f>"1551686121943454"</f>
        <v>1551686121943454</v>
      </c>
      <c r="C5254" t="s">
        <v>40</v>
      </c>
      <c r="D5254">
        <v>4.5977839999999999</v>
      </c>
      <c r="E5254">
        <v>0.53501919999999903</v>
      </c>
      <c r="F5254" t="s">
        <v>74</v>
      </c>
      <c r="G5254">
        <v>-200.68299999999999</v>
      </c>
      <c r="H5254" s="1">
        <v>-5.5285270000000002E-6</v>
      </c>
      <c r="I5254">
        <v>-63.379019999999997</v>
      </c>
      <c r="J5254">
        <v>-235.5658</v>
      </c>
      <c r="K5254">
        <v>1.1098330000000001</v>
      </c>
      <c r="L5254">
        <v>-63.077849999999998</v>
      </c>
      <c r="M5254">
        <v>0.99986759999999997</v>
      </c>
      <c r="N5254">
        <v>-9.289907E-3</v>
      </c>
      <c r="O5254">
        <v>-1.3364859999999999E-2</v>
      </c>
      <c r="P5254">
        <v>0.98311409999999999</v>
      </c>
      <c r="Q5254">
        <v>0.1617594</v>
      </c>
      <c r="R5254">
        <v>8.5561280000000003E-2</v>
      </c>
      <c r="S5254">
        <v>3.0696560000000002</v>
      </c>
      <c r="T5254">
        <v>-9.713745E-2</v>
      </c>
      <c r="U5254">
        <v>-2.658081E-2</v>
      </c>
      <c r="V5254">
        <v>-9.8706740000000001E-2</v>
      </c>
      <c r="W5254">
        <v>0.1708664</v>
      </c>
      <c r="X5254">
        <v>0.98033749999999997</v>
      </c>
      <c r="Y5254">
        <v>-4.7004389999999998E-3</v>
      </c>
      <c r="Z5254">
        <v>3.9484509999999998E-4</v>
      </c>
      <c r="AA5254">
        <v>0.99998889999999996</v>
      </c>
      <c r="AB5254">
        <v>31</v>
      </c>
      <c r="AC5254">
        <v>34.882800000000003</v>
      </c>
      <c r="AD5254">
        <v>-1.109838528527</v>
      </c>
      <c r="AE5254">
        <v>-0.30116999999999899</v>
      </c>
      <c r="AF5254">
        <v>-0.16491380033116901</v>
      </c>
      <c r="AG5254">
        <v>-1.109838528527</v>
      </c>
      <c r="AH5254">
        <v>34.848436044937401</v>
      </c>
      <c r="AI5254">
        <v>91.824095248350005</v>
      </c>
      <c r="AJ5254">
        <v>90.271139691778998</v>
      </c>
      <c r="AK5254">
        <v>34.866494416545997</v>
      </c>
      <c r="AL5254">
        <v>80.161802614007101</v>
      </c>
      <c r="AM5254">
        <v>95.749533919579406</v>
      </c>
      <c r="AN5254">
        <v>0.99999998053831796</v>
      </c>
    </row>
    <row r="5255" spans="1:40" x14ac:dyDescent="0.25">
      <c r="A5255" t="str">
        <f>"20190304155521966"</f>
        <v>20190304155521966</v>
      </c>
      <c r="B5255" t="str">
        <f>"1551686121962963"</f>
        <v>1551686121962963</v>
      </c>
      <c r="C5255" t="s">
        <v>40</v>
      </c>
      <c r="D5255">
        <v>4.6022360000000004</v>
      </c>
      <c r="E5255">
        <v>0.53495570000000003</v>
      </c>
      <c r="F5255" t="s">
        <v>74</v>
      </c>
      <c r="G5255">
        <v>-200.36699999999999</v>
      </c>
      <c r="H5255" s="1">
        <v>-5.6895320000000004E-6</v>
      </c>
      <c r="I5255">
        <v>-63.378790000000002</v>
      </c>
      <c r="J5255">
        <v>-235.36670000000001</v>
      </c>
      <c r="K5255">
        <v>1.109831</v>
      </c>
      <c r="L5255">
        <v>-63.080469999999998</v>
      </c>
      <c r="M5255">
        <v>0.99986719999999896</v>
      </c>
      <c r="N5255">
        <v>-9.3342419999999995E-3</v>
      </c>
      <c r="O5255">
        <v>-1.336496E-2</v>
      </c>
      <c r="P5255">
        <v>0.9829774</v>
      </c>
      <c r="Q5255">
        <v>0.16257569999999999</v>
      </c>
      <c r="R5255">
        <v>8.5584999999999994E-2</v>
      </c>
      <c r="S5255">
        <v>3.0697329999999998</v>
      </c>
      <c r="T5255">
        <v>-9.6790550000000003E-2</v>
      </c>
      <c r="U5255">
        <v>-2.624512E-2</v>
      </c>
      <c r="V5255">
        <v>-9.8723989999999998E-2</v>
      </c>
      <c r="W5255">
        <v>0.17172799999999999</v>
      </c>
      <c r="X5255">
        <v>0.98018519999999998</v>
      </c>
      <c r="Y5255">
        <v>-4.8101020000000001E-3</v>
      </c>
      <c r="Z5255">
        <v>3.9481279999999998E-4</v>
      </c>
      <c r="AA5255">
        <v>0.9999884</v>
      </c>
      <c r="AB5255">
        <v>31</v>
      </c>
      <c r="AC5255">
        <v>34.999699999999898</v>
      </c>
      <c r="AD5255">
        <v>-1.109836689532</v>
      </c>
      <c r="AE5255">
        <v>-0.29832000000000303</v>
      </c>
      <c r="AF5255">
        <v>-0.169326329126047</v>
      </c>
      <c r="AG5255">
        <v>-1.109836689532</v>
      </c>
      <c r="AH5255">
        <v>34.965405172929401</v>
      </c>
      <c r="AI5255">
        <v>91.817993267455407</v>
      </c>
      <c r="AJ5255">
        <v>90.277463056199494</v>
      </c>
      <c r="AK5255">
        <v>34.983424186181097</v>
      </c>
      <c r="AL5255">
        <v>80.111695948418401</v>
      </c>
      <c r="AM5255">
        <v>95.751419496261903</v>
      </c>
      <c r="AN5255">
        <v>0.99999997924227901</v>
      </c>
    </row>
    <row r="5256" spans="1:40" x14ac:dyDescent="0.25">
      <c r="A5256" t="str">
        <f>"20190304155521977"</f>
        <v>20190304155521977</v>
      </c>
      <c r="B5256" t="str">
        <f>"1551686121972722"</f>
        <v>1551686121972722</v>
      </c>
      <c r="C5256" t="s">
        <v>40</v>
      </c>
      <c r="D5256">
        <v>4.6184580000000004</v>
      </c>
      <c r="E5256">
        <v>0.53491999999999995</v>
      </c>
      <c r="F5256" t="s">
        <v>74</v>
      </c>
      <c r="G5256">
        <v>-199.59530000000001</v>
      </c>
      <c r="H5256" s="1">
        <v>-6.0456399999999996E-6</v>
      </c>
      <c r="I5256">
        <v>-63.377749999999999</v>
      </c>
      <c r="J5256">
        <v>-235.20920000000001</v>
      </c>
      <c r="K5256">
        <v>1.1098300000000001</v>
      </c>
      <c r="L5256">
        <v>-63.08258</v>
      </c>
      <c r="M5256">
        <v>0.99986679999999994</v>
      </c>
      <c r="N5256">
        <v>-9.3723720000000003E-3</v>
      </c>
      <c r="O5256">
        <v>-1.3368440000000001E-2</v>
      </c>
      <c r="P5256">
        <v>0.98294040000000005</v>
      </c>
      <c r="Q5256">
        <v>0.16268070000000001</v>
      </c>
      <c r="R5256">
        <v>8.580931E-2</v>
      </c>
      <c r="S5256">
        <v>3.0699459999999998</v>
      </c>
      <c r="T5256">
        <v>-9.5247509999999994E-2</v>
      </c>
      <c r="U5256">
        <v>-2.5512699999999999E-2</v>
      </c>
      <c r="V5256">
        <v>-9.8947690000000005E-2</v>
      </c>
      <c r="W5256">
        <v>0.1718712</v>
      </c>
      <c r="X5256">
        <v>0.98013760000000005</v>
      </c>
      <c r="Y5256">
        <v>-5.0528270000000002E-3</v>
      </c>
      <c r="Z5256">
        <v>3.9141689999999999E-4</v>
      </c>
      <c r="AA5256">
        <v>0.99998719999999996</v>
      </c>
      <c r="AB5256">
        <v>31</v>
      </c>
      <c r="AC5256">
        <v>35.613900000000001</v>
      </c>
      <c r="AD5256">
        <v>-1.1098360456399901</v>
      </c>
      <c r="AE5256">
        <v>-0.295169999999991</v>
      </c>
      <c r="AF5256">
        <v>-0.180803962525145</v>
      </c>
      <c r="AG5256">
        <v>-1.1098360456399901</v>
      </c>
      <c r="AH5256">
        <v>35.580112703873098</v>
      </c>
      <c r="AI5256">
        <v>91.786601694683398</v>
      </c>
      <c r="AJ5256">
        <v>90.291151826617593</v>
      </c>
      <c r="AK5256">
        <v>35.597876989244497</v>
      </c>
      <c r="AL5256">
        <v>80.103367918283297</v>
      </c>
      <c r="AM5256">
        <v>95.764642109193503</v>
      </c>
      <c r="AN5256">
        <v>1.00000003483976</v>
      </c>
    </row>
    <row r="5257" spans="1:40" x14ac:dyDescent="0.25">
      <c r="A5257" t="str">
        <f>"20190304155521989"</f>
        <v>20190304155521989</v>
      </c>
      <c r="B5257" t="str">
        <f>"1551686121983458"</f>
        <v>1551686121983458</v>
      </c>
      <c r="C5257" t="s">
        <v>40</v>
      </c>
      <c r="D5257">
        <v>4.593648</v>
      </c>
      <c r="E5257">
        <v>0.53487079999999998</v>
      </c>
      <c r="F5257" t="s">
        <v>74</v>
      </c>
      <c r="G5257">
        <v>-199.50280000000001</v>
      </c>
      <c r="H5257" s="1">
        <v>-6.0827350000000001E-6</v>
      </c>
      <c r="I5257">
        <v>-63.36795</v>
      </c>
      <c r="J5257">
        <v>-235.05549999999999</v>
      </c>
      <c r="K5257">
        <v>1.109829</v>
      </c>
      <c r="L5257">
        <v>-63.08466</v>
      </c>
      <c r="M5257">
        <v>0.99986629999999999</v>
      </c>
      <c r="N5257">
        <v>-9.4127059999999999E-3</v>
      </c>
      <c r="O5257">
        <v>-1.3373339999999999E-2</v>
      </c>
      <c r="P5257">
        <v>0.98292349999999995</v>
      </c>
      <c r="Q5257">
        <v>0.16288520000000001</v>
      </c>
      <c r="R5257">
        <v>8.561523E-2</v>
      </c>
      <c r="S5257">
        <v>3.0700069999999999</v>
      </c>
      <c r="T5257">
        <v>-9.5422980000000004E-2</v>
      </c>
      <c r="U5257">
        <v>-2.453613E-2</v>
      </c>
      <c r="V5257">
        <v>-9.8755969999999998E-2</v>
      </c>
      <c r="W5257">
        <v>0.17211689999999999</v>
      </c>
      <c r="X5257">
        <v>0.98011380000000003</v>
      </c>
      <c r="Y5257">
        <v>-5.3757429999999997E-3</v>
      </c>
      <c r="Z5257">
        <v>3.9852220000000002E-4</v>
      </c>
      <c r="AA5257">
        <v>0.99998549999999997</v>
      </c>
      <c r="AB5257">
        <v>31</v>
      </c>
      <c r="AC5257">
        <v>35.552699999999902</v>
      </c>
      <c r="AD5257">
        <v>-1.1098350827349901</v>
      </c>
      <c r="AE5257">
        <v>-0.28328999999999999</v>
      </c>
      <c r="AF5257">
        <v>-0.192027615361861</v>
      </c>
      <c r="AG5257">
        <v>-1.1098350827349901</v>
      </c>
      <c r="AH5257">
        <v>35.518699076352497</v>
      </c>
      <c r="AI5257">
        <v>91.7896842144158</v>
      </c>
      <c r="AJ5257">
        <v>90.309759788568897</v>
      </c>
      <c r="AK5257">
        <v>35.536552908131299</v>
      </c>
      <c r="AL5257">
        <v>80.089077188592896</v>
      </c>
      <c r="AM5257">
        <v>95.7536863832986</v>
      </c>
      <c r="AN5257">
        <v>1.0000000149133399</v>
      </c>
    </row>
    <row r="5258" spans="1:40" x14ac:dyDescent="0.25">
      <c r="A5258" t="str">
        <f>"20190304155522000"</f>
        <v>20190304155522000</v>
      </c>
      <c r="B5258" t="str">
        <f>"1551686121993218"</f>
        <v>1551686121993218</v>
      </c>
      <c r="C5258" t="s">
        <v>40</v>
      </c>
      <c r="D5258">
        <v>4.5982640000000004</v>
      </c>
      <c r="E5258">
        <v>0.53485539999999998</v>
      </c>
      <c r="F5258" t="s">
        <v>74</v>
      </c>
      <c r="G5258">
        <v>-199.30410000000001</v>
      </c>
      <c r="H5258" s="1">
        <v>-6.1638909999999999E-6</v>
      </c>
      <c r="I5258">
        <v>-63.3718</v>
      </c>
      <c r="J5258">
        <v>-234.90299999999999</v>
      </c>
      <c r="K5258">
        <v>1.109836</v>
      </c>
      <c r="L5258">
        <v>-63.0867</v>
      </c>
      <c r="M5258">
        <v>0.99986589999999997</v>
      </c>
      <c r="N5258">
        <v>-9.4540720000000009E-3</v>
      </c>
      <c r="O5258">
        <v>-1.337882E-2</v>
      </c>
      <c r="P5258">
        <v>0.98293200000000003</v>
      </c>
      <c r="Q5258">
        <v>0.1628802</v>
      </c>
      <c r="R5258">
        <v>8.5527549999999994E-2</v>
      </c>
      <c r="S5258">
        <v>3.070068</v>
      </c>
      <c r="T5258">
        <v>-9.5304490000000006E-2</v>
      </c>
      <c r="U5258">
        <v>-2.4658200000000002E-2</v>
      </c>
      <c r="V5258">
        <v>-9.8672140000000005E-2</v>
      </c>
      <c r="W5258">
        <v>0.17215349999999999</v>
      </c>
      <c r="X5258">
        <v>0.98011579999999998</v>
      </c>
      <c r="Y5258">
        <v>-5.3416829999999998E-3</v>
      </c>
      <c r="Z5258">
        <v>3.9687940000000002E-4</v>
      </c>
      <c r="AA5258">
        <v>0.99998560000000003</v>
      </c>
      <c r="AB5258">
        <v>31</v>
      </c>
      <c r="AC5258">
        <v>35.598899999999901</v>
      </c>
      <c r="AD5258">
        <v>-1.1098421638910001</v>
      </c>
      <c r="AE5258">
        <v>-0.28509999999999902</v>
      </c>
      <c r="AF5258">
        <v>-0.19103237039401899</v>
      </c>
      <c r="AG5258">
        <v>-1.1098421638910001</v>
      </c>
      <c r="AH5258">
        <v>35.564962496236902</v>
      </c>
      <c r="AI5258">
        <v>91.787369411880505</v>
      </c>
      <c r="AJ5258">
        <v>90.307753545740297</v>
      </c>
      <c r="AK5258">
        <v>35.582787978937603</v>
      </c>
      <c r="AL5258">
        <v>80.086948238778604</v>
      </c>
      <c r="AM5258">
        <v>95.748823383840403</v>
      </c>
      <c r="AN5258">
        <v>1.0000000000920299</v>
      </c>
    </row>
    <row r="5259" spans="1:40" x14ac:dyDescent="0.25">
      <c r="A5259" t="str">
        <f>"20190304155522011"</f>
        <v>20190304155522011</v>
      </c>
      <c r="B5259" t="str">
        <f>"1551686122002978"</f>
        <v>1551686122002978</v>
      </c>
      <c r="C5259" t="s">
        <v>40</v>
      </c>
      <c r="D5259">
        <v>4.4875879999999997</v>
      </c>
      <c r="E5259">
        <v>0.53481049999999997</v>
      </c>
      <c r="F5259" t="s">
        <v>74</v>
      </c>
      <c r="G5259">
        <v>-199.36580000000001</v>
      </c>
      <c r="H5259" s="1">
        <v>-6.1388049999999999E-6</v>
      </c>
      <c r="I5259">
        <v>-63.372120000000002</v>
      </c>
      <c r="J5259">
        <v>-234.75210000000001</v>
      </c>
      <c r="K5259">
        <v>1.1098399999999999</v>
      </c>
      <c r="L5259">
        <v>-63.088709999999999</v>
      </c>
      <c r="M5259">
        <v>0.99986520000000001</v>
      </c>
      <c r="N5259">
        <v>-9.5001740000000001E-3</v>
      </c>
      <c r="O5259">
        <v>-1.3385879999999999E-2</v>
      </c>
      <c r="P5259">
        <v>0.98292069999999998</v>
      </c>
      <c r="Q5259">
        <v>0.16316079999999999</v>
      </c>
      <c r="R5259">
        <v>8.5121340000000004E-2</v>
      </c>
      <c r="S5259">
        <v>3.0701290000000001</v>
      </c>
      <c r="T5259">
        <v>-9.5881220000000003E-2</v>
      </c>
      <c r="U5259">
        <v>-2.4658200000000002E-2</v>
      </c>
      <c r="V5259">
        <v>-9.8271070000000002E-2</v>
      </c>
      <c r="W5259">
        <v>0.17247999999999999</v>
      </c>
      <c r="X5259">
        <v>0.98009869999999999</v>
      </c>
      <c r="Y5259">
        <v>-5.348818E-3</v>
      </c>
      <c r="Z5259">
        <v>3.9968760000000001E-4</v>
      </c>
      <c r="AA5259">
        <v>0.99998560000000003</v>
      </c>
      <c r="AB5259">
        <v>31</v>
      </c>
      <c r="AC5259">
        <v>35.386299999999999</v>
      </c>
      <c r="AD5259">
        <v>-1.109846138805</v>
      </c>
      <c r="AE5259">
        <v>-0.283409999999996</v>
      </c>
      <c r="AF5259">
        <v>-0.1901265591837</v>
      </c>
      <c r="AG5259">
        <v>-1.109846138805</v>
      </c>
      <c r="AH5259">
        <v>35.3521500603836</v>
      </c>
      <c r="AI5259">
        <v>91.798128324858993</v>
      </c>
      <c r="AJ5259">
        <v>90.308138101119198</v>
      </c>
      <c r="AK5259">
        <v>35.370078038537201</v>
      </c>
      <c r="AL5259">
        <v>80.067957165341696</v>
      </c>
      <c r="AM5259">
        <v>95.725711095992693</v>
      </c>
      <c r="AN5259">
        <v>1.0000000076703099</v>
      </c>
    </row>
    <row r="5260" spans="1:40" x14ac:dyDescent="0.25">
      <c r="A5260" t="str">
        <f>"20190304155522023"</f>
        <v>20190304155522023</v>
      </c>
      <c r="B5260" t="str">
        <f>"1551686122012739"</f>
        <v>1551686122012739</v>
      </c>
      <c r="C5260" t="s">
        <v>40</v>
      </c>
      <c r="D5260">
        <v>4.5788099999999998</v>
      </c>
      <c r="E5260">
        <v>0.53474429999999995</v>
      </c>
      <c r="F5260" t="s">
        <v>74</v>
      </c>
      <c r="G5260">
        <v>-199.38210000000001</v>
      </c>
      <c r="H5260" s="1">
        <v>-6.1328570000000001E-6</v>
      </c>
      <c r="I5260">
        <v>-63.384030000000003</v>
      </c>
      <c r="J5260">
        <v>-234.5812</v>
      </c>
      <c r="K5260">
        <v>1.109845</v>
      </c>
      <c r="L5260">
        <v>-63.091000000000001</v>
      </c>
      <c r="M5260">
        <v>0.99986470000000005</v>
      </c>
      <c r="N5260">
        <v>-9.5538680000000001E-3</v>
      </c>
      <c r="O5260">
        <v>-1.339536E-2</v>
      </c>
      <c r="P5260">
        <v>0.98287119999999994</v>
      </c>
      <c r="Q5260">
        <v>0.16351199999999999</v>
      </c>
      <c r="R5260">
        <v>8.5018720000000006E-2</v>
      </c>
      <c r="S5260">
        <v>3.0703429999999998</v>
      </c>
      <c r="T5260">
        <v>-9.634173E-2</v>
      </c>
      <c r="U5260">
        <v>-2.5634770000000001E-2</v>
      </c>
      <c r="V5260">
        <v>-9.8175200000000004E-2</v>
      </c>
      <c r="W5260">
        <v>0.17288439999999999</v>
      </c>
      <c r="X5260">
        <v>0.98003700000000005</v>
      </c>
      <c r="Y5260">
        <v>-5.040966E-3</v>
      </c>
      <c r="Z5260">
        <v>3.953912E-4</v>
      </c>
      <c r="AA5260">
        <v>0.99998719999999996</v>
      </c>
      <c r="AB5260">
        <v>31</v>
      </c>
      <c r="AC5260">
        <v>35.199099999999902</v>
      </c>
      <c r="AD5260">
        <v>-1.109851132857</v>
      </c>
      <c r="AE5260">
        <v>-0.29303000000000101</v>
      </c>
      <c r="AF5260">
        <v>-0.178345103737582</v>
      </c>
      <c r="AG5260">
        <v>-1.109851132857</v>
      </c>
      <c r="AH5260">
        <v>35.1649090719133</v>
      </c>
      <c r="AI5260">
        <v>91.807707421924604</v>
      </c>
      <c r="AJ5260">
        <v>90.290583266089598</v>
      </c>
      <c r="AK5260">
        <v>35.182870925339003</v>
      </c>
      <c r="AL5260">
        <v>80.044432823391801</v>
      </c>
      <c r="AM5260">
        <v>95.720520077155498</v>
      </c>
      <c r="AN5260">
        <v>0.99999995351369897</v>
      </c>
    </row>
    <row r="5261" spans="1:40" x14ac:dyDescent="0.25">
      <c r="A5261" t="str">
        <f>"20190304155522034"</f>
        <v>20190304155522034</v>
      </c>
      <c r="B5261" t="str">
        <f>"1551686122023474"</f>
        <v>1551686122023474</v>
      </c>
      <c r="C5261" t="s">
        <v>40</v>
      </c>
      <c r="D5261">
        <v>4.5782600000000002</v>
      </c>
      <c r="E5261">
        <v>0.53463709999999998</v>
      </c>
      <c r="F5261" t="s">
        <v>74</v>
      </c>
      <c r="G5261">
        <v>-198.97540000000001</v>
      </c>
      <c r="H5261" s="1">
        <v>-6.2986759999999997E-6</v>
      </c>
      <c r="I5261">
        <v>-63.387569999999997</v>
      </c>
      <c r="J5261">
        <v>-234.42850000000001</v>
      </c>
      <c r="K5261">
        <v>1.1098509999999999</v>
      </c>
      <c r="L5261">
        <v>-63.093020000000003</v>
      </c>
      <c r="M5261">
        <v>0.99986410000000003</v>
      </c>
      <c r="N5261">
        <v>-9.6053409999999999E-3</v>
      </c>
      <c r="O5261">
        <v>-1.340687E-2</v>
      </c>
      <c r="P5261">
        <v>0.98281200000000002</v>
      </c>
      <c r="Q5261">
        <v>0.1638462</v>
      </c>
      <c r="R5261">
        <v>8.5060759999999999E-2</v>
      </c>
      <c r="S5261">
        <v>3.0704039999999999</v>
      </c>
      <c r="T5261">
        <v>-9.5706340000000001E-2</v>
      </c>
      <c r="U5261">
        <v>-2.5573729999999999E-2</v>
      </c>
      <c r="V5261">
        <v>-9.8225469999999995E-2</v>
      </c>
      <c r="W5261">
        <v>0.17326949999999999</v>
      </c>
      <c r="X5261">
        <v>0.97996399999999995</v>
      </c>
      <c r="Y5261">
        <v>-5.0726110000000003E-3</v>
      </c>
      <c r="Z5261">
        <v>3.9242329999999997E-4</v>
      </c>
      <c r="AA5261">
        <v>0.99998710000000002</v>
      </c>
      <c r="AB5261">
        <v>31</v>
      </c>
      <c r="AC5261">
        <v>35.453099999999999</v>
      </c>
      <c r="AD5261">
        <v>-1.109857298676</v>
      </c>
      <c r="AE5261">
        <v>-0.29455000000000098</v>
      </c>
      <c r="AF5261">
        <v>-0.18063644172660301</v>
      </c>
      <c r="AG5261">
        <v>-1.109857298676</v>
      </c>
      <c r="AH5261">
        <v>35.419154137371301</v>
      </c>
      <c r="AI5261">
        <v>91.794749595836294</v>
      </c>
      <c r="AJ5261">
        <v>90.292203929199999</v>
      </c>
      <c r="AK5261">
        <v>35.436998921386802</v>
      </c>
      <c r="AL5261">
        <v>80.022030610922599</v>
      </c>
      <c r="AM5261">
        <v>95.723853313664407</v>
      </c>
      <c r="AN5261">
        <v>1.0000000019414801</v>
      </c>
    </row>
    <row r="5262" spans="1:40" x14ac:dyDescent="0.25">
      <c r="A5262" t="str">
        <f>"20190304155522045"</f>
        <v>20190304155522045</v>
      </c>
      <c r="B5262" t="str">
        <f>"1551686122042996"</f>
        <v>1551686122042996</v>
      </c>
      <c r="C5262" t="s">
        <v>40</v>
      </c>
      <c r="D5262">
        <v>4.5954839999999999</v>
      </c>
      <c r="E5262">
        <v>0.50281480000000001</v>
      </c>
      <c r="F5262" t="s">
        <v>74</v>
      </c>
      <c r="G5262">
        <v>-198.22319999999999</v>
      </c>
      <c r="H5262" s="1">
        <v>-6.6048599999999998E-6</v>
      </c>
      <c r="I5262">
        <v>-63.383789999999998</v>
      </c>
      <c r="J5262">
        <v>-234.2732</v>
      </c>
      <c r="K5262">
        <v>1.109853</v>
      </c>
      <c r="L5262">
        <v>-63.095120000000001</v>
      </c>
      <c r="M5262">
        <v>0.99986330000000001</v>
      </c>
      <c r="N5262">
        <v>-9.6576530000000004E-3</v>
      </c>
      <c r="O5262">
        <v>-1.342054E-2</v>
      </c>
      <c r="P5262">
        <v>0.98272479999999995</v>
      </c>
      <c r="Q5262">
        <v>0.16437789999999999</v>
      </c>
      <c r="R5262">
        <v>8.504138E-2</v>
      </c>
      <c r="S5262">
        <v>3.0703130000000001</v>
      </c>
      <c r="T5262">
        <v>-9.4118950000000007E-2</v>
      </c>
      <c r="U5262">
        <v>-2.4658200000000002E-2</v>
      </c>
      <c r="V5262">
        <v>-9.8216129999999999E-2</v>
      </c>
      <c r="W5262">
        <v>0.17385320000000001</v>
      </c>
      <c r="X5262">
        <v>0.9798616</v>
      </c>
      <c r="Y5262">
        <v>-5.3842619999999999E-3</v>
      </c>
      <c r="Z5262">
        <v>3.9020050000000001E-4</v>
      </c>
      <c r="AA5262">
        <v>0.99998549999999997</v>
      </c>
      <c r="AB5262">
        <v>31</v>
      </c>
      <c r="AC5262">
        <v>36.049999999999997</v>
      </c>
      <c r="AD5262">
        <v>-1.10985960486</v>
      </c>
      <c r="AE5262">
        <v>-0.28867000000000997</v>
      </c>
      <c r="AF5262">
        <v>-0.19500421417369301</v>
      </c>
      <c r="AG5262">
        <v>-1.10985960486</v>
      </c>
      <c r="AH5262">
        <v>36.016492401864298</v>
      </c>
      <c r="AI5262">
        <v>91.765003174282697</v>
      </c>
      <c r="AJ5262">
        <v>90.310213697653495</v>
      </c>
      <c r="AK5262">
        <v>36.034116333269402</v>
      </c>
      <c r="AL5262">
        <v>79.988072149645902</v>
      </c>
      <c r="AM5262">
        <v>95.723906801917096</v>
      </c>
      <c r="AN5262">
        <v>1.00000004924848</v>
      </c>
    </row>
    <row r="5263" spans="1:40" x14ac:dyDescent="0.25">
      <c r="A5263" t="str">
        <f>"20190304155522057"</f>
        <v>20190304155522057</v>
      </c>
      <c r="B5263" t="str">
        <f>"1551686122052755"</f>
        <v>1551686122052755</v>
      </c>
      <c r="C5263" t="s">
        <v>40</v>
      </c>
      <c r="D5263">
        <v>4.5866639999999999</v>
      </c>
      <c r="E5263">
        <v>0.50046590000000002</v>
      </c>
      <c r="F5263" t="s">
        <v>74</v>
      </c>
      <c r="G5263">
        <v>-190.172</v>
      </c>
      <c r="H5263" s="1">
        <v>-6.3992310000000003E-6</v>
      </c>
      <c r="I5263">
        <v>-59.790370000000003</v>
      </c>
      <c r="J5263">
        <v>-234.11330000000001</v>
      </c>
      <c r="K5263">
        <v>1.109856</v>
      </c>
      <c r="L5263">
        <v>-63.097290000000001</v>
      </c>
      <c r="M5263">
        <v>0.99986260000000005</v>
      </c>
      <c r="N5263">
        <v>-9.7113879999999996E-3</v>
      </c>
      <c r="O5263">
        <v>-1.343769E-2</v>
      </c>
      <c r="P5263">
        <v>0.98270860000000004</v>
      </c>
      <c r="Q5263">
        <v>0.16449029999999901</v>
      </c>
      <c r="R5263">
        <v>8.5011879999999998E-2</v>
      </c>
      <c r="S5263">
        <v>3.0458219999999998</v>
      </c>
      <c r="T5263">
        <v>-7.6651810000000001E-2</v>
      </c>
      <c r="U5263">
        <v>0.228241</v>
      </c>
      <c r="V5263">
        <v>-9.8200129999999997E-2</v>
      </c>
      <c r="W5263">
        <v>0.17401939999999999</v>
      </c>
      <c r="X5263">
        <v>0.97983370000000003</v>
      </c>
      <c r="Y5263">
        <v>-8.8080149999999996E-2</v>
      </c>
      <c r="Z5263">
        <v>1.74238E-3</v>
      </c>
      <c r="AA5263">
        <v>0.99611190000000005</v>
      </c>
      <c r="AB5263">
        <v>31</v>
      </c>
      <c r="AC5263">
        <v>43.941299999999998</v>
      </c>
      <c r="AD5263">
        <v>-1.1098623992309999</v>
      </c>
      <c r="AE5263">
        <v>3.3069199999999999</v>
      </c>
      <c r="AF5263">
        <v>-3.8946481429386299</v>
      </c>
      <c r="AG5263">
        <v>-1.1098623992309999</v>
      </c>
      <c r="AH5263">
        <v>43.865066220992396</v>
      </c>
      <c r="AI5263">
        <v>91.443696712492994</v>
      </c>
      <c r="AJ5263">
        <v>95.073816427771604</v>
      </c>
      <c r="AK5263">
        <v>44.051607385821598</v>
      </c>
      <c r="AL5263">
        <v>79.978402182706006</v>
      </c>
      <c r="AM5263">
        <v>95.723142408831094</v>
      </c>
      <c r="AN5263">
        <v>1.0000000483820299</v>
      </c>
    </row>
    <row r="5264" spans="1:40" x14ac:dyDescent="0.25">
      <c r="A5264" t="str">
        <f>"20190304155522068"</f>
        <v>20190304155522068</v>
      </c>
      <c r="B5264" t="str">
        <f>"1551686122063491"</f>
        <v>1551686122063491</v>
      </c>
      <c r="C5264" t="s">
        <v>40</v>
      </c>
      <c r="D5264">
        <v>4.6064489999999996</v>
      </c>
      <c r="E5264">
        <v>0.49888369999999999</v>
      </c>
      <c r="F5264" t="s">
        <v>74</v>
      </c>
      <c r="G5264">
        <v>-192.68879999999999</v>
      </c>
      <c r="H5264" s="1">
        <v>-6.69450399999999E-6</v>
      </c>
      <c r="I5264">
        <v>-59.742049999999999</v>
      </c>
      <c r="J5264">
        <v>-233.96799999999999</v>
      </c>
      <c r="K5264">
        <v>1.109855</v>
      </c>
      <c r="L5264">
        <v>-63.099240000000002</v>
      </c>
      <c r="M5264">
        <v>0.99986180000000002</v>
      </c>
      <c r="N5264">
        <v>-9.7631200000000001E-3</v>
      </c>
      <c r="O5264">
        <v>-1.34577E-2</v>
      </c>
      <c r="P5264">
        <v>0.98264059999999998</v>
      </c>
      <c r="Q5264">
        <v>0.16488910000000001</v>
      </c>
      <c r="R5264">
        <v>8.5024370000000002E-2</v>
      </c>
      <c r="S5264">
        <v>3.045105</v>
      </c>
      <c r="T5264">
        <v>-8.1585649999999996E-2</v>
      </c>
      <c r="U5264">
        <v>0.2466431</v>
      </c>
      <c r="V5264">
        <v>-9.8228129999999997E-2</v>
      </c>
      <c r="W5264">
        <v>0.17447019999999999</v>
      </c>
      <c r="X5264">
        <v>0.97975069999999997</v>
      </c>
      <c r="Y5264">
        <v>-9.4091499999999995E-2</v>
      </c>
      <c r="Z5264">
        <v>1.947173E-3</v>
      </c>
      <c r="AA5264">
        <v>0.99556169999999999</v>
      </c>
      <c r="AB5264">
        <v>31</v>
      </c>
      <c r="AC5264">
        <v>41.279200000000003</v>
      </c>
      <c r="AD5264">
        <v>-1.1098616945039901</v>
      </c>
      <c r="AE5264">
        <v>3.3571900000000001</v>
      </c>
      <c r="AF5264">
        <v>-3.9096278227734098</v>
      </c>
      <c r="AG5264">
        <v>-1.1098616945039901</v>
      </c>
      <c r="AH5264">
        <v>41.200691170660797</v>
      </c>
      <c r="AI5264">
        <v>91.536159647457097</v>
      </c>
      <c r="AJ5264">
        <v>95.420696151883206</v>
      </c>
      <c r="AK5264">
        <v>41.400651391417803</v>
      </c>
      <c r="AL5264">
        <v>79.952171750861197</v>
      </c>
      <c r="AM5264">
        <v>95.725245176440694</v>
      </c>
      <c r="AN5264">
        <v>1.00000002518091</v>
      </c>
    </row>
    <row r="5265" spans="1:40" x14ac:dyDescent="0.25">
      <c r="A5265" t="str">
        <f>"20190304155522079"</f>
        <v>20190304155522079</v>
      </c>
      <c r="B5265" t="str">
        <f>"1551686122073251"</f>
        <v>1551686122073251</v>
      </c>
      <c r="C5265" t="s">
        <v>40</v>
      </c>
      <c r="D5265">
        <v>4.579269</v>
      </c>
      <c r="E5265">
        <v>0.49774040000000003</v>
      </c>
      <c r="F5265" t="s">
        <v>74</v>
      </c>
      <c r="G5265">
        <v>-195.49639999999999</v>
      </c>
      <c r="H5265" s="1">
        <v>-6.9805359999999996E-6</v>
      </c>
      <c r="I5265">
        <v>-59.826860000000003</v>
      </c>
      <c r="J5265">
        <v>-233.80410000000001</v>
      </c>
      <c r="K5265">
        <v>1.109856</v>
      </c>
      <c r="L5265">
        <v>-63.1014699999999</v>
      </c>
      <c r="M5265">
        <v>0.99986090000000005</v>
      </c>
      <c r="N5265">
        <v>-9.8235719999999992E-3</v>
      </c>
      <c r="O5265">
        <v>-1.348337E-2</v>
      </c>
      <c r="P5265">
        <v>0.98253509999999999</v>
      </c>
      <c r="Q5265">
        <v>0.16546179999999999</v>
      </c>
      <c r="R5265">
        <v>8.5131680000000001E-2</v>
      </c>
      <c r="S5265">
        <v>3.0453190000000001</v>
      </c>
      <c r="T5265">
        <v>-8.7853790000000001E-2</v>
      </c>
      <c r="U5265">
        <v>0.25903320000000002</v>
      </c>
      <c r="V5265">
        <v>-9.8355230000000002E-2</v>
      </c>
      <c r="W5265">
        <v>0.17510309999999901</v>
      </c>
      <c r="X5265">
        <v>0.97962499999999997</v>
      </c>
      <c r="Y5265">
        <v>-9.8124379999999997E-2</v>
      </c>
      <c r="Z5265">
        <v>2.1515810000000001E-3</v>
      </c>
      <c r="AA5265">
        <v>0.99517180000000005</v>
      </c>
      <c r="AB5265">
        <v>31</v>
      </c>
      <c r="AC5265">
        <v>38.307699999999997</v>
      </c>
      <c r="AD5265">
        <v>-1.1098629805360001</v>
      </c>
      <c r="AE5265">
        <v>3.2746099999999898</v>
      </c>
      <c r="AF5265">
        <v>-3.7876977667679599</v>
      </c>
      <c r="AG5265">
        <v>-1.1098629805360001</v>
      </c>
      <c r="AH5265">
        <v>38.228206600237201</v>
      </c>
      <c r="AI5265">
        <v>91.654877779380499</v>
      </c>
      <c r="AJ5265">
        <v>95.658468024851402</v>
      </c>
      <c r="AK5265">
        <v>38.431422431109198</v>
      </c>
      <c r="AL5265">
        <v>79.915341991907397</v>
      </c>
      <c r="AM5265">
        <v>95.733334590830495</v>
      </c>
      <c r="AN5265">
        <v>0.99999999376148097</v>
      </c>
    </row>
    <row r="5266" spans="1:40" x14ac:dyDescent="0.25">
      <c r="A5266" t="str">
        <f>"20190304155522090"</f>
        <v>20190304155522090</v>
      </c>
      <c r="B5266" t="str">
        <f>"1551686122083010"</f>
        <v>1551686122083010</v>
      </c>
      <c r="C5266" t="s">
        <v>40</v>
      </c>
      <c r="D5266">
        <v>4.5826200000000004</v>
      </c>
      <c r="E5266">
        <v>0.49719150000000001</v>
      </c>
      <c r="F5266" t="s">
        <v>74</v>
      </c>
      <c r="G5266">
        <v>-197.1172</v>
      </c>
      <c r="H5266" s="1">
        <v>-7.1472559999999998E-6</v>
      </c>
      <c r="I5266">
        <v>-59.871290000000002</v>
      </c>
      <c r="J5266">
        <v>-233.66159999999999</v>
      </c>
      <c r="K5266">
        <v>1.109858</v>
      </c>
      <c r="L5266">
        <v>-63.103389999999997</v>
      </c>
      <c r="M5266">
        <v>0.99985979999999997</v>
      </c>
      <c r="N5266">
        <v>-9.8837439999999999E-3</v>
      </c>
      <c r="O5266">
        <v>-1.351466E-2</v>
      </c>
      <c r="P5266">
        <v>0.98240320000000003</v>
      </c>
      <c r="Q5266">
        <v>0.16619419999999999</v>
      </c>
      <c r="R5266">
        <v>8.522652E-2</v>
      </c>
      <c r="S5266">
        <v>3.0456089999999998</v>
      </c>
      <c r="T5266">
        <v>-9.2136860000000001E-2</v>
      </c>
      <c r="U5266">
        <v>0.26815800000000001</v>
      </c>
      <c r="V5266">
        <v>-9.847467E-2</v>
      </c>
      <c r="W5266">
        <v>0.17589589999999999</v>
      </c>
      <c r="X5266">
        <v>0.97947099999999998</v>
      </c>
      <c r="Y5266">
        <v>-0.10109949999999999</v>
      </c>
      <c r="Z5266">
        <v>2.3014350000000001E-3</v>
      </c>
      <c r="AA5266">
        <v>0.99487360000000002</v>
      </c>
      <c r="AB5266">
        <v>31</v>
      </c>
      <c r="AC5266">
        <v>36.544400000000003</v>
      </c>
      <c r="AD5266">
        <v>-1.1098651472559999</v>
      </c>
      <c r="AE5266">
        <v>3.2321</v>
      </c>
      <c r="AF5266">
        <v>-3.7223074233920501</v>
      </c>
      <c r="AG5266">
        <v>-1.1098651472559999</v>
      </c>
      <c r="AH5266">
        <v>36.464007539299303</v>
      </c>
      <c r="AI5266">
        <v>91.734381605682003</v>
      </c>
      <c r="AJ5266">
        <v>95.828659635168293</v>
      </c>
      <c r="AK5266">
        <v>36.670304321418001</v>
      </c>
      <c r="AL5266">
        <v>79.869202190520696</v>
      </c>
      <c r="AM5266">
        <v>95.741147031458596</v>
      </c>
      <c r="AN5266">
        <v>1.0000000340546999</v>
      </c>
    </row>
    <row r="5267" spans="1:40" x14ac:dyDescent="0.25">
      <c r="A5267" t="str">
        <f>"20190304155522100"</f>
        <v>20190304155522100</v>
      </c>
      <c r="B5267" t="str">
        <f>"1551686122092770"</f>
        <v>1551686122092770</v>
      </c>
      <c r="C5267" t="s">
        <v>40</v>
      </c>
      <c r="D5267">
        <v>4.7334820000000004</v>
      </c>
      <c r="E5267">
        <v>0.4962801</v>
      </c>
      <c r="F5267" t="s">
        <v>74</v>
      </c>
      <c r="G5267">
        <v>-197.36859999999999</v>
      </c>
      <c r="H5267" s="1">
        <v>-7.1814920000000004E-6</v>
      </c>
      <c r="I5267">
        <v>-59.854320000000001</v>
      </c>
      <c r="J5267">
        <v>-233.51519999999999</v>
      </c>
      <c r="K5267">
        <v>1.109861</v>
      </c>
      <c r="L5267">
        <v>-63.105440000000002</v>
      </c>
      <c r="M5267">
        <v>0.99985889999999999</v>
      </c>
      <c r="N5267">
        <v>-9.9471160000000006E-3</v>
      </c>
      <c r="O5267">
        <v>-1.3548599999999999E-2</v>
      </c>
      <c r="P5267">
        <v>0.98227410000000004</v>
      </c>
      <c r="Q5267">
        <v>0.16685269999999999</v>
      </c>
      <c r="R5267">
        <v>8.542785E-2</v>
      </c>
      <c r="S5267">
        <v>3.0458370000000001</v>
      </c>
      <c r="T5267">
        <v>-9.3144060000000001E-2</v>
      </c>
      <c r="U5267">
        <v>0.27267459999999999</v>
      </c>
      <c r="V5267">
        <v>-9.8702700000000004E-2</v>
      </c>
      <c r="W5267">
        <v>0.17661740000000001</v>
      </c>
      <c r="X5267">
        <v>0.97931820000000003</v>
      </c>
      <c r="Y5267">
        <v>-0.1025882</v>
      </c>
      <c r="Z5267">
        <v>2.3555260000000001E-3</v>
      </c>
      <c r="AA5267">
        <v>0.99472110000000002</v>
      </c>
      <c r="AB5267">
        <v>31</v>
      </c>
      <c r="AC5267">
        <v>36.146599999999999</v>
      </c>
      <c r="AD5267">
        <v>-1.1098681814919999</v>
      </c>
      <c r="AE5267">
        <v>3.2511199999999998</v>
      </c>
      <c r="AF5267">
        <v>-3.73708657857622</v>
      </c>
      <c r="AG5267">
        <v>-1.1098681814919999</v>
      </c>
      <c r="AH5267">
        <v>36.065502819815102</v>
      </c>
      <c r="AI5267">
        <v>91.753264257950704</v>
      </c>
      <c r="AJ5267">
        <v>95.915843102356902</v>
      </c>
      <c r="AK5267">
        <v>36.275585689581298</v>
      </c>
      <c r="AL5267">
        <v>79.827205789105307</v>
      </c>
      <c r="AM5267">
        <v>95.755244043681003</v>
      </c>
      <c r="AN5267">
        <v>1.00000003291064</v>
      </c>
    </row>
    <row r="5268" spans="1:40" x14ac:dyDescent="0.25">
      <c r="A5268" t="str">
        <f>"20190304155522113"</f>
        <v>20190304155522113</v>
      </c>
      <c r="B5268" t="str">
        <f>"1551686122103508"</f>
        <v>1551686122103508</v>
      </c>
      <c r="C5268" t="s">
        <v>40</v>
      </c>
      <c r="D5268">
        <v>4.5896379999999999</v>
      </c>
      <c r="E5268">
        <v>0.4961063</v>
      </c>
      <c r="F5268" t="s">
        <v>74</v>
      </c>
      <c r="G5268">
        <v>-197.41540000000001</v>
      </c>
      <c r="H5268" s="1">
        <v>-7.2127899999999999E-6</v>
      </c>
      <c r="I5268">
        <v>-59.780140000000003</v>
      </c>
      <c r="J5268">
        <v>-233.33920000000001</v>
      </c>
      <c r="K5268">
        <v>1.1098650000000001</v>
      </c>
      <c r="L5268">
        <v>-63.107880000000002</v>
      </c>
      <c r="M5268">
        <v>0.99985710000000005</v>
      </c>
      <c r="N5268">
        <v>-1.00377E-2</v>
      </c>
      <c r="O5268">
        <v>-1.360454E-2</v>
      </c>
      <c r="P5268">
        <v>0.98216440000000005</v>
      </c>
      <c r="Q5268">
        <v>0.1673943</v>
      </c>
      <c r="R5268">
        <v>8.5628609999999994E-2</v>
      </c>
      <c r="S5268">
        <v>3.0456539999999999</v>
      </c>
      <c r="T5268">
        <v>-9.3636990000000003E-2</v>
      </c>
      <c r="U5268">
        <v>0.28054810000000002</v>
      </c>
      <c r="V5268">
        <v>-9.8951360000000002E-2</v>
      </c>
      <c r="W5268">
        <v>0.17724999999999999</v>
      </c>
      <c r="X5268">
        <v>0.97917880000000002</v>
      </c>
      <c r="Y5268">
        <v>-0.1051969</v>
      </c>
      <c r="Z5268">
        <v>2.423681E-3</v>
      </c>
      <c r="AA5268">
        <v>0.99444849999999996</v>
      </c>
      <c r="AB5268">
        <v>31</v>
      </c>
      <c r="AC5268">
        <v>35.9238</v>
      </c>
      <c r="AD5268">
        <v>-1.10987221278999</v>
      </c>
      <c r="AE5268">
        <v>3.3277399999999902</v>
      </c>
      <c r="AF5268">
        <v>-3.8125751947956301</v>
      </c>
      <c r="AG5268">
        <v>-1.10987221278999</v>
      </c>
      <c r="AH5268">
        <v>35.8412805380393</v>
      </c>
      <c r="AI5268">
        <v>91.763727864048903</v>
      </c>
      <c r="AJ5268">
        <v>96.071939530828701</v>
      </c>
      <c r="AK5268">
        <v>36.060573158938098</v>
      </c>
      <c r="AL5268">
        <v>79.790379414178105</v>
      </c>
      <c r="AM5268">
        <v>95.770461281331706</v>
      </c>
      <c r="AN5268">
        <v>1.00000002825764</v>
      </c>
    </row>
    <row r="5269" spans="1:40" x14ac:dyDescent="0.25">
      <c r="A5269" t="str">
        <f>"20190304155522127"</f>
        <v>20190304155522127</v>
      </c>
      <c r="B5269" t="str">
        <f>"1551686122123026"</f>
        <v>1551686122123026</v>
      </c>
      <c r="C5269" t="s">
        <v>40</v>
      </c>
      <c r="D5269">
        <v>4.5904369999999997</v>
      </c>
      <c r="E5269">
        <v>0.49576100000000001</v>
      </c>
      <c r="F5269" t="s">
        <v>74</v>
      </c>
      <c r="G5269">
        <v>-197.60419999999999</v>
      </c>
      <c r="H5269" s="1">
        <v>-7.23107899999999E-6</v>
      </c>
      <c r="I5269">
        <v>-59.788530000000002</v>
      </c>
      <c r="J5269">
        <v>-233.1508</v>
      </c>
      <c r="K5269">
        <v>1.1098709999999901</v>
      </c>
      <c r="L5269">
        <v>-63.110500000000002</v>
      </c>
      <c r="M5269">
        <v>0.99985500000000005</v>
      </c>
      <c r="N5269">
        <v>-1.0142979999999999E-2</v>
      </c>
      <c r="O5269">
        <v>-1.367382E-2</v>
      </c>
      <c r="P5269">
        <v>0.98203859999999998</v>
      </c>
      <c r="Q5269">
        <v>0.1680604</v>
      </c>
      <c r="R5269">
        <v>8.5765880000000003E-2</v>
      </c>
      <c r="S5269">
        <v>3.0459139999999998</v>
      </c>
      <c r="T5269">
        <v>-9.4601149999999995E-2</v>
      </c>
      <c r="U5269">
        <v>0.28292850000000003</v>
      </c>
      <c r="V5269">
        <v>-9.9147429999999995E-2</v>
      </c>
      <c r="W5269">
        <v>0.17802190000000001</v>
      </c>
      <c r="X5269">
        <v>0.97901890000000003</v>
      </c>
      <c r="Y5269">
        <v>-0.1060266</v>
      </c>
      <c r="Z5269">
        <v>2.4670030000000002E-3</v>
      </c>
      <c r="AA5269">
        <v>0.99436020000000003</v>
      </c>
      <c r="AB5269">
        <v>31</v>
      </c>
      <c r="AC5269">
        <v>35.546599999999998</v>
      </c>
      <c r="AD5269">
        <v>-1.1098782310790001</v>
      </c>
      <c r="AE5269">
        <v>3.3219699999999999</v>
      </c>
      <c r="AF5269">
        <v>-3.8040658109697301</v>
      </c>
      <c r="AG5269">
        <v>-1.1098782310790001</v>
      </c>
      <c r="AH5269">
        <v>35.463576343462698</v>
      </c>
      <c r="AI5269">
        <v>91.782342024237906</v>
      </c>
      <c r="AJ5269">
        <v>96.122526612755806</v>
      </c>
      <c r="AK5269">
        <v>35.684282162467802</v>
      </c>
      <c r="AL5269">
        <v>79.745437858619795</v>
      </c>
      <c r="AM5269">
        <v>95.782755863467401</v>
      </c>
      <c r="AN5269">
        <v>1.0000000081562099</v>
      </c>
    </row>
    <row r="5270" spans="1:40" x14ac:dyDescent="0.25">
      <c r="A5270" t="str">
        <f>"20190304155522140"</f>
        <v>20190304155522140</v>
      </c>
      <c r="B5270" t="str">
        <f>"1551686122132787"</f>
        <v>1551686122132787</v>
      </c>
      <c r="C5270" t="s">
        <v>40</v>
      </c>
      <c r="D5270">
        <v>4.6221870000000003</v>
      </c>
      <c r="E5270">
        <v>0.4958824</v>
      </c>
      <c r="F5270" t="s">
        <v>74</v>
      </c>
      <c r="G5270">
        <v>-197.93600000000001</v>
      </c>
      <c r="H5270" s="1">
        <v>-7.2627360000000001E-6</v>
      </c>
      <c r="I5270">
        <v>-59.804650000000002</v>
      </c>
      <c r="J5270">
        <v>-232.95959999999999</v>
      </c>
      <c r="K5270">
        <v>1.1098779999999999</v>
      </c>
      <c r="L5270">
        <v>-63.113160000000001</v>
      </c>
      <c r="M5270">
        <v>0.99985270000000004</v>
      </c>
      <c r="N5270">
        <v>-1.026087E-2</v>
      </c>
      <c r="O5270">
        <v>-1.375667E-2</v>
      </c>
      <c r="P5270">
        <v>0.9819251</v>
      </c>
      <c r="Q5270">
        <v>0.16862729999999901</v>
      </c>
      <c r="R5270">
        <v>8.5953760000000004E-2</v>
      </c>
      <c r="S5270">
        <v>3.046341</v>
      </c>
      <c r="T5270">
        <v>-9.6012470000000003E-2</v>
      </c>
      <c r="U5270">
        <v>0.28598020000000002</v>
      </c>
      <c r="V5270">
        <v>-9.9407499999999996E-2</v>
      </c>
      <c r="W5270">
        <v>0.17870739999999999</v>
      </c>
      <c r="X5270">
        <v>0.97886759999999995</v>
      </c>
      <c r="Y5270">
        <v>-0.10708090000000001</v>
      </c>
      <c r="Z5270">
        <v>2.5258730000000001E-3</v>
      </c>
      <c r="AA5270">
        <v>0.99424710000000005</v>
      </c>
      <c r="AB5270">
        <v>31</v>
      </c>
      <c r="AC5270">
        <v>35.023600000000002</v>
      </c>
      <c r="AD5270">
        <v>-1.1098852627360001</v>
      </c>
      <c r="AE5270">
        <v>3.3085099999999898</v>
      </c>
      <c r="AF5270">
        <v>-3.7862617158322398</v>
      </c>
      <c r="AG5270">
        <v>-1.1098852627360001</v>
      </c>
      <c r="AH5270">
        <v>34.939991420812802</v>
      </c>
      <c r="AI5270">
        <v>91.808833206818704</v>
      </c>
      <c r="AJ5270">
        <v>96.184706534981601</v>
      </c>
      <c r="AK5270">
        <v>35.162062276887099</v>
      </c>
      <c r="AL5270">
        <v>79.705521249898695</v>
      </c>
      <c r="AM5270">
        <v>95.798711239495006</v>
      </c>
      <c r="AN5270">
        <v>0.99999998210038399</v>
      </c>
    </row>
    <row r="5271" spans="1:40" x14ac:dyDescent="0.25">
      <c r="A5271" t="str">
        <f>"20190304155522154"</f>
        <v>20190304155522154</v>
      </c>
      <c r="B5271" t="str">
        <f>"1551686122143522"</f>
        <v>1551686122143522</v>
      </c>
      <c r="C5271" t="s">
        <v>40</v>
      </c>
      <c r="D5271">
        <v>4.6299989999999998</v>
      </c>
      <c r="E5271">
        <v>0.49592770000000003</v>
      </c>
      <c r="F5271" t="s">
        <v>74</v>
      </c>
      <c r="G5271">
        <v>-197.80789999999999</v>
      </c>
      <c r="H5271" s="1">
        <v>-7.2440569999999997E-6</v>
      </c>
      <c r="I5271">
        <v>-59.816839999999999</v>
      </c>
      <c r="J5271">
        <v>-232.774</v>
      </c>
      <c r="K5271">
        <v>1.109885</v>
      </c>
      <c r="L5271">
        <v>-63.115810000000003</v>
      </c>
      <c r="M5271">
        <v>0.99985020000000002</v>
      </c>
      <c r="N5271">
        <v>-1.0385749999999999E-2</v>
      </c>
      <c r="O5271">
        <v>-1.385159E-2</v>
      </c>
      <c r="P5271">
        <v>0.98182820000000004</v>
      </c>
      <c r="Q5271">
        <v>0.1692092</v>
      </c>
      <c r="R5271">
        <v>8.5917999999999994E-2</v>
      </c>
      <c r="S5271">
        <v>3.0467379999999999</v>
      </c>
      <c r="T5271">
        <v>-9.6198320000000004E-2</v>
      </c>
      <c r="U5271">
        <v>0.285705599999999</v>
      </c>
      <c r="V5271">
        <v>-9.9456119999999995E-2</v>
      </c>
      <c r="W5271">
        <v>0.17941389999999999</v>
      </c>
      <c r="X5271">
        <v>0.97873339999999998</v>
      </c>
      <c r="Y5271">
        <v>-0.107074</v>
      </c>
      <c r="Z5271">
        <v>2.5365520000000001E-3</v>
      </c>
      <c r="AA5271">
        <v>0.99424780000000001</v>
      </c>
      <c r="AB5271">
        <v>31</v>
      </c>
      <c r="AC5271">
        <v>34.966099999999997</v>
      </c>
      <c r="AD5271">
        <v>-1.109892244057</v>
      </c>
      <c r="AE5271">
        <v>3.29896999999999</v>
      </c>
      <c r="AF5271">
        <v>-3.7792414526475002</v>
      </c>
      <c r="AG5271">
        <v>-1.109892244057</v>
      </c>
      <c r="AH5271">
        <v>34.882211088975502</v>
      </c>
      <c r="AI5271">
        <v>91.811843045183906</v>
      </c>
      <c r="AJ5271">
        <v>96.1834744447915</v>
      </c>
      <c r="AK5271">
        <v>35.103891197510698</v>
      </c>
      <c r="AL5271">
        <v>79.664376655525601</v>
      </c>
      <c r="AM5271">
        <v>95.802318091022201</v>
      </c>
      <c r="AN5271">
        <v>0.99999996779711098</v>
      </c>
    </row>
    <row r="5272" spans="1:40" x14ac:dyDescent="0.25">
      <c r="A5272" t="str">
        <f>"20190304155522168"</f>
        <v>20190304155522168</v>
      </c>
      <c r="B5272" t="str">
        <f>"1551686122163042"</f>
        <v>1551686122163042</v>
      </c>
      <c r="C5272" t="s">
        <v>40</v>
      </c>
      <c r="D5272">
        <v>4.6821970000000004</v>
      </c>
      <c r="E5272">
        <v>0.49562240000000002</v>
      </c>
      <c r="F5272" t="s">
        <v>74</v>
      </c>
      <c r="G5272">
        <v>-197.6738</v>
      </c>
      <c r="H5272" s="1">
        <v>-7.2241979999999997E-6</v>
      </c>
      <c r="I5272">
        <v>-59.830419999999997</v>
      </c>
      <c r="J5272">
        <v>-232.5761</v>
      </c>
      <c r="K5272">
        <v>1.1098950000000001</v>
      </c>
      <c r="L5272">
        <v>-63.118679999999998</v>
      </c>
      <c r="M5272">
        <v>0.99984720000000005</v>
      </c>
      <c r="N5272">
        <v>-1.0525959999999999E-2</v>
      </c>
      <c r="O5272">
        <v>-1.3958399999999999E-2</v>
      </c>
      <c r="P5272">
        <v>0.98161759999999998</v>
      </c>
      <c r="Q5272">
        <v>0.17043169999999999</v>
      </c>
      <c r="R5272">
        <v>8.5909020000000003E-2</v>
      </c>
      <c r="S5272">
        <v>3.04718</v>
      </c>
      <c r="T5272">
        <v>-9.6353770000000005E-2</v>
      </c>
      <c r="U5272">
        <v>0.28521729999999901</v>
      </c>
      <c r="V5272">
        <v>-9.954151E-2</v>
      </c>
      <c r="W5272">
        <v>0.18077509999999999</v>
      </c>
      <c r="X5272">
        <v>0.97847430000000002</v>
      </c>
      <c r="Y5272">
        <v>-0.10700850000000001</v>
      </c>
      <c r="Z5272">
        <v>2.5461419999999999E-3</v>
      </c>
      <c r="AA5272">
        <v>0.99425479999999999</v>
      </c>
      <c r="AB5272">
        <v>31</v>
      </c>
      <c r="AC5272">
        <v>34.902299999999997</v>
      </c>
      <c r="AD5272">
        <v>-1.1099022241979899</v>
      </c>
      <c r="AE5272">
        <v>3.2882600000000002</v>
      </c>
      <c r="AF5272">
        <v>-3.7713665883229499</v>
      </c>
      <c r="AG5272">
        <v>-1.1099022241979899</v>
      </c>
      <c r="AH5272">
        <v>34.818097689326898</v>
      </c>
      <c r="AI5272">
        <v>91.815198600896494</v>
      </c>
      <c r="AJ5272">
        <v>96.181964040112803</v>
      </c>
      <c r="AK5272">
        <v>35.039335261878399</v>
      </c>
      <c r="AL5272">
        <v>79.585090117808505</v>
      </c>
      <c r="AM5272">
        <v>95.808793001149994</v>
      </c>
      <c r="AN5272">
        <v>1.00000005237678</v>
      </c>
    </row>
    <row r="5273" spans="1:40" x14ac:dyDescent="0.25">
      <c r="A5273" t="str">
        <f>"20190304155522181"</f>
        <v>20190304155522181</v>
      </c>
      <c r="B5273" t="str">
        <f>"1551686122172802"</f>
        <v>1551686122172802</v>
      </c>
      <c r="C5273" t="s">
        <v>40</v>
      </c>
      <c r="D5273">
        <v>4.6472490000000004</v>
      </c>
      <c r="E5273">
        <v>0.49568519999999999</v>
      </c>
      <c r="F5273" t="s">
        <v>74</v>
      </c>
      <c r="G5273">
        <v>-197.35980000000001</v>
      </c>
      <c r="H5273" s="1">
        <v>-7.2012819999999999E-6</v>
      </c>
      <c r="I5273">
        <v>-59.795119999999997</v>
      </c>
      <c r="J5273">
        <v>-232.39340000000001</v>
      </c>
      <c r="K5273">
        <v>1.1099060000000001</v>
      </c>
      <c r="L5273">
        <v>-63.121339999999996</v>
      </c>
      <c r="M5273">
        <v>0.99984439999999997</v>
      </c>
      <c r="N5273">
        <v>-1.066164E-2</v>
      </c>
      <c r="O5273">
        <v>-1.4062059999999999E-2</v>
      </c>
      <c r="P5273">
        <v>0.98155740000000002</v>
      </c>
      <c r="Q5273">
        <v>0.1707475</v>
      </c>
      <c r="R5273">
        <v>8.5968429999999998E-2</v>
      </c>
      <c r="S5273">
        <v>3.0476839999999998</v>
      </c>
      <c r="T5273">
        <v>-9.6053120000000006E-2</v>
      </c>
      <c r="U5273">
        <v>0.2876282</v>
      </c>
      <c r="V5273">
        <v>-9.9695439999999996E-2</v>
      </c>
      <c r="W5273">
        <v>0.1812262</v>
      </c>
      <c r="X5273">
        <v>0.97837510000000005</v>
      </c>
      <c r="Y5273">
        <v>-0.1078756</v>
      </c>
      <c r="Z5273">
        <v>2.5649150000000001E-3</v>
      </c>
      <c r="AA5273">
        <v>0.99416110000000002</v>
      </c>
      <c r="AB5273">
        <v>31</v>
      </c>
      <c r="AC5273">
        <v>35.0336</v>
      </c>
      <c r="AD5273">
        <v>-1.1099132012819899</v>
      </c>
      <c r="AE5273">
        <v>3.3262200000000002</v>
      </c>
      <c r="AF5273">
        <v>-3.8147688923624101</v>
      </c>
      <c r="AG5273">
        <v>-1.1099132012819899</v>
      </c>
      <c r="AH5273">
        <v>34.948594586099198</v>
      </c>
      <c r="AI5273">
        <v>91.808280456564503</v>
      </c>
      <c r="AJ5273">
        <v>96.229385166236597</v>
      </c>
      <c r="AK5273">
        <v>35.173692336177098</v>
      </c>
      <c r="AL5273">
        <v>79.558809119086106</v>
      </c>
      <c r="AM5273">
        <v>95.818299920638907</v>
      </c>
      <c r="AN5273">
        <v>0.99999997631162096</v>
      </c>
    </row>
    <row r="5274" spans="1:40" x14ac:dyDescent="0.25">
      <c r="A5274" t="str">
        <f>"20190304155522192"</f>
        <v>20190304155522192</v>
      </c>
      <c r="B5274" t="str">
        <f>"1551686122183539"</f>
        <v>1551686122183539</v>
      </c>
      <c r="C5274" t="s">
        <v>40</v>
      </c>
      <c r="D5274">
        <v>4.6955609999999997</v>
      </c>
      <c r="E5274">
        <v>0.49543989999999999</v>
      </c>
      <c r="F5274" t="s">
        <v>74</v>
      </c>
      <c r="G5274">
        <v>-197.40309999999999</v>
      </c>
      <c r="H5274" s="1">
        <v>-7.1964950000000001E-6</v>
      </c>
      <c r="I5274">
        <v>-59.822609999999997</v>
      </c>
      <c r="J5274">
        <v>-232.23310000000001</v>
      </c>
      <c r="K5274">
        <v>1.109918</v>
      </c>
      <c r="L5274">
        <v>-63.123719999999999</v>
      </c>
      <c r="M5274">
        <v>0.9998416</v>
      </c>
      <c r="N5274">
        <v>-1.078542E-2</v>
      </c>
      <c r="O5274">
        <v>-1.4159390000000001E-2</v>
      </c>
      <c r="P5274">
        <v>0.98149929999999996</v>
      </c>
      <c r="Q5274">
        <v>0.1711628</v>
      </c>
      <c r="R5274">
        <v>8.5804630000000007E-2</v>
      </c>
      <c r="S5274">
        <v>3.048019</v>
      </c>
      <c r="T5274">
        <v>-9.6684930000000002E-2</v>
      </c>
      <c r="U5274">
        <v>0.28735349999999998</v>
      </c>
      <c r="V5274">
        <v>-9.9622879999999997E-2</v>
      </c>
      <c r="W5274">
        <v>0.1817636</v>
      </c>
      <c r="X5274">
        <v>0.97828280000000001</v>
      </c>
      <c r="Y5274">
        <v>-0.1078723</v>
      </c>
      <c r="Z5274">
        <v>2.585665E-3</v>
      </c>
      <c r="AA5274">
        <v>0.99416139999999997</v>
      </c>
      <c r="AB5274">
        <v>31</v>
      </c>
      <c r="AC5274">
        <v>34.83</v>
      </c>
      <c r="AD5274">
        <v>-1.1099251964950001</v>
      </c>
      <c r="AE5274">
        <v>3.30111</v>
      </c>
      <c r="AF5274">
        <v>-3.7901646080981402</v>
      </c>
      <c r="AG5274">
        <v>-1.1099251964950001</v>
      </c>
      <c r="AH5274">
        <v>34.744794232875797</v>
      </c>
      <c r="AI5274">
        <v>91.818913020205898</v>
      </c>
      <c r="AJ5274">
        <v>96.225541298739103</v>
      </c>
      <c r="AK5274">
        <v>34.968528822116198</v>
      </c>
      <c r="AL5274">
        <v>79.5274983990697</v>
      </c>
      <c r="AM5274">
        <v>95.814639081302204</v>
      </c>
      <c r="AN5274">
        <v>0.99999998064014695</v>
      </c>
    </row>
    <row r="5275" spans="1:40" x14ac:dyDescent="0.25">
      <c r="A5275" t="str">
        <f>"20190304155522204"</f>
        <v>20190304155522204</v>
      </c>
      <c r="B5275" t="str">
        <f>"1551686122193299"</f>
        <v>1551686122193299</v>
      </c>
      <c r="C5275" t="s">
        <v>40</v>
      </c>
      <c r="D5275">
        <v>4.6574580000000001</v>
      </c>
      <c r="E5275">
        <v>0.49522529999999998</v>
      </c>
      <c r="F5275" t="s">
        <v>74</v>
      </c>
      <c r="G5275">
        <v>-198.24299999999999</v>
      </c>
      <c r="H5275" s="1">
        <v>-7.263008E-6</v>
      </c>
      <c r="I5275">
        <v>-59.902250000000002</v>
      </c>
      <c r="J5275">
        <v>-232.08529999999999</v>
      </c>
      <c r="K5275">
        <v>1.109931</v>
      </c>
      <c r="L5275">
        <v>-63.125889999999998</v>
      </c>
      <c r="M5275">
        <v>0.99983920000000004</v>
      </c>
      <c r="N5275">
        <v>-1.089996E-2</v>
      </c>
      <c r="O5275">
        <v>-1.4250830000000001E-2</v>
      </c>
      <c r="P5275">
        <v>0.98149350000000002</v>
      </c>
      <c r="Q5275">
        <v>0.1712456</v>
      </c>
      <c r="R5275">
        <v>8.5707149999999996E-2</v>
      </c>
      <c r="S5275">
        <v>3.0486599999999999</v>
      </c>
      <c r="T5275">
        <v>-9.9551799999999996E-2</v>
      </c>
      <c r="U5275">
        <v>0.28894039999999999</v>
      </c>
      <c r="V5275">
        <v>-9.9612210000000007E-2</v>
      </c>
      <c r="W5275">
        <v>0.18196010000000001</v>
      </c>
      <c r="X5275">
        <v>0.97824739999999999</v>
      </c>
      <c r="Y5275">
        <v>-0.1084519</v>
      </c>
      <c r="Z5275">
        <v>2.6682049999999999E-3</v>
      </c>
      <c r="AA5275">
        <v>0.99409809999999998</v>
      </c>
      <c r="AB5275">
        <v>31</v>
      </c>
      <c r="AC5275">
        <v>33.842299999999902</v>
      </c>
      <c r="AD5275">
        <v>-1.1099382630079999</v>
      </c>
      <c r="AE5275">
        <v>3.2236400000000001</v>
      </c>
      <c r="AF5275">
        <v>-3.7016760774217201</v>
      </c>
      <c r="AG5275">
        <v>-1.1099382630079999</v>
      </c>
      <c r="AH5275">
        <v>33.756935978674697</v>
      </c>
      <c r="AI5275">
        <v>91.872010687044806</v>
      </c>
      <c r="AJ5275">
        <v>96.257866427456193</v>
      </c>
      <c r="AK5275">
        <v>33.977420375864099</v>
      </c>
      <c r="AL5275">
        <v>79.516049295464697</v>
      </c>
      <c r="AM5275">
        <v>95.814229528782306</v>
      </c>
      <c r="AN5275">
        <v>1.00000002298992</v>
      </c>
    </row>
    <row r="5276" spans="1:40" x14ac:dyDescent="0.25">
      <c r="A5276" t="str">
        <f>"20190304155522214"</f>
        <v>20190304155522214</v>
      </c>
      <c r="B5276" t="str">
        <f>"1551686122203058"</f>
        <v>1551686122203058</v>
      </c>
      <c r="C5276" t="s">
        <v>40</v>
      </c>
      <c r="D5276">
        <v>4.6816380000000004</v>
      </c>
      <c r="E5276">
        <v>0.49507390000000001</v>
      </c>
      <c r="F5276" t="s">
        <v>74</v>
      </c>
      <c r="G5276">
        <v>-199.3415</v>
      </c>
      <c r="H5276" s="1">
        <v>-7.3504830000000003E-6</v>
      </c>
      <c r="I5276">
        <v>-60.00508</v>
      </c>
      <c r="J5276">
        <v>-231.92850000000001</v>
      </c>
      <c r="K5276">
        <v>1.1099460000000001</v>
      </c>
      <c r="L5276">
        <v>-63.128230000000002</v>
      </c>
      <c r="M5276">
        <v>0.99983639999999996</v>
      </c>
      <c r="N5276">
        <v>-1.102291E-2</v>
      </c>
      <c r="O5276">
        <v>-1.4352409999999999E-2</v>
      </c>
      <c r="P5276">
        <v>0.98144819999999999</v>
      </c>
      <c r="Q5276">
        <v>0.17155090000000001</v>
      </c>
      <c r="R5276">
        <v>8.5615720000000006E-2</v>
      </c>
      <c r="S5276">
        <v>3.04921</v>
      </c>
      <c r="T5276">
        <v>-0.1033611</v>
      </c>
      <c r="U5276">
        <v>0.29061890000000001</v>
      </c>
      <c r="V5276">
        <v>-9.9618219999999993E-2</v>
      </c>
      <c r="W5276">
        <v>0.18238579999999999</v>
      </c>
      <c r="X5276">
        <v>0.97816749999999997</v>
      </c>
      <c r="Y5276">
        <v>-0.10907219999999999</v>
      </c>
      <c r="Z5276">
        <v>2.7742399999999999E-3</v>
      </c>
      <c r="AA5276">
        <v>0.99402990000000002</v>
      </c>
      <c r="AB5276">
        <v>31</v>
      </c>
      <c r="AC5276">
        <v>32.587000000000003</v>
      </c>
      <c r="AD5276">
        <v>-1.1099533504829999</v>
      </c>
      <c r="AE5276">
        <v>3.1231499999999901</v>
      </c>
      <c r="AF5276">
        <v>-3.5864356039329199</v>
      </c>
      <c r="AG5276">
        <v>-1.1099533504829999</v>
      </c>
      <c r="AH5276">
        <v>32.5014517235143</v>
      </c>
      <c r="AI5276">
        <v>91.944149971213207</v>
      </c>
      <c r="AJ5276">
        <v>96.296938052752495</v>
      </c>
      <c r="AK5276">
        <v>32.717562270397501</v>
      </c>
      <c r="AL5276">
        <v>79.491243296682796</v>
      </c>
      <c r="AM5276">
        <v>95.815049620337106</v>
      </c>
      <c r="AN5276">
        <v>1.0000000139269201</v>
      </c>
    </row>
    <row r="5277" spans="1:40" x14ac:dyDescent="0.25">
      <c r="A5277" t="str">
        <f>"20190304155522225"</f>
        <v>20190304155522225</v>
      </c>
      <c r="B5277" t="str">
        <f>"1551686122222581"</f>
        <v>1551686122222581</v>
      </c>
      <c r="C5277" t="s">
        <v>40</v>
      </c>
      <c r="D5277">
        <v>4.6821849999999996</v>
      </c>
      <c r="E5277">
        <v>0.4947587</v>
      </c>
      <c r="F5277" t="s">
        <v>74</v>
      </c>
      <c r="G5277">
        <v>-200.0335</v>
      </c>
      <c r="H5277" s="1">
        <v>-5.743478E-6</v>
      </c>
      <c r="I5277">
        <v>-60.076819999999998</v>
      </c>
      <c r="J5277">
        <v>-231.78630000000001</v>
      </c>
      <c r="K5277">
        <v>1.1099600000000001</v>
      </c>
      <c r="L5277">
        <v>-63.1303699999999</v>
      </c>
      <c r="M5277">
        <v>0.99983359999999999</v>
      </c>
      <c r="N5277">
        <v>-1.1135870000000001E-2</v>
      </c>
      <c r="O5277">
        <v>-1.444523E-2</v>
      </c>
      <c r="P5277">
        <v>0.98146219999999995</v>
      </c>
      <c r="Q5277">
        <v>0.1715624</v>
      </c>
      <c r="R5277">
        <v>8.5429469999999993E-2</v>
      </c>
      <c r="S5277">
        <v>3.04982</v>
      </c>
      <c r="T5277">
        <v>-0.1061344</v>
      </c>
      <c r="U5277">
        <v>0.291778599999999</v>
      </c>
      <c r="V5277">
        <v>-9.9521680000000001E-2</v>
      </c>
      <c r="W5277">
        <v>0.18250859999999999</v>
      </c>
      <c r="X5277">
        <v>0.97815439999999998</v>
      </c>
      <c r="Y5277">
        <v>-0.1095155</v>
      </c>
      <c r="Z5277">
        <v>2.853127E-3</v>
      </c>
      <c r="AA5277">
        <v>0.993981</v>
      </c>
      <c r="AB5277">
        <v>31</v>
      </c>
      <c r="AC5277">
        <v>31.752800000000001</v>
      </c>
      <c r="AD5277">
        <v>-1.1099657434779999</v>
      </c>
      <c r="AE5277">
        <v>3.0535499999999902</v>
      </c>
      <c r="AF5277">
        <v>-3.5076893625967398</v>
      </c>
      <c r="AG5277">
        <v>-1.1099657434779999</v>
      </c>
      <c r="AH5277">
        <v>31.6670335002899</v>
      </c>
      <c r="AI5277">
        <v>91.995267549449395</v>
      </c>
      <c r="AJ5277">
        <v>96.320763709020099</v>
      </c>
      <c r="AK5277">
        <v>31.880039512595499</v>
      </c>
      <c r="AL5277">
        <v>79.484087033087903</v>
      </c>
      <c r="AM5277">
        <v>95.8095300911001</v>
      </c>
      <c r="AN5277">
        <v>0.99999999205167101</v>
      </c>
    </row>
    <row r="5278" spans="1:40" x14ac:dyDescent="0.25">
      <c r="A5278" t="str">
        <f>"20190304155522236"</f>
        <v>20190304155522236</v>
      </c>
      <c r="B5278" t="str">
        <f>"1551686122233315"</f>
        <v>1551686122233315</v>
      </c>
      <c r="C5278" t="s">
        <v>40</v>
      </c>
      <c r="D5278">
        <v>4.6791739999999997</v>
      </c>
      <c r="E5278">
        <v>0.494593</v>
      </c>
      <c r="F5278" t="s">
        <v>74</v>
      </c>
      <c r="G5278">
        <v>-201.78210000000001</v>
      </c>
      <c r="H5278" s="1">
        <v>-4.8266219999999998E-6</v>
      </c>
      <c r="I5278">
        <v>-60.239460000000001</v>
      </c>
      <c r="J5278">
        <v>-231.63759999999999</v>
      </c>
      <c r="K5278">
        <v>1.10997099999999</v>
      </c>
      <c r="L5278">
        <v>-63.132599999999996</v>
      </c>
      <c r="M5278">
        <v>0.99983080000000002</v>
      </c>
      <c r="N5278">
        <v>-1.1256560000000001E-2</v>
      </c>
      <c r="O5278">
        <v>-1.4544639999999999E-2</v>
      </c>
      <c r="P5278">
        <v>0.98147399999999996</v>
      </c>
      <c r="Q5278">
        <v>0.17166879999999901</v>
      </c>
      <c r="R5278">
        <v>8.5079769999999999E-2</v>
      </c>
      <c r="S5278">
        <v>3.0507970000000002</v>
      </c>
      <c r="T5278">
        <v>-0.1128601</v>
      </c>
      <c r="U5278">
        <v>0.29394530000000002</v>
      </c>
      <c r="V5278">
        <v>-9.9269350000000006E-2</v>
      </c>
      <c r="W5278">
        <v>0.18273320000000001</v>
      </c>
      <c r="X5278">
        <v>0.97813810000000001</v>
      </c>
      <c r="Y5278">
        <v>-0.1102721</v>
      </c>
      <c r="Z5278">
        <v>3.0300790000000002E-3</v>
      </c>
      <c r="AA5278">
        <v>0.99389680000000002</v>
      </c>
      <c r="AB5278">
        <v>31</v>
      </c>
      <c r="AC5278">
        <v>29.8554999999999</v>
      </c>
      <c r="AD5278">
        <v>-1.1099758266219999</v>
      </c>
      <c r="AE5278">
        <v>2.8931399999999901</v>
      </c>
      <c r="AF5278">
        <v>-3.32254918483491</v>
      </c>
      <c r="AG5278">
        <v>-1.1099758266219999</v>
      </c>
      <c r="AH5278">
        <v>29.769493876943699</v>
      </c>
      <c r="AI5278">
        <v>92.122158564460406</v>
      </c>
      <c r="AJ5278">
        <v>96.368380163157894</v>
      </c>
      <c r="AK5278">
        <v>29.974891911576901</v>
      </c>
      <c r="AL5278">
        <v>79.470998211888002</v>
      </c>
      <c r="AM5278">
        <v>95.794996730008904</v>
      </c>
      <c r="AN5278">
        <v>0.99999998445163596</v>
      </c>
    </row>
    <row r="5279" spans="1:40" x14ac:dyDescent="0.25">
      <c r="A5279" t="str">
        <f>"20190304155522246"</f>
        <v>20190304155522246</v>
      </c>
      <c r="B5279" t="str">
        <f>"1551686122243075"</f>
        <v>1551686122243075</v>
      </c>
      <c r="C5279" t="s">
        <v>40</v>
      </c>
      <c r="D5279">
        <v>4.7771210000000002</v>
      </c>
      <c r="E5279">
        <v>0.494593</v>
      </c>
      <c r="F5279" t="s">
        <v>74</v>
      </c>
      <c r="G5279">
        <v>-202.40260000000001</v>
      </c>
      <c r="H5279" s="1">
        <v>-4.4943490000000002E-6</v>
      </c>
      <c r="I5279">
        <v>-60.31223</v>
      </c>
      <c r="J5279">
        <v>-231.50020000000001</v>
      </c>
      <c r="K5279">
        <v>1.109985</v>
      </c>
      <c r="L5279">
        <v>-63.134700000000002</v>
      </c>
      <c r="M5279">
        <v>0.9998283</v>
      </c>
      <c r="N5279">
        <v>-1.136848E-2</v>
      </c>
      <c r="O5279">
        <v>-1.463685E-2</v>
      </c>
      <c r="P5279">
        <v>0.98147899999999999</v>
      </c>
      <c r="Q5279">
        <v>0.17170350000000001</v>
      </c>
      <c r="R5279">
        <v>8.4952910000000006E-2</v>
      </c>
      <c r="S5279">
        <v>3.0513759999999999</v>
      </c>
      <c r="T5279">
        <v>-0.11585239999999999</v>
      </c>
      <c r="U5279">
        <v>0.29437259999999998</v>
      </c>
      <c r="V5279">
        <v>-9.9232580000000001E-2</v>
      </c>
      <c r="W5279">
        <v>0.1828776</v>
      </c>
      <c r="X5279">
        <v>0.97811479999999995</v>
      </c>
      <c r="Y5279">
        <v>-0.1104783</v>
      </c>
      <c r="Z5279">
        <v>3.1097899999999999E-3</v>
      </c>
      <c r="AA5279">
        <v>0.99387369999999997</v>
      </c>
      <c r="AB5279">
        <v>31</v>
      </c>
      <c r="AC5279">
        <v>29.0976</v>
      </c>
      <c r="AD5279">
        <v>-1.1099894943490001</v>
      </c>
      <c r="AE5279">
        <v>2.8224699999999898</v>
      </c>
      <c r="AF5279">
        <v>-3.2434164810083401</v>
      </c>
      <c r="AG5279">
        <v>-1.1099894943490001</v>
      </c>
      <c r="AH5279">
        <v>29.0113439405681</v>
      </c>
      <c r="AI5279">
        <v>92.177545387510406</v>
      </c>
      <c r="AJ5279">
        <v>96.379076887683993</v>
      </c>
      <c r="AK5279">
        <v>29.2131803195883</v>
      </c>
      <c r="AL5279">
        <v>79.462582440535499</v>
      </c>
      <c r="AM5279">
        <v>95.793001882243502</v>
      </c>
      <c r="AN5279">
        <v>0.99999994174712603</v>
      </c>
    </row>
    <row r="5280" spans="1:40" x14ac:dyDescent="0.25">
      <c r="A5280" t="str">
        <f>"20190304155522256"</f>
        <v>20190304155522256</v>
      </c>
      <c r="B5280" t="str">
        <f>"1551686122252834"</f>
        <v>1551686122252834</v>
      </c>
      <c r="C5280" t="s">
        <v>40</v>
      </c>
      <c r="D5280">
        <v>4.6817599999999997</v>
      </c>
      <c r="E5280">
        <v>0.49440250000000002</v>
      </c>
      <c r="F5280" t="s">
        <v>74</v>
      </c>
      <c r="G5280">
        <v>-202.2355</v>
      </c>
      <c r="H5280" s="1">
        <v>-4.5792110000000002E-6</v>
      </c>
      <c r="I5280">
        <v>-60.313549999999999</v>
      </c>
      <c r="J5280">
        <v>-231.34450000000001</v>
      </c>
      <c r="K5280">
        <v>1.109998</v>
      </c>
      <c r="L5280">
        <v>-63.137079999999997</v>
      </c>
      <c r="M5280">
        <v>0.99982539999999998</v>
      </c>
      <c r="N5280">
        <v>-1.149566E-2</v>
      </c>
      <c r="O5280">
        <v>-1.474167E-2</v>
      </c>
      <c r="P5280">
        <v>0.98142700000000005</v>
      </c>
      <c r="Q5280">
        <v>0.17210549999999999</v>
      </c>
      <c r="R5280">
        <v>8.474139E-2</v>
      </c>
      <c r="S5280">
        <v>3.0513919999999999</v>
      </c>
      <c r="T5280">
        <v>-0.1157371</v>
      </c>
      <c r="U5280">
        <v>0.2941589</v>
      </c>
      <c r="V5280">
        <v>-9.91229E-2</v>
      </c>
      <c r="W5280">
        <v>0.1834035</v>
      </c>
      <c r="X5280">
        <v>0.97802750000000005</v>
      </c>
      <c r="Y5280">
        <v>-0.110513</v>
      </c>
      <c r="Z5280">
        <v>3.1159619999999999E-3</v>
      </c>
      <c r="AA5280">
        <v>0.99386980000000003</v>
      </c>
      <c r="AB5280">
        <v>31</v>
      </c>
      <c r="AC5280">
        <v>29.109000000000002</v>
      </c>
      <c r="AD5280">
        <v>-1.110002579211</v>
      </c>
      <c r="AE5280">
        <v>2.8235299999999999</v>
      </c>
      <c r="AF5280">
        <v>-3.2476882714114201</v>
      </c>
      <c r="AG5280">
        <v>-1.110002579211</v>
      </c>
      <c r="AH5280">
        <v>29.022402150708</v>
      </c>
      <c r="AI5280">
        <v>92.176716999457696</v>
      </c>
      <c r="AJ5280">
        <v>96.384995505308694</v>
      </c>
      <c r="AK5280">
        <v>29.224637062443399</v>
      </c>
      <c r="AL5280">
        <v>79.431932728769894</v>
      </c>
      <c r="AM5280">
        <v>95.787155473655503</v>
      </c>
      <c r="AN5280">
        <v>0.99999999193645495</v>
      </c>
    </row>
    <row r="5281" spans="1:40" x14ac:dyDescent="0.25">
      <c r="A5281" t="str">
        <f>"20190304155522269"</f>
        <v>20190304155522269</v>
      </c>
      <c r="B5281" t="str">
        <f>"1551686122262595"</f>
        <v>1551686122262595</v>
      </c>
      <c r="C5281" t="s">
        <v>40</v>
      </c>
      <c r="D5281">
        <v>4.6720509999999997</v>
      </c>
      <c r="E5281">
        <v>0.49426039999999999</v>
      </c>
      <c r="F5281" t="s">
        <v>74</v>
      </c>
      <c r="G5281">
        <v>-202.42939999999999</v>
      </c>
      <c r="H5281" s="1">
        <v>-4.4743569999999998E-6</v>
      </c>
      <c r="I5281">
        <v>-60.340789999999998</v>
      </c>
      <c r="J5281">
        <v>-231.18610000000001</v>
      </c>
      <c r="K5281">
        <v>1.1100179999999999</v>
      </c>
      <c r="L5281">
        <v>-63.139530000000001</v>
      </c>
      <c r="M5281">
        <v>0.99982230000000005</v>
      </c>
      <c r="N5281">
        <v>-1.162113E-2</v>
      </c>
      <c r="O5281">
        <v>-1.484767E-2</v>
      </c>
      <c r="P5281">
        <v>0.9814271</v>
      </c>
      <c r="Q5281">
        <v>0.17210149999999999</v>
      </c>
      <c r="R5281">
        <v>8.4746630000000003E-2</v>
      </c>
      <c r="S5281">
        <v>3.0518489999999998</v>
      </c>
      <c r="T5281">
        <v>-0.1171552</v>
      </c>
      <c r="U5281">
        <v>0.2951355</v>
      </c>
      <c r="V5281">
        <v>-9.9231180000000002E-2</v>
      </c>
      <c r="W5281">
        <v>0.18352160000000001</v>
      </c>
      <c r="X5281">
        <v>0.97799440000000004</v>
      </c>
      <c r="Y5281">
        <v>-0.11091620000000001</v>
      </c>
      <c r="Z5281">
        <v>3.1659710000000001E-3</v>
      </c>
      <c r="AA5281">
        <v>0.99382470000000001</v>
      </c>
      <c r="AB5281">
        <v>31</v>
      </c>
      <c r="AC5281">
        <v>28.756699999999999</v>
      </c>
      <c r="AD5281">
        <v>-1.110022474357</v>
      </c>
      <c r="AE5281">
        <v>2.79874</v>
      </c>
      <c r="AF5281">
        <v>-3.22067647214456</v>
      </c>
      <c r="AG5281">
        <v>-1.110022474357</v>
      </c>
      <c r="AH5281">
        <v>28.669655195938901</v>
      </c>
      <c r="AI5281">
        <v>92.2034062547595</v>
      </c>
      <c r="AJ5281">
        <v>96.409590551668103</v>
      </c>
      <c r="AK5281">
        <v>28.871335886755102</v>
      </c>
      <c r="AL5281">
        <v>79.425049621994106</v>
      </c>
      <c r="AM5281">
        <v>95.793629018971103</v>
      </c>
      <c r="AN5281">
        <v>1.0000000255910499</v>
      </c>
    </row>
    <row r="5282" spans="1:40" x14ac:dyDescent="0.25">
      <c r="A5282" t="str">
        <f>"20190304155522280"</f>
        <v>20190304155522280</v>
      </c>
      <c r="B5282" t="str">
        <f>"1551686122273330"</f>
        <v>1551686122273330</v>
      </c>
      <c r="C5282" t="s">
        <v>40</v>
      </c>
      <c r="D5282">
        <v>4.7156399999999996</v>
      </c>
      <c r="E5282">
        <v>0.494286</v>
      </c>
      <c r="F5282" t="s">
        <v>74</v>
      </c>
      <c r="G5282">
        <v>-202.9188</v>
      </c>
      <c r="H5282" s="1">
        <v>-4.2160839999999997E-6</v>
      </c>
      <c r="I5282">
        <v>-60.394019999999998</v>
      </c>
      <c r="J5282">
        <v>-231.0266</v>
      </c>
      <c r="K5282">
        <v>1.110033</v>
      </c>
      <c r="L5282">
        <v>-63.141969999999901</v>
      </c>
      <c r="M5282">
        <v>0.99981929999999997</v>
      </c>
      <c r="N5282">
        <v>-1.17452999999999E-2</v>
      </c>
      <c r="O5282">
        <v>-1.495404E-2</v>
      </c>
      <c r="P5282">
        <v>0.98141719999999999</v>
      </c>
      <c r="Q5282">
        <v>0.17222190000000001</v>
      </c>
      <c r="R5282">
        <v>8.4615919999999997E-2</v>
      </c>
      <c r="S5282">
        <v>3.0522</v>
      </c>
      <c r="T5282">
        <v>-0.119856</v>
      </c>
      <c r="U5282">
        <v>0.29644779999999998</v>
      </c>
      <c r="V5282">
        <v>-9.9204260000000002E-2</v>
      </c>
      <c r="W5282">
        <v>0.1837635</v>
      </c>
      <c r="X5282">
        <v>0.97795169999999998</v>
      </c>
      <c r="Y5282">
        <v>-0.1114289</v>
      </c>
      <c r="Z5282">
        <v>3.2486839999999999E-3</v>
      </c>
      <c r="AA5282">
        <v>0.99376710000000001</v>
      </c>
      <c r="AB5282">
        <v>31</v>
      </c>
      <c r="AC5282">
        <v>28.107800000000001</v>
      </c>
      <c r="AD5282">
        <v>-1.110037216084</v>
      </c>
      <c r="AE5282">
        <v>2.7479499999999901</v>
      </c>
      <c r="AF5282">
        <v>-3.1631102311147798</v>
      </c>
      <c r="AG5282">
        <v>-1.110037216084</v>
      </c>
      <c r="AH5282">
        <v>28.020273328215499</v>
      </c>
      <c r="AI5282">
        <v>92.254311464453593</v>
      </c>
      <c r="AJ5282">
        <v>96.440653126858393</v>
      </c>
      <c r="AK5282">
        <v>28.2200844496111</v>
      </c>
      <c r="AL5282">
        <v>79.4109499042045</v>
      </c>
      <c r="AM5282">
        <v>95.792319155549194</v>
      </c>
      <c r="AN5282">
        <v>1.0000000183336399</v>
      </c>
    </row>
    <row r="5283" spans="1:40" x14ac:dyDescent="0.25">
      <c r="A5283" t="str">
        <f>"20190304155522290"</f>
        <v>20190304155522290</v>
      </c>
      <c r="B5283" t="str">
        <f>"1551686122283091"</f>
        <v>1551686122283091</v>
      </c>
      <c r="C5283" t="s">
        <v>40</v>
      </c>
      <c r="D5283">
        <v>4.6131520000000004</v>
      </c>
      <c r="E5283">
        <v>0.4943651</v>
      </c>
      <c r="F5283" t="s">
        <v>74</v>
      </c>
      <c r="G5283">
        <v>-203.405</v>
      </c>
      <c r="H5283" s="1">
        <v>-3.972452E-6</v>
      </c>
      <c r="I5283">
        <v>-60.465000000000003</v>
      </c>
      <c r="J5283">
        <v>-230.88409999999999</v>
      </c>
      <c r="K5283">
        <v>1.1100399999999999</v>
      </c>
      <c r="L5283">
        <v>-63.144199999999998</v>
      </c>
      <c r="M5283">
        <v>0.9998167</v>
      </c>
      <c r="N5283">
        <v>-1.184876E-2</v>
      </c>
      <c r="O5283">
        <v>-1.504777E-2</v>
      </c>
      <c r="P5283">
        <v>0.98144310000000001</v>
      </c>
      <c r="Q5283">
        <v>0.17227000000000001</v>
      </c>
      <c r="R5283">
        <v>8.4217520000000004E-2</v>
      </c>
      <c r="S5283">
        <v>3.052826</v>
      </c>
      <c r="T5283">
        <v>-0.122685</v>
      </c>
      <c r="U5283">
        <v>0.29586790000000002</v>
      </c>
      <c r="V5283">
        <v>-9.8898310000000003E-2</v>
      </c>
      <c r="W5283">
        <v>0.18391350000000001</v>
      </c>
      <c r="X5283">
        <v>0.9779544</v>
      </c>
      <c r="Y5283">
        <v>-0.1113103</v>
      </c>
      <c r="Z5283">
        <v>3.3172219999999999E-3</v>
      </c>
      <c r="AA5283">
        <v>0.99378010000000006</v>
      </c>
      <c r="AB5283">
        <v>31</v>
      </c>
      <c r="AC5283">
        <v>27.479099999999899</v>
      </c>
      <c r="AD5283">
        <v>-1.1100439724519999</v>
      </c>
      <c r="AE5283">
        <v>2.67919999999999</v>
      </c>
      <c r="AF5283">
        <v>-3.0874340292273001</v>
      </c>
      <c r="AG5283">
        <v>-1.1100439724519999</v>
      </c>
      <c r="AH5283">
        <v>27.3913922224644</v>
      </c>
      <c r="AI5283">
        <v>92.306071024698497</v>
      </c>
      <c r="AJ5283">
        <v>96.430978451424494</v>
      </c>
      <c r="AK5283">
        <v>27.587185691739101</v>
      </c>
      <c r="AL5283">
        <v>79.402205570547906</v>
      </c>
      <c r="AM5283">
        <v>95.774560479834093</v>
      </c>
      <c r="AN5283">
        <v>0.99999992984122998</v>
      </c>
    </row>
    <row r="5284" spans="1:40" x14ac:dyDescent="0.25">
      <c r="A5284" t="str">
        <f>"20190304155522301"</f>
        <v>20190304155522301</v>
      </c>
      <c r="B5284" t="str">
        <f>"1551686122292851"</f>
        <v>1551686122292851</v>
      </c>
      <c r="C5284" t="s">
        <v>40</v>
      </c>
      <c r="D5284">
        <v>4.862482</v>
      </c>
      <c r="E5284">
        <v>0.4943651</v>
      </c>
      <c r="F5284" t="s">
        <v>74</v>
      </c>
      <c r="G5284">
        <v>-203.3614</v>
      </c>
      <c r="H5284" s="1">
        <v>-3.9964259999999998E-6</v>
      </c>
      <c r="I5284">
        <v>-60.494919999999901</v>
      </c>
      <c r="J5284">
        <v>-230.73410000000001</v>
      </c>
      <c r="K5284">
        <v>1.110044</v>
      </c>
      <c r="L5284">
        <v>-63.146549999999998</v>
      </c>
      <c r="M5284">
        <v>0.99981399999999998</v>
      </c>
      <c r="N5284">
        <v>-1.195655E-2</v>
      </c>
      <c r="O5284">
        <v>-1.514594E-2</v>
      </c>
      <c r="P5284">
        <v>0.98143769999999997</v>
      </c>
      <c r="Q5284">
        <v>0.17227290000000001</v>
      </c>
      <c r="R5284">
        <v>8.4277099999999994E-2</v>
      </c>
      <c r="S5284">
        <v>3.0531009999999998</v>
      </c>
      <c r="T5284">
        <v>-0.1231376</v>
      </c>
      <c r="U5284">
        <v>0.29388429999999999</v>
      </c>
      <c r="V5284">
        <v>-9.9053890000000006E-2</v>
      </c>
      <c r="W5284">
        <v>0.18402180000000001</v>
      </c>
      <c r="X5284">
        <v>0.97791839999999997</v>
      </c>
      <c r="Y5284">
        <v>-0.1107592</v>
      </c>
      <c r="Z5284">
        <v>3.3202660000000001E-3</v>
      </c>
      <c r="AA5284">
        <v>0.99384170000000005</v>
      </c>
      <c r="AB5284">
        <v>31</v>
      </c>
      <c r="AC5284">
        <v>27.372699999999998</v>
      </c>
      <c r="AD5284">
        <v>-1.1100479964259999</v>
      </c>
      <c r="AE5284">
        <v>2.6516299999999999</v>
      </c>
      <c r="AF5284">
        <v>-3.0609535204965002</v>
      </c>
      <c r="AG5284">
        <v>-1.1100479964259999</v>
      </c>
      <c r="AH5284">
        <v>27.284941031648501</v>
      </c>
      <c r="AI5284">
        <v>92.315202991797193</v>
      </c>
      <c r="AJ5284">
        <v>96.400947765477397</v>
      </c>
      <c r="AK5284">
        <v>27.478530712349698</v>
      </c>
      <c r="AL5284">
        <v>79.395893942520402</v>
      </c>
      <c r="AM5284">
        <v>95.783794552565993</v>
      </c>
      <c r="AN5284">
        <v>1.00000004652896</v>
      </c>
    </row>
    <row r="5285" spans="1:40" x14ac:dyDescent="0.25">
      <c r="A5285" t="str">
        <f>"20190304155522313"</f>
        <v>20190304155522313</v>
      </c>
      <c r="B5285" t="str">
        <f>"1551686122302611"</f>
        <v>1551686122302611</v>
      </c>
      <c r="C5285" t="s">
        <v>40</v>
      </c>
      <c r="D5285">
        <v>4.2570649999999999</v>
      </c>
      <c r="E5285">
        <v>0.49700660000000002</v>
      </c>
      <c r="F5285" t="s">
        <v>74</v>
      </c>
      <c r="G5285">
        <v>-203.21010000000001</v>
      </c>
      <c r="H5285" s="1">
        <v>-4.073574E-6</v>
      </c>
      <c r="I5285">
        <v>-60.49606</v>
      </c>
      <c r="J5285">
        <v>-230.5692</v>
      </c>
      <c r="K5285">
        <v>1.110053</v>
      </c>
      <c r="L5285">
        <v>-63.149169999999998</v>
      </c>
      <c r="M5285">
        <v>0.99981109999999895</v>
      </c>
      <c r="N5285">
        <v>-1.206516E-2</v>
      </c>
      <c r="O5285">
        <v>-1.525224E-2</v>
      </c>
      <c r="P5285">
        <v>0.98145090000000001</v>
      </c>
      <c r="Q5285">
        <v>0.17227609999999999</v>
      </c>
      <c r="R5285">
        <v>8.4115540000000003E-2</v>
      </c>
      <c r="S5285">
        <v>3.0531160000000002</v>
      </c>
      <c r="T5285">
        <v>-0.12313259999999999</v>
      </c>
      <c r="U5285">
        <v>0.2940063</v>
      </c>
      <c r="V5285">
        <v>-9.8995860000000005E-2</v>
      </c>
      <c r="W5285">
        <v>0.18413099999999999</v>
      </c>
      <c r="X5285">
        <v>0.97790370000000004</v>
      </c>
      <c r="Y5285">
        <v>-0.1109034</v>
      </c>
      <c r="Z5285">
        <v>3.3312960000000001E-3</v>
      </c>
      <c r="AA5285">
        <v>0.99382559999999998</v>
      </c>
      <c r="AB5285">
        <v>31</v>
      </c>
      <c r="AC5285">
        <v>27.359099999999899</v>
      </c>
      <c r="AD5285">
        <v>-1.1100570735740001</v>
      </c>
      <c r="AE5285">
        <v>2.6531099999999901</v>
      </c>
      <c r="AF5285">
        <v>-3.0651203397584901</v>
      </c>
      <c r="AG5285">
        <v>-1.1100570735740001</v>
      </c>
      <c r="AH5285">
        <v>27.2709725739787</v>
      </c>
      <c r="AI5285">
        <v>92.316352542112995</v>
      </c>
      <c r="AJ5285">
        <v>96.412844501271394</v>
      </c>
      <c r="AK5285">
        <v>27.465125787705599</v>
      </c>
      <c r="AL5285">
        <v>79.389528249399305</v>
      </c>
      <c r="AM5285">
        <v>95.780515414470599</v>
      </c>
      <c r="AN5285">
        <v>1.0000000259659101</v>
      </c>
    </row>
    <row r="5286" spans="1:40" x14ac:dyDescent="0.25">
      <c r="A5286" t="str">
        <f>"20190304155522326"</f>
        <v>20190304155522326</v>
      </c>
      <c r="B5286" t="str">
        <f>"1551686122313347"</f>
        <v>1551686122313347</v>
      </c>
      <c r="C5286" t="s">
        <v>40</v>
      </c>
      <c r="D5286">
        <v>4.8708470000000004</v>
      </c>
      <c r="E5286">
        <v>0.49700660000000002</v>
      </c>
      <c r="F5286" t="s">
        <v>74</v>
      </c>
      <c r="G5286">
        <v>-202.32910000000001</v>
      </c>
      <c r="H5286" s="1">
        <v>-4.5303230000000001E-6</v>
      </c>
      <c r="I5286">
        <v>-60.630929999999999</v>
      </c>
      <c r="J5286">
        <v>-230.41290000000001</v>
      </c>
      <c r="K5286">
        <v>1.110061</v>
      </c>
      <c r="L5286">
        <v>-63.15164</v>
      </c>
      <c r="M5286">
        <v>0.99980809999999998</v>
      </c>
      <c r="N5286">
        <v>-1.216529E-2</v>
      </c>
      <c r="O5286">
        <v>-1.5352650000000001E-2</v>
      </c>
      <c r="P5286">
        <v>0.98148679999999999</v>
      </c>
      <c r="Q5286">
        <v>0.17228250000000001</v>
      </c>
      <c r="R5286">
        <v>8.3681179999999994E-2</v>
      </c>
      <c r="S5286">
        <v>3.0544280000000001</v>
      </c>
      <c r="T5286">
        <v>-0.1200628</v>
      </c>
      <c r="U5286">
        <v>0.27236939999999998</v>
      </c>
      <c r="V5286">
        <v>-9.8660010000000006E-2</v>
      </c>
      <c r="W5286">
        <v>0.18423600000000001</v>
      </c>
      <c r="X5286">
        <v>0.97791790000000001</v>
      </c>
      <c r="Y5286">
        <v>-0.103992</v>
      </c>
      <c r="Z5286">
        <v>3.0889659999999998E-3</v>
      </c>
      <c r="AA5286">
        <v>0.99457340000000005</v>
      </c>
      <c r="AB5286">
        <v>31</v>
      </c>
      <c r="AC5286">
        <v>28.0838</v>
      </c>
      <c r="AD5286">
        <v>-1.110065530323</v>
      </c>
      <c r="AE5286">
        <v>2.52070999999999</v>
      </c>
      <c r="AF5286">
        <v>-2.9470379592752498</v>
      </c>
      <c r="AG5286">
        <v>-1.110065530323</v>
      </c>
      <c r="AH5286">
        <v>27.998392728206898</v>
      </c>
      <c r="AI5286">
        <v>92.257982978400094</v>
      </c>
      <c r="AJ5286">
        <v>96.008679541136701</v>
      </c>
      <c r="AK5286">
        <v>28.1749405248339</v>
      </c>
      <c r="AL5286">
        <v>79.383407845502603</v>
      </c>
      <c r="AM5286">
        <v>95.760953675698303</v>
      </c>
      <c r="AN5286">
        <v>1.0000000602048</v>
      </c>
    </row>
    <row r="5287" spans="1:40" x14ac:dyDescent="0.25">
      <c r="A5287" t="str">
        <f>"20190304155522338"</f>
        <v>20190304155522338</v>
      </c>
      <c r="B5287" t="str">
        <f>"1551686122332867"</f>
        <v>1551686122332867</v>
      </c>
      <c r="C5287" t="s">
        <v>40</v>
      </c>
      <c r="D5287">
        <v>4.8097279999999998</v>
      </c>
      <c r="E5287">
        <v>0.57049620000000001</v>
      </c>
      <c r="F5287" t="s">
        <v>74</v>
      </c>
      <c r="G5287">
        <v>-202.16499999999999</v>
      </c>
      <c r="H5287" s="1">
        <v>-4.6148299999999998E-6</v>
      </c>
      <c r="I5287">
        <v>-60.646680000000003</v>
      </c>
      <c r="J5287">
        <v>-230.2261</v>
      </c>
      <c r="K5287">
        <v>1.110069</v>
      </c>
      <c r="L5287">
        <v>-63.154629999999997</v>
      </c>
      <c r="M5287">
        <v>0.99980500000000005</v>
      </c>
      <c r="N5287">
        <v>-1.227724E-2</v>
      </c>
      <c r="O5287">
        <v>-1.5472090000000001E-2</v>
      </c>
      <c r="P5287">
        <v>0.98144640000000005</v>
      </c>
      <c r="Q5287">
        <v>0.17255129999999999</v>
      </c>
      <c r="R5287">
        <v>8.360165E-2</v>
      </c>
      <c r="S5287">
        <v>3.0545960000000001</v>
      </c>
      <c r="T5287">
        <v>-0.1200372</v>
      </c>
      <c r="U5287">
        <v>0.270874</v>
      </c>
      <c r="V5287">
        <v>-9.8696729999999996E-2</v>
      </c>
      <c r="W5287">
        <v>0.18461369999999999</v>
      </c>
      <c r="X5287">
        <v>0.97784289999999996</v>
      </c>
      <c r="Y5287">
        <v>-0.1036231</v>
      </c>
      <c r="Z5287">
        <v>3.086138E-3</v>
      </c>
      <c r="AA5287">
        <v>0.99461189999999999</v>
      </c>
      <c r="AB5287">
        <v>31</v>
      </c>
      <c r="AC5287">
        <v>28.0611</v>
      </c>
      <c r="AD5287">
        <v>-1.1100736148300001</v>
      </c>
      <c r="AE5287">
        <v>2.5079500000000001</v>
      </c>
      <c r="AF5287">
        <v>-2.9372860959688998</v>
      </c>
      <c r="AG5287">
        <v>-1.1100736148300001</v>
      </c>
      <c r="AH5287">
        <v>27.975501737194101</v>
      </c>
      <c r="AI5287">
        <v>92.259906709649698</v>
      </c>
      <c r="AJ5287">
        <v>95.993806132211404</v>
      </c>
      <c r="AK5287">
        <v>28.151174229286902</v>
      </c>
      <c r="AL5287">
        <v>79.361388893496994</v>
      </c>
      <c r="AM5287">
        <v>95.763522448735003</v>
      </c>
      <c r="AN5287">
        <v>0.99999999991039601</v>
      </c>
    </row>
    <row r="5288" spans="1:40" x14ac:dyDescent="0.25">
      <c r="A5288" t="str">
        <f>"20190304155522351"</f>
        <v>20190304155522351</v>
      </c>
      <c r="B5288" t="str">
        <f>"1551686122342627"</f>
        <v>1551686122342627</v>
      </c>
      <c r="C5288" t="s">
        <v>40</v>
      </c>
      <c r="D5288">
        <v>4.7955249999999996</v>
      </c>
      <c r="E5288">
        <v>0.57281910000000003</v>
      </c>
      <c r="F5288" t="s">
        <v>74</v>
      </c>
      <c r="G5288">
        <v>-198.8843</v>
      </c>
      <c r="H5288" s="1">
        <v>-6.5061180000000003E-6</v>
      </c>
      <c r="I5288">
        <v>-66.322360000000003</v>
      </c>
      <c r="J5288">
        <v>-230.0548</v>
      </c>
      <c r="K5288">
        <v>1.1100760000000001</v>
      </c>
      <c r="L5288">
        <v>-63.157409999999999</v>
      </c>
      <c r="M5288">
        <v>0.99980210000000003</v>
      </c>
      <c r="N5288">
        <v>-1.2372279999999999E-2</v>
      </c>
      <c r="O5288">
        <v>-1.55814E-2</v>
      </c>
      <c r="P5288">
        <v>0.98143449999999999</v>
      </c>
      <c r="Q5288">
        <v>0.17275960000000001</v>
      </c>
      <c r="R5288">
        <v>8.3310399999999896E-2</v>
      </c>
      <c r="S5288">
        <v>3.1027680000000002</v>
      </c>
      <c r="T5288">
        <v>-0.1098952</v>
      </c>
      <c r="U5288">
        <v>-0.31359860000000001</v>
      </c>
      <c r="V5288">
        <v>-9.8512479999999999E-2</v>
      </c>
      <c r="W5288">
        <v>0.18491460000000001</v>
      </c>
      <c r="X5288">
        <v>0.97780469999999997</v>
      </c>
      <c r="Y5288">
        <v>8.4975239999999994E-2</v>
      </c>
      <c r="Z5288">
        <v>-1.66993E-3</v>
      </c>
      <c r="AA5288">
        <v>0.99638159999999998</v>
      </c>
      <c r="AB5288">
        <v>31</v>
      </c>
      <c r="AC5288">
        <v>31.170500000000001</v>
      </c>
      <c r="AD5288">
        <v>-1.110082506118</v>
      </c>
      <c r="AE5288">
        <v>-3.1649500000000002</v>
      </c>
      <c r="AF5288">
        <v>2.67548983751113</v>
      </c>
      <c r="AG5288">
        <v>-1.110082506118</v>
      </c>
      <c r="AH5288">
        <v>31.176895285838</v>
      </c>
      <c r="AI5288">
        <v>92.031746990300803</v>
      </c>
      <c r="AJ5288">
        <v>85.0950978704264</v>
      </c>
      <c r="AK5288">
        <v>31.311169392169301</v>
      </c>
      <c r="AL5288">
        <v>79.343847371192297</v>
      </c>
      <c r="AM5288">
        <v>95.7530584068747</v>
      </c>
      <c r="AN5288">
        <v>1.00000007467549</v>
      </c>
    </row>
    <row r="5289" spans="1:40" x14ac:dyDescent="0.25">
      <c r="A5289" t="str">
        <f>"20190304155522370"</f>
        <v>20190304155522370</v>
      </c>
      <c r="B5289" t="str">
        <f>"1551686122363123"</f>
        <v>1551686122363123</v>
      </c>
      <c r="C5289" t="s">
        <v>40</v>
      </c>
      <c r="D5289">
        <v>4.8512339999999998</v>
      </c>
      <c r="E5289">
        <v>0.57346339999999996</v>
      </c>
      <c r="F5289" t="s">
        <v>74</v>
      </c>
      <c r="G5289">
        <v>-199.93510000000001</v>
      </c>
      <c r="H5289" s="1">
        <v>-6.0821130000000003E-6</v>
      </c>
      <c r="I5289">
        <v>-66.390479999999997</v>
      </c>
      <c r="J5289">
        <v>-229.79429999999999</v>
      </c>
      <c r="K5289">
        <v>1.110088</v>
      </c>
      <c r="L5289">
        <v>-63.161650000000002</v>
      </c>
      <c r="M5289">
        <v>0.99979790000000002</v>
      </c>
      <c r="N5289">
        <v>-1.2506750000000001E-2</v>
      </c>
      <c r="O5289">
        <v>-1.5747839999999999E-2</v>
      </c>
      <c r="P5289">
        <v>0.98143849999999999</v>
      </c>
      <c r="Q5289">
        <v>0.17297889999999999</v>
      </c>
      <c r="R5289">
        <v>8.2808350000000003E-2</v>
      </c>
      <c r="S5289">
        <v>3.105194</v>
      </c>
      <c r="T5289">
        <v>-0.1144438</v>
      </c>
      <c r="U5289">
        <v>-0.33331300000000003</v>
      </c>
      <c r="V5289">
        <v>-9.8172969999999998E-2</v>
      </c>
      <c r="W5289">
        <v>0.1852656</v>
      </c>
      <c r="X5289">
        <v>0.97777239999999999</v>
      </c>
      <c r="Y5289">
        <v>9.0977649999999993E-2</v>
      </c>
      <c r="Z5289">
        <v>-1.859982E-3</v>
      </c>
      <c r="AA5289">
        <v>0.99585119999999905</v>
      </c>
      <c r="AB5289">
        <v>31</v>
      </c>
      <c r="AC5289">
        <v>29.859199999999898</v>
      </c>
      <c r="AD5289">
        <v>-1.1100940821130001</v>
      </c>
      <c r="AE5289">
        <v>-3.2288299999999999</v>
      </c>
      <c r="AF5289">
        <v>2.7544118440038998</v>
      </c>
      <c r="AG5289">
        <v>-1.1100940821130001</v>
      </c>
      <c r="AH5289">
        <v>29.865545483349401</v>
      </c>
      <c r="AI5289">
        <v>92.1197007835204</v>
      </c>
      <c r="AJ5289">
        <v>84.730684195635703</v>
      </c>
      <c r="AK5289">
        <v>30.012828931900799</v>
      </c>
      <c r="AL5289">
        <v>79.323382914561904</v>
      </c>
      <c r="AM5289">
        <v>95.733551718053903</v>
      </c>
      <c r="AN5289">
        <v>1.0000000703918599</v>
      </c>
    </row>
    <row r="5290" spans="1:40" x14ac:dyDescent="0.25">
      <c r="A5290" t="str">
        <f>"20190304155522382"</f>
        <v>20190304155522382</v>
      </c>
      <c r="B5290" t="str">
        <f>"1551686122372883"</f>
        <v>1551686122372883</v>
      </c>
      <c r="C5290" t="s">
        <v>40</v>
      </c>
      <c r="D5290">
        <v>4.8081160000000001</v>
      </c>
      <c r="E5290">
        <v>0.5732313</v>
      </c>
      <c r="F5290" t="s">
        <v>74</v>
      </c>
      <c r="G5290">
        <v>-201.9676</v>
      </c>
      <c r="H5290" s="1">
        <v>-5.0382189999999998E-6</v>
      </c>
      <c r="I5290">
        <v>-66.208579999999998</v>
      </c>
      <c r="J5290">
        <v>-229.6223</v>
      </c>
      <c r="K5290">
        <v>1.110093</v>
      </c>
      <c r="L5290">
        <v>-63.164459999999998</v>
      </c>
      <c r="M5290">
        <v>0.99979510000000005</v>
      </c>
      <c r="N5290">
        <v>-1.258949E-2</v>
      </c>
      <c r="O5290">
        <v>-1.585779E-2</v>
      </c>
      <c r="P5290">
        <v>0.98143550000000002</v>
      </c>
      <c r="Q5290">
        <v>0.17317299999999999</v>
      </c>
      <c r="R5290">
        <v>8.2436110000000007E-2</v>
      </c>
      <c r="S5290">
        <v>3.1073149999999998</v>
      </c>
      <c r="T5290">
        <v>-0.1239604</v>
      </c>
      <c r="U5290">
        <v>-0.3402405</v>
      </c>
      <c r="V5290">
        <v>-9.7908590000000004E-2</v>
      </c>
      <c r="W5290">
        <v>0.18554010000000001</v>
      </c>
      <c r="X5290">
        <v>0.97774680000000003</v>
      </c>
      <c r="Y5290">
        <v>9.2977030000000002E-2</v>
      </c>
      <c r="Z5290">
        <v>-2.0043769999999999E-3</v>
      </c>
      <c r="AA5290">
        <v>0.9956663</v>
      </c>
      <c r="AB5290">
        <v>31</v>
      </c>
      <c r="AC5290">
        <v>27.654699999999899</v>
      </c>
      <c r="AD5290">
        <v>-1.110098038219</v>
      </c>
      <c r="AE5290">
        <v>-3.0441199999999902</v>
      </c>
      <c r="AF5290">
        <v>2.6010190980939898</v>
      </c>
      <c r="AG5290">
        <v>-1.110098038219</v>
      </c>
      <c r="AH5290">
        <v>27.655470276917502</v>
      </c>
      <c r="AI5290">
        <v>92.288545395850804</v>
      </c>
      <c r="AJ5290">
        <v>84.627091032694807</v>
      </c>
      <c r="AK5290">
        <v>27.799688024159099</v>
      </c>
      <c r="AL5290">
        <v>79.307377112991901</v>
      </c>
      <c r="AM5290">
        <v>95.718362438971496</v>
      </c>
      <c r="AN5290">
        <v>1.0000000128070099</v>
      </c>
    </row>
    <row r="5291" spans="1:40" x14ac:dyDescent="0.25">
      <c r="A5291" t="str">
        <f>"20190304155522392"</f>
        <v>20190304155522392</v>
      </c>
      <c r="B5291" t="str">
        <f>"1551686122382643"</f>
        <v>1551686122382643</v>
      </c>
      <c r="C5291" t="s">
        <v>40</v>
      </c>
      <c r="D5291">
        <v>4.8585050000000001</v>
      </c>
      <c r="E5291">
        <v>0.57300490000000004</v>
      </c>
      <c r="F5291" t="s">
        <v>74</v>
      </c>
      <c r="G5291">
        <v>-202.85990000000001</v>
      </c>
      <c r="H5291" s="1">
        <v>-4.6992520000000004E-6</v>
      </c>
      <c r="I5291">
        <v>-66.089429999999993</v>
      </c>
      <c r="J5291">
        <v>-229.4725</v>
      </c>
      <c r="K5291">
        <v>1.110098</v>
      </c>
      <c r="L5291">
        <v>-63.166930000000001</v>
      </c>
      <c r="M5291">
        <v>0.99979280000000004</v>
      </c>
      <c r="N5291">
        <v>-1.265427E-2</v>
      </c>
      <c r="O5291">
        <v>-1.5954289999999999E-2</v>
      </c>
      <c r="P5291">
        <v>0.98141789999999995</v>
      </c>
      <c r="Q5291">
        <v>0.17324829999999999</v>
      </c>
      <c r="R5291">
        <v>8.2488259999999994E-2</v>
      </c>
      <c r="S5291">
        <v>3.108047</v>
      </c>
      <c r="T5291">
        <v>-0.12892100000000001</v>
      </c>
      <c r="U5291">
        <v>-0.33969120000000003</v>
      </c>
      <c r="V5291">
        <v>-9.8055160000000002E-2</v>
      </c>
      <c r="W5291">
        <v>0.18567839999999999</v>
      </c>
      <c r="X5291">
        <v>0.97770579999999996</v>
      </c>
      <c r="Y5291">
        <v>9.2675690000000005E-2</v>
      </c>
      <c r="Z5291">
        <v>-2.0459419999999998E-3</v>
      </c>
      <c r="AA5291">
        <v>0.99569419999999997</v>
      </c>
      <c r="AB5291">
        <v>31</v>
      </c>
      <c r="AC5291">
        <v>26.612599999999901</v>
      </c>
      <c r="AD5291">
        <v>-1.110102699252</v>
      </c>
      <c r="AE5291">
        <v>-2.9224999999999901</v>
      </c>
      <c r="AF5291">
        <v>2.4932223636411002</v>
      </c>
      <c r="AG5291">
        <v>-1.110102699252</v>
      </c>
      <c r="AH5291">
        <v>26.610092311868101</v>
      </c>
      <c r="AI5291">
        <v>92.378438364278395</v>
      </c>
      <c r="AJ5291">
        <v>84.647320632518898</v>
      </c>
      <c r="AK5291">
        <v>26.749682215001901</v>
      </c>
      <c r="AL5291">
        <v>79.299312377175596</v>
      </c>
      <c r="AM5291">
        <v>95.727104576121405</v>
      </c>
      <c r="AN5291">
        <v>0.99999995699141098</v>
      </c>
    </row>
    <row r="5292" spans="1:40" x14ac:dyDescent="0.25">
      <c r="A5292" t="str">
        <f>"20190304155522403"</f>
        <v>20190304155522403</v>
      </c>
      <c r="B5292" t="str">
        <f>"1551686122393379"</f>
        <v>1551686122393379</v>
      </c>
      <c r="C5292" t="s">
        <v>40</v>
      </c>
      <c r="D5292">
        <v>4.8068799999999996</v>
      </c>
      <c r="E5292">
        <v>0.57297679999999995</v>
      </c>
      <c r="F5292" t="s">
        <v>74</v>
      </c>
      <c r="G5292">
        <v>-203.41309999999999</v>
      </c>
      <c r="H5292" s="1">
        <v>-4.4942939999999997E-6</v>
      </c>
      <c r="I5292">
        <v>-65.996669999999995</v>
      </c>
      <c r="J5292">
        <v>-229.33789999999999</v>
      </c>
      <c r="K5292">
        <v>1.110104</v>
      </c>
      <c r="L5292">
        <v>-63.16919</v>
      </c>
      <c r="M5292">
        <v>0.99979050000000003</v>
      </c>
      <c r="N5292">
        <v>-1.2711399999999999E-2</v>
      </c>
      <c r="O5292">
        <v>-1.6040599999999999E-2</v>
      </c>
      <c r="P5292">
        <v>0.98137370000000002</v>
      </c>
      <c r="Q5292">
        <v>0.17352400000000001</v>
      </c>
      <c r="R5292">
        <v>8.243354E-2</v>
      </c>
      <c r="S5292">
        <v>3.1085660000000002</v>
      </c>
      <c r="T5292">
        <v>-0.13242200000000001</v>
      </c>
      <c r="U5292">
        <v>-0.33755489999999999</v>
      </c>
      <c r="V5292">
        <v>-9.8084329999999997E-2</v>
      </c>
      <c r="W5292">
        <v>0.18600910000000001</v>
      </c>
      <c r="X5292">
        <v>0.97763999999999995</v>
      </c>
      <c r="Y5292">
        <v>9.1891879999999995E-2</v>
      </c>
      <c r="Z5292">
        <v>-2.0592140000000002E-3</v>
      </c>
      <c r="AA5292">
        <v>0.99576690000000001</v>
      </c>
      <c r="AB5292">
        <v>31</v>
      </c>
      <c r="AC5292">
        <v>25.924800000000001</v>
      </c>
      <c r="AD5292">
        <v>-1.110108494294</v>
      </c>
      <c r="AE5292">
        <v>-2.8274799999999898</v>
      </c>
      <c r="AF5292">
        <v>2.4068718827425801</v>
      </c>
      <c r="AG5292">
        <v>-1.110108494294</v>
      </c>
      <c r="AH5292">
        <v>25.919854689913599</v>
      </c>
      <c r="AI5292">
        <v>92.441901126170805</v>
      </c>
      <c r="AJ5292">
        <v>84.694828518408798</v>
      </c>
      <c r="AK5292">
        <v>26.0550233213343</v>
      </c>
      <c r="AL5292">
        <v>79.280028601053701</v>
      </c>
      <c r="AM5292">
        <v>95.729179988006706</v>
      </c>
      <c r="AN5292">
        <v>0.99999994533717695</v>
      </c>
    </row>
    <row r="5293" spans="1:40" x14ac:dyDescent="0.25">
      <c r="A5293" t="str">
        <f>"20190304155522414"</f>
        <v>20190304155522414</v>
      </c>
      <c r="B5293" t="str">
        <f>"1551686122403139"</f>
        <v>1551686122403139</v>
      </c>
      <c r="C5293" t="s">
        <v>40</v>
      </c>
      <c r="D5293">
        <v>4.8145559999999996</v>
      </c>
      <c r="E5293">
        <v>0.57299679999999997</v>
      </c>
      <c r="F5293" t="s">
        <v>74</v>
      </c>
      <c r="G5293">
        <v>-203.34450000000001</v>
      </c>
      <c r="H5293" s="1">
        <v>-4.5174059999999999E-6</v>
      </c>
      <c r="I5293">
        <v>-65.991590000000002</v>
      </c>
      <c r="J5293">
        <v>-229.1748</v>
      </c>
      <c r="K5293">
        <v>1.110109</v>
      </c>
      <c r="L5293">
        <v>-63.171939999999999</v>
      </c>
      <c r="M5293">
        <v>0.99978820000000002</v>
      </c>
      <c r="N5293">
        <v>-1.2774000000000001E-2</v>
      </c>
      <c r="O5293">
        <v>-1.614554E-2</v>
      </c>
      <c r="P5293">
        <v>0.98135740000000005</v>
      </c>
      <c r="Q5293">
        <v>0.1737049</v>
      </c>
      <c r="R5293">
        <v>8.2247000000000001E-2</v>
      </c>
      <c r="S5293">
        <v>3.108765</v>
      </c>
      <c r="T5293">
        <v>-0.13276729999999901</v>
      </c>
      <c r="U5293">
        <v>-0.33755489999999999</v>
      </c>
      <c r="V5293">
        <v>-9.800006E-2</v>
      </c>
      <c r="W5293">
        <v>0.1862509</v>
      </c>
      <c r="X5293">
        <v>0.97760250000000004</v>
      </c>
      <c r="Y5293">
        <v>9.1780120000000007E-2</v>
      </c>
      <c r="Z5293">
        <v>-2.0601090000000001E-3</v>
      </c>
      <c r="AA5293">
        <v>0.99577720000000003</v>
      </c>
      <c r="AB5293">
        <v>31</v>
      </c>
      <c r="AC5293">
        <v>25.830299999999902</v>
      </c>
      <c r="AD5293">
        <v>-1.1101135174059999</v>
      </c>
      <c r="AE5293">
        <v>-2.8196500000000002</v>
      </c>
      <c r="AF5293">
        <v>2.3978275697934199</v>
      </c>
      <c r="AG5293">
        <v>-1.1101135174059999</v>
      </c>
      <c r="AH5293">
        <v>25.825322358518001</v>
      </c>
      <c r="AI5293">
        <v>92.450842105754504</v>
      </c>
      <c r="AJ5293">
        <v>84.695414075600695</v>
      </c>
      <c r="AK5293">
        <v>25.960146455622301</v>
      </c>
      <c r="AL5293">
        <v>79.265928981918194</v>
      </c>
      <c r="AM5293">
        <v>95.724508537279704</v>
      </c>
      <c r="AN5293">
        <v>1.00000002875853</v>
      </c>
    </row>
    <row r="5294" spans="1:40" x14ac:dyDescent="0.25">
      <c r="A5294" t="str">
        <f>"20190304155522427"</f>
        <v>20190304155522427</v>
      </c>
      <c r="B5294" t="str">
        <f>"1551686122422660"</f>
        <v>1551686122422660</v>
      </c>
      <c r="C5294" t="s">
        <v>40</v>
      </c>
      <c r="D5294">
        <v>4.8023749999999996</v>
      </c>
      <c r="E5294">
        <v>0.5730674</v>
      </c>
      <c r="F5294" t="s">
        <v>74</v>
      </c>
      <c r="G5294">
        <v>-203.35919999999999</v>
      </c>
      <c r="H5294" s="1">
        <v>-4.510676E-6</v>
      </c>
      <c r="I5294">
        <v>-65.979869999999906</v>
      </c>
      <c r="J5294">
        <v>-229.0102</v>
      </c>
      <c r="K5294">
        <v>1.1101110000000001</v>
      </c>
      <c r="L5294">
        <v>-63.174680000000002</v>
      </c>
      <c r="M5294">
        <v>0.99978549999999999</v>
      </c>
      <c r="N5294">
        <v>-1.283395E-2</v>
      </c>
      <c r="O5294">
        <v>-1.625118E-2</v>
      </c>
      <c r="P5294">
        <v>0.98132149999999996</v>
      </c>
      <c r="Q5294">
        <v>0.17394799999999999</v>
      </c>
      <c r="R5294">
        <v>8.2160170000000005E-2</v>
      </c>
      <c r="S5294">
        <v>3.1090239999999998</v>
      </c>
      <c r="T5294">
        <v>-0.13369310000000001</v>
      </c>
      <c r="U5294">
        <v>-0.3381653</v>
      </c>
      <c r="V5294">
        <v>-9.8016720000000002E-2</v>
      </c>
      <c r="W5294">
        <v>0.18655260000000001</v>
      </c>
      <c r="X5294">
        <v>0.9775433</v>
      </c>
      <c r="Y5294">
        <v>9.1857809999999998E-2</v>
      </c>
      <c r="Z5294">
        <v>-2.0715379999999999E-3</v>
      </c>
      <c r="AA5294">
        <v>0.99577000000000004</v>
      </c>
      <c r="AB5294">
        <v>31</v>
      </c>
      <c r="AC5294">
        <v>25.651</v>
      </c>
      <c r="AD5294">
        <v>-1.1101155106759999</v>
      </c>
      <c r="AE5294">
        <v>-2.8051899999999801</v>
      </c>
      <c r="AF5294">
        <v>2.38351464470081</v>
      </c>
      <c r="AG5294">
        <v>-1.1101155106759999</v>
      </c>
      <c r="AH5294">
        <v>25.645737711158901</v>
      </c>
      <c r="AI5294">
        <v>92.467966540976605</v>
      </c>
      <c r="AJ5294">
        <v>84.690184132345493</v>
      </c>
      <c r="AK5294">
        <v>25.780173801937501</v>
      </c>
      <c r="AL5294">
        <v>79.248334454755593</v>
      </c>
      <c r="AM5294">
        <v>95.725819668913502</v>
      </c>
      <c r="AN5294">
        <v>1.0000000266706</v>
      </c>
    </row>
    <row r="5295" spans="1:40" x14ac:dyDescent="0.25">
      <c r="A5295" t="str">
        <f>"20190304155522437"</f>
        <v>20190304155522437</v>
      </c>
      <c r="B5295" t="str">
        <f>"1551686122433394"</f>
        <v>1551686122433394</v>
      </c>
      <c r="C5295" t="s">
        <v>40</v>
      </c>
      <c r="D5295">
        <v>4.8156780000000001</v>
      </c>
      <c r="E5295">
        <v>0.57319240000000005</v>
      </c>
      <c r="F5295" t="s">
        <v>74</v>
      </c>
      <c r="G5295">
        <v>-203.65289999999999</v>
      </c>
      <c r="H5295" s="1">
        <v>-4.4029900000000002E-6</v>
      </c>
      <c r="I5295">
        <v>-65.93871</v>
      </c>
      <c r="J5295">
        <v>-228.8646</v>
      </c>
      <c r="K5295">
        <v>1.1101190000000001</v>
      </c>
      <c r="L5295">
        <v>-63.177149999999997</v>
      </c>
      <c r="M5295">
        <v>0.99978339999999999</v>
      </c>
      <c r="N5295">
        <v>-1.2883449999999999E-2</v>
      </c>
      <c r="O5295">
        <v>-1.6344839999999999E-2</v>
      </c>
      <c r="P5295">
        <v>0.98129279999999997</v>
      </c>
      <c r="Q5295">
        <v>0.17415349999999999</v>
      </c>
      <c r="R5295">
        <v>8.2066070000000005E-2</v>
      </c>
      <c r="S5295">
        <v>3.109604</v>
      </c>
      <c r="T5295">
        <v>-0.13613520000000001</v>
      </c>
      <c r="U5295">
        <v>-0.3389587</v>
      </c>
      <c r="V5295">
        <v>-9.8013790000000003E-2</v>
      </c>
      <c r="W5295">
        <v>0.18680550000000001</v>
      </c>
      <c r="X5295">
        <v>0.97749529999999996</v>
      </c>
      <c r="Y5295">
        <v>9.1992290000000004E-2</v>
      </c>
      <c r="Z5295">
        <v>-2.0985140000000001E-3</v>
      </c>
      <c r="AA5295">
        <v>0.99575749999999996</v>
      </c>
      <c r="AB5295">
        <v>31</v>
      </c>
      <c r="AC5295">
        <v>25.2117</v>
      </c>
      <c r="AD5295">
        <v>-1.11012340299</v>
      </c>
      <c r="AE5295">
        <v>-2.7615599999999998</v>
      </c>
      <c r="AF5295">
        <v>2.34458378268023</v>
      </c>
      <c r="AG5295">
        <v>-1.11012340299</v>
      </c>
      <c r="AH5295">
        <v>25.205183484834699</v>
      </c>
      <c r="AI5295">
        <v>92.5110480388025</v>
      </c>
      <c r="AJ5295">
        <v>84.685644649319201</v>
      </c>
      <c r="AK5295">
        <v>25.338325153570299</v>
      </c>
      <c r="AL5295">
        <v>79.233585105322703</v>
      </c>
      <c r="AM5295">
        <v>95.725928935395601</v>
      </c>
      <c r="AN5295">
        <v>1.0000000296912499</v>
      </c>
    </row>
    <row r="5296" spans="1:40" x14ac:dyDescent="0.25">
      <c r="A5296" t="str">
        <f>"20190304155522448"</f>
        <v>20190304155522448</v>
      </c>
      <c r="B5296" t="str">
        <f>"1551686122443156"</f>
        <v>1551686122443156</v>
      </c>
      <c r="C5296" t="s">
        <v>40</v>
      </c>
      <c r="D5296">
        <v>4.8086859999999998</v>
      </c>
      <c r="E5296">
        <v>0.57328509999999999</v>
      </c>
      <c r="F5296" t="s">
        <v>74</v>
      </c>
      <c r="G5296">
        <v>-203.66159999999999</v>
      </c>
      <c r="H5296" s="1">
        <v>-4.3992890000000003E-6</v>
      </c>
      <c r="I5296">
        <v>-65.933719999999994</v>
      </c>
      <c r="J5296">
        <v>-228.7225</v>
      </c>
      <c r="K5296">
        <v>1.1101219999999901</v>
      </c>
      <c r="L5296">
        <v>-63.179569999999998</v>
      </c>
      <c r="M5296">
        <v>0.99978149999999999</v>
      </c>
      <c r="N5296">
        <v>-1.2928179999999999E-2</v>
      </c>
      <c r="O5296">
        <v>-1.6436199999999901E-2</v>
      </c>
      <c r="P5296">
        <v>0.98127500000000001</v>
      </c>
      <c r="Q5296">
        <v>0.1742514</v>
      </c>
      <c r="R5296">
        <v>8.2072359999999997E-2</v>
      </c>
      <c r="S5296">
        <v>3.1099399999999999</v>
      </c>
      <c r="T5296">
        <v>-0.13698450000000001</v>
      </c>
      <c r="U5296">
        <v>-0.34014889999999998</v>
      </c>
      <c r="V5296">
        <v>-9.8109450000000001E-2</v>
      </c>
      <c r="W5296">
        <v>0.186947</v>
      </c>
      <c r="X5296">
        <v>0.97745859999999996</v>
      </c>
      <c r="Y5296">
        <v>9.2264799999999994E-2</v>
      </c>
      <c r="Z5296">
        <v>-2.114136E-3</v>
      </c>
      <c r="AA5296">
        <v>0.99573219999999996</v>
      </c>
      <c r="AB5296">
        <v>31</v>
      </c>
      <c r="AC5296">
        <v>25.0609</v>
      </c>
      <c r="AD5296">
        <v>-1.11012639928899</v>
      </c>
      <c r="AE5296">
        <v>-2.7541499999999899</v>
      </c>
      <c r="AF5296">
        <v>2.33730595745936</v>
      </c>
      <c r="AG5296">
        <v>-1.11012639928899</v>
      </c>
      <c r="AH5296">
        <v>25.054210030645098</v>
      </c>
      <c r="AI5296">
        <v>92.526103639768195</v>
      </c>
      <c r="AJ5296">
        <v>84.670305442896293</v>
      </c>
      <c r="AK5296">
        <v>25.1874734743453</v>
      </c>
      <c r="AL5296">
        <v>79.225331824675905</v>
      </c>
      <c r="AM5296">
        <v>95.731693931742498</v>
      </c>
      <c r="AN5296">
        <v>0.99999997985113098</v>
      </c>
    </row>
    <row r="5297" spans="1:40" x14ac:dyDescent="0.25">
      <c r="A5297" t="str">
        <f>"20190304155522457"</f>
        <v>20190304155522457</v>
      </c>
      <c r="B5297" t="str">
        <f>"1551686122452915"</f>
        <v>1551686122452915</v>
      </c>
      <c r="C5297" t="s">
        <v>40</v>
      </c>
      <c r="D5297">
        <v>4.8185529999999996</v>
      </c>
      <c r="E5297">
        <v>0.57336609999999999</v>
      </c>
      <c r="F5297" t="s">
        <v>74</v>
      </c>
      <c r="G5297">
        <v>-203.63650000000001</v>
      </c>
      <c r="H5297" s="1">
        <v>-4.4071240000000004E-6</v>
      </c>
      <c r="I5297">
        <v>-65.927530000000004</v>
      </c>
      <c r="J5297">
        <v>-228.5847</v>
      </c>
      <c r="K5297">
        <v>1.1101209999999999</v>
      </c>
      <c r="L5297">
        <v>-63.181919999999998</v>
      </c>
      <c r="M5297">
        <v>0.99977950000000004</v>
      </c>
      <c r="N5297">
        <v>-1.296945E-2</v>
      </c>
      <c r="O5297">
        <v>-1.6524560000000001E-2</v>
      </c>
      <c r="P5297">
        <v>0.98121769999999997</v>
      </c>
      <c r="Q5297">
        <v>0.1744761</v>
      </c>
      <c r="R5297">
        <v>8.228067E-2</v>
      </c>
      <c r="S5297">
        <v>3.1101990000000002</v>
      </c>
      <c r="T5297">
        <v>-0.13763520000000001</v>
      </c>
      <c r="U5297">
        <v>-0.34069820000000001</v>
      </c>
      <c r="V5297">
        <v>-9.8403160000000003E-2</v>
      </c>
      <c r="W5297">
        <v>0.18721119999999999</v>
      </c>
      <c r="X5297">
        <v>0.97737850000000004</v>
      </c>
      <c r="Y5297">
        <v>9.2340580000000005E-2</v>
      </c>
      <c r="Z5297">
        <v>-2.122208E-3</v>
      </c>
      <c r="AA5297">
        <v>0.99572519999999998</v>
      </c>
      <c r="AB5297">
        <v>31</v>
      </c>
      <c r="AC5297">
        <v>24.9481999999999</v>
      </c>
      <c r="AD5297">
        <v>-1.1101254071240001</v>
      </c>
      <c r="AE5297">
        <v>-2.7456100000000001</v>
      </c>
      <c r="AF5297">
        <v>2.3283873693164598</v>
      </c>
      <c r="AG5297">
        <v>-1.1101254071240001</v>
      </c>
      <c r="AH5297">
        <v>24.9413737963153</v>
      </c>
      <c r="AI5297">
        <v>92.537499596561602</v>
      </c>
      <c r="AJ5297">
        <v>84.666643640252403</v>
      </c>
      <c r="AK5297">
        <v>25.074407131748</v>
      </c>
      <c r="AL5297">
        <v>79.209922154273997</v>
      </c>
      <c r="AM5297">
        <v>95.749206106255002</v>
      </c>
      <c r="AN5297">
        <v>0.999999973782837</v>
      </c>
    </row>
    <row r="5298" spans="1:40" x14ac:dyDescent="0.25">
      <c r="A5298" t="str">
        <f>"20190304155522469"</f>
        <v>20190304155522469</v>
      </c>
      <c r="B5298" t="str">
        <f>"1551686122462675"</f>
        <v>1551686122462675</v>
      </c>
      <c r="C5298" t="s">
        <v>40</v>
      </c>
      <c r="D5298">
        <v>4.8131839999999997</v>
      </c>
      <c r="E5298">
        <v>0.57350230000000002</v>
      </c>
      <c r="F5298" t="s">
        <v>74</v>
      </c>
      <c r="G5298">
        <v>-203.5479</v>
      </c>
      <c r="H5298" s="1">
        <v>-4.4375079999999997E-6</v>
      </c>
      <c r="I5298">
        <v>-65.924710000000005</v>
      </c>
      <c r="J5298">
        <v>-228.4248</v>
      </c>
      <c r="K5298">
        <v>1.1101209999999999</v>
      </c>
      <c r="L5298">
        <v>-63.184660000000001</v>
      </c>
      <c r="M5298">
        <v>0.99977720000000003</v>
      </c>
      <c r="N5298">
        <v>-1.301335E-2</v>
      </c>
      <c r="O5298">
        <v>-1.6627369999999999E-2</v>
      </c>
      <c r="P5298">
        <v>0.98116999999999999</v>
      </c>
      <c r="Q5298">
        <v>0.17480670000000001</v>
      </c>
      <c r="R5298">
        <v>8.2147399999999995E-2</v>
      </c>
      <c r="S5298">
        <v>3.110519</v>
      </c>
      <c r="T5298">
        <v>-0.1379195</v>
      </c>
      <c r="U5298">
        <v>-0.34075929999999999</v>
      </c>
      <c r="V5298">
        <v>-9.8369490000000004E-2</v>
      </c>
      <c r="W5298">
        <v>0.18758359999999999</v>
      </c>
      <c r="X5298">
        <v>0.97731049999999997</v>
      </c>
      <c r="Y5298">
        <v>9.2246110000000006E-2</v>
      </c>
      <c r="Z5298">
        <v>-2.1216199999999998E-3</v>
      </c>
      <c r="AA5298">
        <v>0.99573400000000001</v>
      </c>
      <c r="AB5298">
        <v>31</v>
      </c>
      <c r="AC5298">
        <v>24.876899999999999</v>
      </c>
      <c r="AD5298">
        <v>-1.1101254375080001</v>
      </c>
      <c r="AE5298">
        <v>-2.7400500000000001</v>
      </c>
      <c r="AF5298">
        <v>2.32143133153791</v>
      </c>
      <c r="AG5298">
        <v>-1.1101254375080001</v>
      </c>
      <c r="AH5298">
        <v>24.870092124604099</v>
      </c>
      <c r="AI5298">
        <v>92.544765851611004</v>
      </c>
      <c r="AJ5298">
        <v>84.667332416731298</v>
      </c>
      <c r="AK5298">
        <v>25.002857920652701</v>
      </c>
      <c r="AL5298">
        <v>79.188200547205597</v>
      </c>
      <c r="AM5298">
        <v>95.747649316299501</v>
      </c>
      <c r="AN5298">
        <v>0.999999988481035</v>
      </c>
    </row>
    <row r="5299" spans="1:40" x14ac:dyDescent="0.25">
      <c r="A5299" t="str">
        <f>"20190304155522480"</f>
        <v>20190304155522480</v>
      </c>
      <c r="B5299" t="str">
        <f>"1551686122473411"</f>
        <v>1551686122473411</v>
      </c>
      <c r="C5299" t="s">
        <v>40</v>
      </c>
      <c r="D5299">
        <v>4.7929440000000003</v>
      </c>
      <c r="E5299">
        <v>0.57380920000000002</v>
      </c>
      <c r="F5299" t="s">
        <v>74</v>
      </c>
      <c r="G5299">
        <v>-203.33789999999999</v>
      </c>
      <c r="H5299" s="1">
        <v>-4.5131890000000002E-6</v>
      </c>
      <c r="I5299">
        <v>-65.944800000000001</v>
      </c>
      <c r="J5299">
        <v>-228.27520000000001</v>
      </c>
      <c r="K5299">
        <v>1.1101219999999901</v>
      </c>
      <c r="L5299">
        <v>-63.187260000000002</v>
      </c>
      <c r="M5299">
        <v>0.99977499999999997</v>
      </c>
      <c r="N5299">
        <v>-1.305281E-2</v>
      </c>
      <c r="O5299">
        <v>-1.6723229999999999E-2</v>
      </c>
      <c r="P5299">
        <v>0.98123150000000003</v>
      </c>
      <c r="Q5299">
        <v>0.17465890000000001</v>
      </c>
      <c r="R5299">
        <v>8.1726209999999994E-2</v>
      </c>
      <c r="S5299">
        <v>3.1107480000000001</v>
      </c>
      <c r="T5299">
        <v>-0.13765439999999901</v>
      </c>
      <c r="U5299">
        <v>-0.34225460000000002</v>
      </c>
      <c r="V5299">
        <v>-9.8044409999999999E-2</v>
      </c>
      <c r="W5299">
        <v>0.1874749</v>
      </c>
      <c r="X5299">
        <v>0.97736400000000001</v>
      </c>
      <c r="Y5299">
        <v>9.2615509999999998E-2</v>
      </c>
      <c r="Z5299">
        <v>-2.1290670000000001E-3</v>
      </c>
      <c r="AA5299">
        <v>0.99569960000000002</v>
      </c>
      <c r="AB5299">
        <v>31</v>
      </c>
      <c r="AC5299">
        <v>24.9373</v>
      </c>
      <c r="AD5299">
        <v>-1.1101265131889999</v>
      </c>
      <c r="AE5299">
        <v>-2.7575400000000001</v>
      </c>
      <c r="AF5299">
        <v>2.3355141321211899</v>
      </c>
      <c r="AG5299">
        <v>-1.1101265131889999</v>
      </c>
      <c r="AH5299">
        <v>24.931120904191101</v>
      </c>
      <c r="AI5299">
        <v>92.538468093882202</v>
      </c>
      <c r="AJ5299">
        <v>84.648226548605905</v>
      </c>
      <c r="AK5299">
        <v>25.064871766598301</v>
      </c>
      <c r="AL5299">
        <v>79.194540845293005</v>
      </c>
      <c r="AM5299">
        <v>95.728470200564203</v>
      </c>
      <c r="AN5299">
        <v>0.99999996647912803</v>
      </c>
    </row>
    <row r="5300" spans="1:40" x14ac:dyDescent="0.25">
      <c r="A5300" t="str">
        <f>"20190304155522491"</f>
        <v>20190304155522491</v>
      </c>
      <c r="B5300" t="str">
        <f>"1551686122483171"</f>
        <v>1551686122483171</v>
      </c>
      <c r="C5300" t="s">
        <v>40</v>
      </c>
      <c r="D5300">
        <v>4.8137259999999999</v>
      </c>
      <c r="E5300">
        <v>0.57391080000000005</v>
      </c>
      <c r="F5300" t="s">
        <v>74</v>
      </c>
      <c r="G5300">
        <v>-203.2543</v>
      </c>
      <c r="H5300" s="1">
        <v>-4.5457130000000001E-6</v>
      </c>
      <c r="I5300">
        <v>-65.970050000000001</v>
      </c>
      <c r="J5300">
        <v>-228.12119999999999</v>
      </c>
      <c r="K5300">
        <v>1.110125</v>
      </c>
      <c r="L5300">
        <v>-63.189970000000002</v>
      </c>
      <c r="M5300">
        <v>0.99977289999999996</v>
      </c>
      <c r="N5300">
        <v>-1.308894E-2</v>
      </c>
      <c r="O5300">
        <v>-1.6821450000000002E-2</v>
      </c>
      <c r="P5300">
        <v>0.98126139999999995</v>
      </c>
      <c r="Q5300">
        <v>0.17454529999999999</v>
      </c>
      <c r="R5300">
        <v>8.161032E-2</v>
      </c>
      <c r="S5300">
        <v>3.110779</v>
      </c>
      <c r="T5300">
        <v>-0.13801920000000001</v>
      </c>
      <c r="U5300">
        <v>-0.3459778</v>
      </c>
      <c r="V5300">
        <v>-9.8024929999999996E-2</v>
      </c>
      <c r="W5300">
        <v>0.1873967</v>
      </c>
      <c r="X5300">
        <v>0.97738100000000006</v>
      </c>
      <c r="Y5300">
        <v>9.3691990000000003E-2</v>
      </c>
      <c r="Z5300">
        <v>-2.1625429999999998E-3</v>
      </c>
      <c r="AA5300">
        <v>0.99559889999999995</v>
      </c>
      <c r="AB5300">
        <v>31</v>
      </c>
      <c r="AC5300">
        <v>24.866899999999902</v>
      </c>
      <c r="AD5300">
        <v>-1.110129545713</v>
      </c>
      <c r="AE5300">
        <v>-2.7800799999999999</v>
      </c>
      <c r="AF5300">
        <v>2.3567145388544999</v>
      </c>
      <c r="AG5300">
        <v>-1.110129545713</v>
      </c>
      <c r="AH5300">
        <v>24.861213569728399</v>
      </c>
      <c r="AI5300">
        <v>92.545338553106703</v>
      </c>
      <c r="AJ5300">
        <v>84.584837901141398</v>
      </c>
      <c r="AK5300">
        <v>24.997328480970999</v>
      </c>
      <c r="AL5300">
        <v>79.199102743438999</v>
      </c>
      <c r="AM5300">
        <v>95.727240648415105</v>
      </c>
      <c r="AN5300">
        <v>1.0000000146166901</v>
      </c>
    </row>
    <row r="5301" spans="1:40" x14ac:dyDescent="0.25">
      <c r="A5301" t="str">
        <f>"20190304155522502"</f>
        <v>20190304155522502</v>
      </c>
      <c r="B5301" t="str">
        <f>"1551686122492930"</f>
        <v>1551686122492930</v>
      </c>
      <c r="C5301" t="s">
        <v>40</v>
      </c>
      <c r="D5301">
        <v>4.7927010000000001</v>
      </c>
      <c r="E5301">
        <v>0.57401179999999996</v>
      </c>
      <c r="F5301" t="s">
        <v>74</v>
      </c>
      <c r="G5301">
        <v>-203.30600000000001</v>
      </c>
      <c r="H5301" s="1">
        <v>-4.5261650000000001E-6</v>
      </c>
      <c r="I5301">
        <v>-65.958529999999996</v>
      </c>
      <c r="J5301">
        <v>-227.97069999999999</v>
      </c>
      <c r="K5301">
        <v>1.1101289999999999</v>
      </c>
      <c r="L5301">
        <v>-63.192570000000003</v>
      </c>
      <c r="M5301">
        <v>0.99977079999999996</v>
      </c>
      <c r="N5301">
        <v>-1.3123299999999999E-2</v>
      </c>
      <c r="O5301">
        <v>-1.6916790000000001E-2</v>
      </c>
      <c r="P5301">
        <v>0.98126449999999998</v>
      </c>
      <c r="Q5301">
        <v>0.1746567</v>
      </c>
      <c r="R5301">
        <v>8.1332479999999999E-2</v>
      </c>
      <c r="S5301">
        <v>3.1109010000000001</v>
      </c>
      <c r="T5301">
        <v>-0.1391693</v>
      </c>
      <c r="U5301">
        <v>-0.34707640000000001</v>
      </c>
      <c r="V5301">
        <v>-9.7840869999999996E-2</v>
      </c>
      <c r="W5301">
        <v>0.18754190000000001</v>
      </c>
      <c r="X5301">
        <v>0.97737160000000001</v>
      </c>
      <c r="Y5301">
        <v>9.3938140000000003E-2</v>
      </c>
      <c r="Z5301">
        <v>-2.1798299999999998E-3</v>
      </c>
      <c r="AA5301">
        <v>0.99557569999999995</v>
      </c>
      <c r="AB5301">
        <v>31</v>
      </c>
      <c r="AC5301">
        <v>24.6647</v>
      </c>
      <c r="AD5301">
        <v>-1.1101335261650001</v>
      </c>
      <c r="AE5301">
        <v>-2.76596000000001</v>
      </c>
      <c r="AF5301">
        <v>2.3435919440243498</v>
      </c>
      <c r="AG5301">
        <v>-1.1101335261650001</v>
      </c>
      <c r="AH5301">
        <v>24.658631791328801</v>
      </c>
      <c r="AI5301">
        <v>92.566171551495501</v>
      </c>
      <c r="AJ5301">
        <v>84.570834248706205</v>
      </c>
      <c r="AK5301">
        <v>24.794615170765301</v>
      </c>
      <c r="AL5301">
        <v>79.190633319886999</v>
      </c>
      <c r="AM5301">
        <v>95.716612598613693</v>
      </c>
      <c r="AN5301">
        <v>1.00000002229226</v>
      </c>
    </row>
    <row r="5302" spans="1:40" x14ac:dyDescent="0.25">
      <c r="A5302" t="str">
        <f>"20190304155522514"</f>
        <v>20190304155522514</v>
      </c>
      <c r="B5302" t="str">
        <f>"1551686122502691"</f>
        <v>1551686122502691</v>
      </c>
      <c r="C5302" t="s">
        <v>40</v>
      </c>
      <c r="D5302">
        <v>4.806114</v>
      </c>
      <c r="E5302">
        <v>0.57407699999999995</v>
      </c>
      <c r="F5302" t="s">
        <v>74</v>
      </c>
      <c r="G5302">
        <v>-203.18700000000001</v>
      </c>
      <c r="H5302" s="1">
        <v>-4.5692479999999999E-6</v>
      </c>
      <c r="I5302">
        <v>-65.971180000000004</v>
      </c>
      <c r="J5302">
        <v>-227.81010000000001</v>
      </c>
      <c r="K5302">
        <v>1.1101319999999999</v>
      </c>
      <c r="L5302">
        <v>-63.195399999999999</v>
      </c>
      <c r="M5302">
        <v>0.99976869999999995</v>
      </c>
      <c r="N5302">
        <v>-1.315595E-2</v>
      </c>
      <c r="O5302">
        <v>-1.701832E-2</v>
      </c>
      <c r="P5302">
        <v>0.98127719999999896</v>
      </c>
      <c r="Q5302">
        <v>0.17461789999999999</v>
      </c>
      <c r="R5302">
        <v>8.1264669999999997E-2</v>
      </c>
      <c r="S5302">
        <v>3.1109770000000001</v>
      </c>
      <c r="T5302">
        <v>-0.13934949999999999</v>
      </c>
      <c r="U5302">
        <v>-0.34878540000000002</v>
      </c>
      <c r="V5302">
        <v>-9.7873160000000001E-2</v>
      </c>
      <c r="W5302">
        <v>0.18753439999999999</v>
      </c>
      <c r="X5302">
        <v>0.97736979999999996</v>
      </c>
      <c r="Y5302">
        <v>9.4373650000000003E-2</v>
      </c>
      <c r="Z5302">
        <v>-2.1929900000000001E-3</v>
      </c>
      <c r="AA5302">
        <v>0.99553440000000004</v>
      </c>
      <c r="AB5302">
        <v>31</v>
      </c>
      <c r="AC5302">
        <v>24.623099999999901</v>
      </c>
      <c r="AD5302">
        <v>-1.1101365692480001</v>
      </c>
      <c r="AE5302">
        <v>-2.7757800000000001</v>
      </c>
      <c r="AF5302">
        <v>2.35157790076192</v>
      </c>
      <c r="AG5302">
        <v>-1.1101365692480001</v>
      </c>
      <c r="AH5302">
        <v>24.617365502605999</v>
      </c>
      <c r="AI5302">
        <v>92.570357268685996</v>
      </c>
      <c r="AJ5302">
        <v>84.543368373146805</v>
      </c>
      <c r="AK5302">
        <v>24.7543330775569</v>
      </c>
      <c r="AL5302">
        <v>79.1910707346603</v>
      </c>
      <c r="AM5302">
        <v>95.718497187501498</v>
      </c>
      <c r="AN5302">
        <v>1.0000000162918901</v>
      </c>
    </row>
    <row r="5303" spans="1:40" x14ac:dyDescent="0.25">
      <c r="A5303" t="str">
        <f>"20190304155522525"</f>
        <v>20190304155522525</v>
      </c>
      <c r="B5303" t="str">
        <f>"1551686122523186"</f>
        <v>1551686122523186</v>
      </c>
      <c r="C5303" t="s">
        <v>40</v>
      </c>
      <c r="D5303">
        <v>4.8306310000000003</v>
      </c>
      <c r="E5303">
        <v>0.57408090000000001</v>
      </c>
      <c r="F5303" t="s">
        <v>74</v>
      </c>
      <c r="G5303">
        <v>-203.2363</v>
      </c>
      <c r="H5303" s="1">
        <v>-4.5500310000000003E-6</v>
      </c>
      <c r="I5303">
        <v>-65.956069999999997</v>
      </c>
      <c r="J5303">
        <v>-227.66890000000001</v>
      </c>
      <c r="K5303">
        <v>1.110134</v>
      </c>
      <c r="L5303">
        <v>-63.19791</v>
      </c>
      <c r="M5303">
        <v>0.99976690000000001</v>
      </c>
      <c r="N5303">
        <v>-1.3183459999999999E-2</v>
      </c>
      <c r="O5303">
        <v>-1.7107299999999999E-2</v>
      </c>
      <c r="P5303">
        <v>0.98128009999999999</v>
      </c>
      <c r="Q5303">
        <v>0.1746839</v>
      </c>
      <c r="R5303">
        <v>8.1086779999999997E-2</v>
      </c>
      <c r="S5303">
        <v>3.1111909999999998</v>
      </c>
      <c r="T5303">
        <v>-0.14055010000000001</v>
      </c>
      <c r="U5303">
        <v>-0.34951779999999999</v>
      </c>
      <c r="V5303">
        <v>-9.7783320000000007E-2</v>
      </c>
      <c r="W5303">
        <v>0.18762709999999999</v>
      </c>
      <c r="X5303">
        <v>0.97736100000000004</v>
      </c>
      <c r="Y5303">
        <v>9.4507079999999993E-2</v>
      </c>
      <c r="Z5303">
        <v>-2.2073040000000002E-3</v>
      </c>
      <c r="AA5303">
        <v>0.99552169999999895</v>
      </c>
      <c r="AB5303">
        <v>31</v>
      </c>
      <c r="AC5303">
        <v>24.432600000000001</v>
      </c>
      <c r="AD5303">
        <v>-1.1101385500309999</v>
      </c>
      <c r="AE5303">
        <v>-2.75815999999999</v>
      </c>
      <c r="AF5303">
        <v>2.3349843032898399</v>
      </c>
      <c r="AG5303">
        <v>-1.1101385500309999</v>
      </c>
      <c r="AH5303">
        <v>24.4264188714806</v>
      </c>
      <c r="AI5303">
        <v>92.590411149223698</v>
      </c>
      <c r="AJ5303">
        <v>84.5395409535722</v>
      </c>
      <c r="AK5303">
        <v>24.56286828084</v>
      </c>
      <c r="AL5303">
        <v>79.185663421353098</v>
      </c>
      <c r="AM5303">
        <v>95.713333892141705</v>
      </c>
      <c r="AN5303">
        <v>1.0000000153228099</v>
      </c>
    </row>
    <row r="5304" spans="1:40" x14ac:dyDescent="0.25">
      <c r="A5304" t="str">
        <f>"20190304155522551"</f>
        <v>20190304155522551</v>
      </c>
      <c r="B5304" t="str">
        <f>"1551686122542707"</f>
        <v>1551686122542707</v>
      </c>
      <c r="C5304" t="s">
        <v>40</v>
      </c>
      <c r="D5304">
        <v>4.8411619999999997</v>
      </c>
      <c r="E5304">
        <v>0.57423040000000003</v>
      </c>
      <c r="F5304" t="s">
        <v>74</v>
      </c>
      <c r="G5304">
        <v>-203.45590000000001</v>
      </c>
      <c r="H5304" s="1">
        <v>-4.4694330000000002E-6</v>
      </c>
      <c r="I5304">
        <v>-65.924580000000006</v>
      </c>
      <c r="J5304">
        <v>-227.31460000000001</v>
      </c>
      <c r="K5304">
        <v>1.1101460000000001</v>
      </c>
      <c r="L5304">
        <v>-63.2042199999999</v>
      </c>
      <c r="M5304">
        <v>0.99976220000000005</v>
      </c>
      <c r="N5304">
        <v>-1.324813E-2</v>
      </c>
      <c r="O5304">
        <v>-1.7328820000000002E-2</v>
      </c>
      <c r="P5304">
        <v>0.98127609999999998</v>
      </c>
      <c r="Q5304">
        <v>0.1746993</v>
      </c>
      <c r="R5304">
        <v>8.110067E-2</v>
      </c>
      <c r="S5304">
        <v>3.1115879999999998</v>
      </c>
      <c r="T5304">
        <v>-0.1426625</v>
      </c>
      <c r="U5304">
        <v>-0.35040280000000001</v>
      </c>
      <c r="V5304">
        <v>-9.8014850000000001E-2</v>
      </c>
      <c r="W5304">
        <v>0.18770490000000001</v>
      </c>
      <c r="X5304">
        <v>0.97732289999999999</v>
      </c>
      <c r="Y5304">
        <v>9.4548999999999994E-2</v>
      </c>
      <c r="Z5304">
        <v>-2.2257190000000001E-3</v>
      </c>
      <c r="AA5304">
        <v>0.99551769999999995</v>
      </c>
      <c r="AB5304">
        <v>31</v>
      </c>
      <c r="AC5304">
        <v>23.858699999999999</v>
      </c>
      <c r="AD5304">
        <v>-1.11015046943299</v>
      </c>
      <c r="AE5304">
        <v>-2.7203600000000101</v>
      </c>
      <c r="AF5304">
        <v>2.3015530476463599</v>
      </c>
      <c r="AG5304">
        <v>-1.11015046943299</v>
      </c>
      <c r="AH5304">
        <v>23.851284857492701</v>
      </c>
      <c r="AI5304">
        <v>92.652587124736797</v>
      </c>
      <c r="AJ5304">
        <v>84.488252970409903</v>
      </c>
      <c r="AK5304">
        <v>23.9877754251863</v>
      </c>
      <c r="AL5304">
        <v>79.181125509709901</v>
      </c>
      <c r="AM5304">
        <v>95.726993801147501</v>
      </c>
      <c r="AN5304">
        <v>1.00000004558447</v>
      </c>
    </row>
    <row r="5305" spans="1:40" x14ac:dyDescent="0.25">
      <c r="A5305" t="str">
        <f>"20190304155522565"</f>
        <v>20190304155522565</v>
      </c>
      <c r="B5305" t="str">
        <f>"1551686122553443"</f>
        <v>1551686122553443</v>
      </c>
      <c r="C5305" t="s">
        <v>40</v>
      </c>
      <c r="D5305">
        <v>4.8224039999999997</v>
      </c>
      <c r="E5305">
        <v>0.57428129999999999</v>
      </c>
      <c r="F5305" t="s">
        <v>74</v>
      </c>
      <c r="G5305">
        <v>-203.19290000000001</v>
      </c>
      <c r="H5305" s="1">
        <v>-4.561913E-6</v>
      </c>
      <c r="I5305">
        <v>-65.933199999999999</v>
      </c>
      <c r="J5305">
        <v>-227.13030000000001</v>
      </c>
      <c r="K5305">
        <v>1.1101570000000001</v>
      </c>
      <c r="L5305">
        <v>-63.207549999999998</v>
      </c>
      <c r="M5305">
        <v>0.99975979999999998</v>
      </c>
      <c r="N5305">
        <v>-1.328413E-2</v>
      </c>
      <c r="O5305">
        <v>-1.7443480000000001E-2</v>
      </c>
      <c r="P5305">
        <v>0.98129049999999995</v>
      </c>
      <c r="Q5305">
        <v>0.17466970000000001</v>
      </c>
      <c r="R5305">
        <v>8.0993709999999997E-2</v>
      </c>
      <c r="S5305">
        <v>3.1118160000000001</v>
      </c>
      <c r="T5305">
        <v>-0.1432148</v>
      </c>
      <c r="U5305">
        <v>-0.3520508</v>
      </c>
      <c r="V5305">
        <v>-9.8020800000000005E-2</v>
      </c>
      <c r="W5305">
        <v>0.18771099999999999</v>
      </c>
      <c r="X5305">
        <v>0.97732110000000005</v>
      </c>
      <c r="Y5305">
        <v>9.4945909999999994E-2</v>
      </c>
      <c r="Z5305">
        <v>-2.2412249999999999E-3</v>
      </c>
      <c r="AA5305">
        <v>0.99547989999999997</v>
      </c>
      <c r="AB5305">
        <v>31</v>
      </c>
      <c r="AC5305">
        <v>23.9374</v>
      </c>
      <c r="AD5305">
        <v>-1.1101615619130001</v>
      </c>
      <c r="AE5305">
        <v>-2.7256499999999999</v>
      </c>
      <c r="AF5305">
        <v>2.3027573155466698</v>
      </c>
      <c r="AG5305">
        <v>-1.1101615619130001</v>
      </c>
      <c r="AH5305">
        <v>23.9304932405615</v>
      </c>
      <c r="AI5305">
        <v>92.643913914363196</v>
      </c>
      <c r="AJ5305">
        <v>84.503527817573001</v>
      </c>
      <c r="AK5305">
        <v>24.0666503004555</v>
      </c>
      <c r="AL5305">
        <v>79.180769341619595</v>
      </c>
      <c r="AM5305">
        <v>95.727349625900601</v>
      </c>
      <c r="AN5305">
        <v>1.0000000146294199</v>
      </c>
    </row>
    <row r="5306" spans="1:40" x14ac:dyDescent="0.25">
      <c r="A5306" t="str">
        <f>"20190304155522578"</f>
        <v>20190304155522578</v>
      </c>
      <c r="B5306" t="str">
        <f>"1551686122572962"</f>
        <v>1551686122572962</v>
      </c>
      <c r="C5306" t="s">
        <v>40</v>
      </c>
      <c r="D5306">
        <v>4.8641209999999999</v>
      </c>
      <c r="E5306">
        <v>0.57461359999999995</v>
      </c>
      <c r="F5306" t="s">
        <v>74</v>
      </c>
      <c r="G5306">
        <v>-203.17779999999999</v>
      </c>
      <c r="H5306" s="1">
        <v>-4.5658099999999901E-6</v>
      </c>
      <c r="I5306">
        <v>-65.923550000000006</v>
      </c>
      <c r="J5306">
        <v>-226.93379999999999</v>
      </c>
      <c r="K5306">
        <v>1.1101669999999999</v>
      </c>
      <c r="L5306">
        <v>-63.211089999999999</v>
      </c>
      <c r="M5306">
        <v>0.99975700000000001</v>
      </c>
      <c r="N5306">
        <v>-1.3326019999999999E-2</v>
      </c>
      <c r="O5306">
        <v>-1.7565330000000001E-2</v>
      </c>
      <c r="P5306">
        <v>0.98130079999999997</v>
      </c>
      <c r="Q5306">
        <v>0.17476749999999999</v>
      </c>
      <c r="R5306">
        <v>8.0655679999999993E-2</v>
      </c>
      <c r="S5306">
        <v>3.1120000000000001</v>
      </c>
      <c r="T5306">
        <v>-0.14423659999999999</v>
      </c>
      <c r="U5306">
        <v>-0.35287479999999999</v>
      </c>
      <c r="V5306">
        <v>-9.7802890000000003E-2</v>
      </c>
      <c r="W5306">
        <v>0.18784870000000001</v>
      </c>
      <c r="X5306">
        <v>0.97731639999999997</v>
      </c>
      <c r="Y5306">
        <v>9.5076620000000001E-2</v>
      </c>
      <c r="Z5306">
        <v>-2.2535620000000002E-3</v>
      </c>
      <c r="AA5306">
        <v>0.9954674</v>
      </c>
      <c r="AB5306">
        <v>31</v>
      </c>
      <c r="AC5306">
        <v>23.756</v>
      </c>
      <c r="AD5306">
        <v>-1.11017156581</v>
      </c>
      <c r="AE5306">
        <v>-2.7124599999999899</v>
      </c>
      <c r="AF5306">
        <v>2.2897861255956702</v>
      </c>
      <c r="AG5306">
        <v>-1.11017156581</v>
      </c>
      <c r="AH5306">
        <v>23.748786095968999</v>
      </c>
      <c r="AI5306">
        <v>92.664089758353001</v>
      </c>
      <c r="AJ5306">
        <v>84.492737731487196</v>
      </c>
      <c r="AK5306">
        <v>23.8847324129577</v>
      </c>
      <c r="AL5306">
        <v>79.172736033686505</v>
      </c>
      <c r="AM5306">
        <v>95.7147288258559</v>
      </c>
      <c r="AN5306">
        <v>0.99999994254649904</v>
      </c>
    </row>
    <row r="5307" spans="1:40" x14ac:dyDescent="0.25">
      <c r="A5307" t="str">
        <f>"20190304155522593"</f>
        <v>20190304155522593</v>
      </c>
      <c r="B5307" t="str">
        <f>"1551686122582723"</f>
        <v>1551686122582723</v>
      </c>
      <c r="C5307" t="s">
        <v>40</v>
      </c>
      <c r="D5307">
        <v>4.8269880000000001</v>
      </c>
      <c r="E5307">
        <v>0.57476519999999898</v>
      </c>
      <c r="F5307" t="s">
        <v>74</v>
      </c>
      <c r="G5307">
        <v>-203.1105</v>
      </c>
      <c r="H5307" s="1">
        <v>-4.5915239999999998E-6</v>
      </c>
      <c r="I5307">
        <v>-65.940460000000002</v>
      </c>
      <c r="J5307">
        <v>-226.74250000000001</v>
      </c>
      <c r="K5307">
        <v>1.110177</v>
      </c>
      <c r="L5307">
        <v>-63.214570000000002</v>
      </c>
      <c r="M5307">
        <v>0.99975440000000004</v>
      </c>
      <c r="N5307">
        <v>-1.3369549999999999E-2</v>
      </c>
      <c r="O5307">
        <v>-1.7683979999999998E-2</v>
      </c>
      <c r="P5307">
        <v>0.98132280000000005</v>
      </c>
      <c r="Q5307">
        <v>0.17464560000000001</v>
      </c>
      <c r="R5307">
        <v>8.0652189999999999E-2</v>
      </c>
      <c r="S5307">
        <v>3.1122890000000001</v>
      </c>
      <c r="T5307">
        <v>-0.14503350000000001</v>
      </c>
      <c r="U5307">
        <v>-0.35656739999999998</v>
      </c>
      <c r="V5307">
        <v>-9.7916680000000006E-2</v>
      </c>
      <c r="W5307">
        <v>0.18776999999999999</v>
      </c>
      <c r="X5307">
        <v>0.97732019999999997</v>
      </c>
      <c r="Y5307">
        <v>9.6111409999999994E-2</v>
      </c>
      <c r="Z5307">
        <v>-2.290893E-3</v>
      </c>
      <c r="AA5307">
        <v>0.99536789999999997</v>
      </c>
      <c r="AB5307">
        <v>31</v>
      </c>
      <c r="AC5307">
        <v>23.632000000000001</v>
      </c>
      <c r="AD5307">
        <v>-1.1101815915240001</v>
      </c>
      <c r="AE5307">
        <v>-2.7258900000000001</v>
      </c>
      <c r="AF5307">
        <v>2.3025038384416998</v>
      </c>
      <c r="AG5307">
        <v>-1.1101815915240001</v>
      </c>
      <c r="AH5307">
        <v>23.625058723398201</v>
      </c>
      <c r="AI5307">
        <v>92.677777906849201</v>
      </c>
      <c r="AJ5307">
        <v>84.433519690352696</v>
      </c>
      <c r="AK5307">
        <v>23.762942300485602</v>
      </c>
      <c r="AL5307">
        <v>79.177327656292107</v>
      </c>
      <c r="AM5307">
        <v>95.721311515896701</v>
      </c>
      <c r="AN5307">
        <v>1.0000000112251299</v>
      </c>
    </row>
    <row r="5308" spans="1:40" x14ac:dyDescent="0.25">
      <c r="A5308" t="str">
        <f>"20190304155522606"</f>
        <v>20190304155522606</v>
      </c>
      <c r="B5308" t="str">
        <f>"1551686122603219"</f>
        <v>1551686122603219</v>
      </c>
      <c r="C5308" t="s">
        <v>40</v>
      </c>
      <c r="D5308">
        <v>4.7475759999999996</v>
      </c>
      <c r="E5308">
        <v>0.57534189999999996</v>
      </c>
      <c r="F5308" t="s">
        <v>74</v>
      </c>
      <c r="G5308">
        <v>-203.1123</v>
      </c>
      <c r="H5308" s="1">
        <v>-4.5890579999999999E-6</v>
      </c>
      <c r="I5308">
        <v>-65.927219999999906</v>
      </c>
      <c r="J5308">
        <v>-226.56700000000001</v>
      </c>
      <c r="K5308">
        <v>1.1101859999999999</v>
      </c>
      <c r="L5308">
        <v>-63.217770000000002</v>
      </c>
      <c r="M5308">
        <v>0.99975190000000003</v>
      </c>
      <c r="N5308">
        <v>-1.341086E-2</v>
      </c>
      <c r="O5308">
        <v>-1.7792840000000001E-2</v>
      </c>
      <c r="P5308">
        <v>0.98136069999999997</v>
      </c>
      <c r="Q5308">
        <v>0.17435400000000001</v>
      </c>
      <c r="R5308">
        <v>8.0820260000000005E-2</v>
      </c>
      <c r="S5308">
        <v>3.112473</v>
      </c>
      <c r="T5308">
        <v>-0.14622839999999901</v>
      </c>
      <c r="U5308">
        <v>-0.3572998</v>
      </c>
      <c r="V5308">
        <v>-9.819224E-2</v>
      </c>
      <c r="W5308">
        <v>0.18751899999999999</v>
      </c>
      <c r="X5308">
        <v>0.97734080000000001</v>
      </c>
      <c r="Y5308">
        <v>9.6225640000000001E-2</v>
      </c>
      <c r="Z5308">
        <v>-2.304937E-3</v>
      </c>
      <c r="AA5308">
        <v>0.99535689999999999</v>
      </c>
      <c r="AB5308">
        <v>30</v>
      </c>
      <c r="AC5308">
        <v>23.454699999999999</v>
      </c>
      <c r="AD5308">
        <v>-1.1101905890579999</v>
      </c>
      <c r="AE5308">
        <v>-2.7094499999999901</v>
      </c>
      <c r="AF5308">
        <v>2.2866022528294598</v>
      </c>
      <c r="AG5308">
        <v>-1.1101905890579999</v>
      </c>
      <c r="AH5308">
        <v>23.447358621731698</v>
      </c>
      <c r="AI5308">
        <v>92.698048172228496</v>
      </c>
      <c r="AJ5308">
        <v>84.430089457454699</v>
      </c>
      <c r="AK5308">
        <v>23.584734455634099</v>
      </c>
      <c r="AL5308">
        <v>79.191969562389801</v>
      </c>
      <c r="AM5308">
        <v>95.737185211549004</v>
      </c>
      <c r="AN5308">
        <v>1.00000006535092</v>
      </c>
    </row>
    <row r="5309" spans="1:40" x14ac:dyDescent="0.25">
      <c r="A5309" t="str">
        <f>"20190304155522618"</f>
        <v>20190304155522618</v>
      </c>
      <c r="B5309" t="str">
        <f>"1551686122612979"</f>
        <v>1551686122612979</v>
      </c>
      <c r="C5309" t="s">
        <v>40</v>
      </c>
      <c r="D5309">
        <v>4.744275</v>
      </c>
      <c r="E5309">
        <v>0.57574380000000003</v>
      </c>
      <c r="F5309" t="s">
        <v>74</v>
      </c>
      <c r="G5309">
        <v>-203.00479999999999</v>
      </c>
      <c r="H5309" s="1">
        <v>-4.630263E-6</v>
      </c>
      <c r="I5309">
        <v>-65.955119999999994</v>
      </c>
      <c r="J5309">
        <v>-226.38339999999999</v>
      </c>
      <c r="K5309">
        <v>1.110195</v>
      </c>
      <c r="L5309">
        <v>-63.221159999999998</v>
      </c>
      <c r="M5309">
        <v>0.9997492</v>
      </c>
      <c r="N5309">
        <v>-1.3455659999999999E-2</v>
      </c>
      <c r="O5309">
        <v>-1.7906499999999999E-2</v>
      </c>
      <c r="P5309">
        <v>0.98142949999999995</v>
      </c>
      <c r="Q5309">
        <v>0.17396210000000001</v>
      </c>
      <c r="R5309">
        <v>8.0830310000000002E-2</v>
      </c>
      <c r="S5309">
        <v>3.1128230000000001</v>
      </c>
      <c r="T5309">
        <v>-0.14666870000000001</v>
      </c>
      <c r="U5309">
        <v>-0.36163329999999999</v>
      </c>
      <c r="V5309">
        <v>-9.8315379999999994E-2</v>
      </c>
      <c r="W5309">
        <v>0.18717139999999999</v>
      </c>
      <c r="X5309">
        <v>0.97739500000000001</v>
      </c>
      <c r="Y5309">
        <v>9.7464729999999999E-2</v>
      </c>
      <c r="Z5309">
        <v>-2.3455699999999999E-3</v>
      </c>
      <c r="AA5309">
        <v>0.99523620000000002</v>
      </c>
      <c r="AB5309">
        <v>30</v>
      </c>
      <c r="AC5309">
        <v>23.378599999999999</v>
      </c>
      <c r="AD5309">
        <v>-1.1101996302629999</v>
      </c>
      <c r="AE5309">
        <v>-2.73395999999999</v>
      </c>
      <c r="AF5309">
        <v>2.3097164400789199</v>
      </c>
      <c r="AG5309">
        <v>-1.1101996302629999</v>
      </c>
      <c r="AH5309">
        <v>23.371816370440701</v>
      </c>
      <c r="AI5309">
        <v>92.706435127893698</v>
      </c>
      <c r="AJ5309">
        <v>84.356078611548199</v>
      </c>
      <c r="AK5309">
        <v>23.511893452170298</v>
      </c>
      <c r="AL5309">
        <v>79.212244026810893</v>
      </c>
      <c r="AM5309">
        <v>95.744015547142595</v>
      </c>
      <c r="AN5309">
        <v>1.0000000164737499</v>
      </c>
    </row>
    <row r="5310" spans="1:40" x14ac:dyDescent="0.25">
      <c r="A5310" t="str">
        <f>"20190304155522632"</f>
        <v>20190304155522632</v>
      </c>
      <c r="B5310" t="str">
        <f>"1551686122622739"</f>
        <v>1551686122622739</v>
      </c>
      <c r="C5310" t="s">
        <v>40</v>
      </c>
      <c r="D5310">
        <v>4.7592249999999998</v>
      </c>
      <c r="E5310">
        <v>0.57612739999999996</v>
      </c>
      <c r="F5310" t="s">
        <v>74</v>
      </c>
      <c r="G5310">
        <v>-202.79669999999999</v>
      </c>
      <c r="H5310" s="1">
        <v>-4.707145E-6</v>
      </c>
      <c r="I5310">
        <v>-65.988429999999994</v>
      </c>
      <c r="J5310">
        <v>-226.22210000000001</v>
      </c>
      <c r="K5310">
        <v>1.1102019999999999</v>
      </c>
      <c r="L5310">
        <v>-63.224150000000002</v>
      </c>
      <c r="M5310">
        <v>0.99974680000000005</v>
      </c>
      <c r="N5310">
        <v>-1.349466E-2</v>
      </c>
      <c r="O5310">
        <v>-1.8006290000000001E-2</v>
      </c>
      <c r="P5310">
        <v>0.98147260000000003</v>
      </c>
      <c r="Q5310">
        <v>0.1736568</v>
      </c>
      <c r="R5310">
        <v>8.0961140000000001E-2</v>
      </c>
      <c r="S5310">
        <v>3.1127929999999999</v>
      </c>
      <c r="T5310">
        <v>-0.14651549999999999</v>
      </c>
      <c r="U5310">
        <v>-0.36520390000000003</v>
      </c>
      <c r="V5310">
        <v>-9.8545590000000002E-2</v>
      </c>
      <c r="W5310">
        <v>0.1869044</v>
      </c>
      <c r="X5310">
        <v>0.97742289999999998</v>
      </c>
      <c r="Y5310">
        <v>9.8491400000000007E-2</v>
      </c>
      <c r="Z5310">
        <v>-2.3743029999999999E-3</v>
      </c>
      <c r="AA5310">
        <v>0.99513510000000005</v>
      </c>
      <c r="AB5310">
        <v>30</v>
      </c>
      <c r="AC5310">
        <v>23.4254</v>
      </c>
      <c r="AD5310">
        <v>-1.1102067071449999</v>
      </c>
      <c r="AE5310">
        <v>-2.7642799999999998</v>
      </c>
      <c r="AF5310">
        <v>2.3368121128441302</v>
      </c>
      <c r="AG5310">
        <v>-1.1102067071449999</v>
      </c>
      <c r="AH5310">
        <v>23.419499730144</v>
      </c>
      <c r="AI5310">
        <v>92.700696585643996</v>
      </c>
      <c r="AJ5310">
        <v>84.3018524485543</v>
      </c>
      <c r="AK5310">
        <v>23.561965482394299</v>
      </c>
      <c r="AL5310">
        <v>79.227816711425803</v>
      </c>
      <c r="AM5310">
        <v>95.757211936608698</v>
      </c>
      <c r="AN5310">
        <v>1.0000000067460999</v>
      </c>
    </row>
    <row r="5311" spans="1:40" x14ac:dyDescent="0.25">
      <c r="A5311" t="str">
        <f>"20190304155522644"</f>
        <v>20190304155522644</v>
      </c>
      <c r="B5311" t="str">
        <f>"1551686122633475"</f>
        <v>1551686122633475</v>
      </c>
      <c r="C5311" t="s">
        <v>40</v>
      </c>
      <c r="D5311">
        <v>4.7529519999999996</v>
      </c>
      <c r="E5311">
        <v>0.5764667</v>
      </c>
      <c r="F5311" t="s">
        <v>74</v>
      </c>
      <c r="G5311">
        <v>-202.61</v>
      </c>
      <c r="H5311" s="1">
        <v>-4.775867E-6</v>
      </c>
      <c r="I5311">
        <v>-66.016540000000006</v>
      </c>
      <c r="J5311">
        <v>-226.04249999999999</v>
      </c>
      <c r="K5311">
        <v>1.1102080000000001</v>
      </c>
      <c r="L5311">
        <v>-63.227510000000002</v>
      </c>
      <c r="M5311">
        <v>0.99974430000000003</v>
      </c>
      <c r="N5311">
        <v>-1.353737E-2</v>
      </c>
      <c r="O5311">
        <v>-1.8117319999999999E-2</v>
      </c>
      <c r="P5311">
        <v>0.98146040000000001</v>
      </c>
      <c r="Q5311">
        <v>0.17357059999999999</v>
      </c>
      <c r="R5311">
        <v>8.1297190000000005E-2</v>
      </c>
      <c r="S5311">
        <v>3.1128849999999999</v>
      </c>
      <c r="T5311">
        <v>-0.146363299999999</v>
      </c>
      <c r="U5311">
        <v>-0.3681335</v>
      </c>
      <c r="V5311">
        <v>-9.8989670000000002E-2</v>
      </c>
      <c r="W5311">
        <v>0.18685940000000001</v>
      </c>
      <c r="X5311">
        <v>0.97738659999999999</v>
      </c>
      <c r="Y5311">
        <v>9.9300269999999996E-2</v>
      </c>
      <c r="Z5311">
        <v>-2.3963040000000001E-3</v>
      </c>
      <c r="AA5311">
        <v>0.99505460000000001</v>
      </c>
      <c r="AB5311">
        <v>30</v>
      </c>
      <c r="AC5311">
        <v>23.432499999999902</v>
      </c>
      <c r="AD5311">
        <v>-1.110212775867</v>
      </c>
      <c r="AE5311">
        <v>-2.7890300000000101</v>
      </c>
      <c r="AF5311">
        <v>2.3587781840633801</v>
      </c>
      <c r="AG5311">
        <v>-1.110212775867</v>
      </c>
      <c r="AH5311">
        <v>23.427332878601401</v>
      </c>
      <c r="AI5311">
        <v>92.699567755946106</v>
      </c>
      <c r="AJ5311">
        <v>84.250557329101895</v>
      </c>
      <c r="AK5311">
        <v>23.571939519990899</v>
      </c>
      <c r="AL5311">
        <v>79.230440946450997</v>
      </c>
      <c r="AM5311">
        <v>95.783193768120398</v>
      </c>
      <c r="AN5311">
        <v>0.99999997799731399</v>
      </c>
    </row>
    <row r="5312" spans="1:40" x14ac:dyDescent="0.25">
      <c r="A5312" t="str">
        <f>"20190304155522656"</f>
        <v>20190304155522656</v>
      </c>
      <c r="B5312" t="str">
        <f>"1551686122652995"</f>
        <v>1551686122652995</v>
      </c>
      <c r="C5312" t="s">
        <v>40</v>
      </c>
      <c r="D5312">
        <v>4.7793449999999904</v>
      </c>
      <c r="E5312">
        <v>0.58666569999999996</v>
      </c>
      <c r="F5312" t="s">
        <v>74</v>
      </c>
      <c r="G5312">
        <v>-202.38069999999999</v>
      </c>
      <c r="H5312" s="1">
        <v>-4.8586229999999999E-6</v>
      </c>
      <c r="I5312">
        <v>-66.039249999999996</v>
      </c>
      <c r="J5312">
        <v>-225.87260000000001</v>
      </c>
      <c r="K5312">
        <v>1.110215</v>
      </c>
      <c r="L5312">
        <v>-63.23068</v>
      </c>
      <c r="M5312">
        <v>0.99974189999999996</v>
      </c>
      <c r="N5312">
        <v>-1.357566E-2</v>
      </c>
      <c r="O5312">
        <v>-1.8221640000000001E-2</v>
      </c>
      <c r="P5312">
        <v>0.98146389999999994</v>
      </c>
      <c r="Q5312">
        <v>0.17334539999999901</v>
      </c>
      <c r="R5312">
        <v>8.1731600000000001E-2</v>
      </c>
      <c r="S5312">
        <v>3.1131289999999998</v>
      </c>
      <c r="T5312">
        <v>-0.14606830000000001</v>
      </c>
      <c r="U5312">
        <v>-0.36993409999999999</v>
      </c>
      <c r="V5312">
        <v>-9.9526900000000001E-2</v>
      </c>
      <c r="W5312">
        <v>0.186672</v>
      </c>
      <c r="X5312">
        <v>0.97736789999999996</v>
      </c>
      <c r="Y5312">
        <v>9.9754620000000002E-2</v>
      </c>
      <c r="Z5312">
        <v>-2.4060349999999999E-3</v>
      </c>
      <c r="AA5312">
        <v>0.99500920000000004</v>
      </c>
      <c r="AB5312">
        <v>30</v>
      </c>
      <c r="AC5312">
        <v>23.491900000000001</v>
      </c>
      <c r="AD5312">
        <v>-1.1102198586230001</v>
      </c>
      <c r="AE5312">
        <v>-2.80856999999998</v>
      </c>
      <c r="AF5312">
        <v>2.3747739969861699</v>
      </c>
      <c r="AG5312">
        <v>-1.1102198586230001</v>
      </c>
      <c r="AH5312">
        <v>23.487460950486401</v>
      </c>
      <c r="AI5312">
        <v>92.692570510401893</v>
      </c>
      <c r="AJ5312">
        <v>84.226549445958099</v>
      </c>
      <c r="AK5312">
        <v>23.633301960832</v>
      </c>
      <c r="AL5312">
        <v>79.241371005782298</v>
      </c>
      <c r="AM5312">
        <v>95.814475945691896</v>
      </c>
      <c r="AN5312">
        <v>1.000000025679</v>
      </c>
    </row>
    <row r="5313" spans="1:40" x14ac:dyDescent="0.25">
      <c r="A5313" t="str">
        <f>"20190304155522671"</f>
        <v>20190304155522671</v>
      </c>
      <c r="B5313" t="str">
        <f>"1551686122662755"</f>
        <v>1551686122662755</v>
      </c>
      <c r="C5313" t="s">
        <v>40</v>
      </c>
      <c r="D5313">
        <v>4.7645839999999904</v>
      </c>
      <c r="E5313">
        <v>0.58450190000000002</v>
      </c>
      <c r="F5313" t="s">
        <v>74</v>
      </c>
      <c r="G5313">
        <v>-204.95609999999999</v>
      </c>
      <c r="H5313" s="1">
        <v>-3.9929990000000003E-6</v>
      </c>
      <c r="I5313">
        <v>-66.243259999999907</v>
      </c>
      <c r="J5313">
        <v>-225.68819999999999</v>
      </c>
      <c r="K5313">
        <v>1.1102190000000001</v>
      </c>
      <c r="L5313">
        <v>-63.234160000000003</v>
      </c>
      <c r="M5313">
        <v>0.99973920000000005</v>
      </c>
      <c r="N5313">
        <v>-1.361499E-2</v>
      </c>
      <c r="O5313">
        <v>-1.8332749999999998E-2</v>
      </c>
      <c r="P5313">
        <v>0.98146960000000005</v>
      </c>
      <c r="Q5313">
        <v>0.17293249999999999</v>
      </c>
      <c r="R5313">
        <v>8.2533759999999998E-2</v>
      </c>
      <c r="S5313">
        <v>3.1233979999999999</v>
      </c>
      <c r="T5313">
        <v>-0.16578579999999901</v>
      </c>
      <c r="U5313">
        <v>-0.44985960000000003</v>
      </c>
      <c r="V5313">
        <v>-0.10043870000000001</v>
      </c>
      <c r="W5313">
        <v>0.18629770000000001</v>
      </c>
      <c r="X5313">
        <v>0.97734600000000005</v>
      </c>
      <c r="Y5313">
        <v>0.1241848</v>
      </c>
      <c r="Z5313">
        <v>-3.4083360000000001E-3</v>
      </c>
      <c r="AA5313">
        <v>0.99225319999999995</v>
      </c>
      <c r="AB5313">
        <v>30</v>
      </c>
      <c r="AC5313">
        <v>20.732099999999999</v>
      </c>
      <c r="AD5313">
        <v>-1.110222992999</v>
      </c>
      <c r="AE5313">
        <v>-3.0090999999999899</v>
      </c>
      <c r="AF5313">
        <v>2.6211210358369601</v>
      </c>
      <c r="AG5313">
        <v>-1.110222992999</v>
      </c>
      <c r="AH5313">
        <v>20.7255768111444</v>
      </c>
      <c r="AI5313">
        <v>93.042091393837396</v>
      </c>
      <c r="AJ5313">
        <v>82.792185766512802</v>
      </c>
      <c r="AK5313">
        <v>20.920143516078902</v>
      </c>
      <c r="AL5313">
        <v>79.263199292529904</v>
      </c>
      <c r="AM5313">
        <v>95.867504945844502</v>
      </c>
      <c r="AN5313">
        <v>0.99999998459948902</v>
      </c>
    </row>
    <row r="5314" spans="1:40" x14ac:dyDescent="0.25">
      <c r="A5314" t="str">
        <f>"20190304155522683"</f>
        <v>20190304155522683</v>
      </c>
      <c r="B5314" t="str">
        <f>"1551686122673491"</f>
        <v>1551686122673491</v>
      </c>
      <c r="C5314" t="s">
        <v>40</v>
      </c>
      <c r="D5314">
        <v>4.8257789999999998</v>
      </c>
      <c r="E5314">
        <v>0.58305410000000002</v>
      </c>
      <c r="F5314" t="s">
        <v>74</v>
      </c>
      <c r="G5314">
        <v>-204.47200000000001</v>
      </c>
      <c r="H5314" s="1">
        <v>-4.149391E-6</v>
      </c>
      <c r="I5314">
        <v>-66.159540000000007</v>
      </c>
      <c r="J5314">
        <v>-225.5138</v>
      </c>
      <c r="K5314">
        <v>1.11022</v>
      </c>
      <c r="L5314">
        <v>-63.237459999999999</v>
      </c>
      <c r="M5314">
        <v>0.99973690000000004</v>
      </c>
      <c r="N5314">
        <v>-1.365067E-2</v>
      </c>
      <c r="O5314">
        <v>-1.843668E-2</v>
      </c>
      <c r="P5314">
        <v>0.98145079999999996</v>
      </c>
      <c r="Q5314">
        <v>0.17280400000000001</v>
      </c>
      <c r="R5314">
        <v>8.3025639999999998E-2</v>
      </c>
      <c r="S5314">
        <v>3.121613</v>
      </c>
      <c r="T5314">
        <v>-0.16335079999999999</v>
      </c>
      <c r="U5314">
        <v>-0.43041990000000002</v>
      </c>
      <c r="V5314">
        <v>-0.10103289999999999</v>
      </c>
      <c r="W5314">
        <v>0.18620310000000001</v>
      </c>
      <c r="X5314">
        <v>0.97730280000000003</v>
      </c>
      <c r="Y5314">
        <v>0.1181157</v>
      </c>
      <c r="Z5314">
        <v>-3.1757370000000001E-3</v>
      </c>
      <c r="AA5314">
        <v>0.99299479999999996</v>
      </c>
      <c r="AB5314">
        <v>30</v>
      </c>
      <c r="AC5314">
        <v>21.041799999999899</v>
      </c>
      <c r="AD5314">
        <v>-1.1102241493909999</v>
      </c>
      <c r="AE5314">
        <v>-2.9220799999999998</v>
      </c>
      <c r="AF5314">
        <v>2.5267051425270499</v>
      </c>
      <c r="AG5314">
        <v>-1.1102241493909999</v>
      </c>
      <c r="AH5314">
        <v>21.034650638257801</v>
      </c>
      <c r="AI5314">
        <v>92.999784636744195</v>
      </c>
      <c r="AJ5314">
        <v>83.150387281082502</v>
      </c>
      <c r="AK5314">
        <v>21.214932571486599</v>
      </c>
      <c r="AL5314">
        <v>79.268716193191096</v>
      </c>
      <c r="AM5314">
        <v>95.902232103080905</v>
      </c>
      <c r="AN5314">
        <v>1.00000000210993</v>
      </c>
    </row>
    <row r="5315" spans="1:40" x14ac:dyDescent="0.25">
      <c r="A5315" t="str">
        <f>"20190304155522693"</f>
        <v>20190304155522693</v>
      </c>
      <c r="B5315" t="str">
        <f>"1551686122683251"</f>
        <v>1551686122683251</v>
      </c>
      <c r="C5315" t="s">
        <v>40</v>
      </c>
      <c r="D5315">
        <v>4.7853859999999999</v>
      </c>
      <c r="E5315">
        <v>0.5830495</v>
      </c>
      <c r="F5315" t="s">
        <v>74</v>
      </c>
      <c r="G5315">
        <v>-204.52699999999999</v>
      </c>
      <c r="H5315" s="1">
        <v>-4.1141439999999997E-6</v>
      </c>
      <c r="I5315">
        <v>-66.043430000000001</v>
      </c>
      <c r="J5315">
        <v>-225.3595</v>
      </c>
      <c r="K5315">
        <v>1.1102259999999999</v>
      </c>
      <c r="L5315">
        <v>-63.240419999999901</v>
      </c>
      <c r="M5315">
        <v>0.99973500000000004</v>
      </c>
      <c r="N5315">
        <v>-1.3679810000000001E-2</v>
      </c>
      <c r="O5315">
        <v>-1.8524929999999998E-2</v>
      </c>
      <c r="P5315">
        <v>0.98145479999999996</v>
      </c>
      <c r="Q5315">
        <v>0.17247119999999999</v>
      </c>
      <c r="R5315">
        <v>8.3668720000000002E-2</v>
      </c>
      <c r="S5315">
        <v>3.1210939999999998</v>
      </c>
      <c r="T5315">
        <v>-0.16510939999999999</v>
      </c>
      <c r="U5315">
        <v>-0.41729739999999999</v>
      </c>
      <c r="V5315">
        <v>-0.10176350000000001</v>
      </c>
      <c r="W5315">
        <v>0.18589810000000001</v>
      </c>
      <c r="X5315">
        <v>0.97728510000000002</v>
      </c>
      <c r="Y5315">
        <v>0.113953399999999</v>
      </c>
      <c r="Z5315">
        <v>-3.059941E-3</v>
      </c>
      <c r="AA5315">
        <v>0.99348139999999996</v>
      </c>
      <c r="AB5315">
        <v>30</v>
      </c>
      <c r="AC5315">
        <v>20.8324999999999</v>
      </c>
      <c r="AD5315">
        <v>-1.1102301141440001</v>
      </c>
      <c r="AE5315">
        <v>-2.80301</v>
      </c>
      <c r="AF5315">
        <v>2.40984960399018</v>
      </c>
      <c r="AG5315">
        <v>-1.1102301141440001</v>
      </c>
      <c r="AH5315">
        <v>20.8227664310484</v>
      </c>
      <c r="AI5315">
        <v>93.031813506834894</v>
      </c>
      <c r="AJ5315">
        <v>83.398443284393295</v>
      </c>
      <c r="AK5315">
        <v>20.9911311715734</v>
      </c>
      <c r="AL5315">
        <v>79.286502354045993</v>
      </c>
      <c r="AM5315">
        <v>95.944715300605097</v>
      </c>
      <c r="AN5315">
        <v>1.00000004009893</v>
      </c>
    </row>
    <row r="5316" spans="1:40" x14ac:dyDescent="0.25">
      <c r="A5316" t="str">
        <f>"20190304155522704"</f>
        <v>20190304155522704</v>
      </c>
      <c r="B5316" t="str">
        <f>"1551686122693011"</f>
        <v>1551686122693011</v>
      </c>
      <c r="C5316" t="s">
        <v>40</v>
      </c>
      <c r="D5316">
        <v>4.5864699999999896</v>
      </c>
      <c r="E5316">
        <v>0.5830495</v>
      </c>
      <c r="F5316" t="s">
        <v>74</v>
      </c>
      <c r="G5316">
        <v>-203.85210000000001</v>
      </c>
      <c r="H5316" s="1">
        <v>-4.3566480000000004E-6</v>
      </c>
      <c r="I5316">
        <v>-66.10257</v>
      </c>
      <c r="J5316">
        <v>-225.22640000000001</v>
      </c>
      <c r="K5316">
        <v>1.110231</v>
      </c>
      <c r="L5316">
        <v>-63.24295</v>
      </c>
      <c r="M5316">
        <v>0.99973310000000004</v>
      </c>
      <c r="N5316">
        <v>-1.370496E-2</v>
      </c>
      <c r="O5316">
        <v>-1.85992E-2</v>
      </c>
      <c r="P5316">
        <v>0.9814408</v>
      </c>
      <c r="Q5316">
        <v>0.17231250000000001</v>
      </c>
      <c r="R5316">
        <v>8.415773E-2</v>
      </c>
      <c r="S5316">
        <v>3.120377</v>
      </c>
      <c r="T5316">
        <v>-0.16107650000000001</v>
      </c>
      <c r="U5316">
        <v>-0.41525269999999997</v>
      </c>
      <c r="V5316">
        <v>-0.10232670000000001</v>
      </c>
      <c r="W5316">
        <v>0.18576319999999999</v>
      </c>
      <c r="X5316">
        <v>0.97725189999999995</v>
      </c>
      <c r="Y5316">
        <v>0.11327859999999999</v>
      </c>
      <c r="Z5316">
        <v>-2.9881859999999999E-3</v>
      </c>
      <c r="AA5316">
        <v>0.99355879999999996</v>
      </c>
      <c r="AB5316">
        <v>30</v>
      </c>
      <c r="AC5316">
        <v>21.374300000000002</v>
      </c>
      <c r="AD5316">
        <v>-1.1102353566480001</v>
      </c>
      <c r="AE5316">
        <v>-2.8596200000000001</v>
      </c>
      <c r="AF5316">
        <v>2.4550357566716099</v>
      </c>
      <c r="AG5316">
        <v>-1.1102353566480001</v>
      </c>
      <c r="AH5316">
        <v>21.367158172217799</v>
      </c>
      <c r="AI5316">
        <v>92.955001552613993</v>
      </c>
      <c r="AJ5316">
        <v>83.445592682765394</v>
      </c>
      <c r="AK5316">
        <v>21.536370898325899</v>
      </c>
      <c r="AL5316">
        <v>79.2943681141182</v>
      </c>
      <c r="AM5316">
        <v>95.977579784322003</v>
      </c>
      <c r="AN5316">
        <v>0.99999999803036999</v>
      </c>
    </row>
    <row r="5317" spans="1:40" x14ac:dyDescent="0.25">
      <c r="A5317" t="str">
        <f>"20190304155522714"</f>
        <v>20190304155522714</v>
      </c>
      <c r="B5317" t="str">
        <f>"1551686122702771"</f>
        <v>1551686122702771</v>
      </c>
      <c r="C5317" t="s">
        <v>40</v>
      </c>
      <c r="D5317">
        <v>4.7928309999999996</v>
      </c>
      <c r="E5317">
        <v>0.57698169999999904</v>
      </c>
      <c r="F5317" t="s">
        <v>74</v>
      </c>
      <c r="G5317">
        <v>-203.77799999999999</v>
      </c>
      <c r="H5317" s="1">
        <v>-4.380154E-6</v>
      </c>
      <c r="I5317">
        <v>-66.086600000000004</v>
      </c>
      <c r="J5317">
        <v>-225.07980000000001</v>
      </c>
      <c r="K5317">
        <v>1.110239</v>
      </c>
      <c r="L5317">
        <v>-63.245759999999997</v>
      </c>
      <c r="M5317">
        <v>0.99973140000000005</v>
      </c>
      <c r="N5317">
        <v>-1.37327E-2</v>
      </c>
      <c r="O5317">
        <v>-1.8677639999999999E-2</v>
      </c>
      <c r="P5317">
        <v>0.98147130000000005</v>
      </c>
      <c r="Q5317">
        <v>0.17179049999999901</v>
      </c>
      <c r="R5317">
        <v>8.4866199999999906E-2</v>
      </c>
      <c r="S5317">
        <v>3.1205599999999998</v>
      </c>
      <c r="T5317">
        <v>-0.1615299</v>
      </c>
      <c r="U5317">
        <v>-0.41372680000000001</v>
      </c>
      <c r="V5317">
        <v>-0.1031142</v>
      </c>
      <c r="W5317">
        <v>0.18526790000000001</v>
      </c>
      <c r="X5317">
        <v>0.9772632</v>
      </c>
      <c r="Y5317">
        <v>0.1127157</v>
      </c>
      <c r="Z5317">
        <v>-2.9743590000000002E-3</v>
      </c>
      <c r="AA5317">
        <v>0.99362280000000003</v>
      </c>
      <c r="AB5317">
        <v>30</v>
      </c>
      <c r="AC5317">
        <v>21.3018</v>
      </c>
      <c r="AD5317">
        <v>-1.1102433801539999</v>
      </c>
      <c r="AE5317">
        <v>-2.84084</v>
      </c>
      <c r="AF5317">
        <v>2.4359380287485299</v>
      </c>
      <c r="AG5317">
        <v>-1.1102433801539999</v>
      </c>
      <c r="AH5317">
        <v>21.294314148678801</v>
      </c>
      <c r="AI5317">
        <v>92.965282207163796</v>
      </c>
      <c r="AJ5317">
        <v>83.474083943576801</v>
      </c>
      <c r="AK5317">
        <v>21.461925577769101</v>
      </c>
      <c r="AL5317">
        <v>79.323248565930299</v>
      </c>
      <c r="AM5317">
        <v>96.023176830467904</v>
      </c>
      <c r="AN5317">
        <v>1.0000000475431401</v>
      </c>
    </row>
    <row r="5318" spans="1:40" x14ac:dyDescent="0.25">
      <c r="A5318" t="str">
        <f>"20190304155522726"</f>
        <v>20190304155522726</v>
      </c>
      <c r="B5318" t="str">
        <f>"1551686122723267"</f>
        <v>1551686122723267</v>
      </c>
      <c r="C5318" t="s">
        <v>40</v>
      </c>
      <c r="D5318">
        <v>4.6914540000000002</v>
      </c>
      <c r="E5318">
        <v>0.4910677</v>
      </c>
      <c r="F5318" t="s">
        <v>74</v>
      </c>
      <c r="G5318">
        <v>-193.42070000000001</v>
      </c>
      <c r="H5318" s="1">
        <v>-8.8597769999999999E-6</v>
      </c>
      <c r="I5318">
        <v>-66.943280000000001</v>
      </c>
      <c r="J5318">
        <v>-224.93700000000001</v>
      </c>
      <c r="K5318">
        <v>1.1102459999999901</v>
      </c>
      <c r="L5318">
        <v>-63.248539999999998</v>
      </c>
      <c r="M5318">
        <v>0.9997296</v>
      </c>
      <c r="N5318">
        <v>-1.3759449999999999E-2</v>
      </c>
      <c r="O5318">
        <v>-1.8749849999999998E-2</v>
      </c>
      <c r="P5318">
        <v>0.98144399999999998</v>
      </c>
      <c r="Q5318">
        <v>0.17174519999999999</v>
      </c>
      <c r="R5318">
        <v>8.527266E-2</v>
      </c>
      <c r="S5318">
        <v>3.1071010000000001</v>
      </c>
      <c r="T5318">
        <v>-0.1089625</v>
      </c>
      <c r="U5318">
        <v>-0.3628845</v>
      </c>
      <c r="V5318">
        <v>-0.1035932</v>
      </c>
      <c r="W5318">
        <v>0.1852473</v>
      </c>
      <c r="X5318">
        <v>0.97721639999999999</v>
      </c>
      <c r="Y5318">
        <v>9.7279850000000001E-2</v>
      </c>
      <c r="Z5318">
        <v>-1.9735519999999999E-3</v>
      </c>
      <c r="AA5318">
        <v>0.99525509999999995</v>
      </c>
      <c r="AB5318">
        <v>30</v>
      </c>
      <c r="AC5318">
        <v>31.516300000000001</v>
      </c>
      <c r="AD5318">
        <v>-1.1102548597769999</v>
      </c>
      <c r="AE5318">
        <v>-3.6947399999999901</v>
      </c>
      <c r="AF5318">
        <v>3.0993144338666099</v>
      </c>
      <c r="AG5318">
        <v>-1.1102548597769999</v>
      </c>
      <c r="AH5318">
        <v>31.541428429023298</v>
      </c>
      <c r="AI5318">
        <v>92.006318238375798</v>
      </c>
      <c r="AJ5318">
        <v>84.388034781210607</v>
      </c>
      <c r="AK5318">
        <v>31.712775393472501</v>
      </c>
      <c r="AL5318">
        <v>79.324449166827506</v>
      </c>
      <c r="AM5318">
        <v>96.051237036031907</v>
      </c>
      <c r="AN5318">
        <v>1.0000000028362399</v>
      </c>
    </row>
    <row r="5319" spans="1:40" x14ac:dyDescent="0.25">
      <c r="A5319" t="str">
        <f>"20190304155522737"</f>
        <v>20190304155522737</v>
      </c>
      <c r="B5319" t="str">
        <f>"1551686122733027"</f>
        <v>1551686122733027</v>
      </c>
      <c r="C5319" t="s">
        <v>40</v>
      </c>
      <c r="D5319">
        <v>4.5260199999999999</v>
      </c>
      <c r="E5319">
        <v>0.48487409999999997</v>
      </c>
      <c r="F5319" t="s">
        <v>74</v>
      </c>
      <c r="G5319">
        <v>-182.9821</v>
      </c>
      <c r="H5319" s="1">
        <v>-1.393535E-5</v>
      </c>
      <c r="I5319">
        <v>-58.81953</v>
      </c>
      <c r="J5319">
        <v>-224.77850000000001</v>
      </c>
      <c r="K5319">
        <v>1.1102559999999999</v>
      </c>
      <c r="L5319">
        <v>-63.251559999999998</v>
      </c>
      <c r="M5319">
        <v>0.99972780000000006</v>
      </c>
      <c r="N5319">
        <v>-1.3788709999999999E-2</v>
      </c>
      <c r="O5319">
        <v>-1.882431E-2</v>
      </c>
      <c r="P5319">
        <v>0.98144310000000001</v>
      </c>
      <c r="Q5319">
        <v>0.17150770000000001</v>
      </c>
      <c r="R5319">
        <v>8.5758529999999999E-2</v>
      </c>
      <c r="S5319">
        <v>3.0429080000000002</v>
      </c>
      <c r="T5319">
        <v>-8.0525159999999998E-2</v>
      </c>
      <c r="U5319">
        <v>0.32122800000000001</v>
      </c>
      <c r="V5319">
        <v>-0.1041556</v>
      </c>
      <c r="W5319">
        <v>0.18503639999999999</v>
      </c>
      <c r="X5319">
        <v>0.97719659999999997</v>
      </c>
      <c r="Y5319">
        <v>-0.1236194</v>
      </c>
      <c r="Z5319">
        <v>2.723778E-3</v>
      </c>
      <c r="AA5319">
        <v>0.99232600000000004</v>
      </c>
      <c r="AB5319">
        <v>30</v>
      </c>
      <c r="AC5319">
        <v>41.796399999999998</v>
      </c>
      <c r="AD5319">
        <v>-1.1102699353499901</v>
      </c>
      <c r="AE5319">
        <v>4.4320299999999904</v>
      </c>
      <c r="AF5319">
        <v>-5.2144690677992598</v>
      </c>
      <c r="AG5319">
        <v>-1.1102699353499901</v>
      </c>
      <c r="AH5319">
        <v>41.6764733950953</v>
      </c>
      <c r="AI5319">
        <v>91.514210080044506</v>
      </c>
      <c r="AJ5319">
        <v>97.131662405761205</v>
      </c>
      <c r="AK5319">
        <v>42.016090032753702</v>
      </c>
      <c r="AL5319">
        <v>79.336745684213795</v>
      </c>
      <c r="AM5319">
        <v>96.083965392661796</v>
      </c>
      <c r="AN5319">
        <v>1.00000002669393</v>
      </c>
    </row>
    <row r="5320" spans="1:40" x14ac:dyDescent="0.25">
      <c r="A5320" t="str">
        <f>"20190304155522750"</f>
        <v>20190304155522750</v>
      </c>
      <c r="B5320" t="str">
        <f>"1551686122742787"</f>
        <v>1551686122742787</v>
      </c>
      <c r="C5320" t="s">
        <v>40</v>
      </c>
      <c r="D5320">
        <v>4.6359209999999997</v>
      </c>
      <c r="E5320">
        <v>0.48237989999999997</v>
      </c>
      <c r="F5320" t="s">
        <v>74</v>
      </c>
      <c r="G5320">
        <v>-185.00810000000001</v>
      </c>
      <c r="H5320" s="1">
        <v>-1.3353779999999999E-5</v>
      </c>
      <c r="I5320">
        <v>-58.384880000000003</v>
      </c>
      <c r="J5320">
        <v>-224.6103</v>
      </c>
      <c r="K5320">
        <v>1.1102719999999999</v>
      </c>
      <c r="L5320">
        <v>-63.254820000000002</v>
      </c>
      <c r="M5320">
        <v>0.99972609999999995</v>
      </c>
      <c r="N5320">
        <v>-1.381804E-2</v>
      </c>
      <c r="O5320">
        <v>-1.8892989999999998E-2</v>
      </c>
      <c r="P5320">
        <v>0.98140930000000004</v>
      </c>
      <c r="Q5320">
        <v>0.1713684</v>
      </c>
      <c r="R5320">
        <v>8.6423130000000001E-2</v>
      </c>
      <c r="S5320">
        <v>3.0390470000000001</v>
      </c>
      <c r="T5320">
        <v>-8.4841250000000007E-2</v>
      </c>
      <c r="U5320">
        <v>0.37188719999999997</v>
      </c>
      <c r="V5320">
        <v>-0.10489179999999999</v>
      </c>
      <c r="W5320">
        <v>0.184922</v>
      </c>
      <c r="X5320">
        <v>0.97713950000000005</v>
      </c>
      <c r="Y5320">
        <v>-0.14011419999999999</v>
      </c>
      <c r="Z5320">
        <v>3.1856060000000001E-3</v>
      </c>
      <c r="AA5320">
        <v>0.99013019999999996</v>
      </c>
      <c r="AB5320">
        <v>30</v>
      </c>
      <c r="AC5320">
        <v>39.602199999999897</v>
      </c>
      <c r="AD5320">
        <v>-1.1102853537799999</v>
      </c>
      <c r="AE5320">
        <v>4.8699399999999899</v>
      </c>
      <c r="AF5320">
        <v>-5.6129997791249702</v>
      </c>
      <c r="AG5320">
        <v>-1.1102853537799999</v>
      </c>
      <c r="AH5320">
        <v>39.472549795691002</v>
      </c>
      <c r="AI5320">
        <v>91.595154427605195</v>
      </c>
      <c r="AJ5320">
        <v>98.093205032535494</v>
      </c>
      <c r="AK5320">
        <v>39.885093549602999</v>
      </c>
      <c r="AL5320">
        <v>79.343415343091706</v>
      </c>
      <c r="AM5320">
        <v>96.126997884100405</v>
      </c>
      <c r="AN5320">
        <v>1.0000000191257401</v>
      </c>
    </row>
    <row r="5321" spans="1:40" x14ac:dyDescent="0.25">
      <c r="A5321" t="str">
        <f>"20190304155522764"</f>
        <v>20190304155522764</v>
      </c>
      <c r="B5321" t="str">
        <f>"1551686122753523"</f>
        <v>1551686122753523</v>
      </c>
      <c r="C5321" t="s">
        <v>40</v>
      </c>
      <c r="D5321">
        <v>4.6230669999999998</v>
      </c>
      <c r="E5321">
        <v>0.48060039999999998</v>
      </c>
      <c r="F5321" t="s">
        <v>74</v>
      </c>
      <c r="G5321">
        <v>-188.9211</v>
      </c>
      <c r="H5321" s="1">
        <v>-1.256457E-5</v>
      </c>
      <c r="I5321">
        <v>-58.631819999999998</v>
      </c>
      <c r="J5321">
        <v>-224.42590000000001</v>
      </c>
      <c r="K5321">
        <v>1.11029</v>
      </c>
      <c r="L5321">
        <v>-63.258360000000003</v>
      </c>
      <c r="M5321">
        <v>0.99972439999999996</v>
      </c>
      <c r="N5321">
        <v>-1.384882E-2</v>
      </c>
      <c r="O5321">
        <v>-1.8960080000000001E-2</v>
      </c>
      <c r="P5321">
        <v>0.98135269999999997</v>
      </c>
      <c r="Q5321">
        <v>0.17132500000000001</v>
      </c>
      <c r="R5321">
        <v>8.7148169999999997E-2</v>
      </c>
      <c r="S5321">
        <v>3.038681</v>
      </c>
      <c r="T5321">
        <v>-9.4532850000000002E-2</v>
      </c>
      <c r="U5321">
        <v>0.39361570000000001</v>
      </c>
      <c r="V5321">
        <v>-0.105687</v>
      </c>
      <c r="W5321">
        <v>0.18490470000000001</v>
      </c>
      <c r="X5321">
        <v>0.97705699999999995</v>
      </c>
      <c r="Y5321">
        <v>-0.14713899999999999</v>
      </c>
      <c r="Z5321">
        <v>3.6281719999999998E-3</v>
      </c>
      <c r="AA5321">
        <v>0.98910920000000002</v>
      </c>
      <c r="AB5321">
        <v>30</v>
      </c>
      <c r="AC5321">
        <v>35.504800000000003</v>
      </c>
      <c r="AD5321">
        <v>-1.11030256457</v>
      </c>
      <c r="AE5321">
        <v>4.6265399999999897</v>
      </c>
      <c r="AF5321">
        <v>-5.2938559503955496</v>
      </c>
      <c r="AG5321">
        <v>-1.11030256457</v>
      </c>
      <c r="AH5321">
        <v>35.376670176512398</v>
      </c>
      <c r="AI5321">
        <v>91.777864648272299</v>
      </c>
      <c r="AJ5321">
        <v>98.510736142979894</v>
      </c>
      <c r="AK5321">
        <v>35.787797856059399</v>
      </c>
      <c r="AL5321">
        <v>79.3444230538406</v>
      </c>
      <c r="AM5321">
        <v>96.173607466211095</v>
      </c>
      <c r="AN5321">
        <v>0.99999993565004197</v>
      </c>
    </row>
    <row r="5322" spans="1:40" x14ac:dyDescent="0.25">
      <c r="A5322" t="str">
        <f>"20190304155522776"</f>
        <v>20190304155522776</v>
      </c>
      <c r="B5322" t="str">
        <f>"1551686122773043"</f>
        <v>1551686122773043</v>
      </c>
      <c r="C5322" t="s">
        <v>40</v>
      </c>
      <c r="D5322">
        <v>4.6104669999999999</v>
      </c>
      <c r="E5322">
        <v>0.4773773</v>
      </c>
      <c r="F5322" t="s">
        <v>74</v>
      </c>
      <c r="G5322">
        <v>-189.57640000000001</v>
      </c>
      <c r="H5322" s="1">
        <v>-1.23963E-5</v>
      </c>
      <c r="I5322">
        <v>-58.555759999999999</v>
      </c>
      <c r="J5322">
        <v>-224.2508</v>
      </c>
      <c r="K5322">
        <v>1.1103099999999999</v>
      </c>
      <c r="L5322">
        <v>-63.261749999999999</v>
      </c>
      <c r="M5322">
        <v>0.99972309999999998</v>
      </c>
      <c r="N5322">
        <v>-1.387557E-2</v>
      </c>
      <c r="O5322">
        <v>-1.9007679999999999E-2</v>
      </c>
      <c r="P5322">
        <v>0.98127589999999998</v>
      </c>
      <c r="Q5322">
        <v>0.17144949999999901</v>
      </c>
      <c r="R5322">
        <v>8.7765570000000001E-2</v>
      </c>
      <c r="S5322">
        <v>3.037506</v>
      </c>
      <c r="T5322">
        <v>-9.6774700000000005E-2</v>
      </c>
      <c r="U5322">
        <v>0.40988160000000001</v>
      </c>
      <c r="V5322">
        <v>-0.1063558</v>
      </c>
      <c r="W5322">
        <v>0.1850504</v>
      </c>
      <c r="X5322">
        <v>0.97695690000000002</v>
      </c>
      <c r="Y5322">
        <v>-0.15243010000000001</v>
      </c>
      <c r="Z5322">
        <v>3.8197859999999999E-3</v>
      </c>
      <c r="AA5322">
        <v>0.98830689999999999</v>
      </c>
      <c r="AB5322">
        <v>30</v>
      </c>
      <c r="AC5322">
        <v>34.674399999999899</v>
      </c>
      <c r="AD5322">
        <v>-1.1103223963</v>
      </c>
      <c r="AE5322">
        <v>4.7059899999999999</v>
      </c>
      <c r="AF5322">
        <v>-5.3588875084487597</v>
      </c>
      <c r="AG5322">
        <v>-1.1103223963</v>
      </c>
      <c r="AH5322">
        <v>34.543896261957002</v>
      </c>
      <c r="AI5322">
        <v>91.819241789013702</v>
      </c>
      <c r="AJ5322">
        <v>98.818156979545705</v>
      </c>
      <c r="AK5322">
        <v>34.974723159859003</v>
      </c>
      <c r="AL5322">
        <v>79.3359291116778</v>
      </c>
      <c r="AM5322">
        <v>96.213001819050902</v>
      </c>
      <c r="AN5322">
        <v>0.99999999559570496</v>
      </c>
    </row>
    <row r="5323" spans="1:40" x14ac:dyDescent="0.25">
      <c r="A5323" t="str">
        <f>"20190304155522789"</f>
        <v>20190304155522789</v>
      </c>
      <c r="B5323" t="str">
        <f>"1551686122782803"</f>
        <v>1551686122782803</v>
      </c>
      <c r="C5323" t="s">
        <v>40</v>
      </c>
      <c r="D5323">
        <v>4.6008370000000003</v>
      </c>
      <c r="E5323">
        <v>0.47614820000000002</v>
      </c>
      <c r="F5323" t="s">
        <v>74</v>
      </c>
      <c r="G5323">
        <v>-196.29509999999999</v>
      </c>
      <c r="H5323" s="1">
        <v>-7.2767759999999997E-6</v>
      </c>
      <c r="I5323">
        <v>-59.23883</v>
      </c>
      <c r="J5323">
        <v>-224.07300000000001</v>
      </c>
      <c r="K5323">
        <v>1.110331</v>
      </c>
      <c r="L5323">
        <v>-63.265169999999998</v>
      </c>
      <c r="M5323">
        <v>0.99972209999999995</v>
      </c>
      <c r="N5323">
        <v>-1.3900879999999999E-2</v>
      </c>
      <c r="O5323">
        <v>-1.9044769999999999E-2</v>
      </c>
      <c r="P5323">
        <v>0.98121510000000001</v>
      </c>
      <c r="Q5323">
        <v>0.17142939999999901</v>
      </c>
      <c r="R5323">
        <v>8.8484030000000005E-2</v>
      </c>
      <c r="S5323">
        <v>3.0391849999999998</v>
      </c>
      <c r="T5323">
        <v>-0.1207073</v>
      </c>
      <c r="U5323">
        <v>0.4373474</v>
      </c>
      <c r="V5323">
        <v>-0.1071175</v>
      </c>
      <c r="W5323">
        <v>0.18504999999999999</v>
      </c>
      <c r="X5323">
        <v>0.97687380000000001</v>
      </c>
      <c r="Y5323">
        <v>-0.16108710000000001</v>
      </c>
      <c r="Z5323">
        <v>4.7965320000000001E-3</v>
      </c>
      <c r="AA5323">
        <v>0.98692849999999999</v>
      </c>
      <c r="AB5323">
        <v>30</v>
      </c>
      <c r="AC5323">
        <v>27.777899999999899</v>
      </c>
      <c r="AD5323">
        <v>-1.1103382767759999</v>
      </c>
      <c r="AE5323">
        <v>4.0263399999999896</v>
      </c>
      <c r="AF5323">
        <v>-4.5475679772905604</v>
      </c>
      <c r="AG5323">
        <v>-1.1103382767759999</v>
      </c>
      <c r="AH5323">
        <v>27.652899328467999</v>
      </c>
      <c r="AI5323">
        <v>92.268901126033995</v>
      </c>
      <c r="AJ5323">
        <v>99.338803117480197</v>
      </c>
      <c r="AK5323">
        <v>28.046320023620499</v>
      </c>
      <c r="AL5323">
        <v>79.335952924963905</v>
      </c>
      <c r="AM5323">
        <v>96.257674507867605</v>
      </c>
      <c r="AN5323">
        <v>1.0000000412163399</v>
      </c>
    </row>
    <row r="5324" spans="1:40" x14ac:dyDescent="0.25">
      <c r="A5324" t="str">
        <f>"20190304155522804"</f>
        <v>20190304155522804</v>
      </c>
      <c r="B5324" t="str">
        <f>"1551686122793540"</f>
        <v>1551686122793540</v>
      </c>
      <c r="C5324" t="s">
        <v>40</v>
      </c>
      <c r="D5324">
        <v>4.6030759999999997</v>
      </c>
      <c r="E5324">
        <v>0.475184</v>
      </c>
      <c r="F5324" t="s">
        <v>74</v>
      </c>
      <c r="G5324">
        <v>-198.48230000000001</v>
      </c>
      <c r="H5324" s="1">
        <v>-7.4369619999999902E-6</v>
      </c>
      <c r="I5324">
        <v>-59.483370000000001</v>
      </c>
      <c r="J5324">
        <v>-223.8811</v>
      </c>
      <c r="K5324">
        <v>1.110347</v>
      </c>
      <c r="L5324">
        <v>-63.268830000000001</v>
      </c>
      <c r="M5324">
        <v>0.99972110000000003</v>
      </c>
      <c r="N5324">
        <v>-1.3926549999999999E-2</v>
      </c>
      <c r="O5324">
        <v>-1.9075290000000002E-2</v>
      </c>
      <c r="P5324">
        <v>0.98108519999999999</v>
      </c>
      <c r="Q5324">
        <v>0.17148160000000001</v>
      </c>
      <c r="R5324">
        <v>8.9811420000000003E-2</v>
      </c>
      <c r="S5324">
        <v>3.0399780000000001</v>
      </c>
      <c r="T5324">
        <v>-0.13189979999999901</v>
      </c>
      <c r="U5324">
        <v>0.44924930000000002</v>
      </c>
      <c r="V5324">
        <v>-0.1084793</v>
      </c>
      <c r="W5324">
        <v>0.18512029999999999</v>
      </c>
      <c r="X5324">
        <v>0.97671010000000003</v>
      </c>
      <c r="Y5324">
        <v>-0.16482869999999999</v>
      </c>
      <c r="Z5324">
        <v>5.2685529999999996E-3</v>
      </c>
      <c r="AA5324">
        <v>0.98630819999999997</v>
      </c>
      <c r="AB5324">
        <v>30</v>
      </c>
      <c r="AC5324">
        <v>25.398799999999898</v>
      </c>
      <c r="AD5324">
        <v>-1.110354436962</v>
      </c>
      <c r="AE5324">
        <v>3.78546</v>
      </c>
      <c r="AF5324">
        <v>-4.2613404205989101</v>
      </c>
      <c r="AG5324">
        <v>-1.110354436962</v>
      </c>
      <c r="AH5324">
        <v>25.274707726200901</v>
      </c>
      <c r="AI5324">
        <v>92.480504897318994</v>
      </c>
      <c r="AJ5324">
        <v>99.570120749418805</v>
      </c>
      <c r="AK5324">
        <v>25.655462572341001</v>
      </c>
      <c r="AL5324">
        <v>79.331853250410703</v>
      </c>
      <c r="AM5324">
        <v>96.337639506527395</v>
      </c>
      <c r="AN5324">
        <v>0.99999995172129297</v>
      </c>
    </row>
    <row r="5325" spans="1:40" x14ac:dyDescent="0.25">
      <c r="A5325" t="str">
        <f>"20190304155522816"</f>
        <v>20190304155522816</v>
      </c>
      <c r="B5325" t="str">
        <f>"1551686122813059"</f>
        <v>1551686122813059</v>
      </c>
      <c r="C5325" t="s">
        <v>40</v>
      </c>
      <c r="D5325">
        <v>4.5747710000000001</v>
      </c>
      <c r="E5325">
        <v>0.47382609999999997</v>
      </c>
      <c r="F5325" t="s">
        <v>74</v>
      </c>
      <c r="G5325">
        <v>-199.7971</v>
      </c>
      <c r="H5325" s="1">
        <v>-7.5366519999999997E-6</v>
      </c>
      <c r="I5325">
        <v>-59.620699999999999</v>
      </c>
      <c r="J5325">
        <v>-223.71180000000001</v>
      </c>
      <c r="K5325">
        <v>1.1103639999999999</v>
      </c>
      <c r="L5325">
        <v>-63.272089999999999</v>
      </c>
      <c r="M5325">
        <v>0.99972050000000001</v>
      </c>
      <c r="N5325">
        <v>-1.394723E-2</v>
      </c>
      <c r="O5325">
        <v>-1.9091170000000001E-2</v>
      </c>
      <c r="P5325">
        <v>0.981012</v>
      </c>
      <c r="Q5325">
        <v>0.1714541</v>
      </c>
      <c r="R5325">
        <v>9.0658879999999997E-2</v>
      </c>
      <c r="S5325">
        <v>3.0401609999999999</v>
      </c>
      <c r="T5325">
        <v>-0.14016210000000001</v>
      </c>
      <c r="U5325">
        <v>0.46051029999999998</v>
      </c>
      <c r="V5325">
        <v>-0.10934720000000001</v>
      </c>
      <c r="W5325">
        <v>0.18510860000000001</v>
      </c>
      <c r="X5325">
        <v>0.97661560000000003</v>
      </c>
      <c r="Y5325">
        <v>-0.168379</v>
      </c>
      <c r="Z5325">
        <v>5.6495340000000003E-3</v>
      </c>
      <c r="AA5325">
        <v>0.98570619999999998</v>
      </c>
      <c r="AB5325">
        <v>30</v>
      </c>
      <c r="AC5325">
        <v>23.9147</v>
      </c>
      <c r="AD5325">
        <v>-1.1103715366519999</v>
      </c>
      <c r="AE5325">
        <v>3.6513900000000001</v>
      </c>
      <c r="AF5325">
        <v>-4.0986937567685402</v>
      </c>
      <c r="AG5325">
        <v>-1.1103715366519999</v>
      </c>
      <c r="AH5325">
        <v>23.7905055624304</v>
      </c>
      <c r="AI5325">
        <v>92.633479124763696</v>
      </c>
      <c r="AJ5325">
        <v>99.775115485889103</v>
      </c>
      <c r="AK5325">
        <v>24.166513409617298</v>
      </c>
      <c r="AL5325">
        <v>79.332536105774196</v>
      </c>
      <c r="AM5325">
        <v>96.3885399647816</v>
      </c>
      <c r="AN5325">
        <v>1.00000001705257</v>
      </c>
    </row>
    <row r="5326" spans="1:40" x14ac:dyDescent="0.25">
      <c r="A5326" t="str">
        <f>"20190304155522829"</f>
        <v>20190304155522829</v>
      </c>
      <c r="B5326" t="str">
        <f>"1551686122822819"</f>
        <v>1551686122822819</v>
      </c>
      <c r="C5326" t="s">
        <v>40</v>
      </c>
      <c r="D5326">
        <v>4.5906599999999997</v>
      </c>
      <c r="E5326">
        <v>0.4733425</v>
      </c>
      <c r="F5326" t="s">
        <v>74</v>
      </c>
      <c r="G5326">
        <v>-201.4271</v>
      </c>
      <c r="H5326" s="1">
        <v>-5.1048270000000003E-6</v>
      </c>
      <c r="I5326">
        <v>-59.800550000000001</v>
      </c>
      <c r="J5326">
        <v>-223.54390000000001</v>
      </c>
      <c r="K5326">
        <v>1.110379</v>
      </c>
      <c r="L5326">
        <v>-63.275300000000001</v>
      </c>
      <c r="M5326">
        <v>0.99972000000000005</v>
      </c>
      <c r="N5326">
        <v>-1.3966289999999999E-2</v>
      </c>
      <c r="O5326">
        <v>-1.9097650000000001E-2</v>
      </c>
      <c r="P5326">
        <v>0.98091669999999997</v>
      </c>
      <c r="Q5326">
        <v>0.17157529999999999</v>
      </c>
      <c r="R5326">
        <v>9.1456449999999995E-2</v>
      </c>
      <c r="S5326">
        <v>3.040756</v>
      </c>
      <c r="T5326">
        <v>-0.1515107</v>
      </c>
      <c r="U5326">
        <v>0.4736938</v>
      </c>
      <c r="V5326">
        <v>-0.11015460000000001</v>
      </c>
      <c r="W5326">
        <v>0.18524350000000001</v>
      </c>
      <c r="X5326">
        <v>0.97649929999999996</v>
      </c>
      <c r="Y5326">
        <v>-0.17248810000000001</v>
      </c>
      <c r="Z5326">
        <v>6.1622819999999998E-3</v>
      </c>
      <c r="AA5326">
        <v>0.98499230000000004</v>
      </c>
      <c r="AB5326">
        <v>30</v>
      </c>
      <c r="AC5326">
        <v>22.116800000000001</v>
      </c>
      <c r="AD5326">
        <v>-1.110384104827</v>
      </c>
      <c r="AE5326">
        <v>3.4747499999999998</v>
      </c>
      <c r="AF5326">
        <v>-3.8869748438223399</v>
      </c>
      <c r="AG5326">
        <v>-1.110384104827</v>
      </c>
      <c r="AH5326">
        <v>21.992301371343</v>
      </c>
      <c r="AI5326">
        <v>92.846349852285798</v>
      </c>
      <c r="AJ5326">
        <v>100.02308928626999</v>
      </c>
      <c r="AK5326">
        <v>22.360743411271802</v>
      </c>
      <c r="AL5326">
        <v>79.324671089556801</v>
      </c>
      <c r="AM5326">
        <v>96.436077508865907</v>
      </c>
      <c r="AN5326">
        <v>1.0000000365469399</v>
      </c>
    </row>
    <row r="5327" spans="1:40" x14ac:dyDescent="0.25">
      <c r="A5327" t="str">
        <f>"20190304155522840"</f>
        <v>20190304155522840</v>
      </c>
      <c r="B5327" t="str">
        <f>"1551686122833555"</f>
        <v>1551686122833555</v>
      </c>
      <c r="C5327" t="s">
        <v>40</v>
      </c>
      <c r="D5327">
        <v>4.8331179999999998</v>
      </c>
      <c r="E5327">
        <v>0.47324899999999998</v>
      </c>
      <c r="F5327" t="s">
        <v>74</v>
      </c>
      <c r="G5327">
        <v>-201.83420000000001</v>
      </c>
      <c r="H5327" s="1">
        <v>-4.8869380000000004E-6</v>
      </c>
      <c r="I5327">
        <v>-59.847839999999998</v>
      </c>
      <c r="J5327">
        <v>-223.38939999999999</v>
      </c>
      <c r="K5327">
        <v>1.110398</v>
      </c>
      <c r="L5327">
        <v>-63.278289999999998</v>
      </c>
      <c r="M5327">
        <v>0.99972000000000005</v>
      </c>
      <c r="N5327">
        <v>-1.398306E-2</v>
      </c>
      <c r="O5327">
        <v>-1.909889E-2</v>
      </c>
      <c r="P5327">
        <v>0.98083140000000002</v>
      </c>
      <c r="Q5327">
        <v>0.1716664</v>
      </c>
      <c r="R5327">
        <v>9.2199909999999996E-2</v>
      </c>
      <c r="S5327">
        <v>3.0408019999999998</v>
      </c>
      <c r="T5327">
        <v>-0.15552759999999999</v>
      </c>
      <c r="U5327">
        <v>0.480072</v>
      </c>
      <c r="V5327">
        <v>-0.110903</v>
      </c>
      <c r="W5327">
        <v>0.1853466</v>
      </c>
      <c r="X5327">
        <v>0.97639500000000001</v>
      </c>
      <c r="Y5327">
        <v>-0.17448620000000001</v>
      </c>
      <c r="Z5327">
        <v>6.3657089999999998E-3</v>
      </c>
      <c r="AA5327">
        <v>0.98463900000000004</v>
      </c>
      <c r="AB5327">
        <v>30</v>
      </c>
      <c r="AC5327">
        <v>21.5551999999999</v>
      </c>
      <c r="AD5327">
        <v>-1.110402886938</v>
      </c>
      <c r="AE5327">
        <v>3.43045</v>
      </c>
      <c r="AF5327">
        <v>-3.8316277939722601</v>
      </c>
      <c r="AG5327">
        <v>-1.110402886938</v>
      </c>
      <c r="AH5327">
        <v>21.4302779788087</v>
      </c>
      <c r="AI5327">
        <v>92.919887832972904</v>
      </c>
      <c r="AJ5327">
        <v>100.137088244099</v>
      </c>
      <c r="AK5327">
        <v>21.798421511014801</v>
      </c>
      <c r="AL5327">
        <v>79.318659583357501</v>
      </c>
      <c r="AM5327">
        <v>96.480120417241594</v>
      </c>
      <c r="AN5327">
        <v>1.0000000167827701</v>
      </c>
    </row>
    <row r="5328" spans="1:40" x14ac:dyDescent="0.25">
      <c r="A5328" t="str">
        <f>"20190304155522851"</f>
        <v>20190304155522851</v>
      </c>
      <c r="B5328" t="str">
        <f>"1551686122843315"</f>
        <v>1551686122843315</v>
      </c>
      <c r="C5328" t="s">
        <v>40</v>
      </c>
      <c r="D5328">
        <v>4.5894839999999997</v>
      </c>
      <c r="E5328">
        <v>0.47323720000000002</v>
      </c>
      <c r="F5328" t="s">
        <v>74</v>
      </c>
      <c r="G5328">
        <v>-201.41059999999999</v>
      </c>
      <c r="H5328" s="1">
        <v>-5.1168419999999998E-6</v>
      </c>
      <c r="I5328">
        <v>-59.78436</v>
      </c>
      <c r="J5328">
        <v>-223.2482</v>
      </c>
      <c r="K5328">
        <v>1.1104130000000001</v>
      </c>
      <c r="L5328">
        <v>-63.280940000000001</v>
      </c>
      <c r="M5328">
        <v>0.99971989999999999</v>
      </c>
      <c r="N5328">
        <v>-1.3996700000000001E-2</v>
      </c>
      <c r="O5328">
        <v>-1.9082100000000001E-2</v>
      </c>
      <c r="P5328">
        <v>0.98073969999999999</v>
      </c>
      <c r="Q5328">
        <v>0.17169879999999901</v>
      </c>
      <c r="R5328">
        <v>9.3110120000000005E-2</v>
      </c>
      <c r="S5328">
        <v>3.0400849999999999</v>
      </c>
      <c r="T5328">
        <v>-0.1535897</v>
      </c>
      <c r="U5328">
        <v>0.48327639999999999</v>
      </c>
      <c r="V5328">
        <v>-0.1117992</v>
      </c>
      <c r="W5328">
        <v>0.18538779999999999</v>
      </c>
      <c r="X5328">
        <v>0.97628490000000001</v>
      </c>
      <c r="Y5328">
        <v>-0.1755227</v>
      </c>
      <c r="Z5328">
        <v>6.3330289999999996E-3</v>
      </c>
      <c r="AA5328">
        <v>0.98445499999999997</v>
      </c>
      <c r="AB5328">
        <v>30</v>
      </c>
      <c r="AC5328">
        <v>21.837599999999998</v>
      </c>
      <c r="AD5328">
        <v>-1.110418116842</v>
      </c>
      <c r="AE5328">
        <v>3.4965799999999998</v>
      </c>
      <c r="AF5328">
        <v>-3.90285231647889</v>
      </c>
      <c r="AG5328">
        <v>-1.110418116842</v>
      </c>
      <c r="AH5328">
        <v>21.7121584955378</v>
      </c>
      <c r="AI5328">
        <v>92.881604548506999</v>
      </c>
      <c r="AJ5328">
        <v>100.19033343903</v>
      </c>
      <c r="AK5328">
        <v>22.088076220753301</v>
      </c>
      <c r="AL5328">
        <v>79.316256662137803</v>
      </c>
      <c r="AM5328">
        <v>96.532765361271402</v>
      </c>
      <c r="AN5328">
        <v>0.99999995173874301</v>
      </c>
    </row>
    <row r="5329" spans="1:40" x14ac:dyDescent="0.25">
      <c r="A5329" t="str">
        <f>"20190304155522861"</f>
        <v>20190304155522861</v>
      </c>
      <c r="B5329" t="str">
        <f>"1551686122853075"</f>
        <v>1551686122853075</v>
      </c>
      <c r="C5329" t="s">
        <v>40</v>
      </c>
      <c r="D5329">
        <v>4.5205979999999997</v>
      </c>
      <c r="E5329">
        <v>0.47316859999999999</v>
      </c>
      <c r="F5329" t="s">
        <v>74</v>
      </c>
      <c r="G5329">
        <v>-200.9539</v>
      </c>
      <c r="H5329" s="1">
        <v>-5.3650719999999997E-6</v>
      </c>
      <c r="I5329">
        <v>-59.714210000000001</v>
      </c>
      <c r="J5329">
        <v>-223.10740000000001</v>
      </c>
      <c r="K5329">
        <v>1.1104270000000001</v>
      </c>
      <c r="L5329">
        <v>-63.283630000000002</v>
      </c>
      <c r="M5329">
        <v>0.99972019999999995</v>
      </c>
      <c r="N5329">
        <v>-1.4010119999999999E-2</v>
      </c>
      <c r="O5329">
        <v>-1.9063750000000001E-2</v>
      </c>
      <c r="P5329">
        <v>0.9806762</v>
      </c>
      <c r="Q5329">
        <v>0.1716096</v>
      </c>
      <c r="R5329">
        <v>9.3939220000000004E-2</v>
      </c>
      <c r="S5329">
        <v>3.0392760000000001</v>
      </c>
      <c r="T5329">
        <v>-0.1513786</v>
      </c>
      <c r="U5329">
        <v>0.48623660000000002</v>
      </c>
      <c r="V5329">
        <v>-0.1126151</v>
      </c>
      <c r="W5329">
        <v>0.18530720000000001</v>
      </c>
      <c r="X5329">
        <v>0.97620649999999998</v>
      </c>
      <c r="Y5329">
        <v>-0.17648620000000001</v>
      </c>
      <c r="Z5329">
        <v>6.2879249999999998E-3</v>
      </c>
      <c r="AA5329">
        <v>0.98428300000000002</v>
      </c>
      <c r="AB5329">
        <v>30</v>
      </c>
      <c r="AC5329">
        <v>22.153500000000001</v>
      </c>
      <c r="AD5329">
        <v>-1.110432365072</v>
      </c>
      <c r="AE5329">
        <v>3.56942</v>
      </c>
      <c r="AF5329">
        <v>-3.9813914206602199</v>
      </c>
      <c r="AG5329">
        <v>-1.110432365072</v>
      </c>
      <c r="AH5329">
        <v>22.027477228605001</v>
      </c>
      <c r="AI5329">
        <v>92.839968162664903</v>
      </c>
      <c r="AJ5329">
        <v>100.245402380098</v>
      </c>
      <c r="AK5329">
        <v>22.411922959411999</v>
      </c>
      <c r="AL5329">
        <v>79.320956919945502</v>
      </c>
      <c r="AM5329">
        <v>96.580548083581704</v>
      </c>
      <c r="AN5329">
        <v>1.0000000248810399</v>
      </c>
    </row>
    <row r="5330" spans="1:40" x14ac:dyDescent="0.25">
      <c r="A5330" t="str">
        <f>"20190304155522873"</f>
        <v>20190304155522873</v>
      </c>
      <c r="B5330" t="str">
        <f>"1551686122862837"</f>
        <v>1551686122862837</v>
      </c>
      <c r="C5330" t="s">
        <v>40</v>
      </c>
      <c r="D5330">
        <v>4.594398</v>
      </c>
      <c r="E5330">
        <v>0.473244</v>
      </c>
      <c r="F5330" t="s">
        <v>74</v>
      </c>
      <c r="G5330">
        <v>-200.8587</v>
      </c>
      <c r="H5330" s="1">
        <v>-5.4162720000000002E-6</v>
      </c>
      <c r="I5330">
        <v>-59.702170000000002</v>
      </c>
      <c r="J5330">
        <v>-222.9479</v>
      </c>
      <c r="K5330">
        <v>1.1104459999999901</v>
      </c>
      <c r="L5330">
        <v>-63.286650000000002</v>
      </c>
      <c r="M5330">
        <v>0.99972090000000002</v>
      </c>
      <c r="N5330">
        <v>-1.402344E-2</v>
      </c>
      <c r="O5330">
        <v>-1.9018469999999999E-2</v>
      </c>
      <c r="P5330">
        <v>0.98060480000000005</v>
      </c>
      <c r="Q5330">
        <v>0.1715286</v>
      </c>
      <c r="R5330">
        <v>9.4830310000000001E-2</v>
      </c>
      <c r="S5330">
        <v>3.0387879999999998</v>
      </c>
      <c r="T5330">
        <v>-0.1516662</v>
      </c>
      <c r="U5330">
        <v>0.4891663</v>
      </c>
      <c r="V5330">
        <v>-0.1134681</v>
      </c>
      <c r="W5330">
        <v>0.1852337</v>
      </c>
      <c r="X5330">
        <v>0.97612169999999998</v>
      </c>
      <c r="Y5330">
        <v>-0.17738889999999999</v>
      </c>
      <c r="Z5330">
        <v>6.326618E-3</v>
      </c>
      <c r="AA5330">
        <v>0.98412049999999995</v>
      </c>
      <c r="AB5330">
        <v>30</v>
      </c>
      <c r="AC5330">
        <v>22.089200000000002</v>
      </c>
      <c r="AD5330">
        <v>-1.1104514162719901</v>
      </c>
      <c r="AE5330">
        <v>3.5844800000000001</v>
      </c>
      <c r="AF5330">
        <v>-3.99414060765183</v>
      </c>
      <c r="AG5330">
        <v>-1.1104514162719901</v>
      </c>
      <c r="AH5330">
        <v>21.9629453585348</v>
      </c>
      <c r="AI5330">
        <v>92.847792881989804</v>
      </c>
      <c r="AJ5330">
        <v>100.307063171442</v>
      </c>
      <c r="AK5330">
        <v>22.350776952123599</v>
      </c>
      <c r="AL5330">
        <v>79.3252426574781</v>
      </c>
      <c r="AM5330">
        <v>96.630521007492305</v>
      </c>
      <c r="AN5330">
        <v>1.0000000532720901</v>
      </c>
    </row>
    <row r="5331" spans="1:40" x14ac:dyDescent="0.25">
      <c r="A5331" t="str">
        <f>"20190304155522884"</f>
        <v>20190304155522884</v>
      </c>
      <c r="B5331" t="str">
        <f>"1551686122873571"</f>
        <v>1551686122873571</v>
      </c>
      <c r="C5331" t="s">
        <v>40</v>
      </c>
      <c r="D5331">
        <v>4.5913320000000004</v>
      </c>
      <c r="E5331">
        <v>0.47319810000000001</v>
      </c>
      <c r="F5331" t="s">
        <v>74</v>
      </c>
      <c r="G5331">
        <v>-200.6009</v>
      </c>
      <c r="H5331" s="1">
        <v>-5.5537319999999999E-6</v>
      </c>
      <c r="I5331">
        <v>-59.674579999999999</v>
      </c>
      <c r="J5331">
        <v>-222.8058</v>
      </c>
      <c r="K5331">
        <v>1.110463</v>
      </c>
      <c r="L5331">
        <v>-63.28931</v>
      </c>
      <c r="M5331">
        <v>0.99972159999999999</v>
      </c>
      <c r="N5331">
        <v>-1.4034909999999999E-2</v>
      </c>
      <c r="O5331">
        <v>-1.8972599999999999E-2</v>
      </c>
      <c r="P5331">
        <v>0.98051770000000005</v>
      </c>
      <c r="Q5331">
        <v>0.1714793</v>
      </c>
      <c r="R5331">
        <v>9.5813860000000001E-2</v>
      </c>
      <c r="S5331">
        <v>3.0382539999999998</v>
      </c>
      <c r="T5331">
        <v>-0.15097479999999999</v>
      </c>
      <c r="U5331">
        <v>0.49108889999999999</v>
      </c>
      <c r="V5331">
        <v>-0.114412899999999</v>
      </c>
      <c r="W5331">
        <v>0.1851892</v>
      </c>
      <c r="X5331">
        <v>0.97601979999999999</v>
      </c>
      <c r="Y5331">
        <v>-0.1779792</v>
      </c>
      <c r="Z5331">
        <v>6.3209549999999996E-3</v>
      </c>
      <c r="AA5331">
        <v>0.98401400000000006</v>
      </c>
      <c r="AB5331">
        <v>30</v>
      </c>
      <c r="AC5331">
        <v>22.204899999999999</v>
      </c>
      <c r="AD5331">
        <v>-1.110468553732</v>
      </c>
      <c r="AE5331">
        <v>3.61472999999999</v>
      </c>
      <c r="AF5331">
        <v>-4.0255972474098796</v>
      </c>
      <c r="AG5331">
        <v>-1.110468553732</v>
      </c>
      <c r="AH5331">
        <v>22.0785218525331</v>
      </c>
      <c r="AI5331">
        <v>92.832717607021294</v>
      </c>
      <c r="AJ5331">
        <v>100.333281661751</v>
      </c>
      <c r="AK5331">
        <v>22.469973315515102</v>
      </c>
      <c r="AL5331">
        <v>79.327836641423303</v>
      </c>
      <c r="AM5331">
        <v>96.685924456874304</v>
      </c>
      <c r="AN5331">
        <v>1.00000000073754</v>
      </c>
    </row>
    <row r="5332" spans="1:40" x14ac:dyDescent="0.25">
      <c r="A5332" t="str">
        <f>"20190304155522895"</f>
        <v>20190304155522895</v>
      </c>
      <c r="B5332" t="str">
        <f>"1551686122883331"</f>
        <v>1551686122883331</v>
      </c>
      <c r="C5332" t="s">
        <v>40</v>
      </c>
      <c r="D5332">
        <v>4.8781400000000001</v>
      </c>
      <c r="E5332">
        <v>0.47319810000000001</v>
      </c>
      <c r="F5332" t="s">
        <v>74</v>
      </c>
      <c r="G5332">
        <v>-200.55860000000001</v>
      </c>
      <c r="H5332" s="1">
        <v>-5.5764999999999999E-6</v>
      </c>
      <c r="I5332">
        <v>-59.66919</v>
      </c>
      <c r="J5332">
        <v>-222.66319999999999</v>
      </c>
      <c r="K5332">
        <v>1.110482</v>
      </c>
      <c r="L5332">
        <v>-63.291960000000003</v>
      </c>
      <c r="M5332">
        <v>0.99972249999999996</v>
      </c>
      <c r="N5332">
        <v>-1.404535E-2</v>
      </c>
      <c r="O5332">
        <v>-1.8911310000000001E-2</v>
      </c>
      <c r="P5332">
        <v>0.98040039999999995</v>
      </c>
      <c r="Q5332">
        <v>0.17157069999999999</v>
      </c>
      <c r="R5332">
        <v>9.6843319999999997E-2</v>
      </c>
      <c r="S5332">
        <v>3.0378419999999999</v>
      </c>
      <c r="T5332">
        <v>-0.15163360000000001</v>
      </c>
      <c r="U5332">
        <v>0.49432369999999998</v>
      </c>
      <c r="V5332">
        <v>-0.11538859999999999</v>
      </c>
      <c r="W5332">
        <v>0.18528330000000001</v>
      </c>
      <c r="X5332">
        <v>0.97588710000000001</v>
      </c>
      <c r="Y5332">
        <v>-0.1789569</v>
      </c>
      <c r="Z5332">
        <v>6.3742800000000004E-3</v>
      </c>
      <c r="AA5332">
        <v>0.98383620000000005</v>
      </c>
      <c r="AB5332">
        <v>30</v>
      </c>
      <c r="AC5332">
        <v>22.104599999999898</v>
      </c>
      <c r="AD5332">
        <v>-1.1104875765</v>
      </c>
      <c r="AE5332">
        <v>3.6227699999999898</v>
      </c>
      <c r="AF5332">
        <v>-4.0302844537958</v>
      </c>
      <c r="AG5332">
        <v>-1.1104875765</v>
      </c>
      <c r="AH5332">
        <v>21.978109760990101</v>
      </c>
      <c r="AI5332">
        <v>92.845161075126299</v>
      </c>
      <c r="AJ5332">
        <v>100.391290007435</v>
      </c>
      <c r="AK5332">
        <v>22.372163152055698</v>
      </c>
      <c r="AL5332">
        <v>79.322350487701996</v>
      </c>
      <c r="AM5332">
        <v>96.743326897463803</v>
      </c>
      <c r="AN5332">
        <v>1.00000003110762</v>
      </c>
    </row>
    <row r="5333" spans="1:40" x14ac:dyDescent="0.25">
      <c r="A5333" t="str">
        <f>"20190304155522905"</f>
        <v>20190304155522905</v>
      </c>
      <c r="B5333" t="str">
        <f>"1551686122902851"</f>
        <v>1551686122902851</v>
      </c>
      <c r="C5333" t="s">
        <v>40</v>
      </c>
      <c r="D5333">
        <v>4.6157279999999998</v>
      </c>
      <c r="E5333">
        <v>0.47167019999999998</v>
      </c>
      <c r="F5333" t="s">
        <v>74</v>
      </c>
      <c r="G5333">
        <v>-200.39009999999999</v>
      </c>
      <c r="H5333" s="1">
        <v>-5.6675329999999998E-6</v>
      </c>
      <c r="I5333">
        <v>-59.645829999999997</v>
      </c>
      <c r="J5333">
        <v>-222.51830000000001</v>
      </c>
      <c r="K5333">
        <v>1.1105080000000001</v>
      </c>
      <c r="L5333">
        <v>-63.294649999999997</v>
      </c>
      <c r="M5333">
        <v>0.99972380000000005</v>
      </c>
      <c r="N5333">
        <v>-1.4055420000000001E-2</v>
      </c>
      <c r="O5333">
        <v>-1.884046E-2</v>
      </c>
      <c r="P5333">
        <v>0.98032280000000005</v>
      </c>
      <c r="Q5333">
        <v>0.1716094</v>
      </c>
      <c r="R5333">
        <v>9.7557649999999996E-2</v>
      </c>
      <c r="S5333">
        <v>3.0373839999999999</v>
      </c>
      <c r="T5333">
        <v>-0.1514375</v>
      </c>
      <c r="U5333">
        <v>0.49722290000000002</v>
      </c>
      <c r="V5333">
        <v>-0.11604150000000001</v>
      </c>
      <c r="W5333">
        <v>0.18532460000000001</v>
      </c>
      <c r="X5333">
        <v>0.97580180000000005</v>
      </c>
      <c r="Y5333">
        <v>-0.1798247</v>
      </c>
      <c r="Z5333">
        <v>6.3936649999999998E-3</v>
      </c>
      <c r="AA5333">
        <v>0.98367789999999999</v>
      </c>
      <c r="AB5333">
        <v>30</v>
      </c>
      <c r="AC5333">
        <v>22.1282</v>
      </c>
      <c r="AD5333">
        <v>-1.1105136675330001</v>
      </c>
      <c r="AE5333">
        <v>3.64881999999999</v>
      </c>
      <c r="AF5333">
        <v>-4.0551758983719699</v>
      </c>
      <c r="AG5333">
        <v>-1.1105136675330001</v>
      </c>
      <c r="AH5333">
        <v>22.001573390972201</v>
      </c>
      <c r="AI5333">
        <v>92.841726321250306</v>
      </c>
      <c r="AJ5333">
        <v>100.44315361476301</v>
      </c>
      <c r="AK5333">
        <v>22.399708119769102</v>
      </c>
      <c r="AL5333">
        <v>79.319942077885599</v>
      </c>
      <c r="AM5333">
        <v>96.781715397701703</v>
      </c>
      <c r="AN5333">
        <v>0.99999999498532499</v>
      </c>
    </row>
    <row r="5334" spans="1:40" x14ac:dyDescent="0.25">
      <c r="A5334" t="str">
        <f>"20190304155522916"</f>
        <v>20190304155522916</v>
      </c>
      <c r="B5334" t="str">
        <f>"1551686122913587"</f>
        <v>1551686122913587</v>
      </c>
      <c r="C5334" t="s">
        <v>40</v>
      </c>
      <c r="D5334">
        <v>4.6187199999999997</v>
      </c>
      <c r="E5334">
        <v>0.47112110000000001</v>
      </c>
      <c r="F5334" t="s">
        <v>74</v>
      </c>
      <c r="G5334">
        <v>-208.98009999999999</v>
      </c>
      <c r="H5334" s="1">
        <v>-7.099902E-7</v>
      </c>
      <c r="I5334">
        <v>-61.03096</v>
      </c>
      <c r="J5334">
        <v>-222.3691</v>
      </c>
      <c r="K5334">
        <v>1.110533</v>
      </c>
      <c r="L5334">
        <v>-63.297359999999998</v>
      </c>
      <c r="M5334">
        <v>0.99972530000000004</v>
      </c>
      <c r="N5334">
        <v>-1.406497E-2</v>
      </c>
      <c r="O5334">
        <v>-1.8753599999999999E-2</v>
      </c>
      <c r="P5334">
        <v>0.98023890000000002</v>
      </c>
      <c r="Q5334">
        <v>0.17154269999999999</v>
      </c>
      <c r="R5334">
        <v>9.8516110000000004E-2</v>
      </c>
      <c r="S5334">
        <v>3.0532680000000001</v>
      </c>
      <c r="T5334">
        <v>-0.25045200000000001</v>
      </c>
      <c r="U5334">
        <v>0.5105286</v>
      </c>
      <c r="V5334">
        <v>-0.1169232</v>
      </c>
      <c r="W5334">
        <v>0.18525900000000001</v>
      </c>
      <c r="X5334">
        <v>0.97570900000000005</v>
      </c>
      <c r="Y5334">
        <v>-0.1826431</v>
      </c>
      <c r="Z5334">
        <v>9.9870510000000003E-3</v>
      </c>
      <c r="AA5334">
        <v>0.98312849999999996</v>
      </c>
      <c r="AB5334">
        <v>30</v>
      </c>
      <c r="AC5334">
        <v>13.388999999999999</v>
      </c>
      <c r="AD5334">
        <v>-1.1105337099902</v>
      </c>
      <c r="AE5334">
        <v>2.2663999999999902</v>
      </c>
      <c r="AF5334">
        <v>-2.5003953919056401</v>
      </c>
      <c r="AG5334">
        <v>-1.1105337099902</v>
      </c>
      <c r="AH5334">
        <v>13.2554844691812</v>
      </c>
      <c r="AI5334">
        <v>94.706394016225801</v>
      </c>
      <c r="AJ5334">
        <v>100.68224357110699</v>
      </c>
      <c r="AK5334">
        <v>13.534885693998</v>
      </c>
      <c r="AL5334">
        <v>79.323766883879202</v>
      </c>
      <c r="AM5334">
        <v>96.833402221480696</v>
      </c>
      <c r="AN5334">
        <v>0.99999999223012004</v>
      </c>
    </row>
    <row r="5335" spans="1:40" x14ac:dyDescent="0.25">
      <c r="A5335" t="str">
        <f>"20190304155522927"</f>
        <v>20190304155522927</v>
      </c>
      <c r="B5335" t="str">
        <f>"1551686122923347"</f>
        <v>1551686122923347</v>
      </c>
      <c r="C5335" t="s">
        <v>40</v>
      </c>
      <c r="D5335">
        <v>4.6093190000000002</v>
      </c>
      <c r="E5335">
        <v>0.47060740000000001</v>
      </c>
      <c r="F5335" t="s">
        <v>74</v>
      </c>
      <c r="G5335">
        <v>-208.1893</v>
      </c>
      <c r="H5335" s="1">
        <v>-1.1928850000000001E-6</v>
      </c>
      <c r="I5335">
        <v>-60.88899</v>
      </c>
      <c r="J5335">
        <v>-222.22909999999999</v>
      </c>
      <c r="K5335">
        <v>1.1105560000000001</v>
      </c>
      <c r="L5335">
        <v>-63.299930000000003</v>
      </c>
      <c r="M5335">
        <v>0.99972700000000003</v>
      </c>
      <c r="N5335">
        <v>-1.4073220000000001E-2</v>
      </c>
      <c r="O5335">
        <v>-1.8658049999999999E-2</v>
      </c>
      <c r="P5335">
        <v>0.98018119999999997</v>
      </c>
      <c r="Q5335">
        <v>0.1714552</v>
      </c>
      <c r="R5335">
        <v>9.9238460000000001E-2</v>
      </c>
      <c r="S5335">
        <v>3.0502319999999998</v>
      </c>
      <c r="T5335">
        <v>-0.2388874</v>
      </c>
      <c r="U5335">
        <v>0.51806640000000004</v>
      </c>
      <c r="V5335">
        <v>-0.1175607</v>
      </c>
      <c r="W5335">
        <v>0.1851728</v>
      </c>
      <c r="X5335">
        <v>0.97564879999999998</v>
      </c>
      <c r="Y5335">
        <v>-0.18512380000000001</v>
      </c>
      <c r="Z5335">
        <v>9.6900839999999999E-3</v>
      </c>
      <c r="AA5335">
        <v>0.98266739999999997</v>
      </c>
      <c r="AB5335">
        <v>30</v>
      </c>
      <c r="AC5335">
        <v>14.0397999999999</v>
      </c>
      <c r="AD5335">
        <v>-1.11055719288499</v>
      </c>
      <c r="AE5335">
        <v>2.4109400000000001</v>
      </c>
      <c r="AF5335">
        <v>-2.6563569161094698</v>
      </c>
      <c r="AG5335">
        <v>-1.11055719288499</v>
      </c>
      <c r="AH5335">
        <v>13.9078400828921</v>
      </c>
      <c r="AI5335">
        <v>94.4847189949202</v>
      </c>
      <c r="AJ5335">
        <v>100.813095268664</v>
      </c>
      <c r="AK5335">
        <v>14.202731607537</v>
      </c>
      <c r="AL5335">
        <v>79.328793172874597</v>
      </c>
      <c r="AM5335">
        <v>96.870724664071304</v>
      </c>
      <c r="AN5335">
        <v>1.0000000324928799</v>
      </c>
    </row>
    <row r="5336" spans="1:40" x14ac:dyDescent="0.25">
      <c r="A5336" t="str">
        <f>"20190304155522938"</f>
        <v>20190304155522938</v>
      </c>
      <c r="B5336" t="str">
        <f>"1551686122933107"</f>
        <v>1551686122933107</v>
      </c>
      <c r="C5336" t="s">
        <v>40</v>
      </c>
      <c r="D5336">
        <v>4.6838689999999996</v>
      </c>
      <c r="E5336">
        <v>0.47007409999999999</v>
      </c>
      <c r="F5336" t="s">
        <v>74</v>
      </c>
      <c r="G5336">
        <v>-207.5822</v>
      </c>
      <c r="H5336" s="1">
        <v>-1.5634750000000001E-6</v>
      </c>
      <c r="I5336">
        <v>-60.77928</v>
      </c>
      <c r="J5336">
        <v>-222.0813</v>
      </c>
      <c r="K5336">
        <v>1.1105799999999999</v>
      </c>
      <c r="L5336">
        <v>-63.302549999999997</v>
      </c>
      <c r="M5336">
        <v>0.99972890000000003</v>
      </c>
      <c r="N5336">
        <v>-1.4081379999999999E-2</v>
      </c>
      <c r="O5336">
        <v>-1.8545900000000001E-2</v>
      </c>
      <c r="P5336">
        <v>0.9801261</v>
      </c>
      <c r="Q5336">
        <v>0.1712861</v>
      </c>
      <c r="R5336">
        <v>0.1000692</v>
      </c>
      <c r="S5336">
        <v>3.0479579999999999</v>
      </c>
      <c r="T5336">
        <v>-0.231102</v>
      </c>
      <c r="U5336">
        <v>0.52453609999999995</v>
      </c>
      <c r="V5336">
        <v>-0.1182912</v>
      </c>
      <c r="W5336">
        <v>0.18500359999999999</v>
      </c>
      <c r="X5336">
        <v>0.97559260000000003</v>
      </c>
      <c r="Y5336">
        <v>-0.1871949</v>
      </c>
      <c r="Z5336">
        <v>9.5005149999999993E-3</v>
      </c>
      <c r="AA5336">
        <v>0.98227690000000001</v>
      </c>
      <c r="AB5336">
        <v>30</v>
      </c>
      <c r="AC5336">
        <v>14.4991</v>
      </c>
      <c r="AD5336">
        <v>-1.11058156347499</v>
      </c>
      <c r="AE5336">
        <v>2.5232699999999801</v>
      </c>
      <c r="AF5336">
        <v>-2.77595358234647</v>
      </c>
      <c r="AG5336">
        <v>-1.11058156347499</v>
      </c>
      <c r="AH5336">
        <v>14.3679853576942</v>
      </c>
      <c r="AI5336">
        <v>94.339977588462901</v>
      </c>
      <c r="AJ5336">
        <v>100.93504713030499</v>
      </c>
      <c r="AK5336">
        <v>14.6757729929087</v>
      </c>
      <c r="AL5336">
        <v>79.338658044421706</v>
      </c>
      <c r="AM5336">
        <v>96.913400546757998</v>
      </c>
      <c r="AN5336">
        <v>1.00000003059257</v>
      </c>
    </row>
    <row r="5337" spans="1:40" x14ac:dyDescent="0.25">
      <c r="A5337" t="str">
        <f>"20190304155522952"</f>
        <v>20190304155522952</v>
      </c>
      <c r="B5337" t="str">
        <f>"1551686122942867"</f>
        <v>1551686122942867</v>
      </c>
      <c r="C5337" t="s">
        <v>40</v>
      </c>
      <c r="D5337">
        <v>4.6729719999999997</v>
      </c>
      <c r="E5337">
        <v>0.46967759999999997</v>
      </c>
      <c r="F5337" t="s">
        <v>74</v>
      </c>
      <c r="G5337">
        <v>-207.46449999999999</v>
      </c>
      <c r="H5337" s="1">
        <v>-1.6348089999999901E-6</v>
      </c>
      <c r="I5337">
        <v>-60.75414</v>
      </c>
      <c r="J5337">
        <v>-221.9083</v>
      </c>
      <c r="K5337">
        <v>1.1106069999999999</v>
      </c>
      <c r="L5337">
        <v>-63.305630000000001</v>
      </c>
      <c r="M5337">
        <v>0.9997317</v>
      </c>
      <c r="N5337">
        <v>-1.4089880000000001E-2</v>
      </c>
      <c r="O5337">
        <v>-1.8389699999999998E-2</v>
      </c>
      <c r="P5337">
        <v>0.98000580000000004</v>
      </c>
      <c r="Q5337">
        <v>0.17146810000000001</v>
      </c>
      <c r="R5337">
        <v>0.1009355</v>
      </c>
      <c r="S5337">
        <v>3.0470579999999998</v>
      </c>
      <c r="T5337">
        <v>-0.2315149</v>
      </c>
      <c r="U5337">
        <v>0.53125</v>
      </c>
      <c r="V5337">
        <v>-0.119015</v>
      </c>
      <c r="W5337">
        <v>0.1851845</v>
      </c>
      <c r="X5337">
        <v>0.97547019999999995</v>
      </c>
      <c r="Y5337">
        <v>-0.18918209999999999</v>
      </c>
      <c r="Z5337">
        <v>9.5967420000000001E-3</v>
      </c>
      <c r="AA5337">
        <v>0.98189510000000002</v>
      </c>
      <c r="AB5337">
        <v>30</v>
      </c>
      <c r="AC5337">
        <v>14.4438</v>
      </c>
      <c r="AD5337">
        <v>-1.1106086348090001</v>
      </c>
      <c r="AE5337">
        <v>2.5514899999999998</v>
      </c>
      <c r="AF5337">
        <v>-2.800644654199</v>
      </c>
      <c r="AG5337">
        <v>-1.1106086348090001</v>
      </c>
      <c r="AH5337">
        <v>14.312372297299699</v>
      </c>
      <c r="AI5337">
        <v>94.354869453672507</v>
      </c>
      <c r="AJ5337">
        <v>101.07173673100399</v>
      </c>
      <c r="AK5337">
        <v>14.626040571368501</v>
      </c>
      <c r="AL5337">
        <v>79.328110557366898</v>
      </c>
      <c r="AM5337">
        <v>96.956153322122205</v>
      </c>
      <c r="AN5337">
        <v>0.99999999017664498</v>
      </c>
    </row>
    <row r="5338" spans="1:40" x14ac:dyDescent="0.25">
      <c r="A5338" t="str">
        <f>"20190304155522965"</f>
        <v>20190304155522965</v>
      </c>
      <c r="B5338" t="str">
        <f>"1551686122963363"</f>
        <v>1551686122963363</v>
      </c>
      <c r="C5338" t="s">
        <v>40</v>
      </c>
      <c r="D5338">
        <v>4.6522930000000002</v>
      </c>
      <c r="E5338">
        <v>0.46926010000000001</v>
      </c>
      <c r="F5338" t="s">
        <v>74</v>
      </c>
      <c r="G5338">
        <v>-207.28800000000001</v>
      </c>
      <c r="H5338" s="1">
        <v>-1.7434399999999999E-6</v>
      </c>
      <c r="I5338">
        <v>-60.728499999999997</v>
      </c>
      <c r="J5338">
        <v>-221.7285</v>
      </c>
      <c r="K5338">
        <v>1.110638</v>
      </c>
      <c r="L5338">
        <v>-63.308779999999999</v>
      </c>
      <c r="M5338">
        <v>0.99973480000000003</v>
      </c>
      <c r="N5338">
        <v>-1.4098100000000001E-2</v>
      </c>
      <c r="O5338">
        <v>-1.8209989999999999E-2</v>
      </c>
      <c r="P5338">
        <v>0.97991839999999997</v>
      </c>
      <c r="Q5338">
        <v>0.1713587</v>
      </c>
      <c r="R5338">
        <v>0.1019621</v>
      </c>
      <c r="S5338">
        <v>3.0463870000000002</v>
      </c>
      <c r="T5338">
        <v>-0.23141310000000001</v>
      </c>
      <c r="U5338">
        <v>0.53698729999999995</v>
      </c>
      <c r="V5338">
        <v>-0.1198767</v>
      </c>
      <c r="W5338">
        <v>0.18507290000000001</v>
      </c>
      <c r="X5338">
        <v>0.97538579999999997</v>
      </c>
      <c r="Y5338">
        <v>-0.19083130000000001</v>
      </c>
      <c r="Z5338">
        <v>9.657166E-3</v>
      </c>
      <c r="AA5338">
        <v>0.98157539999999999</v>
      </c>
      <c r="AB5338">
        <v>30</v>
      </c>
      <c r="AC5338">
        <v>14.4405</v>
      </c>
      <c r="AD5338">
        <v>-1.1106397434399999</v>
      </c>
      <c r="AE5338">
        <v>2.5802800000000001</v>
      </c>
      <c r="AF5338">
        <v>-2.8266362910219001</v>
      </c>
      <c r="AG5338">
        <v>-1.1106397434399999</v>
      </c>
      <c r="AH5338">
        <v>14.309088827077201</v>
      </c>
      <c r="AI5338">
        <v>94.354457834503293</v>
      </c>
      <c r="AJ5338">
        <v>101.174414801976</v>
      </c>
      <c r="AK5338">
        <v>14.627830202139201</v>
      </c>
      <c r="AL5338">
        <v>79.334616591692495</v>
      </c>
      <c r="AM5338">
        <v>97.006619151501596</v>
      </c>
      <c r="AN5338">
        <v>0.99999993017946698</v>
      </c>
    </row>
    <row r="5339" spans="1:40" x14ac:dyDescent="0.25">
      <c r="A5339" t="str">
        <f>"20190304155522978"</f>
        <v>20190304155522978</v>
      </c>
      <c r="B5339" t="str">
        <f>"1551686122973123"</f>
        <v>1551686122973123</v>
      </c>
      <c r="C5339" t="s">
        <v>40</v>
      </c>
      <c r="D5339">
        <v>4.5516269999999999</v>
      </c>
      <c r="E5339">
        <v>0.469476</v>
      </c>
      <c r="F5339" t="s">
        <v>74</v>
      </c>
      <c r="G5339">
        <v>-206.78219999999999</v>
      </c>
      <c r="H5339" s="1">
        <v>-2.0528609999999998E-6</v>
      </c>
      <c r="I5339">
        <v>-60.642000000000003</v>
      </c>
      <c r="J5339">
        <v>-221.54689999999999</v>
      </c>
      <c r="K5339">
        <v>1.1106689999999999</v>
      </c>
      <c r="L5339">
        <v>-63.311889999999998</v>
      </c>
      <c r="M5339">
        <v>0.99973849999999997</v>
      </c>
      <c r="N5339">
        <v>-1.410551E-2</v>
      </c>
      <c r="O5339">
        <v>-1.800274E-2</v>
      </c>
      <c r="P5339">
        <v>0.97988580000000003</v>
      </c>
      <c r="Q5339">
        <v>0.1709357</v>
      </c>
      <c r="R5339">
        <v>0.1029799</v>
      </c>
      <c r="S5339">
        <v>3.044495</v>
      </c>
      <c r="T5339">
        <v>-0.2262332</v>
      </c>
      <c r="U5339">
        <v>0.5432129</v>
      </c>
      <c r="V5339">
        <v>-0.12070359999999999</v>
      </c>
      <c r="W5339">
        <v>0.1846479</v>
      </c>
      <c r="X5339">
        <v>0.97536440000000002</v>
      </c>
      <c r="Y5339">
        <v>-0.19269929999999999</v>
      </c>
      <c r="Z5339">
        <v>9.5403220000000004E-3</v>
      </c>
      <c r="AA5339">
        <v>0.98121150000000001</v>
      </c>
      <c r="AB5339">
        <v>30</v>
      </c>
      <c r="AC5339">
        <v>14.764699999999999</v>
      </c>
      <c r="AD5339">
        <v>-1.110671052861</v>
      </c>
      <c r="AE5339">
        <v>2.6698900000000001</v>
      </c>
      <c r="AF5339">
        <v>-2.9192921950495099</v>
      </c>
      <c r="AG5339">
        <v>-1.110671052861</v>
      </c>
      <c r="AH5339">
        <v>14.634048071174</v>
      </c>
      <c r="AI5339">
        <v>94.256667626939205</v>
      </c>
      <c r="AJ5339">
        <v>101.281629214513</v>
      </c>
      <c r="AK5339">
        <v>14.963663323436901</v>
      </c>
      <c r="AL5339">
        <v>79.359394664447805</v>
      </c>
      <c r="AM5339">
        <v>97.054618147725293</v>
      </c>
      <c r="AN5339">
        <v>0.99999995940736397</v>
      </c>
    </row>
    <row r="5340" spans="1:40" x14ac:dyDescent="0.25">
      <c r="A5340" t="str">
        <f>"20190304155522994"</f>
        <v>20190304155522994</v>
      </c>
      <c r="B5340" t="str">
        <f>"1551686122982883"</f>
        <v>1551686122982883</v>
      </c>
      <c r="C5340" t="s">
        <v>40</v>
      </c>
      <c r="D5340">
        <v>4.6628319999999999</v>
      </c>
      <c r="E5340">
        <v>0.4694296</v>
      </c>
      <c r="F5340" t="s">
        <v>74</v>
      </c>
      <c r="G5340">
        <v>-206.18940000000001</v>
      </c>
      <c r="H5340" s="1">
        <v>-2.4187429999999999E-6</v>
      </c>
      <c r="I5340">
        <v>-60.563510000000001</v>
      </c>
      <c r="J5340">
        <v>-221.34039999999999</v>
      </c>
      <c r="K5340">
        <v>1.110698</v>
      </c>
      <c r="L5340">
        <v>-63.315339999999999</v>
      </c>
      <c r="M5340">
        <v>0.99974300000000005</v>
      </c>
      <c r="N5340">
        <v>-1.4113000000000001E-2</v>
      </c>
      <c r="O5340">
        <v>-1.773715E-2</v>
      </c>
      <c r="P5340">
        <v>0.97973480000000002</v>
      </c>
      <c r="Q5340">
        <v>0.17073369999999999</v>
      </c>
      <c r="R5340">
        <v>0.1047357</v>
      </c>
      <c r="S5340">
        <v>3.0427249999999999</v>
      </c>
      <c r="T5340">
        <v>-0.22005269999999999</v>
      </c>
      <c r="U5340">
        <v>0.54452509999999998</v>
      </c>
      <c r="V5340">
        <v>-0.122211</v>
      </c>
      <c r="W5340">
        <v>0.18444079999999999</v>
      </c>
      <c r="X5340">
        <v>0.97521590000000002</v>
      </c>
      <c r="Y5340">
        <v>-0.19297890000000001</v>
      </c>
      <c r="Z5340">
        <v>9.3124880000000007E-3</v>
      </c>
      <c r="AA5340">
        <v>0.98115870000000005</v>
      </c>
      <c r="AB5340">
        <v>30</v>
      </c>
      <c r="AC5340">
        <v>15.1509999999999</v>
      </c>
      <c r="AD5340">
        <v>-1.1107004187430001</v>
      </c>
      <c r="AE5340">
        <v>2.7518299999999898</v>
      </c>
      <c r="AF5340">
        <v>-3.00452816152798</v>
      </c>
      <c r="AG5340">
        <v>-1.1107004187430001</v>
      </c>
      <c r="AH5340">
        <v>15.021650734164499</v>
      </c>
      <c r="AI5340">
        <v>94.146912414075899</v>
      </c>
      <c r="AJ5340">
        <v>101.310658693599</v>
      </c>
      <c r="AK5340">
        <v>15.3593891699129</v>
      </c>
      <c r="AL5340">
        <v>79.371468366542103</v>
      </c>
      <c r="AM5340">
        <v>97.142891411574396</v>
      </c>
      <c r="AN5340">
        <v>0.99999999441922505</v>
      </c>
    </row>
    <row r="5341" spans="1:40" x14ac:dyDescent="0.25">
      <c r="A5341" t="str">
        <f>"20190304155523005"</f>
        <v>20190304155523005</v>
      </c>
      <c r="B5341" t="str">
        <f>"1551686123003382"</f>
        <v>1551686123003382</v>
      </c>
      <c r="C5341" t="s">
        <v>40</v>
      </c>
      <c r="D5341">
        <v>4.6029350000000004</v>
      </c>
      <c r="E5341">
        <v>0.469196</v>
      </c>
      <c r="F5341" t="s">
        <v>74</v>
      </c>
      <c r="G5341">
        <v>-205.95339999999999</v>
      </c>
      <c r="H5341" s="1">
        <v>-2.5646110000000001E-6</v>
      </c>
      <c r="I5341">
        <v>-60.533580000000001</v>
      </c>
      <c r="J5341">
        <v>-221.19130000000001</v>
      </c>
      <c r="K5341">
        <v>1.1107199999999999</v>
      </c>
      <c r="L5341">
        <v>-63.317779999999999</v>
      </c>
      <c r="M5341">
        <v>0.99974660000000004</v>
      </c>
      <c r="N5341">
        <v>-1.4117920000000001E-2</v>
      </c>
      <c r="O5341">
        <v>-1.75313E-2</v>
      </c>
      <c r="P5341">
        <v>0.97967789999999999</v>
      </c>
      <c r="Q5341">
        <v>0.1704444</v>
      </c>
      <c r="R5341">
        <v>0.1057351</v>
      </c>
      <c r="S5341">
        <v>3.041534</v>
      </c>
      <c r="T5341">
        <v>-0.2195501</v>
      </c>
      <c r="U5341">
        <v>0.54986569999999901</v>
      </c>
      <c r="V5341">
        <v>-0.12301810000000001</v>
      </c>
      <c r="W5341">
        <v>0.18414829999999999</v>
      </c>
      <c r="X5341">
        <v>0.97516970000000003</v>
      </c>
      <c r="Y5341">
        <v>-0.19451009999999999</v>
      </c>
      <c r="Z5341">
        <v>9.3501790000000001E-3</v>
      </c>
      <c r="AA5341">
        <v>0.9808559</v>
      </c>
      <c r="AB5341">
        <v>30</v>
      </c>
      <c r="AC5341">
        <v>15.2379</v>
      </c>
      <c r="AD5341">
        <v>-1.1107225646109999</v>
      </c>
      <c r="AE5341">
        <v>2.78419999999999</v>
      </c>
      <c r="AF5341">
        <v>-3.0353323732711499</v>
      </c>
      <c r="AG5341">
        <v>-1.1107225646109999</v>
      </c>
      <c r="AH5341">
        <v>15.1090573580551</v>
      </c>
      <c r="AI5341">
        <v>94.122389126169793</v>
      </c>
      <c r="AJ5341">
        <v>101.35922518877901</v>
      </c>
      <c r="AK5341">
        <v>15.450908111847699</v>
      </c>
      <c r="AL5341">
        <v>79.388519472174394</v>
      </c>
      <c r="AM5341">
        <v>97.189909174569607</v>
      </c>
      <c r="AN5341">
        <v>0.99999999655929495</v>
      </c>
    </row>
    <row r="5342" spans="1:40" x14ac:dyDescent="0.25">
      <c r="A5342" t="str">
        <f>"20190304155523017"</f>
        <v>20190304155523017</v>
      </c>
      <c r="B5342" t="str">
        <f>"1551686123013139"</f>
        <v>1551686123013139</v>
      </c>
      <c r="C5342" t="s">
        <v>40</v>
      </c>
      <c r="D5342">
        <v>4.6467219999999996</v>
      </c>
      <c r="E5342">
        <v>0.46919959999999999</v>
      </c>
      <c r="F5342" t="s">
        <v>74</v>
      </c>
      <c r="G5342">
        <v>-206.23500000000001</v>
      </c>
      <c r="H5342" s="1">
        <v>-2.393399E-6</v>
      </c>
      <c r="I5342">
        <v>-60.589530000000003</v>
      </c>
      <c r="J5342">
        <v>-221.04249999999999</v>
      </c>
      <c r="K5342">
        <v>1.1107450000000001</v>
      </c>
      <c r="L5342">
        <v>-63.320189999999997</v>
      </c>
      <c r="M5342">
        <v>0.99975040000000004</v>
      </c>
      <c r="N5342">
        <v>-1.412222E-2</v>
      </c>
      <c r="O5342">
        <v>-1.7308049999999998E-2</v>
      </c>
      <c r="P5342">
        <v>0.97958920000000005</v>
      </c>
      <c r="Q5342">
        <v>0.17042679999999999</v>
      </c>
      <c r="R5342">
        <v>0.1065835</v>
      </c>
      <c r="S5342">
        <v>3.0416560000000001</v>
      </c>
      <c r="T5342">
        <v>-0.225886</v>
      </c>
      <c r="U5342">
        <v>0.55484009999999995</v>
      </c>
      <c r="V5342">
        <v>-0.12365710000000001</v>
      </c>
      <c r="W5342">
        <v>0.18412629999999999</v>
      </c>
      <c r="X5342">
        <v>0.97509310000000005</v>
      </c>
      <c r="Y5342">
        <v>-0.1957998</v>
      </c>
      <c r="Z5342">
        <v>9.6289300000000008E-3</v>
      </c>
      <c r="AA5342">
        <v>0.98059660000000004</v>
      </c>
      <c r="AB5342">
        <v>30</v>
      </c>
      <c r="AC5342">
        <v>14.8074999999999</v>
      </c>
      <c r="AD5342">
        <v>-1.110747393399</v>
      </c>
      <c r="AE5342">
        <v>2.7306599999999999</v>
      </c>
      <c r="AF5342">
        <v>-2.9704010416996298</v>
      </c>
      <c r="AG5342">
        <v>-1.110747393399</v>
      </c>
      <c r="AH5342">
        <v>14.678138673005799</v>
      </c>
      <c r="AI5342">
        <v>94.241865082684498</v>
      </c>
      <c r="AJ5342">
        <v>101.440388978668</v>
      </c>
      <c r="AK5342">
        <v>15.0168171402751</v>
      </c>
      <c r="AL5342">
        <v>79.389802623568798</v>
      </c>
      <c r="AM5342">
        <v>97.227423997878105</v>
      </c>
      <c r="AN5342">
        <v>1.00000006319985</v>
      </c>
    </row>
    <row r="5343" spans="1:40" x14ac:dyDescent="0.25">
      <c r="A5343" t="str">
        <f>"20190304155523028"</f>
        <v>20190304155523028</v>
      </c>
      <c r="B5343" t="str">
        <f>"1551686123022900"</f>
        <v>1551686123022900</v>
      </c>
      <c r="C5343" t="s">
        <v>40</v>
      </c>
      <c r="D5343">
        <v>4.6554330000000004</v>
      </c>
      <c r="E5343">
        <v>0.46915560000000001</v>
      </c>
      <c r="F5343" t="s">
        <v>74</v>
      </c>
      <c r="G5343">
        <v>-206.01840000000001</v>
      </c>
      <c r="H5343" s="1">
        <v>-2.5278190000000001E-6</v>
      </c>
      <c r="I5343">
        <v>-60.566119999999998</v>
      </c>
      <c r="J5343">
        <v>-220.89179999999999</v>
      </c>
      <c r="K5343">
        <v>1.110768</v>
      </c>
      <c r="L5343">
        <v>-63.322539999999996</v>
      </c>
      <c r="M5343">
        <v>0.99975460000000005</v>
      </c>
      <c r="N5343">
        <v>-1.412621E-2</v>
      </c>
      <c r="O5343">
        <v>-1.70663E-2</v>
      </c>
      <c r="P5343">
        <v>0.97948679999999999</v>
      </c>
      <c r="Q5343">
        <v>0.170352</v>
      </c>
      <c r="R5343">
        <v>0.10763830000000001</v>
      </c>
      <c r="S5343">
        <v>3.0409549999999999</v>
      </c>
      <c r="T5343">
        <v>-0.22481979999999999</v>
      </c>
      <c r="U5343">
        <v>0.55743409999999904</v>
      </c>
      <c r="V5343">
        <v>-0.1244842</v>
      </c>
      <c r="W5343">
        <v>0.1840466</v>
      </c>
      <c r="X5343">
        <v>0.97500279999999995</v>
      </c>
      <c r="Y5343">
        <v>-0.19641610000000001</v>
      </c>
      <c r="Z5343">
        <v>9.6033679999999993E-3</v>
      </c>
      <c r="AA5343">
        <v>0.98047359999999995</v>
      </c>
      <c r="AB5343">
        <v>30</v>
      </c>
      <c r="AC5343">
        <v>14.873399999999901</v>
      </c>
      <c r="AD5343">
        <v>-1.1107705278190001</v>
      </c>
      <c r="AE5343">
        <v>2.7564199999999999</v>
      </c>
      <c r="AF5343">
        <v>-2.99373501339779</v>
      </c>
      <c r="AG5343">
        <v>-1.1107705278190001</v>
      </c>
      <c r="AH5343">
        <v>14.7446811865457</v>
      </c>
      <c r="AI5343">
        <v>94.222330415670498</v>
      </c>
      <c r="AJ5343">
        <v>101.477220610139</v>
      </c>
      <c r="AK5343">
        <v>15.0864801656579</v>
      </c>
      <c r="AL5343">
        <v>79.394447425112006</v>
      </c>
      <c r="AM5343">
        <v>97.275916089487097</v>
      </c>
      <c r="AN5343">
        <v>0.99999996351451903</v>
      </c>
    </row>
    <row r="5344" spans="1:40" x14ac:dyDescent="0.25">
      <c r="A5344" t="str">
        <f>"20190304155523039"</f>
        <v>20190304155523039</v>
      </c>
      <c r="B5344" t="str">
        <f>"1551686123033636"</f>
        <v>1551686123033636</v>
      </c>
      <c r="C5344" t="s">
        <v>40</v>
      </c>
      <c r="D5344">
        <v>4.6138269999999997</v>
      </c>
      <c r="E5344">
        <v>0.46916639999999998</v>
      </c>
      <c r="F5344" t="s">
        <v>74</v>
      </c>
      <c r="G5344">
        <v>-205.8126</v>
      </c>
      <c r="H5344" s="1">
        <v>-2.655122E-6</v>
      </c>
      <c r="I5344">
        <v>-60.540990000000001</v>
      </c>
      <c r="J5344">
        <v>-220.73609999999999</v>
      </c>
      <c r="K5344">
        <v>1.1107910000000001</v>
      </c>
      <c r="L5344">
        <v>-63.324950000000001</v>
      </c>
      <c r="M5344">
        <v>0.99975899999999995</v>
      </c>
      <c r="N5344">
        <v>-1.413005E-2</v>
      </c>
      <c r="O5344">
        <v>-1.6804400000000001E-2</v>
      </c>
      <c r="P5344">
        <v>0.97936840000000003</v>
      </c>
      <c r="Q5344">
        <v>0.17032639999999999</v>
      </c>
      <c r="R5344">
        <v>0.1087504</v>
      </c>
      <c r="S5344">
        <v>3.0401310000000001</v>
      </c>
      <c r="T5344">
        <v>-0.22394320000000001</v>
      </c>
      <c r="U5344">
        <v>0.56079100000000004</v>
      </c>
      <c r="V5344">
        <v>-0.12534919999999999</v>
      </c>
      <c r="W5344">
        <v>0.18401519999999999</v>
      </c>
      <c r="X5344">
        <v>0.97489789999999998</v>
      </c>
      <c r="Y5344">
        <v>-0.19725580000000001</v>
      </c>
      <c r="Z5344">
        <v>9.5935859999999994E-3</v>
      </c>
      <c r="AA5344">
        <v>0.98030510000000004</v>
      </c>
      <c r="AB5344">
        <v>30</v>
      </c>
      <c r="AC5344">
        <v>14.923499999999899</v>
      </c>
      <c r="AD5344">
        <v>-1.1107936551219999</v>
      </c>
      <c r="AE5344">
        <v>2.78396</v>
      </c>
      <c r="AF5344">
        <v>-3.0182131475499401</v>
      </c>
      <c r="AG5344">
        <v>-1.1107936551219999</v>
      </c>
      <c r="AH5344">
        <v>14.795392092587701</v>
      </c>
      <c r="AI5344">
        <v>94.207212496388394</v>
      </c>
      <c r="AJ5344">
        <v>101.529956248405</v>
      </c>
      <c r="AK5344">
        <v>15.140908173610599</v>
      </c>
      <c r="AL5344">
        <v>79.396277796528395</v>
      </c>
      <c r="AM5344">
        <v>97.326706391175904</v>
      </c>
      <c r="AN5344">
        <v>0.99999996559804405</v>
      </c>
    </row>
    <row r="5345" spans="1:40" x14ac:dyDescent="0.25">
      <c r="A5345" t="str">
        <f>"20190304155523051"</f>
        <v>20190304155523051</v>
      </c>
      <c r="B5345" t="str">
        <f>"1551686123043395"</f>
        <v>1551686123043395</v>
      </c>
      <c r="C5345" t="s">
        <v>40</v>
      </c>
      <c r="D5345">
        <v>4.6516209999999996</v>
      </c>
      <c r="E5345">
        <v>0.46911530000000001</v>
      </c>
      <c r="F5345" t="s">
        <v>74</v>
      </c>
      <c r="G5345">
        <v>-205.61680000000001</v>
      </c>
      <c r="H5345" s="1">
        <v>-2.7765399999999998E-6</v>
      </c>
      <c r="I5345">
        <v>-60.519060000000003</v>
      </c>
      <c r="J5345">
        <v>-220.58580000000001</v>
      </c>
      <c r="K5345">
        <v>1.110816</v>
      </c>
      <c r="L5345">
        <v>-63.327210000000001</v>
      </c>
      <c r="M5345">
        <v>0.99976350000000003</v>
      </c>
      <c r="N5345">
        <v>-1.4133339999999999E-2</v>
      </c>
      <c r="O5345">
        <v>-1.6526989999999998E-2</v>
      </c>
      <c r="P5345">
        <v>0.97926360000000001</v>
      </c>
      <c r="Q5345">
        <v>0.17015669999999999</v>
      </c>
      <c r="R5345">
        <v>0.1099538</v>
      </c>
      <c r="S5345">
        <v>3.0393829999999999</v>
      </c>
      <c r="T5345">
        <v>-0.22329830000000001</v>
      </c>
      <c r="U5345">
        <v>0.56405640000000001</v>
      </c>
      <c r="V5345">
        <v>-0.1262906</v>
      </c>
      <c r="W5345">
        <v>0.183839</v>
      </c>
      <c r="X5345">
        <v>0.9748097</v>
      </c>
      <c r="Y5345">
        <v>-0.19804640000000001</v>
      </c>
      <c r="Z5345">
        <v>9.5891269999999994E-3</v>
      </c>
      <c r="AA5345">
        <v>0.98014579999999996</v>
      </c>
      <c r="AB5345">
        <v>30</v>
      </c>
      <c r="AC5345">
        <v>14.9689999999999</v>
      </c>
      <c r="AD5345">
        <v>-1.1108187765399999</v>
      </c>
      <c r="AE5345">
        <v>2.8081499999999999</v>
      </c>
      <c r="AF5345">
        <v>-3.0390172400619</v>
      </c>
      <c r="AG5345">
        <v>-1.1108187765399999</v>
      </c>
      <c r="AH5345">
        <v>14.8415887984871</v>
      </c>
      <c r="AI5345">
        <v>94.193629585663302</v>
      </c>
      <c r="AJ5345">
        <v>101.572127484527</v>
      </c>
      <c r="AK5345">
        <v>15.1902041527783</v>
      </c>
      <c r="AL5345">
        <v>79.406549141770299</v>
      </c>
      <c r="AM5345">
        <v>97.381787482765105</v>
      </c>
      <c r="AN5345">
        <v>1.00000002239172</v>
      </c>
    </row>
    <row r="5346" spans="1:40" x14ac:dyDescent="0.25">
      <c r="A5346" t="str">
        <f>"20190304155523062"</f>
        <v>20190304155523062</v>
      </c>
      <c r="B5346" t="str">
        <f>"1551686123053155"</f>
        <v>1551686123053155</v>
      </c>
      <c r="C5346" t="s">
        <v>40</v>
      </c>
      <c r="D5346">
        <v>4.6318760000000001</v>
      </c>
      <c r="E5346">
        <v>0.46910770000000002</v>
      </c>
      <c r="F5346" t="s">
        <v>74</v>
      </c>
      <c r="G5346">
        <v>-205.45699999999999</v>
      </c>
      <c r="H5346" s="1">
        <v>-2.8752509999999999E-6</v>
      </c>
      <c r="I5346">
        <v>-60.498530000000002</v>
      </c>
      <c r="J5346">
        <v>-220.4393</v>
      </c>
      <c r="K5346">
        <v>1.11084</v>
      </c>
      <c r="L5346">
        <v>-63.32938</v>
      </c>
      <c r="M5346">
        <v>0.99976810000000005</v>
      </c>
      <c r="N5346">
        <v>-1.413644E-2</v>
      </c>
      <c r="O5346">
        <v>-1.625066E-2</v>
      </c>
      <c r="P5346">
        <v>0.97914809999999997</v>
      </c>
      <c r="Q5346">
        <v>0.17015229999999901</v>
      </c>
      <c r="R5346">
        <v>0.110983399999999</v>
      </c>
      <c r="S5346">
        <v>3.0384980000000001</v>
      </c>
      <c r="T5346">
        <v>-0.22309850000000001</v>
      </c>
      <c r="U5346">
        <v>0.56811519999999904</v>
      </c>
      <c r="V5346">
        <v>-0.1270587</v>
      </c>
      <c r="W5346">
        <v>0.18382780000000001</v>
      </c>
      <c r="X5346">
        <v>0.97471200000000002</v>
      </c>
      <c r="Y5346">
        <v>-0.19909009999999999</v>
      </c>
      <c r="Z5346">
        <v>9.6126249999999996E-3</v>
      </c>
      <c r="AA5346">
        <v>0.97993399999999997</v>
      </c>
      <c r="AB5346">
        <v>30</v>
      </c>
      <c r="AC5346">
        <v>14.9823</v>
      </c>
      <c r="AD5346">
        <v>-1.110842875251</v>
      </c>
      <c r="AE5346">
        <v>2.8308499999999999</v>
      </c>
      <c r="AF5346">
        <v>-3.0577428152093198</v>
      </c>
      <c r="AG5346">
        <v>-1.110842875251</v>
      </c>
      <c r="AH5346">
        <v>14.855463673855001</v>
      </c>
      <c r="AI5346">
        <v>94.188937982484106</v>
      </c>
      <c r="AJ5346">
        <v>101.630914438041</v>
      </c>
      <c r="AK5346">
        <v>15.207516693486999</v>
      </c>
      <c r="AL5346">
        <v>79.407202041938802</v>
      </c>
      <c r="AM5346">
        <v>97.426919964918</v>
      </c>
      <c r="AN5346">
        <v>1.00000002812126</v>
      </c>
    </row>
    <row r="5347" spans="1:40" x14ac:dyDescent="0.25">
      <c r="A5347" t="str">
        <f>"20190304155523073"</f>
        <v>20190304155523073</v>
      </c>
      <c r="B5347" t="str">
        <f>"1551686123062917"</f>
        <v>1551686123062917</v>
      </c>
      <c r="C5347" t="s">
        <v>40</v>
      </c>
      <c r="D5347">
        <v>4.5760319999999997</v>
      </c>
      <c r="E5347">
        <v>0.4688505</v>
      </c>
      <c r="F5347" t="s">
        <v>74</v>
      </c>
      <c r="G5347">
        <v>-205.27430000000001</v>
      </c>
      <c r="H5347" s="1">
        <v>-2.9885249999999999E-6</v>
      </c>
      <c r="I5347">
        <v>-60.478230000000003</v>
      </c>
      <c r="J5347">
        <v>-220.28120000000001</v>
      </c>
      <c r="K5347">
        <v>1.110876</v>
      </c>
      <c r="L5347">
        <v>-63.331600000000002</v>
      </c>
      <c r="M5347">
        <v>0.99977320000000003</v>
      </c>
      <c r="N5347">
        <v>-1.41393E-2</v>
      </c>
      <c r="O5347">
        <v>-1.5919909999999999E-2</v>
      </c>
      <c r="P5347">
        <v>0.9790276</v>
      </c>
      <c r="Q5347">
        <v>0.1699773</v>
      </c>
      <c r="R5347">
        <v>0.11230569999999999</v>
      </c>
      <c r="S5347">
        <v>3.0378270000000001</v>
      </c>
      <c r="T5347">
        <v>-0.22252189999999999</v>
      </c>
      <c r="U5347">
        <v>0.57113649999999905</v>
      </c>
      <c r="V5347">
        <v>-0.12806789999999901</v>
      </c>
      <c r="W5347">
        <v>0.1836449</v>
      </c>
      <c r="X5347">
        <v>0.97461439999999999</v>
      </c>
      <c r="Y5347">
        <v>-0.19974800000000001</v>
      </c>
      <c r="Z5347">
        <v>9.6015519999999993E-3</v>
      </c>
      <c r="AA5347">
        <v>0.97980029999999996</v>
      </c>
      <c r="AB5347">
        <v>30</v>
      </c>
      <c r="AC5347">
        <v>15.0069</v>
      </c>
      <c r="AD5347">
        <v>-1.1108789885250001</v>
      </c>
      <c r="AE5347">
        <v>2.8533699999999902</v>
      </c>
      <c r="AF5347">
        <v>-3.0756751858981599</v>
      </c>
      <c r="AG5347">
        <v>-1.1108789885250001</v>
      </c>
      <c r="AH5347">
        <v>14.8808711897723</v>
      </c>
      <c r="AI5347">
        <v>94.181242978314899</v>
      </c>
      <c r="AJ5347">
        <v>101.677827655679</v>
      </c>
      <c r="AK5347">
        <v>15.235949505787</v>
      </c>
      <c r="AL5347">
        <v>79.417862982291098</v>
      </c>
      <c r="AM5347">
        <v>97.485985152448507</v>
      </c>
      <c r="AN5347">
        <v>1.0000000324968801</v>
      </c>
    </row>
    <row r="5348" spans="1:40" x14ac:dyDescent="0.25">
      <c r="A5348" t="str">
        <f>"20190304155523084"</f>
        <v>20190304155523084</v>
      </c>
      <c r="B5348" t="str">
        <f>"1551686123072677"</f>
        <v>1551686123072677</v>
      </c>
      <c r="C5348" t="s">
        <v>40</v>
      </c>
      <c r="D5348">
        <v>4.6205550000000004</v>
      </c>
      <c r="E5348">
        <v>0.4688618</v>
      </c>
      <c r="F5348" t="s">
        <v>74</v>
      </c>
      <c r="G5348">
        <v>-205.0446</v>
      </c>
      <c r="H5348" s="1">
        <v>-3.1284699999999998E-6</v>
      </c>
      <c r="I5348">
        <v>-60.434640000000002</v>
      </c>
      <c r="J5348">
        <v>-220.1447</v>
      </c>
      <c r="K5348">
        <v>1.1109020000000001</v>
      </c>
      <c r="L5348">
        <v>-63.333500000000001</v>
      </c>
      <c r="M5348">
        <v>0.99977800000000006</v>
      </c>
      <c r="N5348">
        <v>-1.414164E-2</v>
      </c>
      <c r="O5348">
        <v>-1.5626399999999999E-2</v>
      </c>
      <c r="P5348">
        <v>0.97891119999999998</v>
      </c>
      <c r="Q5348">
        <v>0.16988049999999999</v>
      </c>
      <c r="R5348">
        <v>0.11346299999999999</v>
      </c>
      <c r="S5348">
        <v>3.0364840000000002</v>
      </c>
      <c r="T5348">
        <v>-0.22138540000000001</v>
      </c>
      <c r="U5348">
        <v>0.5773315</v>
      </c>
      <c r="V5348">
        <v>-0.1289479</v>
      </c>
      <c r="W5348">
        <v>0.18353990000000001</v>
      </c>
      <c r="X5348">
        <v>0.97451810000000005</v>
      </c>
      <c r="Y5348">
        <v>-0.2014698</v>
      </c>
      <c r="Z5348">
        <v>9.6186699999999993E-3</v>
      </c>
      <c r="AA5348">
        <v>0.97944750000000003</v>
      </c>
      <c r="AB5348">
        <v>30</v>
      </c>
      <c r="AC5348">
        <v>15.1000999999999</v>
      </c>
      <c r="AD5348">
        <v>-1.11090512847</v>
      </c>
      <c r="AE5348">
        <v>2.8988599999999898</v>
      </c>
      <c r="AF5348">
        <v>-3.1182124667942701</v>
      </c>
      <c r="AG5348">
        <v>-1.11090512847</v>
      </c>
      <c r="AH5348">
        <v>14.9747832270146</v>
      </c>
      <c r="AI5348">
        <v>94.153938800214107</v>
      </c>
      <c r="AJ5348">
        <v>101.76266350706901</v>
      </c>
      <c r="AK5348">
        <v>15.336280249415401</v>
      </c>
      <c r="AL5348">
        <v>79.423982626920406</v>
      </c>
      <c r="AM5348">
        <v>97.537570877376496</v>
      </c>
      <c r="AN5348">
        <v>0.99999999151701502</v>
      </c>
    </row>
    <row r="5349" spans="1:40" x14ac:dyDescent="0.25">
      <c r="A5349" t="str">
        <f>"20190304155523094"</f>
        <v>20190304155523094</v>
      </c>
      <c r="B5349" t="str">
        <f>"1551686123083412"</f>
        <v>1551686123083412</v>
      </c>
      <c r="C5349" t="s">
        <v>40</v>
      </c>
      <c r="D5349">
        <v>4.6340760000000003</v>
      </c>
      <c r="E5349">
        <v>0.46882560000000001</v>
      </c>
      <c r="F5349" t="s">
        <v>74</v>
      </c>
      <c r="G5349">
        <v>-204.88800000000001</v>
      </c>
      <c r="H5349" s="1">
        <v>-3.2139310000000001E-6</v>
      </c>
      <c r="I5349">
        <v>-60.415390000000002</v>
      </c>
      <c r="J5349">
        <v>-220.00630000000001</v>
      </c>
      <c r="K5349">
        <v>1.1109290000000001</v>
      </c>
      <c r="L5349">
        <v>-63.335360000000001</v>
      </c>
      <c r="M5349">
        <v>0.99978279999999997</v>
      </c>
      <c r="N5349">
        <v>-1.414369E-2</v>
      </c>
      <c r="O5349">
        <v>-1.5307970000000001E-2</v>
      </c>
      <c r="P5349">
        <v>0.97877270000000005</v>
      </c>
      <c r="Q5349">
        <v>0.16989279999999901</v>
      </c>
      <c r="R5349">
        <v>0.114632399999999</v>
      </c>
      <c r="S5349">
        <v>3.0356749999999999</v>
      </c>
      <c r="T5349">
        <v>-0.22104070000000001</v>
      </c>
      <c r="U5349">
        <v>0.58062740000000002</v>
      </c>
      <c r="V5349">
        <v>-0.12981580000000001</v>
      </c>
      <c r="W5349">
        <v>0.18354319999999999</v>
      </c>
      <c r="X5349">
        <v>0.9744022</v>
      </c>
      <c r="Y5349">
        <v>-0.20223160000000001</v>
      </c>
      <c r="Z5349">
        <v>9.6217109999999998E-3</v>
      </c>
      <c r="AA5349">
        <v>0.97929049999999995</v>
      </c>
      <c r="AB5349">
        <v>30</v>
      </c>
      <c r="AC5349">
        <v>15.1183</v>
      </c>
      <c r="AD5349">
        <v>-1.1109322139309901</v>
      </c>
      <c r="AE5349">
        <v>2.91996999999999</v>
      </c>
      <c r="AF5349">
        <v>-3.1347633758550901</v>
      </c>
      <c r="AG5349">
        <v>-1.1109322139309901</v>
      </c>
      <c r="AH5349">
        <v>14.9937746433169</v>
      </c>
      <c r="AI5349">
        <v>94.148102114255494</v>
      </c>
      <c r="AJ5349">
        <v>101.80878972498201</v>
      </c>
      <c r="AK5349">
        <v>15.3581961786248</v>
      </c>
      <c r="AL5349">
        <v>79.423789815409506</v>
      </c>
      <c r="AM5349">
        <v>97.588606300205498</v>
      </c>
      <c r="AN5349">
        <v>0.99999994778035795</v>
      </c>
    </row>
    <row r="5350" spans="1:40" x14ac:dyDescent="0.25">
      <c r="A5350" t="str">
        <f>"20190304155523105"</f>
        <v>20190304155523105</v>
      </c>
      <c r="B5350" t="str">
        <f>"1551686123102931"</f>
        <v>1551686123102931</v>
      </c>
      <c r="C5350" t="s">
        <v>40</v>
      </c>
      <c r="D5350">
        <v>4.5898510000000003</v>
      </c>
      <c r="E5350">
        <v>0.46860459999999898</v>
      </c>
      <c r="F5350" t="s">
        <v>74</v>
      </c>
      <c r="G5350">
        <v>-204.7199</v>
      </c>
      <c r="H5350" s="1">
        <v>-3.2982259999999999E-6</v>
      </c>
      <c r="I5350">
        <v>-60.39143</v>
      </c>
      <c r="J5350">
        <v>-219.86320000000001</v>
      </c>
      <c r="K5350">
        <v>1.1109549999999999</v>
      </c>
      <c r="L5350">
        <v>-63.337220000000002</v>
      </c>
      <c r="M5350">
        <v>0.99978789999999995</v>
      </c>
      <c r="N5350">
        <v>-1.4145670000000001E-2</v>
      </c>
      <c r="O5350">
        <v>-1.4964949999999999E-2</v>
      </c>
      <c r="P5350">
        <v>0.97864010000000001</v>
      </c>
      <c r="Q5350">
        <v>0.16977300000000001</v>
      </c>
      <c r="R5350">
        <v>0.11593390000000001</v>
      </c>
      <c r="S5350">
        <v>3.034897</v>
      </c>
      <c r="T5350">
        <v>-0.22055859999999999</v>
      </c>
      <c r="U5350">
        <v>0.58447269999999996</v>
      </c>
      <c r="V5350">
        <v>-0.13079180000000001</v>
      </c>
      <c r="W5350">
        <v>0.18341379999999999</v>
      </c>
      <c r="X5350">
        <v>0.9742961</v>
      </c>
      <c r="Y5350">
        <v>-0.20313880000000001</v>
      </c>
      <c r="Z5350">
        <v>9.6241629999999998E-3</v>
      </c>
      <c r="AA5350">
        <v>0.97910269999999999</v>
      </c>
      <c r="AB5350">
        <v>30</v>
      </c>
      <c r="AC5350">
        <v>15.1433</v>
      </c>
      <c r="AD5350">
        <v>-1.110958298226</v>
      </c>
      <c r="AE5350">
        <v>2.9457899999999801</v>
      </c>
      <c r="AF5350">
        <v>-3.1557361634327501</v>
      </c>
      <c r="AG5350">
        <v>-1.110958298226</v>
      </c>
      <c r="AH5350">
        <v>15.0196256949668</v>
      </c>
      <c r="AI5350">
        <v>94.140225672101707</v>
      </c>
      <c r="AJ5350">
        <v>101.865678713675</v>
      </c>
      <c r="AK5350">
        <v>15.3877241686515</v>
      </c>
      <c r="AL5350">
        <v>79.431332524728603</v>
      </c>
      <c r="AM5350">
        <v>97.645810448790201</v>
      </c>
      <c r="AN5350">
        <v>1.00000000372644</v>
      </c>
    </row>
    <row r="5351" spans="1:40" x14ac:dyDescent="0.25">
      <c r="A5351" t="str">
        <f>"20190304155523116"</f>
        <v>20190304155523116</v>
      </c>
      <c r="B5351" t="str">
        <f>"1551686123112691"</f>
        <v>1551686123112691</v>
      </c>
      <c r="C5351" t="s">
        <v>40</v>
      </c>
      <c r="D5351">
        <v>4.5634300000000003</v>
      </c>
      <c r="E5351">
        <v>0.46843050000000003</v>
      </c>
      <c r="F5351" t="s">
        <v>74</v>
      </c>
      <c r="G5351">
        <v>-204.47710000000001</v>
      </c>
      <c r="H5351" s="1">
        <v>-3.430208E-6</v>
      </c>
      <c r="I5351">
        <v>-60.344169999999998</v>
      </c>
      <c r="J5351">
        <v>-219.71449999999999</v>
      </c>
      <c r="K5351">
        <v>1.110984</v>
      </c>
      <c r="L5351">
        <v>-63.33905</v>
      </c>
      <c r="M5351">
        <v>0.9997935</v>
      </c>
      <c r="N5351">
        <v>-1.414752E-2</v>
      </c>
      <c r="O5351">
        <v>-1.458696E-2</v>
      </c>
      <c r="P5351">
        <v>0.97845879999999996</v>
      </c>
      <c r="Q5351">
        <v>0.1698482</v>
      </c>
      <c r="R5351">
        <v>0.1173464</v>
      </c>
      <c r="S5351">
        <v>3.0335540000000001</v>
      </c>
      <c r="T5351">
        <v>-0.2190396</v>
      </c>
      <c r="U5351">
        <v>0.59011840000000004</v>
      </c>
      <c r="V5351">
        <v>-0.1318462</v>
      </c>
      <c r="W5351">
        <v>0.18347759999999999</v>
      </c>
      <c r="X5351">
        <v>0.97414199999999995</v>
      </c>
      <c r="Y5351">
        <v>-0.2046094</v>
      </c>
      <c r="Z5351">
        <v>9.6104889999999998E-3</v>
      </c>
      <c r="AA5351">
        <v>0.97879649999999996</v>
      </c>
      <c r="AB5351">
        <v>30</v>
      </c>
      <c r="AC5351">
        <v>15.2373999999999</v>
      </c>
      <c r="AD5351">
        <v>-1.1109874302079901</v>
      </c>
      <c r="AE5351">
        <v>2.9948800000000002</v>
      </c>
      <c r="AF5351">
        <v>-3.2004695676014299</v>
      </c>
      <c r="AG5351">
        <v>-1.1109874302079901</v>
      </c>
      <c r="AH5351">
        <v>15.114724533373099</v>
      </c>
      <c r="AI5351">
        <v>94.113017688438603</v>
      </c>
      <c r="AJ5351">
        <v>101.955511692846</v>
      </c>
      <c r="AK5351">
        <v>15.4897448733985</v>
      </c>
      <c r="AL5351">
        <v>79.427614370908998</v>
      </c>
      <c r="AM5351">
        <v>97.707915047908799</v>
      </c>
      <c r="AN5351">
        <v>1.0000000431600899</v>
      </c>
    </row>
    <row r="5352" spans="1:40" x14ac:dyDescent="0.25">
      <c r="A5352" t="str">
        <f>"20190304155523129"</f>
        <v>20190304155523129</v>
      </c>
      <c r="B5352" t="str">
        <f>"1551686123123427"</f>
        <v>1551686123123427</v>
      </c>
      <c r="C5352" t="s">
        <v>40</v>
      </c>
      <c r="D5352">
        <v>4.5553179999999998</v>
      </c>
      <c r="E5352">
        <v>0.46821279999999998</v>
      </c>
      <c r="F5352" t="s">
        <v>74</v>
      </c>
      <c r="G5352">
        <v>-204.2244</v>
      </c>
      <c r="H5352" s="1">
        <v>-3.5699669999999998E-6</v>
      </c>
      <c r="I5352">
        <v>-60.294629999999998</v>
      </c>
      <c r="J5352">
        <v>-219.55930000000001</v>
      </c>
      <c r="K5352">
        <v>1.1110180000000001</v>
      </c>
      <c r="L5352">
        <v>-63.340910000000001</v>
      </c>
      <c r="M5352">
        <v>0.99979960000000001</v>
      </c>
      <c r="N5352">
        <v>-1.414928E-2</v>
      </c>
      <c r="O5352">
        <v>-1.41653E-2</v>
      </c>
      <c r="P5352">
        <v>0.97831109999999999</v>
      </c>
      <c r="Q5352">
        <v>0.16992460000000001</v>
      </c>
      <c r="R5352">
        <v>0.1184625</v>
      </c>
      <c r="S5352">
        <v>3.032349</v>
      </c>
      <c r="T5352">
        <v>-0.21748780000000001</v>
      </c>
      <c r="U5352">
        <v>0.5959778</v>
      </c>
      <c r="V5352">
        <v>-0.13256309999999999</v>
      </c>
      <c r="W5352">
        <v>0.1835427</v>
      </c>
      <c r="X5352">
        <v>0.97403240000000002</v>
      </c>
      <c r="Y5352">
        <v>-0.20609540000000001</v>
      </c>
      <c r="Z5352">
        <v>9.5929359999999998E-3</v>
      </c>
      <c r="AA5352">
        <v>0.97848489999999999</v>
      </c>
      <c r="AB5352">
        <v>30</v>
      </c>
      <c r="AC5352">
        <v>15.334899999999999</v>
      </c>
      <c r="AD5352">
        <v>-1.1110215699670001</v>
      </c>
      <c r="AE5352">
        <v>3.0462799999999901</v>
      </c>
      <c r="AF5352">
        <v>-3.2468236695872998</v>
      </c>
      <c r="AG5352">
        <v>-1.1110215699670001</v>
      </c>
      <c r="AH5352">
        <v>15.2133807187701</v>
      </c>
      <c r="AI5352">
        <v>94.085175007949701</v>
      </c>
      <c r="AJ5352">
        <v>102.04726674938701</v>
      </c>
      <c r="AK5352">
        <v>15.5956143118689</v>
      </c>
      <c r="AL5352">
        <v>79.423819594352196</v>
      </c>
      <c r="AM5352">
        <v>97.750179508221706</v>
      </c>
      <c r="AN5352">
        <v>1.0000000072273201</v>
      </c>
    </row>
    <row r="5353" spans="1:40" x14ac:dyDescent="0.25">
      <c r="A5353" t="str">
        <f>"20190304155523139"</f>
        <v>20190304155523139</v>
      </c>
      <c r="B5353" t="str">
        <f>"1551686123133187"</f>
        <v>1551686123133187</v>
      </c>
      <c r="C5353" t="s">
        <v>40</v>
      </c>
      <c r="D5353">
        <v>4.5730180000000002</v>
      </c>
      <c r="E5353">
        <v>0.4680686</v>
      </c>
      <c r="F5353" t="s">
        <v>74</v>
      </c>
      <c r="G5353">
        <v>-203.9649</v>
      </c>
      <c r="H5353" s="1">
        <v>-3.7124860000000001E-6</v>
      </c>
      <c r="I5353">
        <v>-60.248150000000003</v>
      </c>
      <c r="J5353">
        <v>-219.4143</v>
      </c>
      <c r="K5353">
        <v>1.111059</v>
      </c>
      <c r="L5353">
        <v>-63.342590000000001</v>
      </c>
      <c r="M5353">
        <v>0.99980530000000001</v>
      </c>
      <c r="N5353">
        <v>-1.415082E-2</v>
      </c>
      <c r="O5353">
        <v>-1.375533E-2</v>
      </c>
      <c r="P5353">
        <v>0.97823610000000005</v>
      </c>
      <c r="Q5353">
        <v>0.16958679999999901</v>
      </c>
      <c r="R5353">
        <v>0.11955979999999999</v>
      </c>
      <c r="S5353">
        <v>3.0312190000000001</v>
      </c>
      <c r="T5353">
        <v>-0.21595880000000001</v>
      </c>
      <c r="U5353">
        <v>0.60116579999999997</v>
      </c>
      <c r="V5353">
        <v>-0.13327320000000001</v>
      </c>
      <c r="W5353">
        <v>0.183194</v>
      </c>
      <c r="X5353">
        <v>0.97400109999999995</v>
      </c>
      <c r="Y5353">
        <v>-0.2073798</v>
      </c>
      <c r="Z5353">
        <v>9.567931E-3</v>
      </c>
      <c r="AA5353">
        <v>0.97821369999999996</v>
      </c>
      <c r="AB5353">
        <v>30</v>
      </c>
      <c r="AC5353">
        <v>15.449399999999899</v>
      </c>
      <c r="AD5353">
        <v>-1.111062712486</v>
      </c>
      <c r="AE5353">
        <v>3.0944399999999899</v>
      </c>
      <c r="AF5353">
        <v>-3.2903190677501399</v>
      </c>
      <c r="AG5353">
        <v>-1.111062712486</v>
      </c>
      <c r="AH5353">
        <v>15.329145200559401</v>
      </c>
      <c r="AI5353">
        <v>94.053563437698401</v>
      </c>
      <c r="AJ5353">
        <v>102.11441847556701</v>
      </c>
      <c r="AK5353">
        <v>15.7176128116998</v>
      </c>
      <c r="AL5353">
        <v>79.444142785286502</v>
      </c>
      <c r="AM5353">
        <v>97.791433594840498</v>
      </c>
      <c r="AN5353">
        <v>0.99999996513772405</v>
      </c>
    </row>
    <row r="5354" spans="1:40" x14ac:dyDescent="0.25">
      <c r="A5354" t="str">
        <f>"20190304155523150"</f>
        <v>20190304155523150</v>
      </c>
      <c r="B5354" t="str">
        <f>"1551686123142947"</f>
        <v>1551686123142947</v>
      </c>
      <c r="C5354" t="s">
        <v>40</v>
      </c>
      <c r="D5354">
        <v>4.5989810000000002</v>
      </c>
      <c r="E5354">
        <v>0.46816489999999999</v>
      </c>
      <c r="F5354" t="s">
        <v>74</v>
      </c>
      <c r="G5354">
        <v>-203.8</v>
      </c>
      <c r="H5354" s="1">
        <v>-3.802431E-6</v>
      </c>
      <c r="I5354">
        <v>-60.221469999999997</v>
      </c>
      <c r="J5354">
        <v>-219.27330000000001</v>
      </c>
      <c r="K5354">
        <v>1.1110930000000001</v>
      </c>
      <c r="L5354">
        <v>-63.344090000000001</v>
      </c>
      <c r="M5354">
        <v>0.99981140000000002</v>
      </c>
      <c r="N5354">
        <v>-1.414998E-2</v>
      </c>
      <c r="O5354">
        <v>-1.3318129999999999E-2</v>
      </c>
      <c r="P5354">
        <v>0.97808899999999999</v>
      </c>
      <c r="Q5354">
        <v>0.16964299999999999</v>
      </c>
      <c r="R5354">
        <v>0.12067849999999999</v>
      </c>
      <c r="S5354">
        <v>3.03009</v>
      </c>
      <c r="T5354">
        <v>-0.2156119</v>
      </c>
      <c r="U5354">
        <v>0.60568239999999995</v>
      </c>
      <c r="V5354">
        <v>-0.13397899999999999</v>
      </c>
      <c r="W5354">
        <v>0.1832348</v>
      </c>
      <c r="X5354">
        <v>0.9738966</v>
      </c>
      <c r="Y5354">
        <v>-0.2084232</v>
      </c>
      <c r="Z5354">
        <v>9.5761779999999994E-3</v>
      </c>
      <c r="AA5354">
        <v>0.97799179999999997</v>
      </c>
      <c r="AB5354">
        <v>30</v>
      </c>
      <c r="AC5354">
        <v>15.473299999999901</v>
      </c>
      <c r="AD5354">
        <v>-1.111096802431</v>
      </c>
      <c r="AE5354">
        <v>3.12262</v>
      </c>
      <c r="AF5354">
        <v>-3.3120294966991501</v>
      </c>
      <c r="AG5354">
        <v>-1.111096802431</v>
      </c>
      <c r="AH5354">
        <v>15.354262798448101</v>
      </c>
      <c r="AI5354">
        <v>94.046196575689606</v>
      </c>
      <c r="AJ5354">
        <v>102.172619754092</v>
      </c>
      <c r="AK5354">
        <v>15.7466650937646</v>
      </c>
      <c r="AL5354">
        <v>79.4417649815896</v>
      </c>
      <c r="AM5354">
        <v>97.833015340178903</v>
      </c>
      <c r="AN5354">
        <v>0.99999997593179901</v>
      </c>
    </row>
    <row r="5355" spans="1:40" x14ac:dyDescent="0.25">
      <c r="A5355" t="str">
        <f>"20190304155523163"</f>
        <v>20190304155523163</v>
      </c>
      <c r="B5355" t="str">
        <f>"1551686123152707"</f>
        <v>1551686123152707</v>
      </c>
      <c r="C5355" t="s">
        <v>40</v>
      </c>
      <c r="D5355">
        <v>4.6371539999999998</v>
      </c>
      <c r="E5355">
        <v>0.46853840000000002</v>
      </c>
      <c r="F5355" t="s">
        <v>74</v>
      </c>
      <c r="G5355">
        <v>-203.59909999999999</v>
      </c>
      <c r="H5355" s="1">
        <v>-3.9104809999999998E-6</v>
      </c>
      <c r="I5355">
        <v>-60.19585</v>
      </c>
      <c r="J5355">
        <v>-219.1027</v>
      </c>
      <c r="K5355">
        <v>1.1111390000000001</v>
      </c>
      <c r="L5355">
        <v>-63.345860000000002</v>
      </c>
      <c r="M5355">
        <v>0.99981850000000005</v>
      </c>
      <c r="N5355">
        <v>-1.4148020000000001E-2</v>
      </c>
      <c r="O5355">
        <v>-1.277004E-2</v>
      </c>
      <c r="P5355">
        <v>0.97799210000000003</v>
      </c>
      <c r="Q5355">
        <v>0.16929710000000001</v>
      </c>
      <c r="R5355">
        <v>0.12194240000000001</v>
      </c>
      <c r="S5355">
        <v>3.0293580000000002</v>
      </c>
      <c r="T5355">
        <v>-0.2147416</v>
      </c>
      <c r="U5355">
        <v>0.60845950000000004</v>
      </c>
      <c r="V5355">
        <v>-0.13472619999999999</v>
      </c>
      <c r="W5355">
        <v>0.18287010000000001</v>
      </c>
      <c r="X5355">
        <v>0.97386209999999995</v>
      </c>
      <c r="Y5355">
        <v>-0.20879890000000001</v>
      </c>
      <c r="Z5355">
        <v>9.5291219999999992E-3</v>
      </c>
      <c r="AA5355">
        <v>0.97791220000000001</v>
      </c>
      <c r="AB5355">
        <v>30</v>
      </c>
      <c r="AC5355">
        <v>15.5036</v>
      </c>
      <c r="AD5355">
        <v>-1.11114291048099</v>
      </c>
      <c r="AE5355">
        <v>3.1500099999999902</v>
      </c>
      <c r="AF5355">
        <v>-3.33132124756722</v>
      </c>
      <c r="AG5355">
        <v>-1.11114291048099</v>
      </c>
      <c r="AH5355">
        <v>15.3862064639849</v>
      </c>
      <c r="AI5355">
        <v>94.037321298185702</v>
      </c>
      <c r="AJ5355">
        <v>102.21673951967701</v>
      </c>
      <c r="AK5355">
        <v>15.7818785058806</v>
      </c>
      <c r="AL5355">
        <v>79.463020215949498</v>
      </c>
      <c r="AM5355">
        <v>97.876428772529295</v>
      </c>
      <c r="AN5355">
        <v>1.00000000612843</v>
      </c>
    </row>
    <row r="5356" spans="1:40" x14ac:dyDescent="0.25">
      <c r="A5356" t="str">
        <f>"20190304155523176"</f>
        <v>20190304155523176</v>
      </c>
      <c r="B5356" t="str">
        <f>"1551686123173203"</f>
        <v>1551686123173203</v>
      </c>
      <c r="C5356" t="s">
        <v>40</v>
      </c>
      <c r="D5356">
        <v>4.6150370000000001</v>
      </c>
      <c r="E5356">
        <v>0.46875800000000001</v>
      </c>
      <c r="F5356" t="s">
        <v>74</v>
      </c>
      <c r="G5356">
        <v>-203.4126</v>
      </c>
      <c r="H5356" s="1">
        <v>-4.0071199999999998E-6</v>
      </c>
      <c r="I5356">
        <v>-60.188639999999999</v>
      </c>
      <c r="J5356">
        <v>-218.93709999999999</v>
      </c>
      <c r="K5356">
        <v>1.1111899999999999</v>
      </c>
      <c r="L5356">
        <v>-63.347380000000001</v>
      </c>
      <c r="M5356">
        <v>0.99982579999999999</v>
      </c>
      <c r="N5356">
        <v>-1.41441E-2</v>
      </c>
      <c r="O5356">
        <v>-1.218707E-2</v>
      </c>
      <c r="P5356">
        <v>0.97784199999999999</v>
      </c>
      <c r="Q5356">
        <v>0.16924500000000001</v>
      </c>
      <c r="R5356">
        <v>0.1232129</v>
      </c>
      <c r="S5356">
        <v>3.0286559999999998</v>
      </c>
      <c r="T5356">
        <v>-0.21448349999999999</v>
      </c>
      <c r="U5356">
        <v>0.60943599999999998</v>
      </c>
      <c r="V5356">
        <v>-0.13544779999999901</v>
      </c>
      <c r="W5356">
        <v>0.18279599999999999</v>
      </c>
      <c r="X5356">
        <v>0.97377590000000003</v>
      </c>
      <c r="Y5356">
        <v>-0.20857829999999999</v>
      </c>
      <c r="Z5356">
        <v>9.4785689999999992E-3</v>
      </c>
      <c r="AA5356">
        <v>0.97795980000000005</v>
      </c>
      <c r="AB5356">
        <v>29</v>
      </c>
      <c r="AC5356">
        <v>15.5244999999999</v>
      </c>
      <c r="AD5356">
        <v>-1.1111940071199999</v>
      </c>
      <c r="AE5356">
        <v>3.1587399999999999</v>
      </c>
      <c r="AF5356">
        <v>-3.33133371085987</v>
      </c>
      <c r="AG5356">
        <v>-1.1111940071199999</v>
      </c>
      <c r="AH5356">
        <v>15.4090413281136</v>
      </c>
      <c r="AI5356">
        <v>94.031808654930899</v>
      </c>
      <c r="AJ5356">
        <v>102.19922223263001</v>
      </c>
      <c r="AK5356">
        <v>15.8041479069921</v>
      </c>
      <c r="AL5356">
        <v>79.467338492847503</v>
      </c>
      <c r="AM5356">
        <v>97.918773648929701</v>
      </c>
      <c r="AN5356">
        <v>0.99999999378082505</v>
      </c>
    </row>
    <row r="5357" spans="1:40" x14ac:dyDescent="0.25">
      <c r="A5357" t="str">
        <f>"20190304155523188"</f>
        <v>20190304155523188</v>
      </c>
      <c r="B5357" t="str">
        <f>"1551686123182963"</f>
        <v>1551686123182963</v>
      </c>
      <c r="C5357" t="s">
        <v>40</v>
      </c>
      <c r="D5357">
        <v>4.5861450000000001</v>
      </c>
      <c r="E5357">
        <v>0.46881610000000001</v>
      </c>
      <c r="F5357" t="s">
        <v>74</v>
      </c>
      <c r="G5357">
        <v>-203.17060000000001</v>
      </c>
      <c r="H5357" s="1">
        <v>-4.1363030000000004E-6</v>
      </c>
      <c r="I5357">
        <v>-60.162010000000002</v>
      </c>
      <c r="J5357">
        <v>-218.7739</v>
      </c>
      <c r="K5357">
        <v>1.11124</v>
      </c>
      <c r="L5357">
        <v>-63.348750000000003</v>
      </c>
      <c r="M5357">
        <v>0.99983299999999997</v>
      </c>
      <c r="N5357">
        <v>-1.413992E-2</v>
      </c>
      <c r="O5357">
        <v>-1.15811E-2</v>
      </c>
      <c r="P5357">
        <v>0.97772029999999999</v>
      </c>
      <c r="Q5357">
        <v>0.16885029999999901</v>
      </c>
      <c r="R5357">
        <v>0.1247123</v>
      </c>
      <c r="S5357">
        <v>3.0278170000000002</v>
      </c>
      <c r="T5357">
        <v>-0.213396</v>
      </c>
      <c r="U5357">
        <v>0.61172490000000002</v>
      </c>
      <c r="V5357">
        <v>-0.13637560000000001</v>
      </c>
      <c r="W5357">
        <v>0.18237780000000001</v>
      </c>
      <c r="X5357">
        <v>0.97372479999999995</v>
      </c>
      <c r="Y5357">
        <v>-0.20875450000000001</v>
      </c>
      <c r="Z5357">
        <v>9.4122460000000008E-3</v>
      </c>
      <c r="AA5357">
        <v>0.97792279999999998</v>
      </c>
      <c r="AB5357">
        <v>29</v>
      </c>
      <c r="AC5357">
        <v>15.6032999999999</v>
      </c>
      <c r="AD5357">
        <v>-1.1112441363029999</v>
      </c>
      <c r="AE5357">
        <v>3.1867399999999999</v>
      </c>
      <c r="AF5357">
        <v>-3.3509320447264499</v>
      </c>
      <c r="AG5357">
        <v>-1.1112441363029999</v>
      </c>
      <c r="AH5357">
        <v>15.4899235405454</v>
      </c>
      <c r="AI5357">
        <v>94.010892769629095</v>
      </c>
      <c r="AJ5357">
        <v>102.206685741887</v>
      </c>
      <c r="AK5357">
        <v>15.887143871407</v>
      </c>
      <c r="AL5357">
        <v>79.491709080617099</v>
      </c>
      <c r="AM5357">
        <v>97.972734136915307</v>
      </c>
      <c r="AN5357">
        <v>0.99999997617161895</v>
      </c>
    </row>
    <row r="5358" spans="1:40" x14ac:dyDescent="0.25">
      <c r="A5358" t="str">
        <f>"20190304155523202"</f>
        <v>20190304155523202</v>
      </c>
      <c r="B5358" t="str">
        <f>"1551686123192724"</f>
        <v>1551686123192724</v>
      </c>
      <c r="C5358" t="s">
        <v>40</v>
      </c>
      <c r="D5358">
        <v>4.579135</v>
      </c>
      <c r="E5358">
        <v>0.46887760000000001</v>
      </c>
      <c r="F5358" t="s">
        <v>74</v>
      </c>
      <c r="G5358">
        <v>-203.0677</v>
      </c>
      <c r="H5358" s="1">
        <v>-4.1905069999999999E-6</v>
      </c>
      <c r="I5358">
        <v>-60.154069999999997</v>
      </c>
      <c r="J5358">
        <v>-218.58949999999999</v>
      </c>
      <c r="K5358">
        <v>1.1112959999999901</v>
      </c>
      <c r="L5358">
        <v>-63.350189999999998</v>
      </c>
      <c r="M5358">
        <v>0.99984119999999999</v>
      </c>
      <c r="N5358">
        <v>-1.4134890000000001E-2</v>
      </c>
      <c r="O5358">
        <v>-1.086321E-2</v>
      </c>
      <c r="P5358">
        <v>0.97755119999999895</v>
      </c>
      <c r="Q5358">
        <v>0.1688714</v>
      </c>
      <c r="R5358">
        <v>0.12600129999999901</v>
      </c>
      <c r="S5358">
        <v>3.0268099999999998</v>
      </c>
      <c r="T5358">
        <v>-0.21415310000000001</v>
      </c>
      <c r="U5358">
        <v>0.61566160000000003</v>
      </c>
      <c r="V5358">
        <v>-0.13698669999999999</v>
      </c>
      <c r="W5358">
        <v>0.18237220000000001</v>
      </c>
      <c r="X5358">
        <v>0.97364010000000001</v>
      </c>
      <c r="Y5358">
        <v>-0.2093324</v>
      </c>
      <c r="Z5358">
        <v>9.4263469999999999E-3</v>
      </c>
      <c r="AA5358">
        <v>0.97779910000000003</v>
      </c>
      <c r="AB5358">
        <v>29</v>
      </c>
      <c r="AC5358">
        <v>15.521799999999899</v>
      </c>
      <c r="AD5358">
        <v>-1.1113001905069999</v>
      </c>
      <c r="AE5358">
        <v>3.1961200000000001</v>
      </c>
      <c r="AF5358">
        <v>-3.34810048727361</v>
      </c>
      <c r="AG5358">
        <v>-1.1113001905069999</v>
      </c>
      <c r="AH5358">
        <v>15.410379801604799</v>
      </c>
      <c r="AI5358">
        <v>94.030954233568593</v>
      </c>
      <c r="AJ5358">
        <v>102.257736727167</v>
      </c>
      <c r="AK5358">
        <v>15.809002834335001</v>
      </c>
      <c r="AL5358">
        <v>79.492035767424596</v>
      </c>
      <c r="AM5358">
        <v>98.008685184316207</v>
      </c>
      <c r="AN5358">
        <v>1.0000000098188699</v>
      </c>
    </row>
    <row r="5359" spans="1:40" x14ac:dyDescent="0.25">
      <c r="A5359" t="str">
        <f>"20190304155523218"</f>
        <v>20190304155523218</v>
      </c>
      <c r="B5359" t="str">
        <f>"1551686123213223"</f>
        <v>1551686123213223</v>
      </c>
      <c r="C5359" t="s">
        <v>40</v>
      </c>
      <c r="D5359">
        <v>4.6161279999999998</v>
      </c>
      <c r="E5359">
        <v>0.46912939999999997</v>
      </c>
      <c r="F5359" t="s">
        <v>74</v>
      </c>
      <c r="G5359">
        <v>-202.85499999999999</v>
      </c>
      <c r="H5359" s="1">
        <v>-4.3039749999999997E-6</v>
      </c>
      <c r="I5359">
        <v>-60.131149999999998</v>
      </c>
      <c r="J5359">
        <v>-218.3886</v>
      </c>
      <c r="K5359">
        <v>1.111354</v>
      </c>
      <c r="L5359">
        <v>-63.351500000000001</v>
      </c>
      <c r="M5359">
        <v>0.99985009999999996</v>
      </c>
      <c r="N5359">
        <v>-1.4129640000000001E-2</v>
      </c>
      <c r="O5359">
        <v>-1.0009809999999999E-2</v>
      </c>
      <c r="P5359">
        <v>0.97733619999999999</v>
      </c>
      <c r="Q5359">
        <v>0.1684717</v>
      </c>
      <c r="R5359">
        <v>0.1281852</v>
      </c>
      <c r="S5359">
        <v>3.0260310000000001</v>
      </c>
      <c r="T5359">
        <v>-0.21372289999999999</v>
      </c>
      <c r="U5359">
        <v>0.61907959999999995</v>
      </c>
      <c r="V5359">
        <v>-0.13836370000000001</v>
      </c>
      <c r="W5359">
        <v>0.1819413</v>
      </c>
      <c r="X5359">
        <v>0.973526</v>
      </c>
      <c r="Y5359">
        <v>-0.20961009999999999</v>
      </c>
      <c r="Z5359">
        <v>9.3749490000000005E-3</v>
      </c>
      <c r="AA5359">
        <v>0.9777401</v>
      </c>
      <c r="AB5359">
        <v>29</v>
      </c>
      <c r="AC5359">
        <v>15.5336</v>
      </c>
      <c r="AD5359">
        <v>-1.1113583039749999</v>
      </c>
      <c r="AE5359">
        <v>3.2203499999999998</v>
      </c>
      <c r="AF5359">
        <v>-3.35920617158623</v>
      </c>
      <c r="AG5359">
        <v>-1.1113583039749999</v>
      </c>
      <c r="AH5359">
        <v>15.424880852918299</v>
      </c>
      <c r="AI5359">
        <v>94.026957127380001</v>
      </c>
      <c r="AJ5359">
        <v>102.28595117867</v>
      </c>
      <c r="AK5359">
        <v>15.825496286365301</v>
      </c>
      <c r="AL5359">
        <v>79.517144618787896</v>
      </c>
      <c r="AM5359">
        <v>98.089064415521506</v>
      </c>
      <c r="AN5359">
        <v>1.0000000113996801</v>
      </c>
    </row>
    <row r="5360" spans="1:40" x14ac:dyDescent="0.25">
      <c r="A5360" t="str">
        <f>"20190304155523229"</f>
        <v>20190304155523229</v>
      </c>
      <c r="B5360" t="str">
        <f>"1551686123222980"</f>
        <v>1551686123222980</v>
      </c>
      <c r="C5360" t="s">
        <v>40</v>
      </c>
      <c r="D5360">
        <v>4.5784520000000004</v>
      </c>
      <c r="E5360">
        <v>0.46915780000000001</v>
      </c>
      <c r="F5360" t="s">
        <v>74</v>
      </c>
      <c r="G5360">
        <v>-202.7056</v>
      </c>
      <c r="H5360" s="1">
        <v>-4.3829250000000001E-6</v>
      </c>
      <c r="I5360">
        <v>-60.11853</v>
      </c>
      <c r="J5360">
        <v>-218.23779999999999</v>
      </c>
      <c r="K5360">
        <v>1.1113999999999999</v>
      </c>
      <c r="L5360">
        <v>-63.352290000000004</v>
      </c>
      <c r="M5360">
        <v>0.99985670000000004</v>
      </c>
      <c r="N5360">
        <v>-1.4125850000000001E-2</v>
      </c>
      <c r="O5360">
        <v>-9.3307089999999995E-3</v>
      </c>
      <c r="P5360">
        <v>0.97714900000000005</v>
      </c>
      <c r="Q5360">
        <v>0.1685295</v>
      </c>
      <c r="R5360">
        <v>0.12953010000000001</v>
      </c>
      <c r="S5360">
        <v>3.02475</v>
      </c>
      <c r="T5360">
        <v>-0.2143447</v>
      </c>
      <c r="U5360">
        <v>0.62353519999999996</v>
      </c>
      <c r="V5360">
        <v>-0.1390651</v>
      </c>
      <c r="W5360">
        <v>0.18197650000000001</v>
      </c>
      <c r="X5360">
        <v>0.97341949999999999</v>
      </c>
      <c r="Y5360">
        <v>-0.21040439999999999</v>
      </c>
      <c r="Z5360">
        <v>9.3956590000000006E-3</v>
      </c>
      <c r="AA5360">
        <v>0.97756929999999997</v>
      </c>
      <c r="AB5360">
        <v>29</v>
      </c>
      <c r="AC5360">
        <v>15.5321999999999</v>
      </c>
      <c r="AD5360">
        <v>-1.111404382925</v>
      </c>
      <c r="AE5360">
        <v>3.23375999999999</v>
      </c>
      <c r="AF5360">
        <v>-3.3620611788531298</v>
      </c>
      <c r="AG5360">
        <v>-1.111404382925</v>
      </c>
      <c r="AH5360">
        <v>15.4256478834884</v>
      </c>
      <c r="AI5360">
        <v>94.026778489024196</v>
      </c>
      <c r="AJ5360">
        <v>102.29548271860899</v>
      </c>
      <c r="AK5360">
        <v>15.8268533732422</v>
      </c>
      <c r="AL5360">
        <v>79.515093825974603</v>
      </c>
      <c r="AM5360">
        <v>98.130400658016299</v>
      </c>
      <c r="AN5360">
        <v>1.0000000357852501</v>
      </c>
    </row>
    <row r="5361" spans="1:40" x14ac:dyDescent="0.25">
      <c r="A5361" t="str">
        <f>"20190304155523239"</f>
        <v>20190304155523239</v>
      </c>
      <c r="B5361" t="str">
        <f>"1551686123232740"</f>
        <v>1551686123232740</v>
      </c>
      <c r="C5361" t="s">
        <v>40</v>
      </c>
      <c r="D5361">
        <v>4.5874300000000003</v>
      </c>
      <c r="E5361">
        <v>0.46935579999999999</v>
      </c>
      <c r="F5361" t="s">
        <v>74</v>
      </c>
      <c r="G5361">
        <v>-202.54060000000001</v>
      </c>
      <c r="H5361" s="1">
        <v>-4.4720739999999996E-6</v>
      </c>
      <c r="I5361">
        <v>-60.095440000000004</v>
      </c>
      <c r="J5361">
        <v>-218.0925</v>
      </c>
      <c r="K5361">
        <v>1.1114489999999999</v>
      </c>
      <c r="L5361">
        <v>-63.353029999999997</v>
      </c>
      <c r="M5361">
        <v>0.99986280000000005</v>
      </c>
      <c r="N5361">
        <v>-1.4122239999999999E-2</v>
      </c>
      <c r="O5361">
        <v>-8.6589189999999993E-3</v>
      </c>
      <c r="P5361">
        <v>0.97700240000000005</v>
      </c>
      <c r="Q5361">
        <v>0.16846839999999999</v>
      </c>
      <c r="R5361">
        <v>0.13070760000000001</v>
      </c>
      <c r="S5361">
        <v>3.0239410000000002</v>
      </c>
      <c r="T5361">
        <v>-0.2141043</v>
      </c>
      <c r="U5361">
        <v>0.62741089999999999</v>
      </c>
      <c r="V5361">
        <v>-0.1396057</v>
      </c>
      <c r="W5361">
        <v>0.1818939</v>
      </c>
      <c r="X5361">
        <v>0.97335749999999999</v>
      </c>
      <c r="Y5361">
        <v>-0.21100140000000001</v>
      </c>
      <c r="Z5361">
        <v>9.3751070000000006E-3</v>
      </c>
      <c r="AA5361">
        <v>0.9774408</v>
      </c>
      <c r="AB5361">
        <v>29</v>
      </c>
      <c r="AC5361">
        <v>15.5518999999999</v>
      </c>
      <c r="AD5361">
        <v>-1.1114534720739999</v>
      </c>
      <c r="AE5361">
        <v>3.25759</v>
      </c>
      <c r="AF5361">
        <v>-3.3756272977634301</v>
      </c>
      <c r="AG5361">
        <v>-1.1114534720739999</v>
      </c>
      <c r="AH5361">
        <v>15.447523568048</v>
      </c>
      <c r="AI5361">
        <v>94.020796272164404</v>
      </c>
      <c r="AJ5361">
        <v>102.326632383329</v>
      </c>
      <c r="AK5361">
        <v>15.851062199719999</v>
      </c>
      <c r="AL5361">
        <v>79.5199062189008</v>
      </c>
      <c r="AM5361">
        <v>98.162094537344501</v>
      </c>
      <c r="AN5361">
        <v>0.99999998256797396</v>
      </c>
    </row>
    <row r="5362" spans="1:40" x14ac:dyDescent="0.25">
      <c r="A5362" t="str">
        <f>"20190304155523251"</f>
        <v>20190304155523251</v>
      </c>
      <c r="B5362" t="str">
        <f>"1551686123243475"</f>
        <v>1551686123243475</v>
      </c>
      <c r="C5362" t="s">
        <v>40</v>
      </c>
      <c r="D5362">
        <v>4.6044499999999999</v>
      </c>
      <c r="E5362">
        <v>0.46954580000000001</v>
      </c>
      <c r="F5362" t="s">
        <v>74</v>
      </c>
      <c r="G5362">
        <v>-202.3732</v>
      </c>
      <c r="H5362" s="1">
        <v>-4.5606370000000004E-6</v>
      </c>
      <c r="I5362">
        <v>-60.080689999999997</v>
      </c>
      <c r="J5362">
        <v>-217.9539</v>
      </c>
      <c r="K5362">
        <v>1.111491</v>
      </c>
      <c r="L5362">
        <v>-63.353520000000003</v>
      </c>
      <c r="M5362">
        <v>0.9998686</v>
      </c>
      <c r="N5362">
        <v>-1.411894E-2</v>
      </c>
      <c r="O5362">
        <v>-7.9686879999999998E-3</v>
      </c>
      <c r="P5362">
        <v>0.97682519999999995</v>
      </c>
      <c r="Q5362">
        <v>0.1683615</v>
      </c>
      <c r="R5362">
        <v>0.13216349999999999</v>
      </c>
      <c r="S5362">
        <v>3.0232540000000001</v>
      </c>
      <c r="T5362">
        <v>-0.21376419999999999</v>
      </c>
      <c r="U5362">
        <v>0.62936400000000003</v>
      </c>
      <c r="V5362">
        <v>-0.14040549999999999</v>
      </c>
      <c r="W5362">
        <v>0.18176590000000001</v>
      </c>
      <c r="X5362">
        <v>0.97326639999999998</v>
      </c>
      <c r="Y5362">
        <v>-0.210979</v>
      </c>
      <c r="Z5362">
        <v>9.3239199999999994E-3</v>
      </c>
      <c r="AA5362">
        <v>0.97744609999999998</v>
      </c>
      <c r="AB5362">
        <v>29</v>
      </c>
      <c r="AC5362">
        <v>15.5807</v>
      </c>
      <c r="AD5362">
        <v>-1.1114955606370001</v>
      </c>
      <c r="AE5362">
        <v>3.2728299999999901</v>
      </c>
      <c r="AF5362">
        <v>-3.3804198569552302</v>
      </c>
      <c r="AG5362">
        <v>-1.1114955606370001</v>
      </c>
      <c r="AH5362">
        <v>15.4786786695323</v>
      </c>
      <c r="AI5362">
        <v>94.012989831099006</v>
      </c>
      <c r="AJ5362">
        <v>102.319511566286</v>
      </c>
      <c r="AK5362">
        <v>15.8824479896913</v>
      </c>
      <c r="AL5362">
        <v>79.5273647619575</v>
      </c>
      <c r="AM5362">
        <v>98.208977554020393</v>
      </c>
      <c r="AN5362">
        <v>1.0000000161010001</v>
      </c>
    </row>
    <row r="5363" spans="1:40" x14ac:dyDescent="0.25">
      <c r="A5363" t="str">
        <f>"20190304155523263"</f>
        <v>20190304155523263</v>
      </c>
      <c r="B5363" t="str">
        <f>"1551686123252692"</f>
        <v>1551686123252692</v>
      </c>
      <c r="C5363" t="s">
        <v>40</v>
      </c>
      <c r="D5363">
        <v>4.5733180000000004</v>
      </c>
      <c r="E5363">
        <v>0.46956379999999998</v>
      </c>
      <c r="F5363" t="s">
        <v>74</v>
      </c>
      <c r="G5363">
        <v>-202.23099999999999</v>
      </c>
      <c r="H5363" s="1">
        <v>-4.6365630000000002E-6</v>
      </c>
      <c r="I5363">
        <v>-60.065100000000001</v>
      </c>
      <c r="J5363">
        <v>-217.798</v>
      </c>
      <c r="K5363">
        <v>1.11154</v>
      </c>
      <c r="L5363">
        <v>-63.353999999999999</v>
      </c>
      <c r="M5363">
        <v>0.99987470000000001</v>
      </c>
      <c r="N5363">
        <v>-1.41152E-2</v>
      </c>
      <c r="O5363">
        <v>-7.1777739999999996E-3</v>
      </c>
      <c r="P5363">
        <v>0.97664870000000004</v>
      </c>
      <c r="Q5363">
        <v>0.1683432</v>
      </c>
      <c r="R5363">
        <v>0.13348460000000001</v>
      </c>
      <c r="S5363">
        <v>3.0224609999999998</v>
      </c>
      <c r="T5363">
        <v>-0.21366599999999999</v>
      </c>
      <c r="U5363">
        <v>0.63214110000000001</v>
      </c>
      <c r="V5363">
        <v>-0.1409755</v>
      </c>
      <c r="W5363">
        <v>0.1817242</v>
      </c>
      <c r="X5363">
        <v>0.97319169999999999</v>
      </c>
      <c r="Y5363">
        <v>-0.2111189</v>
      </c>
      <c r="Z5363">
        <v>9.2830199999999995E-3</v>
      </c>
      <c r="AA5363">
        <v>0.97741630000000002</v>
      </c>
      <c r="AB5363">
        <v>29</v>
      </c>
      <c r="AC5363">
        <v>15.567</v>
      </c>
      <c r="AD5363">
        <v>-1.111544636563</v>
      </c>
      <c r="AE5363">
        <v>3.2888999999999902</v>
      </c>
      <c r="AF5363">
        <v>-3.3840464042747298</v>
      </c>
      <c r="AG5363">
        <v>-1.111544636563</v>
      </c>
      <c r="AH5363">
        <v>15.467497949170999</v>
      </c>
      <c r="AI5363">
        <v>94.015730261342199</v>
      </c>
      <c r="AJ5363">
        <v>102.340965213328</v>
      </c>
      <c r="AK5363">
        <v>15.8723279437191</v>
      </c>
      <c r="AL5363">
        <v>79.529793556718403</v>
      </c>
      <c r="AM5363">
        <v>98.242470313128607</v>
      </c>
      <c r="AN5363">
        <v>0.99999993070738702</v>
      </c>
    </row>
    <row r="5364" spans="1:40" x14ac:dyDescent="0.25">
      <c r="A5364" t="str">
        <f>"20190304155523273"</f>
        <v>20190304155523273</v>
      </c>
      <c r="B5364" t="str">
        <f>"1551686123263405"</f>
        <v>1551686123263405</v>
      </c>
      <c r="C5364" t="s">
        <v>40</v>
      </c>
      <c r="D5364">
        <v>4.5920620000000003</v>
      </c>
      <c r="E5364">
        <v>0.46956639999999999</v>
      </c>
      <c r="F5364" t="s">
        <v>74</v>
      </c>
      <c r="G5364">
        <v>-202.0874</v>
      </c>
      <c r="H5364" s="1">
        <v>-4.7136430000000002E-6</v>
      </c>
      <c r="I5364">
        <v>-60.047609999999999</v>
      </c>
      <c r="J5364">
        <v>-217.65469999999999</v>
      </c>
      <c r="K5364">
        <v>1.1115870000000001</v>
      </c>
      <c r="L5364">
        <v>-63.354219999999998</v>
      </c>
      <c r="M5364">
        <v>0.99987999999999999</v>
      </c>
      <c r="N5364">
        <v>-1.4112E-2</v>
      </c>
      <c r="O5364">
        <v>-6.4000289999999998E-3</v>
      </c>
      <c r="P5364">
        <v>0.97644010000000003</v>
      </c>
      <c r="Q5364">
        <v>0.1682544</v>
      </c>
      <c r="R5364">
        <v>0.1351115</v>
      </c>
      <c r="S5364">
        <v>3.0216669999999999</v>
      </c>
      <c r="T5364">
        <v>-0.21378559999999999</v>
      </c>
      <c r="U5364">
        <v>0.63592530000000003</v>
      </c>
      <c r="V5364">
        <v>-0.14186199999999999</v>
      </c>
      <c r="W5364">
        <v>0.1816131</v>
      </c>
      <c r="X5364">
        <v>0.9730837</v>
      </c>
      <c r="Y5364">
        <v>-0.21158170000000001</v>
      </c>
      <c r="Z5364">
        <v>9.2642760000000001E-3</v>
      </c>
      <c r="AA5364">
        <v>0.97731639999999997</v>
      </c>
      <c r="AB5364">
        <v>29</v>
      </c>
      <c r="AC5364">
        <v>15.5672999999999</v>
      </c>
      <c r="AD5364">
        <v>-1.111591713643</v>
      </c>
      <c r="AE5364">
        <v>3.3066099999999898</v>
      </c>
      <c r="AF5364">
        <v>-3.3896464745857502</v>
      </c>
      <c r="AG5364">
        <v>-1.111591713643</v>
      </c>
      <c r="AH5364">
        <v>15.470342311838399</v>
      </c>
      <c r="AI5364">
        <v>94.014894807868799</v>
      </c>
      <c r="AJ5364">
        <v>102.35855749635201</v>
      </c>
      <c r="AK5364">
        <v>15.876297761316099</v>
      </c>
      <c r="AL5364">
        <v>79.536267739249496</v>
      </c>
      <c r="AM5364">
        <v>98.294490564141199</v>
      </c>
      <c r="AN5364">
        <v>1.0000000161706399</v>
      </c>
    </row>
    <row r="5365" spans="1:40" x14ac:dyDescent="0.25">
      <c r="A5365" t="str">
        <f>"20190304155523285"</f>
        <v>20190304155523285</v>
      </c>
      <c r="B5365" t="str">
        <f>"1551686123282925"</f>
        <v>1551686123282925</v>
      </c>
      <c r="C5365" t="s">
        <v>40</v>
      </c>
      <c r="D5365">
        <v>4.614185</v>
      </c>
      <c r="E5365">
        <v>0.46955239999999998</v>
      </c>
      <c r="F5365" t="s">
        <v>74</v>
      </c>
      <c r="G5365">
        <v>-201.9759</v>
      </c>
      <c r="H5365" s="1">
        <v>-4.7744310000000002E-6</v>
      </c>
      <c r="I5365">
        <v>-60.029530000000001</v>
      </c>
      <c r="J5365">
        <v>-217.50489999999999</v>
      </c>
      <c r="K5365">
        <v>1.1116360000000001</v>
      </c>
      <c r="L5365">
        <v>-63.354399999999998</v>
      </c>
      <c r="M5365">
        <v>0.99988509999999997</v>
      </c>
      <c r="N5365">
        <v>-1.410871E-2</v>
      </c>
      <c r="O5365">
        <v>-5.5700589999999996E-3</v>
      </c>
      <c r="P5365">
        <v>0.97627160000000002</v>
      </c>
      <c r="Q5365">
        <v>0.1681088</v>
      </c>
      <c r="R5365">
        <v>0.13650409999999999</v>
      </c>
      <c r="S5365">
        <v>3.0206599999999999</v>
      </c>
      <c r="T5365">
        <v>-0.2141584</v>
      </c>
      <c r="U5365">
        <v>0.64053340000000003</v>
      </c>
      <c r="V5365">
        <v>-0.14246410000000001</v>
      </c>
      <c r="W5365">
        <v>0.1814452</v>
      </c>
      <c r="X5365">
        <v>0.97302710000000003</v>
      </c>
      <c r="Y5365">
        <v>-0.21226049999999999</v>
      </c>
      <c r="Z5365">
        <v>9.2612279999999998E-3</v>
      </c>
      <c r="AA5365">
        <v>0.97716919999999996</v>
      </c>
      <c r="AB5365">
        <v>29</v>
      </c>
      <c r="AC5365">
        <v>15.5289999999999</v>
      </c>
      <c r="AD5365">
        <v>-1.111640774431</v>
      </c>
      <c r="AE5365">
        <v>3.32486999999999</v>
      </c>
      <c r="AF5365">
        <v>-3.3946912397089202</v>
      </c>
      <c r="AG5365">
        <v>-1.111640774431</v>
      </c>
      <c r="AH5365">
        <v>15.4346114024813</v>
      </c>
      <c r="AI5365">
        <v>94.023635153757397</v>
      </c>
      <c r="AJ5365">
        <v>102.404149387182</v>
      </c>
      <c r="AK5365">
        <v>15.842566173759201</v>
      </c>
      <c r="AL5365">
        <v>79.546050682389193</v>
      </c>
      <c r="AM5365">
        <v>98.329679422580199</v>
      </c>
      <c r="AN5365">
        <v>1.0000000588631199</v>
      </c>
    </row>
    <row r="5366" spans="1:40" x14ac:dyDescent="0.25">
      <c r="A5366" t="str">
        <f>"20190304155523295"</f>
        <v>20190304155523295</v>
      </c>
      <c r="B5366" t="str">
        <f>"1551686123292685"</f>
        <v>1551686123292685</v>
      </c>
      <c r="C5366" t="s">
        <v>40</v>
      </c>
      <c r="D5366">
        <v>4.5060500000000001</v>
      </c>
      <c r="E5366">
        <v>0.4694721</v>
      </c>
      <c r="F5366" t="s">
        <v>74</v>
      </c>
      <c r="G5366">
        <v>-201.87129999999999</v>
      </c>
      <c r="H5366" s="1">
        <v>-4.8303649999999996E-6</v>
      </c>
      <c r="I5366">
        <v>-60.017769999999999</v>
      </c>
      <c r="J5366">
        <v>-217.36750000000001</v>
      </c>
      <c r="K5366">
        <v>1.1116790000000001</v>
      </c>
      <c r="L5366">
        <v>-63.354340000000001</v>
      </c>
      <c r="M5366">
        <v>0.99988920000000003</v>
      </c>
      <c r="N5366">
        <v>-1.410584E-2</v>
      </c>
      <c r="O5366">
        <v>-4.7772409999999998E-3</v>
      </c>
      <c r="P5366">
        <v>0.97609670000000004</v>
      </c>
      <c r="Q5366">
        <v>0.16801859999999999</v>
      </c>
      <c r="R5366">
        <v>0.1378596</v>
      </c>
      <c r="S5366">
        <v>3.0197750000000001</v>
      </c>
      <c r="T5366">
        <v>-0.21472350000000001</v>
      </c>
      <c r="U5366">
        <v>0.64450069999999904</v>
      </c>
      <c r="V5366">
        <v>-0.1430642</v>
      </c>
      <c r="W5366">
        <v>0.18133450000000001</v>
      </c>
      <c r="X5366">
        <v>0.97295960000000004</v>
      </c>
      <c r="Y5366">
        <v>-0.21276870000000001</v>
      </c>
      <c r="Z5366">
        <v>9.2597679999999998E-3</v>
      </c>
      <c r="AA5366">
        <v>0.97705869999999995</v>
      </c>
      <c r="AB5366">
        <v>29</v>
      </c>
      <c r="AC5366">
        <v>15.4962</v>
      </c>
      <c r="AD5366">
        <v>-1.1116838303650001</v>
      </c>
      <c r="AE5366">
        <v>3.33657</v>
      </c>
      <c r="AF5366">
        <v>-3.3938756562748198</v>
      </c>
      <c r="AG5366">
        <v>-1.1116838303650001</v>
      </c>
      <c r="AH5366">
        <v>15.4043161636726</v>
      </c>
      <c r="AI5366">
        <v>94.031357636762905</v>
      </c>
      <c r="AJ5366">
        <v>102.42489393394401</v>
      </c>
      <c r="AK5366">
        <v>15.8128804896304</v>
      </c>
      <c r="AL5366">
        <v>79.552499427103896</v>
      </c>
      <c r="AM5366">
        <v>98.364843147987699</v>
      </c>
      <c r="AN5366">
        <v>0.99999997472202395</v>
      </c>
    </row>
    <row r="5367" spans="1:40" x14ac:dyDescent="0.25">
      <c r="A5367" t="str">
        <f>"20190304155523307"</f>
        <v>20190304155523307</v>
      </c>
      <c r="B5367" t="str">
        <f>"1551686123303420"</f>
        <v>1551686123303420</v>
      </c>
      <c r="C5367" t="s">
        <v>40</v>
      </c>
      <c r="D5367">
        <v>4.5771369999999996</v>
      </c>
      <c r="E5367">
        <v>0.46960299999999999</v>
      </c>
      <c r="F5367" t="s">
        <v>74</v>
      </c>
      <c r="G5367">
        <v>-201.709</v>
      </c>
      <c r="H5367" s="1">
        <v>-4.9197950000000004E-6</v>
      </c>
      <c r="I5367">
        <v>-59.987279999999998</v>
      </c>
      <c r="J5367">
        <v>-217.2236</v>
      </c>
      <c r="K5367">
        <v>1.111723</v>
      </c>
      <c r="L5367">
        <v>-63.354219999999998</v>
      </c>
      <c r="M5367">
        <v>0.99989300000000003</v>
      </c>
      <c r="N5367">
        <v>-1.4102959999999999E-2</v>
      </c>
      <c r="O5367">
        <v>-3.9239820000000003E-3</v>
      </c>
      <c r="P5367">
        <v>0.97583710000000001</v>
      </c>
      <c r="Q5367">
        <v>0.16816239999999999</v>
      </c>
      <c r="R5367">
        <v>0.13951179999999999</v>
      </c>
      <c r="S5367">
        <v>3.0186769999999998</v>
      </c>
      <c r="T5367">
        <v>-0.2143129</v>
      </c>
      <c r="U5367">
        <v>0.64910889999999999</v>
      </c>
      <c r="V5367">
        <v>-0.143902</v>
      </c>
      <c r="W5367">
        <v>0.18145649999999999</v>
      </c>
      <c r="X5367">
        <v>0.97281329999999999</v>
      </c>
      <c r="Y5367">
        <v>-0.21343490000000001</v>
      </c>
      <c r="Z5367">
        <v>9.2265339999999998E-3</v>
      </c>
      <c r="AA5367">
        <v>0.9769137</v>
      </c>
      <c r="AB5367">
        <v>29</v>
      </c>
      <c r="AC5367">
        <v>15.5146</v>
      </c>
      <c r="AD5367">
        <v>-1.1117279197949901</v>
      </c>
      <c r="AE5367">
        <v>3.3669399999999898</v>
      </c>
      <c r="AF5367">
        <v>-3.4110720554313998</v>
      </c>
      <c r="AG5367">
        <v>-1.1117279197949901</v>
      </c>
      <c r="AH5367">
        <v>15.425623867569399</v>
      </c>
      <c r="AI5367">
        <v>94.025282079388404</v>
      </c>
      <c r="AJ5367">
        <v>102.46917277094001</v>
      </c>
      <c r="AK5367">
        <v>15.837336368175199</v>
      </c>
      <c r="AL5367">
        <v>79.545391496721606</v>
      </c>
      <c r="AM5367">
        <v>98.414376639828603</v>
      </c>
      <c r="AN5367">
        <v>0.99999998182656902</v>
      </c>
    </row>
    <row r="5368" spans="1:40" x14ac:dyDescent="0.25">
      <c r="A5368" t="str">
        <f>"20190304155523319"</f>
        <v>20190304155523319</v>
      </c>
      <c r="B5368" t="str">
        <f>"1551686123313181"</f>
        <v>1551686123313181</v>
      </c>
      <c r="C5368" t="s">
        <v>40</v>
      </c>
      <c r="D5368">
        <v>4.5805949999999998</v>
      </c>
      <c r="E5368">
        <v>0.46975139999999999</v>
      </c>
      <c r="F5368" t="s">
        <v>74</v>
      </c>
      <c r="G5368">
        <v>-201.4743</v>
      </c>
      <c r="H5368" s="1">
        <v>-5.0486530000000002E-6</v>
      </c>
      <c r="I5368">
        <v>-59.945430000000002</v>
      </c>
      <c r="J5368">
        <v>-217.06790000000001</v>
      </c>
      <c r="K5368">
        <v>1.111772</v>
      </c>
      <c r="L5368">
        <v>-63.353879999999997</v>
      </c>
      <c r="M5368">
        <v>0.99989629999999996</v>
      </c>
      <c r="N5368">
        <v>-1.409995E-2</v>
      </c>
      <c r="O5368">
        <v>-2.9748610000000001E-3</v>
      </c>
      <c r="P5368">
        <v>0.97563230000000001</v>
      </c>
      <c r="Q5368">
        <v>0.16800809999999999</v>
      </c>
      <c r="R5368">
        <v>0.141122</v>
      </c>
      <c r="S5368">
        <v>3.0176240000000001</v>
      </c>
      <c r="T5368">
        <v>-0.21301129999999999</v>
      </c>
      <c r="U5368">
        <v>0.65313719999999997</v>
      </c>
      <c r="V5368">
        <v>-0.14460529999999999</v>
      </c>
      <c r="W5368">
        <v>0.18127969999999999</v>
      </c>
      <c r="X5368">
        <v>0.972742</v>
      </c>
      <c r="Y5368">
        <v>-0.21383099999999999</v>
      </c>
      <c r="Z5368">
        <v>9.1446600000000006E-3</v>
      </c>
      <c r="AA5368">
        <v>0.97682789999999997</v>
      </c>
      <c r="AB5368">
        <v>29</v>
      </c>
      <c r="AC5368">
        <v>15.5936</v>
      </c>
      <c r="AD5368">
        <v>-1.1117770486530001</v>
      </c>
      <c r="AE5368">
        <v>3.4084500000000002</v>
      </c>
      <c r="AF5368">
        <v>-3.43814822791418</v>
      </c>
      <c r="AG5368">
        <v>-1.1117770486530001</v>
      </c>
      <c r="AH5368">
        <v>15.508152920650099</v>
      </c>
      <c r="AI5368">
        <v>94.003627716089795</v>
      </c>
      <c r="AJ5368">
        <v>102.500258821534</v>
      </c>
      <c r="AK5368">
        <v>15.9235585989216</v>
      </c>
      <c r="AL5368">
        <v>79.5556925282023</v>
      </c>
      <c r="AM5368">
        <v>98.4555184485518</v>
      </c>
      <c r="AN5368">
        <v>1.0000000104920801</v>
      </c>
    </row>
    <row r="5369" spans="1:40" x14ac:dyDescent="0.25">
      <c r="A5369" t="str">
        <f>"20190304155523329"</f>
        <v>20190304155523329</v>
      </c>
      <c r="B5369" t="str">
        <f>"1551686123322941"</f>
        <v>1551686123322941</v>
      </c>
      <c r="C5369" t="s">
        <v>40</v>
      </c>
      <c r="D5369">
        <v>4.5634079999999999</v>
      </c>
      <c r="E5369">
        <v>0.46987810000000002</v>
      </c>
      <c r="F5369" t="s">
        <v>74</v>
      </c>
      <c r="G5369">
        <v>-201.285</v>
      </c>
      <c r="H5369" s="1">
        <v>-5.1515970000000001E-6</v>
      </c>
      <c r="I5369">
        <v>-59.916269999999997</v>
      </c>
      <c r="J5369">
        <v>-216.92740000000001</v>
      </c>
      <c r="K5369">
        <v>1.1118110000000001</v>
      </c>
      <c r="L5369">
        <v>-63.353389999999997</v>
      </c>
      <c r="M5369">
        <v>0.99989859999999997</v>
      </c>
      <c r="N5369">
        <v>-1.4097419999999999E-2</v>
      </c>
      <c r="O5369">
        <v>-2.0861539999999998E-3</v>
      </c>
      <c r="P5369">
        <v>0.97536179999999995</v>
      </c>
      <c r="Q5369">
        <v>0.1678259</v>
      </c>
      <c r="R5369">
        <v>0.14319279999999901</v>
      </c>
      <c r="S5369">
        <v>3.0164949999999999</v>
      </c>
      <c r="T5369">
        <v>-0.21248790000000001</v>
      </c>
      <c r="U5369">
        <v>0.65701290000000001</v>
      </c>
      <c r="V5369">
        <v>-0.14582510000000001</v>
      </c>
      <c r="W5369">
        <v>0.18107519999999999</v>
      </c>
      <c r="X5369">
        <v>0.97259799999999996</v>
      </c>
      <c r="Y5369">
        <v>-0.21423970000000001</v>
      </c>
      <c r="Z5369">
        <v>9.0952849999999998E-3</v>
      </c>
      <c r="AA5369">
        <v>0.97673880000000002</v>
      </c>
      <c r="AB5369">
        <v>29</v>
      </c>
      <c r="AC5369">
        <v>15.6424</v>
      </c>
      <c r="AD5369">
        <v>-1.111816151597</v>
      </c>
      <c r="AE5369">
        <v>3.4371200000000002</v>
      </c>
      <c r="AF5369">
        <v>-3.4531067621657701</v>
      </c>
      <c r="AG5369">
        <v>-1.111816151597</v>
      </c>
      <c r="AH5369">
        <v>15.5602060618266</v>
      </c>
      <c r="AI5369">
        <v>93.990232988325801</v>
      </c>
      <c r="AJ5369">
        <v>102.51225575147301</v>
      </c>
      <c r="AK5369">
        <v>15.977487103808601</v>
      </c>
      <c r="AL5369">
        <v>79.567606881691901</v>
      </c>
      <c r="AM5369">
        <v>98.527043727153995</v>
      </c>
      <c r="AN5369">
        <v>1.0000000287245201</v>
      </c>
    </row>
    <row r="5370" spans="1:40" x14ac:dyDescent="0.25">
      <c r="A5370" t="str">
        <f>"20190304155523340"</f>
        <v>20190304155523340</v>
      </c>
      <c r="B5370" t="str">
        <f>"1551686123332701"</f>
        <v>1551686123332701</v>
      </c>
      <c r="C5370" t="s">
        <v>40</v>
      </c>
      <c r="D5370">
        <v>4.6390789999999997</v>
      </c>
      <c r="E5370">
        <v>0.46979300000000002</v>
      </c>
      <c r="F5370" t="s">
        <v>74</v>
      </c>
      <c r="G5370">
        <v>-201.13069999999999</v>
      </c>
      <c r="H5370" s="1">
        <v>-5.2373470000000001E-6</v>
      </c>
      <c r="I5370">
        <v>-59.884129999999999</v>
      </c>
      <c r="J5370">
        <v>-216.78049999999999</v>
      </c>
      <c r="K5370">
        <v>1.11185</v>
      </c>
      <c r="L5370">
        <v>-63.352780000000003</v>
      </c>
      <c r="M5370">
        <v>0.99990000000000001</v>
      </c>
      <c r="N5370">
        <v>-1.409477E-2</v>
      </c>
      <c r="O5370">
        <v>-1.1447499999999999E-3</v>
      </c>
      <c r="P5370">
        <v>0.97511250000000005</v>
      </c>
      <c r="Q5370">
        <v>0.16793569999999999</v>
      </c>
      <c r="R5370">
        <v>0.1447523</v>
      </c>
      <c r="S5370">
        <v>3.015091</v>
      </c>
      <c r="T5370">
        <v>-0.2122097</v>
      </c>
      <c r="U5370">
        <v>0.66217040000000005</v>
      </c>
      <c r="V5370">
        <v>-0.14648349999999999</v>
      </c>
      <c r="W5370">
        <v>0.18116479999999999</v>
      </c>
      <c r="X5370">
        <v>0.97248230000000002</v>
      </c>
      <c r="Y5370">
        <v>-0.2150096</v>
      </c>
      <c r="Z5370">
        <v>9.0673790000000004E-3</v>
      </c>
      <c r="AA5370">
        <v>0.97656980000000004</v>
      </c>
      <c r="AB5370">
        <v>29</v>
      </c>
      <c r="AC5370">
        <v>15.649800000000001</v>
      </c>
      <c r="AD5370">
        <v>-1.1118552373469901</v>
      </c>
      <c r="AE5370">
        <v>3.46864999999999</v>
      </c>
      <c r="AF5370">
        <v>-3.4698704428970601</v>
      </c>
      <c r="AG5370">
        <v>-1.1118552373469901</v>
      </c>
      <c r="AH5370">
        <v>15.5709041843782</v>
      </c>
      <c r="AI5370">
        <v>93.986861753640795</v>
      </c>
      <c r="AJ5370">
        <v>102.562709476359</v>
      </c>
      <c r="AK5370">
        <v>15.991537764655201</v>
      </c>
      <c r="AL5370">
        <v>79.562386143409796</v>
      </c>
      <c r="AM5370">
        <v>98.565977463558298</v>
      </c>
      <c r="AN5370">
        <v>0.99999996217228904</v>
      </c>
    </row>
    <row r="5371" spans="1:40" x14ac:dyDescent="0.25">
      <c r="A5371" t="str">
        <f>"20190304155523353"</f>
        <v>20190304155523353</v>
      </c>
      <c r="B5371" t="str">
        <f>"1551686123343438"</f>
        <v>1551686123343438</v>
      </c>
      <c r="C5371" t="s">
        <v>40</v>
      </c>
      <c r="D5371">
        <v>4.178229</v>
      </c>
      <c r="E5371">
        <v>0.46979300000000002</v>
      </c>
      <c r="F5371" t="s">
        <v>74</v>
      </c>
      <c r="G5371">
        <v>-200.9486</v>
      </c>
      <c r="H5371" s="1">
        <v>-5.3382360000000001E-6</v>
      </c>
      <c r="I5371">
        <v>-59.847580000000001</v>
      </c>
      <c r="J5371">
        <v>-216.62960000000001</v>
      </c>
      <c r="K5371">
        <v>1.11189</v>
      </c>
      <c r="L5371">
        <v>-63.351900000000001</v>
      </c>
      <c r="M5371">
        <v>0.99990080000000003</v>
      </c>
      <c r="N5371">
        <v>-1.409232E-2</v>
      </c>
      <c r="O5371">
        <v>-1.361375E-4</v>
      </c>
      <c r="P5371">
        <v>0.97479769999999999</v>
      </c>
      <c r="Q5371">
        <v>0.16783709999999999</v>
      </c>
      <c r="R5371">
        <v>0.14697109999999999</v>
      </c>
      <c r="S5371">
        <v>3.0139619999999998</v>
      </c>
      <c r="T5371">
        <v>-0.2116673</v>
      </c>
      <c r="U5371">
        <v>0.66729740000000004</v>
      </c>
      <c r="V5371">
        <v>-0.14773499999999901</v>
      </c>
      <c r="W5371">
        <v>0.1810438</v>
      </c>
      <c r="X5371">
        <v>0.9723155</v>
      </c>
      <c r="Y5371">
        <v>-0.21568770000000001</v>
      </c>
      <c r="Z5371">
        <v>9.0219989999999993E-3</v>
      </c>
      <c r="AA5371">
        <v>0.97642070000000003</v>
      </c>
      <c r="AB5371">
        <v>29</v>
      </c>
      <c r="AC5371">
        <v>15.680999999999999</v>
      </c>
      <c r="AD5371">
        <v>-1.111895338236</v>
      </c>
      <c r="AE5371">
        <v>3.5043199999999901</v>
      </c>
      <c r="AF5371">
        <v>-3.48974370610087</v>
      </c>
      <c r="AG5371">
        <v>-1.111895338236</v>
      </c>
      <c r="AH5371">
        <v>15.605791687389599</v>
      </c>
      <c r="AI5371">
        <v>93.977466950910497</v>
      </c>
      <c r="AJ5371">
        <v>102.605021130117</v>
      </c>
      <c r="AK5371">
        <v>16.029827091009398</v>
      </c>
      <c r="AL5371">
        <v>79.569435475251098</v>
      </c>
      <c r="AM5371">
        <v>98.6395220886224</v>
      </c>
      <c r="AN5371">
        <v>0.99999995964184396</v>
      </c>
    </row>
    <row r="5372" spans="1:40" x14ac:dyDescent="0.25">
      <c r="A5372" t="str">
        <f>"20190304155523367"</f>
        <v>20190304155523367</v>
      </c>
      <c r="B5372" t="str">
        <f>"1551686123363464"</f>
        <v>1551686123363464</v>
      </c>
      <c r="C5372" t="s">
        <v>40</v>
      </c>
      <c r="D5372">
        <v>4.86883</v>
      </c>
      <c r="E5372">
        <v>0.42531170000000001</v>
      </c>
      <c r="F5372" t="s">
        <v>74</v>
      </c>
      <c r="G5372">
        <v>-200.83410000000001</v>
      </c>
      <c r="H5372" s="1">
        <v>-5.4030499999999999E-6</v>
      </c>
      <c r="I5372">
        <v>-59.818289999999998</v>
      </c>
      <c r="J5372">
        <v>-216.4419</v>
      </c>
      <c r="K5372">
        <v>1.111937</v>
      </c>
      <c r="L5372">
        <v>-63.350650000000002</v>
      </c>
      <c r="M5372">
        <v>0.99990009999999996</v>
      </c>
      <c r="N5372">
        <v>-1.4089340000000001E-2</v>
      </c>
      <c r="O5372">
        <v>1.1406039999999999E-3</v>
      </c>
      <c r="P5372">
        <v>0.97447249999999996</v>
      </c>
      <c r="Q5372">
        <v>0.16773750000000001</v>
      </c>
      <c r="R5372">
        <v>0.1492233</v>
      </c>
      <c r="S5372">
        <v>3.0124659999999999</v>
      </c>
      <c r="T5372">
        <v>-0.21205750000000001</v>
      </c>
      <c r="U5372">
        <v>0.67391969999999901</v>
      </c>
      <c r="V5372">
        <v>-0.14876300000000001</v>
      </c>
      <c r="W5372">
        <v>0.18091950000000001</v>
      </c>
      <c r="X5372">
        <v>0.97218190000000004</v>
      </c>
      <c r="Y5372">
        <v>-0.21658549999999999</v>
      </c>
      <c r="Z5372">
        <v>9.0043509999999903E-3</v>
      </c>
      <c r="AA5372">
        <v>0.97622209999999998</v>
      </c>
      <c r="AB5372">
        <v>29</v>
      </c>
      <c r="AC5372">
        <v>15.6077999999999</v>
      </c>
      <c r="AD5372">
        <v>-1.11194240305</v>
      </c>
      <c r="AE5372">
        <v>3.53235999999999</v>
      </c>
      <c r="AF5372">
        <v>-3.49766610653126</v>
      </c>
      <c r="AG5372">
        <v>-1.11194240305</v>
      </c>
      <c r="AH5372">
        <v>15.536804126763201</v>
      </c>
      <c r="AI5372">
        <v>93.9939612262541</v>
      </c>
      <c r="AJ5372">
        <v>102.687000387521</v>
      </c>
      <c r="AK5372">
        <v>15.964409371282301</v>
      </c>
      <c r="AL5372">
        <v>79.576677044275698</v>
      </c>
      <c r="AM5372">
        <v>98.699900057525198</v>
      </c>
      <c r="AN5372">
        <v>0.99999997116842898</v>
      </c>
    </row>
    <row r="5373" spans="1:40" x14ac:dyDescent="0.25">
      <c r="A5373" t="str">
        <f>"20190304155523380"</f>
        <v>20190304155523380</v>
      </c>
      <c r="B5373" t="str">
        <f>"1551686123373224"</f>
        <v>1551686123373224</v>
      </c>
      <c r="C5373" t="s">
        <v>40</v>
      </c>
      <c r="D5373">
        <v>4.4592219999999996</v>
      </c>
      <c r="E5373">
        <v>0.42352020000000001</v>
      </c>
      <c r="F5373" t="s">
        <v>74</v>
      </c>
      <c r="G5373">
        <v>-188.98920000000001</v>
      </c>
      <c r="H5373" s="1">
        <v>-1.1038909999999999E-5</v>
      </c>
      <c r="I5373">
        <v>-53.7181199999999</v>
      </c>
      <c r="J5373">
        <v>-216.268</v>
      </c>
      <c r="K5373">
        <v>1.1119749999999999</v>
      </c>
      <c r="L5373">
        <v>-63.349240000000002</v>
      </c>
      <c r="M5373">
        <v>0.99989810000000001</v>
      </c>
      <c r="N5373">
        <v>-1.408673E-2</v>
      </c>
      <c r="O5373">
        <v>2.3529599999999999E-3</v>
      </c>
      <c r="P5373">
        <v>0.97408499999999998</v>
      </c>
      <c r="Q5373">
        <v>0.16783049999999999</v>
      </c>
      <c r="R5373">
        <v>0.1516296</v>
      </c>
      <c r="S5373">
        <v>2.941071</v>
      </c>
      <c r="T5373">
        <v>-0.1191252</v>
      </c>
      <c r="U5373">
        <v>1.031952</v>
      </c>
      <c r="V5373">
        <v>-0.15000659999999999</v>
      </c>
      <c r="W5373">
        <v>0.1809875</v>
      </c>
      <c r="X5373">
        <v>0.97197809999999996</v>
      </c>
      <c r="Y5373">
        <v>-0.32853450000000001</v>
      </c>
      <c r="Z5373">
        <v>8.7801089999999995E-3</v>
      </c>
      <c r="AA5373">
        <v>0.94445120000000005</v>
      </c>
      <c r="AB5373">
        <v>29</v>
      </c>
      <c r="AC5373">
        <v>27.278799999999901</v>
      </c>
      <c r="AD5373">
        <v>-1.11198603891</v>
      </c>
      <c r="AE5373">
        <v>9.6311200000000099</v>
      </c>
      <c r="AF5373">
        <v>-9.5527867351854496</v>
      </c>
      <c r="AG5373">
        <v>-1.11198603891</v>
      </c>
      <c r="AH5373">
        <v>27.261109876110499</v>
      </c>
      <c r="AI5373">
        <v>92.204520936600403</v>
      </c>
      <c r="AJ5373">
        <v>109.311385283883</v>
      </c>
      <c r="AK5373">
        <v>28.9077906287567</v>
      </c>
      <c r="AL5373">
        <v>79.572715215474403</v>
      </c>
      <c r="AM5373">
        <v>98.773311888014405</v>
      </c>
      <c r="AN5373">
        <v>0.99999994103970802</v>
      </c>
    </row>
    <row r="5374" spans="1:40" x14ac:dyDescent="0.25">
      <c r="A5374" t="str">
        <f>"20190304155523397"</f>
        <v>20190304155523397</v>
      </c>
      <c r="B5374" t="str">
        <f>"1551686123392745"</f>
        <v>1551686123392745</v>
      </c>
      <c r="C5374" t="s">
        <v>40</v>
      </c>
      <c r="D5374">
        <v>4.2293339999999997</v>
      </c>
      <c r="E5374">
        <v>0.41829880000000003</v>
      </c>
      <c r="F5374" t="s">
        <v>74</v>
      </c>
      <c r="G5374">
        <v>-189.69829999999999</v>
      </c>
      <c r="H5374" s="1">
        <v>-1.0914410000000001E-5</v>
      </c>
      <c r="I5374">
        <v>-53.823180000000001</v>
      </c>
      <c r="J5374">
        <v>-216.0556</v>
      </c>
      <c r="K5374">
        <v>1.1120190000000001</v>
      </c>
      <c r="L5374">
        <v>-63.347140000000003</v>
      </c>
      <c r="M5374">
        <v>0.99989329999999998</v>
      </c>
      <c r="N5374">
        <v>-1.408382E-2</v>
      </c>
      <c r="O5374">
        <v>3.8776209999999999E-3</v>
      </c>
      <c r="P5374">
        <v>0.97347410000000001</v>
      </c>
      <c r="Q5374">
        <v>0.1676165</v>
      </c>
      <c r="R5374">
        <v>0.15573329999999999</v>
      </c>
      <c r="S5374">
        <v>2.9370880000000001</v>
      </c>
      <c r="T5374">
        <v>-0.1229224</v>
      </c>
      <c r="U5374">
        <v>1.05304</v>
      </c>
      <c r="V5374">
        <v>-0.15264529999999901</v>
      </c>
      <c r="W5374">
        <v>0.18073900000000001</v>
      </c>
      <c r="X5374">
        <v>0.97161350000000002</v>
      </c>
      <c r="Y5374">
        <v>-0.33348909999999998</v>
      </c>
      <c r="Z5374">
        <v>9.0813679999999994E-3</v>
      </c>
      <c r="AA5374">
        <v>0.94271020000000005</v>
      </c>
      <c r="AB5374">
        <v>29</v>
      </c>
      <c r="AC5374">
        <v>26.357299999999999</v>
      </c>
      <c r="AD5374">
        <v>-1.1120299144100001</v>
      </c>
      <c r="AE5374">
        <v>9.52395999999999</v>
      </c>
      <c r="AF5374">
        <v>-9.4068637877546397</v>
      </c>
      <c r="AG5374">
        <v>-1.1120299144100001</v>
      </c>
      <c r="AH5374">
        <v>26.352544445943401</v>
      </c>
      <c r="AI5374">
        <v>92.275856081562694</v>
      </c>
      <c r="AJ5374">
        <v>109.64464653918</v>
      </c>
      <c r="AK5374">
        <v>28.0032550898522</v>
      </c>
      <c r="AL5374">
        <v>79.587192412137696</v>
      </c>
      <c r="AM5374">
        <v>98.928471065524406</v>
      </c>
      <c r="AN5374">
        <v>0.99999998355766895</v>
      </c>
    </row>
    <row r="5375" spans="1:40" x14ac:dyDescent="0.25">
      <c r="A5375" t="str">
        <f>"20190304155523409"</f>
        <v>20190304155523409</v>
      </c>
      <c r="B5375" t="str">
        <f>"1551686123403481"</f>
        <v>1551686123403481</v>
      </c>
      <c r="C5375" t="s">
        <v>40</v>
      </c>
      <c r="D5375">
        <v>4.2123530000000002</v>
      </c>
      <c r="E5375">
        <v>0.418271</v>
      </c>
      <c r="F5375" t="s">
        <v>74</v>
      </c>
      <c r="G5375">
        <v>-186.01609999999999</v>
      </c>
      <c r="H5375" s="1">
        <v>-1.1082159999999999E-5</v>
      </c>
      <c r="I5375">
        <v>-51.978430000000003</v>
      </c>
      <c r="J5375">
        <v>-215.89590000000001</v>
      </c>
      <c r="K5375">
        <v>1.1120540000000001</v>
      </c>
      <c r="L5375">
        <v>-63.345309999999998</v>
      </c>
      <c r="M5375">
        <v>0.9998882</v>
      </c>
      <c r="N5375">
        <v>-1.4081730000000001E-2</v>
      </c>
      <c r="O5375">
        <v>5.0478950000000002E-3</v>
      </c>
      <c r="P5375">
        <v>0.97307520000000003</v>
      </c>
      <c r="Q5375">
        <v>0.1674822</v>
      </c>
      <c r="R5375">
        <v>0.15834989999999999</v>
      </c>
      <c r="S5375">
        <v>2.9234010000000001</v>
      </c>
      <c r="T5375">
        <v>-0.1082211</v>
      </c>
      <c r="U5375">
        <v>1.106384</v>
      </c>
      <c r="V5375">
        <v>-0.15413729999999901</v>
      </c>
      <c r="W5375">
        <v>0.1805823</v>
      </c>
      <c r="X5375">
        <v>0.97140709999999997</v>
      </c>
      <c r="Y5375">
        <v>-0.34893420000000003</v>
      </c>
      <c r="Z5375">
        <v>8.6689569999999997E-3</v>
      </c>
      <c r="AA5375">
        <v>0.93710709999999997</v>
      </c>
      <c r="AB5375">
        <v>29</v>
      </c>
      <c r="AC5375">
        <v>29.879799999999999</v>
      </c>
      <c r="AD5375">
        <v>-1.11206508216</v>
      </c>
      <c r="AE5375">
        <v>11.36688</v>
      </c>
      <c r="AF5375">
        <v>-11.2023346468893</v>
      </c>
      <c r="AG5375">
        <v>-1.11206508216</v>
      </c>
      <c r="AH5375">
        <v>29.900622269445599</v>
      </c>
      <c r="AI5375">
        <v>91.994689493550993</v>
      </c>
      <c r="AJ5375">
        <v>110.538573792197</v>
      </c>
      <c r="AK5375">
        <v>31.949588454124498</v>
      </c>
      <c r="AL5375">
        <v>79.596321186759297</v>
      </c>
      <c r="AM5375">
        <v>99.016198196002705</v>
      </c>
      <c r="AN5375">
        <v>1.0000000141274901</v>
      </c>
    </row>
    <row r="5376" spans="1:40" x14ac:dyDescent="0.25">
      <c r="A5376" t="str">
        <f>"20190304155523420"</f>
        <v>20190304155523420</v>
      </c>
      <c r="B5376" t="str">
        <f>"1551686123413241"</f>
        <v>1551686123413241</v>
      </c>
      <c r="C5376" t="s">
        <v>40</v>
      </c>
      <c r="D5376">
        <v>4.1879390000000001</v>
      </c>
      <c r="E5376">
        <v>0.4171607</v>
      </c>
      <c r="F5376" t="s">
        <v>74</v>
      </c>
      <c r="G5376">
        <v>-186.52440000000001</v>
      </c>
      <c r="H5376" s="1">
        <v>-1.104272E-5</v>
      </c>
      <c r="I5376">
        <v>-52.141930000000002</v>
      </c>
      <c r="J5376">
        <v>-215.74950000000001</v>
      </c>
      <c r="K5376">
        <v>1.11208</v>
      </c>
      <c r="L5376">
        <v>-63.343539999999997</v>
      </c>
      <c r="M5376">
        <v>0.9998821</v>
      </c>
      <c r="N5376">
        <v>-1.407983E-2</v>
      </c>
      <c r="O5376">
        <v>6.1333680000000002E-3</v>
      </c>
      <c r="P5376">
        <v>0.97265279999999998</v>
      </c>
      <c r="Q5376">
        <v>0.1673992</v>
      </c>
      <c r="R5376">
        <v>0.16100929999999999</v>
      </c>
      <c r="S5376">
        <v>2.920731</v>
      </c>
      <c r="T5376">
        <v>-0.1105849</v>
      </c>
      <c r="U5376">
        <v>1.1140749999999999</v>
      </c>
      <c r="V5376">
        <v>-0.1557539</v>
      </c>
      <c r="W5376">
        <v>0.1804772</v>
      </c>
      <c r="X5376">
        <v>0.9711687</v>
      </c>
      <c r="Y5376">
        <v>-0.35034389999999999</v>
      </c>
      <c r="Z5376">
        <v>8.8157359999999994E-3</v>
      </c>
      <c r="AA5376">
        <v>0.93657959999999996</v>
      </c>
      <c r="AB5376">
        <v>29</v>
      </c>
      <c r="AC5376">
        <v>29.225100000000001</v>
      </c>
      <c r="AD5376">
        <v>-1.1120910427199999</v>
      </c>
      <c r="AE5376">
        <v>11.201610000000001</v>
      </c>
      <c r="AF5376">
        <v>-11.008235046408799</v>
      </c>
      <c r="AG5376">
        <v>-1.1120910427199999</v>
      </c>
      <c r="AH5376">
        <v>29.256323781091702</v>
      </c>
      <c r="AI5376">
        <v>92.037545374998899</v>
      </c>
      <c r="AJ5376">
        <v>110.619741216514</v>
      </c>
      <c r="AK5376">
        <v>31.2785943819148</v>
      </c>
      <c r="AL5376">
        <v>79.602443107759896</v>
      </c>
      <c r="AM5376">
        <v>99.111381733826803</v>
      </c>
      <c r="AN5376">
        <v>0.99999997047236899</v>
      </c>
    </row>
    <row r="5377" spans="1:40" x14ac:dyDescent="0.25">
      <c r="A5377" t="str">
        <f>"20190304155523431"</f>
        <v>20190304155523431</v>
      </c>
      <c r="B5377" t="str">
        <f>"1551686123423000"</f>
        <v>1551686123423000</v>
      </c>
      <c r="C5377" t="s">
        <v>40</v>
      </c>
      <c r="D5377">
        <v>4.1943830000000002</v>
      </c>
      <c r="E5377">
        <v>0.41613080000000002</v>
      </c>
      <c r="F5377" t="s">
        <v>74</v>
      </c>
      <c r="G5377">
        <v>-185.71209999999999</v>
      </c>
      <c r="H5377" s="1">
        <v>-1.10426E-5</v>
      </c>
      <c r="I5377">
        <v>-51.695590000000003</v>
      </c>
      <c r="J5377">
        <v>-215.60720000000001</v>
      </c>
      <c r="K5377">
        <v>1.1121049999999999</v>
      </c>
      <c r="L5377">
        <v>-63.341520000000003</v>
      </c>
      <c r="M5377">
        <v>0.99987499999999996</v>
      </c>
      <c r="N5377">
        <v>-1.4078159999999999E-2</v>
      </c>
      <c r="O5377">
        <v>7.2135000000000003E-3</v>
      </c>
      <c r="P5377">
        <v>0.97219330000000004</v>
      </c>
      <c r="Q5377">
        <v>0.16759270000000001</v>
      </c>
      <c r="R5377">
        <v>0.16356409999999999</v>
      </c>
      <c r="S5377">
        <v>2.915756</v>
      </c>
      <c r="T5377">
        <v>-0.10795159999999999</v>
      </c>
      <c r="U5377">
        <v>1.130676</v>
      </c>
      <c r="V5377">
        <v>-0.1572722</v>
      </c>
      <c r="W5377">
        <v>0.18064939999999999</v>
      </c>
      <c r="X5377">
        <v>0.97089199999999998</v>
      </c>
      <c r="Y5377">
        <v>-0.35451379999999999</v>
      </c>
      <c r="Z5377">
        <v>8.7554650000000005E-3</v>
      </c>
      <c r="AA5377">
        <v>0.9350098</v>
      </c>
      <c r="AB5377">
        <v>29</v>
      </c>
      <c r="AC5377">
        <v>29.895099999999999</v>
      </c>
      <c r="AD5377">
        <v>-1.1121160426000001</v>
      </c>
      <c r="AE5377">
        <v>11.6459299999999</v>
      </c>
      <c r="AF5377">
        <v>-11.416240184186901</v>
      </c>
      <c r="AG5377">
        <v>-1.1121160426000001</v>
      </c>
      <c r="AH5377">
        <v>29.942361238372499</v>
      </c>
      <c r="AI5377">
        <v>91.987648410307699</v>
      </c>
      <c r="AJ5377">
        <v>110.87054227052801</v>
      </c>
      <c r="AK5377">
        <v>32.064190907684598</v>
      </c>
      <c r="AL5377">
        <v>79.592412343837793</v>
      </c>
      <c r="AM5377">
        <v>99.201265632400293</v>
      </c>
      <c r="AN5377">
        <v>1.0000000131386</v>
      </c>
    </row>
    <row r="5378" spans="1:40" x14ac:dyDescent="0.25">
      <c r="A5378" t="str">
        <f>"20190304155523445"</f>
        <v>20190304155523445</v>
      </c>
      <c r="B5378" t="str">
        <f>"1551686123432761"</f>
        <v>1551686123432761</v>
      </c>
      <c r="C5378" t="s">
        <v>40</v>
      </c>
      <c r="D5378">
        <v>4.1787979999999996</v>
      </c>
      <c r="E5378">
        <v>0.4152496</v>
      </c>
      <c r="F5378" t="s">
        <v>74</v>
      </c>
      <c r="G5378">
        <v>-184.56639999999999</v>
      </c>
      <c r="H5378" s="1">
        <v>-1.106011E-5</v>
      </c>
      <c r="I5378">
        <v>-51.117959999999997</v>
      </c>
      <c r="J5378">
        <v>-215.43039999999999</v>
      </c>
      <c r="K5378">
        <v>1.1121399999999999</v>
      </c>
      <c r="L5378">
        <v>-63.338900000000002</v>
      </c>
      <c r="M5378">
        <v>0.99986419999999998</v>
      </c>
      <c r="N5378">
        <v>-1.4076119999999999E-2</v>
      </c>
      <c r="O5378">
        <v>8.5706140000000007E-3</v>
      </c>
      <c r="P5378">
        <v>0.9717114</v>
      </c>
      <c r="Q5378">
        <v>0.16741349999999999</v>
      </c>
      <c r="R5378">
        <v>0.1665836</v>
      </c>
      <c r="S5378">
        <v>2.9109500000000001</v>
      </c>
      <c r="T5378">
        <v>-0.104292</v>
      </c>
      <c r="U5378">
        <v>1.146301</v>
      </c>
      <c r="V5378">
        <v>-0.15898770000000001</v>
      </c>
      <c r="W5378">
        <v>0.18044579999999999</v>
      </c>
      <c r="X5378">
        <v>0.97065040000000002</v>
      </c>
      <c r="Y5378">
        <v>-0.35812959999999999</v>
      </c>
      <c r="Z5378">
        <v>8.6155789999999999E-3</v>
      </c>
      <c r="AA5378">
        <v>0.93363209999999996</v>
      </c>
      <c r="AB5378">
        <v>29</v>
      </c>
      <c r="AC5378">
        <v>30.864000000000001</v>
      </c>
      <c r="AD5378">
        <v>-1.11215106011</v>
      </c>
      <c r="AE5378">
        <v>12.220940000000001</v>
      </c>
      <c r="AF5378">
        <v>-11.942536410351799</v>
      </c>
      <c r="AG5378">
        <v>-1.11215106011</v>
      </c>
      <c r="AH5378">
        <v>30.932896621980898</v>
      </c>
      <c r="AI5378">
        <v>91.921021760006795</v>
      </c>
      <c r="AJ5378">
        <v>111.11051891391701</v>
      </c>
      <c r="AK5378">
        <v>33.1768767264075</v>
      </c>
      <c r="AL5378">
        <v>79.604272402062705</v>
      </c>
      <c r="AM5378">
        <v>99.302161555916598</v>
      </c>
      <c r="AN5378">
        <v>0.99999998725454498</v>
      </c>
    </row>
    <row r="5379" spans="1:40" x14ac:dyDescent="0.25">
      <c r="A5379" t="str">
        <f>"20190304155523457"</f>
        <v>20190304155523457</v>
      </c>
      <c r="B5379" t="str">
        <f>"1551686123452806"</f>
        <v>1551686123452806</v>
      </c>
      <c r="C5379" t="s">
        <v>40</v>
      </c>
      <c r="D5379">
        <v>4.20275</v>
      </c>
      <c r="E5379">
        <v>0.41450710000000002</v>
      </c>
      <c r="F5379" t="s">
        <v>74</v>
      </c>
      <c r="G5379">
        <v>-183.76750000000001</v>
      </c>
      <c r="H5379" s="1">
        <v>-1.105836E-5</v>
      </c>
      <c r="I5379">
        <v>-50.674190000000003</v>
      </c>
      <c r="J5379">
        <v>-215.267</v>
      </c>
      <c r="K5379">
        <v>1.112169</v>
      </c>
      <c r="L5379">
        <v>-63.336210000000001</v>
      </c>
      <c r="M5379">
        <v>0.99985250000000003</v>
      </c>
      <c r="N5379">
        <v>-1.4074400000000001E-2</v>
      </c>
      <c r="O5379">
        <v>9.8501490000000008E-3</v>
      </c>
      <c r="P5379">
        <v>0.97110589999999997</v>
      </c>
      <c r="Q5379">
        <v>0.1677951</v>
      </c>
      <c r="R5379">
        <v>0.16970079999999901</v>
      </c>
      <c r="S5379">
        <v>2.9056850000000001</v>
      </c>
      <c r="T5379">
        <v>-0.1020614</v>
      </c>
      <c r="U5379">
        <v>1.162231</v>
      </c>
      <c r="V5379">
        <v>-0.16087989999999999</v>
      </c>
      <c r="W5379">
        <v>0.1808013</v>
      </c>
      <c r="X5379">
        <v>0.97027240000000003</v>
      </c>
      <c r="Y5379">
        <v>-0.36193649999999999</v>
      </c>
      <c r="Z5379">
        <v>8.5622909999999997E-3</v>
      </c>
      <c r="AA5379">
        <v>0.93216339999999998</v>
      </c>
      <c r="AB5379">
        <v>29</v>
      </c>
      <c r="AC5379">
        <v>31.499499999999902</v>
      </c>
      <c r="AD5379">
        <v>-1.1121800583599999</v>
      </c>
      <c r="AE5379">
        <v>12.662019999999901</v>
      </c>
      <c r="AF5379">
        <v>-12.337858769178901</v>
      </c>
      <c r="AG5379">
        <v>-1.1121800583599999</v>
      </c>
      <c r="AH5379">
        <v>31.588804656695999</v>
      </c>
      <c r="AI5379">
        <v>91.878360573528894</v>
      </c>
      <c r="AJ5379">
        <v>111.334470333929</v>
      </c>
      <c r="AK5379">
        <v>33.930992958198502</v>
      </c>
      <c r="AL5379">
        <v>79.583563174387706</v>
      </c>
      <c r="AM5379">
        <v>99.414503223173995</v>
      </c>
      <c r="AN5379">
        <v>0.99999999125372996</v>
      </c>
    </row>
    <row r="5380" spans="1:40" x14ac:dyDescent="0.25">
      <c r="A5380" t="str">
        <f>"20190304155523468"</f>
        <v>20190304155523468</v>
      </c>
      <c r="B5380" t="str">
        <f>"1551686123462548"</f>
        <v>1551686123462548</v>
      </c>
      <c r="C5380" t="s">
        <v>40</v>
      </c>
      <c r="D5380">
        <v>4.1953659999999999</v>
      </c>
      <c r="E5380">
        <v>0.41424820000000001</v>
      </c>
      <c r="F5380" t="s">
        <v>74</v>
      </c>
      <c r="G5380">
        <v>-183.01009999999999</v>
      </c>
      <c r="H5380" s="1">
        <v>-2.068883E-6</v>
      </c>
      <c r="I5380">
        <v>-50.248609999999999</v>
      </c>
      <c r="J5380">
        <v>-215.13300000000001</v>
      </c>
      <c r="K5380">
        <v>1.112193</v>
      </c>
      <c r="L5380">
        <v>-63.333770000000001</v>
      </c>
      <c r="M5380">
        <v>0.99984150000000005</v>
      </c>
      <c r="N5380">
        <v>-1.407309E-2</v>
      </c>
      <c r="O5380">
        <v>1.091516E-2</v>
      </c>
      <c r="P5380">
        <v>0.97057490000000002</v>
      </c>
      <c r="Q5380">
        <v>0.1680759</v>
      </c>
      <c r="R5380">
        <v>0.1724387</v>
      </c>
      <c r="S5380">
        <v>2.9008639999999999</v>
      </c>
      <c r="T5380">
        <v>-0.10001790000000001</v>
      </c>
      <c r="U5380">
        <v>1.176971</v>
      </c>
      <c r="V5380">
        <v>-0.16259849999999901</v>
      </c>
      <c r="W5380">
        <v>0.1810602</v>
      </c>
      <c r="X5380">
        <v>0.96993759999999996</v>
      </c>
      <c r="Y5380">
        <v>-0.36555569999999998</v>
      </c>
      <c r="Z5380">
        <v>8.5177759999999995E-3</v>
      </c>
      <c r="AA5380">
        <v>0.93075050000000004</v>
      </c>
      <c r="AB5380">
        <v>29</v>
      </c>
      <c r="AC5380">
        <v>32.122899999999902</v>
      </c>
      <c r="AD5380">
        <v>-1.112195068883</v>
      </c>
      <c r="AE5380">
        <v>13.085159999999901</v>
      </c>
      <c r="AF5380">
        <v>-12.7206402381918</v>
      </c>
      <c r="AG5380">
        <v>-1.112195068883</v>
      </c>
      <c r="AH5380">
        <v>32.230688528516303</v>
      </c>
      <c r="AI5380">
        <v>91.838440442101202</v>
      </c>
      <c r="AJ5380">
        <v>111.537899845209</v>
      </c>
      <c r="AK5380">
        <v>34.6679816107455</v>
      </c>
      <c r="AL5380">
        <v>79.568480545088207</v>
      </c>
      <c r="AM5380">
        <v>99.516468602085098</v>
      </c>
      <c r="AN5380">
        <v>1.00000000806002</v>
      </c>
    </row>
    <row r="5381" spans="1:40" x14ac:dyDescent="0.25">
      <c r="A5381" t="str">
        <f>"20190304155523480"</f>
        <v>20190304155523480</v>
      </c>
      <c r="B5381" t="str">
        <f>"1551686123473284"</f>
        <v>1551686123473284</v>
      </c>
      <c r="C5381" t="s">
        <v>40</v>
      </c>
      <c r="D5381">
        <v>4.196974</v>
      </c>
      <c r="E5381">
        <v>0.41384009999999999</v>
      </c>
      <c r="F5381" t="s">
        <v>74</v>
      </c>
      <c r="G5381">
        <v>-182.68610000000001</v>
      </c>
      <c r="H5381" s="1">
        <v>-2.118457E-6</v>
      </c>
      <c r="I5381">
        <v>-50.043129999999998</v>
      </c>
      <c r="J5381">
        <v>-214.9735</v>
      </c>
      <c r="K5381">
        <v>1.1122209999999999</v>
      </c>
      <c r="L5381">
        <v>-63.330779999999997</v>
      </c>
      <c r="M5381">
        <v>0.99982660000000001</v>
      </c>
      <c r="N5381">
        <v>-1.407157E-2</v>
      </c>
      <c r="O5381">
        <v>1.219426E-2</v>
      </c>
      <c r="P5381">
        <v>0.97001559999999998</v>
      </c>
      <c r="Q5381">
        <v>0.16816439999999999</v>
      </c>
      <c r="R5381">
        <v>0.17547260000000001</v>
      </c>
      <c r="S5381">
        <v>2.8972929999999999</v>
      </c>
      <c r="T5381">
        <v>-9.9311709999999997E-2</v>
      </c>
      <c r="U5381">
        <v>1.186768</v>
      </c>
      <c r="V5381">
        <v>-0.16440689999999999</v>
      </c>
      <c r="W5381">
        <v>0.18112439999999999</v>
      </c>
      <c r="X5381">
        <v>0.9696207</v>
      </c>
      <c r="Y5381">
        <v>-0.3674636</v>
      </c>
      <c r="Z5381">
        <v>8.50248199999999E-3</v>
      </c>
      <c r="AA5381">
        <v>0.92999909999999997</v>
      </c>
      <c r="AB5381">
        <v>29</v>
      </c>
      <c r="AC5381">
        <v>32.287399999999899</v>
      </c>
      <c r="AD5381">
        <v>-1.1122231184569999</v>
      </c>
      <c r="AE5381">
        <v>13.287649999999999</v>
      </c>
      <c r="AF5381">
        <v>-12.879831844901799</v>
      </c>
      <c r="AG5381">
        <v>-1.1122231184569999</v>
      </c>
      <c r="AH5381">
        <v>32.414155136850198</v>
      </c>
      <c r="AI5381">
        <v>91.826414326985301</v>
      </c>
      <c r="AJ5381">
        <v>111.67050151856699</v>
      </c>
      <c r="AK5381">
        <v>34.897056635968099</v>
      </c>
      <c r="AL5381">
        <v>79.564740119192507</v>
      </c>
      <c r="AM5381">
        <v>99.623427433308606</v>
      </c>
      <c r="AN5381">
        <v>0.99999998945572899</v>
      </c>
    </row>
    <row r="5382" spans="1:40" x14ac:dyDescent="0.25">
      <c r="A5382" t="str">
        <f>"20190304155523490"</f>
        <v>20190304155523490</v>
      </c>
      <c r="B5382" t="str">
        <f>"1551686123483044"</f>
        <v>1551686123483044</v>
      </c>
      <c r="C5382" t="s">
        <v>40</v>
      </c>
      <c r="D5382">
        <v>4.2332809999999998</v>
      </c>
      <c r="E5382">
        <v>0.4135356</v>
      </c>
      <c r="F5382" t="s">
        <v>74</v>
      </c>
      <c r="G5382">
        <v>-182.2022</v>
      </c>
      <c r="H5382" s="1">
        <v>-2.1840129999999999E-6</v>
      </c>
      <c r="I5382">
        <v>-49.750599999999999</v>
      </c>
      <c r="J5382">
        <v>-214.8443</v>
      </c>
      <c r="K5382">
        <v>1.112244</v>
      </c>
      <c r="L5382">
        <v>-63.328060000000001</v>
      </c>
      <c r="M5382">
        <v>0.99981319999999996</v>
      </c>
      <c r="N5382">
        <v>-1.407049E-2</v>
      </c>
      <c r="O5382">
        <v>1.3254490000000001E-2</v>
      </c>
      <c r="P5382">
        <v>0.96946129999999997</v>
      </c>
      <c r="Q5382">
        <v>0.1684003</v>
      </c>
      <c r="R5382">
        <v>0.17828720000000001</v>
      </c>
      <c r="S5382">
        <v>2.8928829999999999</v>
      </c>
      <c r="T5382">
        <v>-9.8181610000000002E-2</v>
      </c>
      <c r="U5382">
        <v>1.1987920000000001</v>
      </c>
      <c r="V5382">
        <v>-0.1662082</v>
      </c>
      <c r="W5382">
        <v>0.18133779999999999</v>
      </c>
      <c r="X5382">
        <v>0.96927359999999896</v>
      </c>
      <c r="Y5382">
        <v>-0.37027969999999999</v>
      </c>
      <c r="Z5382">
        <v>8.4899629999999997E-3</v>
      </c>
      <c r="AA5382">
        <v>0.92888150000000003</v>
      </c>
      <c r="AB5382">
        <v>29</v>
      </c>
      <c r="AC5382">
        <v>32.642099999999999</v>
      </c>
      <c r="AD5382">
        <v>-1.112246184013</v>
      </c>
      <c r="AE5382">
        <v>13.57746</v>
      </c>
      <c r="AF5382">
        <v>-13.130573361094401</v>
      </c>
      <c r="AG5382">
        <v>-1.112246184013</v>
      </c>
      <c r="AH5382">
        <v>32.786760148862598</v>
      </c>
      <c r="AI5382">
        <v>91.803765323356004</v>
      </c>
      <c r="AJ5382">
        <v>111.82531243335301</v>
      </c>
      <c r="AK5382">
        <v>35.335827278047098</v>
      </c>
      <c r="AL5382">
        <v>79.552306770866196</v>
      </c>
      <c r="AM5382">
        <v>99.730278137548694</v>
      </c>
      <c r="AN5382">
        <v>0.99999993755651695</v>
      </c>
    </row>
    <row r="5383" spans="1:40" x14ac:dyDescent="0.25">
      <c r="A5383" t="str">
        <f>"20190304155523500"</f>
        <v>20190304155523500</v>
      </c>
      <c r="B5383" t="str">
        <f>"1551686123492803"</f>
        <v>1551686123492803</v>
      </c>
      <c r="C5383" t="s">
        <v>40</v>
      </c>
      <c r="D5383">
        <v>4.2490379999999996</v>
      </c>
      <c r="E5383">
        <v>0.41338859999999999</v>
      </c>
      <c r="F5383" t="s">
        <v>74</v>
      </c>
      <c r="G5383">
        <v>-181.75460000000001</v>
      </c>
      <c r="H5383" s="1">
        <v>-2.2468100000000001E-6</v>
      </c>
      <c r="I5383">
        <v>-49.476349999999996</v>
      </c>
      <c r="J5383">
        <v>-214.71119999999999</v>
      </c>
      <c r="K5383">
        <v>1.112269</v>
      </c>
      <c r="L5383">
        <v>-63.325290000000003</v>
      </c>
      <c r="M5383">
        <v>0.99979810000000002</v>
      </c>
      <c r="N5383">
        <v>-1.406934E-2</v>
      </c>
      <c r="O5383">
        <v>1.435061E-2</v>
      </c>
      <c r="P5383">
        <v>0.96900419999999998</v>
      </c>
      <c r="Q5383">
        <v>0.16826579999999999</v>
      </c>
      <c r="R5383">
        <v>0.1808796</v>
      </c>
      <c r="S5383">
        <v>2.8889619999999998</v>
      </c>
      <c r="T5383">
        <v>-9.7106810000000002E-2</v>
      </c>
      <c r="U5383">
        <v>1.2093510000000001</v>
      </c>
      <c r="V5383">
        <v>-0.16775100000000001</v>
      </c>
      <c r="W5383">
        <v>0.1811826</v>
      </c>
      <c r="X5383">
        <v>0.96903689999999998</v>
      </c>
      <c r="Y5383">
        <v>-0.37260169999999998</v>
      </c>
      <c r="Z5383">
        <v>8.4674009999999994E-3</v>
      </c>
      <c r="AA5383">
        <v>0.92795269999999996</v>
      </c>
      <c r="AB5383">
        <v>29</v>
      </c>
      <c r="AC5383">
        <v>32.956599999999902</v>
      </c>
      <c r="AD5383">
        <v>-1.11227124681</v>
      </c>
      <c r="AE5383">
        <v>13.848940000000001</v>
      </c>
      <c r="AF5383">
        <v>-13.3615843506569</v>
      </c>
      <c r="AG5383">
        <v>-1.11227124681</v>
      </c>
      <c r="AH5383">
        <v>33.119903080103597</v>
      </c>
      <c r="AI5383">
        <v>91.783855115723895</v>
      </c>
      <c r="AJ5383">
        <v>111.97065905372899</v>
      </c>
      <c r="AK5383">
        <v>35.7308978857467</v>
      </c>
      <c r="AL5383">
        <v>79.561349759493993</v>
      </c>
      <c r="AM5383">
        <v>99.821199359816006</v>
      </c>
      <c r="AN5383">
        <v>1.00000002305268</v>
      </c>
    </row>
    <row r="5384" spans="1:40" x14ac:dyDescent="0.25">
      <c r="A5384" t="str">
        <f>"20190304155523511"</f>
        <v>20190304155523511</v>
      </c>
      <c r="B5384" t="str">
        <f>"1551686123503539"</f>
        <v>1551686123503539</v>
      </c>
      <c r="C5384" t="s">
        <v>40</v>
      </c>
      <c r="D5384">
        <v>4.2387300000000003</v>
      </c>
      <c r="E5384">
        <v>0.41321960000000002</v>
      </c>
      <c r="F5384" t="s">
        <v>74</v>
      </c>
      <c r="G5384">
        <v>-181.9187</v>
      </c>
      <c r="H5384" s="1">
        <v>-2.278175E-6</v>
      </c>
      <c r="I5384">
        <v>-49.485019999999999</v>
      </c>
      <c r="J5384">
        <v>-214.58150000000001</v>
      </c>
      <c r="K5384">
        <v>1.1122920000000001</v>
      </c>
      <c r="L5384">
        <v>-63.322240000000001</v>
      </c>
      <c r="M5384">
        <v>0.99978180000000005</v>
      </c>
      <c r="N5384">
        <v>-1.406846E-2</v>
      </c>
      <c r="O5384">
        <v>1.5449559999999999E-2</v>
      </c>
      <c r="P5384">
        <v>0.96850159999999996</v>
      </c>
      <c r="Q5384">
        <v>0.16822529999999999</v>
      </c>
      <c r="R5384">
        <v>0.18359039999999999</v>
      </c>
      <c r="S5384">
        <v>2.8856199999999999</v>
      </c>
      <c r="T5384">
        <v>-9.7876069999999996E-2</v>
      </c>
      <c r="U5384">
        <v>1.2178960000000001</v>
      </c>
      <c r="V5384">
        <v>-0.1694126</v>
      </c>
      <c r="W5384">
        <v>0.18111930000000001</v>
      </c>
      <c r="X5384">
        <v>0.96875960000000005</v>
      </c>
      <c r="Y5384">
        <v>-0.37429400000000002</v>
      </c>
      <c r="Z5384">
        <v>8.534603E-3</v>
      </c>
      <c r="AA5384">
        <v>0.92727079999999995</v>
      </c>
      <c r="AB5384">
        <v>29</v>
      </c>
      <c r="AC5384">
        <v>32.662799999999997</v>
      </c>
      <c r="AD5384">
        <v>-1.112294278175</v>
      </c>
      <c r="AE5384">
        <v>13.83722</v>
      </c>
      <c r="AF5384">
        <v>-13.317798231884</v>
      </c>
      <c r="AG5384">
        <v>-1.112294278175</v>
      </c>
      <c r="AH5384">
        <v>32.840411976660299</v>
      </c>
      <c r="AI5384">
        <v>91.797752035869607</v>
      </c>
      <c r="AJ5384">
        <v>112.074069275849</v>
      </c>
      <c r="AK5384">
        <v>35.455515891088197</v>
      </c>
      <c r="AL5384">
        <v>79.565037313382902</v>
      </c>
      <c r="AM5384">
        <v>99.919340103883101</v>
      </c>
      <c r="AN5384">
        <v>0.99999999623170499</v>
      </c>
    </row>
    <row r="5385" spans="1:40" x14ac:dyDescent="0.25">
      <c r="A5385" t="str">
        <f>"20190304155523522"</f>
        <v>20190304155523522</v>
      </c>
      <c r="B5385" t="str">
        <f>"1551686123513299"</f>
        <v>1551686123513299</v>
      </c>
      <c r="C5385" t="s">
        <v>40</v>
      </c>
      <c r="D5385">
        <v>4.2216870000000002</v>
      </c>
      <c r="E5385">
        <v>0.41316209999999998</v>
      </c>
      <c r="F5385" t="s">
        <v>74</v>
      </c>
      <c r="G5385">
        <v>-181.8295</v>
      </c>
      <c r="H5385" s="1">
        <v>-2.3223869999999998E-6</v>
      </c>
      <c r="I5385">
        <v>-49.376800000000003</v>
      </c>
      <c r="J5385">
        <v>-214.4435</v>
      </c>
      <c r="K5385">
        <v>1.1123190000000001</v>
      </c>
      <c r="L5385">
        <v>-63.319000000000003</v>
      </c>
      <c r="M5385">
        <v>0.99976299999999996</v>
      </c>
      <c r="N5385">
        <v>-1.406747E-2</v>
      </c>
      <c r="O5385">
        <v>1.6622439999999999E-2</v>
      </c>
      <c r="P5385">
        <v>0.9679759</v>
      </c>
      <c r="Q5385">
        <v>0.16851340000000001</v>
      </c>
      <c r="R5385">
        <v>0.18608140000000001</v>
      </c>
      <c r="S5385">
        <v>2.8819729999999999</v>
      </c>
      <c r="T5385">
        <v>-9.7875000000000004E-2</v>
      </c>
      <c r="U5385">
        <v>1.227112</v>
      </c>
      <c r="V5385">
        <v>-0.17078599999999999</v>
      </c>
      <c r="W5385">
        <v>0.1813852</v>
      </c>
      <c r="X5385">
        <v>0.96846869999999996</v>
      </c>
      <c r="Y5385">
        <v>-0.37613760000000002</v>
      </c>
      <c r="Z5385">
        <v>8.5603669999999993E-3</v>
      </c>
      <c r="AA5385">
        <v>0.92652429999999997</v>
      </c>
      <c r="AB5385">
        <v>29</v>
      </c>
      <c r="AC5385">
        <v>32.613999999999997</v>
      </c>
      <c r="AD5385">
        <v>-1.1123213223870001</v>
      </c>
      <c r="AE5385">
        <v>13.9421999999999</v>
      </c>
      <c r="AF5385">
        <v>-13.3849318528698</v>
      </c>
      <c r="AG5385">
        <v>-1.1123213223870001</v>
      </c>
      <c r="AH5385">
        <v>32.8090027936667</v>
      </c>
      <c r="AI5385">
        <v>91.797988408633003</v>
      </c>
      <c r="AJ5385">
        <v>112.19375085788499</v>
      </c>
      <c r="AK5385">
        <v>35.451718205822303</v>
      </c>
      <c r="AL5385">
        <v>79.549546190910803</v>
      </c>
      <c r="AM5385">
        <v>100.001080882144</v>
      </c>
      <c r="AN5385">
        <v>1.00000003572736</v>
      </c>
    </row>
    <row r="5386" spans="1:40" x14ac:dyDescent="0.25">
      <c r="A5386" t="str">
        <f>"20190304155523531"</f>
        <v>20190304155523531</v>
      </c>
      <c r="B5386" t="str">
        <f>"1551686123523060"</f>
        <v>1551686123523060</v>
      </c>
      <c r="C5386" t="s">
        <v>40</v>
      </c>
      <c r="D5386">
        <v>4.2903079999999996</v>
      </c>
      <c r="E5386">
        <v>0.41309360000000001</v>
      </c>
      <c r="F5386" t="s">
        <v>74</v>
      </c>
      <c r="G5386">
        <v>-181.63249999999999</v>
      </c>
      <c r="H5386" s="1">
        <v>-2.3559740000000001E-6</v>
      </c>
      <c r="I5386">
        <v>-49.246049999999997</v>
      </c>
      <c r="J5386">
        <v>-214.30869999999999</v>
      </c>
      <c r="K5386">
        <v>1.1123510000000001</v>
      </c>
      <c r="L5386">
        <v>-63.3155199999999</v>
      </c>
      <c r="M5386">
        <v>0.99974240000000003</v>
      </c>
      <c r="N5386">
        <v>-1.406687E-2</v>
      </c>
      <c r="O5386">
        <v>1.7806490000000001E-2</v>
      </c>
      <c r="P5386">
        <v>0.96735629999999995</v>
      </c>
      <c r="Q5386">
        <v>0.16902449999999999</v>
      </c>
      <c r="R5386">
        <v>0.1888186</v>
      </c>
      <c r="S5386">
        <v>2.87886</v>
      </c>
      <c r="T5386">
        <v>-9.7595929999999997E-2</v>
      </c>
      <c r="U5386">
        <v>1.234772</v>
      </c>
      <c r="V5386">
        <v>-0.17239930000000001</v>
      </c>
      <c r="W5386">
        <v>0.18187049999999999</v>
      </c>
      <c r="X5386">
        <v>0.9680917</v>
      </c>
      <c r="Y5386">
        <v>-0.37748549999999997</v>
      </c>
      <c r="Z5386">
        <v>8.5578259999999993E-3</v>
      </c>
      <c r="AA5386">
        <v>0.92597589999999996</v>
      </c>
      <c r="AB5386">
        <v>29</v>
      </c>
      <c r="AC5386">
        <v>32.676199999999902</v>
      </c>
      <c r="AD5386">
        <v>-1.112353355974</v>
      </c>
      <c r="AE5386">
        <v>14.0694699999999</v>
      </c>
      <c r="AF5386">
        <v>-13.472162454820401</v>
      </c>
      <c r="AG5386">
        <v>-1.112353355974</v>
      </c>
      <c r="AH5386">
        <v>32.889418289836897</v>
      </c>
      <c r="AI5386">
        <v>91.7926081670023</v>
      </c>
      <c r="AJ5386">
        <v>112.274985930752</v>
      </c>
      <c r="AK5386">
        <v>35.559110318475099</v>
      </c>
      <c r="AL5386">
        <v>79.521269533312804</v>
      </c>
      <c r="AM5386">
        <v>100.097470436555</v>
      </c>
      <c r="AN5386">
        <v>0.99999996850981399</v>
      </c>
    </row>
    <row r="5387" spans="1:40" x14ac:dyDescent="0.25">
      <c r="A5387" t="str">
        <f>"20190304155523545"</f>
        <v>20190304155523545</v>
      </c>
      <c r="B5387" t="str">
        <f>"1551686123532819"</f>
        <v>1551686123532819</v>
      </c>
      <c r="C5387" t="s">
        <v>40</v>
      </c>
      <c r="D5387">
        <v>4.2197430000000002</v>
      </c>
      <c r="E5387">
        <v>0.41291220000000001</v>
      </c>
      <c r="F5387" t="s">
        <v>74</v>
      </c>
      <c r="G5387">
        <v>-181.1823</v>
      </c>
      <c r="H5387" s="1">
        <v>-2.4049820000000002E-6</v>
      </c>
      <c r="I5387">
        <v>-48.994140000000002</v>
      </c>
      <c r="J5387">
        <v>-214.13800000000001</v>
      </c>
      <c r="K5387">
        <v>1.112392</v>
      </c>
      <c r="L5387">
        <v>-63.310940000000002</v>
      </c>
      <c r="M5387">
        <v>0.99971449999999995</v>
      </c>
      <c r="N5387">
        <v>-1.4066169999999999E-2</v>
      </c>
      <c r="O5387">
        <v>1.932037E-2</v>
      </c>
      <c r="P5387">
        <v>0.96673039999999999</v>
      </c>
      <c r="Q5387">
        <v>0.1695151</v>
      </c>
      <c r="R5387">
        <v>0.19156480000000001</v>
      </c>
      <c r="S5387">
        <v>2.8754580000000001</v>
      </c>
      <c r="T5387">
        <v>-9.6555230000000006E-2</v>
      </c>
      <c r="U5387">
        <v>1.243134</v>
      </c>
      <c r="V5387">
        <v>-0.17370749999999999</v>
      </c>
      <c r="W5387">
        <v>0.18233279999999999</v>
      </c>
      <c r="X5387">
        <v>0.96777089999999999</v>
      </c>
      <c r="Y5387">
        <v>-0.37875490000000001</v>
      </c>
      <c r="Z5387">
        <v>8.5045390000000002E-3</v>
      </c>
      <c r="AA5387">
        <v>0.925458</v>
      </c>
      <c r="AB5387">
        <v>29</v>
      </c>
      <c r="AC5387">
        <v>32.9557</v>
      </c>
      <c r="AD5387">
        <v>-1.112394404982</v>
      </c>
      <c r="AE5387">
        <v>14.316800000000001</v>
      </c>
      <c r="AF5387">
        <v>-13.664251245220701</v>
      </c>
      <c r="AG5387">
        <v>-1.112394404982</v>
      </c>
      <c r="AH5387">
        <v>33.1943650870939</v>
      </c>
      <c r="AI5387">
        <v>91.774954291444701</v>
      </c>
      <c r="AJ5387">
        <v>112.374206744134</v>
      </c>
      <c r="AK5387">
        <v>35.9139952795569</v>
      </c>
      <c r="AL5387">
        <v>79.494331933335403</v>
      </c>
      <c r="AM5387">
        <v>100.17579938809899</v>
      </c>
      <c r="AN5387">
        <v>1.0000000301994401</v>
      </c>
    </row>
    <row r="5388" spans="1:40" x14ac:dyDescent="0.25">
      <c r="A5388" t="str">
        <f>"20190304155523557"</f>
        <v>20190304155523557</v>
      </c>
      <c r="B5388" t="str">
        <f>"1551686123552861"</f>
        <v>1551686123552861</v>
      </c>
      <c r="C5388" t="s">
        <v>40</v>
      </c>
      <c r="D5388">
        <v>4.2374510000000001</v>
      </c>
      <c r="E5388">
        <v>0.41258610000000001</v>
      </c>
      <c r="F5388" t="s">
        <v>74</v>
      </c>
      <c r="G5388">
        <v>-180.5008</v>
      </c>
      <c r="H5388" s="1">
        <v>-2.4630719999999998E-6</v>
      </c>
      <c r="I5388">
        <v>-48.639969999999998</v>
      </c>
      <c r="J5388">
        <v>-213.9846</v>
      </c>
      <c r="K5388">
        <v>1.112433</v>
      </c>
      <c r="L5388">
        <v>-63.306550000000001</v>
      </c>
      <c r="M5388">
        <v>0.99968670000000004</v>
      </c>
      <c r="N5388">
        <v>-1.4065799999999899E-2</v>
      </c>
      <c r="O5388">
        <v>2.0712270000000001E-2</v>
      </c>
      <c r="P5388">
        <v>0.96610770000000001</v>
      </c>
      <c r="Q5388">
        <v>0.17015930000000001</v>
      </c>
      <c r="R5388">
        <v>0.19411880000000001</v>
      </c>
      <c r="S5388">
        <v>2.8717039999999998</v>
      </c>
      <c r="T5388">
        <v>-9.4968200000000003E-2</v>
      </c>
      <c r="U5388">
        <v>1.252502</v>
      </c>
      <c r="V5388">
        <v>-0.1749416</v>
      </c>
      <c r="W5388">
        <v>0.18295020000000001</v>
      </c>
      <c r="X5388">
        <v>0.96743199999999996</v>
      </c>
      <c r="Y5388">
        <v>-0.38045200000000001</v>
      </c>
      <c r="Z5388">
        <v>8.4335729999999998E-3</v>
      </c>
      <c r="AA5388">
        <v>0.92476219999999998</v>
      </c>
      <c r="AB5388">
        <v>29</v>
      </c>
      <c r="AC5388">
        <v>33.483800000000002</v>
      </c>
      <c r="AD5388">
        <v>-1.1124354630719999</v>
      </c>
      <c r="AE5388">
        <v>14.66658</v>
      </c>
      <c r="AF5388">
        <v>-13.956913678352301</v>
      </c>
      <c r="AG5388">
        <v>-1.1124354630719999</v>
      </c>
      <c r="AH5388">
        <v>33.749168886138698</v>
      </c>
      <c r="AI5388">
        <v>91.744687065779601</v>
      </c>
      <c r="AJ5388">
        <v>112.467460963538</v>
      </c>
      <c r="AK5388">
        <v>36.538190329976501</v>
      </c>
      <c r="AL5388">
        <v>79.458352078490506</v>
      </c>
      <c r="AM5388">
        <v>100.250080077452</v>
      </c>
      <c r="AN5388">
        <v>1.0000000068573001</v>
      </c>
    </row>
    <row r="5389" spans="1:40" x14ac:dyDescent="0.25">
      <c r="A5389" t="str">
        <f>"20190304155523570"</f>
        <v>20190304155523570</v>
      </c>
      <c r="B5389" t="str">
        <f>"1551686123562609"</f>
        <v>1551686123562609</v>
      </c>
      <c r="C5389" t="s">
        <v>40</v>
      </c>
      <c r="D5389">
        <v>4.2473660000000004</v>
      </c>
      <c r="E5389">
        <v>0.41249639999999999</v>
      </c>
      <c r="F5389" t="s">
        <v>74</v>
      </c>
      <c r="G5389">
        <v>-179.95779999999999</v>
      </c>
      <c r="H5389">
        <v>1.589774E-2</v>
      </c>
      <c r="I5389">
        <v>-48.328240000000001</v>
      </c>
      <c r="J5389">
        <v>-213.82429999999999</v>
      </c>
      <c r="K5389">
        <v>1.1124750000000001</v>
      </c>
      <c r="L5389">
        <v>-63.301699999999997</v>
      </c>
      <c r="M5389">
        <v>0.99965470000000001</v>
      </c>
      <c r="N5389">
        <v>-1.406552E-2</v>
      </c>
      <c r="O5389">
        <v>2.220022E-2</v>
      </c>
      <c r="P5389">
        <v>0.96548160000000005</v>
      </c>
      <c r="Q5389">
        <v>0.17065810000000001</v>
      </c>
      <c r="R5389">
        <v>0.1967766</v>
      </c>
      <c r="S5389">
        <v>2.8678889999999999</v>
      </c>
      <c r="T5389">
        <v>-9.2419619999999994E-2</v>
      </c>
      <c r="U5389">
        <v>1.262421</v>
      </c>
      <c r="V5389">
        <v>-0.17618929999999999</v>
      </c>
      <c r="W5389">
        <v>0.1834218</v>
      </c>
      <c r="X5389">
        <v>0.96711619999999998</v>
      </c>
      <c r="Y5389">
        <v>-0.38221820000000001</v>
      </c>
      <c r="Z5389">
        <v>8.3088429999999998E-3</v>
      </c>
      <c r="AA5389">
        <v>0.92403480000000005</v>
      </c>
      <c r="AB5389">
        <v>29</v>
      </c>
      <c r="AC5389">
        <v>33.866500000000002</v>
      </c>
      <c r="AD5389">
        <v>-1.0965772600000001</v>
      </c>
      <c r="AE5389">
        <v>14.9734599999999</v>
      </c>
      <c r="AF5389">
        <v>-14.2053929206651</v>
      </c>
      <c r="AG5389">
        <v>-1.0965772600000001</v>
      </c>
      <c r="AH5389">
        <v>34.160640146512598</v>
      </c>
      <c r="AI5389">
        <v>91.697750457459605</v>
      </c>
      <c r="AJ5389">
        <v>112.57954139966201</v>
      </c>
      <c r="AK5389">
        <v>37.012768133944803</v>
      </c>
      <c r="AL5389">
        <v>79.430866050354197</v>
      </c>
      <c r="AM5389">
        <v>100.32491651703801</v>
      </c>
      <c r="AN5389">
        <v>0.99999998522608402</v>
      </c>
    </row>
    <row r="5390" spans="1:40" x14ac:dyDescent="0.25">
      <c r="A5390" t="str">
        <f>"20190304155523584"</f>
        <v>20190304155523584</v>
      </c>
      <c r="B5390" t="str">
        <f>"1551686123573344"</f>
        <v>1551686123573344</v>
      </c>
      <c r="C5390" t="s">
        <v>40</v>
      </c>
      <c r="D5390">
        <v>4.2322240000000004</v>
      </c>
      <c r="E5390">
        <v>0.41240939999999998</v>
      </c>
      <c r="F5390" t="s">
        <v>74</v>
      </c>
      <c r="G5390">
        <v>-179.95779999999999</v>
      </c>
      <c r="H5390">
        <v>3.5386380000000002E-2</v>
      </c>
      <c r="I5390">
        <v>-48.277149999999999</v>
      </c>
      <c r="J5390">
        <v>-213.64510000000001</v>
      </c>
      <c r="K5390">
        <v>1.1125240000000001</v>
      </c>
      <c r="L5390">
        <v>-63.296050000000001</v>
      </c>
      <c r="M5390">
        <v>0.99961560000000005</v>
      </c>
      <c r="N5390">
        <v>-1.4065279999999999E-2</v>
      </c>
      <c r="O5390">
        <v>2.389548E-2</v>
      </c>
      <c r="P5390">
        <v>0.96492520000000004</v>
      </c>
      <c r="Q5390">
        <v>0.170852799999999</v>
      </c>
      <c r="R5390">
        <v>0.19932069999999999</v>
      </c>
      <c r="S5390">
        <v>2.8643800000000001</v>
      </c>
      <c r="T5390">
        <v>-9.1098429999999994E-2</v>
      </c>
      <c r="U5390">
        <v>1.2707520000000001</v>
      </c>
      <c r="V5390">
        <v>-0.1771239</v>
      </c>
      <c r="W5390">
        <v>0.18358820000000001</v>
      </c>
      <c r="X5390">
        <v>0.96691389999999999</v>
      </c>
      <c r="Y5390">
        <v>-0.38332139999999998</v>
      </c>
      <c r="Z5390">
        <v>8.2351750000000008E-3</v>
      </c>
      <c r="AA5390">
        <v>0.92357829999999996</v>
      </c>
      <c r="AB5390">
        <v>29</v>
      </c>
      <c r="AC5390">
        <v>33.6873</v>
      </c>
      <c r="AD5390">
        <v>-1.07713762</v>
      </c>
      <c r="AE5390">
        <v>15.0189</v>
      </c>
      <c r="AF5390">
        <v>-14.197448552017001</v>
      </c>
      <c r="AG5390">
        <v>-1.07713762</v>
      </c>
      <c r="AH5390">
        <v>34.007594848044</v>
      </c>
      <c r="AI5390">
        <v>91.674198211170307</v>
      </c>
      <c r="AJ5390">
        <v>112.659500004482</v>
      </c>
      <c r="AK5390">
        <v>36.867930212968297</v>
      </c>
      <c r="AL5390">
        <v>79.4211674578642</v>
      </c>
      <c r="AM5390">
        <v>100.380622320763</v>
      </c>
      <c r="AN5390">
        <v>0.99999999657182903</v>
      </c>
    </row>
    <row r="5391" spans="1:40" x14ac:dyDescent="0.25">
      <c r="A5391" t="str">
        <f>"20190304155523598"</f>
        <v>20190304155523598</v>
      </c>
      <c r="B5391" t="str">
        <f>"1551686123592865"</f>
        <v>1551686123592865</v>
      </c>
      <c r="C5391" t="s">
        <v>40</v>
      </c>
      <c r="D5391">
        <v>4.2522229999999999</v>
      </c>
      <c r="E5391">
        <v>0.4122981</v>
      </c>
      <c r="F5391" t="s">
        <v>74</v>
      </c>
      <c r="G5391">
        <v>-179.95779999999999</v>
      </c>
      <c r="H5391">
        <v>4.3026710000000003E-2</v>
      </c>
      <c r="I5391">
        <v>-48.240349999999999</v>
      </c>
      <c r="J5391">
        <v>-213.45920000000001</v>
      </c>
      <c r="K5391">
        <v>1.112582</v>
      </c>
      <c r="L5391">
        <v>-63.289700000000003</v>
      </c>
      <c r="M5391">
        <v>0.99957030000000002</v>
      </c>
      <c r="N5391">
        <v>-1.406541E-2</v>
      </c>
      <c r="O5391">
        <v>2.5719140000000001E-2</v>
      </c>
      <c r="P5391">
        <v>0.96406400000000003</v>
      </c>
      <c r="Q5391">
        <v>0.17060799999999901</v>
      </c>
      <c r="R5391">
        <v>0.20365079999999999</v>
      </c>
      <c r="S5391">
        <v>2.861008</v>
      </c>
      <c r="T5391">
        <v>-9.0830560000000005E-2</v>
      </c>
      <c r="U5391">
        <v>1.278656</v>
      </c>
      <c r="V5391">
        <v>-0.17972929999999901</v>
      </c>
      <c r="W5391">
        <v>0.1833004</v>
      </c>
      <c r="X5391">
        <v>0.9664876</v>
      </c>
      <c r="Y5391">
        <v>-0.3841695</v>
      </c>
      <c r="Z5391">
        <v>8.2129630000000002E-3</v>
      </c>
      <c r="AA5391">
        <v>0.92322610000000005</v>
      </c>
      <c r="AB5391">
        <v>29</v>
      </c>
      <c r="AC5391">
        <v>33.501399999999997</v>
      </c>
      <c r="AD5391">
        <v>-1.06955529</v>
      </c>
      <c r="AE5391">
        <v>15.04935</v>
      </c>
      <c r="AF5391">
        <v>-14.1706402048386</v>
      </c>
      <c r="AG5391">
        <v>-1.06955529</v>
      </c>
      <c r="AH5391">
        <v>33.8487031333988</v>
      </c>
      <c r="AI5391">
        <v>91.669525366725907</v>
      </c>
      <c r="AJ5391">
        <v>112.71645128793701</v>
      </c>
      <c r="AK5391">
        <v>36.710838946369996</v>
      </c>
      <c r="AL5391">
        <v>79.437941552972006</v>
      </c>
      <c r="AM5391">
        <v>100.53446527005499</v>
      </c>
      <c r="AN5391">
        <v>0.99999996943620395</v>
      </c>
    </row>
    <row r="5392" spans="1:40" x14ac:dyDescent="0.25">
      <c r="A5392" t="str">
        <f>"20190304155523613"</f>
        <v>20190304155523613</v>
      </c>
      <c r="B5392" t="str">
        <f>"1551686123602626"</f>
        <v>1551686123602626</v>
      </c>
      <c r="C5392" t="s">
        <v>40</v>
      </c>
      <c r="D5392">
        <v>4.2123059999999999</v>
      </c>
      <c r="E5392">
        <v>0.41229159999999998</v>
      </c>
      <c r="F5392" t="s">
        <v>74</v>
      </c>
      <c r="G5392">
        <v>-179.95779999999999</v>
      </c>
      <c r="H5392">
        <v>1.95116E-2</v>
      </c>
      <c r="I5392">
        <v>-48.144120000000001</v>
      </c>
      <c r="J5392">
        <v>-213.28319999999999</v>
      </c>
      <c r="K5392">
        <v>1.1126389999999999</v>
      </c>
      <c r="L5392">
        <v>-63.283290000000001</v>
      </c>
      <c r="M5392">
        <v>0.99952289999999999</v>
      </c>
      <c r="N5392">
        <v>-1.4065970000000001E-2</v>
      </c>
      <c r="O5392">
        <v>2.7504069999999999E-2</v>
      </c>
      <c r="P5392">
        <v>0.96348789999999995</v>
      </c>
      <c r="Q5392">
        <v>0.17031079999999901</v>
      </c>
      <c r="R5392">
        <v>0.2066045</v>
      </c>
      <c r="S5392">
        <v>2.8556059999999999</v>
      </c>
      <c r="T5392">
        <v>-9.3171599999999993E-2</v>
      </c>
      <c r="U5392">
        <v>1.290985</v>
      </c>
      <c r="V5392">
        <v>-0.18099080000000001</v>
      </c>
      <c r="W5392">
        <v>0.18296989999999999</v>
      </c>
      <c r="X5392">
        <v>0.96631489999999998</v>
      </c>
      <c r="Y5392">
        <v>-0.38647320000000002</v>
      </c>
      <c r="Z5392">
        <v>8.37129E-3</v>
      </c>
      <c r="AA5392">
        <v>0.92226269999999999</v>
      </c>
      <c r="AB5392">
        <v>29</v>
      </c>
      <c r="AC5392">
        <v>33.325400000000002</v>
      </c>
      <c r="AD5392">
        <v>-1.0931274</v>
      </c>
      <c r="AE5392">
        <v>15.13917</v>
      </c>
      <c r="AF5392">
        <v>-14.2040985020184</v>
      </c>
      <c r="AG5392">
        <v>-1.0931274</v>
      </c>
      <c r="AH5392">
        <v>33.699164345521503</v>
      </c>
      <c r="AI5392">
        <v>91.712123420199006</v>
      </c>
      <c r="AJ5392">
        <v>112.855279772448</v>
      </c>
      <c r="AK5392">
        <v>36.586678167799597</v>
      </c>
      <c r="AL5392">
        <v>79.457204645069496</v>
      </c>
      <c r="AM5392">
        <v>100.608585999791</v>
      </c>
      <c r="AN5392">
        <v>1.0000000699763201</v>
      </c>
    </row>
    <row r="5393" spans="1:40" x14ac:dyDescent="0.25">
      <c r="A5393" t="str">
        <f>"20190304155523626"</f>
        <v>20190304155523626</v>
      </c>
      <c r="B5393" t="str">
        <f>"1551686123623122"</f>
        <v>1551686123623122</v>
      </c>
      <c r="C5393" t="s">
        <v>40</v>
      </c>
      <c r="D5393">
        <v>4.2267809999999999</v>
      </c>
      <c r="E5393">
        <v>0.41230430000000001</v>
      </c>
      <c r="F5393" t="s">
        <v>74</v>
      </c>
      <c r="G5393">
        <v>-179.95779999999999</v>
      </c>
      <c r="H5393">
        <v>2.6888400000000001E-3</v>
      </c>
      <c r="I5393">
        <v>-48.101399999999998</v>
      </c>
      <c r="J5393">
        <v>-213.10499999999999</v>
      </c>
      <c r="K5393">
        <v>1.1127009999999999</v>
      </c>
      <c r="L5393">
        <v>-63.276519999999998</v>
      </c>
      <c r="M5393">
        <v>0.99946990000000002</v>
      </c>
      <c r="N5393">
        <v>-1.4066820000000001E-2</v>
      </c>
      <c r="O5393">
        <v>2.9361479999999999E-2</v>
      </c>
      <c r="P5393">
        <v>0.96287679999999998</v>
      </c>
      <c r="Q5393">
        <v>0.1700555</v>
      </c>
      <c r="R5393">
        <v>0.2096422</v>
      </c>
      <c r="S5393">
        <v>2.8518979999999998</v>
      </c>
      <c r="T5393">
        <v>-9.4986559999999998E-2</v>
      </c>
      <c r="U5393">
        <v>1.2992250000000001</v>
      </c>
      <c r="V5393">
        <v>-0.1822715</v>
      </c>
      <c r="W5393">
        <v>0.18267739999999999</v>
      </c>
      <c r="X5393">
        <v>0.96612940000000003</v>
      </c>
      <c r="Y5393">
        <v>-0.38740970000000002</v>
      </c>
      <c r="Z5393">
        <v>8.4646809999999999E-3</v>
      </c>
      <c r="AA5393">
        <v>0.92186880000000004</v>
      </c>
      <c r="AB5393">
        <v>29</v>
      </c>
      <c r="AC5393">
        <v>33.147199999999998</v>
      </c>
      <c r="AD5393">
        <v>-1.1100121599999999</v>
      </c>
      <c r="AE5393">
        <v>15.17512</v>
      </c>
      <c r="AF5393">
        <v>-14.182080839764501</v>
      </c>
      <c r="AG5393">
        <v>-1.1100121599999999</v>
      </c>
      <c r="AH5393">
        <v>33.5474125168857</v>
      </c>
      <c r="AI5393">
        <v>91.7456310765794</v>
      </c>
      <c r="AJ5393">
        <v>112.91608381598201</v>
      </c>
      <c r="AK5393">
        <v>36.438886241473703</v>
      </c>
      <c r="AL5393">
        <v>79.474249950241301</v>
      </c>
      <c r="AM5393">
        <v>100.68393509650799</v>
      </c>
      <c r="AN5393">
        <v>0.99999997486368397</v>
      </c>
    </row>
    <row r="5394" spans="1:40" x14ac:dyDescent="0.25">
      <c r="A5394" t="str">
        <f>"20190304155523638"</f>
        <v>20190304155523638</v>
      </c>
      <c r="B5394" t="str">
        <f>"1551686123632882"</f>
        <v>1551686123632882</v>
      </c>
      <c r="C5394" t="s">
        <v>40</v>
      </c>
      <c r="D5394">
        <v>4.2167830000000004</v>
      </c>
      <c r="E5394">
        <v>0.41224169999999999</v>
      </c>
      <c r="F5394" t="s">
        <v>74</v>
      </c>
      <c r="G5394">
        <v>-180.29300000000001</v>
      </c>
      <c r="H5394" s="1">
        <v>-2.6711550000000002E-6</v>
      </c>
      <c r="I5394">
        <v>-48.210369999999998</v>
      </c>
      <c r="J5394">
        <v>-212.94800000000001</v>
      </c>
      <c r="K5394">
        <v>1.1127629999999999</v>
      </c>
      <c r="L5394">
        <v>-63.270229999999998</v>
      </c>
      <c r="M5394">
        <v>0.99941860000000005</v>
      </c>
      <c r="N5394">
        <v>-1.4067949999999999E-2</v>
      </c>
      <c r="O5394">
        <v>3.1058309999999999E-2</v>
      </c>
      <c r="P5394">
        <v>0.96224860000000001</v>
      </c>
      <c r="Q5394">
        <v>0.17005909999999999</v>
      </c>
      <c r="R5394">
        <v>0.21250330000000001</v>
      </c>
      <c r="S5394">
        <v>2.848007</v>
      </c>
      <c r="T5394">
        <v>-9.6580269999999996E-2</v>
      </c>
      <c r="U5394">
        <v>1.307709</v>
      </c>
      <c r="V5394">
        <v>-0.1835348</v>
      </c>
      <c r="W5394">
        <v>0.18264369999999999</v>
      </c>
      <c r="X5394">
        <v>0.96589659999999999</v>
      </c>
      <c r="Y5394">
        <v>-0.38858189999999998</v>
      </c>
      <c r="Z5394">
        <v>8.5532909999999993E-3</v>
      </c>
      <c r="AA5394">
        <v>0.92137449999999999</v>
      </c>
      <c r="AB5394">
        <v>29</v>
      </c>
      <c r="AC5394">
        <v>32.654999999999902</v>
      </c>
      <c r="AD5394">
        <v>-1.112765671155</v>
      </c>
      <c r="AE5394">
        <v>15.05986</v>
      </c>
      <c r="AF5394">
        <v>-14.024854418229999</v>
      </c>
      <c r="AG5394">
        <v>-1.112765671155</v>
      </c>
      <c r="AH5394">
        <v>33.075352218611897</v>
      </c>
      <c r="AI5394">
        <v>91.774103683311594</v>
      </c>
      <c r="AJ5394">
        <v>112.978273427093</v>
      </c>
      <c r="AK5394">
        <v>35.943201210753102</v>
      </c>
      <c r="AL5394">
        <v>79.476214051034404</v>
      </c>
      <c r="AM5394">
        <v>100.758794147863</v>
      </c>
      <c r="AN5394">
        <v>0.99999999292614405</v>
      </c>
    </row>
    <row r="5395" spans="1:40" x14ac:dyDescent="0.25">
      <c r="A5395" t="str">
        <f>"20190304155523651"</f>
        <v>20190304155523651</v>
      </c>
      <c r="B5395" t="str">
        <f>"1551686123642641"</f>
        <v>1551686123642641</v>
      </c>
      <c r="C5395" t="s">
        <v>40</v>
      </c>
      <c r="D5395">
        <v>4.1712999999999996</v>
      </c>
      <c r="E5395">
        <v>0.41215839999999998</v>
      </c>
      <c r="F5395" t="s">
        <v>74</v>
      </c>
      <c r="G5395">
        <v>-180.30860000000001</v>
      </c>
      <c r="H5395" s="1">
        <v>-2.701557E-6</v>
      </c>
      <c r="I5395">
        <v>-48.164839999999998</v>
      </c>
      <c r="J5395">
        <v>-212.7859</v>
      </c>
      <c r="K5395">
        <v>1.1128439999999999</v>
      </c>
      <c r="L5395">
        <v>-63.263339999999999</v>
      </c>
      <c r="M5395">
        <v>0.99936029999999998</v>
      </c>
      <c r="N5395">
        <v>-1.406981E-2</v>
      </c>
      <c r="O5395">
        <v>3.2879720000000001E-2</v>
      </c>
      <c r="P5395">
        <v>0.9617232</v>
      </c>
      <c r="Q5395">
        <v>0.16986689999999999</v>
      </c>
      <c r="R5395">
        <v>0.2150204</v>
      </c>
      <c r="S5395">
        <v>2.844131</v>
      </c>
      <c r="T5395">
        <v>-9.6964239999999993E-2</v>
      </c>
      <c r="U5395">
        <v>1.316254</v>
      </c>
      <c r="V5395">
        <v>-0.18433350000000001</v>
      </c>
      <c r="W5395">
        <v>0.1824153</v>
      </c>
      <c r="X5395">
        <v>0.96578759999999997</v>
      </c>
      <c r="Y5395">
        <v>-0.38965850000000002</v>
      </c>
      <c r="Z5395">
        <v>8.5707059999999904E-3</v>
      </c>
      <c r="AA5395">
        <v>0.9209195</v>
      </c>
      <c r="AB5395">
        <v>29</v>
      </c>
      <c r="AC5395">
        <v>32.4772999999999</v>
      </c>
      <c r="AD5395">
        <v>-1.1128467015570001</v>
      </c>
      <c r="AE5395">
        <v>15.0984999999999</v>
      </c>
      <c r="AF5395">
        <v>-14.008859719546001</v>
      </c>
      <c r="AG5395">
        <v>-1.1128467015570001</v>
      </c>
      <c r="AH5395">
        <v>32.924433080369198</v>
      </c>
      <c r="AI5395">
        <v>91.781426131391001</v>
      </c>
      <c r="AJ5395">
        <v>113.049035739975</v>
      </c>
      <c r="AK5395">
        <v>35.798112688894498</v>
      </c>
      <c r="AL5395">
        <v>79.489523389533304</v>
      </c>
      <c r="AM5395">
        <v>100.805704793248</v>
      </c>
      <c r="AN5395">
        <v>0.99999993460504699</v>
      </c>
    </row>
    <row r="5396" spans="1:40" x14ac:dyDescent="0.25">
      <c r="A5396" t="str">
        <f>"20190304155523665"</f>
        <v>20190304155523665</v>
      </c>
      <c r="B5396" t="str">
        <f>"1551686123652890"</f>
        <v>1551686123652890</v>
      </c>
      <c r="C5396" t="s">
        <v>40</v>
      </c>
      <c r="D5396">
        <v>4.1916859999999998</v>
      </c>
      <c r="E5396">
        <v>0.41215580000000002</v>
      </c>
      <c r="F5396" t="s">
        <v>74</v>
      </c>
      <c r="G5396">
        <v>-180.22730000000001</v>
      </c>
      <c r="H5396" s="1">
        <v>-2.7332369999999999E-6</v>
      </c>
      <c r="I5396">
        <v>-48.080779999999997</v>
      </c>
      <c r="J5396">
        <v>-212.60919999999999</v>
      </c>
      <c r="K5396">
        <v>1.112932</v>
      </c>
      <c r="L5396">
        <v>-63.255490000000002</v>
      </c>
      <c r="M5396">
        <v>0.99929109999999999</v>
      </c>
      <c r="N5396">
        <v>-1.407215E-2</v>
      </c>
      <c r="O5396">
        <v>3.4919980000000003E-2</v>
      </c>
      <c r="P5396">
        <v>0.96093019999999996</v>
      </c>
      <c r="Q5396">
        <v>0.16951440000000001</v>
      </c>
      <c r="R5396">
        <v>0.2188108</v>
      </c>
      <c r="S5396">
        <v>2.840408</v>
      </c>
      <c r="T5396">
        <v>-9.7084519999999994E-2</v>
      </c>
      <c r="U5396">
        <v>1.324524</v>
      </c>
      <c r="V5396">
        <v>-0.1862074</v>
      </c>
      <c r="W5396">
        <v>0.18201210000000001</v>
      </c>
      <c r="X5396">
        <v>0.96550420000000003</v>
      </c>
      <c r="Y5396">
        <v>-0.39044230000000002</v>
      </c>
      <c r="Z5396">
        <v>8.5624340000000007E-3</v>
      </c>
      <c r="AA5396">
        <v>0.92058759999999995</v>
      </c>
      <c r="AB5396">
        <v>29</v>
      </c>
      <c r="AC5396">
        <v>32.381899999999902</v>
      </c>
      <c r="AD5396">
        <v>-1.1129347332369901</v>
      </c>
      <c r="AE5396">
        <v>15.174709999999999</v>
      </c>
      <c r="AF5396">
        <v>-14.0209862267372</v>
      </c>
      <c r="AG5396">
        <v>-1.1129347332369901</v>
      </c>
      <c r="AH5396">
        <v>32.860273329706501</v>
      </c>
      <c r="AI5396">
        <v>91.7842715668002</v>
      </c>
      <c r="AJ5396">
        <v>113.10721624048399</v>
      </c>
      <c r="AK5396">
        <v>35.743869989045898</v>
      </c>
      <c r="AL5396">
        <v>79.513018864846501</v>
      </c>
      <c r="AM5396">
        <v>100.91605513860701</v>
      </c>
      <c r="AN5396">
        <v>0.99999998028940396</v>
      </c>
    </row>
    <row r="5397" spans="1:40" x14ac:dyDescent="0.25">
      <c r="A5397" t="str">
        <f>"20190304155523677"</f>
        <v>20190304155523677</v>
      </c>
      <c r="B5397" t="str">
        <f>"1551686123673361"</f>
        <v>1551686123673361</v>
      </c>
      <c r="C5397" t="s">
        <v>40</v>
      </c>
      <c r="D5397">
        <v>4.1821149999999996</v>
      </c>
      <c r="E5397">
        <v>0.41207300000000002</v>
      </c>
      <c r="F5397" t="s">
        <v>74</v>
      </c>
      <c r="G5397">
        <v>-180.4402</v>
      </c>
      <c r="H5397" s="1">
        <v>-2.7712269999999999E-6</v>
      </c>
      <c r="I5397">
        <v>-48.096589999999999</v>
      </c>
      <c r="J5397">
        <v>-212.45330000000001</v>
      </c>
      <c r="K5397">
        <v>1.113016</v>
      </c>
      <c r="L5397">
        <v>-63.248170000000002</v>
      </c>
      <c r="M5397">
        <v>0.99922359999999999</v>
      </c>
      <c r="N5397">
        <v>-1.407475E-2</v>
      </c>
      <c r="O5397">
        <v>3.6800529999999998E-2</v>
      </c>
      <c r="P5397">
        <v>0.96042729999999998</v>
      </c>
      <c r="Q5397">
        <v>0.16887339999999901</v>
      </c>
      <c r="R5397">
        <v>0.221498</v>
      </c>
      <c r="S5397">
        <v>2.835083</v>
      </c>
      <c r="T5397">
        <v>-9.8083970000000006E-2</v>
      </c>
      <c r="U5397">
        <v>1.335968</v>
      </c>
      <c r="V5397">
        <v>-0.18712210000000001</v>
      </c>
      <c r="W5397">
        <v>0.18132980000000001</v>
      </c>
      <c r="X5397">
        <v>0.96545579999999998</v>
      </c>
      <c r="Y5397">
        <v>-0.3924107</v>
      </c>
      <c r="Z5397">
        <v>8.6341479999999995E-3</v>
      </c>
      <c r="AA5397">
        <v>0.91974959999999994</v>
      </c>
      <c r="AB5397">
        <v>29</v>
      </c>
      <c r="AC5397">
        <v>32.013100000000001</v>
      </c>
      <c r="AD5397">
        <v>-1.1130187712270001</v>
      </c>
      <c r="AE5397">
        <v>15.1515799999999</v>
      </c>
      <c r="AF5397">
        <v>-13.949323242413501</v>
      </c>
      <c r="AG5397">
        <v>-1.1130187712270001</v>
      </c>
      <c r="AH5397">
        <v>32.516939785406798</v>
      </c>
      <c r="AI5397">
        <v>91.801735544128206</v>
      </c>
      <c r="AJ5397">
        <v>113.21867168750001</v>
      </c>
      <c r="AK5397">
        <v>35.400194953053798</v>
      </c>
      <c r="AL5397">
        <v>79.552773938190001</v>
      </c>
      <c r="AM5397">
        <v>100.968916767042</v>
      </c>
      <c r="AN5397">
        <v>1.0000000392150401</v>
      </c>
    </row>
    <row r="5398" spans="1:40" x14ac:dyDescent="0.25">
      <c r="A5398" t="str">
        <f>"20190304155523688"</f>
        <v>20190304155523688</v>
      </c>
      <c r="B5398" t="str">
        <f>"1551686123683120"</f>
        <v>1551686123683120</v>
      </c>
      <c r="C5398" t="s">
        <v>40</v>
      </c>
      <c r="D5398">
        <v>4.1640370000000004</v>
      </c>
      <c r="E5398">
        <v>0.41198849999999998</v>
      </c>
      <c r="F5398" t="s">
        <v>74</v>
      </c>
      <c r="G5398">
        <v>-180.90539999999999</v>
      </c>
      <c r="H5398" s="1">
        <v>-2.7748129999999998E-6</v>
      </c>
      <c r="I5398">
        <v>-48.265309999999999</v>
      </c>
      <c r="J5398">
        <v>-212.3228</v>
      </c>
      <c r="K5398">
        <v>1.113086</v>
      </c>
      <c r="L5398">
        <v>-63.241700000000002</v>
      </c>
      <c r="M5398">
        <v>0.9991622</v>
      </c>
      <c r="N5398">
        <v>-1.4077360000000001E-2</v>
      </c>
      <c r="O5398">
        <v>3.8428179999999999E-2</v>
      </c>
      <c r="P5398">
        <v>0.95991300000000002</v>
      </c>
      <c r="Q5398">
        <v>0.16819999999999999</v>
      </c>
      <c r="R5398">
        <v>0.2242229</v>
      </c>
      <c r="S5398">
        <v>2.83107</v>
      </c>
      <c r="T5398">
        <v>-9.9880930000000007E-2</v>
      </c>
      <c r="U5398">
        <v>1.344543</v>
      </c>
      <c r="V5398">
        <v>-0.18831500000000001</v>
      </c>
      <c r="W5398">
        <v>0.180617</v>
      </c>
      <c r="X5398">
        <v>0.96535740000000003</v>
      </c>
      <c r="Y5398">
        <v>-0.39368140000000001</v>
      </c>
      <c r="Z5398">
        <v>8.7342340000000004E-3</v>
      </c>
      <c r="AA5398">
        <v>0.91920550000000001</v>
      </c>
      <c r="AB5398">
        <v>29</v>
      </c>
      <c r="AC5398">
        <v>31.417400000000001</v>
      </c>
      <c r="AD5398">
        <v>-1.1130887748130001</v>
      </c>
      <c r="AE5398">
        <v>14.97639</v>
      </c>
      <c r="AF5398">
        <v>-13.7438353425358</v>
      </c>
      <c r="AG5398">
        <v>-1.1130887748130001</v>
      </c>
      <c r="AH5398">
        <v>31.937096510228699</v>
      </c>
      <c r="AI5398">
        <v>91.833640222721201</v>
      </c>
      <c r="AJ5398">
        <v>113.284181655091</v>
      </c>
      <c r="AK5398">
        <v>34.786636946491598</v>
      </c>
      <c r="AL5398">
        <v>79.594299371169498</v>
      </c>
      <c r="AM5398">
        <v>101.038228940867</v>
      </c>
      <c r="AN5398">
        <v>0.99999997482437897</v>
      </c>
    </row>
    <row r="5399" spans="1:40" x14ac:dyDescent="0.25">
      <c r="A5399" t="str">
        <f>"20190304155523699"</f>
        <v>20190304155523699</v>
      </c>
      <c r="B5399" t="str">
        <f>"1551686123692881"</f>
        <v>1551686123692881</v>
      </c>
      <c r="C5399" t="s">
        <v>40</v>
      </c>
      <c r="D5399">
        <v>4.2955670000000001</v>
      </c>
      <c r="E5399">
        <v>0.41197630000000002</v>
      </c>
      <c r="F5399" t="s">
        <v>74</v>
      </c>
      <c r="G5399">
        <v>-181.387</v>
      </c>
      <c r="H5399" s="1">
        <v>-2.7816030000000001E-6</v>
      </c>
      <c r="I5399">
        <v>-48.434759999999997</v>
      </c>
      <c r="J5399">
        <v>-212.16399999999999</v>
      </c>
      <c r="K5399">
        <v>1.113173</v>
      </c>
      <c r="L5399">
        <v>-63.233640000000001</v>
      </c>
      <c r="M5399">
        <v>0.99908220000000003</v>
      </c>
      <c r="N5399">
        <v>-1.4080799999999999E-2</v>
      </c>
      <c r="O5399">
        <v>4.0455989999999997E-2</v>
      </c>
      <c r="P5399">
        <v>0.95935859999999995</v>
      </c>
      <c r="Q5399">
        <v>0.16724129999999901</v>
      </c>
      <c r="R5399">
        <v>0.2272923</v>
      </c>
      <c r="S5399">
        <v>2.8270420000000001</v>
      </c>
      <c r="T5399">
        <v>-0.1017187</v>
      </c>
      <c r="U5399">
        <v>1.353119</v>
      </c>
      <c r="V5399">
        <v>-0.18947349999999999</v>
      </c>
      <c r="W5399">
        <v>0.17961240000000001</v>
      </c>
      <c r="X5399">
        <v>0.96531820000000002</v>
      </c>
      <c r="Y5399">
        <v>-0.39458520000000002</v>
      </c>
      <c r="Z5399">
        <v>8.8184209999999999E-3</v>
      </c>
      <c r="AA5399">
        <v>0.91881699999999999</v>
      </c>
      <c r="AB5399">
        <v>29</v>
      </c>
      <c r="AC5399">
        <v>30.777000000000001</v>
      </c>
      <c r="AD5399">
        <v>-1.1131757816029999</v>
      </c>
      <c r="AE5399">
        <v>14.79888</v>
      </c>
      <c r="AF5399">
        <v>-13.5271516720617</v>
      </c>
      <c r="AG5399">
        <v>-1.1131757816029999</v>
      </c>
      <c r="AH5399">
        <v>31.3172854765143</v>
      </c>
      <c r="AI5399">
        <v>91.868965582342796</v>
      </c>
      <c r="AJ5399">
        <v>113.36139087327901</v>
      </c>
      <c r="AK5399">
        <v>34.132028394122798</v>
      </c>
      <c r="AL5399">
        <v>79.652816232384794</v>
      </c>
      <c r="AM5399">
        <v>101.104892255979</v>
      </c>
      <c r="AN5399">
        <v>1.00000002434362</v>
      </c>
    </row>
    <row r="5400" spans="1:40" x14ac:dyDescent="0.25">
      <c r="A5400" t="str">
        <f>"20190304155523710"</f>
        <v>20190304155523710</v>
      </c>
      <c r="B5400" t="str">
        <f>"1551686123702641"</f>
        <v>1551686123702641</v>
      </c>
      <c r="C5400" t="s">
        <v>40</v>
      </c>
      <c r="D5400">
        <v>4.1584130000000004</v>
      </c>
      <c r="E5400">
        <v>0.41191939999999999</v>
      </c>
      <c r="F5400" t="s">
        <v>74</v>
      </c>
      <c r="G5400">
        <v>-182.20849999999999</v>
      </c>
      <c r="H5400" s="1">
        <v>-2.7605979999999998E-6</v>
      </c>
      <c r="I5400">
        <v>-48.778840000000002</v>
      </c>
      <c r="J5400">
        <v>-212.029</v>
      </c>
      <c r="K5400">
        <v>1.1132550000000001</v>
      </c>
      <c r="L5400">
        <v>-63.226289999999999</v>
      </c>
      <c r="M5400">
        <v>0.99900690000000003</v>
      </c>
      <c r="N5400">
        <v>-1.4084370000000001E-2</v>
      </c>
      <c r="O5400">
        <v>4.2272709999999998E-2</v>
      </c>
      <c r="P5400">
        <v>0.95881839999999996</v>
      </c>
      <c r="Q5400">
        <v>0.16645309999999999</v>
      </c>
      <c r="R5400">
        <v>0.2301319</v>
      </c>
      <c r="S5400">
        <v>2.8226779999999998</v>
      </c>
      <c r="T5400">
        <v>-0.10489329999999999</v>
      </c>
      <c r="U5400">
        <v>1.362061</v>
      </c>
      <c r="V5400">
        <v>-0.1906043</v>
      </c>
      <c r="W5400">
        <v>0.1787811</v>
      </c>
      <c r="X5400">
        <v>0.96524989999999999</v>
      </c>
      <c r="Y5400">
        <v>-0.39581480000000002</v>
      </c>
      <c r="Z5400">
        <v>8.9837100000000007E-3</v>
      </c>
      <c r="AA5400">
        <v>0.91828639999999995</v>
      </c>
      <c r="AB5400">
        <v>29</v>
      </c>
      <c r="AC5400">
        <v>29.820499999999999</v>
      </c>
      <c r="AD5400">
        <v>-1.1132577605980001</v>
      </c>
      <c r="AE5400">
        <v>14.44745</v>
      </c>
      <c r="AF5400">
        <v>-13.1589616838826</v>
      </c>
      <c r="AG5400">
        <v>-1.1132577605980001</v>
      </c>
      <c r="AH5400">
        <v>30.3703517240087</v>
      </c>
      <c r="AI5400">
        <v>91.926394389609698</v>
      </c>
      <c r="AJ5400">
        <v>113.426272066556</v>
      </c>
      <c r="AK5400">
        <v>33.117304831151699</v>
      </c>
      <c r="AL5400">
        <v>79.701229882048807</v>
      </c>
      <c r="AM5400">
        <v>101.17027635674199</v>
      </c>
      <c r="AN5400">
        <v>1.00000002517285</v>
      </c>
    </row>
    <row r="5401" spans="1:40" x14ac:dyDescent="0.25">
      <c r="A5401" t="str">
        <f>"20190304155523721"</f>
        <v>20190304155523721</v>
      </c>
      <c r="B5401" t="str">
        <f>"1551686123713377"</f>
        <v>1551686123713377</v>
      </c>
      <c r="C5401" t="s">
        <v>40</v>
      </c>
      <c r="D5401">
        <v>4.16289</v>
      </c>
      <c r="E5401">
        <v>0.41188359999999902</v>
      </c>
      <c r="F5401" t="s">
        <v>74</v>
      </c>
      <c r="G5401">
        <v>-182.8355</v>
      </c>
      <c r="H5401" s="1">
        <v>-2.7504610000000002E-6</v>
      </c>
      <c r="I5401">
        <v>-49.03152</v>
      </c>
      <c r="J5401">
        <v>-211.8946</v>
      </c>
      <c r="K5401">
        <v>1.113343</v>
      </c>
      <c r="L5401">
        <v>-63.218899999999998</v>
      </c>
      <c r="M5401">
        <v>0.99892789999999998</v>
      </c>
      <c r="N5401">
        <v>-1.408774E-2</v>
      </c>
      <c r="O5401">
        <v>4.4097049999999999E-2</v>
      </c>
      <c r="P5401">
        <v>0.9582003</v>
      </c>
      <c r="Q5401">
        <v>0.165813299999999</v>
      </c>
      <c r="R5401">
        <v>0.23314850000000001</v>
      </c>
      <c r="S5401">
        <v>2.8185880000000001</v>
      </c>
      <c r="T5401">
        <v>-0.10748339999999899</v>
      </c>
      <c r="U5401">
        <v>1.3704829999999999</v>
      </c>
      <c r="V5401">
        <v>-0.1919093</v>
      </c>
      <c r="W5401">
        <v>0.17809469999999999</v>
      </c>
      <c r="X5401">
        <v>0.96511820000000004</v>
      </c>
      <c r="Y5401">
        <v>-0.39686749999999998</v>
      </c>
      <c r="Z5401">
        <v>9.1112009999999993E-3</v>
      </c>
      <c r="AA5401">
        <v>0.9178307</v>
      </c>
      <c r="AB5401">
        <v>29</v>
      </c>
      <c r="AC5401">
        <v>29.059100000000001</v>
      </c>
      <c r="AD5401">
        <v>-1.113345750461</v>
      </c>
      <c r="AE5401">
        <v>14.1873799999999</v>
      </c>
      <c r="AF5401">
        <v>-12.8767652184774</v>
      </c>
      <c r="AG5401">
        <v>-1.113345750461</v>
      </c>
      <c r="AH5401">
        <v>29.621399105681</v>
      </c>
      <c r="AI5401">
        <v>91.974190223366804</v>
      </c>
      <c r="AJ5401">
        <v>113.495142963482</v>
      </c>
      <c r="AK5401">
        <v>32.318383409909302</v>
      </c>
      <c r="AL5401">
        <v>79.741199119442498</v>
      </c>
      <c r="AM5401">
        <v>101.246308210062</v>
      </c>
      <c r="AN5401">
        <v>1.0000000207829001</v>
      </c>
    </row>
    <row r="5402" spans="1:40" x14ac:dyDescent="0.25">
      <c r="A5402" t="str">
        <f>"20190304155523731"</f>
        <v>20190304155523731</v>
      </c>
      <c r="B5402" t="str">
        <f>"1551686123723137"</f>
        <v>1551686123723137</v>
      </c>
      <c r="C5402" t="s">
        <v>40</v>
      </c>
      <c r="D5402">
        <v>4.1552160000000002</v>
      </c>
      <c r="E5402">
        <v>0.41188750000000002</v>
      </c>
      <c r="F5402" t="s">
        <v>74</v>
      </c>
      <c r="G5402">
        <v>-183.22730000000001</v>
      </c>
      <c r="H5402" s="1">
        <v>-2.7589209999999999E-6</v>
      </c>
      <c r="I5402">
        <v>-49.164430000000003</v>
      </c>
      <c r="J5402">
        <v>-211.7645</v>
      </c>
      <c r="K5402">
        <v>1.1134329999999999</v>
      </c>
      <c r="L5402">
        <v>-63.211179999999999</v>
      </c>
      <c r="M5402">
        <v>0.99884309999999998</v>
      </c>
      <c r="N5402">
        <v>-1.4092149999999999E-2</v>
      </c>
      <c r="O5402">
        <v>4.5977030000000002E-2</v>
      </c>
      <c r="P5402">
        <v>0.95750769999999996</v>
      </c>
      <c r="Q5402">
        <v>0.16582720000000001</v>
      </c>
      <c r="R5402">
        <v>0.2359665</v>
      </c>
      <c r="S5402">
        <v>2.8140869999999998</v>
      </c>
      <c r="T5402">
        <v>-0.1092901</v>
      </c>
      <c r="U5402">
        <v>1.3796389999999901</v>
      </c>
      <c r="V5402">
        <v>-0.19297339999999999</v>
      </c>
      <c r="W5402">
        <v>0.17806089999999999</v>
      </c>
      <c r="X5402">
        <v>0.9649122</v>
      </c>
      <c r="Y5402">
        <v>-0.39811750000000001</v>
      </c>
      <c r="Z5402">
        <v>9.2009180000000006E-3</v>
      </c>
      <c r="AA5402">
        <v>0.9172882</v>
      </c>
      <c r="AB5402">
        <v>29</v>
      </c>
      <c r="AC5402">
        <v>28.537199999999899</v>
      </c>
      <c r="AD5402">
        <v>-1.113435758921</v>
      </c>
      <c r="AE5402">
        <v>14.046749999999999</v>
      </c>
      <c r="AF5402">
        <v>-12.704138641705001</v>
      </c>
      <c r="AG5402">
        <v>-1.113435758921</v>
      </c>
      <c r="AH5402">
        <v>29.117226903920301</v>
      </c>
      <c r="AI5402">
        <v>92.007334309570595</v>
      </c>
      <c r="AJ5402">
        <v>113.572126846093</v>
      </c>
      <c r="AK5402">
        <v>31.787541276281299</v>
      </c>
      <c r="AL5402">
        <v>79.743166807118101</v>
      </c>
      <c r="AM5402">
        <v>101.30941633022699</v>
      </c>
      <c r="AN5402">
        <v>0.99999998546260405</v>
      </c>
    </row>
    <row r="5403" spans="1:40" x14ac:dyDescent="0.25">
      <c r="A5403" t="str">
        <f>"20190304155523742"</f>
        <v>20190304155523742</v>
      </c>
      <c r="B5403" t="str">
        <f>"1551686123732898"</f>
        <v>1551686123732898</v>
      </c>
      <c r="C5403" t="s">
        <v>40</v>
      </c>
      <c r="D5403">
        <v>4.1789759999999996</v>
      </c>
      <c r="E5403">
        <v>0.41184559999999998</v>
      </c>
      <c r="F5403" t="s">
        <v>74</v>
      </c>
      <c r="G5403">
        <v>-183.14500000000001</v>
      </c>
      <c r="H5403" s="1">
        <v>-2.7931590000000001E-6</v>
      </c>
      <c r="I5403">
        <v>-49.075650000000003</v>
      </c>
      <c r="J5403">
        <v>-211.62379999999999</v>
      </c>
      <c r="K5403">
        <v>1.113532</v>
      </c>
      <c r="L5403">
        <v>-63.20279</v>
      </c>
      <c r="M5403">
        <v>0.99874669999999999</v>
      </c>
      <c r="N5403">
        <v>-1.40967E-2</v>
      </c>
      <c r="O5403">
        <v>4.8025249999999998E-2</v>
      </c>
      <c r="P5403">
        <v>0.95673770000000002</v>
      </c>
      <c r="Q5403">
        <v>0.1661454</v>
      </c>
      <c r="R5403">
        <v>0.2388488</v>
      </c>
      <c r="S5403">
        <v>2.810028</v>
      </c>
      <c r="T5403">
        <v>-0.10932360000000001</v>
      </c>
      <c r="U5403">
        <v>1.3879090000000001</v>
      </c>
      <c r="V5403">
        <v>-0.19394980000000001</v>
      </c>
      <c r="W5403">
        <v>0.17832779999999901</v>
      </c>
      <c r="X5403">
        <v>0.9646671</v>
      </c>
      <c r="Y5403">
        <v>-0.39893210000000001</v>
      </c>
      <c r="Z5403">
        <v>9.182908E-3</v>
      </c>
      <c r="AA5403">
        <v>0.91693449999999999</v>
      </c>
      <c r="AB5403">
        <v>29</v>
      </c>
      <c r="AC5403">
        <v>28.4787999999999</v>
      </c>
      <c r="AD5403">
        <v>-1.1135347931590001</v>
      </c>
      <c r="AE5403">
        <v>14.127139999999899</v>
      </c>
      <c r="AF5403">
        <v>-12.7273828043077</v>
      </c>
      <c r="AG5403">
        <v>-1.1135347931590001</v>
      </c>
      <c r="AH5403">
        <v>29.088769277592299</v>
      </c>
      <c r="AI5403">
        <v>92.008572192046003</v>
      </c>
      <c r="AJ5403">
        <v>113.63110740849299</v>
      </c>
      <c r="AK5403">
        <v>31.770784234386799</v>
      </c>
      <c r="AL5403">
        <v>79.727625689859394</v>
      </c>
      <c r="AM5403">
        <v>101.367966112716</v>
      </c>
      <c r="AN5403">
        <v>0.99999997149764397</v>
      </c>
    </row>
    <row r="5404" spans="1:40" x14ac:dyDescent="0.25">
      <c r="A5404" t="str">
        <f>"20190304155523754"</f>
        <v>20190304155523754</v>
      </c>
      <c r="B5404" t="str">
        <f>"1551686123742657"</f>
        <v>1551686123742657</v>
      </c>
      <c r="C5404" t="s">
        <v>40</v>
      </c>
      <c r="D5404">
        <v>4.1754009999999999</v>
      </c>
      <c r="E5404">
        <v>0.41182089999999999</v>
      </c>
      <c r="F5404" t="s">
        <v>74</v>
      </c>
      <c r="G5404">
        <v>-182.74350000000001</v>
      </c>
      <c r="H5404" s="1">
        <v>-2.8523549999999998E-6</v>
      </c>
      <c r="I5404">
        <v>-48.824829999999999</v>
      </c>
      <c r="J5404">
        <v>-211.47239999999999</v>
      </c>
      <c r="K5404">
        <v>1.11365</v>
      </c>
      <c r="L5404">
        <v>-63.193119999999901</v>
      </c>
      <c r="M5404">
        <v>0.99863139999999995</v>
      </c>
      <c r="N5404">
        <v>-1.4102979999999999E-2</v>
      </c>
      <c r="O5404">
        <v>5.0363539999999998E-2</v>
      </c>
      <c r="P5404">
        <v>0.95595839999999999</v>
      </c>
      <c r="Q5404">
        <v>0.16631299999999999</v>
      </c>
      <c r="R5404">
        <v>0.24183350000000001</v>
      </c>
      <c r="S5404">
        <v>2.8057249999999998</v>
      </c>
      <c r="T5404">
        <v>-0.10818</v>
      </c>
      <c r="U5404">
        <v>1.39682</v>
      </c>
      <c r="V5404">
        <v>-0.19475529999999999</v>
      </c>
      <c r="W5404">
        <v>0.17843999999999999</v>
      </c>
      <c r="X5404">
        <v>0.96448409999999996</v>
      </c>
      <c r="Y5404">
        <v>-0.39968559999999997</v>
      </c>
      <c r="Z5404">
        <v>9.0979689999999992E-3</v>
      </c>
      <c r="AA5404">
        <v>0.91660710000000001</v>
      </c>
      <c r="AB5404">
        <v>29</v>
      </c>
      <c r="AC5404">
        <v>28.7288999999999</v>
      </c>
      <c r="AD5404">
        <v>-1.113652852355</v>
      </c>
      <c r="AE5404">
        <v>14.368289999999901</v>
      </c>
      <c r="AF5404">
        <v>-12.8875285049841</v>
      </c>
      <c r="AG5404">
        <v>-1.113652852355</v>
      </c>
      <c r="AH5404">
        <v>29.380828468749598</v>
      </c>
      <c r="AI5404">
        <v>91.988028539356094</v>
      </c>
      <c r="AJ5404">
        <v>113.684050661524</v>
      </c>
      <c r="AK5404">
        <v>32.102362765884202</v>
      </c>
      <c r="AL5404">
        <v>79.721092816227497</v>
      </c>
      <c r="AM5404">
        <v>101.416050878872</v>
      </c>
      <c r="AN5404">
        <v>1.00000001981544</v>
      </c>
    </row>
    <row r="5405" spans="1:40" x14ac:dyDescent="0.25">
      <c r="A5405" t="str">
        <f>"20190304155523766"</f>
        <v>20190304155523766</v>
      </c>
      <c r="B5405" t="str">
        <f>"1551686123763153"</f>
        <v>1551686123763153</v>
      </c>
      <c r="C5405" t="s">
        <v>40</v>
      </c>
      <c r="D5405">
        <v>4.1689610000000004</v>
      </c>
      <c r="E5405">
        <v>0.41176299999999999</v>
      </c>
      <c r="F5405" t="s">
        <v>74</v>
      </c>
      <c r="G5405">
        <v>-182.43170000000001</v>
      </c>
      <c r="H5405" s="1">
        <v>-2.9065079999999998E-6</v>
      </c>
      <c r="I5405">
        <v>-48.61618</v>
      </c>
      <c r="J5405">
        <v>-211.33349999999999</v>
      </c>
      <c r="K5405">
        <v>1.113747</v>
      </c>
      <c r="L5405">
        <v>-63.183959999999999</v>
      </c>
      <c r="M5405">
        <v>0.99852759999999996</v>
      </c>
      <c r="N5405">
        <v>-1.404831E-2</v>
      </c>
      <c r="O5405">
        <v>5.2396959999999999E-2</v>
      </c>
      <c r="P5405">
        <v>0.95514770000000004</v>
      </c>
      <c r="Q5405">
        <v>0.166602799999999</v>
      </c>
      <c r="R5405">
        <v>0.24481929999999999</v>
      </c>
      <c r="S5405">
        <v>2.8012239999999999</v>
      </c>
      <c r="T5405">
        <v>-0.10742119999999999</v>
      </c>
      <c r="U5405">
        <v>1.406067</v>
      </c>
      <c r="V5405">
        <v>-0.19586010000000001</v>
      </c>
      <c r="W5405">
        <v>0.17861170000000001</v>
      </c>
      <c r="X5405">
        <v>0.96422859999999999</v>
      </c>
      <c r="Y5405">
        <v>-0.40082990000000002</v>
      </c>
      <c r="Z5405">
        <v>9.0346899999999997E-3</v>
      </c>
      <c r="AA5405">
        <v>0.91610800000000003</v>
      </c>
      <c r="AB5405">
        <v>29</v>
      </c>
      <c r="AC5405">
        <v>28.901799999999898</v>
      </c>
      <c r="AD5405">
        <v>-1.1137499065080001</v>
      </c>
      <c r="AE5405">
        <v>14.567780000000001</v>
      </c>
      <c r="AF5405">
        <v>-13.017833940270901</v>
      </c>
      <c r="AG5405">
        <v>-1.1137499065080001</v>
      </c>
      <c r="AH5405">
        <v>29.590433907217601</v>
      </c>
      <c r="AI5405">
        <v>91.973187794687604</v>
      </c>
      <c r="AJ5405">
        <v>113.746319745142</v>
      </c>
      <c r="AK5405">
        <v>32.346533325352397</v>
      </c>
      <c r="AL5405">
        <v>79.711094882738806</v>
      </c>
      <c r="AM5405">
        <v>101.482057873223</v>
      </c>
      <c r="AN5405">
        <v>1.0000000556034201</v>
      </c>
    </row>
    <row r="5406" spans="1:40" x14ac:dyDescent="0.25">
      <c r="A5406" t="str">
        <f>"20190304155523776"</f>
        <v>20190304155523776</v>
      </c>
      <c r="B5406" t="str">
        <f>"1551686123772914"</f>
        <v>1551686123772914</v>
      </c>
      <c r="C5406" t="s">
        <v>40</v>
      </c>
      <c r="D5406">
        <v>4.1887379999999999</v>
      </c>
      <c r="E5406">
        <v>0.41172160000000002</v>
      </c>
      <c r="F5406" t="s">
        <v>74</v>
      </c>
      <c r="G5406">
        <v>-181.9933</v>
      </c>
      <c r="H5406" s="1">
        <v>-2.9764739999999999E-6</v>
      </c>
      <c r="I5406">
        <v>-48.333289999999998</v>
      </c>
      <c r="J5406">
        <v>-211.18539999999999</v>
      </c>
      <c r="K5406">
        <v>1.113834</v>
      </c>
      <c r="L5406">
        <v>-63.173679999999997</v>
      </c>
      <c r="M5406">
        <v>0.99842520000000001</v>
      </c>
      <c r="N5406">
        <v>-1.387883E-2</v>
      </c>
      <c r="O5406">
        <v>5.4355319999999999E-2</v>
      </c>
      <c r="P5406">
        <v>0.95438029999999996</v>
      </c>
      <c r="Q5406">
        <v>0.16683819999999999</v>
      </c>
      <c r="R5406">
        <v>0.24763540000000001</v>
      </c>
      <c r="S5406">
        <v>2.79657</v>
      </c>
      <c r="T5406">
        <v>-0.1061574</v>
      </c>
      <c r="U5406">
        <v>1.415497</v>
      </c>
      <c r="V5406">
        <v>-0.19687479999999999</v>
      </c>
      <c r="W5406">
        <v>0.178610299999999</v>
      </c>
      <c r="X5406">
        <v>0.96402220000000005</v>
      </c>
      <c r="Y5406">
        <v>-0.4021131</v>
      </c>
      <c r="Z5406">
        <v>8.9218330000000005E-3</v>
      </c>
      <c r="AA5406">
        <v>0.91554650000000004</v>
      </c>
      <c r="AB5406">
        <v>29</v>
      </c>
      <c r="AC5406">
        <v>29.1920999999999</v>
      </c>
      <c r="AD5406">
        <v>-1.1138369764739999</v>
      </c>
      <c r="AE5406">
        <v>14.840389999999999</v>
      </c>
      <c r="AF5406">
        <v>-13.2162584698668</v>
      </c>
      <c r="AG5406">
        <v>-1.1138369764739999</v>
      </c>
      <c r="AH5406">
        <v>29.921053177909499</v>
      </c>
      <c r="AI5406">
        <v>91.950280133432997</v>
      </c>
      <c r="AJ5406">
        <v>113.83125472003501</v>
      </c>
      <c r="AK5406">
        <v>32.7288793579581</v>
      </c>
      <c r="AL5406">
        <v>79.711176496315105</v>
      </c>
      <c r="AM5406">
        <v>101.54235606376299</v>
      </c>
      <c r="AN5406">
        <v>1.0000000641169799</v>
      </c>
    </row>
    <row r="5407" spans="1:40" x14ac:dyDescent="0.25">
      <c r="A5407" t="str">
        <f>"20190304155523790"</f>
        <v>20190304155523790</v>
      </c>
      <c r="B5407" t="str">
        <f>"1551686123782672"</f>
        <v>1551686123782672</v>
      </c>
      <c r="C5407" t="s">
        <v>40</v>
      </c>
      <c r="D5407">
        <v>4.1419379999999997</v>
      </c>
      <c r="E5407">
        <v>0.41163440000000001</v>
      </c>
      <c r="F5407" t="s">
        <v>74</v>
      </c>
      <c r="G5407">
        <v>-181.59780000000001</v>
      </c>
      <c r="H5407" s="1">
        <v>-3.0384079999999998E-6</v>
      </c>
      <c r="I5407">
        <v>-48.080089999999998</v>
      </c>
      <c r="J5407">
        <v>-211.02160000000001</v>
      </c>
      <c r="K5407">
        <v>1.1138749999999999</v>
      </c>
      <c r="L5407">
        <v>-63.161799999999999</v>
      </c>
      <c r="M5407">
        <v>0.99828680000000003</v>
      </c>
      <c r="N5407">
        <v>-1.3901119999999999E-2</v>
      </c>
      <c r="O5407">
        <v>5.6834309999999999E-2</v>
      </c>
      <c r="P5407">
        <v>0.95349399999999995</v>
      </c>
      <c r="Q5407">
        <v>0.166995</v>
      </c>
      <c r="R5407">
        <v>0.25092209999999998</v>
      </c>
      <c r="S5407">
        <v>2.7921749999999999</v>
      </c>
      <c r="T5407">
        <v>-0.10511239999999999</v>
      </c>
      <c r="U5407">
        <v>1.424377</v>
      </c>
      <c r="V5407">
        <v>-0.19782920000000001</v>
      </c>
      <c r="W5407">
        <v>0.17875429999999901</v>
      </c>
      <c r="X5407">
        <v>0.96379999999999999</v>
      </c>
      <c r="Y5407">
        <v>-0.4027386</v>
      </c>
      <c r="Z5407">
        <v>8.8426689999999992E-3</v>
      </c>
      <c r="AA5407">
        <v>0.91527239999999999</v>
      </c>
      <c r="AB5407">
        <v>29</v>
      </c>
      <c r="AC5407">
        <v>29.4238</v>
      </c>
      <c r="AD5407">
        <v>-1.113878038408</v>
      </c>
      <c r="AE5407">
        <v>15.0817099999999</v>
      </c>
      <c r="AF5407">
        <v>-13.3697108641312</v>
      </c>
      <c r="AG5407">
        <v>-1.113878038408</v>
      </c>
      <c r="AH5407">
        <v>30.1991983970014</v>
      </c>
      <c r="AI5407">
        <v>91.931678803018698</v>
      </c>
      <c r="AJ5407">
        <v>113.879806140257</v>
      </c>
      <c r="AK5407">
        <v>33.045143012194202</v>
      </c>
      <c r="AL5407">
        <v>79.702789933976902</v>
      </c>
      <c r="AM5407">
        <v>101.59939946881499</v>
      </c>
      <c r="AN5407">
        <v>0.99999996607056396</v>
      </c>
    </row>
    <row r="5408" spans="1:40" x14ac:dyDescent="0.25">
      <c r="A5408" t="str">
        <f>"20190304155523811"</f>
        <v>20190304155523811</v>
      </c>
      <c r="B5408" t="str">
        <f>"1551686123803168"</f>
        <v>1551686123803168</v>
      </c>
      <c r="C5408" t="s">
        <v>40</v>
      </c>
      <c r="D5408">
        <v>4.1646900000000002</v>
      </c>
      <c r="E5408">
        <v>0.41139920000000002</v>
      </c>
      <c r="F5408" t="s">
        <v>74</v>
      </c>
      <c r="G5408">
        <v>-181.1807</v>
      </c>
      <c r="H5408" s="1">
        <v>-3.112129E-6</v>
      </c>
      <c r="I5408">
        <v>-47.798830000000002</v>
      </c>
      <c r="J5408">
        <v>-210.76179999999999</v>
      </c>
      <c r="K5408">
        <v>1.1138680000000001</v>
      </c>
      <c r="L5408">
        <v>-63.142090000000003</v>
      </c>
      <c r="M5408">
        <v>0.99800869999999997</v>
      </c>
      <c r="N5408">
        <v>-1.416895E-2</v>
      </c>
      <c r="O5408">
        <v>6.1464030000000003E-2</v>
      </c>
      <c r="P5408">
        <v>0.95185540000000002</v>
      </c>
      <c r="Q5408">
        <v>0.16705999999999999</v>
      </c>
      <c r="R5408">
        <v>0.25702599999999998</v>
      </c>
      <c r="S5408">
        <v>2.786972</v>
      </c>
      <c r="T5408">
        <v>-0.10402989999999999</v>
      </c>
      <c r="U5408">
        <v>1.434814</v>
      </c>
      <c r="V5408">
        <v>-0.19952819999999999</v>
      </c>
      <c r="W5408">
        <v>0.17907190000000001</v>
      </c>
      <c r="X5408">
        <v>0.96339079999999999</v>
      </c>
      <c r="Y5408">
        <v>-0.4019026</v>
      </c>
      <c r="Z5408">
        <v>8.7478069999999998E-3</v>
      </c>
      <c r="AA5408">
        <v>0.91564069999999997</v>
      </c>
      <c r="AB5408">
        <v>29</v>
      </c>
      <c r="AC5408">
        <v>29.5810999999999</v>
      </c>
      <c r="AD5408">
        <v>-1.1138711121289999</v>
      </c>
      <c r="AE5408">
        <v>15.343260000000001</v>
      </c>
      <c r="AF5408">
        <v>-13.480826387775499</v>
      </c>
      <c r="AG5408">
        <v>-1.1138711121289999</v>
      </c>
      <c r="AH5408">
        <v>30.4343089187246</v>
      </c>
      <c r="AI5408">
        <v>91.916591757168703</v>
      </c>
      <c r="AJ5408">
        <v>113.89086787574701</v>
      </c>
      <c r="AK5408">
        <v>33.304962818056701</v>
      </c>
      <c r="AL5408">
        <v>79.684295144216193</v>
      </c>
      <c r="AM5408">
        <v>101.701115246659</v>
      </c>
      <c r="AN5408">
        <v>1.00000004074474</v>
      </c>
    </row>
    <row r="5409" spans="1:40" x14ac:dyDescent="0.25">
      <c r="A5409" t="str">
        <f>"20190304155523825"</f>
        <v>20190304155523825</v>
      </c>
      <c r="B5409" t="str">
        <f>"1551686123822689"</f>
        <v>1551686123822689</v>
      </c>
      <c r="C5409" t="s">
        <v>40</v>
      </c>
      <c r="D5409">
        <v>4.1414900000000001</v>
      </c>
      <c r="E5409">
        <v>0.41131699999999999</v>
      </c>
      <c r="F5409" t="s">
        <v>74</v>
      </c>
      <c r="G5409">
        <v>-180.59569999999999</v>
      </c>
      <c r="H5409" s="1">
        <v>-3.2548869999999998E-6</v>
      </c>
      <c r="I5409">
        <v>-47.337899999999998</v>
      </c>
      <c r="J5409">
        <v>-210.5821</v>
      </c>
      <c r="K5409">
        <v>1.1138669999999999</v>
      </c>
      <c r="L5409">
        <v>-63.127809999999997</v>
      </c>
      <c r="M5409">
        <v>0.99777280000000002</v>
      </c>
      <c r="N5409">
        <v>-1.438011E-2</v>
      </c>
      <c r="O5409">
        <v>6.5135559999999995E-2</v>
      </c>
      <c r="P5409">
        <v>0.95062120000000006</v>
      </c>
      <c r="Q5409">
        <v>0.16713819999999999</v>
      </c>
      <c r="R5409">
        <v>0.26150410000000002</v>
      </c>
      <c r="S5409">
        <v>2.7769010000000001</v>
      </c>
      <c r="T5409">
        <v>-0.102536</v>
      </c>
      <c r="U5409">
        <v>1.454834</v>
      </c>
      <c r="V5409">
        <v>-0.20051930000000001</v>
      </c>
      <c r="W5409">
        <v>0.17934820000000001</v>
      </c>
      <c r="X5409">
        <v>0.96313360000000003</v>
      </c>
      <c r="Y5409">
        <v>-0.40507949999999998</v>
      </c>
      <c r="Z5409">
        <v>8.7497400000000006E-3</v>
      </c>
      <c r="AA5409">
        <v>0.91423960000000004</v>
      </c>
      <c r="AB5409">
        <v>28</v>
      </c>
      <c r="AC5409">
        <v>29.9864</v>
      </c>
      <c r="AD5409">
        <v>-1.1138702548870001</v>
      </c>
      <c r="AE5409">
        <v>15.789910000000001</v>
      </c>
      <c r="AF5409">
        <v>-13.7880940518488</v>
      </c>
      <c r="AG5409">
        <v>-1.1138702548870001</v>
      </c>
      <c r="AH5409">
        <v>30.917899450693898</v>
      </c>
      <c r="AI5409">
        <v>91.884529608986497</v>
      </c>
      <c r="AJ5409">
        <v>114.03487884422201</v>
      </c>
      <c r="AK5409">
        <v>33.871355906880602</v>
      </c>
      <c r="AL5409">
        <v>79.668203901809605</v>
      </c>
      <c r="AM5409">
        <v>101.760675406283</v>
      </c>
      <c r="AN5409">
        <v>1.00000004898234</v>
      </c>
    </row>
    <row r="5410" spans="1:40" x14ac:dyDescent="0.25">
      <c r="A5410" t="str">
        <f>"20190304155523837"</f>
        <v>20190304155523837</v>
      </c>
      <c r="B5410" t="str">
        <f>"1551686123833425"</f>
        <v>1551686123833425</v>
      </c>
      <c r="C5410" t="s">
        <v>40</v>
      </c>
      <c r="D5410">
        <v>4.1710669999999999</v>
      </c>
      <c r="E5410">
        <v>0.41127829999999899</v>
      </c>
      <c r="F5410" t="s">
        <v>74</v>
      </c>
      <c r="G5410">
        <v>-180.36709999999999</v>
      </c>
      <c r="H5410" s="1">
        <v>-3.3390219999999999E-6</v>
      </c>
      <c r="I5410">
        <v>-47.109859999999998</v>
      </c>
      <c r="J5410">
        <v>-210.42760000000001</v>
      </c>
      <c r="K5410">
        <v>1.1139289999999999</v>
      </c>
      <c r="L5410">
        <v>-63.114899999999999</v>
      </c>
      <c r="M5410">
        <v>0.99754509999999996</v>
      </c>
      <c r="N5410">
        <v>-1.4487999999999999E-2</v>
      </c>
      <c r="O5410">
        <v>6.8512690000000001E-2</v>
      </c>
      <c r="P5410">
        <v>0.94944640000000002</v>
      </c>
      <c r="Q5410">
        <v>0.1670306</v>
      </c>
      <c r="R5410">
        <v>0.26580569999999998</v>
      </c>
      <c r="S5410">
        <v>2.7698520000000002</v>
      </c>
      <c r="T5410">
        <v>-0.1021098</v>
      </c>
      <c r="U5410">
        <v>1.4683839999999999</v>
      </c>
      <c r="V5410">
        <v>-0.20165549999999999</v>
      </c>
      <c r="W5410">
        <v>0.17929429999999999</v>
      </c>
      <c r="X5410">
        <v>0.96290640000000005</v>
      </c>
      <c r="Y5410">
        <v>-0.40643899999999999</v>
      </c>
      <c r="Z5410">
        <v>8.7327869999999901E-3</v>
      </c>
      <c r="AA5410">
        <v>0.91363620000000001</v>
      </c>
      <c r="AB5410">
        <v>28</v>
      </c>
      <c r="AC5410">
        <v>30.060500000000001</v>
      </c>
      <c r="AD5410">
        <v>-1.113932339022</v>
      </c>
      <c r="AE5410">
        <v>16.005040000000001</v>
      </c>
      <c r="AF5410">
        <v>-13.892818701478999</v>
      </c>
      <c r="AG5410">
        <v>-1.113932339022</v>
      </c>
      <c r="AH5410">
        <v>31.0532903356902</v>
      </c>
      <c r="AI5410">
        <v>91.875426680398604</v>
      </c>
      <c r="AJ5410">
        <v>114.10309118292</v>
      </c>
      <c r="AK5410">
        <v>34.037598290724802</v>
      </c>
      <c r="AL5410">
        <v>79.671343152328106</v>
      </c>
      <c r="AM5410">
        <v>101.828155059247</v>
      </c>
      <c r="AN5410">
        <v>1.00000006092684</v>
      </c>
    </row>
    <row r="5411" spans="1:40" x14ac:dyDescent="0.25">
      <c r="A5411" t="str">
        <f>"20190304155523848"</f>
        <v>20190304155523848</v>
      </c>
      <c r="B5411" t="str">
        <f>"1551686123843185"</f>
        <v>1551686123843185</v>
      </c>
      <c r="C5411" t="s">
        <v>40</v>
      </c>
      <c r="D5411">
        <v>4.1589179999999999</v>
      </c>
      <c r="E5411">
        <v>0.41124680000000002</v>
      </c>
      <c r="F5411" t="s">
        <v>74</v>
      </c>
      <c r="G5411">
        <v>-180.375</v>
      </c>
      <c r="H5411" s="1">
        <v>-3.402461E-6</v>
      </c>
      <c r="I5411">
        <v>-47.005650000000003</v>
      </c>
      <c r="J5411">
        <v>-210.28890000000001</v>
      </c>
      <c r="K5411">
        <v>1.1140490000000001</v>
      </c>
      <c r="L5411">
        <v>-63.10275</v>
      </c>
      <c r="M5411">
        <v>0.9973341</v>
      </c>
      <c r="N5411">
        <v>-1.453251E-2</v>
      </c>
      <c r="O5411">
        <v>7.1509240000000002E-2</v>
      </c>
      <c r="P5411">
        <v>0.94839969999999996</v>
      </c>
      <c r="Q5411">
        <v>0.16713979999999901</v>
      </c>
      <c r="R5411">
        <v>0.26944849999999998</v>
      </c>
      <c r="S5411">
        <v>2.7630919999999999</v>
      </c>
      <c r="T5411">
        <v>-0.1024168</v>
      </c>
      <c r="U5411">
        <v>1.4811099999999999</v>
      </c>
      <c r="V5411">
        <v>-0.20252800000000001</v>
      </c>
      <c r="W5411">
        <v>0.17936369999999999</v>
      </c>
      <c r="X5411">
        <v>0.96271030000000002</v>
      </c>
      <c r="Y5411">
        <v>-0.40789049999999999</v>
      </c>
      <c r="Z5411">
        <v>8.7419490000000006E-3</v>
      </c>
      <c r="AA5411">
        <v>0.91298900000000005</v>
      </c>
      <c r="AB5411">
        <v>28</v>
      </c>
      <c r="AC5411">
        <v>29.913900000000002</v>
      </c>
      <c r="AD5411">
        <v>-1.1140524024609999</v>
      </c>
      <c r="AE5411">
        <v>16.097099999999902</v>
      </c>
      <c r="AF5411">
        <v>-13.901584078949799</v>
      </c>
      <c r="AG5411">
        <v>-1.1140524024609999</v>
      </c>
      <c r="AH5411">
        <v>30.955222096118401</v>
      </c>
      <c r="AI5411">
        <v>91.880373519465493</v>
      </c>
      <c r="AJ5411">
        <v>114.184222777594</v>
      </c>
      <c r="AK5411">
        <v>33.9517441036474</v>
      </c>
      <c r="AL5411">
        <v>79.667300925218498</v>
      </c>
      <c r="AM5411">
        <v>101.88023176969401</v>
      </c>
      <c r="AN5411">
        <v>1.0000000246938801</v>
      </c>
    </row>
    <row r="5412" spans="1:40" x14ac:dyDescent="0.25">
      <c r="A5412" t="str">
        <f>"20190304155523860"</f>
        <v>20190304155523860</v>
      </c>
      <c r="B5412" t="str">
        <f>"1551686123852945"</f>
        <v>1551686123852945</v>
      </c>
      <c r="C5412" t="s">
        <v>40</v>
      </c>
      <c r="D5412">
        <v>4.1439019999999998</v>
      </c>
      <c r="E5412">
        <v>0.41123150000000003</v>
      </c>
      <c r="F5412" t="s">
        <v>74</v>
      </c>
      <c r="G5412">
        <v>-180.23349999999999</v>
      </c>
      <c r="H5412" s="1">
        <v>-3.4685560000000002E-6</v>
      </c>
      <c r="I5412">
        <v>-46.840870000000002</v>
      </c>
      <c r="J5412">
        <v>-210.13040000000001</v>
      </c>
      <c r="K5412">
        <v>1.114225</v>
      </c>
      <c r="L5412">
        <v>-63.088529999999999</v>
      </c>
      <c r="M5412">
        <v>0.99708419999999998</v>
      </c>
      <c r="N5412">
        <v>-1.4548749999999999E-2</v>
      </c>
      <c r="O5412">
        <v>7.4910450000000003E-2</v>
      </c>
      <c r="P5412">
        <v>0.94722249999999997</v>
      </c>
      <c r="Q5412">
        <v>0.16708219999999999</v>
      </c>
      <c r="R5412">
        <v>0.27359329999999998</v>
      </c>
      <c r="S5412">
        <v>2.7573699999999999</v>
      </c>
      <c r="T5412">
        <v>-0.10220650000000001</v>
      </c>
      <c r="U5412">
        <v>1.4919129999999901</v>
      </c>
      <c r="V5412">
        <v>-0.20355019999999999</v>
      </c>
      <c r="W5412">
        <v>0.17920329999999901</v>
      </c>
      <c r="X5412">
        <v>0.96252450000000001</v>
      </c>
      <c r="Y5412">
        <v>-0.40833770000000003</v>
      </c>
      <c r="Z5412">
        <v>8.6851289999999998E-3</v>
      </c>
      <c r="AA5412">
        <v>0.91278959999999998</v>
      </c>
      <c r="AB5412">
        <v>28</v>
      </c>
      <c r="AC5412">
        <v>29.896899999999999</v>
      </c>
      <c r="AD5412">
        <v>-1.114228468556</v>
      </c>
      <c r="AE5412">
        <v>16.24766</v>
      </c>
      <c r="AF5412">
        <v>-13.9472161656065</v>
      </c>
      <c r="AG5412">
        <v>-1.114228468556</v>
      </c>
      <c r="AH5412">
        <v>30.996890556956199</v>
      </c>
      <c r="AI5412">
        <v>91.8775347326701</v>
      </c>
      <c r="AJ5412">
        <v>114.225616951982</v>
      </c>
      <c r="AK5412">
        <v>34.008433778258798</v>
      </c>
      <c r="AL5412">
        <v>79.676641849281296</v>
      </c>
      <c r="AM5412">
        <v>101.940715685908</v>
      </c>
      <c r="AN5412">
        <v>0.99999995987558898</v>
      </c>
    </row>
    <row r="5413" spans="1:40" x14ac:dyDescent="0.25">
      <c r="A5413" t="str">
        <f>"20190304155523871"</f>
        <v>20190304155523871</v>
      </c>
      <c r="B5413" t="str">
        <f>"1551686123862706"</f>
        <v>1551686123862706</v>
      </c>
      <c r="C5413" t="s">
        <v>40</v>
      </c>
      <c r="D5413">
        <v>4.1681819999999998</v>
      </c>
      <c r="E5413">
        <v>0.41121449999999998</v>
      </c>
      <c r="F5413" t="s">
        <v>74</v>
      </c>
      <c r="G5413">
        <v>-180.18520000000001</v>
      </c>
      <c r="H5413" s="1">
        <v>-3.532238E-6</v>
      </c>
      <c r="I5413">
        <v>-46.715130000000002</v>
      </c>
      <c r="J5413">
        <v>-210.0068</v>
      </c>
      <c r="K5413">
        <v>1.114395</v>
      </c>
      <c r="L5413">
        <v>-63.076540000000001</v>
      </c>
      <c r="M5413">
        <v>0.99688600000000005</v>
      </c>
      <c r="N5413">
        <v>-1.454956E-2</v>
      </c>
      <c r="O5413">
        <v>7.7503370000000002E-2</v>
      </c>
      <c r="P5413">
        <v>0.94626829999999995</v>
      </c>
      <c r="Q5413">
        <v>0.1670188</v>
      </c>
      <c r="R5413">
        <v>0.27691379999999999</v>
      </c>
      <c r="S5413">
        <v>2.7507630000000001</v>
      </c>
      <c r="T5413">
        <v>-0.102353</v>
      </c>
      <c r="U5413">
        <v>1.504059</v>
      </c>
      <c r="V5413">
        <v>-0.20451240000000001</v>
      </c>
      <c r="W5413">
        <v>0.1790283</v>
      </c>
      <c r="X5413">
        <v>0.96235320000000002</v>
      </c>
      <c r="Y5413">
        <v>-0.40998699999999999</v>
      </c>
      <c r="Z5413">
        <v>8.6873750000000007E-3</v>
      </c>
      <c r="AA5413">
        <v>0.91205000000000003</v>
      </c>
      <c r="AB5413">
        <v>28</v>
      </c>
      <c r="AC5413">
        <v>29.821599999999901</v>
      </c>
      <c r="AD5413">
        <v>-1.1143985322379999</v>
      </c>
      <c r="AE5413">
        <v>16.361409999999999</v>
      </c>
      <c r="AF5413">
        <v>-13.9856555169406</v>
      </c>
      <c r="AG5413">
        <v>-1.1143985322379999</v>
      </c>
      <c r="AH5413">
        <v>30.9668407901551</v>
      </c>
      <c r="AI5413">
        <v>91.878461574302506</v>
      </c>
      <c r="AJ5413">
        <v>114.305518428629</v>
      </c>
      <c r="AK5413">
        <v>33.996847984041104</v>
      </c>
      <c r="AL5413">
        <v>79.686834554102205</v>
      </c>
      <c r="AM5413">
        <v>101.997602537093</v>
      </c>
      <c r="AN5413">
        <v>1.0000000677524401</v>
      </c>
    </row>
    <row r="5414" spans="1:40" x14ac:dyDescent="0.25">
      <c r="A5414" t="str">
        <f>"20190304155523882"</f>
        <v>20190304155523882</v>
      </c>
      <c r="B5414" t="str">
        <f>"1551686123873442"</f>
        <v>1551686123873442</v>
      </c>
      <c r="C5414" t="s">
        <v>40</v>
      </c>
      <c r="D5414">
        <v>4.1118730000000001</v>
      </c>
      <c r="E5414">
        <v>0.41112189999999998</v>
      </c>
      <c r="F5414" t="s">
        <v>74</v>
      </c>
      <c r="G5414">
        <v>-180.11</v>
      </c>
      <c r="H5414" s="1">
        <v>-3.590096E-6</v>
      </c>
      <c r="I5414">
        <v>-46.58914</v>
      </c>
      <c r="J5414">
        <v>-209.87389999999999</v>
      </c>
      <c r="K5414">
        <v>1.1145879999999999</v>
      </c>
      <c r="L5414">
        <v>-63.063600000000001</v>
      </c>
      <c r="M5414">
        <v>0.99666529999999998</v>
      </c>
      <c r="N5414">
        <v>-1.4549049999999999E-2</v>
      </c>
      <c r="O5414">
        <v>8.0291470000000004E-2</v>
      </c>
      <c r="P5414">
        <v>0.94535550000000002</v>
      </c>
      <c r="Q5414">
        <v>0.1665201</v>
      </c>
      <c r="R5414">
        <v>0.28031060000000002</v>
      </c>
      <c r="S5414">
        <v>2.7453609999999999</v>
      </c>
      <c r="T5414">
        <v>-0.1023332</v>
      </c>
      <c r="U5414">
        <v>1.514008</v>
      </c>
      <c r="V5414">
        <v>-0.20536219999999999</v>
      </c>
      <c r="W5414">
        <v>0.1784104</v>
      </c>
      <c r="X5414">
        <v>0.96228689999999995</v>
      </c>
      <c r="Y5414">
        <v>-0.41072900000000001</v>
      </c>
      <c r="Z5414">
        <v>8.6536519999999995E-3</v>
      </c>
      <c r="AA5414">
        <v>0.91171639999999998</v>
      </c>
      <c r="AB5414">
        <v>28</v>
      </c>
      <c r="AC5414">
        <v>29.7638999999999</v>
      </c>
      <c r="AD5414">
        <v>-1.114591590096</v>
      </c>
      <c r="AE5414">
        <v>16.474460000000001</v>
      </c>
      <c r="AF5414">
        <v>-14.016173809347899</v>
      </c>
      <c r="AG5414">
        <v>-1.114591590096</v>
      </c>
      <c r="AH5414">
        <v>30.957451662466799</v>
      </c>
      <c r="AI5414">
        <v>91.878564712918106</v>
      </c>
      <c r="AJ5414">
        <v>114.358928330381</v>
      </c>
      <c r="AK5414">
        <v>34.000871402076299</v>
      </c>
      <c r="AL5414">
        <v>79.722816129529903</v>
      </c>
      <c r="AM5414">
        <v>102.046808013636</v>
      </c>
      <c r="AN5414">
        <v>0.99999999096430403</v>
      </c>
    </row>
    <row r="5415" spans="1:40" x14ac:dyDescent="0.25">
      <c r="A5415" t="str">
        <f>"20190304155523891"</f>
        <v>20190304155523891</v>
      </c>
      <c r="B5415" t="str">
        <f>"1551686123883201"</f>
        <v>1551686123883201</v>
      </c>
      <c r="C5415" t="s">
        <v>40</v>
      </c>
      <c r="D5415">
        <v>4.1248089999999999</v>
      </c>
      <c r="E5415">
        <v>0.41104370000000001</v>
      </c>
      <c r="F5415" t="s">
        <v>74</v>
      </c>
      <c r="G5415">
        <v>-180.34700000000001</v>
      </c>
      <c r="H5415" s="1">
        <v>-3.6176739999999998E-6</v>
      </c>
      <c r="I5415">
        <v>-46.63158</v>
      </c>
      <c r="J5415">
        <v>-209.73490000000001</v>
      </c>
      <c r="K5415">
        <v>1.1147800000000001</v>
      </c>
      <c r="L5415">
        <v>-63.049069999999901</v>
      </c>
      <c r="M5415">
        <v>0.99641880000000005</v>
      </c>
      <c r="N5415">
        <v>-1.4556609999999999E-2</v>
      </c>
      <c r="O5415">
        <v>8.3293290000000006E-2</v>
      </c>
      <c r="P5415">
        <v>0.94427340000000004</v>
      </c>
      <c r="Q5415">
        <v>0.16617290000000001</v>
      </c>
      <c r="R5415">
        <v>0.284138</v>
      </c>
      <c r="S5415">
        <v>2.739563</v>
      </c>
      <c r="T5415">
        <v>-0.10341409999999999</v>
      </c>
      <c r="U5415">
        <v>1.524597</v>
      </c>
      <c r="V5415">
        <v>-0.2064462</v>
      </c>
      <c r="W5415">
        <v>0.1779539</v>
      </c>
      <c r="X5415">
        <v>0.96213950000000004</v>
      </c>
      <c r="Y5415">
        <v>-0.41148810000000002</v>
      </c>
      <c r="Z5415">
        <v>8.6647570000000004E-3</v>
      </c>
      <c r="AA5415">
        <v>0.91137400000000002</v>
      </c>
      <c r="AB5415">
        <v>28</v>
      </c>
      <c r="AC5415">
        <v>29.387899999999998</v>
      </c>
      <c r="AD5415">
        <v>-1.11478361767399</v>
      </c>
      <c r="AE5415">
        <v>16.417489999999901</v>
      </c>
      <c r="AF5415">
        <v>-13.8971134910829</v>
      </c>
      <c r="AG5415">
        <v>-1.11478361767399</v>
      </c>
      <c r="AH5415">
        <v>30.619789003389698</v>
      </c>
      <c r="AI5415">
        <v>91.898804454371898</v>
      </c>
      <c r="AJ5415">
        <v>114.411422574279</v>
      </c>
      <c r="AK5415">
        <v>33.644375228415001</v>
      </c>
      <c r="AL5415">
        <v>79.749397321931397</v>
      </c>
      <c r="AM5415">
        <v>102.110325313765</v>
      </c>
      <c r="AN5415">
        <v>1.00000002073995</v>
      </c>
    </row>
    <row r="5416" spans="1:40" x14ac:dyDescent="0.25">
      <c r="A5416" t="str">
        <f>"20190304155523902"</f>
        <v>20190304155523902</v>
      </c>
      <c r="B5416" t="str">
        <f>"1551686123892961"</f>
        <v>1551686123892961</v>
      </c>
      <c r="C5416" t="s">
        <v>40</v>
      </c>
      <c r="D5416">
        <v>4.134735</v>
      </c>
      <c r="E5416">
        <v>0.4109854</v>
      </c>
      <c r="F5416" t="s">
        <v>74</v>
      </c>
      <c r="G5416">
        <v>-180.4974</v>
      </c>
      <c r="H5416" s="1">
        <v>-3.6604179999999998E-6</v>
      </c>
      <c r="I5416">
        <v>-46.615850000000002</v>
      </c>
      <c r="J5416">
        <v>-209.6078</v>
      </c>
      <c r="K5416">
        <v>1.114949</v>
      </c>
      <c r="L5416">
        <v>-63.035640000000001</v>
      </c>
      <c r="M5416">
        <v>0.99618269999999998</v>
      </c>
      <c r="N5416">
        <v>-1.4562759999999999E-2</v>
      </c>
      <c r="O5416">
        <v>8.607107E-2</v>
      </c>
      <c r="P5416">
        <v>0.94333540000000005</v>
      </c>
      <c r="Q5416">
        <v>0.16583399999999901</v>
      </c>
      <c r="R5416">
        <v>0.28743249999999998</v>
      </c>
      <c r="S5416">
        <v>2.7331539999999999</v>
      </c>
      <c r="T5416">
        <v>-0.1042111</v>
      </c>
      <c r="U5416">
        <v>1.5361940000000001</v>
      </c>
      <c r="V5416">
        <v>-0.20719389999999999</v>
      </c>
      <c r="W5416">
        <v>0.17752079999999901</v>
      </c>
      <c r="X5416">
        <v>0.96205879999999999</v>
      </c>
      <c r="Y5416">
        <v>-0.41279359999999998</v>
      </c>
      <c r="Z5416">
        <v>8.6812709999999904E-3</v>
      </c>
      <c r="AA5416">
        <v>0.91078320000000001</v>
      </c>
      <c r="AB5416">
        <v>28</v>
      </c>
      <c r="AC5416">
        <v>29.110399999999998</v>
      </c>
      <c r="AD5416">
        <v>-1.114952660418</v>
      </c>
      <c r="AE5416">
        <v>16.419789999999999</v>
      </c>
      <c r="AF5416">
        <v>-13.837614901403001</v>
      </c>
      <c r="AG5416">
        <v>-1.114952660418</v>
      </c>
      <c r="AH5416">
        <v>30.381955351308601</v>
      </c>
      <c r="AI5416">
        <v>91.912798834505693</v>
      </c>
      <c r="AJ5416">
        <v>114.487131844603</v>
      </c>
      <c r="AK5416">
        <v>33.403381813274798</v>
      </c>
      <c r="AL5416">
        <v>79.774613824283094</v>
      </c>
      <c r="AM5416">
        <v>102.153873703684</v>
      </c>
      <c r="AN5416">
        <v>1.00000004064364</v>
      </c>
    </row>
    <row r="5417" spans="1:40" x14ac:dyDescent="0.25">
      <c r="A5417" t="str">
        <f>"20190304155523912"</f>
        <v>20190304155523912</v>
      </c>
      <c r="B5417" t="str">
        <f>"1551686123902721"</f>
        <v>1551686123902721</v>
      </c>
      <c r="C5417" t="s">
        <v>40</v>
      </c>
      <c r="D5417">
        <v>4.1616410000000004</v>
      </c>
      <c r="E5417">
        <v>0.4109331</v>
      </c>
      <c r="F5417" t="s">
        <v>74</v>
      </c>
      <c r="G5417">
        <v>-180.6335</v>
      </c>
      <c r="H5417" s="1">
        <v>-3.6932239999999999E-6</v>
      </c>
      <c r="I5417">
        <v>-46.611559999999997</v>
      </c>
      <c r="J5417">
        <v>-209.4811</v>
      </c>
      <c r="K5417">
        <v>1.1150819999999999</v>
      </c>
      <c r="L5417">
        <v>-63.021479999999997</v>
      </c>
      <c r="M5417">
        <v>0.9959249</v>
      </c>
      <c r="N5417">
        <v>-1.457056E-2</v>
      </c>
      <c r="O5417">
        <v>8.9001289999999997E-2</v>
      </c>
      <c r="P5417">
        <v>0.94234910000000005</v>
      </c>
      <c r="Q5417">
        <v>0.1652411</v>
      </c>
      <c r="R5417">
        <v>0.2909872</v>
      </c>
      <c r="S5417">
        <v>2.727554</v>
      </c>
      <c r="T5417">
        <v>-0.1049582</v>
      </c>
      <c r="U5417">
        <v>1.5461119999999999</v>
      </c>
      <c r="V5417">
        <v>-0.2080381</v>
      </c>
      <c r="W5417">
        <v>0.17685339999999999</v>
      </c>
      <c r="X5417">
        <v>0.96199950000000001</v>
      </c>
      <c r="Y5417">
        <v>-0.41341919999999999</v>
      </c>
      <c r="Z5417">
        <v>8.6735449999999995E-3</v>
      </c>
      <c r="AA5417">
        <v>0.91049950000000002</v>
      </c>
      <c r="AB5417">
        <v>28</v>
      </c>
      <c r="AC5417">
        <v>28.8476</v>
      </c>
      <c r="AD5417">
        <v>-1.1150856932240001</v>
      </c>
      <c r="AE5417">
        <v>16.40992</v>
      </c>
      <c r="AF5417">
        <v>-13.761502322242</v>
      </c>
      <c r="AG5417">
        <v>-1.1150856932240001</v>
      </c>
      <c r="AH5417">
        <v>30.159707001756399</v>
      </c>
      <c r="AI5417">
        <v>91.926508431832602</v>
      </c>
      <c r="AJ5417">
        <v>114.526629138218</v>
      </c>
      <c r="AK5417">
        <v>33.1697194546487</v>
      </c>
      <c r="AL5417">
        <v>79.813467460462405</v>
      </c>
      <c r="AM5417">
        <v>102.20264271473999</v>
      </c>
      <c r="AN5417">
        <v>1.0000000070716999</v>
      </c>
    </row>
    <row r="5418" spans="1:40" x14ac:dyDescent="0.25">
      <c r="A5418" t="str">
        <f>"20190304155523923"</f>
        <v>20190304155523923</v>
      </c>
      <c r="B5418" t="str">
        <f>"1551686123913457"</f>
        <v>1551686123913457</v>
      </c>
      <c r="C5418" t="s">
        <v>40</v>
      </c>
      <c r="D5418">
        <v>4.1609379999999998</v>
      </c>
      <c r="E5418">
        <v>0.41087679999999999</v>
      </c>
      <c r="F5418" t="s">
        <v>74</v>
      </c>
      <c r="G5418">
        <v>-180.99799999999999</v>
      </c>
      <c r="H5418" s="1">
        <v>-3.7048460000000001E-6</v>
      </c>
      <c r="I5418">
        <v>-46.728850000000001</v>
      </c>
      <c r="J5418">
        <v>-209.36009999999999</v>
      </c>
      <c r="K5418">
        <v>1.115202</v>
      </c>
      <c r="L5418">
        <v>-63.007809999999999</v>
      </c>
      <c r="M5418">
        <v>0.99566730000000003</v>
      </c>
      <c r="N5418">
        <v>-1.4577049999999999E-2</v>
      </c>
      <c r="O5418">
        <v>9.1837909999999995E-2</v>
      </c>
      <c r="P5418">
        <v>0.94130029999999998</v>
      </c>
      <c r="Q5418">
        <v>0.16506029999999999</v>
      </c>
      <c r="R5418">
        <v>0.2944638</v>
      </c>
      <c r="S5418">
        <v>2.7215120000000002</v>
      </c>
      <c r="T5418">
        <v>-0.1065445</v>
      </c>
      <c r="U5418">
        <v>1.556732</v>
      </c>
      <c r="V5418">
        <v>-0.20890220000000001</v>
      </c>
      <c r="W5418">
        <v>0.17660049999999999</v>
      </c>
      <c r="X5418">
        <v>0.96185869999999996</v>
      </c>
      <c r="Y5418">
        <v>-0.4143657</v>
      </c>
      <c r="Z5418">
        <v>8.7081039999999995E-3</v>
      </c>
      <c r="AA5418">
        <v>0.91006880000000001</v>
      </c>
      <c r="AB5418">
        <v>28</v>
      </c>
      <c r="AC5418">
        <v>28.362100000000002</v>
      </c>
      <c r="AD5418">
        <v>-1.115205704846</v>
      </c>
      <c r="AE5418">
        <v>16.278959999999898</v>
      </c>
      <c r="AF5418">
        <v>-13.589353423303701</v>
      </c>
      <c r="AG5418">
        <v>-1.115205704846</v>
      </c>
      <c r="AH5418">
        <v>29.702856654556399</v>
      </c>
      <c r="AI5418">
        <v>91.955424014559895</v>
      </c>
      <c r="AJ5418">
        <v>114.584567647152</v>
      </c>
      <c r="AK5418">
        <v>32.682929851356697</v>
      </c>
      <c r="AL5418">
        <v>79.828189339176006</v>
      </c>
      <c r="AM5418">
        <v>102.25353852005701</v>
      </c>
      <c r="AN5418">
        <v>1.00000001226538</v>
      </c>
    </row>
    <row r="5419" spans="1:40" x14ac:dyDescent="0.25">
      <c r="A5419" t="str">
        <f>"20190304155523933"</f>
        <v>20190304155523933</v>
      </c>
      <c r="B5419" t="str">
        <f>"1551686123923217"</f>
        <v>1551686123923217</v>
      </c>
      <c r="C5419" t="s">
        <v>40</v>
      </c>
      <c r="D5419">
        <v>4.1774399999999998</v>
      </c>
      <c r="E5419">
        <v>0.41083320000000001</v>
      </c>
      <c r="F5419" t="s">
        <v>74</v>
      </c>
      <c r="G5419">
        <v>-181.02070000000001</v>
      </c>
      <c r="H5419" s="1">
        <v>-3.7550570000000001E-6</v>
      </c>
      <c r="I5419">
        <v>-46.652549999999998</v>
      </c>
      <c r="J5419">
        <v>-209.22749999999999</v>
      </c>
      <c r="K5419">
        <v>1.1153120000000001</v>
      </c>
      <c r="L5419">
        <v>-62.992069999999998</v>
      </c>
      <c r="M5419">
        <v>0.99535649999999998</v>
      </c>
      <c r="N5419">
        <v>-1.458315E-2</v>
      </c>
      <c r="O5419">
        <v>9.5145149999999998E-2</v>
      </c>
      <c r="P5419">
        <v>0.94011239999999996</v>
      </c>
      <c r="Q5419">
        <v>0.16473689999999999</v>
      </c>
      <c r="R5419">
        <v>0.29841309999999999</v>
      </c>
      <c r="S5419">
        <v>2.7155459999999998</v>
      </c>
      <c r="T5419">
        <v>-0.1068616</v>
      </c>
      <c r="U5419">
        <v>1.5671999999999999</v>
      </c>
      <c r="V5419">
        <v>-0.209786</v>
      </c>
      <c r="W5419">
        <v>0.17621419999999999</v>
      </c>
      <c r="X5419">
        <v>0.96173719999999996</v>
      </c>
      <c r="Y5419">
        <v>-0.41483819999999999</v>
      </c>
      <c r="Z5419">
        <v>8.6679050000000001E-3</v>
      </c>
      <c r="AA5419">
        <v>0.90985389999999999</v>
      </c>
      <c r="AB5419">
        <v>28</v>
      </c>
      <c r="AC5419">
        <v>28.206799999999902</v>
      </c>
      <c r="AD5419">
        <v>-1.1153157550570001</v>
      </c>
      <c r="AE5419">
        <v>16.33952</v>
      </c>
      <c r="AF5419">
        <v>-13.5654722910387</v>
      </c>
      <c r="AG5419">
        <v>-1.1153157550570001</v>
      </c>
      <c r="AH5419">
        <v>29.5989517535088</v>
      </c>
      <c r="AI5419">
        <v>91.961883345136201</v>
      </c>
      <c r="AJ5419">
        <v>114.622422709671</v>
      </c>
      <c r="AK5419">
        <v>32.5785805801751</v>
      </c>
      <c r="AL5419">
        <v>79.850675481617003</v>
      </c>
      <c r="AM5419">
        <v>102.305310518365</v>
      </c>
      <c r="AN5419">
        <v>1.00000002597073</v>
      </c>
    </row>
    <row r="5420" spans="1:40" x14ac:dyDescent="0.25">
      <c r="A5420" t="str">
        <f>"20190304155523944"</f>
        <v>20190304155523944</v>
      </c>
      <c r="B5420" t="str">
        <f>"1551686123932977"</f>
        <v>1551686123932977</v>
      </c>
      <c r="C5420" t="s">
        <v>40</v>
      </c>
      <c r="D5420">
        <v>4.7505889999999997</v>
      </c>
      <c r="E5420">
        <v>0.41083320000000001</v>
      </c>
      <c r="F5420" t="s">
        <v>74</v>
      </c>
      <c r="G5420">
        <v>-181.18610000000001</v>
      </c>
      <c r="H5420" s="1">
        <v>-3.7945860000000001E-6</v>
      </c>
      <c r="I5420">
        <v>-46.6479</v>
      </c>
      <c r="J5420">
        <v>-209.0899</v>
      </c>
      <c r="K5420">
        <v>1.115421</v>
      </c>
      <c r="L5420">
        <v>-62.9754</v>
      </c>
      <c r="M5420">
        <v>0.99501569999999995</v>
      </c>
      <c r="N5420">
        <v>-1.458917E-2</v>
      </c>
      <c r="O5420">
        <v>9.8644659999999995E-2</v>
      </c>
      <c r="P5420">
        <v>0.93876669999999995</v>
      </c>
      <c r="Q5420">
        <v>0.16472899999999999</v>
      </c>
      <c r="R5420">
        <v>0.30262460000000002</v>
      </c>
      <c r="S5420">
        <v>2.7088169999999998</v>
      </c>
      <c r="T5420">
        <v>-0.1077403</v>
      </c>
      <c r="U5420">
        <v>1.578857</v>
      </c>
      <c r="V5420">
        <v>-0.2107656</v>
      </c>
      <c r="W5420">
        <v>0.17614099999999999</v>
      </c>
      <c r="X5420">
        <v>0.96153639999999996</v>
      </c>
      <c r="Y5420">
        <v>-0.41554049999999998</v>
      </c>
      <c r="Z5420">
        <v>8.6505599999999998E-3</v>
      </c>
      <c r="AA5420">
        <v>0.90953360000000005</v>
      </c>
      <c r="AB5420">
        <v>28</v>
      </c>
      <c r="AC5420">
        <v>27.903799999999901</v>
      </c>
      <c r="AD5420">
        <v>-1.1154247945860001</v>
      </c>
      <c r="AE5420">
        <v>16.327500000000001</v>
      </c>
      <c r="AF5420">
        <v>-13.478950423038</v>
      </c>
      <c r="AG5420">
        <v>-1.1154247945860001</v>
      </c>
      <c r="AH5420">
        <v>29.343539275731899</v>
      </c>
      <c r="AI5420">
        <v>91.978359927754894</v>
      </c>
      <c r="AJ5420">
        <v>114.67167756117</v>
      </c>
      <c r="AK5420">
        <v>32.310518012026897</v>
      </c>
      <c r="AL5420">
        <v>79.854936108016403</v>
      </c>
      <c r="AM5420">
        <v>102.363509907863</v>
      </c>
      <c r="AN5420">
        <v>1.0000000192746501</v>
      </c>
    </row>
    <row r="5421" spans="1:40" x14ac:dyDescent="0.25">
      <c r="A5421" t="str">
        <f>"20190304155523955"</f>
        <v>20190304155523955</v>
      </c>
      <c r="B5421" t="str">
        <f>"1551686123953474"</f>
        <v>1551686123953474</v>
      </c>
      <c r="C5421" t="s">
        <v>40</v>
      </c>
      <c r="D5421">
        <v>4.6268099999999999</v>
      </c>
      <c r="E5421">
        <v>0.43914039999999999</v>
      </c>
      <c r="F5421" t="s">
        <v>74</v>
      </c>
      <c r="G5421">
        <v>-181.15369999999999</v>
      </c>
      <c r="H5421" s="1">
        <v>-3.8601499999999998E-6</v>
      </c>
      <c r="I5421">
        <v>-46.52496</v>
      </c>
      <c r="J5421">
        <v>-208.95480000000001</v>
      </c>
      <c r="K5421">
        <v>1.115524</v>
      </c>
      <c r="L5421">
        <v>-62.95834</v>
      </c>
      <c r="M5421">
        <v>0.99465349999999997</v>
      </c>
      <c r="N5421">
        <v>-1.4595530000000001E-2</v>
      </c>
      <c r="O5421">
        <v>0.1022324</v>
      </c>
      <c r="P5421">
        <v>0.93739419999999996</v>
      </c>
      <c r="Q5421">
        <v>0.16467379999999901</v>
      </c>
      <c r="R5421">
        <v>0.30687920000000002</v>
      </c>
      <c r="S5421">
        <v>2.7017519999999999</v>
      </c>
      <c r="T5421">
        <v>-0.107874</v>
      </c>
      <c r="U5421">
        <v>1.5909420000000001</v>
      </c>
      <c r="V5421">
        <v>-0.211702</v>
      </c>
      <c r="W5421">
        <v>0.17602599999999999</v>
      </c>
      <c r="X5421">
        <v>0.96135170000000003</v>
      </c>
      <c r="Y5421">
        <v>-0.41632039999999998</v>
      </c>
      <c r="Z5421">
        <v>8.6045549999999998E-3</v>
      </c>
      <c r="AA5421">
        <v>0.90917729999999997</v>
      </c>
      <c r="AB5421">
        <v>28</v>
      </c>
      <c r="AC5421">
        <v>27.801100000000002</v>
      </c>
      <c r="AD5421">
        <v>-1.1155278601500001</v>
      </c>
      <c r="AE5421">
        <v>16.43338</v>
      </c>
      <c r="AF5421">
        <v>-13.4886897600084</v>
      </c>
      <c r="AG5421">
        <v>-1.1155278601500001</v>
      </c>
      <c r="AH5421">
        <v>29.300648975285402</v>
      </c>
      <c r="AI5421">
        <v>91.980681490292199</v>
      </c>
      <c r="AJ5421">
        <v>114.71919874492799</v>
      </c>
      <c r="AK5421">
        <v>32.275643823499799</v>
      </c>
      <c r="AL5421">
        <v>79.861629411475803</v>
      </c>
      <c r="AM5421">
        <v>102.419050536485</v>
      </c>
      <c r="AN5421">
        <v>0.99999999028644404</v>
      </c>
    </row>
    <row r="5422" spans="1:40" x14ac:dyDescent="0.25">
      <c r="A5422" t="str">
        <f>"20190304155523967"</f>
        <v>20190304155523967</v>
      </c>
      <c r="B5422" t="str">
        <f>"1551686123963232"</f>
        <v>1551686123963232</v>
      </c>
      <c r="C5422" t="s">
        <v>40</v>
      </c>
      <c r="D5422">
        <v>4.6082839999999896</v>
      </c>
      <c r="E5422">
        <v>0.44599319999999998</v>
      </c>
      <c r="F5422" t="s">
        <v>74</v>
      </c>
      <c r="G5422">
        <v>-189.47989999999999</v>
      </c>
      <c r="H5422" s="1">
        <v>-1.0773350000000001E-5</v>
      </c>
      <c r="I5422">
        <v>-53.207239999999999</v>
      </c>
      <c r="J5422">
        <v>-208.81809999999999</v>
      </c>
      <c r="K5422">
        <v>1.115626</v>
      </c>
      <c r="L5422">
        <v>-62.94061</v>
      </c>
      <c r="M5422">
        <v>0.9942645</v>
      </c>
      <c r="N5422">
        <v>-1.4603130000000001E-2</v>
      </c>
      <c r="O5422">
        <v>0.1059469</v>
      </c>
      <c r="P5422">
        <v>0.93595989999999996</v>
      </c>
      <c r="Q5422">
        <v>0.1645781</v>
      </c>
      <c r="R5422">
        <v>0.31127660000000001</v>
      </c>
      <c r="S5422">
        <v>2.7736360000000002</v>
      </c>
      <c r="T5422">
        <v>-0.15887589999999999</v>
      </c>
      <c r="U5422">
        <v>1.388763</v>
      </c>
      <c r="V5422">
        <v>-0.21266779999999999</v>
      </c>
      <c r="W5422">
        <v>0.17586969999999999</v>
      </c>
      <c r="X5422">
        <v>0.9611672</v>
      </c>
      <c r="Y5422">
        <v>-0.34993180000000002</v>
      </c>
      <c r="Z5422">
        <v>7.9460940000000008E-3</v>
      </c>
      <c r="AA5422">
        <v>0.9367415</v>
      </c>
      <c r="AB5422">
        <v>28</v>
      </c>
      <c r="AC5422">
        <v>19.338200000000001</v>
      </c>
      <c r="AD5422">
        <v>-1.1156367733499899</v>
      </c>
      <c r="AE5422">
        <v>9.7333699999999901</v>
      </c>
      <c r="AF5422">
        <v>-7.6093292859773101</v>
      </c>
      <c r="AG5422">
        <v>-1.1156367733499899</v>
      </c>
      <c r="AH5422">
        <v>20.207007900138599</v>
      </c>
      <c r="AI5422">
        <v>92.957751103980698</v>
      </c>
      <c r="AJ5422">
        <v>110.63480979061799</v>
      </c>
      <c r="AK5422">
        <v>21.6210477514099</v>
      </c>
      <c r="AL5422">
        <v>79.870727433033693</v>
      </c>
      <c r="AM5422">
        <v>102.476257050142</v>
      </c>
      <c r="AN5422">
        <v>1.00000006544538</v>
      </c>
    </row>
    <row r="5423" spans="1:40" x14ac:dyDescent="0.25">
      <c r="A5423" t="str">
        <f>"20190304155523978"</f>
        <v>20190304155523978</v>
      </c>
      <c r="B5423" t="str">
        <f>"1551686123972993"</f>
        <v>1551686123972993</v>
      </c>
      <c r="C5423" t="s">
        <v>40</v>
      </c>
      <c r="D5423">
        <v>4.633375</v>
      </c>
      <c r="E5423">
        <v>0.4504997</v>
      </c>
      <c r="F5423" t="s">
        <v>74</v>
      </c>
      <c r="G5423">
        <v>-190.1156</v>
      </c>
      <c r="H5423" s="1">
        <v>-8.5430809999999993E-6</v>
      </c>
      <c r="I5423">
        <v>-53.878520000000002</v>
      </c>
      <c r="J5423">
        <v>-208.6747</v>
      </c>
      <c r="K5423">
        <v>1.1157429999999999</v>
      </c>
      <c r="L5423">
        <v>-62.921419999999998</v>
      </c>
      <c r="M5423">
        <v>0.99383120000000003</v>
      </c>
      <c r="N5423">
        <v>-1.461223E-2</v>
      </c>
      <c r="O5423">
        <v>0.1099366</v>
      </c>
      <c r="P5423">
        <v>0.9344422</v>
      </c>
      <c r="Q5423">
        <v>0.16461120000000001</v>
      </c>
      <c r="R5423">
        <v>0.31578650000000003</v>
      </c>
      <c r="S5423">
        <v>2.7855989999999999</v>
      </c>
      <c r="T5423">
        <v>-0.16616549999999999</v>
      </c>
      <c r="U5423">
        <v>1.349731</v>
      </c>
      <c r="V5423">
        <v>-0.2134952</v>
      </c>
      <c r="W5423">
        <v>0.17584149999999901</v>
      </c>
      <c r="X5423">
        <v>0.96098890000000003</v>
      </c>
      <c r="Y5423">
        <v>-0.33393309999999998</v>
      </c>
      <c r="Z5423">
        <v>7.3732090000000004E-3</v>
      </c>
      <c r="AA5423">
        <v>0.94256790000000001</v>
      </c>
      <c r="AB5423">
        <v>28</v>
      </c>
      <c r="AC5423">
        <v>18.559100000000001</v>
      </c>
      <c r="AD5423">
        <v>-1.1157515430810001</v>
      </c>
      <c r="AE5423">
        <v>9.0428999999999995</v>
      </c>
      <c r="AF5423">
        <v>-6.9272999579895798</v>
      </c>
      <c r="AG5423">
        <v>-1.1157515430810001</v>
      </c>
      <c r="AH5423">
        <v>19.384215527809801</v>
      </c>
      <c r="AI5423">
        <v>93.102544651063795</v>
      </c>
      <c r="AJ5423">
        <v>109.66526798613801</v>
      </c>
      <c r="AK5423">
        <v>20.615047849627501</v>
      </c>
      <c r="AL5423">
        <v>79.872368591475393</v>
      </c>
      <c r="AM5423">
        <v>102.52551865436401</v>
      </c>
      <c r="AN5423">
        <v>1.0000000497342401</v>
      </c>
    </row>
    <row r="5424" spans="1:40" x14ac:dyDescent="0.25">
      <c r="A5424" t="str">
        <f>"20190304155523994"</f>
        <v>20190304155523994</v>
      </c>
      <c r="B5424" t="str">
        <f>"1551686123982753"</f>
        <v>1551686123982753</v>
      </c>
      <c r="C5424" t="s">
        <v>40</v>
      </c>
      <c r="D5424">
        <v>4.6565099999999999</v>
      </c>
      <c r="E5424">
        <v>0.45349970000000001</v>
      </c>
      <c r="F5424" t="s">
        <v>74</v>
      </c>
      <c r="G5424">
        <v>-190.35239999999999</v>
      </c>
      <c r="H5424" s="1">
        <v>-8.4502760000000004E-6</v>
      </c>
      <c r="I5424">
        <v>-54.198810000000002</v>
      </c>
      <c r="J5424">
        <v>-208.48869999999999</v>
      </c>
      <c r="K5424">
        <v>1.1159140000000001</v>
      </c>
      <c r="L5424">
        <v>-62.895389999999999</v>
      </c>
      <c r="M5424">
        <v>0.99322670000000002</v>
      </c>
      <c r="N5424">
        <v>-1.462625E-2</v>
      </c>
      <c r="O5424">
        <v>0.1152691</v>
      </c>
      <c r="P5424">
        <v>0.9324827</v>
      </c>
      <c r="Q5424">
        <v>0.1646212</v>
      </c>
      <c r="R5424">
        <v>0.32152160000000002</v>
      </c>
      <c r="S5424">
        <v>2.7913359999999998</v>
      </c>
      <c r="T5424">
        <v>-0.16998079999999999</v>
      </c>
      <c r="U5424">
        <v>1.328857</v>
      </c>
      <c r="V5424">
        <v>-0.21431169999999999</v>
      </c>
      <c r="W5424">
        <v>0.1757697</v>
      </c>
      <c r="X5424">
        <v>0.96082020000000001</v>
      </c>
      <c r="Y5424">
        <v>-0.32236690000000001</v>
      </c>
      <c r="Z5424">
        <v>6.7987610000000004E-3</v>
      </c>
      <c r="AA5424">
        <v>0.94659040000000005</v>
      </c>
      <c r="AB5424">
        <v>28</v>
      </c>
      <c r="AC5424">
        <v>18.136299999999999</v>
      </c>
      <c r="AD5424">
        <v>-1.1159224502759999</v>
      </c>
      <c r="AE5424">
        <v>8.6965800000000009</v>
      </c>
      <c r="AF5424">
        <v>-6.5277270244527399</v>
      </c>
      <c r="AG5424">
        <v>-1.1159224502759999</v>
      </c>
      <c r="AH5424">
        <v>18.959576681218</v>
      </c>
      <c r="AI5424">
        <v>93.185329785283102</v>
      </c>
      <c r="AJ5424">
        <v>108.998436351628</v>
      </c>
      <c r="AK5424">
        <v>20.082879548306501</v>
      </c>
      <c r="AL5424">
        <v>79.876546745326607</v>
      </c>
      <c r="AM5424">
        <v>102.574038891407</v>
      </c>
      <c r="AN5424">
        <v>0.99999997446150901</v>
      </c>
    </row>
    <row r="5425" spans="1:40" x14ac:dyDescent="0.25">
      <c r="A5425" t="str">
        <f>"20190304155524010"</f>
        <v>20190304155524010</v>
      </c>
      <c r="B5425" t="str">
        <f>"1551686124003249"</f>
        <v>1551686124003249</v>
      </c>
      <c r="C5425" t="s">
        <v>40</v>
      </c>
      <c r="D5425">
        <v>4.6525109999999996</v>
      </c>
      <c r="E5425">
        <v>0.45758159999999998</v>
      </c>
      <c r="F5425" t="s">
        <v>74</v>
      </c>
      <c r="G5425">
        <v>-190.71780000000001</v>
      </c>
      <c r="H5425" s="1">
        <v>-8.3874749999999904E-6</v>
      </c>
      <c r="I5425">
        <v>-54.47195</v>
      </c>
      <c r="J5425">
        <v>-208.2961</v>
      </c>
      <c r="K5425">
        <v>1.1161099999999999</v>
      </c>
      <c r="L5425">
        <v>-62.867220000000003</v>
      </c>
      <c r="M5425">
        <v>0.99255230000000005</v>
      </c>
      <c r="N5425">
        <v>-1.4641400000000001E-2</v>
      </c>
      <c r="O5425">
        <v>0.120936</v>
      </c>
      <c r="P5425">
        <v>0.93030190000000001</v>
      </c>
      <c r="Q5425">
        <v>0.16516459999999999</v>
      </c>
      <c r="R5425">
        <v>0.32750439999999997</v>
      </c>
      <c r="S5425">
        <v>2.7919010000000002</v>
      </c>
      <c r="T5425">
        <v>-0.17531720000000001</v>
      </c>
      <c r="U5425">
        <v>1.323364</v>
      </c>
      <c r="V5425">
        <v>-0.2150958</v>
      </c>
      <c r="W5425">
        <v>0.17622209999999999</v>
      </c>
      <c r="X5425">
        <v>0.96056209999999997</v>
      </c>
      <c r="Y5425">
        <v>-0.315355</v>
      </c>
      <c r="Z5425">
        <v>6.374088E-3</v>
      </c>
      <c r="AA5425">
        <v>0.94895240000000003</v>
      </c>
      <c r="AB5425">
        <v>28</v>
      </c>
      <c r="AC5425">
        <v>17.578299999999899</v>
      </c>
      <c r="AD5425">
        <v>-1.116118387475</v>
      </c>
      <c r="AE5425">
        <v>8.3952699999999894</v>
      </c>
      <c r="AF5425">
        <v>-6.1872497379673499</v>
      </c>
      <c r="AG5425">
        <v>-1.116118387475</v>
      </c>
      <c r="AH5425">
        <v>18.4042360351241</v>
      </c>
      <c r="AI5425">
        <v>93.289922960152893</v>
      </c>
      <c r="AJ5425">
        <v>108.58193297211299</v>
      </c>
      <c r="AK5425">
        <v>19.4484879518022</v>
      </c>
      <c r="AL5425">
        <v>79.8502152784218</v>
      </c>
      <c r="AM5425">
        <v>102.62185466759399</v>
      </c>
      <c r="AN5425">
        <v>0.99999998983122995</v>
      </c>
    </row>
    <row r="5426" spans="1:40" x14ac:dyDescent="0.25">
      <c r="A5426" t="str">
        <f>"20190304155524026"</f>
        <v>20190304155524026</v>
      </c>
      <c r="B5426" t="str">
        <f>"1551686124022769"</f>
        <v>1551686124022769</v>
      </c>
      <c r="C5426" t="s">
        <v>40</v>
      </c>
      <c r="D5426">
        <v>4.6273010000000001</v>
      </c>
      <c r="E5426">
        <v>0.46005279999999998</v>
      </c>
      <c r="F5426" t="s">
        <v>74</v>
      </c>
      <c r="G5426">
        <v>-190.74809999999999</v>
      </c>
      <c r="H5426" s="1">
        <v>-8.329498E-6</v>
      </c>
      <c r="I5426">
        <v>-54.639719999999997</v>
      </c>
      <c r="J5426">
        <v>-208.09520000000001</v>
      </c>
      <c r="K5426">
        <v>1.116325</v>
      </c>
      <c r="L5426">
        <v>-62.836579999999998</v>
      </c>
      <c r="M5426">
        <v>0.99179459999999997</v>
      </c>
      <c r="N5426">
        <v>-1.465757E-2</v>
      </c>
      <c r="O5426">
        <v>0.12699820000000001</v>
      </c>
      <c r="P5426">
        <v>0.9277493</v>
      </c>
      <c r="Q5426">
        <v>0.16598280000000001</v>
      </c>
      <c r="R5426">
        <v>0.33426220000000001</v>
      </c>
      <c r="S5426">
        <v>2.7949980000000001</v>
      </c>
      <c r="T5426">
        <v>-0.1777726</v>
      </c>
      <c r="U5426">
        <v>1.3104549999999999</v>
      </c>
      <c r="V5426">
        <v>-0.21633040000000001</v>
      </c>
      <c r="W5426">
        <v>0.17693139999999999</v>
      </c>
      <c r="X5426">
        <v>0.96015439999999996</v>
      </c>
      <c r="Y5426">
        <v>-0.30556149999999999</v>
      </c>
      <c r="Z5426">
        <v>5.7648459999999997E-3</v>
      </c>
      <c r="AA5426">
        <v>0.95215490000000003</v>
      </c>
      <c r="AB5426">
        <v>28</v>
      </c>
      <c r="AC5426">
        <v>17.347100000000001</v>
      </c>
      <c r="AD5426">
        <v>-1.116333329498</v>
      </c>
      <c r="AE5426">
        <v>8.1968599999999991</v>
      </c>
      <c r="AF5426">
        <v>-5.9071898178379696</v>
      </c>
      <c r="AG5426">
        <v>-1.116333329498</v>
      </c>
      <c r="AH5426">
        <v>18.186140334883799</v>
      </c>
      <c r="AI5426">
        <v>93.341200808592703</v>
      </c>
      <c r="AJ5426">
        <v>107.994741130088</v>
      </c>
      <c r="AK5426">
        <v>19.1540280861913</v>
      </c>
      <c r="AL5426">
        <v>79.808926886940398</v>
      </c>
      <c r="AM5426">
        <v>102.69717531089999</v>
      </c>
      <c r="AN5426">
        <v>1.0000000170547301</v>
      </c>
    </row>
    <row r="5427" spans="1:40" x14ac:dyDescent="0.25">
      <c r="A5427" t="str">
        <f>"20190304155524037"</f>
        <v>20190304155524037</v>
      </c>
      <c r="B5427" t="str">
        <f>"1551686124033504"</f>
        <v>1551686124033504</v>
      </c>
      <c r="C5427" t="s">
        <v>40</v>
      </c>
      <c r="D5427">
        <v>4.6270170000000004</v>
      </c>
      <c r="E5427">
        <v>0.4607347</v>
      </c>
      <c r="F5427" t="s">
        <v>74</v>
      </c>
      <c r="G5427">
        <v>-190.6063</v>
      </c>
      <c r="H5427" s="1">
        <v>-8.3244430000000004E-6</v>
      </c>
      <c r="I5427">
        <v>-54.614669999999997</v>
      </c>
      <c r="J5427">
        <v>-207.94890000000001</v>
      </c>
      <c r="K5427">
        <v>1.1164829999999999</v>
      </c>
      <c r="L5427">
        <v>-62.81335</v>
      </c>
      <c r="M5427">
        <v>0.99120520000000001</v>
      </c>
      <c r="N5427">
        <v>-1.466975E-2</v>
      </c>
      <c r="O5427">
        <v>0.13151879999999999</v>
      </c>
      <c r="P5427">
        <v>0.92606100000000002</v>
      </c>
      <c r="Q5427">
        <v>0.166270899999999</v>
      </c>
      <c r="R5427">
        <v>0.33877000000000002</v>
      </c>
      <c r="S5427">
        <v>2.7925420000000001</v>
      </c>
      <c r="T5427">
        <v>-0.17825089999999999</v>
      </c>
      <c r="U5427">
        <v>1.3128359999999999</v>
      </c>
      <c r="V5427">
        <v>-0.21669579999999999</v>
      </c>
      <c r="W5427">
        <v>0.17714959999999999</v>
      </c>
      <c r="X5427">
        <v>0.96003170000000004</v>
      </c>
      <c r="Y5427">
        <v>-0.3022146</v>
      </c>
      <c r="Z5427">
        <v>5.4428139999999998E-3</v>
      </c>
      <c r="AA5427">
        <v>0.95322439999999997</v>
      </c>
      <c r="AB5427">
        <v>28</v>
      </c>
      <c r="AC5427">
        <v>17.342600000000001</v>
      </c>
      <c r="AD5427">
        <v>-1.1164913244429999</v>
      </c>
      <c r="AE5427">
        <v>8.1986799999999995</v>
      </c>
      <c r="AF5427">
        <v>-5.82658731814095</v>
      </c>
      <c r="AG5427">
        <v>-1.1164913244429999</v>
      </c>
      <c r="AH5427">
        <v>18.208638448704001</v>
      </c>
      <c r="AI5427">
        <v>93.342251618142299</v>
      </c>
      <c r="AJ5427">
        <v>107.74416644670499</v>
      </c>
      <c r="AK5427">
        <v>19.150722879544301</v>
      </c>
      <c r="AL5427">
        <v>79.796223680863903</v>
      </c>
      <c r="AM5427">
        <v>102.719497483197</v>
      </c>
      <c r="AN5427">
        <v>0.99999995776134398</v>
      </c>
    </row>
    <row r="5428" spans="1:40" x14ac:dyDescent="0.25">
      <c r="A5428" t="str">
        <f>"20190304155524049"</f>
        <v>20190304155524049</v>
      </c>
      <c r="B5428" t="str">
        <f>"1551686124043265"</f>
        <v>1551686124043265</v>
      </c>
      <c r="C5428" t="s">
        <v>40</v>
      </c>
      <c r="D5428">
        <v>4.6620759999999999</v>
      </c>
      <c r="E5428">
        <v>0.46142850000000002</v>
      </c>
      <c r="F5428" t="s">
        <v>74</v>
      </c>
      <c r="G5428">
        <v>-190.65459999999999</v>
      </c>
      <c r="H5428" s="1">
        <v>-8.3290169999999992E-6</v>
      </c>
      <c r="I5428">
        <v>-54.615380000000002</v>
      </c>
      <c r="J5428">
        <v>-207.81870000000001</v>
      </c>
      <c r="K5428">
        <v>1.116617</v>
      </c>
      <c r="L5428">
        <v>-62.791870000000003</v>
      </c>
      <c r="M5428">
        <v>0.99065060000000005</v>
      </c>
      <c r="N5428">
        <v>-1.4681090000000001E-2</v>
      </c>
      <c r="O5428">
        <v>0.1356319</v>
      </c>
      <c r="P5428">
        <v>0.92434959999999999</v>
      </c>
      <c r="Q5428">
        <v>0.166824</v>
      </c>
      <c r="R5428">
        <v>0.34314420000000001</v>
      </c>
      <c r="S5428">
        <v>2.7883300000000002</v>
      </c>
      <c r="T5428">
        <v>-0.18001010000000001</v>
      </c>
      <c r="U5428">
        <v>1.321747</v>
      </c>
      <c r="V5428">
        <v>-0.21732599999999999</v>
      </c>
      <c r="W5428">
        <v>0.17763570000000001</v>
      </c>
      <c r="X5428">
        <v>0.95979939999999997</v>
      </c>
      <c r="Y5428">
        <v>-0.30130079999999998</v>
      </c>
      <c r="Z5428">
        <v>5.2373400000000001E-3</v>
      </c>
      <c r="AA5428">
        <v>0.9535148</v>
      </c>
      <c r="AB5428">
        <v>28</v>
      </c>
      <c r="AC5428">
        <v>17.164100000000001</v>
      </c>
      <c r="AD5428">
        <v>-1.1166253290170001</v>
      </c>
      <c r="AE5428">
        <v>8.1764899999999905</v>
      </c>
      <c r="AF5428">
        <v>-5.7528226876870301</v>
      </c>
      <c r="AG5428">
        <v>-1.1166253290170001</v>
      </c>
      <c r="AH5428">
        <v>18.052298697752001</v>
      </c>
      <c r="AI5428">
        <v>93.372815970363007</v>
      </c>
      <c r="AJ5428">
        <v>107.675798482541</v>
      </c>
      <c r="AK5428">
        <v>18.979655141077401</v>
      </c>
      <c r="AL5428">
        <v>79.767923387675793</v>
      </c>
      <c r="AM5428">
        <v>102.758266286994</v>
      </c>
      <c r="AN5428">
        <v>0.99999996021542403</v>
      </c>
    </row>
    <row r="5429" spans="1:40" x14ac:dyDescent="0.25">
      <c r="A5429" t="str">
        <f>"20190304155524059"</f>
        <v>20190304155524059</v>
      </c>
      <c r="B5429" t="str">
        <f>"1551686124053025"</f>
        <v>1551686124053025</v>
      </c>
      <c r="C5429" t="s">
        <v>40</v>
      </c>
      <c r="D5429">
        <v>4.6617980000000001</v>
      </c>
      <c r="E5429">
        <v>0.46210620000000002</v>
      </c>
      <c r="F5429" t="s">
        <v>74</v>
      </c>
      <c r="G5429">
        <v>-190.56899999999999</v>
      </c>
      <c r="H5429" s="1">
        <v>-8.3428400000000002E-6</v>
      </c>
      <c r="I5429">
        <v>-54.553820000000002</v>
      </c>
      <c r="J5429">
        <v>-207.67570000000001</v>
      </c>
      <c r="K5429">
        <v>1.116763</v>
      </c>
      <c r="L5429">
        <v>-62.767879999999998</v>
      </c>
      <c r="M5429">
        <v>0.99001499999999998</v>
      </c>
      <c r="N5429">
        <v>-1.4693100000000001E-2</v>
      </c>
      <c r="O5429">
        <v>0.1401946</v>
      </c>
      <c r="P5429">
        <v>0.92256130000000003</v>
      </c>
      <c r="Q5429">
        <v>0.16689570000000001</v>
      </c>
      <c r="R5429">
        <v>0.347889</v>
      </c>
      <c r="S5429">
        <v>2.784424</v>
      </c>
      <c r="T5429">
        <v>-0.18024380000000001</v>
      </c>
      <c r="U5429">
        <v>1.3297730000000001</v>
      </c>
      <c r="V5429">
        <v>-0.21789790000000001</v>
      </c>
      <c r="W5429">
        <v>0.17763899999999999</v>
      </c>
      <c r="X5429">
        <v>0.9596692</v>
      </c>
      <c r="Y5429">
        <v>-0.29967250000000001</v>
      </c>
      <c r="Z5429">
        <v>4.9724219999999998E-3</v>
      </c>
      <c r="AA5429">
        <v>0.95402920000000002</v>
      </c>
      <c r="AB5429">
        <v>28</v>
      </c>
      <c r="AC5429">
        <v>17.106699999999901</v>
      </c>
      <c r="AD5429">
        <v>-1.1167713428399999</v>
      </c>
      <c r="AE5429">
        <v>8.2140599999999999</v>
      </c>
      <c r="AF5429">
        <v>-5.7146028139337401</v>
      </c>
      <c r="AG5429">
        <v>-1.1167713428399999</v>
      </c>
      <c r="AH5429">
        <v>18.0269748810788</v>
      </c>
      <c r="AI5429">
        <v>93.3796112129655</v>
      </c>
      <c r="AJ5429">
        <v>107.588764623411</v>
      </c>
      <c r="AK5429">
        <v>18.944014540647299</v>
      </c>
      <c r="AL5429">
        <v>79.767732094415095</v>
      </c>
      <c r="AM5429">
        <v>102.79241527870199</v>
      </c>
      <c r="AN5429">
        <v>1.00000004128702</v>
      </c>
    </row>
    <row r="5430" spans="1:40" x14ac:dyDescent="0.25">
      <c r="A5430" t="str">
        <f>"20190304155524073"</f>
        <v>20190304155524073</v>
      </c>
      <c r="B5430" t="str">
        <f>"1551686124062785"</f>
        <v>1551686124062785</v>
      </c>
      <c r="C5430" t="s">
        <v>40</v>
      </c>
      <c r="D5430">
        <v>4.6928939999999999</v>
      </c>
      <c r="E5430">
        <v>0.46312320000000001</v>
      </c>
      <c r="F5430" t="s">
        <v>74</v>
      </c>
      <c r="G5430">
        <v>-190.6275</v>
      </c>
      <c r="H5430" s="1">
        <v>-8.3475219999999995E-6</v>
      </c>
      <c r="I5430">
        <v>-54.557020000000001</v>
      </c>
      <c r="J5430">
        <v>-207.51830000000001</v>
      </c>
      <c r="K5430">
        <v>1.116916</v>
      </c>
      <c r="L5430">
        <v>-62.740079999999999</v>
      </c>
      <c r="M5430">
        <v>0.98926709999999995</v>
      </c>
      <c r="N5430">
        <v>-1.470759E-2</v>
      </c>
      <c r="O5430">
        <v>0.14537749999999999</v>
      </c>
      <c r="P5430">
        <v>0.92043569999999997</v>
      </c>
      <c r="Q5430">
        <v>0.16739760000000001</v>
      </c>
      <c r="R5430">
        <v>0.35323690000000002</v>
      </c>
      <c r="S5430">
        <v>2.7798919999999998</v>
      </c>
      <c r="T5430">
        <v>-0.18210119999999999</v>
      </c>
      <c r="U5430">
        <v>1.338867</v>
      </c>
      <c r="V5430">
        <v>-0.21852489999999999</v>
      </c>
      <c r="W5430">
        <v>0.178067899999999</v>
      </c>
      <c r="X5430">
        <v>0.9594471</v>
      </c>
      <c r="Y5430">
        <v>-0.29781819999999998</v>
      </c>
      <c r="Z5430">
        <v>4.6732939999999997E-3</v>
      </c>
      <c r="AA5430">
        <v>0.95461119999999999</v>
      </c>
      <c r="AB5430">
        <v>28</v>
      </c>
      <c r="AC5430">
        <v>16.890799999999999</v>
      </c>
      <c r="AD5430">
        <v>-1.1169243475220001</v>
      </c>
      <c r="AE5430">
        <v>8.18306000000001</v>
      </c>
      <c r="AF5430">
        <v>-5.6203945111062303</v>
      </c>
      <c r="AG5430">
        <v>-1.1169243475220001</v>
      </c>
      <c r="AH5430">
        <v>17.837906630553999</v>
      </c>
      <c r="AI5430">
        <v>93.417696868264102</v>
      </c>
      <c r="AJ5430">
        <v>107.488675702249</v>
      </c>
      <c r="AK5430">
        <v>18.735721694637899</v>
      </c>
      <c r="AL5430">
        <v>79.742759615443404</v>
      </c>
      <c r="AM5430">
        <v>102.830880433004</v>
      </c>
      <c r="AN5430">
        <v>1.00000002331441</v>
      </c>
    </row>
    <row r="5431" spans="1:40" x14ac:dyDescent="0.25">
      <c r="A5431" t="str">
        <f>"20190304155524085"</f>
        <v>20190304155524085</v>
      </c>
      <c r="B5431" t="str">
        <f>"1551686124073522"</f>
        <v>1551686124073522</v>
      </c>
      <c r="C5431" t="s">
        <v>40</v>
      </c>
      <c r="D5431">
        <v>4.6982670000000004</v>
      </c>
      <c r="E5431">
        <v>0.46402910000000003</v>
      </c>
      <c r="F5431" t="s">
        <v>74</v>
      </c>
      <c r="G5431">
        <v>-190.2783</v>
      </c>
      <c r="H5431" s="1">
        <v>-8.3810449999999996E-6</v>
      </c>
      <c r="I5431">
        <v>-54.368870000000001</v>
      </c>
      <c r="J5431">
        <v>-207.38210000000001</v>
      </c>
      <c r="K5431">
        <v>1.1170469999999999</v>
      </c>
      <c r="L5431">
        <v>-62.71564</v>
      </c>
      <c r="M5431">
        <v>0.9885893</v>
      </c>
      <c r="N5431">
        <v>-1.4719990000000001E-2</v>
      </c>
      <c r="O5431">
        <v>0.1499154</v>
      </c>
      <c r="P5431">
        <v>0.91852299999999998</v>
      </c>
      <c r="Q5431">
        <v>0.16809830000000001</v>
      </c>
      <c r="R5431">
        <v>0.35785289999999997</v>
      </c>
      <c r="S5431">
        <v>2.774918</v>
      </c>
      <c r="T5431">
        <v>-0.17977760000000001</v>
      </c>
      <c r="U5431">
        <v>1.3474120000000001</v>
      </c>
      <c r="V5431">
        <v>-0.21902260000000001</v>
      </c>
      <c r="W5431">
        <v>0.17870549999999999</v>
      </c>
      <c r="X5431">
        <v>0.95921500000000004</v>
      </c>
      <c r="Y5431">
        <v>-0.29650490000000002</v>
      </c>
      <c r="Z5431">
        <v>4.417191E-3</v>
      </c>
      <c r="AA5431">
        <v>0.95502109999999996</v>
      </c>
      <c r="AB5431">
        <v>28</v>
      </c>
      <c r="AC5431">
        <v>17.1038</v>
      </c>
      <c r="AD5431">
        <v>-1.1170553810449999</v>
      </c>
      <c r="AE5431">
        <v>8.3467699999999994</v>
      </c>
      <c r="AF5431">
        <v>-5.66849242662569</v>
      </c>
      <c r="AG5431">
        <v>-1.1170553810449999</v>
      </c>
      <c r="AH5431">
        <v>18.099556603401499</v>
      </c>
      <c r="AI5431">
        <v>93.370622885613599</v>
      </c>
      <c r="AJ5431">
        <v>107.389723880435</v>
      </c>
      <c r="AK5431">
        <v>18.999304417656099</v>
      </c>
      <c r="AL5431">
        <v>79.705631929728099</v>
      </c>
      <c r="AM5431">
        <v>102.86214092233701</v>
      </c>
      <c r="AN5431">
        <v>0.99999998563300496</v>
      </c>
    </row>
    <row r="5432" spans="1:40" x14ac:dyDescent="0.25">
      <c r="A5432" t="str">
        <f>"20190304155524095"</f>
        <v>20190304155524095</v>
      </c>
      <c r="B5432" t="str">
        <f>"1551686124093041"</f>
        <v>1551686124093041</v>
      </c>
      <c r="C5432" t="s">
        <v>40</v>
      </c>
      <c r="D5432">
        <v>4.6945360000000003</v>
      </c>
      <c r="E5432">
        <v>0.46560479999999999</v>
      </c>
      <c r="F5432" t="s">
        <v>74</v>
      </c>
      <c r="G5432">
        <v>-189.9272</v>
      </c>
      <c r="H5432" s="1">
        <v>-1.09740699999999E-5</v>
      </c>
      <c r="I5432">
        <v>-54.181849999999997</v>
      </c>
      <c r="J5432">
        <v>-207.24760000000001</v>
      </c>
      <c r="K5432">
        <v>1.1171709999999999</v>
      </c>
      <c r="L5432">
        <v>-62.6905199999999</v>
      </c>
      <c r="M5432">
        <v>0.98788140000000002</v>
      </c>
      <c r="N5432">
        <v>-1.4733619999999999E-2</v>
      </c>
      <c r="O5432">
        <v>0.15450939999999999</v>
      </c>
      <c r="P5432">
        <v>0.91670010000000002</v>
      </c>
      <c r="Q5432">
        <v>0.16872889999999999</v>
      </c>
      <c r="R5432">
        <v>0.36220390000000002</v>
      </c>
      <c r="S5432">
        <v>2.7707820000000001</v>
      </c>
      <c r="T5432">
        <v>-0.1773207</v>
      </c>
      <c r="U5432">
        <v>1.3546450000000001</v>
      </c>
      <c r="V5432">
        <v>-0.21919130000000001</v>
      </c>
      <c r="W5432">
        <v>0.179283</v>
      </c>
      <c r="X5432">
        <v>0.9590687</v>
      </c>
      <c r="Y5432">
        <v>-0.2946569</v>
      </c>
      <c r="Z5432">
        <v>4.146645E-3</v>
      </c>
      <c r="AA5432">
        <v>0.9555941</v>
      </c>
      <c r="AB5432">
        <v>28</v>
      </c>
      <c r="AC5432">
        <v>17.320399999999999</v>
      </c>
      <c r="AD5432">
        <v>-1.11718197407</v>
      </c>
      <c r="AE5432">
        <v>8.5086699999999897</v>
      </c>
      <c r="AF5432">
        <v>-5.7108742188438102</v>
      </c>
      <c r="AG5432">
        <v>-1.11718197407</v>
      </c>
      <c r="AH5432">
        <v>18.365618398849001</v>
      </c>
      <c r="AI5432">
        <v>93.324380842449301</v>
      </c>
      <c r="AJ5432">
        <v>107.273323924537</v>
      </c>
      <c r="AK5432">
        <v>19.265464413784098</v>
      </c>
      <c r="AL5432">
        <v>79.672000577173094</v>
      </c>
      <c r="AM5432">
        <v>102.873616083112</v>
      </c>
      <c r="AN5432">
        <v>0.99999999570219</v>
      </c>
    </row>
    <row r="5433" spans="1:40" x14ac:dyDescent="0.25">
      <c r="A5433" t="str">
        <f>"20190304155524106"</f>
        <v>20190304155524106</v>
      </c>
      <c r="B5433" t="str">
        <f>"1551686124102801"</f>
        <v>1551686124102801</v>
      </c>
      <c r="C5433" t="s">
        <v>40</v>
      </c>
      <c r="D5433">
        <v>4.6887679999999996</v>
      </c>
      <c r="E5433">
        <v>0.46636440000000001</v>
      </c>
      <c r="F5433" t="s">
        <v>74</v>
      </c>
      <c r="G5433">
        <v>-189.6052</v>
      </c>
      <c r="H5433" s="1">
        <v>-1.1004789999999999E-5</v>
      </c>
      <c r="I5433">
        <v>-54.050190000000001</v>
      </c>
      <c r="J5433">
        <v>-207.1139</v>
      </c>
      <c r="K5433">
        <v>1.117292</v>
      </c>
      <c r="L5433">
        <v>-62.664920000000002</v>
      </c>
      <c r="M5433">
        <v>0.98714539999999995</v>
      </c>
      <c r="N5433">
        <v>-1.474789E-2</v>
      </c>
      <c r="O5433">
        <v>0.159143799999999</v>
      </c>
      <c r="P5433">
        <v>0.9149022</v>
      </c>
      <c r="Q5433">
        <v>0.1690904</v>
      </c>
      <c r="R5433">
        <v>0.36655520000000003</v>
      </c>
      <c r="S5433">
        <v>2.7690579999999998</v>
      </c>
      <c r="T5433">
        <v>-0.175347</v>
      </c>
      <c r="U5433">
        <v>1.3561399999999999</v>
      </c>
      <c r="V5433">
        <v>-0.21931249999999999</v>
      </c>
      <c r="W5433">
        <v>0.17959549999999999</v>
      </c>
      <c r="X5433">
        <v>0.95898249999999996</v>
      </c>
      <c r="Y5433">
        <v>-0.29084100000000002</v>
      </c>
      <c r="Z5433">
        <v>3.8072929999999998E-3</v>
      </c>
      <c r="AA5433">
        <v>0.95676380000000005</v>
      </c>
      <c r="AB5433">
        <v>28</v>
      </c>
      <c r="AC5433">
        <v>17.508700000000001</v>
      </c>
      <c r="AD5433">
        <v>-1.1173030047900001</v>
      </c>
      <c r="AE5433">
        <v>8.6147299999999891</v>
      </c>
      <c r="AF5433">
        <v>-5.6995249448284397</v>
      </c>
      <c r="AG5433">
        <v>-1.1173030047900001</v>
      </c>
      <c r="AH5433">
        <v>18.595673074116199</v>
      </c>
      <c r="AI5433">
        <v>93.287817970529105</v>
      </c>
      <c r="AJ5433">
        <v>107.04016453375</v>
      </c>
      <c r="AK5433">
        <v>19.4815812417947</v>
      </c>
      <c r="AL5433">
        <v>79.653800028944602</v>
      </c>
      <c r="AM5433">
        <v>102.88161625097</v>
      </c>
      <c r="AN5433">
        <v>0.99999997579137401</v>
      </c>
    </row>
    <row r="5434" spans="1:40" x14ac:dyDescent="0.25">
      <c r="A5434" t="str">
        <f>"20190304155524117"</f>
        <v>20190304155524117</v>
      </c>
      <c r="B5434" t="str">
        <f>"1551686124113537"</f>
        <v>1551686124113537</v>
      </c>
      <c r="C5434" t="s">
        <v>40</v>
      </c>
      <c r="D5434">
        <v>4.6770750000000003</v>
      </c>
      <c r="E5434">
        <v>0.46636440000000001</v>
      </c>
      <c r="F5434" t="s">
        <v>74</v>
      </c>
      <c r="G5434">
        <v>-189.38409999999999</v>
      </c>
      <c r="H5434" s="1">
        <v>-1.101368E-5</v>
      </c>
      <c r="I5434">
        <v>-53.920079999999999</v>
      </c>
      <c r="J5434">
        <v>-206.98650000000001</v>
      </c>
      <c r="K5434">
        <v>1.117405</v>
      </c>
      <c r="L5434">
        <v>-62.639890000000001</v>
      </c>
      <c r="M5434">
        <v>0.9864115</v>
      </c>
      <c r="N5434">
        <v>-1.4762330000000001E-2</v>
      </c>
      <c r="O5434">
        <v>0.16362939999999901</v>
      </c>
      <c r="P5434">
        <v>0.91316929999999996</v>
      </c>
      <c r="Q5434">
        <v>0.169505399999999</v>
      </c>
      <c r="R5434">
        <v>0.37066139999999997</v>
      </c>
      <c r="S5434">
        <v>2.7648619999999999</v>
      </c>
      <c r="T5434">
        <v>-0.17423729999999901</v>
      </c>
      <c r="U5434">
        <v>1.3637079999999999</v>
      </c>
      <c r="V5434">
        <v>-0.2193271</v>
      </c>
      <c r="W5434">
        <v>0.17996789999999999</v>
      </c>
      <c r="X5434">
        <v>0.95890940000000002</v>
      </c>
      <c r="Y5434">
        <v>-0.28918529999999998</v>
      </c>
      <c r="Z5434">
        <v>3.5590029999999998E-3</v>
      </c>
      <c r="AA5434">
        <v>0.95726650000000002</v>
      </c>
      <c r="AB5434">
        <v>28</v>
      </c>
      <c r="AC5434">
        <v>17.602399999999999</v>
      </c>
      <c r="AD5434">
        <v>-1.11741601367999</v>
      </c>
      <c r="AE5434">
        <v>8.7198099999999901</v>
      </c>
      <c r="AF5434">
        <v>-5.70321943450584</v>
      </c>
      <c r="AG5434">
        <v>-1.11741601367999</v>
      </c>
      <c r="AH5434">
        <v>18.731462618738799</v>
      </c>
      <c r="AI5434">
        <v>93.266208015656503</v>
      </c>
      <c r="AJ5434">
        <v>106.934062260725</v>
      </c>
      <c r="AK5434">
        <v>19.612318126701901</v>
      </c>
      <c r="AL5434">
        <v>79.632110233008206</v>
      </c>
      <c r="AM5434">
        <v>102.883394483852</v>
      </c>
      <c r="AN5434">
        <v>1.0000000296165801</v>
      </c>
    </row>
    <row r="5435" spans="1:40" x14ac:dyDescent="0.25">
      <c r="A5435" t="str">
        <f>"20190304155524128"</f>
        <v>20190304155524128</v>
      </c>
      <c r="B5435" t="str">
        <f>"1551686124123297"</f>
        <v>1551686124123297</v>
      </c>
      <c r="C5435" t="s">
        <v>40</v>
      </c>
      <c r="D5435">
        <v>4.6946640000000004</v>
      </c>
      <c r="E5435">
        <v>0.48061389999999998</v>
      </c>
      <c r="F5435" t="s">
        <v>74</v>
      </c>
      <c r="G5435">
        <v>-189.15860000000001</v>
      </c>
      <c r="H5435" s="1">
        <v>-1.101006E-5</v>
      </c>
      <c r="I5435">
        <v>-53.746110000000002</v>
      </c>
      <c r="J5435">
        <v>-206.8586</v>
      </c>
      <c r="K5435">
        <v>1.1175139999999999</v>
      </c>
      <c r="L5435">
        <v>-62.613950000000003</v>
      </c>
      <c r="M5435">
        <v>0.98564050000000003</v>
      </c>
      <c r="N5435">
        <v>-1.4777530000000001E-2</v>
      </c>
      <c r="O5435">
        <v>0.1682101</v>
      </c>
      <c r="P5435">
        <v>0.91148479999999998</v>
      </c>
      <c r="Q5435">
        <v>0.16995299999999999</v>
      </c>
      <c r="R5435">
        <v>0.37458200000000003</v>
      </c>
      <c r="S5435">
        <v>2.7587429999999999</v>
      </c>
      <c r="T5435">
        <v>-0.1729125</v>
      </c>
      <c r="U5435">
        <v>1.3762509999999999</v>
      </c>
      <c r="V5435">
        <v>-0.21905820000000001</v>
      </c>
      <c r="W5435">
        <v>0.18038109999999999</v>
      </c>
      <c r="X5435">
        <v>0.9588932</v>
      </c>
      <c r="Y5435">
        <v>-0.28908040000000002</v>
      </c>
      <c r="Z5435">
        <v>3.3703460000000002E-3</v>
      </c>
      <c r="AA5435">
        <v>0.95729889999999995</v>
      </c>
      <c r="AB5435">
        <v>28</v>
      </c>
      <c r="AC5435">
        <v>17.6999999999999</v>
      </c>
      <c r="AD5435">
        <v>-1.1175250100599901</v>
      </c>
      <c r="AE5435">
        <v>8.8678399999999993</v>
      </c>
      <c r="AF5435">
        <v>-5.7455044708380498</v>
      </c>
      <c r="AG5435">
        <v>-1.1175250100599901</v>
      </c>
      <c r="AH5435">
        <v>18.879404867417001</v>
      </c>
      <c r="AI5435">
        <v>93.241115332383202</v>
      </c>
      <c r="AJ5435">
        <v>106.926398263869</v>
      </c>
      <c r="AK5435">
        <v>19.7659204673189</v>
      </c>
      <c r="AL5435">
        <v>79.608041444532603</v>
      </c>
      <c r="AM5435">
        <v>102.86833544264699</v>
      </c>
      <c r="AN5435">
        <v>1.0000000026153399</v>
      </c>
    </row>
    <row r="5436" spans="1:40" x14ac:dyDescent="0.25">
      <c r="A5436" t="str">
        <f>"20190304155524138"</f>
        <v>20190304155524138</v>
      </c>
      <c r="B5436" t="str">
        <f>"1551686124133057"</f>
        <v>1551686124133057</v>
      </c>
      <c r="C5436" t="s">
        <v>40</v>
      </c>
      <c r="D5436">
        <v>4.690499</v>
      </c>
      <c r="E5436">
        <v>0.48088920000000002</v>
      </c>
      <c r="F5436" t="s">
        <v>74</v>
      </c>
      <c r="G5436">
        <v>-188.72239999999999</v>
      </c>
      <c r="H5436" s="1">
        <v>-1.1274120000000001E-5</v>
      </c>
      <c r="I5436">
        <v>-54.291379999999997</v>
      </c>
      <c r="J5436">
        <v>-206.71950000000001</v>
      </c>
      <c r="K5436">
        <v>1.117624</v>
      </c>
      <c r="L5436">
        <v>-62.585270000000001</v>
      </c>
      <c r="M5436">
        <v>0.98476819999999998</v>
      </c>
      <c r="N5436">
        <v>-1.4794E-2</v>
      </c>
      <c r="O5436">
        <v>0.17324149999999999</v>
      </c>
      <c r="P5436">
        <v>0.90956599999999999</v>
      </c>
      <c r="Q5436">
        <v>0.17048540000000001</v>
      </c>
      <c r="R5436">
        <v>0.37897799999999998</v>
      </c>
      <c r="S5436">
        <v>2.7961580000000001</v>
      </c>
      <c r="T5436">
        <v>-0.1722957</v>
      </c>
      <c r="U5436">
        <v>1.283142</v>
      </c>
      <c r="V5436">
        <v>-0.2188648</v>
      </c>
      <c r="W5436">
        <v>0.18087539999999999</v>
      </c>
      <c r="X5436">
        <v>0.95884420000000004</v>
      </c>
      <c r="Y5436">
        <v>-0.2529477</v>
      </c>
      <c r="Z5436">
        <v>1.827782E-3</v>
      </c>
      <c r="AA5436">
        <v>0.96747819999999995</v>
      </c>
      <c r="AB5436">
        <v>28</v>
      </c>
      <c r="AC5436">
        <v>17.9971</v>
      </c>
      <c r="AD5436">
        <v>-1.11763527412</v>
      </c>
      <c r="AE5436">
        <v>8.2938899999999904</v>
      </c>
      <c r="AF5436">
        <v>-5.0342537917197197</v>
      </c>
      <c r="AG5436">
        <v>-1.11763527412</v>
      </c>
      <c r="AH5436">
        <v>19.101156011834298</v>
      </c>
      <c r="AI5436">
        <v>93.238303147981597</v>
      </c>
      <c r="AJ5436">
        <v>104.76497597230799</v>
      </c>
      <c r="AK5436">
        <v>19.785019101174399</v>
      </c>
      <c r="AL5436">
        <v>79.579246008075302</v>
      </c>
      <c r="AM5436">
        <v>102.857987323147</v>
      </c>
      <c r="AN5436">
        <v>0.99999995543891895</v>
      </c>
    </row>
    <row r="5437" spans="1:40" x14ac:dyDescent="0.25">
      <c r="A5437" t="str">
        <f>"20190304155524151"</f>
        <v>20190304155524151</v>
      </c>
      <c r="B5437" t="str">
        <f>"1551686124142818"</f>
        <v>1551686124142818</v>
      </c>
      <c r="C5437" t="s">
        <v>40</v>
      </c>
      <c r="D5437">
        <v>4.7112059999999998</v>
      </c>
      <c r="E5437">
        <v>0.48113299999999998</v>
      </c>
      <c r="F5437" t="s">
        <v>74</v>
      </c>
      <c r="G5437">
        <v>-188.53110000000001</v>
      </c>
      <c r="H5437" s="1">
        <v>-1.1272719999999999E-5</v>
      </c>
      <c r="I5437">
        <v>-54.1492199999999</v>
      </c>
      <c r="J5437">
        <v>-206.58580000000001</v>
      </c>
      <c r="K5437">
        <v>1.1177319999999999</v>
      </c>
      <c r="L5437">
        <v>-62.556489999999997</v>
      </c>
      <c r="M5437">
        <v>0.98388430000000004</v>
      </c>
      <c r="N5437">
        <v>-1.481069E-2</v>
      </c>
      <c r="O5437">
        <v>0.1781922</v>
      </c>
      <c r="P5437">
        <v>0.90767569999999997</v>
      </c>
      <c r="Q5437">
        <v>0.1705615</v>
      </c>
      <c r="R5437">
        <v>0.3834496</v>
      </c>
      <c r="S5437">
        <v>2.7910460000000001</v>
      </c>
      <c r="T5437">
        <v>-0.17150309999999999</v>
      </c>
      <c r="U5437">
        <v>1.2945249999999999</v>
      </c>
      <c r="V5437">
        <v>-0.21880869999999999</v>
      </c>
      <c r="W5437">
        <v>0.18091579999999999</v>
      </c>
      <c r="X5437">
        <v>0.95884939999999996</v>
      </c>
      <c r="Y5437">
        <v>-0.2520136</v>
      </c>
      <c r="Z5437">
        <v>1.600338E-3</v>
      </c>
      <c r="AA5437">
        <v>0.96772239999999998</v>
      </c>
      <c r="AB5437">
        <v>28</v>
      </c>
      <c r="AC5437">
        <v>18.0547</v>
      </c>
      <c r="AD5437">
        <v>-1.1177432727199901</v>
      </c>
      <c r="AE5437">
        <v>8.4072700000000093</v>
      </c>
      <c r="AF5437">
        <v>-5.0392561356788299</v>
      </c>
      <c r="AG5437">
        <v>-1.1177432727199901</v>
      </c>
      <c r="AH5437">
        <v>19.203471936536602</v>
      </c>
      <c r="AI5437">
        <v>93.222301021744002</v>
      </c>
      <c r="AJ5437">
        <v>104.703683543716</v>
      </c>
      <c r="AK5437">
        <v>19.885089560825101</v>
      </c>
      <c r="AL5437">
        <v>79.576892613710697</v>
      </c>
      <c r="AM5437">
        <v>102.854733637264</v>
      </c>
      <c r="AN5437">
        <v>0.99999997288284403</v>
      </c>
    </row>
    <row r="5438" spans="1:40" x14ac:dyDescent="0.25">
      <c r="A5438" t="str">
        <f>"20190304155524162"</f>
        <v>20190304155524162</v>
      </c>
      <c r="B5438" t="str">
        <f>"1551686124152867"</f>
        <v>1551686124152867</v>
      </c>
      <c r="C5438" t="s">
        <v>40</v>
      </c>
      <c r="D5438">
        <v>4.7164570000000001</v>
      </c>
      <c r="E5438">
        <v>0.48172019999999999</v>
      </c>
      <c r="F5438" t="s">
        <v>74</v>
      </c>
      <c r="G5438">
        <v>-188.55699999999999</v>
      </c>
      <c r="H5438" s="1">
        <v>-1.1251500000000001E-5</v>
      </c>
      <c r="I5438">
        <v>-54.098880000000001</v>
      </c>
      <c r="J5438">
        <v>-206.45099999999999</v>
      </c>
      <c r="K5438">
        <v>1.1178399999999999</v>
      </c>
      <c r="L5438">
        <v>-62.527189999999997</v>
      </c>
      <c r="M5438">
        <v>0.98296269999999997</v>
      </c>
      <c r="N5438">
        <v>-1.4826840000000001E-2</v>
      </c>
      <c r="O5438">
        <v>0.18320639999999999</v>
      </c>
      <c r="P5438">
        <v>0.90578570000000003</v>
      </c>
      <c r="Q5438">
        <v>0.17067570000000001</v>
      </c>
      <c r="R5438">
        <v>0.3878431</v>
      </c>
      <c r="S5438">
        <v>2.785568</v>
      </c>
      <c r="T5438">
        <v>-0.17269960000000001</v>
      </c>
      <c r="U5438">
        <v>1.3067629999999999</v>
      </c>
      <c r="V5438">
        <v>-0.21861610000000001</v>
      </c>
      <c r="W5438">
        <v>0.18099689999999999</v>
      </c>
      <c r="X5438">
        <v>0.95887800000000001</v>
      </c>
      <c r="Y5438">
        <v>-0.25129839999999998</v>
      </c>
      <c r="Z5438">
        <v>1.3437309999999999E-3</v>
      </c>
      <c r="AA5438">
        <v>0.96790869999999996</v>
      </c>
      <c r="AB5438">
        <v>28</v>
      </c>
      <c r="AC5438">
        <v>17.893999999999899</v>
      </c>
      <c r="AD5438">
        <v>-1.1178512515000001</v>
      </c>
      <c r="AE5438">
        <v>8.4283099999999997</v>
      </c>
      <c r="AF5438">
        <v>-4.9910278801767998</v>
      </c>
      <c r="AG5438">
        <v>-1.1178512515000001</v>
      </c>
      <c r="AH5438">
        <v>19.074433833993599</v>
      </c>
      <c r="AI5438">
        <v>93.244964093416201</v>
      </c>
      <c r="AJ5438">
        <v>104.663301124585</v>
      </c>
      <c r="AK5438">
        <v>19.748265159466101</v>
      </c>
      <c r="AL5438">
        <v>79.572167663559</v>
      </c>
      <c r="AM5438">
        <v>102.843423672931</v>
      </c>
      <c r="AN5438">
        <v>0.99999994793640801</v>
      </c>
    </row>
    <row r="5439" spans="1:40" x14ac:dyDescent="0.25">
      <c r="A5439" t="str">
        <f>"20190304155524172"</f>
        <v>20190304155524172</v>
      </c>
      <c r="B5439" t="str">
        <f>"1551686124162748"</f>
        <v>1551686124162748</v>
      </c>
      <c r="C5439" t="s">
        <v>40</v>
      </c>
      <c r="D5439">
        <v>4.7103710000000003</v>
      </c>
      <c r="E5439">
        <v>0.48228460000000001</v>
      </c>
      <c r="F5439" t="s">
        <v>74</v>
      </c>
      <c r="G5439">
        <v>-188.58590000000001</v>
      </c>
      <c r="H5439" s="1">
        <v>-1.1236949999999999E-5</v>
      </c>
      <c r="I5439">
        <v>-54.072299999999998</v>
      </c>
      <c r="J5439">
        <v>-206.3228</v>
      </c>
      <c r="K5439">
        <v>1.1179429999999999</v>
      </c>
      <c r="L5439">
        <v>-62.498080000000002</v>
      </c>
      <c r="M5439">
        <v>0.98203890000000005</v>
      </c>
      <c r="N5439">
        <v>-1.4843439999999999E-2</v>
      </c>
      <c r="O5439">
        <v>0.18809409999999999</v>
      </c>
      <c r="P5439">
        <v>0.90394099999999999</v>
      </c>
      <c r="Q5439">
        <v>0.1708855</v>
      </c>
      <c r="R5439">
        <v>0.39203159999999998</v>
      </c>
      <c r="S5439">
        <v>2.7812350000000001</v>
      </c>
      <c r="T5439">
        <v>-0.1740266</v>
      </c>
      <c r="U5439">
        <v>1.316254</v>
      </c>
      <c r="V5439">
        <v>-0.21833569999999999</v>
      </c>
      <c r="W5439">
        <v>0.1811798</v>
      </c>
      <c r="X5439">
        <v>0.95890739999999997</v>
      </c>
      <c r="Y5439">
        <v>-0.24976860000000001</v>
      </c>
      <c r="Z5439">
        <v>1.055758E-3</v>
      </c>
      <c r="AA5439">
        <v>0.96830499999999997</v>
      </c>
      <c r="AB5439">
        <v>28</v>
      </c>
      <c r="AC5439">
        <v>17.736899999999899</v>
      </c>
      <c r="AD5439">
        <v>-1.11795423695</v>
      </c>
      <c r="AE5439">
        <v>8.4257799999999996</v>
      </c>
      <c r="AF5439">
        <v>-4.9228248839037603</v>
      </c>
      <c r="AG5439">
        <v>-1.11795423695</v>
      </c>
      <c r="AH5439">
        <v>18.9438550168862</v>
      </c>
      <c r="AI5439">
        <v>93.269014097074304</v>
      </c>
      <c r="AJ5439">
        <v>104.56691413849001</v>
      </c>
      <c r="AK5439">
        <v>19.604939923761599</v>
      </c>
      <c r="AL5439">
        <v>79.561512642026202</v>
      </c>
      <c r="AM5439">
        <v>102.827115539988</v>
      </c>
      <c r="AN5439">
        <v>0.99999999979864496</v>
      </c>
    </row>
    <row r="5440" spans="1:40" x14ac:dyDescent="0.25">
      <c r="A5440" t="str">
        <f>"20190304155524183"</f>
        <v>20190304155524183</v>
      </c>
      <c r="B5440" t="str">
        <f>"1551686124173481"</f>
        <v>1551686124173481</v>
      </c>
      <c r="C5440" t="s">
        <v>40</v>
      </c>
      <c r="D5440">
        <v>4.7430459999999997</v>
      </c>
      <c r="E5440">
        <v>0.482908</v>
      </c>
      <c r="F5440" t="s">
        <v>74</v>
      </c>
      <c r="G5440">
        <v>-188.48220000000001</v>
      </c>
      <c r="H5440" s="1">
        <v>-1.123371E-5</v>
      </c>
      <c r="I5440">
        <v>-53.9871699999999</v>
      </c>
      <c r="J5440">
        <v>-206.19380000000001</v>
      </c>
      <c r="K5440">
        <v>1.1180399999999999</v>
      </c>
      <c r="L5440">
        <v>-62.46848</v>
      </c>
      <c r="M5440">
        <v>0.98108010000000001</v>
      </c>
      <c r="N5440">
        <v>-1.4859549999999999E-2</v>
      </c>
      <c r="O5440">
        <v>0.19303139999999999</v>
      </c>
      <c r="P5440">
        <v>0.90189269999999999</v>
      </c>
      <c r="Q5440">
        <v>0.17152619999999999</v>
      </c>
      <c r="R5440">
        <v>0.39644489999999999</v>
      </c>
      <c r="S5440">
        <v>2.7771149999999998</v>
      </c>
      <c r="T5440">
        <v>-0.1740236</v>
      </c>
      <c r="U5440">
        <v>1.324829</v>
      </c>
      <c r="V5440">
        <v>-0.21827460000000001</v>
      </c>
      <c r="W5440">
        <v>0.18178800000000001</v>
      </c>
      <c r="X5440">
        <v>0.95880620000000005</v>
      </c>
      <c r="Y5440">
        <v>-0.24789949999999999</v>
      </c>
      <c r="Z5440">
        <v>7.7775819999999999E-4</v>
      </c>
      <c r="AA5440">
        <v>0.96878549999999997</v>
      </c>
      <c r="AB5440">
        <v>28</v>
      </c>
      <c r="AC5440">
        <v>17.711600000000001</v>
      </c>
      <c r="AD5440">
        <v>-1.1180512337099999</v>
      </c>
      <c r="AE5440">
        <v>8.4813100000000095</v>
      </c>
      <c r="AF5440">
        <v>-4.8866504000300903</v>
      </c>
      <c r="AG5440">
        <v>-1.1180512337099999</v>
      </c>
      <c r="AH5440">
        <v>18.954315296831499</v>
      </c>
      <c r="AI5440">
        <v>93.269120124637695</v>
      </c>
      <c r="AJ5440">
        <v>104.456729854863</v>
      </c>
      <c r="AK5440">
        <v>19.606005688691798</v>
      </c>
      <c r="AL5440">
        <v>79.526076939163602</v>
      </c>
      <c r="AM5440">
        <v>102.824953393207</v>
      </c>
      <c r="AN5440">
        <v>1.0000000035537999</v>
      </c>
    </row>
    <row r="5441" spans="1:40" x14ac:dyDescent="0.25">
      <c r="A5441" t="str">
        <f>"20190304155524196"</f>
        <v>20190304155524196</v>
      </c>
      <c r="B5441" t="str">
        <f>"1551686124193210"</f>
        <v>1551686124193210</v>
      </c>
      <c r="C5441" t="s">
        <v>40</v>
      </c>
      <c r="D5441">
        <v>4.6250679999999997</v>
      </c>
      <c r="E5441">
        <v>0.48350149999999997</v>
      </c>
      <c r="F5441" t="s">
        <v>74</v>
      </c>
      <c r="G5441">
        <v>-188.1842</v>
      </c>
      <c r="H5441" s="1">
        <v>-1.124372E-5</v>
      </c>
      <c r="I5441">
        <v>-53.805419999999998</v>
      </c>
      <c r="J5441">
        <v>-206.04920000000001</v>
      </c>
      <c r="K5441">
        <v>1.1181460000000001</v>
      </c>
      <c r="L5441">
        <v>-62.434080000000002</v>
      </c>
      <c r="M5441">
        <v>0.97995410000000005</v>
      </c>
      <c r="N5441">
        <v>-1.487847E-2</v>
      </c>
      <c r="O5441">
        <v>0.19866729999999999</v>
      </c>
      <c r="P5441">
        <v>0.89948249999999996</v>
      </c>
      <c r="Q5441">
        <v>0.1721009</v>
      </c>
      <c r="R5441">
        <v>0.40163759999999998</v>
      </c>
      <c r="S5441">
        <v>2.7727810000000002</v>
      </c>
      <c r="T5441">
        <v>-0.17213589999999901</v>
      </c>
      <c r="U5441">
        <v>1.33377099999999</v>
      </c>
      <c r="V5441">
        <v>-0.21836630000000001</v>
      </c>
      <c r="W5441">
        <v>0.18232619999999999</v>
      </c>
      <c r="X5441">
        <v>0.95868310000000001</v>
      </c>
      <c r="Y5441">
        <v>-0.24547289999999999</v>
      </c>
      <c r="Z5441">
        <v>4.9671160000000004E-4</v>
      </c>
      <c r="AA5441">
        <v>0.96940329999999997</v>
      </c>
      <c r="AB5441">
        <v>28</v>
      </c>
      <c r="AC5441">
        <v>17.864999999999998</v>
      </c>
      <c r="AD5441">
        <v>-1.11815724371999</v>
      </c>
      <c r="AE5441">
        <v>8.62866</v>
      </c>
      <c r="AF5441">
        <v>-4.8915048838566602</v>
      </c>
      <c r="AG5441">
        <v>-1.11815724371999</v>
      </c>
      <c r="AH5441">
        <v>19.162371749131299</v>
      </c>
      <c r="AI5441">
        <v>93.235985330011601</v>
      </c>
      <c r="AJ5441">
        <v>104.31986922624699</v>
      </c>
      <c r="AK5441">
        <v>19.808422115412998</v>
      </c>
      <c r="AL5441">
        <v>79.494716054253701</v>
      </c>
      <c r="AM5441">
        <v>102.831755968409</v>
      </c>
      <c r="AN5441">
        <v>0.99999998520387001</v>
      </c>
    </row>
    <row r="5442" spans="1:40" x14ac:dyDescent="0.25">
      <c r="A5442" t="str">
        <f>"20190304155524207"</f>
        <v>20190304155524207</v>
      </c>
      <c r="B5442" t="str">
        <f>"1551686124202971"</f>
        <v>1551686124202971</v>
      </c>
      <c r="C5442" t="s">
        <v>40</v>
      </c>
      <c r="D5442">
        <v>4.7511919999999996</v>
      </c>
      <c r="E5442">
        <v>0.48467250000000001</v>
      </c>
      <c r="F5442" t="s">
        <v>74</v>
      </c>
      <c r="G5442">
        <v>-187.90270000000001</v>
      </c>
      <c r="H5442" s="1">
        <v>-1.1246829999999999E-5</v>
      </c>
      <c r="I5442">
        <v>-53.613069999999901</v>
      </c>
      <c r="J5442">
        <v>-205.9111</v>
      </c>
      <c r="K5442">
        <v>1.118241</v>
      </c>
      <c r="L5442">
        <v>-62.400419999999997</v>
      </c>
      <c r="M5442">
        <v>0.97883509999999996</v>
      </c>
      <c r="N5442">
        <v>-1.4896309999999999E-2</v>
      </c>
      <c r="O5442">
        <v>0.2041076</v>
      </c>
      <c r="P5442">
        <v>0.8969724</v>
      </c>
      <c r="Q5442">
        <v>0.1725371</v>
      </c>
      <c r="R5442">
        <v>0.40702759999999999</v>
      </c>
      <c r="S5442">
        <v>2.767242</v>
      </c>
      <c r="T5442">
        <v>-0.17051269999999999</v>
      </c>
      <c r="U5442">
        <v>1.345154</v>
      </c>
      <c r="V5442">
        <v>-0.2188601</v>
      </c>
      <c r="W5442">
        <v>0.18272099999999999</v>
      </c>
      <c r="X5442">
        <v>0.95849530000000005</v>
      </c>
      <c r="Y5442">
        <v>-0.2440872</v>
      </c>
      <c r="Z5442">
        <v>2.6268230000000002E-4</v>
      </c>
      <c r="AA5442">
        <v>0.96975330000000004</v>
      </c>
      <c r="AB5442">
        <v>28</v>
      </c>
      <c r="AC5442">
        <v>18.008399999999899</v>
      </c>
      <c r="AD5442">
        <v>-1.11825224683</v>
      </c>
      <c r="AE5442">
        <v>8.78735</v>
      </c>
      <c r="AF5442">
        <v>-4.9109673504162599</v>
      </c>
      <c r="AG5442">
        <v>-1.11825224683</v>
      </c>
      <c r="AH5442">
        <v>19.362671542666401</v>
      </c>
      <c r="AI5442">
        <v>93.204101262073294</v>
      </c>
      <c r="AJ5442">
        <v>104.231861054977</v>
      </c>
      <c r="AK5442">
        <v>20.0070272072984</v>
      </c>
      <c r="AL5442">
        <v>79.471709075847699</v>
      </c>
      <c r="AM5442">
        <v>102.862245056837</v>
      </c>
      <c r="AN5442">
        <v>0.999999973667549</v>
      </c>
    </row>
    <row r="5443" spans="1:40" x14ac:dyDescent="0.25">
      <c r="A5443" t="str">
        <f>"20190304155524225"</f>
        <v>20190304155524225</v>
      </c>
      <c r="B5443" t="str">
        <f>"1551686124212731"</f>
        <v>1551686124212731</v>
      </c>
      <c r="C5443" t="s">
        <v>40</v>
      </c>
      <c r="D5443">
        <v>4.7412640000000001</v>
      </c>
      <c r="E5443">
        <v>0.48530259999999997</v>
      </c>
      <c r="F5443" t="s">
        <v>74</v>
      </c>
      <c r="G5443">
        <v>-188.1678</v>
      </c>
      <c r="H5443" s="1">
        <v>-1.121943E-5</v>
      </c>
      <c r="I5443">
        <v>-53.71461</v>
      </c>
      <c r="J5443">
        <v>-205.7167</v>
      </c>
      <c r="K5443">
        <v>1.1183689999999999</v>
      </c>
      <c r="L5443">
        <v>-62.351680000000002</v>
      </c>
      <c r="M5443">
        <v>0.9771841</v>
      </c>
      <c r="N5443">
        <v>-1.492112E-2</v>
      </c>
      <c r="O5443">
        <v>0.21186969999999999</v>
      </c>
      <c r="P5443">
        <v>0.8934126</v>
      </c>
      <c r="Q5443">
        <v>0.1736299</v>
      </c>
      <c r="R5443">
        <v>0.41432659999999999</v>
      </c>
      <c r="S5443">
        <v>2.764084</v>
      </c>
      <c r="T5443">
        <v>-0.174203</v>
      </c>
      <c r="U5443">
        <v>1.3530879999999901</v>
      </c>
      <c r="V5443">
        <v>-0.2191874</v>
      </c>
      <c r="W5443">
        <v>0.18376439999999999</v>
      </c>
      <c r="X5443">
        <v>0.95822099999999999</v>
      </c>
      <c r="Y5443">
        <v>-0.23907980000000001</v>
      </c>
      <c r="Z5443">
        <v>-3.4826060000000002E-4</v>
      </c>
      <c r="AA5443">
        <v>0.97099979999999997</v>
      </c>
      <c r="AB5443">
        <v>28</v>
      </c>
      <c r="AC5443">
        <v>17.5489</v>
      </c>
      <c r="AD5443">
        <v>-1.1183802194300001</v>
      </c>
      <c r="AE5443">
        <v>8.6370699999999996</v>
      </c>
      <c r="AF5443">
        <v>-4.7070630572438796</v>
      </c>
      <c r="AG5443">
        <v>-1.1183802194300001</v>
      </c>
      <c r="AH5443">
        <v>18.918696914698302</v>
      </c>
      <c r="AI5443">
        <v>93.283239539791794</v>
      </c>
      <c r="AJ5443">
        <v>103.971774977362</v>
      </c>
      <c r="AK5443">
        <v>19.5275269783528</v>
      </c>
      <c r="AL5443">
        <v>79.410897011899706</v>
      </c>
      <c r="AM5443">
        <v>102.88440332363901</v>
      </c>
      <c r="AN5443">
        <v>0.99999997793355899</v>
      </c>
    </row>
    <row r="5444" spans="1:40" x14ac:dyDescent="0.25">
      <c r="A5444" t="str">
        <f>"20190304155524237"</f>
        <v>20190304155524237</v>
      </c>
      <c r="B5444" t="str">
        <f>"1551686124233227"</f>
        <v>1551686124233227</v>
      </c>
      <c r="C5444" t="s">
        <v>40</v>
      </c>
      <c r="D5444">
        <v>4.7753100000000002</v>
      </c>
      <c r="E5444">
        <v>0.48706860000000002</v>
      </c>
      <c r="F5444" t="s">
        <v>74</v>
      </c>
      <c r="G5444">
        <v>-187.56890000000001</v>
      </c>
      <c r="H5444" s="1">
        <v>-1.123067E-5</v>
      </c>
      <c r="I5444">
        <v>-53.320469999999901</v>
      </c>
      <c r="J5444">
        <v>-205.5659</v>
      </c>
      <c r="K5444">
        <v>1.118466</v>
      </c>
      <c r="L5444">
        <v>-62.3125</v>
      </c>
      <c r="M5444">
        <v>0.97583600000000004</v>
      </c>
      <c r="N5444">
        <v>-1.494039E-2</v>
      </c>
      <c r="O5444">
        <v>0.2179931</v>
      </c>
      <c r="P5444">
        <v>0.8905322</v>
      </c>
      <c r="Q5444">
        <v>0.17409659999999999</v>
      </c>
      <c r="R5444">
        <v>0.42028919999999997</v>
      </c>
      <c r="S5444">
        <v>2.7550810000000001</v>
      </c>
      <c r="T5444">
        <v>-0.16978550000000001</v>
      </c>
      <c r="U5444">
        <v>1.3710629999999999</v>
      </c>
      <c r="V5444">
        <v>-0.2196534</v>
      </c>
      <c r="W5444">
        <v>0.18419189999999999</v>
      </c>
      <c r="X5444">
        <v>0.95803229999999995</v>
      </c>
      <c r="Y5444">
        <v>-0.23934720000000001</v>
      </c>
      <c r="Z5444">
        <v>-4.5645700000000001E-4</v>
      </c>
      <c r="AA5444">
        <v>0.97093399999999996</v>
      </c>
      <c r="AB5444">
        <v>28</v>
      </c>
      <c r="AC5444">
        <v>17.9969999999999</v>
      </c>
      <c r="AD5444">
        <v>-1.1184772306699999</v>
      </c>
      <c r="AE5444">
        <v>8.9920299999999997</v>
      </c>
      <c r="AF5444">
        <v>-4.8371155787276798</v>
      </c>
      <c r="AG5444">
        <v>-1.1184772306699999</v>
      </c>
      <c r="AH5444">
        <v>19.464339053465601</v>
      </c>
      <c r="AI5444">
        <v>93.191888668349506</v>
      </c>
      <c r="AJ5444">
        <v>103.95595704038701</v>
      </c>
      <c r="AK5444">
        <v>20.0875377591621</v>
      </c>
      <c r="AL5444">
        <v>79.385978796959904</v>
      </c>
      <c r="AM5444">
        <v>102.913336795879</v>
      </c>
      <c r="AN5444">
        <v>1.00000008000022</v>
      </c>
    </row>
    <row r="5445" spans="1:40" x14ac:dyDescent="0.25">
      <c r="A5445" t="str">
        <f>"20190304155524248"</f>
        <v>20190304155524248</v>
      </c>
      <c r="B5445" t="str">
        <f>"1551686124242987"</f>
        <v>1551686124242987</v>
      </c>
      <c r="C5445" t="s">
        <v>40</v>
      </c>
      <c r="D5445">
        <v>4.804799</v>
      </c>
      <c r="E5445">
        <v>0.48761759999999899</v>
      </c>
      <c r="F5445" t="s">
        <v>74</v>
      </c>
      <c r="G5445">
        <v>-187.48</v>
      </c>
      <c r="H5445" s="1">
        <v>-1.1233779999999999E-5</v>
      </c>
      <c r="I5445">
        <v>-53.266689999999997</v>
      </c>
      <c r="J5445">
        <v>-205.4342</v>
      </c>
      <c r="K5445">
        <v>1.1185430000000001</v>
      </c>
      <c r="L5445">
        <v>-62.277369999999998</v>
      </c>
      <c r="M5445">
        <v>0.97461249999999999</v>
      </c>
      <c r="N5445">
        <v>-1.495719E-2</v>
      </c>
      <c r="O5445">
        <v>0.2233984</v>
      </c>
      <c r="P5445">
        <v>0.8878935</v>
      </c>
      <c r="Q5445">
        <v>0.17469170000000001</v>
      </c>
      <c r="R5445">
        <v>0.42559140000000001</v>
      </c>
      <c r="S5445">
        <v>2.7523499999999999</v>
      </c>
      <c r="T5445">
        <v>-0.17021310000000001</v>
      </c>
      <c r="U5445">
        <v>1.376617</v>
      </c>
      <c r="V5445">
        <v>-0.2201273</v>
      </c>
      <c r="W5445">
        <v>0.1847519</v>
      </c>
      <c r="X5445">
        <v>0.95781559999999999</v>
      </c>
      <c r="Y5445">
        <v>-0.2359271</v>
      </c>
      <c r="Z5445">
        <v>-8.1518059999999997E-4</v>
      </c>
      <c r="AA5445">
        <v>0.97177040000000003</v>
      </c>
      <c r="AB5445">
        <v>28</v>
      </c>
      <c r="AC5445">
        <v>17.9542</v>
      </c>
      <c r="AD5445">
        <v>-1.1185542337799901</v>
      </c>
      <c r="AE5445">
        <v>9.01067999999999</v>
      </c>
      <c r="AF5445">
        <v>-4.7567673574978198</v>
      </c>
      <c r="AG5445">
        <v>-1.1185542337799901</v>
      </c>
      <c r="AH5445">
        <v>19.4532279676299</v>
      </c>
      <c r="AI5445">
        <v>93.196883032330604</v>
      </c>
      <c r="AJ5445">
        <v>103.740531179412</v>
      </c>
      <c r="AK5445">
        <v>20.0575690857053</v>
      </c>
      <c r="AL5445">
        <v>79.353332113027093</v>
      </c>
      <c r="AM5445">
        <v>102.943089434635</v>
      </c>
      <c r="AN5445">
        <v>1.00000000818113</v>
      </c>
    </row>
    <row r="5446" spans="1:40" x14ac:dyDescent="0.25">
      <c r="A5446" t="str">
        <f>"20190304155524258"</f>
        <v>20190304155524258</v>
      </c>
      <c r="B5446" t="str">
        <f>"1551686124252748"</f>
        <v>1551686124252748</v>
      </c>
      <c r="C5446" t="s">
        <v>40</v>
      </c>
      <c r="D5446">
        <v>4.8032430000000002</v>
      </c>
      <c r="E5446">
        <v>0.48818739999999999</v>
      </c>
      <c r="F5446" t="s">
        <v>74</v>
      </c>
      <c r="G5446">
        <v>-187.43889999999999</v>
      </c>
      <c r="H5446" s="1">
        <v>-1.121507E-5</v>
      </c>
      <c r="I5446">
        <v>-53.176229999999997</v>
      </c>
      <c r="J5446">
        <v>-205.30840000000001</v>
      </c>
      <c r="K5446">
        <v>1.1186160000000001</v>
      </c>
      <c r="L5446">
        <v>-62.243259999999999</v>
      </c>
      <c r="M5446">
        <v>0.97340689999999996</v>
      </c>
      <c r="N5446">
        <v>-1.497299E-2</v>
      </c>
      <c r="O5446">
        <v>0.22859360000000001</v>
      </c>
      <c r="P5446">
        <v>0.88530419999999999</v>
      </c>
      <c r="Q5446">
        <v>0.17521149999999999</v>
      </c>
      <c r="R5446">
        <v>0.43074079999999898</v>
      </c>
      <c r="S5446">
        <v>2.7465359999999999</v>
      </c>
      <c r="T5446">
        <v>-0.17072000000000001</v>
      </c>
      <c r="U5446">
        <v>1.3890690000000001</v>
      </c>
      <c r="V5446">
        <v>-0.22064700000000001</v>
      </c>
      <c r="W5446">
        <v>0.1852384</v>
      </c>
      <c r="X5446">
        <v>0.95760199999999995</v>
      </c>
      <c r="Y5446">
        <v>-0.23508570000000001</v>
      </c>
      <c r="Z5446">
        <v>-1.0770409999999999E-3</v>
      </c>
      <c r="AA5446">
        <v>0.97197409999999995</v>
      </c>
      <c r="AB5446">
        <v>28</v>
      </c>
      <c r="AC5446">
        <v>17.869499999999999</v>
      </c>
      <c r="AD5446">
        <v>-1.1186272150700001</v>
      </c>
      <c r="AE5446">
        <v>9.0670299999999902</v>
      </c>
      <c r="AF5446">
        <v>-4.7268564943793399</v>
      </c>
      <c r="AG5446">
        <v>-1.1186272150700001</v>
      </c>
      <c r="AH5446">
        <v>19.4086549695953</v>
      </c>
      <c r="AI5446">
        <v>93.205139702752803</v>
      </c>
      <c r="AJ5446">
        <v>103.687561625987</v>
      </c>
      <c r="AK5446">
        <v>20.0072583552456</v>
      </c>
      <c r="AL5446">
        <v>79.324967800353093</v>
      </c>
      <c r="AM5446">
        <v>102.975410063467</v>
      </c>
      <c r="AN5446">
        <v>0.99999997692377895</v>
      </c>
    </row>
    <row r="5447" spans="1:40" x14ac:dyDescent="0.25">
      <c r="A5447" t="str">
        <f>"20190304155524269"</f>
        <v>20190304155524269</v>
      </c>
      <c r="B5447" t="str">
        <f>"1551686124263483"</f>
        <v>1551686124263483</v>
      </c>
      <c r="C5447" t="s">
        <v>40</v>
      </c>
      <c r="D5447">
        <v>4.7767860000000004</v>
      </c>
      <c r="E5447">
        <v>0.48872359999999998</v>
      </c>
      <c r="F5447" t="s">
        <v>74</v>
      </c>
      <c r="G5447">
        <v>-187.4426</v>
      </c>
      <c r="H5447" s="1">
        <v>-1.1194429999999999E-5</v>
      </c>
      <c r="I5447">
        <v>-53.111750000000001</v>
      </c>
      <c r="J5447">
        <v>-205.1892</v>
      </c>
      <c r="K5447">
        <v>1.118679</v>
      </c>
      <c r="L5447">
        <v>-62.209899999999998</v>
      </c>
      <c r="M5447">
        <v>0.97222050000000004</v>
      </c>
      <c r="N5447">
        <v>-1.498822E-2</v>
      </c>
      <c r="O5447">
        <v>0.23358689999999999</v>
      </c>
      <c r="P5447">
        <v>0.88276919999999903</v>
      </c>
      <c r="Q5447">
        <v>0.17529800000000001</v>
      </c>
      <c r="R5447">
        <v>0.43587779999999998</v>
      </c>
      <c r="S5447">
        <v>2.7409970000000001</v>
      </c>
      <c r="T5447">
        <v>-0.17162160000000001</v>
      </c>
      <c r="U5447">
        <v>1.40097</v>
      </c>
      <c r="V5447">
        <v>-0.2213311</v>
      </c>
      <c r="W5447">
        <v>0.18529039999999999</v>
      </c>
      <c r="X5447">
        <v>0.95743409999999995</v>
      </c>
      <c r="Y5447">
        <v>-0.2342436</v>
      </c>
      <c r="Z5447">
        <v>-1.347329E-3</v>
      </c>
      <c r="AA5447">
        <v>0.97217699999999996</v>
      </c>
      <c r="AB5447">
        <v>28</v>
      </c>
      <c r="AC5447">
        <v>17.746600000000001</v>
      </c>
      <c r="AD5447">
        <v>-1.1186901944299901</v>
      </c>
      <c r="AE5447">
        <v>9.0981499999999897</v>
      </c>
      <c r="AF5447">
        <v>-4.6858177486808197</v>
      </c>
      <c r="AG5447">
        <v>-1.1186901944299901</v>
      </c>
      <c r="AH5447">
        <v>19.320198907249299</v>
      </c>
      <c r="AI5447">
        <v>93.220708444649404</v>
      </c>
      <c r="AJ5447">
        <v>103.632969656168</v>
      </c>
      <c r="AK5447">
        <v>19.911766409353099</v>
      </c>
      <c r="AL5447">
        <v>79.321936421225004</v>
      </c>
      <c r="AM5447">
        <v>103.01647640743001</v>
      </c>
      <c r="AN5447">
        <v>1.0000000220010801</v>
      </c>
    </row>
    <row r="5448" spans="1:40" x14ac:dyDescent="0.25">
      <c r="A5448" t="str">
        <f>"20190304155524281"</f>
        <v>20190304155524281</v>
      </c>
      <c r="B5448" t="str">
        <f>"1551686124273243"</f>
        <v>1551686124273243</v>
      </c>
      <c r="C5448" t="s">
        <v>40</v>
      </c>
      <c r="D5448">
        <v>4.7591229999999998</v>
      </c>
      <c r="E5448">
        <v>0.48913279999999998</v>
      </c>
      <c r="F5448" t="s">
        <v>74</v>
      </c>
      <c r="G5448">
        <v>-187.51390000000001</v>
      </c>
      <c r="H5448" s="1">
        <v>-1.116785E-5</v>
      </c>
      <c r="I5448">
        <v>-53.076560000000001</v>
      </c>
      <c r="J5448">
        <v>-205.05430000000001</v>
      </c>
      <c r="K5448">
        <v>1.118752</v>
      </c>
      <c r="L5448">
        <v>-62.171779999999998</v>
      </c>
      <c r="M5448">
        <v>0.97084009999999998</v>
      </c>
      <c r="N5448">
        <v>-1.500489E-2</v>
      </c>
      <c r="O5448">
        <v>0.23925840000000001</v>
      </c>
      <c r="P5448">
        <v>0.87985440000000004</v>
      </c>
      <c r="Q5448">
        <v>0.1755688</v>
      </c>
      <c r="R5448">
        <v>0.44162449999999998</v>
      </c>
      <c r="S5448">
        <v>2.7349700000000001</v>
      </c>
      <c r="T5448">
        <v>-0.17309939999999999</v>
      </c>
      <c r="U5448">
        <v>1.4132389999999999</v>
      </c>
      <c r="V5448">
        <v>-0.22203700000000001</v>
      </c>
      <c r="W5448">
        <v>0.1855233</v>
      </c>
      <c r="X5448">
        <v>0.95722549999999995</v>
      </c>
      <c r="Y5448">
        <v>-0.23288890000000001</v>
      </c>
      <c r="Z5448">
        <v>-1.6916539999999999E-3</v>
      </c>
      <c r="AA5448">
        <v>0.97250190000000003</v>
      </c>
      <c r="AB5448">
        <v>28</v>
      </c>
      <c r="AC5448">
        <v>17.540400000000002</v>
      </c>
      <c r="AD5448">
        <v>-1.1187631678500001</v>
      </c>
      <c r="AE5448">
        <v>9.0952199999999994</v>
      </c>
      <c r="AF5448">
        <v>-4.6190282647206402</v>
      </c>
      <c r="AG5448">
        <v>-1.1187631678500001</v>
      </c>
      <c r="AH5448">
        <v>19.145807953936998</v>
      </c>
      <c r="AI5448">
        <v>93.251141749522901</v>
      </c>
      <c r="AJ5448">
        <v>103.56372187687801</v>
      </c>
      <c r="AK5448">
        <v>19.726860250558499</v>
      </c>
      <c r="AL5448">
        <v>79.308356453642205</v>
      </c>
      <c r="AM5448">
        <v>103.059317955718</v>
      </c>
      <c r="AN5448">
        <v>0.99999999103106896</v>
      </c>
    </row>
    <row r="5449" spans="1:40" x14ac:dyDescent="0.25">
      <c r="A5449" t="str">
        <f>"20190304155524291"</f>
        <v>20190304155524291</v>
      </c>
      <c r="B5449" t="str">
        <f>"1551686124283004"</f>
        <v>1551686124283004</v>
      </c>
      <c r="C5449" t="s">
        <v>40</v>
      </c>
      <c r="D5449">
        <v>4.8251229999999996</v>
      </c>
      <c r="E5449">
        <v>0.48913279999999998</v>
      </c>
      <c r="F5449" t="s">
        <v>74</v>
      </c>
      <c r="G5449">
        <v>-187.25229999999999</v>
      </c>
      <c r="H5449" s="1">
        <v>-1.114736E-5</v>
      </c>
      <c r="I5449">
        <v>-52.848219999999998</v>
      </c>
      <c r="J5449">
        <v>-204.9349</v>
      </c>
      <c r="K5449">
        <v>1.118811</v>
      </c>
      <c r="L5449">
        <v>-62.136749999999999</v>
      </c>
      <c r="M5449">
        <v>0.96956739999999997</v>
      </c>
      <c r="N5449">
        <v>-1.50204E-2</v>
      </c>
      <c r="O5449">
        <v>0.24436369999999999</v>
      </c>
      <c r="P5449">
        <v>0.87720109999999996</v>
      </c>
      <c r="Q5449">
        <v>0.1760775</v>
      </c>
      <c r="R5449">
        <v>0.44667089999999998</v>
      </c>
      <c r="S5449">
        <v>2.7269899999999998</v>
      </c>
      <c r="T5449">
        <v>-0.17137669999999999</v>
      </c>
      <c r="U5449">
        <v>1.428223</v>
      </c>
      <c r="V5449">
        <v>-0.22256190000000001</v>
      </c>
      <c r="W5449">
        <v>0.18600120000000001</v>
      </c>
      <c r="X5449">
        <v>0.9570109</v>
      </c>
      <c r="Y5449">
        <v>-0.2331405</v>
      </c>
      <c r="Z5449">
        <v>-1.8259229999999999E-3</v>
      </c>
      <c r="AA5449">
        <v>0.97244129999999995</v>
      </c>
      <c r="AB5449">
        <v>28</v>
      </c>
      <c r="AC5449">
        <v>17.682600000000001</v>
      </c>
      <c r="AD5449">
        <v>-1.11882214736</v>
      </c>
      <c r="AE5449">
        <v>9.2885299999999997</v>
      </c>
      <c r="AF5449">
        <v>-4.6707433982875104</v>
      </c>
      <c r="AG5449">
        <v>-1.11882214736</v>
      </c>
      <c r="AH5449">
        <v>19.3557096500912</v>
      </c>
      <c r="AI5449">
        <v>93.216087903210195</v>
      </c>
      <c r="AJ5449">
        <v>103.56672961469199</v>
      </c>
      <c r="AK5449">
        <v>19.942695478512999</v>
      </c>
      <c r="AL5449">
        <v>79.280490458147796</v>
      </c>
      <c r="AM5449">
        <v>103.091962674542</v>
      </c>
      <c r="AN5449">
        <v>1.00000005422592</v>
      </c>
    </row>
    <row r="5450" spans="1:40" x14ac:dyDescent="0.25">
      <c r="A5450" t="str">
        <f>"20190304155524302"</f>
        <v>20190304155524302</v>
      </c>
      <c r="B5450" t="str">
        <f>"1551686124292763"</f>
        <v>1551686124292763</v>
      </c>
      <c r="C5450" t="s">
        <v>40</v>
      </c>
      <c r="D5450">
        <v>3.8348309999999999</v>
      </c>
      <c r="E5450">
        <v>0.4854716</v>
      </c>
      <c r="F5450" t="s">
        <v>74</v>
      </c>
      <c r="G5450">
        <v>-187.01929999999999</v>
      </c>
      <c r="H5450" s="1">
        <v>-1.11132399999999E-5</v>
      </c>
      <c r="I5450">
        <v>-52.6203199999999</v>
      </c>
      <c r="J5450">
        <v>-204.81190000000001</v>
      </c>
      <c r="K5450">
        <v>1.1188739999999999</v>
      </c>
      <c r="L5450">
        <v>-62.100490000000001</v>
      </c>
      <c r="M5450">
        <v>0.96822520000000001</v>
      </c>
      <c r="N5450">
        <v>-1.5035740000000001E-2</v>
      </c>
      <c r="O5450">
        <v>0.24962780000000001</v>
      </c>
      <c r="P5450">
        <v>0.87444100000000002</v>
      </c>
      <c r="Q5450">
        <v>0.1761585</v>
      </c>
      <c r="R5450">
        <v>0.4520189</v>
      </c>
      <c r="S5450">
        <v>2.7187039999999998</v>
      </c>
      <c r="T5450">
        <v>-0.16978170000000001</v>
      </c>
      <c r="U5450">
        <v>1.4441219999999999</v>
      </c>
      <c r="V5450">
        <v>-0.2232411</v>
      </c>
      <c r="W5450">
        <v>0.18604850000000001</v>
      </c>
      <c r="X5450">
        <v>0.95684340000000001</v>
      </c>
      <c r="Y5450">
        <v>-0.2335264</v>
      </c>
      <c r="Z5450">
        <v>-1.9615729999999999E-3</v>
      </c>
      <c r="AA5450">
        <v>0.97234849999999995</v>
      </c>
      <c r="AB5450">
        <v>27</v>
      </c>
      <c r="AC5450">
        <v>17.7926</v>
      </c>
      <c r="AD5450">
        <v>-1.11888511324</v>
      </c>
      <c r="AE5450">
        <v>9.4801699999999993</v>
      </c>
      <c r="AF5450">
        <v>-4.7233986374742702</v>
      </c>
      <c r="AG5450">
        <v>-1.11888511324</v>
      </c>
      <c r="AH5450">
        <v>19.535799346781801</v>
      </c>
      <c r="AI5450">
        <v>93.186339220108593</v>
      </c>
      <c r="AJ5450">
        <v>103.592217894496</v>
      </c>
      <c r="AK5450">
        <v>20.129825004277698</v>
      </c>
      <c r="AL5450">
        <v>79.277731229002598</v>
      </c>
      <c r="AM5450">
        <v>103.132752515793</v>
      </c>
      <c r="AN5450">
        <v>0.99999996260250901</v>
      </c>
    </row>
    <row r="5451" spans="1:40" x14ac:dyDescent="0.25">
      <c r="A5451" t="str">
        <f>"20190304155524312"</f>
        <v>20190304155524312</v>
      </c>
      <c r="B5451" t="str">
        <f>"1551686124303498"</f>
        <v>1551686124303498</v>
      </c>
      <c r="C5451" t="s">
        <v>40</v>
      </c>
      <c r="D5451">
        <v>4.6384210000000001</v>
      </c>
      <c r="E5451">
        <v>0.4854716</v>
      </c>
      <c r="F5451" t="s">
        <v>74</v>
      </c>
      <c r="G5451">
        <v>-186.96100000000001</v>
      </c>
      <c r="H5451" s="1">
        <v>-1.0999870000000001E-5</v>
      </c>
      <c r="I5451">
        <v>-52.256050000000002</v>
      </c>
      <c r="J5451">
        <v>-204.6814</v>
      </c>
      <c r="K5451">
        <v>1.118938</v>
      </c>
      <c r="L5451">
        <v>-62.060519999999997</v>
      </c>
      <c r="M5451">
        <v>0.96674439999999995</v>
      </c>
      <c r="N5451">
        <v>-1.505286E-2</v>
      </c>
      <c r="O5451">
        <v>0.2553011</v>
      </c>
      <c r="P5451">
        <v>0.87134859999999903</v>
      </c>
      <c r="Q5451">
        <v>0.17653279999999999</v>
      </c>
      <c r="R5451">
        <v>0.45780749999999998</v>
      </c>
      <c r="S5451">
        <v>2.6961979999999999</v>
      </c>
      <c r="T5451">
        <v>-0.1689967</v>
      </c>
      <c r="U5451">
        <v>1.4869079999999999</v>
      </c>
      <c r="V5451">
        <v>-0.2240326</v>
      </c>
      <c r="W5451">
        <v>0.18638540000000001</v>
      </c>
      <c r="X5451">
        <v>0.95659289999999997</v>
      </c>
      <c r="Y5451">
        <v>-0.2430678</v>
      </c>
      <c r="Z5451">
        <v>-1.8207760000000001E-3</v>
      </c>
      <c r="AA5451">
        <v>0.97000759999999997</v>
      </c>
      <c r="AB5451">
        <v>27</v>
      </c>
      <c r="AC5451">
        <v>17.720400000000001</v>
      </c>
      <c r="AD5451">
        <v>-1.11894899987</v>
      </c>
      <c r="AE5451">
        <v>9.8044699999999896</v>
      </c>
      <c r="AF5451">
        <v>-4.9398602606386302</v>
      </c>
      <c r="AG5451">
        <v>-1.11894899987</v>
      </c>
      <c r="AH5451">
        <v>19.5766522930234</v>
      </c>
      <c r="AI5451">
        <v>93.172097119118007</v>
      </c>
      <c r="AJ5451">
        <v>104.16205068991</v>
      </c>
      <c r="AK5451">
        <v>20.2212655702082</v>
      </c>
      <c r="AL5451">
        <v>79.258085581973305</v>
      </c>
      <c r="AM5451">
        <v>103.181022947099</v>
      </c>
      <c r="AN5451">
        <v>1.00000004976316</v>
      </c>
    </row>
    <row r="5452" spans="1:40" x14ac:dyDescent="0.25">
      <c r="A5452" t="str">
        <f>"20190304155524323"</f>
        <v>20190304155524323</v>
      </c>
      <c r="B5452" t="str">
        <f>"1551686124313259"</f>
        <v>1551686124313259</v>
      </c>
      <c r="C5452" t="s">
        <v>40</v>
      </c>
      <c r="D5452">
        <v>4.6070440000000001</v>
      </c>
      <c r="E5452">
        <v>0.41922189999999998</v>
      </c>
      <c r="F5452" t="s">
        <v>74</v>
      </c>
      <c r="G5452">
        <v>-186.76920000000001</v>
      </c>
      <c r="H5452" s="1">
        <v>-1.0956520000000001E-5</v>
      </c>
      <c r="I5452">
        <v>-52.023699999999998</v>
      </c>
      <c r="J5452">
        <v>-204.56059999999999</v>
      </c>
      <c r="K5452">
        <v>1.118994</v>
      </c>
      <c r="L5452">
        <v>-62.023220000000002</v>
      </c>
      <c r="M5452">
        <v>0.96533789999999997</v>
      </c>
      <c r="N5452">
        <v>-1.506819E-2</v>
      </c>
      <c r="O5452">
        <v>0.26056790000000002</v>
      </c>
      <c r="P5452">
        <v>0.86841740000000001</v>
      </c>
      <c r="Q5452">
        <v>0.17693200000000001</v>
      </c>
      <c r="R5452">
        <v>0.46319129999999997</v>
      </c>
      <c r="S5452">
        <v>2.6861269999999999</v>
      </c>
      <c r="T5452">
        <v>-0.16779820000000001</v>
      </c>
      <c r="U5452">
        <v>1.5051270000000001</v>
      </c>
      <c r="V5452">
        <v>-0.22479540000000001</v>
      </c>
      <c r="W5452">
        <v>0.18674930000000001</v>
      </c>
      <c r="X5452">
        <v>0.9563429</v>
      </c>
      <c r="Y5452">
        <v>-0.2443408</v>
      </c>
      <c r="Z5452">
        <v>-1.936892E-3</v>
      </c>
      <c r="AA5452">
        <v>0.96968750000000004</v>
      </c>
      <c r="AB5452">
        <v>27</v>
      </c>
      <c r="AC5452">
        <v>17.7913999999999</v>
      </c>
      <c r="AD5452">
        <v>-1.11900495652</v>
      </c>
      <c r="AE5452">
        <v>9.9995199999999897</v>
      </c>
      <c r="AF5452">
        <v>-5.0025787526374401</v>
      </c>
      <c r="AG5452">
        <v>-1.11900495652</v>
      </c>
      <c r="AH5452">
        <v>19.723220419648499</v>
      </c>
      <c r="AI5452">
        <v>93.147754495865598</v>
      </c>
      <c r="AJ5452">
        <v>104.23231181400899</v>
      </c>
      <c r="AK5452">
        <v>20.378503134212099</v>
      </c>
      <c r="AL5452">
        <v>79.236862568084902</v>
      </c>
      <c r="AM5452">
        <v>103.227663521404</v>
      </c>
      <c r="AN5452">
        <v>1.00000000764603</v>
      </c>
    </row>
    <row r="5453" spans="1:40" x14ac:dyDescent="0.25">
      <c r="A5453" t="str">
        <f>"20190304155524334"</f>
        <v>20190304155524334</v>
      </c>
      <c r="B5453" t="str">
        <f>"1551686124323019"</f>
        <v>1551686124323019</v>
      </c>
      <c r="C5453" t="s">
        <v>40</v>
      </c>
      <c r="D5453">
        <v>4.6500159999999999</v>
      </c>
      <c r="E5453">
        <v>0.41762880000000002</v>
      </c>
      <c r="F5453" t="s">
        <v>48</v>
      </c>
      <c r="G5453">
        <v>-203.7182</v>
      </c>
      <c r="H5453">
        <v>1.079707</v>
      </c>
      <c r="I5453">
        <v>-61.331240000000001</v>
      </c>
      <c r="J5453">
        <v>-204.43289999999999</v>
      </c>
      <c r="K5453">
        <v>1.1190599999999999</v>
      </c>
      <c r="L5453">
        <v>-61.982570000000003</v>
      </c>
      <c r="M5453">
        <v>0.96379970000000004</v>
      </c>
      <c r="N5453">
        <v>-1.508469E-2</v>
      </c>
      <c r="O5453">
        <v>0.2662002</v>
      </c>
      <c r="P5453">
        <v>0.86551039999999901</v>
      </c>
      <c r="Q5453">
        <v>0.17686250000000001</v>
      </c>
      <c r="R5453">
        <v>0.46862720000000002</v>
      </c>
      <c r="S5453">
        <v>2.4181210000000002</v>
      </c>
      <c r="T5453">
        <v>-0.11278100000000001</v>
      </c>
      <c r="U5453">
        <v>1.9862979999999999</v>
      </c>
      <c r="V5453">
        <v>-0.2252296</v>
      </c>
      <c r="W5453">
        <v>0.18665380000000001</v>
      </c>
      <c r="X5453">
        <v>0.95625939999999998</v>
      </c>
      <c r="Y5453">
        <v>-0.40579490000000001</v>
      </c>
      <c r="Z5453">
        <v>4.8716769999999996E-3</v>
      </c>
      <c r="AA5453">
        <v>0.91395119999999996</v>
      </c>
      <c r="AB5453">
        <v>27</v>
      </c>
      <c r="AC5453">
        <v>0.71469999999999301</v>
      </c>
      <c r="AD5453">
        <v>-3.9352999999999902E-2</v>
      </c>
      <c r="AE5453">
        <v>0.65132999999999397</v>
      </c>
      <c r="AF5453">
        <v>-0.43682466930525699</v>
      </c>
      <c r="AG5453">
        <v>-3.9352999999999902E-2</v>
      </c>
      <c r="AH5453">
        <v>0.86088409673358401</v>
      </c>
      <c r="AI5453">
        <v>92.334354221315905</v>
      </c>
      <c r="AJ5453">
        <v>116.90387651592199</v>
      </c>
      <c r="AK5453">
        <v>0.966170729390747</v>
      </c>
      <c r="AL5453">
        <v>79.242432458380804</v>
      </c>
      <c r="AM5453">
        <v>103.253428834277</v>
      </c>
      <c r="AN5453">
        <v>1.00000002692947</v>
      </c>
    </row>
    <row r="5454" spans="1:40" x14ac:dyDescent="0.25">
      <c r="A5454" t="str">
        <f>"20190304155524346"</f>
        <v>20190304155524346</v>
      </c>
      <c r="B5454" t="str">
        <f>"1551686124343515"</f>
        <v>1551686124343515</v>
      </c>
      <c r="C5454" t="s">
        <v>40</v>
      </c>
      <c r="D5454">
        <v>4.7633199999999896</v>
      </c>
      <c r="E5454">
        <v>0.4180798</v>
      </c>
      <c r="F5454" t="s">
        <v>74</v>
      </c>
      <c r="G5454">
        <v>-179.95779999999999</v>
      </c>
      <c r="H5454">
        <v>3.2631109999999998E-2</v>
      </c>
      <c r="I5454">
        <v>-41.44632</v>
      </c>
      <c r="J5454">
        <v>-204.3082</v>
      </c>
      <c r="K5454">
        <v>1.1191139999999999</v>
      </c>
      <c r="L5454">
        <v>-61.942320000000002</v>
      </c>
      <c r="M5454">
        <v>0.96225660000000002</v>
      </c>
      <c r="N5454">
        <v>-1.5100270000000001E-2</v>
      </c>
      <c r="O5454">
        <v>0.27172459999999998</v>
      </c>
      <c r="P5454">
        <v>0.86244489999999996</v>
      </c>
      <c r="Q5454">
        <v>0.1769212</v>
      </c>
      <c r="R5454">
        <v>0.47422330000000001</v>
      </c>
      <c r="S5454">
        <v>2.3983310000000002</v>
      </c>
      <c r="T5454">
        <v>-0.1064599</v>
      </c>
      <c r="U5454">
        <v>2.0123600000000001</v>
      </c>
      <c r="V5454">
        <v>-0.2259689</v>
      </c>
      <c r="W5454">
        <v>0.18668000000000001</v>
      </c>
      <c r="X5454">
        <v>0.95607980000000004</v>
      </c>
      <c r="Y5454">
        <v>-0.41011370000000003</v>
      </c>
      <c r="Z5454">
        <v>5.0011370000000001E-3</v>
      </c>
      <c r="AA5454">
        <v>0.91202070000000002</v>
      </c>
      <c r="AB5454">
        <v>27</v>
      </c>
      <c r="AC5454">
        <v>24.3504</v>
      </c>
      <c r="AD5454">
        <v>-1.0864828900000001</v>
      </c>
      <c r="AE5454">
        <v>20.495999999999899</v>
      </c>
      <c r="AF5454">
        <v>-13.092047052738501</v>
      </c>
      <c r="AG5454">
        <v>-1.0864828900000001</v>
      </c>
      <c r="AH5454">
        <v>28.970148949854199</v>
      </c>
      <c r="AI5454">
        <v>91.9573639075806</v>
      </c>
      <c r="AJ5454">
        <v>114.318927918231</v>
      </c>
      <c r="AK5454">
        <v>31.8096160190299</v>
      </c>
      <c r="AL5454">
        <v>79.240903886988093</v>
      </c>
      <c r="AM5454">
        <v>103.29779853687501</v>
      </c>
      <c r="AN5454">
        <v>0.99999997506762395</v>
      </c>
    </row>
    <row r="5455" spans="1:40" x14ac:dyDescent="0.25">
      <c r="A5455" t="str">
        <f>"20190304155524357"</f>
        <v>20190304155524357</v>
      </c>
      <c r="B5455" t="str">
        <f>"1551686124353275"</f>
        <v>1551686124353275</v>
      </c>
      <c r="C5455" t="s">
        <v>40</v>
      </c>
      <c r="D5455">
        <v>4.5723729999999998</v>
      </c>
      <c r="E5455">
        <v>0.4179292</v>
      </c>
      <c r="F5455" t="s">
        <v>74</v>
      </c>
      <c r="G5455">
        <v>-179.95779999999999</v>
      </c>
      <c r="H5455">
        <v>1.474456E-2</v>
      </c>
      <c r="I5455">
        <v>-41.287779999999998</v>
      </c>
      <c r="J5455">
        <v>-204.17619999999999</v>
      </c>
      <c r="K5455">
        <v>1.1191690000000001</v>
      </c>
      <c r="L5455">
        <v>-61.898679999999999</v>
      </c>
      <c r="M5455">
        <v>0.96057110000000001</v>
      </c>
      <c r="N5455">
        <v>-1.511642E-2</v>
      </c>
      <c r="O5455">
        <v>0.27762360000000003</v>
      </c>
      <c r="P5455">
        <v>0.85928969999999905</v>
      </c>
      <c r="Q5455">
        <v>0.17692099999999999</v>
      </c>
      <c r="R5455">
        <v>0.47991699999999998</v>
      </c>
      <c r="S5455">
        <v>2.3872680000000002</v>
      </c>
      <c r="T5455">
        <v>-0.1082703</v>
      </c>
      <c r="U5455">
        <v>2.0249329999999999</v>
      </c>
      <c r="V5455">
        <v>-0.2264523</v>
      </c>
      <c r="W5455">
        <v>0.18665370000000001</v>
      </c>
      <c r="X5455">
        <v>0.9559706</v>
      </c>
      <c r="Y5455">
        <v>-0.409391</v>
      </c>
      <c r="Z5455">
        <v>4.8183080000000003E-3</v>
      </c>
      <c r="AA5455">
        <v>0.91234630000000005</v>
      </c>
      <c r="AB5455">
        <v>27</v>
      </c>
      <c r="AC5455">
        <v>24.218399999999999</v>
      </c>
      <c r="AD5455">
        <v>-1.1044244400000001</v>
      </c>
      <c r="AE5455">
        <v>20.610900000000001</v>
      </c>
      <c r="AF5455">
        <v>-13.0603763959109</v>
      </c>
      <c r="AG5455">
        <v>-1.1044244400000001</v>
      </c>
      <c r="AH5455">
        <v>28.953955953206801</v>
      </c>
      <c r="AI5455">
        <v>91.991400341779894</v>
      </c>
      <c r="AJ5455">
        <v>114.278897312062</v>
      </c>
      <c r="AK5455">
        <v>31.7824597897453</v>
      </c>
      <c r="AL5455">
        <v>79.242438193048997</v>
      </c>
      <c r="AM5455">
        <v>103.326699737653</v>
      </c>
      <c r="AN5455">
        <v>1.0000000179816599</v>
      </c>
    </row>
    <row r="5456" spans="1:40" x14ac:dyDescent="0.25">
      <c r="A5456" t="str">
        <f>"20190304155524368"</f>
        <v>20190304155524368</v>
      </c>
      <c r="B5456" t="str">
        <f>"1551686124363035"</f>
        <v>1551686124363035</v>
      </c>
      <c r="C5456" t="s">
        <v>40</v>
      </c>
      <c r="D5456">
        <v>4.6196320000000002</v>
      </c>
      <c r="E5456">
        <v>0.41752630000000002</v>
      </c>
      <c r="F5456" t="s">
        <v>74</v>
      </c>
      <c r="G5456">
        <v>-179.95779999999999</v>
      </c>
      <c r="H5456">
        <v>2.8071470000000001E-2</v>
      </c>
      <c r="I5456">
        <v>-41.056010000000001</v>
      </c>
      <c r="J5456">
        <v>-204.04259999999999</v>
      </c>
      <c r="K5456">
        <v>1.119227</v>
      </c>
      <c r="L5456">
        <v>-61.853450000000002</v>
      </c>
      <c r="M5456">
        <v>0.9588101</v>
      </c>
      <c r="N5456">
        <v>-1.5132380000000001E-2</v>
      </c>
      <c r="O5456">
        <v>0.28364479999999997</v>
      </c>
      <c r="P5456">
        <v>0.85605219999999904</v>
      </c>
      <c r="Q5456">
        <v>0.1768479</v>
      </c>
      <c r="R5456">
        <v>0.48569489999999998</v>
      </c>
      <c r="S5456">
        <v>2.3727870000000002</v>
      </c>
      <c r="T5456">
        <v>-0.10689990000000001</v>
      </c>
      <c r="U5456">
        <v>2.0420530000000001</v>
      </c>
      <c r="V5456">
        <v>-0.22691420000000001</v>
      </c>
      <c r="W5456">
        <v>0.18655630000000001</v>
      </c>
      <c r="X5456">
        <v>0.95587999999999995</v>
      </c>
      <c r="Y5456">
        <v>-0.41020689999999999</v>
      </c>
      <c r="Z5456">
        <v>4.7466560000000001E-3</v>
      </c>
      <c r="AA5456">
        <v>0.91198020000000002</v>
      </c>
      <c r="AB5456">
        <v>27</v>
      </c>
      <c r="AC5456">
        <v>24.084800000000001</v>
      </c>
      <c r="AD5456">
        <v>-1.09115553</v>
      </c>
      <c r="AE5456">
        <v>20.797439999999899</v>
      </c>
      <c r="AF5456">
        <v>-13.095369897203501</v>
      </c>
      <c r="AG5456">
        <v>-1.09115553</v>
      </c>
      <c r="AH5456">
        <v>28.9611004842765</v>
      </c>
      <c r="AI5456">
        <v>91.966200316082194</v>
      </c>
      <c r="AJ5456">
        <v>114.33110355811399</v>
      </c>
      <c r="AK5456">
        <v>31.802903552908401</v>
      </c>
      <c r="AL5456">
        <v>79.248117738141204</v>
      </c>
      <c r="AM5456">
        <v>103.35413010366</v>
      </c>
      <c r="AN5456">
        <v>0.99999994081566301</v>
      </c>
    </row>
    <row r="5457" spans="1:40" x14ac:dyDescent="0.25">
      <c r="A5457" t="str">
        <f>"20190304155524380"</f>
        <v>20190304155524380</v>
      </c>
      <c r="B5457" t="str">
        <f>"1551686124372795"</f>
        <v>1551686124372795</v>
      </c>
      <c r="C5457" t="s">
        <v>40</v>
      </c>
      <c r="D5457">
        <v>4.6253330000000004</v>
      </c>
      <c r="E5457">
        <v>0.41758010000000001</v>
      </c>
      <c r="F5457" t="s">
        <v>74</v>
      </c>
      <c r="G5457">
        <v>-179.94710000000001</v>
      </c>
      <c r="H5457">
        <v>6.0727000000000003E-2</v>
      </c>
      <c r="I5457">
        <v>-40.780169999999998</v>
      </c>
      <c r="J5457">
        <v>-203.911</v>
      </c>
      <c r="K5457">
        <v>1.119281</v>
      </c>
      <c r="L5457">
        <v>-61.80829</v>
      </c>
      <c r="M5457">
        <v>0.95702640000000005</v>
      </c>
      <c r="N5457">
        <v>-1.5147580000000001E-2</v>
      </c>
      <c r="O5457">
        <v>0.28960550000000002</v>
      </c>
      <c r="P5457">
        <v>0.85286099999999998</v>
      </c>
      <c r="Q5457">
        <v>0.1768786</v>
      </c>
      <c r="R5457">
        <v>0.49126589999999998</v>
      </c>
      <c r="S5457">
        <v>2.356522</v>
      </c>
      <c r="T5457">
        <v>-0.10352020000000001</v>
      </c>
      <c r="U5457">
        <v>2.0609440000000001</v>
      </c>
      <c r="V5457">
        <v>-0.2272255</v>
      </c>
      <c r="W5457">
        <v>0.18656610000000001</v>
      </c>
      <c r="X5457">
        <v>0.95580419999999999</v>
      </c>
      <c r="Y5457">
        <v>-0.41180489999999997</v>
      </c>
      <c r="Z5457">
        <v>4.7553020000000003E-3</v>
      </c>
      <c r="AA5457">
        <v>0.91125970000000001</v>
      </c>
      <c r="AB5457">
        <v>27</v>
      </c>
      <c r="AC5457">
        <v>23.963899999999899</v>
      </c>
      <c r="AD5457">
        <v>-1.058554</v>
      </c>
      <c r="AE5457">
        <v>21.028120000000001</v>
      </c>
      <c r="AF5457">
        <v>-13.1713792801048</v>
      </c>
      <c r="AG5457">
        <v>-1.058554</v>
      </c>
      <c r="AH5457">
        <v>28.995305293561302</v>
      </c>
      <c r="AI5457">
        <v>91.903755658929498</v>
      </c>
      <c r="AJ5457">
        <v>114.43035252152301</v>
      </c>
      <c r="AK5457">
        <v>31.8642981686105</v>
      </c>
      <c r="AL5457">
        <v>79.247546883254202</v>
      </c>
      <c r="AM5457">
        <v>103.372815177543</v>
      </c>
      <c r="AN5457">
        <v>1.0000000031285401</v>
      </c>
    </row>
    <row r="5458" spans="1:40" x14ac:dyDescent="0.25">
      <c r="A5458" t="str">
        <f>"20190304155524391"</f>
        <v>20190304155524391</v>
      </c>
      <c r="B5458" t="str">
        <f>"1551686124383531"</f>
        <v>1551686124383531</v>
      </c>
      <c r="C5458" t="s">
        <v>40</v>
      </c>
      <c r="D5458">
        <v>4.6176750000000002</v>
      </c>
      <c r="E5458">
        <v>0.41771740000000002</v>
      </c>
      <c r="F5458" t="s">
        <v>74</v>
      </c>
      <c r="G5458">
        <v>-179.93469999999999</v>
      </c>
      <c r="H5458">
        <v>7.3073990000000005E-2</v>
      </c>
      <c r="I5458">
        <v>-40.558459999999997</v>
      </c>
      <c r="J5458">
        <v>-203.79390000000001</v>
      </c>
      <c r="K5458">
        <v>1.1193249999999999</v>
      </c>
      <c r="L5458">
        <v>-61.766779999999997</v>
      </c>
      <c r="M5458">
        <v>0.95538429999999996</v>
      </c>
      <c r="N5458">
        <v>-1.516146E-2</v>
      </c>
      <c r="O5458">
        <v>0.29497620000000002</v>
      </c>
      <c r="P5458">
        <v>0.84971269999999999</v>
      </c>
      <c r="Q5458">
        <v>0.1772715</v>
      </c>
      <c r="R5458">
        <v>0.49655149999999998</v>
      </c>
      <c r="S5458">
        <v>2.3427579999999999</v>
      </c>
      <c r="T5458">
        <v>-0.1022265</v>
      </c>
      <c r="U5458">
        <v>2.076355</v>
      </c>
      <c r="V5458">
        <v>-0.22784560000000001</v>
      </c>
      <c r="W5458">
        <v>0.1869315</v>
      </c>
      <c r="X5458">
        <v>0.95558509999999997</v>
      </c>
      <c r="Y5458">
        <v>-0.4127054</v>
      </c>
      <c r="Z5458">
        <v>4.7092749999999997E-3</v>
      </c>
      <c r="AA5458">
        <v>0.91085240000000001</v>
      </c>
      <c r="AB5458">
        <v>27</v>
      </c>
      <c r="AC5458">
        <v>23.859200000000001</v>
      </c>
      <c r="AD5458">
        <v>-1.04625101</v>
      </c>
      <c r="AE5458">
        <v>21.208320000000001</v>
      </c>
      <c r="AF5458">
        <v>-13.2115285878085</v>
      </c>
      <c r="AG5458">
        <v>-1.04625101</v>
      </c>
      <c r="AH5458">
        <v>29.0228188559031</v>
      </c>
      <c r="AI5458">
        <v>91.879188564610601</v>
      </c>
      <c r="AJ5458">
        <v>114.475586480476</v>
      </c>
      <c r="AK5458">
        <v>31.905534678876201</v>
      </c>
      <c r="AL5458">
        <v>79.226235446645504</v>
      </c>
      <c r="AM5458">
        <v>103.410956726374</v>
      </c>
      <c r="AN5458">
        <v>0.99999994323680796</v>
      </c>
    </row>
    <row r="5459" spans="1:40" x14ac:dyDescent="0.25">
      <c r="A5459" t="str">
        <f>"20190304155524403"</f>
        <v>20190304155524403</v>
      </c>
      <c r="B5459" t="str">
        <f>"1551686124393291"</f>
        <v>1551686124393291</v>
      </c>
      <c r="C5459" t="s">
        <v>40</v>
      </c>
      <c r="D5459">
        <v>4.6169820000000001</v>
      </c>
      <c r="E5459">
        <v>0.41788720000000001</v>
      </c>
      <c r="F5459" t="s">
        <v>46</v>
      </c>
      <c r="G5459">
        <v>-179.8125</v>
      </c>
      <c r="H5459">
        <v>7.9985399999999998E-2</v>
      </c>
      <c r="I5459">
        <v>-40.252429999999997</v>
      </c>
      <c r="J5459">
        <v>-203.6617</v>
      </c>
      <c r="K5459">
        <v>1.119373</v>
      </c>
      <c r="L5459">
        <v>-61.719540000000002</v>
      </c>
      <c r="M5459">
        <v>0.95348809999999995</v>
      </c>
      <c r="N5459">
        <v>-1.517668E-2</v>
      </c>
      <c r="O5459">
        <v>0.3010487</v>
      </c>
      <c r="P5459">
        <v>0.84633029999999998</v>
      </c>
      <c r="Q5459">
        <v>0.17754809999999999</v>
      </c>
      <c r="R5459">
        <v>0.502197</v>
      </c>
      <c r="S5459">
        <v>2.3300930000000002</v>
      </c>
      <c r="T5459">
        <v>-0.10098509999999999</v>
      </c>
      <c r="U5459">
        <v>2.0903930000000002</v>
      </c>
      <c r="V5459">
        <v>-0.22817380000000001</v>
      </c>
      <c r="W5459">
        <v>0.18718679999999999</v>
      </c>
      <c r="X5459">
        <v>0.95545690000000005</v>
      </c>
      <c r="Y5459">
        <v>-0.41241679999999997</v>
      </c>
      <c r="Z5459">
        <v>4.6212859999999996E-3</v>
      </c>
      <c r="AA5459">
        <v>0.9109836</v>
      </c>
      <c r="AB5459">
        <v>27</v>
      </c>
      <c r="AC5459">
        <v>23.8492</v>
      </c>
      <c r="AD5459">
        <v>-1.0393876</v>
      </c>
      <c r="AE5459">
        <v>21.467110000000002</v>
      </c>
      <c r="AF5459">
        <v>-13.2764622893405</v>
      </c>
      <c r="AG5459">
        <v>-1.0393876</v>
      </c>
      <c r="AH5459">
        <v>29.1753225199284</v>
      </c>
      <c r="AI5459">
        <v>91.8572259159873</v>
      </c>
      <c r="AJ5459">
        <v>114.468285583615</v>
      </c>
      <c r="AK5459">
        <v>32.070924864199903</v>
      </c>
      <c r="AL5459">
        <v>79.2113459923563</v>
      </c>
      <c r="AM5459">
        <v>103.431311850882</v>
      </c>
      <c r="AN5459">
        <v>1.00000003442914</v>
      </c>
    </row>
    <row r="5460" spans="1:40" x14ac:dyDescent="0.25">
      <c r="A5460" t="str">
        <f>"20190304155524415"</f>
        <v>20190304155524415</v>
      </c>
      <c r="B5460" t="str">
        <f>"1551686124412811"</f>
        <v>1551686124412811</v>
      </c>
      <c r="C5460" t="s">
        <v>40</v>
      </c>
      <c r="D5460">
        <v>4.6060460000000001</v>
      </c>
      <c r="E5460">
        <v>0.41831930000000001</v>
      </c>
      <c r="F5460" t="s">
        <v>46</v>
      </c>
      <c r="G5460">
        <v>-179.67169999999999</v>
      </c>
      <c r="H5460">
        <v>7.9985490000000006E-2</v>
      </c>
      <c r="I5460">
        <v>-39.924480000000003</v>
      </c>
      <c r="J5460">
        <v>-203.5127</v>
      </c>
      <c r="K5460">
        <v>1.119429</v>
      </c>
      <c r="L5460">
        <v>-61.664639999999999</v>
      </c>
      <c r="M5460">
        <v>0.95127289999999998</v>
      </c>
      <c r="N5460">
        <v>-1.519446E-2</v>
      </c>
      <c r="O5460">
        <v>0.30797580000000002</v>
      </c>
      <c r="P5460">
        <v>0.8425802</v>
      </c>
      <c r="Q5460">
        <v>0.17783099999999999</v>
      </c>
      <c r="R5460">
        <v>0.50836499999999996</v>
      </c>
      <c r="S5460">
        <v>2.3168030000000002</v>
      </c>
      <c r="T5460">
        <v>-0.1003776</v>
      </c>
      <c r="U5460">
        <v>2.1048279999999999</v>
      </c>
      <c r="V5460">
        <v>-0.22825309999999999</v>
      </c>
      <c r="W5460">
        <v>0.1874538</v>
      </c>
      <c r="X5460">
        <v>0.95538559999999995</v>
      </c>
      <c r="Y5460">
        <v>-0.4115046</v>
      </c>
      <c r="Z5460">
        <v>4.4855850000000003E-3</v>
      </c>
      <c r="AA5460">
        <v>0.91139669999999895</v>
      </c>
      <c r="AB5460">
        <v>27</v>
      </c>
      <c r="AC5460">
        <v>23.841000000000001</v>
      </c>
      <c r="AD5460">
        <v>-1.0394435099999999</v>
      </c>
      <c r="AE5460">
        <v>21.740159999999999</v>
      </c>
      <c r="AF5460">
        <v>-13.326082729416401</v>
      </c>
      <c r="AG5460">
        <v>-1.0394435099999999</v>
      </c>
      <c r="AH5460">
        <v>29.347671640089001</v>
      </c>
      <c r="AI5460">
        <v>91.847108328930403</v>
      </c>
      <c r="AJ5460">
        <v>114.4216740411</v>
      </c>
      <c r="AK5460">
        <v>32.248267463791201</v>
      </c>
      <c r="AL5460">
        <v>79.1957722429771</v>
      </c>
      <c r="AM5460">
        <v>103.436776918237</v>
      </c>
      <c r="AN5460">
        <v>1.0000000247406999</v>
      </c>
    </row>
    <row r="5461" spans="1:40" x14ac:dyDescent="0.25">
      <c r="A5461" t="str">
        <f>"20190304155524429"</f>
        <v>20190304155524429</v>
      </c>
      <c r="B5461" t="str">
        <f>"1551686124423548"</f>
        <v>1551686124423548</v>
      </c>
      <c r="C5461" t="s">
        <v>40</v>
      </c>
      <c r="D5461">
        <v>4.5367249999999997</v>
      </c>
      <c r="E5461">
        <v>0.41870869999999999</v>
      </c>
      <c r="F5461" t="s">
        <v>46</v>
      </c>
      <c r="G5461">
        <v>-179.7758</v>
      </c>
      <c r="H5461">
        <v>7.9985509999999996E-2</v>
      </c>
      <c r="I5461">
        <v>-39.825180000000003</v>
      </c>
      <c r="J5461">
        <v>-203.37139999999999</v>
      </c>
      <c r="K5461">
        <v>1.1194789999999999</v>
      </c>
      <c r="L5461">
        <v>-61.611449999999998</v>
      </c>
      <c r="M5461">
        <v>0.94910530000000004</v>
      </c>
      <c r="N5461">
        <v>-1.5211270000000001E-2</v>
      </c>
      <c r="O5461">
        <v>0.31459140000000002</v>
      </c>
      <c r="P5461">
        <v>0.83889009999999997</v>
      </c>
      <c r="Q5461">
        <v>0.17804130000000001</v>
      </c>
      <c r="R5461">
        <v>0.51435850000000005</v>
      </c>
      <c r="S5461">
        <v>2.303223</v>
      </c>
      <c r="T5461">
        <v>-0.1008584</v>
      </c>
      <c r="U5461">
        <v>2.11911</v>
      </c>
      <c r="V5461">
        <v>-0.22845460000000001</v>
      </c>
      <c r="W5461">
        <v>0.18764629999999999</v>
      </c>
      <c r="X5461">
        <v>0.95529960000000003</v>
      </c>
      <c r="Y5461">
        <v>-0.4108966</v>
      </c>
      <c r="Z5461">
        <v>4.3275910000000004E-3</v>
      </c>
      <c r="AA5461">
        <v>0.91167169999999997</v>
      </c>
      <c r="AB5461">
        <v>27</v>
      </c>
      <c r="AC5461">
        <v>23.595599999999902</v>
      </c>
      <c r="AD5461">
        <v>-1.0394934899999999</v>
      </c>
      <c r="AE5461">
        <v>21.786269999999998</v>
      </c>
      <c r="AF5461">
        <v>-13.242151939337299</v>
      </c>
      <c r="AG5461">
        <v>-1.0394934899999999</v>
      </c>
      <c r="AH5461">
        <v>29.221252708347599</v>
      </c>
      <c r="AI5461">
        <v>91.855816226369598</v>
      </c>
      <c r="AJ5461">
        <v>114.378537492101</v>
      </c>
      <c r="AK5461">
        <v>32.098547389957702</v>
      </c>
      <c r="AL5461">
        <v>79.184543084877703</v>
      </c>
      <c r="AM5461">
        <v>103.44937477284</v>
      </c>
      <c r="AN5461">
        <v>0.99999998196250395</v>
      </c>
    </row>
    <row r="5462" spans="1:40" x14ac:dyDescent="0.25">
      <c r="A5462" t="str">
        <f>"20190304155524442"</f>
        <v>20190304155524442</v>
      </c>
      <c r="B5462" t="str">
        <f>"1551686124433307"</f>
        <v>1551686124433307</v>
      </c>
      <c r="C5462" t="s">
        <v>40</v>
      </c>
      <c r="D5462">
        <v>4.5582079999999996</v>
      </c>
      <c r="E5462">
        <v>0.41908319999999999</v>
      </c>
      <c r="F5462" t="s">
        <v>46</v>
      </c>
      <c r="G5462">
        <v>-179.91059999999999</v>
      </c>
      <c r="H5462">
        <v>7.9985539999999994E-2</v>
      </c>
      <c r="I5462">
        <v>-39.755110000000002</v>
      </c>
      <c r="J5462">
        <v>-203.2242</v>
      </c>
      <c r="K5462">
        <v>1.119534</v>
      </c>
      <c r="L5462">
        <v>-61.555269999999901</v>
      </c>
      <c r="M5462">
        <v>0.94678399999999996</v>
      </c>
      <c r="N5462">
        <v>-1.522857E-2</v>
      </c>
      <c r="O5462">
        <v>0.3215095</v>
      </c>
      <c r="P5462">
        <v>0.83523979999999998</v>
      </c>
      <c r="Q5462">
        <v>0.17804039999999999</v>
      </c>
      <c r="R5462">
        <v>0.52026559999999999</v>
      </c>
      <c r="S5462">
        <v>2.2897639999999999</v>
      </c>
      <c r="T5462">
        <v>-0.1014545</v>
      </c>
      <c r="U5462">
        <v>2.1331790000000002</v>
      </c>
      <c r="V5462">
        <v>-0.22824810000000001</v>
      </c>
      <c r="W5462">
        <v>0.18763840000000001</v>
      </c>
      <c r="X5462">
        <v>0.95535049999999999</v>
      </c>
      <c r="Y5462">
        <v>-0.40991379999999999</v>
      </c>
      <c r="Z5462">
        <v>4.1470559999999997E-3</v>
      </c>
      <c r="AA5462">
        <v>0.91211489999999995</v>
      </c>
      <c r="AB5462">
        <v>27</v>
      </c>
      <c r="AC5462">
        <v>23.313600000000001</v>
      </c>
      <c r="AD5462">
        <v>-1.03954846</v>
      </c>
      <c r="AE5462">
        <v>21.800160000000002</v>
      </c>
      <c r="AF5462">
        <v>-13.132091989599999</v>
      </c>
      <c r="AG5462">
        <v>-1.03954846</v>
      </c>
      <c r="AH5462">
        <v>29.0544522067825</v>
      </c>
      <c r="AI5462">
        <v>91.867392975823606</v>
      </c>
      <c r="AJ5462">
        <v>114.322116238265</v>
      </c>
      <c r="AK5462">
        <v>31.901311792153901</v>
      </c>
      <c r="AL5462">
        <v>79.185003787812207</v>
      </c>
      <c r="AM5462">
        <v>103.436969012739</v>
      </c>
      <c r="AN5462">
        <v>0.99999997107920902</v>
      </c>
    </row>
    <row r="5463" spans="1:40" x14ac:dyDescent="0.25">
      <c r="A5463" t="str">
        <f>"20190304155524453"</f>
        <v>20190304155524453</v>
      </c>
      <c r="B5463" t="str">
        <f>"1551686124443067"</f>
        <v>1551686124443067</v>
      </c>
      <c r="C5463" t="s">
        <v>40</v>
      </c>
      <c r="D5463">
        <v>4.5203930000000003</v>
      </c>
      <c r="E5463">
        <v>0.41939290000000001</v>
      </c>
      <c r="F5463" t="s">
        <v>46</v>
      </c>
      <c r="G5463">
        <v>-179.9359</v>
      </c>
      <c r="H5463">
        <v>7.1858610000000003E-2</v>
      </c>
      <c r="I5463">
        <v>-39.587359999999997</v>
      </c>
      <c r="J5463">
        <v>-203.08420000000001</v>
      </c>
      <c r="K5463">
        <v>1.119583</v>
      </c>
      <c r="L5463">
        <v>-61.499940000000002</v>
      </c>
      <c r="M5463">
        <v>0.94449309999999997</v>
      </c>
      <c r="N5463">
        <v>-1.5245099999999999E-2</v>
      </c>
      <c r="O5463">
        <v>0.32817750000000001</v>
      </c>
      <c r="P5463">
        <v>0.83168750000000002</v>
      </c>
      <c r="Q5463">
        <v>0.17789349999999901</v>
      </c>
      <c r="R5463">
        <v>0.52597519999999998</v>
      </c>
      <c r="S5463">
        <v>2.2761840000000002</v>
      </c>
      <c r="T5463">
        <v>-0.102399</v>
      </c>
      <c r="U5463">
        <v>2.147125</v>
      </c>
      <c r="V5463">
        <v>-0.22806480000000001</v>
      </c>
      <c r="W5463">
        <v>0.18748619999999999</v>
      </c>
      <c r="X5463">
        <v>0.95542419999999995</v>
      </c>
      <c r="Y5463">
        <v>-0.40915370000000001</v>
      </c>
      <c r="Z5463">
        <v>3.959705E-3</v>
      </c>
      <c r="AA5463">
        <v>0.91245690000000002</v>
      </c>
      <c r="AB5463">
        <v>27</v>
      </c>
      <c r="AC5463">
        <v>23.148299999999999</v>
      </c>
      <c r="AD5463">
        <v>-1.0477243899999999</v>
      </c>
      <c r="AE5463">
        <v>21.912579999999998</v>
      </c>
      <c r="AF5463">
        <v>-13.086911701984</v>
      </c>
      <c r="AG5463">
        <v>-1.0477243899999999</v>
      </c>
      <c r="AH5463">
        <v>29.026639443800601</v>
      </c>
      <c r="AI5463">
        <v>91.884664599614098</v>
      </c>
      <c r="AJ5463">
        <v>114.268644827298</v>
      </c>
      <c r="AK5463">
        <v>31.8576644105203</v>
      </c>
      <c r="AL5463">
        <v>79.193882246847807</v>
      </c>
      <c r="AM5463">
        <v>103.42557081188301</v>
      </c>
      <c r="AN5463">
        <v>1.0000000150675501</v>
      </c>
    </row>
    <row r="5464" spans="1:40" x14ac:dyDescent="0.25">
      <c r="A5464" t="str">
        <f>"20190304155524469"</f>
        <v>20190304155524469</v>
      </c>
      <c r="B5464" t="str">
        <f>"1551686124463565"</f>
        <v>1551686124463565</v>
      </c>
      <c r="C5464" t="s">
        <v>40</v>
      </c>
      <c r="D5464">
        <v>4.5878009999999998</v>
      </c>
      <c r="E5464">
        <v>0.41999219999999998</v>
      </c>
      <c r="F5464" t="s">
        <v>46</v>
      </c>
      <c r="G5464">
        <v>-179.95099999999999</v>
      </c>
      <c r="H5464">
        <v>5.6739739999999997E-2</v>
      </c>
      <c r="I5464">
        <v>-39.411059999999999</v>
      </c>
      <c r="J5464">
        <v>-202.91839999999999</v>
      </c>
      <c r="K5464">
        <v>1.119632</v>
      </c>
      <c r="L5464">
        <v>-61.433199999999999</v>
      </c>
      <c r="M5464">
        <v>0.94169590000000003</v>
      </c>
      <c r="N5464">
        <v>-1.5264160000000001E-2</v>
      </c>
      <c r="O5464">
        <v>0.33611859999999999</v>
      </c>
      <c r="P5464">
        <v>0.82777029999999996</v>
      </c>
      <c r="Q5464">
        <v>0.17731559999999999</v>
      </c>
      <c r="R5464">
        <v>0.5323116</v>
      </c>
      <c r="S5464">
        <v>2.2628629999999998</v>
      </c>
      <c r="T5464">
        <v>-0.103966</v>
      </c>
      <c r="U5464">
        <v>2.1607059999999998</v>
      </c>
      <c r="V5464">
        <v>-0.22728619999999999</v>
      </c>
      <c r="W5464">
        <v>0.18691749999999999</v>
      </c>
      <c r="X5464">
        <v>0.95572109999999999</v>
      </c>
      <c r="Y5464">
        <v>-0.40701470000000001</v>
      </c>
      <c r="Z5464">
        <v>3.6787209999999998E-3</v>
      </c>
      <c r="AA5464">
        <v>0.91341419999999995</v>
      </c>
      <c r="AB5464">
        <v>27</v>
      </c>
      <c r="AC5464">
        <v>22.967400000000001</v>
      </c>
      <c r="AD5464">
        <v>-1.0628922599999999</v>
      </c>
      <c r="AE5464">
        <v>22.02214</v>
      </c>
      <c r="AF5464">
        <v>-13.0053946287856</v>
      </c>
      <c r="AG5464">
        <v>-1.0628922599999999</v>
      </c>
      <c r="AH5464">
        <v>29.0013813414708</v>
      </c>
      <c r="AI5464">
        <v>91.915322869237002</v>
      </c>
      <c r="AJ5464">
        <v>114.15339725081</v>
      </c>
      <c r="AK5464">
        <v>31.8017318572468</v>
      </c>
      <c r="AL5464">
        <v>79.2270525411774</v>
      </c>
      <c r="AM5464">
        <v>103.377380410131</v>
      </c>
      <c r="AN5464">
        <v>0.99999999475095003</v>
      </c>
    </row>
    <row r="5465" spans="1:40" x14ac:dyDescent="0.25">
      <c r="A5465" t="str">
        <f>"20190304155524481"</f>
        <v>20190304155524481</v>
      </c>
      <c r="B5465" t="str">
        <f>"1551686124473323"</f>
        <v>1551686124473323</v>
      </c>
      <c r="C5465" t="s">
        <v>40</v>
      </c>
      <c r="D5465">
        <v>4.5184980000000001</v>
      </c>
      <c r="E5465">
        <v>0.42032239999999998</v>
      </c>
      <c r="F5465" t="s">
        <v>46</v>
      </c>
      <c r="G5465">
        <v>-179.95779999999999</v>
      </c>
      <c r="H5465">
        <v>1.797924E-2</v>
      </c>
      <c r="I5465">
        <v>-39.235880000000002</v>
      </c>
      <c r="J5465">
        <v>-202.78790000000001</v>
      </c>
      <c r="K5465">
        <v>1.119672</v>
      </c>
      <c r="L5465">
        <v>-61.37988</v>
      </c>
      <c r="M5465">
        <v>0.9394323</v>
      </c>
      <c r="N5465">
        <v>-1.5278730000000001E-2</v>
      </c>
      <c r="O5465">
        <v>0.34239399999999998</v>
      </c>
      <c r="P5465">
        <v>0.82447380000000003</v>
      </c>
      <c r="Q5465">
        <v>0.17700869999999999</v>
      </c>
      <c r="R5465">
        <v>0.53750439999999999</v>
      </c>
      <c r="S5465">
        <v>2.2490839999999999</v>
      </c>
      <c r="T5465">
        <v>-0.1079112</v>
      </c>
      <c r="U5465">
        <v>2.1743160000000001</v>
      </c>
      <c r="V5465">
        <v>-0.22690730000000001</v>
      </c>
      <c r="W5465">
        <v>0.18661159999999999</v>
      </c>
      <c r="X5465">
        <v>0.95587089999999997</v>
      </c>
      <c r="Y5465">
        <v>-0.4065627</v>
      </c>
      <c r="Z5465">
        <v>3.3580770000000001E-3</v>
      </c>
      <c r="AA5465">
        <v>0.91361669999999995</v>
      </c>
      <c r="AB5465">
        <v>27</v>
      </c>
      <c r="AC5465">
        <v>22.830100000000002</v>
      </c>
      <c r="AD5465">
        <v>-1.1016927599999999</v>
      </c>
      <c r="AE5465">
        <v>22.143999999999998</v>
      </c>
      <c r="AF5465">
        <v>-12.971850474832101</v>
      </c>
      <c r="AG5465">
        <v>-1.1016927599999999</v>
      </c>
      <c r="AH5465">
        <v>28.997900014754201</v>
      </c>
      <c r="AI5465">
        <v>91.986240649504197</v>
      </c>
      <c r="AJ5465">
        <v>114.100762196475</v>
      </c>
      <c r="AK5465">
        <v>31.786173675743399</v>
      </c>
      <c r="AL5465">
        <v>79.244893232615397</v>
      </c>
      <c r="AM5465">
        <v>103.353861153236</v>
      </c>
      <c r="AN5465">
        <v>0.99999999475732904</v>
      </c>
    </row>
    <row r="5466" spans="1:40" x14ac:dyDescent="0.25">
      <c r="A5466" t="str">
        <f>"20190304155524491"</f>
        <v>20190304155524491</v>
      </c>
      <c r="B5466" t="str">
        <f>"1551686124483084"</f>
        <v>1551686124483084</v>
      </c>
      <c r="C5466" t="s">
        <v>40</v>
      </c>
      <c r="D5466">
        <v>4.5274130000000001</v>
      </c>
      <c r="E5466">
        <v>0.42061939999999998</v>
      </c>
      <c r="F5466" t="s">
        <v>46</v>
      </c>
      <c r="G5466">
        <v>-179.99979999999999</v>
      </c>
      <c r="H5466" s="1">
        <v>-3.0838870000000001E-6</v>
      </c>
      <c r="I5466">
        <v>-39.108629999999998</v>
      </c>
      <c r="J5466">
        <v>-202.67160000000001</v>
      </c>
      <c r="K5466">
        <v>1.1197090000000001</v>
      </c>
      <c r="L5466">
        <v>-61.330750000000002</v>
      </c>
      <c r="M5466">
        <v>0.93734569999999995</v>
      </c>
      <c r="N5466">
        <v>-1.5292119999999999E-2</v>
      </c>
      <c r="O5466">
        <v>0.34806500000000001</v>
      </c>
      <c r="P5466">
        <v>0.8214437</v>
      </c>
      <c r="Q5466">
        <v>0.17654500000000001</v>
      </c>
      <c r="R5466">
        <v>0.5422749</v>
      </c>
      <c r="S5466">
        <v>2.2369840000000001</v>
      </c>
      <c r="T5466">
        <v>-0.1099125</v>
      </c>
      <c r="U5466">
        <v>2.1862490000000001</v>
      </c>
      <c r="V5466">
        <v>-0.22664409999999999</v>
      </c>
      <c r="W5466">
        <v>0.18614729999999999</v>
      </c>
      <c r="X5466">
        <v>0.95602390000000004</v>
      </c>
      <c r="Y5466">
        <v>-0.4059992</v>
      </c>
      <c r="Z5466">
        <v>3.1233760000000002E-3</v>
      </c>
      <c r="AA5466">
        <v>0.91386809999999996</v>
      </c>
      <c r="AB5466">
        <v>27</v>
      </c>
      <c r="AC5466">
        <v>22.671800000000001</v>
      </c>
      <c r="AD5466">
        <v>-1.1197120838869901</v>
      </c>
      <c r="AE5466">
        <v>22.22212</v>
      </c>
      <c r="AF5466">
        <v>-12.923983732261901</v>
      </c>
      <c r="AG5466">
        <v>-1.1197120838869901</v>
      </c>
      <c r="AH5466">
        <v>28.9534270514959</v>
      </c>
      <c r="AI5466">
        <v>92.0225262783338</v>
      </c>
      <c r="AJ5466">
        <v>114.054621302114</v>
      </c>
      <c r="AK5466">
        <v>31.7267087591649</v>
      </c>
      <c r="AL5466">
        <v>79.271970506296896</v>
      </c>
      <c r="AM5466">
        <v>103.33686692026799</v>
      </c>
      <c r="AN5466">
        <v>1.0000000313666499</v>
      </c>
    </row>
    <row r="5467" spans="1:40" x14ac:dyDescent="0.25">
      <c r="A5467" t="str">
        <f>"20190304155524502"</f>
        <v>20190304155524502</v>
      </c>
      <c r="B5467" t="str">
        <f>"1551686124492844"</f>
        <v>1551686124492844</v>
      </c>
      <c r="C5467" t="s">
        <v>40</v>
      </c>
      <c r="D5467">
        <v>4.4997910000000001</v>
      </c>
      <c r="E5467">
        <v>0.42095470000000001</v>
      </c>
      <c r="F5467" t="s">
        <v>46</v>
      </c>
      <c r="G5467">
        <v>-180.3708</v>
      </c>
      <c r="H5467" s="1">
        <v>-2.9165159999999898E-6</v>
      </c>
      <c r="I5467">
        <v>-39.310450000000003</v>
      </c>
      <c r="J5467">
        <v>-202.554</v>
      </c>
      <c r="K5467">
        <v>1.1197459999999999</v>
      </c>
      <c r="L5467">
        <v>-61.280850000000001</v>
      </c>
      <c r="M5467">
        <v>0.93519580000000002</v>
      </c>
      <c r="N5467">
        <v>-1.5305259999999999E-2</v>
      </c>
      <c r="O5467">
        <v>0.35380009999999901</v>
      </c>
      <c r="P5467">
        <v>0.81849659999999902</v>
      </c>
      <c r="Q5467">
        <v>0.1759336</v>
      </c>
      <c r="R5467">
        <v>0.54691000000000001</v>
      </c>
      <c r="S5467">
        <v>2.225479</v>
      </c>
      <c r="T5467">
        <v>-0.1117398</v>
      </c>
      <c r="U5467">
        <v>2.197479</v>
      </c>
      <c r="V5467">
        <v>-0.2261494</v>
      </c>
      <c r="W5467">
        <v>0.18554109999999999</v>
      </c>
      <c r="X5467">
        <v>0.95625879999999996</v>
      </c>
      <c r="Y5467">
        <v>-0.40509440000000002</v>
      </c>
      <c r="Z5467">
        <v>2.8778660000000002E-3</v>
      </c>
      <c r="AA5467">
        <v>0.91427029999999998</v>
      </c>
      <c r="AB5467">
        <v>27</v>
      </c>
      <c r="AC5467">
        <v>22.183199999999999</v>
      </c>
      <c r="AD5467">
        <v>-1.1197489165159999</v>
      </c>
      <c r="AE5467">
        <v>21.970400000000001</v>
      </c>
      <c r="AF5467">
        <v>-12.683381179915401</v>
      </c>
      <c r="AG5467">
        <v>-1.1197489165159999</v>
      </c>
      <c r="AH5467">
        <v>28.485467083661899</v>
      </c>
      <c r="AI5467">
        <v>92.056642446838197</v>
      </c>
      <c r="AJ5467">
        <v>114.001400178314</v>
      </c>
      <c r="AK5467">
        <v>31.201663910206101</v>
      </c>
      <c r="AL5467">
        <v>79.307318360535902</v>
      </c>
      <c r="AM5467">
        <v>103.30564030223999</v>
      </c>
      <c r="AN5467">
        <v>0.99999997174350397</v>
      </c>
    </row>
    <row r="5468" spans="1:40" x14ac:dyDescent="0.25">
      <c r="A5468" t="str">
        <f>"20190304155524514"</f>
        <v>20190304155524514</v>
      </c>
      <c r="B5468" t="str">
        <f>"1551686124503580"</f>
        <v>1551686124503580</v>
      </c>
      <c r="C5468" t="s">
        <v>40</v>
      </c>
      <c r="D5468">
        <v>4.5170389999999996</v>
      </c>
      <c r="E5468">
        <v>0.42129870000000003</v>
      </c>
      <c r="F5468" t="s">
        <v>48</v>
      </c>
      <c r="G5468">
        <v>-201.77029999999999</v>
      </c>
      <c r="H5468">
        <v>1.0792740000000001</v>
      </c>
      <c r="I5468">
        <v>-60.499459999999999</v>
      </c>
      <c r="J5468">
        <v>-202.4221</v>
      </c>
      <c r="K5468">
        <v>1.119791</v>
      </c>
      <c r="L5468">
        <v>-61.223239999999997</v>
      </c>
      <c r="M5468">
        <v>0.93270629999999999</v>
      </c>
      <c r="N5468">
        <v>-1.5320830000000001E-2</v>
      </c>
      <c r="O5468">
        <v>0.3603114</v>
      </c>
      <c r="P5468">
        <v>0.81495269999999898</v>
      </c>
      <c r="Q5468">
        <v>0.17565239999999999</v>
      </c>
      <c r="R5468">
        <v>0.55226660000000005</v>
      </c>
      <c r="S5468">
        <v>2.2143549999999999</v>
      </c>
      <c r="T5468">
        <v>-0.11435480000000001</v>
      </c>
      <c r="U5468">
        <v>2.2081599999999999</v>
      </c>
      <c r="V5468">
        <v>-0.225747</v>
      </c>
      <c r="W5468">
        <v>0.18526090000000001</v>
      </c>
      <c r="X5468">
        <v>0.95640829999999999</v>
      </c>
      <c r="Y5468">
        <v>-0.40322229999999998</v>
      </c>
      <c r="Z5468">
        <v>2.5381790000000002E-3</v>
      </c>
      <c r="AA5468">
        <v>0.91509850000000004</v>
      </c>
      <c r="AB5468">
        <v>27</v>
      </c>
      <c r="AC5468">
        <v>0.65180000000000804</v>
      </c>
      <c r="AD5468">
        <v>-4.05169999999999E-2</v>
      </c>
      <c r="AE5468">
        <v>0.72378000000000497</v>
      </c>
      <c r="AF5468">
        <v>-0.439514320707521</v>
      </c>
      <c r="AG5468">
        <v>-4.05169999999999E-2</v>
      </c>
      <c r="AH5468">
        <v>0.86732527813274896</v>
      </c>
      <c r="AI5468">
        <v>92.386134771072804</v>
      </c>
      <c r="AJ5468">
        <v>116.873466998148</v>
      </c>
      <c r="AK5468">
        <v>0.97317398417962497</v>
      </c>
      <c r="AL5468">
        <v>79.3236569733876</v>
      </c>
      <c r="AM5468">
        <v>103.280802059374</v>
      </c>
      <c r="AN5468">
        <v>1.00000007269334</v>
      </c>
    </row>
    <row r="5469" spans="1:40" x14ac:dyDescent="0.25">
      <c r="A5469" t="str">
        <f>"20190304155524526"</f>
        <v>20190304155524526</v>
      </c>
      <c r="B5469" t="str">
        <f>"1551686124523100"</f>
        <v>1551686124523100</v>
      </c>
      <c r="C5469" t="s">
        <v>40</v>
      </c>
      <c r="D5469">
        <v>4.491498</v>
      </c>
      <c r="E5469">
        <v>0.4219289</v>
      </c>
      <c r="F5469" t="s">
        <v>46</v>
      </c>
      <c r="G5469">
        <v>-181.1593</v>
      </c>
      <c r="H5469" s="1">
        <v>-2.548506E-6</v>
      </c>
      <c r="I5469">
        <v>-39.775309999999998</v>
      </c>
      <c r="J5469">
        <v>-202.30889999999999</v>
      </c>
      <c r="K5469">
        <v>1.1198319999999999</v>
      </c>
      <c r="L5469">
        <v>-61.173189999999998</v>
      </c>
      <c r="M5469">
        <v>0.93052009999999996</v>
      </c>
      <c r="N5469">
        <v>-1.5334220000000001E-2</v>
      </c>
      <c r="O5469">
        <v>0.36591980000000002</v>
      </c>
      <c r="P5469">
        <v>0.81203329999999996</v>
      </c>
      <c r="Q5469">
        <v>0.1752755</v>
      </c>
      <c r="R5469">
        <v>0.55666890000000002</v>
      </c>
      <c r="S5469">
        <v>2.2013850000000001</v>
      </c>
      <c r="T5469">
        <v>-0.1159346</v>
      </c>
      <c r="U5469">
        <v>2.2205509999999999</v>
      </c>
      <c r="V5469">
        <v>-0.2251445</v>
      </c>
      <c r="W5469">
        <v>0.1848911</v>
      </c>
      <c r="X5469">
        <v>0.95662179999999997</v>
      </c>
      <c r="Y5469">
        <v>-0.40295829999999999</v>
      </c>
      <c r="Z5469">
        <v>2.308788E-3</v>
      </c>
      <c r="AA5469">
        <v>0.91521540000000001</v>
      </c>
      <c r="AB5469">
        <v>27</v>
      </c>
      <c r="AC5469">
        <v>21.1495999999999</v>
      </c>
      <c r="AD5469">
        <v>-1.1198345485059999</v>
      </c>
      <c r="AE5469">
        <v>21.397880000000001</v>
      </c>
      <c r="AF5469">
        <v>-12.1566888945837</v>
      </c>
      <c r="AG5469">
        <v>-1.1198345485059999</v>
      </c>
      <c r="AH5469">
        <v>27.475205319150898</v>
      </c>
      <c r="AI5469">
        <v>92.1345705744273</v>
      </c>
      <c r="AJ5469">
        <v>113.867490132169</v>
      </c>
      <c r="AK5469">
        <v>30.065362489503102</v>
      </c>
      <c r="AL5469">
        <v>79.345216819152697</v>
      </c>
      <c r="AM5469">
        <v>103.243755731663</v>
      </c>
      <c r="AN5469">
        <v>1.0000000164873499</v>
      </c>
    </row>
    <row r="5470" spans="1:40" x14ac:dyDescent="0.25">
      <c r="A5470" t="str">
        <f>"20190304155524535"</f>
        <v>20190304155524535</v>
      </c>
      <c r="B5470" t="str">
        <f>"1551686124532860"</f>
        <v>1551686124532860</v>
      </c>
      <c r="C5470" t="s">
        <v>40</v>
      </c>
      <c r="D5470">
        <v>4.4960269999999998</v>
      </c>
      <c r="E5470">
        <v>0.42226259999999999</v>
      </c>
      <c r="F5470" t="s">
        <v>46</v>
      </c>
      <c r="G5470">
        <v>-181.61609999999999</v>
      </c>
      <c r="H5470" s="1">
        <v>-2.303383E-6</v>
      </c>
      <c r="I5470">
        <v>-40.138449999999999</v>
      </c>
      <c r="J5470">
        <v>-202.19130000000001</v>
      </c>
      <c r="K5470">
        <v>1.119875</v>
      </c>
      <c r="L5470">
        <v>-61.120089999999998</v>
      </c>
      <c r="M5470">
        <v>0.92818730000000005</v>
      </c>
      <c r="N5470">
        <v>-1.534871E-2</v>
      </c>
      <c r="O5470">
        <v>0.37179679999999998</v>
      </c>
      <c r="P5470">
        <v>0.80882019999999899</v>
      </c>
      <c r="Q5470">
        <v>0.17483789999999999</v>
      </c>
      <c r="R5470">
        <v>0.56146390000000002</v>
      </c>
      <c r="S5470">
        <v>2.1923219999999999</v>
      </c>
      <c r="T5470">
        <v>-0.118642</v>
      </c>
      <c r="U5470">
        <v>2.2285460000000001</v>
      </c>
      <c r="V5470">
        <v>-0.22472839999999999</v>
      </c>
      <c r="W5470">
        <v>0.1844567</v>
      </c>
      <c r="X5470">
        <v>0.95680339999999997</v>
      </c>
      <c r="Y5470">
        <v>-0.4006982</v>
      </c>
      <c r="Z5470">
        <v>1.9456670000000001E-3</v>
      </c>
      <c r="AA5470">
        <v>0.91620809999999997</v>
      </c>
      <c r="AB5470">
        <v>27</v>
      </c>
      <c r="AC5470">
        <v>20.575199999999999</v>
      </c>
      <c r="AD5470">
        <v>-1.1198773033829901</v>
      </c>
      <c r="AE5470">
        <v>20.981639999999999</v>
      </c>
      <c r="AF5470">
        <v>-11.8093405387248</v>
      </c>
      <c r="AG5470">
        <v>-1.1198773033829901</v>
      </c>
      <c r="AH5470">
        <v>26.8627018597623</v>
      </c>
      <c r="AI5470">
        <v>92.185567999802899</v>
      </c>
      <c r="AJ5470">
        <v>113.73117868153101</v>
      </c>
      <c r="AK5470">
        <v>29.365275417415699</v>
      </c>
      <c r="AL5470">
        <v>79.370540843504401</v>
      </c>
      <c r="AM5470">
        <v>103.217718530817</v>
      </c>
      <c r="AN5470">
        <v>0.99999993709650203</v>
      </c>
    </row>
    <row r="5471" spans="1:40" x14ac:dyDescent="0.25">
      <c r="A5471" t="str">
        <f>"20190304155524551"</f>
        <v>20190304155524551</v>
      </c>
      <c r="B5471" t="str">
        <f>"1551686124543596"</f>
        <v>1551686124543596</v>
      </c>
      <c r="C5471" t="s">
        <v>40</v>
      </c>
      <c r="D5471">
        <v>4.5071269999999997</v>
      </c>
      <c r="E5471">
        <v>0.42262660000000002</v>
      </c>
      <c r="F5471" t="s">
        <v>46</v>
      </c>
      <c r="G5471">
        <v>-181.89779999999999</v>
      </c>
      <c r="H5471" s="1">
        <v>-2.1815429999999999E-6</v>
      </c>
      <c r="I5471">
        <v>-40.276220000000002</v>
      </c>
      <c r="J5471">
        <v>-202.03559999999999</v>
      </c>
      <c r="K5471">
        <v>1.1199300000000001</v>
      </c>
      <c r="L5471">
        <v>-61.048369999999998</v>
      </c>
      <c r="M5471">
        <v>0.92501049999999996</v>
      </c>
      <c r="N5471">
        <v>-1.5368100000000001E-2</v>
      </c>
      <c r="O5471">
        <v>0.37963059999999998</v>
      </c>
      <c r="P5471">
        <v>0.80447009999999997</v>
      </c>
      <c r="Q5471">
        <v>0.1743208</v>
      </c>
      <c r="R5471">
        <v>0.56783809999999901</v>
      </c>
      <c r="S5471">
        <v>2.18045</v>
      </c>
      <c r="T5471">
        <v>-0.1203265</v>
      </c>
      <c r="U5471">
        <v>2.2395939999999999</v>
      </c>
      <c r="V5471">
        <v>-0.22417090000000001</v>
      </c>
      <c r="W5471">
        <v>0.18394350000000001</v>
      </c>
      <c r="X5471">
        <v>0.95703300000000002</v>
      </c>
      <c r="Y5471">
        <v>-0.39770240000000001</v>
      </c>
      <c r="Z5471">
        <v>1.5582809999999999E-3</v>
      </c>
      <c r="AA5471">
        <v>0.91751320000000003</v>
      </c>
      <c r="AB5471">
        <v>27</v>
      </c>
      <c r="AC5471">
        <v>20.137799999999999</v>
      </c>
      <c r="AD5471">
        <v>-1.1199321815429999</v>
      </c>
      <c r="AE5471">
        <v>20.77215</v>
      </c>
      <c r="AF5471">
        <v>-11.5535854388137</v>
      </c>
      <c r="AG5471">
        <v>-1.1199321815429999</v>
      </c>
      <c r="AH5471">
        <v>26.4768766840651</v>
      </c>
      <c r="AI5471">
        <v>92.220143573569601</v>
      </c>
      <c r="AJ5471">
        <v>113.574777551417</v>
      </c>
      <c r="AK5471">
        <v>28.909593278467501</v>
      </c>
      <c r="AL5471">
        <v>79.400457437103597</v>
      </c>
      <c r="AM5471">
        <v>103.18302237296901</v>
      </c>
      <c r="AN5471">
        <v>0.99999998334402995</v>
      </c>
    </row>
    <row r="5472" spans="1:40" x14ac:dyDescent="0.25">
      <c r="A5472" t="str">
        <f>"20190304155524563"</f>
        <v>20190304155524563</v>
      </c>
      <c r="B5472" t="str">
        <f>"1551686124553355"</f>
        <v>1551686124553355</v>
      </c>
      <c r="C5472" t="s">
        <v>40</v>
      </c>
      <c r="D5472">
        <v>4.4723610000000003</v>
      </c>
      <c r="E5472">
        <v>0.42297220000000002</v>
      </c>
      <c r="F5472" t="s">
        <v>74</v>
      </c>
      <c r="G5472">
        <v>-182.24189999999999</v>
      </c>
      <c r="H5472" s="1">
        <v>-6.8407649999999999E-6</v>
      </c>
      <c r="I5472">
        <v>-40.42868</v>
      </c>
      <c r="J5472">
        <v>-201.90629999999999</v>
      </c>
      <c r="K5472">
        <v>1.1199760000000001</v>
      </c>
      <c r="L5472">
        <v>-60.987879999999997</v>
      </c>
      <c r="M5472">
        <v>0.92229760000000005</v>
      </c>
      <c r="N5472">
        <v>-1.538407E-2</v>
      </c>
      <c r="O5472">
        <v>0.38617430000000003</v>
      </c>
      <c r="P5472">
        <v>0.800902</v>
      </c>
      <c r="Q5472">
        <v>0.17362830000000001</v>
      </c>
      <c r="R5472">
        <v>0.57306999999999997</v>
      </c>
      <c r="S5472">
        <v>2.164291</v>
      </c>
      <c r="T5472">
        <v>-0.1224567</v>
      </c>
      <c r="U5472">
        <v>2.2546080000000002</v>
      </c>
      <c r="V5472">
        <v>-0.22357569999999999</v>
      </c>
      <c r="W5472">
        <v>0.18325820000000001</v>
      </c>
      <c r="X5472">
        <v>0.95730369999999998</v>
      </c>
      <c r="Y5472">
        <v>-0.39767219999999998</v>
      </c>
      <c r="Z5472">
        <v>1.2513159999999999E-3</v>
      </c>
      <c r="AA5472">
        <v>0.91752670000000003</v>
      </c>
      <c r="AB5472">
        <v>27</v>
      </c>
      <c r="AC5472">
        <v>19.664400000000001</v>
      </c>
      <c r="AD5472">
        <v>-1.1199828407649901</v>
      </c>
      <c r="AE5472">
        <v>20.559200000000001</v>
      </c>
      <c r="AF5472">
        <v>-11.351566990972399</v>
      </c>
      <c r="AG5472">
        <v>-1.1199828407649901</v>
      </c>
      <c r="AH5472">
        <v>26.038593581977601</v>
      </c>
      <c r="AI5472">
        <v>92.257918578343293</v>
      </c>
      <c r="AJ5472">
        <v>113.55487232974799</v>
      </c>
      <c r="AK5472">
        <v>28.427465424155301</v>
      </c>
      <c r="AL5472">
        <v>79.440401613655794</v>
      </c>
      <c r="AM5472">
        <v>103.14564846713201</v>
      </c>
      <c r="AN5472">
        <v>1.0000000177657</v>
      </c>
    </row>
    <row r="5473" spans="1:40" x14ac:dyDescent="0.25">
      <c r="A5473" t="str">
        <f>"20190304155524577"</f>
        <v>20190304155524577</v>
      </c>
      <c r="B5473" t="str">
        <f>"1551686124572875"</f>
        <v>1551686124572875</v>
      </c>
      <c r="C5473" t="s">
        <v>40</v>
      </c>
      <c r="D5473">
        <v>4.5017060000000004</v>
      </c>
      <c r="E5473">
        <v>0.42328650000000001</v>
      </c>
      <c r="F5473" t="s">
        <v>74</v>
      </c>
      <c r="G5473">
        <v>-182.6542</v>
      </c>
      <c r="H5473" s="1">
        <v>-6.7963310000000003E-6</v>
      </c>
      <c r="I5473">
        <v>-40.699959999999997</v>
      </c>
      <c r="J5473">
        <v>-201.75200000000001</v>
      </c>
      <c r="K5473">
        <v>1.120034</v>
      </c>
      <c r="L5473">
        <v>-60.913670000000003</v>
      </c>
      <c r="M5473">
        <v>0.91894949999999997</v>
      </c>
      <c r="N5473">
        <v>-1.5403490000000001E-2</v>
      </c>
      <c r="O5473">
        <v>0.39407439999999999</v>
      </c>
      <c r="P5473">
        <v>0.79634110000000002</v>
      </c>
      <c r="Q5473">
        <v>0.1731075</v>
      </c>
      <c r="R5473">
        <v>0.57954689999999998</v>
      </c>
      <c r="S5473">
        <v>2.1509860000000001</v>
      </c>
      <c r="T5473">
        <v>-0.1251332</v>
      </c>
      <c r="U5473">
        <v>2.266724</v>
      </c>
      <c r="V5473">
        <v>-0.2230936</v>
      </c>
      <c r="W5473">
        <v>0.18273880000000001</v>
      </c>
      <c r="X5473">
        <v>0.95751540000000002</v>
      </c>
      <c r="Y5473">
        <v>-0.39507740000000002</v>
      </c>
      <c r="Z5473">
        <v>7.8659599999999997E-4</v>
      </c>
      <c r="AA5473">
        <v>0.91864749999999995</v>
      </c>
      <c r="AB5473">
        <v>27</v>
      </c>
      <c r="AC5473">
        <v>19.097799999999999</v>
      </c>
      <c r="AD5473">
        <v>-1.120040796331</v>
      </c>
      <c r="AE5473">
        <v>20.213709999999999</v>
      </c>
      <c r="AF5473">
        <v>-11.032837591310701</v>
      </c>
      <c r="AG5473">
        <v>-1.120040796331</v>
      </c>
      <c r="AH5473">
        <v>25.477316198980599</v>
      </c>
      <c r="AI5473">
        <v>92.310177526005901</v>
      </c>
      <c r="AJ5473">
        <v>113.414807775626</v>
      </c>
      <c r="AK5473">
        <v>27.786177092297599</v>
      </c>
      <c r="AL5473">
        <v>79.470671837629098</v>
      </c>
      <c r="AM5473">
        <v>103.11548349476899</v>
      </c>
      <c r="AN5473">
        <v>0.999999982311779</v>
      </c>
    </row>
    <row r="5474" spans="1:40" x14ac:dyDescent="0.25">
      <c r="A5474" t="str">
        <f>"20190304155524590"</f>
        <v>20190304155524590</v>
      </c>
      <c r="B5474" t="str">
        <f>"1551686124583611"</f>
        <v>1551686124583611</v>
      </c>
      <c r="C5474" t="s">
        <v>40</v>
      </c>
      <c r="D5474">
        <v>4.4849690000000004</v>
      </c>
      <c r="E5474">
        <v>0.43194579999999999</v>
      </c>
      <c r="F5474" t="s">
        <v>74</v>
      </c>
      <c r="G5474">
        <v>-182.96250000000001</v>
      </c>
      <c r="H5474" s="1">
        <v>-6.79172299999999E-6</v>
      </c>
      <c r="I5474">
        <v>-40.817309999999999</v>
      </c>
      <c r="J5474">
        <v>-201.6208</v>
      </c>
      <c r="K5474">
        <v>1.120082</v>
      </c>
      <c r="L5474">
        <v>-60.849209999999999</v>
      </c>
      <c r="M5474">
        <v>0.91601710000000003</v>
      </c>
      <c r="N5474">
        <v>-1.542021E-2</v>
      </c>
      <c r="O5474">
        <v>0.400843</v>
      </c>
      <c r="P5474">
        <v>0.79227700000000001</v>
      </c>
      <c r="Q5474">
        <v>0.17241479999999901</v>
      </c>
      <c r="R5474">
        <v>0.58529500000000001</v>
      </c>
      <c r="S5474">
        <v>2.133896</v>
      </c>
      <c r="T5474">
        <v>-0.1272017</v>
      </c>
      <c r="U5474">
        <v>2.2823180000000001</v>
      </c>
      <c r="V5474">
        <v>-0.22290509999999999</v>
      </c>
      <c r="W5474">
        <v>0.18204310000000001</v>
      </c>
      <c r="X5474">
        <v>0.95769179999999998</v>
      </c>
      <c r="Y5474">
        <v>-0.395098</v>
      </c>
      <c r="Z5474">
        <v>4.5552899999999998E-4</v>
      </c>
      <c r="AA5474">
        <v>0.91863890000000004</v>
      </c>
      <c r="AB5474">
        <v>27</v>
      </c>
      <c r="AC5474">
        <v>18.658300000000001</v>
      </c>
      <c r="AD5474">
        <v>-1.120088791723</v>
      </c>
      <c r="AE5474">
        <v>20.0319</v>
      </c>
      <c r="AF5474">
        <v>-10.8536351795298</v>
      </c>
      <c r="AG5474">
        <v>-1.120088791723</v>
      </c>
      <c r="AH5474">
        <v>25.0819630230332</v>
      </c>
      <c r="AI5474">
        <v>92.346924095798101</v>
      </c>
      <c r="AJ5474">
        <v>113.39942385510599</v>
      </c>
      <c r="AK5474">
        <v>27.352529400413299</v>
      </c>
      <c r="AL5474">
        <v>79.511212502236901</v>
      </c>
      <c r="AM5474">
        <v>103.102453830172</v>
      </c>
      <c r="AN5474">
        <v>0.99999997882542901</v>
      </c>
    </row>
    <row r="5475" spans="1:40" x14ac:dyDescent="0.25">
      <c r="A5475" t="str">
        <f>"20190304155524606"</f>
        <v>20190304155524606</v>
      </c>
      <c r="B5475" t="str">
        <f>"1551686124603132"</f>
        <v>1551686124603132</v>
      </c>
      <c r="C5475" t="s">
        <v>40</v>
      </c>
      <c r="D5475">
        <v>4.4805869999999999</v>
      </c>
      <c r="E5475">
        <v>0.43288520000000003</v>
      </c>
      <c r="F5475" t="s">
        <v>74</v>
      </c>
      <c r="G5475">
        <v>-186.22380000000001</v>
      </c>
      <c r="H5475" s="1">
        <v>-5.6264390000000001E-6</v>
      </c>
      <c r="I5475">
        <v>-44.865920000000003</v>
      </c>
      <c r="J5475">
        <v>-201.4547</v>
      </c>
      <c r="K5475">
        <v>1.120139</v>
      </c>
      <c r="L5475">
        <v>-60.76605</v>
      </c>
      <c r="M5475">
        <v>0.9121901</v>
      </c>
      <c r="N5475">
        <v>-1.5441420000000001E-2</v>
      </c>
      <c r="O5475">
        <v>0.40947610000000001</v>
      </c>
      <c r="P5475">
        <v>0.7873945</v>
      </c>
      <c r="Q5475">
        <v>0.171374</v>
      </c>
      <c r="R5475">
        <v>0.59214940000000005</v>
      </c>
      <c r="S5475">
        <v>2.162445</v>
      </c>
      <c r="T5475">
        <v>-0.15731129999999999</v>
      </c>
      <c r="U5475">
        <v>2.2447810000000001</v>
      </c>
      <c r="V5475">
        <v>-0.2220811</v>
      </c>
      <c r="W5475">
        <v>0.18101419999999999</v>
      </c>
      <c r="X5475">
        <v>0.95807819999999999</v>
      </c>
      <c r="Y5475">
        <v>-0.3725675</v>
      </c>
      <c r="Z5475">
        <v>-2.7166650000000001E-3</v>
      </c>
      <c r="AA5475">
        <v>0.92800110000000002</v>
      </c>
      <c r="AB5475">
        <v>27</v>
      </c>
      <c r="AC5475">
        <v>15.230899999999901</v>
      </c>
      <c r="AD5475">
        <v>-1.120144626439</v>
      </c>
      <c r="AE5475">
        <v>15.9001299999999</v>
      </c>
      <c r="AF5475">
        <v>-8.2468936227061</v>
      </c>
      <c r="AG5475">
        <v>-1.120144626439</v>
      </c>
      <c r="AH5475">
        <v>20.353954288791002</v>
      </c>
      <c r="AI5475">
        <v>92.9198752112367</v>
      </c>
      <c r="AJ5475">
        <v>112.056512918441</v>
      </c>
      <c r="AK5475">
        <v>21.989757470207898</v>
      </c>
      <c r="AL5475">
        <v>79.571160310254896</v>
      </c>
      <c r="AM5475">
        <v>103.05059575098799</v>
      </c>
      <c r="AN5475">
        <v>0.99999999644704496</v>
      </c>
    </row>
    <row r="5476" spans="1:40" x14ac:dyDescent="0.25">
      <c r="A5476" t="str">
        <f>"20190304155524629"</f>
        <v>20190304155524629</v>
      </c>
      <c r="B5476" t="str">
        <f>"1551686124623627"</f>
        <v>1551686124623627</v>
      </c>
      <c r="C5476" t="s">
        <v>40</v>
      </c>
      <c r="D5476">
        <v>4.4793710000000004</v>
      </c>
      <c r="E5476">
        <v>0.4332723</v>
      </c>
      <c r="F5476" t="s">
        <v>74</v>
      </c>
      <c r="G5476">
        <v>-186.60400000000001</v>
      </c>
      <c r="H5476" s="1">
        <v>-5.563531E-6</v>
      </c>
      <c r="I5476">
        <v>-45.146270000000001</v>
      </c>
      <c r="J5476">
        <v>-201.2139</v>
      </c>
      <c r="K5476">
        <v>1.1202270000000001</v>
      </c>
      <c r="L5476">
        <v>-60.641509999999997</v>
      </c>
      <c r="M5476">
        <v>0.90639040000000004</v>
      </c>
      <c r="N5476">
        <v>-1.5472939999999999E-2</v>
      </c>
      <c r="O5476">
        <v>0.42215760000000002</v>
      </c>
      <c r="P5476">
        <v>0.77961020000000003</v>
      </c>
      <c r="Q5476">
        <v>0.16989899999999999</v>
      </c>
      <c r="R5476">
        <v>0.60277890000000001</v>
      </c>
      <c r="S5476">
        <v>2.1470180000000001</v>
      </c>
      <c r="T5476">
        <v>-0.16194339999999999</v>
      </c>
      <c r="U5476">
        <v>2.2582089999999999</v>
      </c>
      <c r="V5476">
        <v>-0.2215888</v>
      </c>
      <c r="W5476">
        <v>0.17953769999999999</v>
      </c>
      <c r="X5476">
        <v>0.95846989999999999</v>
      </c>
      <c r="Y5476">
        <v>-0.36570819999999998</v>
      </c>
      <c r="Z5476">
        <v>-3.8197119999999998E-3</v>
      </c>
      <c r="AA5476">
        <v>0.93072169999999999</v>
      </c>
      <c r="AB5476">
        <v>27</v>
      </c>
      <c r="AC5476">
        <v>14.6098999999999</v>
      </c>
      <c r="AD5476">
        <v>-1.120232563531</v>
      </c>
      <c r="AE5476">
        <v>15.4952399999999</v>
      </c>
      <c r="AF5476">
        <v>-7.8562622276716096</v>
      </c>
      <c r="AG5476">
        <v>-1.120232563531</v>
      </c>
      <c r="AH5476">
        <v>19.731480451799101</v>
      </c>
      <c r="AI5476">
        <v>93.019361774184205</v>
      </c>
      <c r="AJ5476">
        <v>111.710408674815</v>
      </c>
      <c r="AK5476">
        <v>21.267512736708699</v>
      </c>
      <c r="AL5476">
        <v>79.6571663368928</v>
      </c>
      <c r="AM5476">
        <v>103.017512183798</v>
      </c>
      <c r="AN5476">
        <v>0.99999996560636895</v>
      </c>
    </row>
    <row r="5477" spans="1:40" x14ac:dyDescent="0.25">
      <c r="A5477" t="str">
        <f>"20190304155524647"</f>
        <v>20190304155524647</v>
      </c>
      <c r="B5477" t="str">
        <f>"1551686124643147"</f>
        <v>1551686124643147</v>
      </c>
      <c r="C5477" t="s">
        <v>40</v>
      </c>
      <c r="D5477">
        <v>4.4249679999999998</v>
      </c>
      <c r="E5477">
        <v>0.433614</v>
      </c>
      <c r="F5477" t="s">
        <v>74</v>
      </c>
      <c r="G5477">
        <v>-186.91919999999999</v>
      </c>
      <c r="H5477" s="1">
        <v>-5.5901460000000001E-6</v>
      </c>
      <c r="I5477">
        <v>-45.209580000000003</v>
      </c>
      <c r="J5477">
        <v>-201.03139999999999</v>
      </c>
      <c r="K5477">
        <v>1.1202909999999999</v>
      </c>
      <c r="L5477">
        <v>-60.544280000000001</v>
      </c>
      <c r="M5477">
        <v>0.90179989999999999</v>
      </c>
      <c r="N5477">
        <v>-1.549701E-2</v>
      </c>
      <c r="O5477">
        <v>0.43187579999999998</v>
      </c>
      <c r="P5477">
        <v>0.77309550000000005</v>
      </c>
      <c r="Q5477">
        <v>0.169715</v>
      </c>
      <c r="R5477">
        <v>0.61116300000000001</v>
      </c>
      <c r="S5477">
        <v>2.1170960000000001</v>
      </c>
      <c r="T5477">
        <v>-0.16591040000000001</v>
      </c>
      <c r="U5477">
        <v>2.2855219999999998</v>
      </c>
      <c r="V5477">
        <v>-0.22164490000000001</v>
      </c>
      <c r="W5477">
        <v>0.17934029999999901</v>
      </c>
      <c r="X5477">
        <v>0.95849390000000001</v>
      </c>
      <c r="Y5477">
        <v>-0.36779919999999999</v>
      </c>
      <c r="Z5477">
        <v>-4.4802920000000003E-3</v>
      </c>
      <c r="AA5477">
        <v>0.92989440000000001</v>
      </c>
      <c r="AB5477">
        <v>27</v>
      </c>
      <c r="AC5477">
        <v>14.1122</v>
      </c>
      <c r="AD5477">
        <v>-1.120296590146</v>
      </c>
      <c r="AE5477">
        <v>15.3347</v>
      </c>
      <c r="AF5477">
        <v>-7.7127540484408597</v>
      </c>
      <c r="AG5477">
        <v>-1.120296590146</v>
      </c>
      <c r="AH5477">
        <v>19.2956302807412</v>
      </c>
      <c r="AI5477">
        <v>93.085958691373705</v>
      </c>
      <c r="AJ5477">
        <v>111.787334171501</v>
      </c>
      <c r="AK5477">
        <v>20.810165482107301</v>
      </c>
      <c r="AL5477">
        <v>79.668663284230604</v>
      </c>
      <c r="AM5477">
        <v>103.02038064040499</v>
      </c>
      <c r="AN5477">
        <v>0.99999998061865403</v>
      </c>
    </row>
    <row r="5478" spans="1:40" x14ac:dyDescent="0.25">
      <c r="A5478" t="str">
        <f>"20190304155524659"</f>
        <v>20190304155524659</v>
      </c>
      <c r="B5478" t="str">
        <f>"1551686124652906"</f>
        <v>1551686124652906</v>
      </c>
      <c r="C5478" t="s">
        <v>40</v>
      </c>
      <c r="D5478">
        <v>4.435683</v>
      </c>
      <c r="E5478">
        <v>0.43356489999999998</v>
      </c>
      <c r="F5478" t="s">
        <v>74</v>
      </c>
      <c r="G5478">
        <v>-186.98589999999999</v>
      </c>
      <c r="H5478" s="1">
        <v>-5.6644569999999996E-6</v>
      </c>
      <c r="I5478">
        <v>-45.07555</v>
      </c>
      <c r="J5478">
        <v>-200.88640000000001</v>
      </c>
      <c r="K5478">
        <v>1.1203399999999999</v>
      </c>
      <c r="L5478">
        <v>-60.465299999999999</v>
      </c>
      <c r="M5478">
        <v>0.89803310000000003</v>
      </c>
      <c r="N5478">
        <v>-1.551597E-2</v>
      </c>
      <c r="O5478">
        <v>0.43965409999999999</v>
      </c>
      <c r="P5478">
        <v>0.76804550000000005</v>
      </c>
      <c r="Q5478">
        <v>0.16890829999999901</v>
      </c>
      <c r="R5478">
        <v>0.61771860000000001</v>
      </c>
      <c r="S5478">
        <v>2.0940249999999998</v>
      </c>
      <c r="T5478">
        <v>-0.16702349999999999</v>
      </c>
      <c r="U5478">
        <v>2.3062130000000001</v>
      </c>
      <c r="V5478">
        <v>-0.22144079999999999</v>
      </c>
      <c r="W5478">
        <v>0.17853189999999999</v>
      </c>
      <c r="X5478">
        <v>0.95869199999999999</v>
      </c>
      <c r="Y5478">
        <v>-0.36901250000000002</v>
      </c>
      <c r="Z5478">
        <v>-4.8668409999999898E-3</v>
      </c>
      <c r="AA5478">
        <v>0.92941169999999995</v>
      </c>
      <c r="AB5478">
        <v>27</v>
      </c>
      <c r="AC5478">
        <v>13.900499999999999</v>
      </c>
      <c r="AD5478">
        <v>-1.12034566445699</v>
      </c>
      <c r="AE5478">
        <v>15.389749999999999</v>
      </c>
      <c r="AF5478">
        <v>-7.6875849421561799</v>
      </c>
      <c r="AG5478">
        <v>-1.12034566445699</v>
      </c>
      <c r="AH5478">
        <v>19.1955708823325</v>
      </c>
      <c r="AI5478">
        <v>93.101324293199099</v>
      </c>
      <c r="AJ5478">
        <v>111.8254812637</v>
      </c>
      <c r="AK5478">
        <v>20.708067948251198</v>
      </c>
      <c r="AL5478">
        <v>79.715741291686996</v>
      </c>
      <c r="AM5478">
        <v>103.00620224375299</v>
      </c>
      <c r="AN5478">
        <v>1.00000000904312</v>
      </c>
    </row>
    <row r="5479" spans="1:40" x14ac:dyDescent="0.25">
      <c r="A5479" t="str">
        <f>"20190304155524671"</f>
        <v>20190304155524671</v>
      </c>
      <c r="B5479" t="str">
        <f>"1551686124663644"</f>
        <v>1551686124663644</v>
      </c>
      <c r="C5479" t="s">
        <v>40</v>
      </c>
      <c r="D5479">
        <v>4.4297209999999998</v>
      </c>
      <c r="E5479">
        <v>0.433641</v>
      </c>
      <c r="F5479" t="s">
        <v>74</v>
      </c>
      <c r="G5479">
        <v>-187.05199999999999</v>
      </c>
      <c r="H5479" s="1">
        <v>-5.73261499999999E-6</v>
      </c>
      <c r="I5479">
        <v>-44.95449</v>
      </c>
      <c r="J5479">
        <v>-200.7723</v>
      </c>
      <c r="K5479">
        <v>1.120374</v>
      </c>
      <c r="L5479">
        <v>-60.401400000000002</v>
      </c>
      <c r="M5479">
        <v>0.89497329999999997</v>
      </c>
      <c r="N5479">
        <v>-1.553091E-2</v>
      </c>
      <c r="O5479">
        <v>0.4458493</v>
      </c>
      <c r="P5479">
        <v>0.76371140000000004</v>
      </c>
      <c r="Q5479">
        <v>0.1686994</v>
      </c>
      <c r="R5479">
        <v>0.62312559999999995</v>
      </c>
      <c r="S5479">
        <v>2.0733489999999999</v>
      </c>
      <c r="T5479">
        <v>-0.16790469999999999</v>
      </c>
      <c r="U5479">
        <v>2.3245849999999999</v>
      </c>
      <c r="V5479">
        <v>-0.22157579999999999</v>
      </c>
      <c r="W5479">
        <v>0.17831420000000001</v>
      </c>
      <c r="X5479">
        <v>0.95870129999999998</v>
      </c>
      <c r="Y5479">
        <v>-0.37084080000000003</v>
      </c>
      <c r="Z5479">
        <v>-5.1489029999999998E-3</v>
      </c>
      <c r="AA5479">
        <v>0.92868209999999995</v>
      </c>
      <c r="AB5479">
        <v>27</v>
      </c>
      <c r="AC5479">
        <v>13.7202999999999</v>
      </c>
      <c r="AD5479">
        <v>-1.120379732615</v>
      </c>
      <c r="AE5479">
        <v>15.446910000000001</v>
      </c>
      <c r="AF5479">
        <v>-7.6857141035962204</v>
      </c>
      <c r="AG5479">
        <v>-1.120379732615</v>
      </c>
      <c r="AH5479">
        <v>19.112404050012501</v>
      </c>
      <c r="AI5479">
        <v>93.113120697517601</v>
      </c>
      <c r="AJ5479">
        <v>111.90665018340999</v>
      </c>
      <c r="AK5479">
        <v>20.6303039385853</v>
      </c>
      <c r="AL5479">
        <v>79.728417753972295</v>
      </c>
      <c r="AM5479">
        <v>103.01373961535</v>
      </c>
      <c r="AN5479">
        <v>0.99999998584448402</v>
      </c>
    </row>
    <row r="5480" spans="1:40" x14ac:dyDescent="0.25">
      <c r="A5480" t="str">
        <f>"20190304155524683"</f>
        <v>20190304155524683</v>
      </c>
      <c r="B5480" t="str">
        <f>"1551686124673403"</f>
        <v>1551686124673403</v>
      </c>
      <c r="C5480" t="s">
        <v>40</v>
      </c>
      <c r="D5480">
        <v>4.4861979999999999</v>
      </c>
      <c r="E5480">
        <v>0.43395549999999999</v>
      </c>
      <c r="F5480" t="s">
        <v>74</v>
      </c>
      <c r="G5480">
        <v>-187.11340000000001</v>
      </c>
      <c r="H5480" s="1">
        <v>-5.7831859999999898E-6</v>
      </c>
      <c r="I5480">
        <v>-44.869390000000003</v>
      </c>
      <c r="J5480">
        <v>-200.65729999999999</v>
      </c>
      <c r="K5480">
        <v>1.1204099999999999</v>
      </c>
      <c r="L5480">
        <v>-60.336579999999998</v>
      </c>
      <c r="M5480">
        <v>0.89183319999999999</v>
      </c>
      <c r="N5480">
        <v>-1.554552E-2</v>
      </c>
      <c r="O5480">
        <v>0.45209709999999997</v>
      </c>
      <c r="P5480">
        <v>0.75915829999999995</v>
      </c>
      <c r="Q5480">
        <v>0.16848239999999901</v>
      </c>
      <c r="R5480">
        <v>0.62872280000000003</v>
      </c>
      <c r="S5480">
        <v>2.0569760000000001</v>
      </c>
      <c r="T5480">
        <v>-0.16872419999999999</v>
      </c>
      <c r="U5480">
        <v>2.3390499999999999</v>
      </c>
      <c r="V5480">
        <v>-0.22190989999999999</v>
      </c>
      <c r="W5480">
        <v>0.17808199999999999</v>
      </c>
      <c r="X5480">
        <v>0.95866719999999905</v>
      </c>
      <c r="Y5480">
        <v>-0.37086279999999999</v>
      </c>
      <c r="Z5480">
        <v>-5.4942560000000003E-3</v>
      </c>
      <c r="AA5480">
        <v>0.92867140000000004</v>
      </c>
      <c r="AB5480">
        <v>27</v>
      </c>
      <c r="AC5480">
        <v>13.543899999999899</v>
      </c>
      <c r="AD5480">
        <v>-1.120415783186</v>
      </c>
      <c r="AE5480">
        <v>15.46719</v>
      </c>
      <c r="AF5480">
        <v>-7.6492049570506797</v>
      </c>
      <c r="AG5480">
        <v>-1.120415783186</v>
      </c>
      <c r="AH5480">
        <v>19.017395590219301</v>
      </c>
      <c r="AI5480">
        <v>93.128646650099995</v>
      </c>
      <c r="AJ5480">
        <v>111.91105062190699</v>
      </c>
      <c r="AK5480">
        <v>20.528687318897799</v>
      </c>
      <c r="AL5480">
        <v>79.741938395745507</v>
      </c>
      <c r="AM5480">
        <v>103.033140555055</v>
      </c>
      <c r="AN5480">
        <v>1.0000000013989201</v>
      </c>
    </row>
    <row r="5481" spans="1:40" x14ac:dyDescent="0.25">
      <c r="A5481" t="str">
        <f>"20190304155524693"</f>
        <v>20190304155524693</v>
      </c>
      <c r="B5481" t="str">
        <f>"1551686124683164"</f>
        <v>1551686124683164</v>
      </c>
      <c r="C5481" t="s">
        <v>40</v>
      </c>
      <c r="D5481">
        <v>4.5118510000000001</v>
      </c>
      <c r="E5481">
        <v>0.4342782</v>
      </c>
      <c r="F5481" t="s">
        <v>74</v>
      </c>
      <c r="G5481">
        <v>-187.16990000000001</v>
      </c>
      <c r="H5481" s="1">
        <v>-5.8286559999999901E-6</v>
      </c>
      <c r="I5481">
        <v>-44.793379999999999</v>
      </c>
      <c r="J5481">
        <v>-200.5378</v>
      </c>
      <c r="K5481">
        <v>1.1204480000000001</v>
      </c>
      <c r="L5481">
        <v>-60.267400000000002</v>
      </c>
      <c r="M5481">
        <v>0.88847199999999904</v>
      </c>
      <c r="N5481">
        <v>-1.5560930000000001E-2</v>
      </c>
      <c r="O5481">
        <v>0.45866679999999999</v>
      </c>
      <c r="P5481">
        <v>0.75440209999999996</v>
      </c>
      <c r="Q5481">
        <v>0.16849149999999999</v>
      </c>
      <c r="R5481">
        <v>0.63441950000000003</v>
      </c>
      <c r="S5481">
        <v>2.0411990000000002</v>
      </c>
      <c r="T5481">
        <v>-0.1695651</v>
      </c>
      <c r="U5481">
        <v>2.352325</v>
      </c>
      <c r="V5481">
        <v>-0.2220704</v>
      </c>
      <c r="W5481">
        <v>0.17808009999999999</v>
      </c>
      <c r="X5481">
        <v>0.95863039999999999</v>
      </c>
      <c r="Y5481">
        <v>-0.37015969999999998</v>
      </c>
      <c r="Z5481">
        <v>-5.8869489999999998E-3</v>
      </c>
      <c r="AA5481">
        <v>0.92894949999999998</v>
      </c>
      <c r="AB5481">
        <v>27</v>
      </c>
      <c r="AC5481">
        <v>13.367899999999899</v>
      </c>
      <c r="AD5481">
        <v>-1.120453828656</v>
      </c>
      <c r="AE5481">
        <v>15.474019999999999</v>
      </c>
      <c r="AF5481">
        <v>-7.59494181895223</v>
      </c>
      <c r="AG5481">
        <v>-1.120453828656</v>
      </c>
      <c r="AH5481">
        <v>18.919918949146499</v>
      </c>
      <c r="AI5481">
        <v>93.145704119438193</v>
      </c>
      <c r="AJ5481">
        <v>111.87179461398</v>
      </c>
      <c r="AK5481">
        <v>20.4181755075642</v>
      </c>
      <c r="AL5481">
        <v>79.742049158672302</v>
      </c>
      <c r="AM5481">
        <v>103.04272838335</v>
      </c>
      <c r="AN5481">
        <v>1.00000001418816</v>
      </c>
    </row>
    <row r="5482" spans="1:40" x14ac:dyDescent="0.25">
      <c r="A5482" t="str">
        <f>"20190304155524706"</f>
        <v>20190304155524706</v>
      </c>
      <c r="B5482" t="str">
        <f>"1551686124703660"</f>
        <v>1551686124703660</v>
      </c>
      <c r="C5482" t="s">
        <v>40</v>
      </c>
      <c r="D5482">
        <v>4.5092800000000004</v>
      </c>
      <c r="E5482">
        <v>0.43465219999999999</v>
      </c>
      <c r="F5482" t="s">
        <v>74</v>
      </c>
      <c r="G5482">
        <v>-187.1387</v>
      </c>
      <c r="H5482" s="1">
        <v>-5.9086379999999901E-6</v>
      </c>
      <c r="I5482">
        <v>-44.609780000000001</v>
      </c>
      <c r="J5482">
        <v>-200.4255</v>
      </c>
      <c r="K5482">
        <v>1.1204769999999999</v>
      </c>
      <c r="L5482">
        <v>-60.201659999999997</v>
      </c>
      <c r="M5482">
        <v>0.88524879999999995</v>
      </c>
      <c r="N5482">
        <v>-1.5575250000000001E-2</v>
      </c>
      <c r="O5482">
        <v>0.46485720000000003</v>
      </c>
      <c r="P5482">
        <v>0.74983730000000004</v>
      </c>
      <c r="Q5482">
        <v>0.1684861</v>
      </c>
      <c r="R5482">
        <v>0.63980979999999998</v>
      </c>
      <c r="S5482">
        <v>2.024734</v>
      </c>
      <c r="T5482">
        <v>-0.1693122</v>
      </c>
      <c r="U5482">
        <v>2.366028</v>
      </c>
      <c r="V5482">
        <v>-0.22226489999999999</v>
      </c>
      <c r="W5482">
        <v>0.17806369999999999</v>
      </c>
      <c r="X5482">
        <v>0.95858840000000001</v>
      </c>
      <c r="Y5482">
        <v>-0.37006879999999998</v>
      </c>
      <c r="Z5482">
        <v>-6.1427299999999999E-3</v>
      </c>
      <c r="AA5482">
        <v>0.92898400000000003</v>
      </c>
      <c r="AB5482">
        <v>27</v>
      </c>
      <c r="AC5482">
        <v>13.286799999999999</v>
      </c>
      <c r="AD5482">
        <v>-1.1204829086379999</v>
      </c>
      <c r="AE5482">
        <v>15.5918799999999</v>
      </c>
      <c r="AF5482">
        <v>-7.6044020833360904</v>
      </c>
      <c r="AG5482">
        <v>-1.1204829086379999</v>
      </c>
      <c r="AH5482">
        <v>18.955714303993801</v>
      </c>
      <c r="AI5482">
        <v>93.1401375897523</v>
      </c>
      <c r="AJ5482">
        <v>111.859014904742</v>
      </c>
      <c r="AK5482">
        <v>20.454865381327501</v>
      </c>
      <c r="AL5482">
        <v>79.743004378599394</v>
      </c>
      <c r="AM5482">
        <v>103.05431313083101</v>
      </c>
      <c r="AN5482">
        <v>1.0000000438221199</v>
      </c>
    </row>
    <row r="5483" spans="1:40" x14ac:dyDescent="0.25">
      <c r="A5483" t="str">
        <f>"20190304155524717"</f>
        <v>20190304155524717</v>
      </c>
      <c r="B5483" t="str">
        <f>"1551686124713419"</f>
        <v>1551686124713419</v>
      </c>
      <c r="C5483" t="s">
        <v>40</v>
      </c>
      <c r="D5483">
        <v>4.4915649999999996</v>
      </c>
      <c r="E5483">
        <v>0.43972410000000001</v>
      </c>
      <c r="F5483" t="s">
        <v>74</v>
      </c>
      <c r="G5483">
        <v>-187.14150000000001</v>
      </c>
      <c r="H5483" s="1">
        <v>-5.9695589999999999E-6</v>
      </c>
      <c r="I5483">
        <v>-44.480049999999999</v>
      </c>
      <c r="J5483">
        <v>-200.30699999999999</v>
      </c>
      <c r="K5483">
        <v>1.120514</v>
      </c>
      <c r="L5483">
        <v>-60.131039999999999</v>
      </c>
      <c r="M5483">
        <v>0.8817661</v>
      </c>
      <c r="N5483">
        <v>-1.559051E-2</v>
      </c>
      <c r="O5483">
        <v>0.4714293</v>
      </c>
      <c r="P5483">
        <v>0.74472099999999997</v>
      </c>
      <c r="Q5483">
        <v>0.16913880000000001</v>
      </c>
      <c r="R5483">
        <v>0.64558709999999997</v>
      </c>
      <c r="S5483">
        <v>2.009598</v>
      </c>
      <c r="T5483">
        <v>-0.16950609999999999</v>
      </c>
      <c r="U5483">
        <v>2.3783569999999998</v>
      </c>
      <c r="V5483">
        <v>-0.22264790000000001</v>
      </c>
      <c r="W5483">
        <v>0.17869849999999901</v>
      </c>
      <c r="X5483">
        <v>0.95838129999999999</v>
      </c>
      <c r="Y5483">
        <v>-0.36898710000000001</v>
      </c>
      <c r="Z5483">
        <v>-6.4925740000000001E-3</v>
      </c>
      <c r="AA5483">
        <v>0.92941180000000001</v>
      </c>
      <c r="AB5483">
        <v>27</v>
      </c>
      <c r="AC5483">
        <v>13.1655</v>
      </c>
      <c r="AD5483">
        <v>-1.120519969559</v>
      </c>
      <c r="AE5483">
        <v>15.65099</v>
      </c>
      <c r="AF5483">
        <v>-7.5721034163877201</v>
      </c>
      <c r="AG5483">
        <v>-1.120519969559</v>
      </c>
      <c r="AH5483">
        <v>18.932703438856201</v>
      </c>
      <c r="AI5483">
        <v>93.145370133184599</v>
      </c>
      <c r="AJ5483">
        <v>111.79885807511999</v>
      </c>
      <c r="AK5483">
        <v>20.421546823253401</v>
      </c>
      <c r="AL5483">
        <v>79.706039489942597</v>
      </c>
      <c r="AM5483">
        <v>103.07876407950199</v>
      </c>
      <c r="AN5483">
        <v>0.99999997873317403</v>
      </c>
    </row>
    <row r="5484" spans="1:40" x14ac:dyDescent="0.25">
      <c r="A5484" t="str">
        <f>"20190304155524730"</f>
        <v>20190304155524730</v>
      </c>
      <c r="B5484" t="str">
        <f>"1551686124723179"</f>
        <v>1551686124723179</v>
      </c>
      <c r="C5484" t="s">
        <v>40</v>
      </c>
      <c r="D5484">
        <v>4.5231059999999896</v>
      </c>
      <c r="E5484">
        <v>0.44025530000000002</v>
      </c>
      <c r="F5484" t="s">
        <v>74</v>
      </c>
      <c r="G5484">
        <v>-187.42429999999999</v>
      </c>
      <c r="H5484" s="1">
        <v>-5.7581760000000004E-6</v>
      </c>
      <c r="I5484">
        <v>-45.041890000000002</v>
      </c>
      <c r="J5484">
        <v>-200.19329999999999</v>
      </c>
      <c r="K5484">
        <v>1.120552</v>
      </c>
      <c r="L5484">
        <v>-60.06183</v>
      </c>
      <c r="M5484">
        <v>0.87833859999999997</v>
      </c>
      <c r="N5484">
        <v>-1.560507E-2</v>
      </c>
      <c r="O5484">
        <v>0.4777845</v>
      </c>
      <c r="P5484">
        <v>0.73993629999999999</v>
      </c>
      <c r="Q5484">
        <v>0.16958119999999999</v>
      </c>
      <c r="R5484">
        <v>0.65095059999999905</v>
      </c>
      <c r="S5484">
        <v>2.0186000000000002</v>
      </c>
      <c r="T5484">
        <v>-0.17557429999999999</v>
      </c>
      <c r="U5484">
        <v>2.3643190000000001</v>
      </c>
      <c r="V5484">
        <v>-0.22272510000000001</v>
      </c>
      <c r="W5484">
        <v>0.17913389999999901</v>
      </c>
      <c r="X5484">
        <v>0.95828210000000003</v>
      </c>
      <c r="Y5484">
        <v>-0.35750019999999999</v>
      </c>
      <c r="Z5484">
        <v>-7.8093249999999998E-3</v>
      </c>
      <c r="AA5484">
        <v>0.93388040000000005</v>
      </c>
      <c r="AB5484">
        <v>27</v>
      </c>
      <c r="AC5484">
        <v>12.769</v>
      </c>
      <c r="AD5484">
        <v>-1.120557758176</v>
      </c>
      <c r="AE5484">
        <v>15.01994</v>
      </c>
      <c r="AF5484">
        <v>-7.0697842906898298</v>
      </c>
      <c r="AG5484">
        <v>-1.120557758176</v>
      </c>
      <c r="AH5484">
        <v>18.334800993467901</v>
      </c>
      <c r="AI5484">
        <v>93.2637027389015</v>
      </c>
      <c r="AJ5484">
        <v>111.086326447259</v>
      </c>
      <c r="AK5484">
        <v>19.682541174258098</v>
      </c>
      <c r="AL5484">
        <v>79.680684035858803</v>
      </c>
      <c r="AM5484">
        <v>103.084450733407</v>
      </c>
      <c r="AN5484">
        <v>1.00000000373981</v>
      </c>
    </row>
    <row r="5485" spans="1:40" x14ac:dyDescent="0.25">
      <c r="A5485" t="str">
        <f>"20190304155524741"</f>
        <v>20190304155524741</v>
      </c>
      <c r="B5485" t="str">
        <f>"1551686124732939"</f>
        <v>1551686124732939</v>
      </c>
      <c r="C5485" t="s">
        <v>40</v>
      </c>
      <c r="D5485">
        <v>4.5241429999999996</v>
      </c>
      <c r="E5485">
        <v>0.44073679999999898</v>
      </c>
      <c r="F5485" t="s">
        <v>74</v>
      </c>
      <c r="G5485">
        <v>-187.47550000000001</v>
      </c>
      <c r="H5485" s="1">
        <v>-5.7948569999999899E-6</v>
      </c>
      <c r="I5485">
        <v>-44.98274</v>
      </c>
      <c r="J5485">
        <v>-200.0729</v>
      </c>
      <c r="K5485">
        <v>1.120587</v>
      </c>
      <c r="L5485">
        <v>-59.987920000000003</v>
      </c>
      <c r="M5485">
        <v>0.87463979999999997</v>
      </c>
      <c r="N5485">
        <v>-1.562011E-2</v>
      </c>
      <c r="O5485">
        <v>0.48452149999999999</v>
      </c>
      <c r="P5485">
        <v>0.73457649999999997</v>
      </c>
      <c r="Q5485">
        <v>0.16990279999999999</v>
      </c>
      <c r="R5485">
        <v>0.65690979999999999</v>
      </c>
      <c r="S5485">
        <v>2.0042719999999998</v>
      </c>
      <c r="T5485">
        <v>-0.17659530000000001</v>
      </c>
      <c r="U5485">
        <v>2.376404</v>
      </c>
      <c r="V5485">
        <v>-0.22316530000000001</v>
      </c>
      <c r="W5485">
        <v>0.17943779999999901</v>
      </c>
      <c r="X5485">
        <v>0.95812280000000005</v>
      </c>
      <c r="Y5485">
        <v>-0.35595880000000002</v>
      </c>
      <c r="Z5485">
        <v>-8.2840250000000004E-3</v>
      </c>
      <c r="AA5485">
        <v>0.93446490000000004</v>
      </c>
      <c r="AB5485">
        <v>27</v>
      </c>
      <c r="AC5485">
        <v>12.597399999999899</v>
      </c>
      <c r="AD5485">
        <v>-1.120592794857</v>
      </c>
      <c r="AE5485">
        <v>15.0051799999999</v>
      </c>
      <c r="AF5485">
        <v>-6.9983790896317304</v>
      </c>
      <c r="AG5485">
        <v>-1.120592794857</v>
      </c>
      <c r="AH5485">
        <v>18.231111258870499</v>
      </c>
      <c r="AI5485">
        <v>93.284219378965204</v>
      </c>
      <c r="AJ5485">
        <v>111.000304477521</v>
      </c>
      <c r="AK5485">
        <v>19.5603286226841</v>
      </c>
      <c r="AL5485">
        <v>79.662984903238296</v>
      </c>
      <c r="AM5485">
        <v>103.111523207414</v>
      </c>
      <c r="AN5485">
        <v>0.99999998753638497</v>
      </c>
    </row>
    <row r="5486" spans="1:40" x14ac:dyDescent="0.25">
      <c r="A5486" t="str">
        <f>"20190304155524754"</f>
        <v>20190304155524754</v>
      </c>
      <c r="B5486" t="str">
        <f>"1551686124742700"</f>
        <v>1551686124742700</v>
      </c>
      <c r="C5486" t="s">
        <v>40</v>
      </c>
      <c r="D5486">
        <v>4.533074</v>
      </c>
      <c r="E5486">
        <v>0.4411254</v>
      </c>
      <c r="F5486" t="s">
        <v>74</v>
      </c>
      <c r="G5486">
        <v>-187.46459999999999</v>
      </c>
      <c r="H5486" s="1">
        <v>-5.8664149999999996E-6</v>
      </c>
      <c r="I5486">
        <v>-44.824950000000001</v>
      </c>
      <c r="J5486">
        <v>-199.95060000000001</v>
      </c>
      <c r="K5486">
        <v>1.1206179999999999</v>
      </c>
      <c r="L5486">
        <v>-59.910609999999998</v>
      </c>
      <c r="M5486">
        <v>0.87077019999999905</v>
      </c>
      <c r="N5486">
        <v>-1.5634950000000002E-2</v>
      </c>
      <c r="O5486">
        <v>0.49144159999999998</v>
      </c>
      <c r="P5486">
        <v>0.72943000000000002</v>
      </c>
      <c r="Q5486">
        <v>0.16961789999999999</v>
      </c>
      <c r="R5486">
        <v>0.66269270000000002</v>
      </c>
      <c r="S5486">
        <v>1.9874419999999999</v>
      </c>
      <c r="T5486">
        <v>-0.17663899999999999</v>
      </c>
      <c r="U5486">
        <v>2.3901370000000002</v>
      </c>
      <c r="V5486">
        <v>-0.2231117</v>
      </c>
      <c r="W5486">
        <v>0.1791526</v>
      </c>
      <c r="X5486">
        <v>0.9581887</v>
      </c>
      <c r="Y5486">
        <v>-0.35508459999999997</v>
      </c>
      <c r="Z5486">
        <v>-8.6473750000000005E-3</v>
      </c>
      <c r="AA5486">
        <v>0.93479420000000002</v>
      </c>
      <c r="AB5486">
        <v>27</v>
      </c>
      <c r="AC5486">
        <v>12.486000000000001</v>
      </c>
      <c r="AD5486">
        <v>-1.1206238664149999</v>
      </c>
      <c r="AE5486">
        <v>15.085659999999899</v>
      </c>
      <c r="AF5486">
        <v>-6.9780076293341002</v>
      </c>
      <c r="AG5486">
        <v>-1.1206238664149999</v>
      </c>
      <c r="AH5486">
        <v>18.228698009916101</v>
      </c>
      <c r="AI5486">
        <v>93.2859128322213</v>
      </c>
      <c r="AJ5486">
        <v>110.947015982354</v>
      </c>
      <c r="AK5486">
        <v>19.550800992842799</v>
      </c>
      <c r="AL5486">
        <v>79.679595311163496</v>
      </c>
      <c r="AM5486">
        <v>103.10761241572401</v>
      </c>
      <c r="AN5486">
        <v>1.0000000347856599</v>
      </c>
    </row>
    <row r="5487" spans="1:40" x14ac:dyDescent="0.25">
      <c r="A5487" t="str">
        <f>"20190304155524773"</f>
        <v>20190304155524773</v>
      </c>
      <c r="B5487" t="str">
        <f>"1551686124763195"</f>
        <v>1551686124763195</v>
      </c>
      <c r="C5487" t="s">
        <v>40</v>
      </c>
      <c r="D5487">
        <v>4.4690379999999896</v>
      </c>
      <c r="E5487">
        <v>0.44095849999999998</v>
      </c>
      <c r="F5487" t="s">
        <v>74</v>
      </c>
      <c r="G5487">
        <v>-187.55779999999999</v>
      </c>
      <c r="H5487" s="1">
        <v>-5.8951529999999997E-6</v>
      </c>
      <c r="I5487">
        <v>-44.79889</v>
      </c>
      <c r="J5487">
        <v>-199.75880000000001</v>
      </c>
      <c r="K5487">
        <v>1.12066</v>
      </c>
      <c r="L5487">
        <v>-59.787140000000001</v>
      </c>
      <c r="M5487">
        <v>0.86452850000000003</v>
      </c>
      <c r="N5487">
        <v>-1.5656949999999999E-2</v>
      </c>
      <c r="O5487">
        <v>0.5023398</v>
      </c>
      <c r="P5487">
        <v>0.72116080000000005</v>
      </c>
      <c r="Q5487">
        <v>0.16882059999999999</v>
      </c>
      <c r="R5487">
        <v>0.67188300000000001</v>
      </c>
      <c r="S5487">
        <v>1.9708559999999999</v>
      </c>
      <c r="T5487">
        <v>-0.17821600000000001</v>
      </c>
      <c r="U5487">
        <v>2.4032589999999998</v>
      </c>
      <c r="V5487">
        <v>-0.2231264</v>
      </c>
      <c r="W5487">
        <v>0.1783537</v>
      </c>
      <c r="X5487">
        <v>0.95833429999999997</v>
      </c>
      <c r="Y5487">
        <v>-0.34971289999999999</v>
      </c>
      <c r="Z5487">
        <v>-9.5278919999999996E-3</v>
      </c>
      <c r="AA5487">
        <v>0.93680850000000004</v>
      </c>
      <c r="AB5487">
        <v>27</v>
      </c>
      <c r="AC5487">
        <v>12.201000000000001</v>
      </c>
      <c r="AD5487">
        <v>-1.120665895153</v>
      </c>
      <c r="AE5487">
        <v>14.988250000000001</v>
      </c>
      <c r="AF5487">
        <v>-6.8066720726808398</v>
      </c>
      <c r="AG5487">
        <v>-1.120665895153</v>
      </c>
      <c r="AH5487">
        <v>18.018936763554098</v>
      </c>
      <c r="AI5487">
        <v>93.329775743568106</v>
      </c>
      <c r="AJ5487">
        <v>110.69411000817099</v>
      </c>
      <c r="AK5487">
        <v>19.294267512464302</v>
      </c>
      <c r="AL5487">
        <v>79.726118176228496</v>
      </c>
      <c r="AM5487">
        <v>103.10652339387499</v>
      </c>
      <c r="AN5487">
        <v>1.00000003161856</v>
      </c>
    </row>
    <row r="5488" spans="1:40" x14ac:dyDescent="0.25">
      <c r="A5488" t="str">
        <f>"20190304155524785"</f>
        <v>20190304155524785</v>
      </c>
      <c r="B5488" t="str">
        <f>"1551686124783691"</f>
        <v>1551686124783691</v>
      </c>
      <c r="C5488" t="s">
        <v>40</v>
      </c>
      <c r="D5488">
        <v>4.4904190000000002</v>
      </c>
      <c r="E5488">
        <v>0.4413261</v>
      </c>
      <c r="F5488" t="s">
        <v>74</v>
      </c>
      <c r="G5488">
        <v>-187.8519</v>
      </c>
      <c r="H5488" s="1">
        <v>-5.9101420000000003E-6</v>
      </c>
      <c r="I5488">
        <v>-44.879100000000001</v>
      </c>
      <c r="J5488">
        <v>-199.64250000000001</v>
      </c>
      <c r="K5488">
        <v>1.1206849999999999</v>
      </c>
      <c r="L5488">
        <v>-59.71069</v>
      </c>
      <c r="M5488">
        <v>0.86063500000000004</v>
      </c>
      <c r="N5488">
        <v>-1.5669519999999999E-2</v>
      </c>
      <c r="O5488">
        <v>0.50898129999999997</v>
      </c>
      <c r="P5488">
        <v>0.71615459999999997</v>
      </c>
      <c r="Q5488">
        <v>0.168263</v>
      </c>
      <c r="R5488">
        <v>0.67735529999999999</v>
      </c>
      <c r="S5488">
        <v>1.9398500000000001</v>
      </c>
      <c r="T5488">
        <v>-0.18257780000000001</v>
      </c>
      <c r="U5488">
        <v>2.4288020000000001</v>
      </c>
      <c r="V5488">
        <v>-0.22297539999999999</v>
      </c>
      <c r="W5488">
        <v>0.17780090000000001</v>
      </c>
      <c r="X5488">
        <v>0.95847210000000005</v>
      </c>
      <c r="Y5488">
        <v>-0.354595099999999</v>
      </c>
      <c r="Z5488">
        <v>-1.0167580000000001E-2</v>
      </c>
      <c r="AA5488">
        <v>0.93496469999999998</v>
      </c>
      <c r="AB5488">
        <v>27</v>
      </c>
      <c r="AC5488">
        <v>11.7906</v>
      </c>
      <c r="AD5488">
        <v>-1.120690910142</v>
      </c>
      <c r="AE5488">
        <v>14.831589999999901</v>
      </c>
      <c r="AF5488">
        <v>-6.7406384303809297</v>
      </c>
      <c r="AG5488">
        <v>-1.120690910142</v>
      </c>
      <c r="AH5488">
        <v>17.636874106744099</v>
      </c>
      <c r="AI5488">
        <v>93.396817382301407</v>
      </c>
      <c r="AJ5488">
        <v>110.916360516586</v>
      </c>
      <c r="AK5488">
        <v>18.914319517824101</v>
      </c>
      <c r="AL5488">
        <v>79.758305195114502</v>
      </c>
      <c r="AM5488">
        <v>103.09614131344701</v>
      </c>
      <c r="AN5488">
        <v>0.99999997776218896</v>
      </c>
    </row>
    <row r="5489" spans="1:40" x14ac:dyDescent="0.25">
      <c r="A5489" t="str">
        <f>"20190304155524798"</f>
        <v>20190304155524798</v>
      </c>
      <c r="B5489" t="str">
        <f>"1551686124793452"</f>
        <v>1551686124793452</v>
      </c>
      <c r="C5489" t="s">
        <v>40</v>
      </c>
      <c r="D5489">
        <v>4.4706789999999996</v>
      </c>
      <c r="E5489">
        <v>0.44145600000000002</v>
      </c>
      <c r="F5489" t="s">
        <v>74</v>
      </c>
      <c r="G5489">
        <v>-187.99590000000001</v>
      </c>
      <c r="H5489" s="1">
        <v>-5.9130739999999999E-6</v>
      </c>
      <c r="I5489">
        <v>-44.92783</v>
      </c>
      <c r="J5489">
        <v>-199.51939999999999</v>
      </c>
      <c r="K5489">
        <v>1.1207049999999901</v>
      </c>
      <c r="L5489">
        <v>-59.628269999999901</v>
      </c>
      <c r="M5489">
        <v>0.85641809999999996</v>
      </c>
      <c r="N5489">
        <v>-1.5682169999999999E-2</v>
      </c>
      <c r="O5489">
        <v>0.51604479999999997</v>
      </c>
      <c r="P5489">
        <v>0.71049989999999996</v>
      </c>
      <c r="Q5489">
        <v>0.16798560000000001</v>
      </c>
      <c r="R5489">
        <v>0.68335259999999998</v>
      </c>
      <c r="S5489">
        <v>1.923416</v>
      </c>
      <c r="T5489">
        <v>-0.1850811</v>
      </c>
      <c r="U5489">
        <v>2.441376</v>
      </c>
      <c r="V5489">
        <v>-0.2231175</v>
      </c>
      <c r="W5489">
        <v>0.17752079999999901</v>
      </c>
      <c r="X5489">
        <v>0.95849099999999998</v>
      </c>
      <c r="Y5489">
        <v>-0.353132</v>
      </c>
      <c r="Z5489">
        <v>-1.0863299999999999E-2</v>
      </c>
      <c r="AA5489">
        <v>0.93551050000000002</v>
      </c>
      <c r="AB5489">
        <v>26</v>
      </c>
      <c r="AC5489">
        <v>11.523499999999901</v>
      </c>
      <c r="AD5489">
        <v>-1.1207109130739901</v>
      </c>
      <c r="AE5489">
        <v>14.700439999999899</v>
      </c>
      <c r="AF5489">
        <v>-6.6200654806080799</v>
      </c>
      <c r="AG5489">
        <v>-1.1207109130739901</v>
      </c>
      <c r="AH5489">
        <v>17.394546133999601</v>
      </c>
      <c r="AI5489">
        <v>93.445926678588094</v>
      </c>
      <c r="AJ5489">
        <v>110.835965130772</v>
      </c>
      <c r="AK5489">
        <v>18.645414855295201</v>
      </c>
      <c r="AL5489">
        <v>79.774613664253707</v>
      </c>
      <c r="AM5489">
        <v>103.103949943785</v>
      </c>
      <c r="AN5489">
        <v>1.0000000251599399</v>
      </c>
    </row>
    <row r="5490" spans="1:40" x14ac:dyDescent="0.25">
      <c r="A5490" t="str">
        <f>"20190304155524810"</f>
        <v>20190304155524810</v>
      </c>
      <c r="B5490" t="str">
        <f>"1551686124803211"</f>
        <v>1551686124803211</v>
      </c>
      <c r="C5490" t="s">
        <v>40</v>
      </c>
      <c r="D5490">
        <v>4.4923520000000003</v>
      </c>
      <c r="E5490">
        <v>0.44170280000000001</v>
      </c>
      <c r="F5490" t="s">
        <v>74</v>
      </c>
      <c r="G5490">
        <v>-188.07429999999999</v>
      </c>
      <c r="H5490" s="1">
        <v>-5.9613040000000001E-6</v>
      </c>
      <c r="I5490">
        <v>-44.85427</v>
      </c>
      <c r="J5490">
        <v>-199.40700000000001</v>
      </c>
      <c r="K5490">
        <v>1.120725</v>
      </c>
      <c r="L5490">
        <v>-59.551360000000003</v>
      </c>
      <c r="M5490">
        <v>0.85247549999999905</v>
      </c>
      <c r="N5490">
        <v>-1.5692939999999999E-2</v>
      </c>
      <c r="O5490">
        <v>0.52253159999999998</v>
      </c>
      <c r="P5490">
        <v>0.70543159999999905</v>
      </c>
      <c r="Q5490">
        <v>0.16782649999999999</v>
      </c>
      <c r="R5490">
        <v>0.68862219999999996</v>
      </c>
      <c r="S5490">
        <v>1.903351</v>
      </c>
      <c r="T5490">
        <v>-0.1863785</v>
      </c>
      <c r="U5490">
        <v>2.4569700000000001</v>
      </c>
      <c r="V5490">
        <v>-0.2229584</v>
      </c>
      <c r="W5490">
        <v>0.17736830000000001</v>
      </c>
      <c r="X5490">
        <v>0.95855619999999997</v>
      </c>
      <c r="Y5490">
        <v>-0.353682</v>
      </c>
      <c r="Z5490">
        <v>-1.132791E-2</v>
      </c>
      <c r="AA5490">
        <v>0.93529709999999999</v>
      </c>
      <c r="AB5490">
        <v>26</v>
      </c>
      <c r="AC5490">
        <v>11.332700000000001</v>
      </c>
      <c r="AD5490">
        <v>-1.120730961304</v>
      </c>
      <c r="AE5490">
        <v>14.6970899999999</v>
      </c>
      <c r="AF5490">
        <v>-6.5840192211419097</v>
      </c>
      <c r="AG5490">
        <v>-1.120730961304</v>
      </c>
      <c r="AH5490">
        <v>17.279665315718599</v>
      </c>
      <c r="AI5490">
        <v>93.468331311043102</v>
      </c>
      <c r="AJ5490">
        <v>110.858192011371</v>
      </c>
      <c r="AK5490">
        <v>18.5254468344286</v>
      </c>
      <c r="AL5490">
        <v>79.783491649913003</v>
      </c>
      <c r="AM5490">
        <v>103.094067923618</v>
      </c>
      <c r="AN5490">
        <v>0.99999997526694395</v>
      </c>
    </row>
    <row r="5491" spans="1:40" x14ac:dyDescent="0.25">
      <c r="A5491" t="str">
        <f>"20190304155524829"</f>
        <v>20190304155524829</v>
      </c>
      <c r="B5491" t="str">
        <f>"1551686124823707"</f>
        <v>1551686124823707</v>
      </c>
      <c r="C5491" t="s">
        <v>40</v>
      </c>
      <c r="D5491">
        <v>4.5479349999999998</v>
      </c>
      <c r="E5491">
        <v>0.44186219999999998</v>
      </c>
      <c r="F5491" t="s">
        <v>74</v>
      </c>
      <c r="G5491">
        <v>-188.12389999999999</v>
      </c>
      <c r="H5491" s="1">
        <v>-6.0052240000000004E-6</v>
      </c>
      <c r="I5491">
        <v>-44.778919999999999</v>
      </c>
      <c r="J5491">
        <v>-199.22909999999999</v>
      </c>
      <c r="K5491">
        <v>1.1207450000000001</v>
      </c>
      <c r="L5491">
        <v>-59.427430000000001</v>
      </c>
      <c r="M5491">
        <v>0.84607829999999995</v>
      </c>
      <c r="N5491">
        <v>-1.5708610000000001E-2</v>
      </c>
      <c r="O5491">
        <v>0.53282719999999995</v>
      </c>
      <c r="P5491">
        <v>0.69663909999999996</v>
      </c>
      <c r="Q5491">
        <v>0.16747799999999999</v>
      </c>
      <c r="R5491">
        <v>0.69759950000000004</v>
      </c>
      <c r="S5491">
        <v>1.8863829999999999</v>
      </c>
      <c r="T5491">
        <v>-0.1873715</v>
      </c>
      <c r="U5491">
        <v>2.469757</v>
      </c>
      <c r="V5491">
        <v>-0.22357089999999999</v>
      </c>
      <c r="W5491">
        <v>0.17700739999999901</v>
      </c>
      <c r="X5491">
        <v>0.95848029999999995</v>
      </c>
      <c r="Y5491">
        <v>-0.3487498</v>
      </c>
      <c r="Z5491">
        <v>-1.2157579999999999E-2</v>
      </c>
      <c r="AA5491">
        <v>0.937137</v>
      </c>
      <c r="AB5491">
        <v>26</v>
      </c>
      <c r="AC5491">
        <v>11.1051999999999</v>
      </c>
      <c r="AD5491">
        <v>-1.120751005224</v>
      </c>
      <c r="AE5491">
        <v>14.64851</v>
      </c>
      <c r="AF5491">
        <v>-6.4534435934106096</v>
      </c>
      <c r="AG5491">
        <v>-1.120751005224</v>
      </c>
      <c r="AH5491">
        <v>17.139403458713399</v>
      </c>
      <c r="AI5491">
        <v>93.501910478810103</v>
      </c>
      <c r="AJ5491">
        <v>110.63269743364</v>
      </c>
      <c r="AK5491">
        <v>18.348356001277001</v>
      </c>
      <c r="AL5491">
        <v>79.804502670611498</v>
      </c>
      <c r="AM5491">
        <v>103.12979854952199</v>
      </c>
      <c r="AN5491">
        <v>1.0000000262348201</v>
      </c>
    </row>
    <row r="5492" spans="1:40" x14ac:dyDescent="0.25">
      <c r="A5492" t="str">
        <f>"20190304155524844"</f>
        <v>20190304155524844</v>
      </c>
      <c r="B5492" t="str">
        <f>"1551686124833467"</f>
        <v>1551686124833467</v>
      </c>
      <c r="C5492" t="s">
        <v>40</v>
      </c>
      <c r="D5492">
        <v>4.6849910000000001</v>
      </c>
      <c r="E5492">
        <v>0.45094220000000002</v>
      </c>
      <c r="F5492" t="s">
        <v>74</v>
      </c>
      <c r="G5492">
        <v>-188.20679999999999</v>
      </c>
      <c r="H5492" s="1">
        <v>-6.09606199999999E-6</v>
      </c>
      <c r="I5492">
        <v>-44.615589999999997</v>
      </c>
      <c r="J5492">
        <v>-199.09129999999999</v>
      </c>
      <c r="K5492">
        <v>1.1207560000000001</v>
      </c>
      <c r="L5492">
        <v>-59.329410000000003</v>
      </c>
      <c r="M5492">
        <v>0.84098839999999997</v>
      </c>
      <c r="N5492">
        <v>-1.5719500000000001E-2</v>
      </c>
      <c r="O5492">
        <v>0.54082489999999905</v>
      </c>
      <c r="P5492">
        <v>0.68971819999999995</v>
      </c>
      <c r="Q5492">
        <v>0.16713919999999999</v>
      </c>
      <c r="R5492">
        <v>0.70452349999999997</v>
      </c>
      <c r="S5492">
        <v>1.85524</v>
      </c>
      <c r="T5492">
        <v>-0.18864059999999999</v>
      </c>
      <c r="U5492">
        <v>2.4930729999999999</v>
      </c>
      <c r="V5492">
        <v>-0.2240105</v>
      </c>
      <c r="W5492">
        <v>0.1766615</v>
      </c>
      <c r="X5492">
        <v>0.9584414</v>
      </c>
      <c r="Y5492">
        <v>-0.35159469999999998</v>
      </c>
      <c r="Z5492">
        <v>-1.263456E-2</v>
      </c>
      <c r="AA5492">
        <v>0.93606699999999998</v>
      </c>
      <c r="AB5492">
        <v>26</v>
      </c>
      <c r="AC5492">
        <v>10.884499999999999</v>
      </c>
      <c r="AD5492">
        <v>-1.1207620960619999</v>
      </c>
      <c r="AE5492">
        <v>14.713819999999901</v>
      </c>
      <c r="AF5492">
        <v>-6.4641045758428799</v>
      </c>
      <c r="AG5492">
        <v>-1.1207620960619999</v>
      </c>
      <c r="AH5492">
        <v>17.0495171932915</v>
      </c>
      <c r="AI5492">
        <v>93.517331858438297</v>
      </c>
      <c r="AJ5492">
        <v>110.763576707483</v>
      </c>
      <c r="AK5492">
        <v>18.268190719601701</v>
      </c>
      <c r="AL5492">
        <v>79.824637862098797</v>
      </c>
      <c r="AM5492">
        <v>103.15523367352201</v>
      </c>
      <c r="AN5492">
        <v>0.99999995346322801</v>
      </c>
    </row>
    <row r="5493" spans="1:40" x14ac:dyDescent="0.25">
      <c r="A5493" t="str">
        <f>"20190304155524862"</f>
        <v>20190304155524862</v>
      </c>
      <c r="B5493" t="str">
        <f>"1551686124852991"</f>
        <v>1551686124852991</v>
      </c>
      <c r="C5493" t="s">
        <v>40</v>
      </c>
      <c r="D5493">
        <v>4.6532819999999999</v>
      </c>
      <c r="E5493">
        <v>0.45169310000000001</v>
      </c>
      <c r="F5493" t="s">
        <v>74</v>
      </c>
      <c r="G5493">
        <v>-188.74870000000001</v>
      </c>
      <c r="H5493" s="1">
        <v>-5.6183029999999999E-6</v>
      </c>
      <c r="I5493">
        <v>-45.813780000000001</v>
      </c>
      <c r="J5493">
        <v>-198.91749999999999</v>
      </c>
      <c r="K5493">
        <v>1.1207590000000001</v>
      </c>
      <c r="L5493">
        <v>-59.202640000000002</v>
      </c>
      <c r="M5493">
        <v>0.83438099999999904</v>
      </c>
      <c r="N5493">
        <v>-1.5731539999999999E-2</v>
      </c>
      <c r="O5493">
        <v>0.5509636</v>
      </c>
      <c r="P5493">
        <v>0.68052829999999997</v>
      </c>
      <c r="Q5493">
        <v>0.16653789999999999</v>
      </c>
      <c r="R5493">
        <v>0.71354490000000004</v>
      </c>
      <c r="S5493">
        <v>1.884109</v>
      </c>
      <c r="T5493">
        <v>-0.20416799999999999</v>
      </c>
      <c r="U5493">
        <v>2.4621279999999999</v>
      </c>
      <c r="V5493">
        <v>-0.22494159999999999</v>
      </c>
      <c r="W5493">
        <v>0.176042899999999</v>
      </c>
      <c r="X5493">
        <v>0.9583372</v>
      </c>
      <c r="Y5493">
        <v>-0.32764280000000001</v>
      </c>
      <c r="Z5493">
        <v>-1.6116800000000001E-2</v>
      </c>
      <c r="AA5493">
        <v>0.94466419999999995</v>
      </c>
      <c r="AB5493">
        <v>26</v>
      </c>
      <c r="AC5493">
        <v>10.1687999999999</v>
      </c>
      <c r="AD5493">
        <v>-1.120764618303</v>
      </c>
      <c r="AE5493">
        <v>13.388859999999999</v>
      </c>
      <c r="AF5493">
        <v>-5.5448207761171604</v>
      </c>
      <c r="AG5493">
        <v>-1.120764618303</v>
      </c>
      <c r="AH5493">
        <v>15.7932089374972</v>
      </c>
      <c r="AI5493">
        <v>93.830699396464695</v>
      </c>
      <c r="AJ5493">
        <v>109.34560943705399</v>
      </c>
      <c r="AK5493">
        <v>16.775774179224701</v>
      </c>
      <c r="AL5493">
        <v>79.860645928119894</v>
      </c>
      <c r="AM5493">
        <v>103.209386259684</v>
      </c>
      <c r="AN5493">
        <v>1.0000000074774</v>
      </c>
    </row>
    <row r="5494" spans="1:40" x14ac:dyDescent="0.25">
      <c r="A5494" t="str">
        <f>"20190304155524874"</f>
        <v>20190304155524874</v>
      </c>
      <c r="B5494" t="str">
        <f>"1551686124862748"</f>
        <v>1551686124862748</v>
      </c>
      <c r="C5494" t="s">
        <v>40</v>
      </c>
      <c r="D5494">
        <v>4.653092</v>
      </c>
      <c r="E5494">
        <v>0.45138499999999998</v>
      </c>
      <c r="F5494" t="s">
        <v>74</v>
      </c>
      <c r="G5494">
        <v>-188.8484</v>
      </c>
      <c r="H5494" s="1">
        <v>-5.674367E-6</v>
      </c>
      <c r="I5494">
        <v>-45.737630000000003</v>
      </c>
      <c r="J5494">
        <v>-198.8064</v>
      </c>
      <c r="K5494">
        <v>1.1207579999999999</v>
      </c>
      <c r="L5494">
        <v>-59.119320000000002</v>
      </c>
      <c r="M5494">
        <v>0.83004029999999995</v>
      </c>
      <c r="N5494">
        <v>-1.5737950000000001E-2</v>
      </c>
      <c r="O5494">
        <v>0.55748129999999996</v>
      </c>
      <c r="P5494">
        <v>0.67498910000000001</v>
      </c>
      <c r="Q5494">
        <v>0.16587389999999999</v>
      </c>
      <c r="R5494">
        <v>0.71894060000000004</v>
      </c>
      <c r="S5494">
        <v>1.8562160000000001</v>
      </c>
      <c r="T5494">
        <v>-0.20661009999999999</v>
      </c>
      <c r="U5494">
        <v>2.4822389999999999</v>
      </c>
      <c r="V5494">
        <v>-0.22495879999999999</v>
      </c>
      <c r="W5494">
        <v>0.17538609999999999</v>
      </c>
      <c r="X5494">
        <v>0.95845360000000002</v>
      </c>
      <c r="Y5494">
        <v>-0.33071929999999999</v>
      </c>
      <c r="Z5494">
        <v>-1.6718429999999999E-2</v>
      </c>
      <c r="AA5494">
        <v>0.943581</v>
      </c>
      <c r="AB5494">
        <v>26</v>
      </c>
      <c r="AC5494">
        <v>9.9579999999999895</v>
      </c>
      <c r="AD5494">
        <v>-1.120763674367</v>
      </c>
      <c r="AE5494">
        <v>13.381690000000001</v>
      </c>
      <c r="AF5494">
        <v>-5.5316580515784404</v>
      </c>
      <c r="AG5494">
        <v>-1.120763674367</v>
      </c>
      <c r="AH5494">
        <v>15.656846388099501</v>
      </c>
      <c r="AI5494">
        <v>93.861283639490097</v>
      </c>
      <c r="AJ5494">
        <v>109.45862107168399</v>
      </c>
      <c r="AK5494">
        <v>16.643082371781901</v>
      </c>
      <c r="AL5494">
        <v>79.898872732652904</v>
      </c>
      <c r="AM5494">
        <v>103.208812795865</v>
      </c>
      <c r="AN5494">
        <v>1.0000000245617999</v>
      </c>
    </row>
    <row r="5495" spans="1:40" x14ac:dyDescent="0.25">
      <c r="A5495" t="str">
        <f>"20190304155524887"</f>
        <v>20190304155524887</v>
      </c>
      <c r="B5495" t="str">
        <f>"1551686124883244"</f>
        <v>1551686124883244</v>
      </c>
      <c r="C5495" t="s">
        <v>40</v>
      </c>
      <c r="D5495">
        <v>4.5467829999999996</v>
      </c>
      <c r="E5495">
        <v>0.4274772</v>
      </c>
      <c r="F5495" t="s">
        <v>74</v>
      </c>
      <c r="G5495">
        <v>-188.9736</v>
      </c>
      <c r="H5495" s="1">
        <v>-5.69959899999999E-6</v>
      </c>
      <c r="I5495">
        <v>-45.731810000000003</v>
      </c>
      <c r="J5495">
        <v>-198.6927</v>
      </c>
      <c r="K5495">
        <v>1.120752</v>
      </c>
      <c r="L5495">
        <v>-59.033259999999999</v>
      </c>
      <c r="M5495">
        <v>0.82552939999999997</v>
      </c>
      <c r="N5495">
        <v>-1.5743940000000001E-2</v>
      </c>
      <c r="O5495">
        <v>0.56413950000000002</v>
      </c>
      <c r="P5495">
        <v>0.66882169999999996</v>
      </c>
      <c r="Q5495">
        <v>0.1657777</v>
      </c>
      <c r="R5495">
        <v>0.7247036</v>
      </c>
      <c r="S5495">
        <v>1.8349150000000001</v>
      </c>
      <c r="T5495">
        <v>-0.20914959999999999</v>
      </c>
      <c r="U5495">
        <v>2.498291</v>
      </c>
      <c r="V5495">
        <v>-0.22545519999999999</v>
      </c>
      <c r="W5495">
        <v>0.17528289999999999</v>
      </c>
      <c r="X5495">
        <v>0.95835579999999998</v>
      </c>
      <c r="Y5495">
        <v>-0.33125510000000002</v>
      </c>
      <c r="Z5495">
        <v>-1.7439659999999999E-2</v>
      </c>
      <c r="AA5495">
        <v>0.94338010000000005</v>
      </c>
      <c r="AB5495">
        <v>26</v>
      </c>
      <c r="AC5495">
        <v>9.7190999999999903</v>
      </c>
      <c r="AD5495">
        <v>-1.1207576995990001</v>
      </c>
      <c r="AE5495">
        <v>13.301450000000001</v>
      </c>
      <c r="AF5495">
        <v>-5.4731592771775004</v>
      </c>
      <c r="AG5495">
        <v>-1.1207576995990001</v>
      </c>
      <c r="AH5495">
        <v>15.457656450303</v>
      </c>
      <c r="AI5495">
        <v>93.909925030070596</v>
      </c>
      <c r="AJ5495">
        <v>109.49774727267</v>
      </c>
      <c r="AK5495">
        <v>16.436262142901001</v>
      </c>
      <c r="AL5495">
        <v>79.904878351576897</v>
      </c>
      <c r="AM5495">
        <v>103.238237930319</v>
      </c>
      <c r="AN5495">
        <v>0.999999990816544</v>
      </c>
    </row>
    <row r="5496" spans="1:40" x14ac:dyDescent="0.25">
      <c r="A5496" t="str">
        <f>"20190304155524899"</f>
        <v>20190304155524899</v>
      </c>
      <c r="B5496" t="str">
        <f>"1551686124893004"</f>
        <v>1551686124893004</v>
      </c>
      <c r="C5496" t="s">
        <v>40</v>
      </c>
      <c r="D5496">
        <v>4.5346719999999996</v>
      </c>
      <c r="E5496">
        <v>0.42704789999999998</v>
      </c>
      <c r="F5496" t="s">
        <v>46</v>
      </c>
      <c r="G5496">
        <v>-185.22040000000001</v>
      </c>
      <c r="H5496" s="1">
        <v>-2.1761880000000001E-6</v>
      </c>
      <c r="I5496">
        <v>-37.694139999999997</v>
      </c>
      <c r="J5496">
        <v>-198.57089999999999</v>
      </c>
      <c r="K5496">
        <v>1.120746</v>
      </c>
      <c r="L5496">
        <v>-58.939450000000001</v>
      </c>
      <c r="M5496">
        <v>0.82059780000000004</v>
      </c>
      <c r="N5496">
        <v>-1.5749570000000001E-2</v>
      </c>
      <c r="O5496">
        <v>0.57128909999999999</v>
      </c>
      <c r="P5496">
        <v>0.66227569999999902</v>
      </c>
      <c r="Q5496">
        <v>0.16585159999999999</v>
      </c>
      <c r="R5496">
        <v>0.73067369999999898</v>
      </c>
      <c r="S5496">
        <v>1.663986</v>
      </c>
      <c r="T5496">
        <v>-0.13842560000000001</v>
      </c>
      <c r="U5496">
        <v>2.6356199999999999</v>
      </c>
      <c r="V5496">
        <v>-0.2257373</v>
      </c>
      <c r="W5496">
        <v>0.17535700000000001</v>
      </c>
      <c r="X5496">
        <v>0.95827589999999996</v>
      </c>
      <c r="Y5496">
        <v>-0.38868849999999999</v>
      </c>
      <c r="Z5496">
        <v>-6.3773550000000003E-3</v>
      </c>
      <c r="AA5496">
        <v>0.92134709999999997</v>
      </c>
      <c r="AB5496">
        <v>26</v>
      </c>
      <c r="AC5496">
        <v>13.350499999999901</v>
      </c>
      <c r="AD5496">
        <v>-1.120748176188</v>
      </c>
      <c r="AE5496">
        <v>21.24531</v>
      </c>
      <c r="AF5496">
        <v>-9.7885473045199394</v>
      </c>
      <c r="AG5496">
        <v>-1.120748176188</v>
      </c>
      <c r="AH5496">
        <v>23.049484458269799</v>
      </c>
      <c r="AI5496">
        <v>92.562562701483202</v>
      </c>
      <c r="AJ5496">
        <v>113.009733678492</v>
      </c>
      <c r="AK5496">
        <v>25.066919806774699</v>
      </c>
      <c r="AL5496">
        <v>79.900566579127101</v>
      </c>
      <c r="AM5496">
        <v>103.255284034529</v>
      </c>
      <c r="AN5496">
        <v>1.00000005329054</v>
      </c>
    </row>
    <row r="5497" spans="1:40" x14ac:dyDescent="0.25">
      <c r="A5497" t="str">
        <f>"20190304155524917"</f>
        <v>20190304155524917</v>
      </c>
      <c r="B5497" t="str">
        <f>"1551686124913500"</f>
        <v>1551686124913500</v>
      </c>
      <c r="C5497" t="s">
        <v>40</v>
      </c>
      <c r="D5497">
        <v>4.4670160000000001</v>
      </c>
      <c r="E5497">
        <v>0.42590859999999903</v>
      </c>
      <c r="F5497" t="s">
        <v>46</v>
      </c>
      <c r="G5497">
        <v>-186.4134</v>
      </c>
      <c r="H5497" s="1">
        <v>-1.3301490000000001E-6</v>
      </c>
      <c r="I5497">
        <v>-39.247520000000002</v>
      </c>
      <c r="J5497">
        <v>-198.41669999999999</v>
      </c>
      <c r="K5497">
        <v>1.120738</v>
      </c>
      <c r="L5497">
        <v>-58.817749999999997</v>
      </c>
      <c r="M5497">
        <v>0.81420159999999997</v>
      </c>
      <c r="N5497">
        <v>-1.5754979999999998E-2</v>
      </c>
      <c r="O5497">
        <v>0.58036849999999995</v>
      </c>
      <c r="P5497">
        <v>0.65353859999999997</v>
      </c>
      <c r="Q5497">
        <v>0.1660346</v>
      </c>
      <c r="R5497">
        <v>0.73845780000000005</v>
      </c>
      <c r="S5497">
        <v>1.638916</v>
      </c>
      <c r="T5497">
        <v>-0.1510841</v>
      </c>
      <c r="U5497">
        <v>2.6546020000000001</v>
      </c>
      <c r="V5497">
        <v>-0.22645899999999999</v>
      </c>
      <c r="W5497">
        <v>0.17552980000000001</v>
      </c>
      <c r="X5497">
        <v>0.95807390000000003</v>
      </c>
      <c r="Y5497">
        <v>-0.38769900000000002</v>
      </c>
      <c r="Z5497">
        <v>-8.40755199999999E-3</v>
      </c>
      <c r="AA5497">
        <v>0.92174769999999995</v>
      </c>
      <c r="AB5497">
        <v>26</v>
      </c>
      <c r="AC5497">
        <v>12.0032999999999</v>
      </c>
      <c r="AD5497">
        <v>-1.1207393301490001</v>
      </c>
      <c r="AE5497">
        <v>19.570229999999899</v>
      </c>
      <c r="AF5497">
        <v>-8.9475655337201605</v>
      </c>
      <c r="AG5497">
        <v>-1.1207393301490001</v>
      </c>
      <c r="AH5497">
        <v>21.083430040373202</v>
      </c>
      <c r="AI5497">
        <v>92.801426726031394</v>
      </c>
      <c r="AJ5497">
        <v>112.995810011304</v>
      </c>
      <c r="AK5497">
        <v>22.930896360449399</v>
      </c>
      <c r="AL5497">
        <v>79.890509275165599</v>
      </c>
      <c r="AM5497">
        <v>103.298863101278</v>
      </c>
      <c r="AN5497">
        <v>0.99999999361512504</v>
      </c>
    </row>
    <row r="5498" spans="1:40" x14ac:dyDescent="0.25">
      <c r="A5498" t="str">
        <f>"20190304155524931"</f>
        <v>20190304155524931</v>
      </c>
      <c r="B5498" t="str">
        <f>"1551686124923260"</f>
        <v>1551686124923260</v>
      </c>
      <c r="C5498" t="s">
        <v>40</v>
      </c>
      <c r="D5498">
        <v>4.5721179999999997</v>
      </c>
      <c r="E5498">
        <v>0.4246529</v>
      </c>
      <c r="F5498" t="s">
        <v>46</v>
      </c>
      <c r="G5498">
        <v>-186.96119999999999</v>
      </c>
      <c r="H5498" s="1">
        <v>-1.0510430000000001E-6</v>
      </c>
      <c r="I5498">
        <v>-39.639330000000001</v>
      </c>
      <c r="J5498">
        <v>-198.29820000000001</v>
      </c>
      <c r="K5498">
        <v>1.1207290000000001</v>
      </c>
      <c r="L5498">
        <v>-58.722320000000003</v>
      </c>
      <c r="M5498">
        <v>0.80917439999999996</v>
      </c>
      <c r="N5498">
        <v>-1.5758189999999998E-2</v>
      </c>
      <c r="O5498">
        <v>0.58735719999999902</v>
      </c>
      <c r="P5498">
        <v>0.64696659999999995</v>
      </c>
      <c r="Q5498">
        <v>0.16551559999999901</v>
      </c>
      <c r="R5498">
        <v>0.74433780000000005</v>
      </c>
      <c r="S5498">
        <v>1.6011959999999901</v>
      </c>
      <c r="T5498">
        <v>-0.1566514</v>
      </c>
      <c r="U5498">
        <v>2.6806640000000002</v>
      </c>
      <c r="V5498">
        <v>-0.22677990000000001</v>
      </c>
      <c r="W5498">
        <v>0.175012</v>
      </c>
      <c r="X5498">
        <v>0.95809270000000002</v>
      </c>
      <c r="Y5498">
        <v>-0.39326240000000001</v>
      </c>
      <c r="Z5498">
        <v>-9.2676879999999996E-3</v>
      </c>
      <c r="AA5498">
        <v>0.91937950000000002</v>
      </c>
      <c r="AB5498">
        <v>26</v>
      </c>
      <c r="AC5498">
        <v>11.337</v>
      </c>
      <c r="AD5498">
        <v>-1.1207300510430001</v>
      </c>
      <c r="AE5498">
        <v>19.082989999999899</v>
      </c>
      <c r="AF5498">
        <v>-8.7613532311082203</v>
      </c>
      <c r="AG5498">
        <v>-1.1207300510430001</v>
      </c>
      <c r="AH5498">
        <v>20.332837182559601</v>
      </c>
      <c r="AI5498">
        <v>92.897829672925596</v>
      </c>
      <c r="AJ5498">
        <v>113.311052451246</v>
      </c>
      <c r="AK5498">
        <v>22.168482450994301</v>
      </c>
      <c r="AL5498">
        <v>79.920643285670806</v>
      </c>
      <c r="AM5498">
        <v>103.316785085403</v>
      </c>
      <c r="AN5498">
        <v>0.99999997249064898</v>
      </c>
    </row>
    <row r="5499" spans="1:40" x14ac:dyDescent="0.25">
      <c r="A5499" t="str">
        <f>"20190304155524943"</f>
        <v>20190304155524943</v>
      </c>
      <c r="B5499" t="str">
        <f>"1551686124933019"</f>
        <v>1551686124933019</v>
      </c>
      <c r="C5499" t="s">
        <v>40</v>
      </c>
      <c r="D5499">
        <v>4.6060109999999996</v>
      </c>
      <c r="E5499">
        <v>0.42502180000000001</v>
      </c>
      <c r="F5499" t="s">
        <v>46</v>
      </c>
      <c r="G5499">
        <v>-186.70740000000001</v>
      </c>
      <c r="H5499" s="1">
        <v>-1.415276E-6</v>
      </c>
      <c r="I5499">
        <v>-38.767449999999997</v>
      </c>
      <c r="J5499">
        <v>-198.18209999999999</v>
      </c>
      <c r="K5499">
        <v>1.1207129999999901</v>
      </c>
      <c r="L5499">
        <v>-58.627589999999998</v>
      </c>
      <c r="M5499">
        <v>0.8041625</v>
      </c>
      <c r="N5499">
        <v>-1.576087E-2</v>
      </c>
      <c r="O5499">
        <v>0.59420069999999903</v>
      </c>
      <c r="P5499">
        <v>0.64044049999999997</v>
      </c>
      <c r="Q5499">
        <v>0.16515170000000001</v>
      </c>
      <c r="R5499">
        <v>0.75004069999999901</v>
      </c>
      <c r="S5499">
        <v>1.568695</v>
      </c>
      <c r="T5499">
        <v>-0.15167919999999999</v>
      </c>
      <c r="U5499">
        <v>2.7006839999999999</v>
      </c>
      <c r="V5499">
        <v>-0.22707150000000001</v>
      </c>
      <c r="W5499">
        <v>0.17464950000000001</v>
      </c>
      <c r="X5499">
        <v>0.95808979999999999</v>
      </c>
      <c r="Y5499">
        <v>-0.39669969999999999</v>
      </c>
      <c r="Z5499">
        <v>-8.7801440000000001E-3</v>
      </c>
      <c r="AA5499">
        <v>0.91790649999999996</v>
      </c>
      <c r="AB5499">
        <v>26</v>
      </c>
      <c r="AC5499">
        <v>11.474699999999901</v>
      </c>
      <c r="AD5499">
        <v>-1.12071441527599</v>
      </c>
      <c r="AE5499">
        <v>19.860140000000001</v>
      </c>
      <c r="AF5499">
        <v>-9.1318396783336002</v>
      </c>
      <c r="AG5499">
        <v>-1.12071441527599</v>
      </c>
      <c r="AH5499">
        <v>20.9809525667111</v>
      </c>
      <c r="AI5499">
        <v>92.803978343155407</v>
      </c>
      <c r="AJ5499">
        <v>113.52080855536499</v>
      </c>
      <c r="AK5499">
        <v>22.909536601991199</v>
      </c>
      <c r="AL5499">
        <v>79.941738067042607</v>
      </c>
      <c r="AM5499">
        <v>103.333335943359</v>
      </c>
      <c r="AN5499">
        <v>0.99999998941326995</v>
      </c>
    </row>
    <row r="5500" spans="1:40" x14ac:dyDescent="0.25">
      <c r="A5500" t="str">
        <f>"20190304155524956"</f>
        <v>20190304155524956</v>
      </c>
      <c r="B5500" t="str">
        <f>"1551686124953516"</f>
        <v>1551686124953516</v>
      </c>
      <c r="C5500" t="s">
        <v>40</v>
      </c>
      <c r="D5500">
        <v>4.4876170000000002</v>
      </c>
      <c r="E5500">
        <v>0.42487730000000001</v>
      </c>
      <c r="F5500" t="s">
        <v>46</v>
      </c>
      <c r="G5500">
        <v>-187.17519999999999</v>
      </c>
      <c r="H5500" s="1">
        <v>-1.0975840000000001E-6</v>
      </c>
      <c r="I5500">
        <v>-39.335250000000002</v>
      </c>
      <c r="J5500">
        <v>-198.0701</v>
      </c>
      <c r="K5500">
        <v>1.1207</v>
      </c>
      <c r="L5500">
        <v>-58.534179999999999</v>
      </c>
      <c r="M5500">
        <v>0.79922740000000003</v>
      </c>
      <c r="N5500">
        <v>-1.5762580000000002E-2</v>
      </c>
      <c r="O5500">
        <v>0.60082219999999997</v>
      </c>
      <c r="P5500">
        <v>0.63397559999999997</v>
      </c>
      <c r="Q5500">
        <v>0.1646598</v>
      </c>
      <c r="R5500">
        <v>0.75562039999999997</v>
      </c>
      <c r="S5500">
        <v>1.5477749999999999</v>
      </c>
      <c r="T5500">
        <v>-0.15759310000000001</v>
      </c>
      <c r="U5500">
        <v>2.71286</v>
      </c>
      <c r="V5500">
        <v>-0.2274554</v>
      </c>
      <c r="W5500">
        <v>0.17415649999999999</v>
      </c>
      <c r="X5500">
        <v>0.95808850000000001</v>
      </c>
      <c r="Y5500">
        <v>-0.39623029999999998</v>
      </c>
      <c r="Z5500">
        <v>-9.8979059999999997E-3</v>
      </c>
      <c r="AA5500">
        <v>0.91809790000000002</v>
      </c>
      <c r="AB5500">
        <v>26</v>
      </c>
      <c r="AC5500">
        <v>10.8949</v>
      </c>
      <c r="AD5500">
        <v>-1.1207010975839999</v>
      </c>
      <c r="AE5500">
        <v>19.198930000000001</v>
      </c>
      <c r="AF5500">
        <v>-8.7768836985852001</v>
      </c>
      <c r="AG5500">
        <v>-1.1207010975839999</v>
      </c>
      <c r="AH5500">
        <v>20.193112885903599</v>
      </c>
      <c r="AI5500">
        <v>92.9137917982153</v>
      </c>
      <c r="AJ5500">
        <v>113.492049333699</v>
      </c>
      <c r="AK5500">
        <v>22.0465749365171</v>
      </c>
      <c r="AL5500">
        <v>79.970424730464302</v>
      </c>
      <c r="AM5500">
        <v>103.355088492261</v>
      </c>
      <c r="AN5500">
        <v>1.00000000965683</v>
      </c>
    </row>
    <row r="5501" spans="1:40" x14ac:dyDescent="0.25">
      <c r="A5501" t="str">
        <f>"20190304155524975"</f>
        <v>20190304155524975</v>
      </c>
      <c r="B5501" t="str">
        <f>"1551686124962889"</f>
        <v>1551686124962889</v>
      </c>
      <c r="C5501" t="s">
        <v>40</v>
      </c>
      <c r="D5501">
        <v>4.464321</v>
      </c>
      <c r="E5501">
        <v>0.42483340000000003</v>
      </c>
      <c r="F5501" t="s">
        <v>46</v>
      </c>
      <c r="G5501">
        <v>-187.48220000000001</v>
      </c>
      <c r="H5501" s="1">
        <v>-9.3215689999999998E-7</v>
      </c>
      <c r="I5501">
        <v>-39.581359999999997</v>
      </c>
      <c r="J5501">
        <v>-197.9126</v>
      </c>
      <c r="K5501">
        <v>1.1206830000000001</v>
      </c>
      <c r="L5501">
        <v>-58.4002699999999</v>
      </c>
      <c r="M5501">
        <v>0.79213549999999999</v>
      </c>
      <c r="N5501">
        <v>-1.5764050000000002E-2</v>
      </c>
      <c r="O5501">
        <v>0.61014169999999901</v>
      </c>
      <c r="P5501">
        <v>0.62476430000000005</v>
      </c>
      <c r="Q5501">
        <v>0.16389629999999999</v>
      </c>
      <c r="R5501">
        <v>0.76341829999999999</v>
      </c>
      <c r="S5501">
        <v>1.523514</v>
      </c>
      <c r="T5501">
        <v>-0.16125889999999901</v>
      </c>
      <c r="U5501">
        <v>2.7271420000000002</v>
      </c>
      <c r="V5501">
        <v>-0.22795760000000001</v>
      </c>
      <c r="W5501">
        <v>0.17339299999999999</v>
      </c>
      <c r="X5501">
        <v>0.95810770000000001</v>
      </c>
      <c r="Y5501">
        <v>-0.3937542</v>
      </c>
      <c r="Z5501">
        <v>-1.0910919999999999E-2</v>
      </c>
      <c r="AA5501">
        <v>0.91915100000000005</v>
      </c>
      <c r="AB5501">
        <v>26</v>
      </c>
      <c r="AC5501">
        <v>10.430399999999899</v>
      </c>
      <c r="AD5501">
        <v>-1.12068393215689</v>
      </c>
      <c r="AE5501">
        <v>18.818909999999899</v>
      </c>
      <c r="AF5501">
        <v>-8.5210492443952308</v>
      </c>
      <c r="AG5501">
        <v>-1.12068393215689</v>
      </c>
      <c r="AH5501">
        <v>19.6935181585444</v>
      </c>
      <c r="AI5501">
        <v>92.989671463624205</v>
      </c>
      <c r="AJ5501">
        <v>113.397311602323</v>
      </c>
      <c r="AK5501">
        <v>21.4871792044028</v>
      </c>
      <c r="AL5501">
        <v>80.014846641176604</v>
      </c>
      <c r="AM5501">
        <v>103.38325687710901</v>
      </c>
      <c r="AN5501">
        <v>1.00000008232302</v>
      </c>
    </row>
    <row r="5502" spans="1:40" x14ac:dyDescent="0.25">
      <c r="A5502" t="str">
        <f>"20190304155524997"</f>
        <v>20190304155524997</v>
      </c>
      <c r="B5502" t="str">
        <f>"1551686124993146"</f>
        <v>1551686124993146</v>
      </c>
      <c r="C5502" t="s">
        <v>40</v>
      </c>
      <c r="D5502">
        <v>4.4988739999999998</v>
      </c>
      <c r="E5502">
        <v>0.42486220000000002</v>
      </c>
      <c r="F5502" t="s">
        <v>46</v>
      </c>
      <c r="G5502">
        <v>-187.7499</v>
      </c>
      <c r="H5502" s="1">
        <v>-8.3113630000000004E-7</v>
      </c>
      <c r="I5502">
        <v>-39.668889999999998</v>
      </c>
      <c r="J5502">
        <v>-197.7193</v>
      </c>
      <c r="K5502">
        <v>1.1206560000000001</v>
      </c>
      <c r="L5502">
        <v>-58.231659999999998</v>
      </c>
      <c r="M5502">
        <v>0.78318509999999997</v>
      </c>
      <c r="N5502">
        <v>-1.5764569999999999E-2</v>
      </c>
      <c r="O5502">
        <v>0.62158880000000005</v>
      </c>
      <c r="P5502">
        <v>0.61345899999999998</v>
      </c>
      <c r="Q5502">
        <v>0.1629457</v>
      </c>
      <c r="R5502">
        <v>0.77273329999999996</v>
      </c>
      <c r="S5502">
        <v>1.4897309999999999</v>
      </c>
      <c r="T5502">
        <v>-0.16427839999999999</v>
      </c>
      <c r="U5502">
        <v>2.7457889999999998</v>
      </c>
      <c r="V5502">
        <v>-0.2282604</v>
      </c>
      <c r="W5502">
        <v>0.1724513</v>
      </c>
      <c r="X5502">
        <v>0.95820550000000004</v>
      </c>
      <c r="Y5502">
        <v>-0.39175589999999999</v>
      </c>
      <c r="Z5502">
        <v>-1.194899E-2</v>
      </c>
      <c r="AA5502">
        <v>0.91999160000000002</v>
      </c>
      <c r="AB5502">
        <v>26</v>
      </c>
      <c r="AC5502">
        <v>9.9694000000000091</v>
      </c>
      <c r="AD5502">
        <v>-1.1206568311363001</v>
      </c>
      <c r="AE5502">
        <v>18.56277</v>
      </c>
      <c r="AF5502">
        <v>-8.3187222567907995</v>
      </c>
      <c r="AG5502">
        <v>-1.1206568311363001</v>
      </c>
      <c r="AH5502">
        <v>19.294120881932301</v>
      </c>
      <c r="AI5502">
        <v>93.053065991036505</v>
      </c>
      <c r="AJ5502">
        <v>113.32344513790299</v>
      </c>
      <c r="AK5502">
        <v>21.040915196954099</v>
      </c>
      <c r="AL5502">
        <v>80.069626699580397</v>
      </c>
      <c r="AM5502">
        <v>103.39907486922</v>
      </c>
      <c r="AN5502">
        <v>1.0000000206550499</v>
      </c>
    </row>
    <row r="5503" spans="1:40" x14ac:dyDescent="0.25">
      <c r="A5503" t="str">
        <f>"20190304155525012"</f>
        <v>20190304155525012</v>
      </c>
      <c r="B5503" t="str">
        <f>"1551686125002905"</f>
        <v>1551686125002905</v>
      </c>
      <c r="C5503" t="s">
        <v>40</v>
      </c>
      <c r="D5503">
        <v>4.5143139999999997</v>
      </c>
      <c r="E5503">
        <v>0.42503730000000001</v>
      </c>
      <c r="F5503" t="s">
        <v>46</v>
      </c>
      <c r="G5503">
        <v>-188.06720000000001</v>
      </c>
      <c r="H5503" s="1">
        <v>-7.0676089999999999E-7</v>
      </c>
      <c r="I5503">
        <v>-39.786259999999999</v>
      </c>
      <c r="J5503">
        <v>-197.5909</v>
      </c>
      <c r="K5503">
        <v>1.120635</v>
      </c>
      <c r="L5503">
        <v>-58.116579999999999</v>
      </c>
      <c r="M5503">
        <v>0.77707119999999996</v>
      </c>
      <c r="N5503">
        <v>-1.5764090000000001E-2</v>
      </c>
      <c r="O5503">
        <v>0.62921519999999898</v>
      </c>
      <c r="P5503">
        <v>0.60596689999999998</v>
      </c>
      <c r="Q5503">
        <v>0.16272609999999901</v>
      </c>
      <c r="R5503">
        <v>0.77866829999999998</v>
      </c>
      <c r="S5503">
        <v>1.4483950000000001</v>
      </c>
      <c r="T5503">
        <v>-0.1681656</v>
      </c>
      <c r="U5503">
        <v>2.7679140000000002</v>
      </c>
      <c r="V5503">
        <v>-0.2281705</v>
      </c>
      <c r="W5503">
        <v>0.17224419999999999</v>
      </c>
      <c r="X5503">
        <v>0.95826409999999995</v>
      </c>
      <c r="Y5503">
        <v>-0.39655889999999999</v>
      </c>
      <c r="Z5503">
        <v>-1.275157E-2</v>
      </c>
      <c r="AA5503">
        <v>0.91792070000000003</v>
      </c>
      <c r="AB5503">
        <v>26</v>
      </c>
      <c r="AC5503">
        <v>9.5236999999999892</v>
      </c>
      <c r="AD5503">
        <v>-1.1206357067608901</v>
      </c>
      <c r="AE5503">
        <v>18.33032</v>
      </c>
      <c r="AF5503">
        <v>-8.2283159969162103</v>
      </c>
      <c r="AG5503">
        <v>-1.1206357067608901</v>
      </c>
      <c r="AH5503">
        <v>18.881093844497801</v>
      </c>
      <c r="AI5503">
        <v>93.114392047082006</v>
      </c>
      <c r="AJ5503">
        <v>113.547407215115</v>
      </c>
      <c r="AK5503">
        <v>20.626602078314001</v>
      </c>
      <c r="AL5503">
        <v>80.081672339443202</v>
      </c>
      <c r="AM5503">
        <v>103.393198309781</v>
      </c>
      <c r="AN5503">
        <v>0.999999963426349</v>
      </c>
    </row>
    <row r="5504" spans="1:40" x14ac:dyDescent="0.25">
      <c r="A5504" t="str">
        <f>"20190304155525033"</f>
        <v>20190304155525033</v>
      </c>
      <c r="B5504" t="str">
        <f>"1551686125023401"</f>
        <v>1551686125023401</v>
      </c>
      <c r="C5504" t="s">
        <v>40</v>
      </c>
      <c r="D5504">
        <v>4.610385</v>
      </c>
      <c r="E5504">
        <v>0.42517959999999999</v>
      </c>
      <c r="F5504" t="s">
        <v>46</v>
      </c>
      <c r="G5504">
        <v>-188.1687</v>
      </c>
      <c r="H5504" s="1">
        <v>-7.1413980000000003E-7</v>
      </c>
      <c r="I5504">
        <v>-39.685229999999997</v>
      </c>
      <c r="J5504">
        <v>-197.4211</v>
      </c>
      <c r="K5504">
        <v>1.1206050000000001</v>
      </c>
      <c r="L5504">
        <v>-57.961179999999999</v>
      </c>
      <c r="M5504">
        <v>0.76879900000000001</v>
      </c>
      <c r="N5504">
        <v>-1.5762729999999999E-2</v>
      </c>
      <c r="O5504">
        <v>0.63929630000000004</v>
      </c>
      <c r="P5504">
        <v>0.59579019999999905</v>
      </c>
      <c r="Q5504">
        <v>0.1623597</v>
      </c>
      <c r="R5504">
        <v>0.78655790000000003</v>
      </c>
      <c r="S5504">
        <v>1.421921</v>
      </c>
      <c r="T5504">
        <v>-0.1691182</v>
      </c>
      <c r="U5504">
        <v>2.7815249999999998</v>
      </c>
      <c r="V5504">
        <v>-0.22817200000000001</v>
      </c>
      <c r="W5504">
        <v>0.1718914</v>
      </c>
      <c r="X5504">
        <v>0.95832709999999999</v>
      </c>
      <c r="Y5504">
        <v>-0.3933411</v>
      </c>
      <c r="Z5504">
        <v>-1.349964E-2</v>
      </c>
      <c r="AA5504">
        <v>0.91929349999999999</v>
      </c>
      <c r="AB5504">
        <v>26</v>
      </c>
      <c r="AC5504">
        <v>9.2523999999999909</v>
      </c>
      <c r="AD5504">
        <v>-1.12060571413979</v>
      </c>
      <c r="AE5504">
        <v>18.275950000000002</v>
      </c>
      <c r="AF5504">
        <v>-8.1122404703261193</v>
      </c>
      <c r="AG5504">
        <v>-1.12060571413979</v>
      </c>
      <c r="AH5504">
        <v>18.7432260722371</v>
      </c>
      <c r="AI5504">
        <v>93.140590262776499</v>
      </c>
      <c r="AJ5504">
        <v>113.403404394924</v>
      </c>
      <c r="AK5504">
        <v>20.4541615865806</v>
      </c>
      <c r="AL5504">
        <v>80.102192438553203</v>
      </c>
      <c r="AM5504">
        <v>103.392434438225</v>
      </c>
      <c r="AN5504">
        <v>0.99999997278618402</v>
      </c>
    </row>
    <row r="5505" spans="1:40" x14ac:dyDescent="0.25">
      <c r="A5505" t="str">
        <f>"20190304155525054"</f>
        <v>20190304155525054</v>
      </c>
      <c r="B5505" t="str">
        <f>"1551686125042922"</f>
        <v>1551686125042922</v>
      </c>
      <c r="C5505" t="s">
        <v>40</v>
      </c>
      <c r="D5505">
        <v>4.6314060000000001</v>
      </c>
      <c r="E5505">
        <v>0.4255623</v>
      </c>
      <c r="F5505" t="s">
        <v>46</v>
      </c>
      <c r="G5505">
        <v>-188.27080000000001</v>
      </c>
      <c r="H5505" s="1">
        <v>-7.6220410000000003E-7</v>
      </c>
      <c r="I5505">
        <v>-39.464190000000002</v>
      </c>
      <c r="J5505">
        <v>-197.23759999999999</v>
      </c>
      <c r="K5505">
        <v>1.120576</v>
      </c>
      <c r="L5505">
        <v>-57.788569999999901</v>
      </c>
      <c r="M5505">
        <v>0.75959409999999905</v>
      </c>
      <c r="N5505">
        <v>-1.5760299999999901E-2</v>
      </c>
      <c r="O5505">
        <v>0.65020649999999902</v>
      </c>
      <c r="P5505">
        <v>0.58441639999999995</v>
      </c>
      <c r="Q5505">
        <v>0.16287260000000001</v>
      </c>
      <c r="R5505">
        <v>0.79494019999999899</v>
      </c>
      <c r="S5505">
        <v>1.3851009999999999</v>
      </c>
      <c r="T5505">
        <v>-0.16962839999999901</v>
      </c>
      <c r="U5505">
        <v>2.7999269999999998</v>
      </c>
      <c r="V5505">
        <v>-0.22819420000000001</v>
      </c>
      <c r="W5505">
        <v>0.17241609999999999</v>
      </c>
      <c r="X5505">
        <v>0.95822759999999996</v>
      </c>
      <c r="Y5505">
        <v>-0.39233679999999999</v>
      </c>
      <c r="Z5505">
        <v>-1.4163190000000001E-2</v>
      </c>
      <c r="AA5505">
        <v>0.91971259999999999</v>
      </c>
      <c r="AB5505">
        <v>26</v>
      </c>
      <c r="AC5505">
        <v>8.9667999999999708</v>
      </c>
      <c r="AD5505">
        <v>-1.1205767622041001</v>
      </c>
      <c r="AE5505">
        <v>18.324379999999898</v>
      </c>
      <c r="AF5505">
        <v>-8.0654890443552993</v>
      </c>
      <c r="AG5505">
        <v>-1.1205767622041001</v>
      </c>
      <c r="AH5505">
        <v>18.6717494301842</v>
      </c>
      <c r="AI5505">
        <v>93.153478073998102</v>
      </c>
      <c r="AJ5505">
        <v>113.36251691709499</v>
      </c>
      <c r="AK5505">
        <v>20.3701259836111</v>
      </c>
      <c r="AL5505">
        <v>80.071674162598697</v>
      </c>
      <c r="AM5505">
        <v>103.395031149334</v>
      </c>
      <c r="AN5505">
        <v>1.0000000189272999</v>
      </c>
    </row>
    <row r="5506" spans="1:40" x14ac:dyDescent="0.25">
      <c r="A5506" t="str">
        <f>"20190304155525076"</f>
        <v>20190304155525076</v>
      </c>
      <c r="B5506" t="str">
        <f>"1551686125073490"</f>
        <v>1551686125073490</v>
      </c>
      <c r="C5506" t="s">
        <v>40</v>
      </c>
      <c r="D5506">
        <v>4.6060400000000001</v>
      </c>
      <c r="E5506">
        <v>0.4262919</v>
      </c>
      <c r="F5506" t="s">
        <v>46</v>
      </c>
      <c r="G5506">
        <v>-188.34299999999999</v>
      </c>
      <c r="H5506" s="1">
        <v>-8.4078700000000002E-7</v>
      </c>
      <c r="I5506">
        <v>-39.176780000000001</v>
      </c>
      <c r="J5506">
        <v>-197.06180000000001</v>
      </c>
      <c r="K5506">
        <v>1.120547</v>
      </c>
      <c r="L5506">
        <v>-57.61844</v>
      </c>
      <c r="M5506">
        <v>0.75051020000000002</v>
      </c>
      <c r="N5506">
        <v>-1.575681E-2</v>
      </c>
      <c r="O5506">
        <v>0.66067100000000001</v>
      </c>
      <c r="P5506">
        <v>0.57293269999999996</v>
      </c>
      <c r="Q5506">
        <v>0.16416220000000001</v>
      </c>
      <c r="R5506">
        <v>0.80299370000000003</v>
      </c>
      <c r="S5506">
        <v>1.346924</v>
      </c>
      <c r="T5506">
        <v>-0.16969119999999999</v>
      </c>
      <c r="U5506">
        <v>2.8184200000000001</v>
      </c>
      <c r="V5506">
        <v>-0.22850699999999999</v>
      </c>
      <c r="W5506">
        <v>0.1737081</v>
      </c>
      <c r="X5506">
        <v>0.95791970000000004</v>
      </c>
      <c r="Y5506">
        <v>-0.39208579999999998</v>
      </c>
      <c r="Z5506">
        <v>-1.4716979999999999E-2</v>
      </c>
      <c r="AA5506">
        <v>0.91981100000000005</v>
      </c>
      <c r="AB5506">
        <v>26</v>
      </c>
      <c r="AC5506">
        <v>8.7188000000000105</v>
      </c>
      <c r="AD5506">
        <v>-1.120547840787</v>
      </c>
      <c r="AE5506">
        <v>18.441659999999999</v>
      </c>
      <c r="AF5506">
        <v>-8.0570864396573292</v>
      </c>
      <c r="AG5506">
        <v>-1.120547840787</v>
      </c>
      <c r="AH5506">
        <v>18.673396082603499</v>
      </c>
      <c r="AI5506">
        <v>93.153678269444399</v>
      </c>
      <c r="AJ5506">
        <v>113.338945842196</v>
      </c>
      <c r="AK5506">
        <v>20.3683084868969</v>
      </c>
      <c r="AL5506">
        <v>79.996514249458201</v>
      </c>
      <c r="AM5506">
        <v>103.41688481426</v>
      </c>
      <c r="AN5506">
        <v>1.0000000523513399</v>
      </c>
    </row>
    <row r="5507" spans="1:40" x14ac:dyDescent="0.25">
      <c r="A5507" t="str">
        <f>"20190304155525098"</f>
        <v>20190304155525098</v>
      </c>
      <c r="B5507" t="str">
        <f>"1551686125093010"</f>
        <v>1551686125093010</v>
      </c>
      <c r="C5507" t="s">
        <v>40</v>
      </c>
      <c r="D5507">
        <v>4.6023779999999999</v>
      </c>
      <c r="E5507">
        <v>0.4268866</v>
      </c>
      <c r="F5507" t="s">
        <v>46</v>
      </c>
      <c r="G5507">
        <v>-188.3501</v>
      </c>
      <c r="H5507" s="1">
        <v>-9.6559779999999998E-7</v>
      </c>
      <c r="I5507">
        <v>-38.804499999999997</v>
      </c>
      <c r="J5507">
        <v>-196.8809</v>
      </c>
      <c r="K5507">
        <v>1.1205069999999999</v>
      </c>
      <c r="L5507">
        <v>-57.438510000000001</v>
      </c>
      <c r="M5507">
        <v>0.74089640000000001</v>
      </c>
      <c r="N5507">
        <v>-1.5751330000000001E-2</v>
      </c>
      <c r="O5507">
        <v>0.67143450000000005</v>
      </c>
      <c r="P5507">
        <v>0.56108950000000002</v>
      </c>
      <c r="Q5507">
        <v>0.16451689999999999</v>
      </c>
      <c r="R5507">
        <v>0.81124149999999995</v>
      </c>
      <c r="S5507">
        <v>1.3123469999999999</v>
      </c>
      <c r="T5507">
        <v>-0.16880149999999999</v>
      </c>
      <c r="U5507">
        <v>2.8341669999999999</v>
      </c>
      <c r="V5507">
        <v>-0.22867380000000001</v>
      </c>
      <c r="W5507">
        <v>0.17407439999999999</v>
      </c>
      <c r="X5507">
        <v>0.95781329999999998</v>
      </c>
      <c r="Y5507">
        <v>-0.39000439999999997</v>
      </c>
      <c r="Z5507">
        <v>-1.5190810000000001E-2</v>
      </c>
      <c r="AA5507">
        <v>0.9206877</v>
      </c>
      <c r="AB5507">
        <v>26</v>
      </c>
      <c r="AC5507">
        <v>8.5307999999999993</v>
      </c>
      <c r="AD5507">
        <v>-1.1205079655978001</v>
      </c>
      <c r="AE5507">
        <v>18.63401</v>
      </c>
      <c r="AF5507">
        <v>-8.0549211671042293</v>
      </c>
      <c r="AG5507">
        <v>-1.1205079655978001</v>
      </c>
      <c r="AH5507">
        <v>18.778159153704902</v>
      </c>
      <c r="AI5507">
        <v>93.138875076360705</v>
      </c>
      <c r="AJ5507">
        <v>113.21698956293</v>
      </c>
      <c r="AK5507">
        <v>20.463542076363598</v>
      </c>
      <c r="AL5507">
        <v>79.975201183784094</v>
      </c>
      <c r="AM5507">
        <v>103.427761524212</v>
      </c>
      <c r="AN5507">
        <v>0.99999996059934404</v>
      </c>
    </row>
    <row r="5508" spans="1:40" x14ac:dyDescent="0.25">
      <c r="A5508" t="str">
        <f>"20190304155525121"</f>
        <v>20190304155525121</v>
      </c>
      <c r="B5508" t="str">
        <f>"1551686125113506"</f>
        <v>1551686125113506</v>
      </c>
      <c r="C5508" t="s">
        <v>40</v>
      </c>
      <c r="D5508">
        <v>4.5661870000000002</v>
      </c>
      <c r="E5508">
        <v>0.43455589999999999</v>
      </c>
      <c r="F5508" t="s">
        <v>46</v>
      </c>
      <c r="G5508">
        <v>-188.49350000000001</v>
      </c>
      <c r="H5508" s="1">
        <v>-9.850812000000001E-7</v>
      </c>
      <c r="I5508">
        <v>-38.693890000000003</v>
      </c>
      <c r="J5508">
        <v>-196.70769999999999</v>
      </c>
      <c r="K5508">
        <v>1.12046</v>
      </c>
      <c r="L5508">
        <v>-57.261229999999998</v>
      </c>
      <c r="M5508">
        <v>0.73143329999999995</v>
      </c>
      <c r="N5508">
        <v>-1.574329E-2</v>
      </c>
      <c r="O5508">
        <v>0.68173119999999998</v>
      </c>
      <c r="P5508">
        <v>0.54994560000000003</v>
      </c>
      <c r="Q5508">
        <v>0.1643935</v>
      </c>
      <c r="R5508">
        <v>0.81886179999999997</v>
      </c>
      <c r="S5508">
        <v>1.275452</v>
      </c>
      <c r="T5508">
        <v>-0.17039199999999999</v>
      </c>
      <c r="U5508">
        <v>2.8504330000000002</v>
      </c>
      <c r="V5508">
        <v>-0.2283657</v>
      </c>
      <c r="W5508">
        <v>0.17397950000000001</v>
      </c>
      <c r="X5508">
        <v>0.95790410000000004</v>
      </c>
      <c r="Y5508">
        <v>-0.38901910000000001</v>
      </c>
      <c r="Z5508">
        <v>-1.602922E-2</v>
      </c>
      <c r="AA5508">
        <v>0.92109019999999997</v>
      </c>
      <c r="AB5508">
        <v>26</v>
      </c>
      <c r="AC5508">
        <v>8.2141999999999697</v>
      </c>
      <c r="AD5508">
        <v>-1.1204609850812</v>
      </c>
      <c r="AE5508">
        <v>18.567339999999898</v>
      </c>
      <c r="AF5508">
        <v>-7.9576483657616999</v>
      </c>
      <c r="AG5508">
        <v>-1.1204609850812</v>
      </c>
      <c r="AH5508">
        <v>18.6117056499542</v>
      </c>
      <c r="AI5508">
        <v>93.168348383491903</v>
      </c>
      <c r="AJ5508">
        <v>113.149685903316</v>
      </c>
      <c r="AK5508">
        <v>20.2725229691012</v>
      </c>
      <c r="AL5508">
        <v>79.980723329651298</v>
      </c>
      <c r="AM5508">
        <v>103.40909852678099</v>
      </c>
      <c r="AN5508">
        <v>1.00000001207677</v>
      </c>
    </row>
    <row r="5509" spans="1:40" x14ac:dyDescent="0.25">
      <c r="A5509" t="str">
        <f>"20190304155525143"</f>
        <v>20190304155525143</v>
      </c>
      <c r="B5509" t="str">
        <f>"1551686125133026"</f>
        <v>1551686125133026</v>
      </c>
      <c r="C5509" t="s">
        <v>40</v>
      </c>
      <c r="D5509">
        <v>4.5462920000000002</v>
      </c>
      <c r="E5509">
        <v>0.43552360000000001</v>
      </c>
      <c r="F5509" t="s">
        <v>74</v>
      </c>
      <c r="G5509">
        <v>-189.23849999999999</v>
      </c>
      <c r="H5509" s="1">
        <v>-7.4914369999999902E-6</v>
      </c>
      <c r="I5509">
        <v>-40.835880000000003</v>
      </c>
      <c r="J5509">
        <v>-196.5301</v>
      </c>
      <c r="K5509">
        <v>1.1203809999999901</v>
      </c>
      <c r="L5509">
        <v>-57.073909999999998</v>
      </c>
      <c r="M5509">
        <v>0.7214739</v>
      </c>
      <c r="N5509">
        <v>-1.5730549999999999E-2</v>
      </c>
      <c r="O5509">
        <v>0.69226290000000001</v>
      </c>
      <c r="P5509">
        <v>0.53837369999999996</v>
      </c>
      <c r="Q5509">
        <v>0.16435629999999901</v>
      </c>
      <c r="R5509">
        <v>0.82652340000000002</v>
      </c>
      <c r="S5509">
        <v>1.2897639999999999</v>
      </c>
      <c r="T5509">
        <v>-0.1934785</v>
      </c>
      <c r="U5509">
        <v>2.8362729999999998</v>
      </c>
      <c r="V5509">
        <v>-0.2279253</v>
      </c>
      <c r="W5509">
        <v>0.17398229999999901</v>
      </c>
      <c r="X5509">
        <v>0.95800850000000004</v>
      </c>
      <c r="Y5509">
        <v>-0.37005159999999998</v>
      </c>
      <c r="Z5509">
        <v>-2.1288950000000001E-2</v>
      </c>
      <c r="AA5509">
        <v>0.92876729999999996</v>
      </c>
      <c r="AB5509">
        <v>26</v>
      </c>
      <c r="AC5509">
        <v>7.2916000000000096</v>
      </c>
      <c r="AD5509">
        <v>-1.1203884914369999</v>
      </c>
      <c r="AE5509">
        <v>16.238029999999998</v>
      </c>
      <c r="AF5509">
        <v>-6.6421209497544398</v>
      </c>
      <c r="AG5509">
        <v>-1.1203884914369999</v>
      </c>
      <c r="AH5509">
        <v>16.4386002587432</v>
      </c>
      <c r="AI5509">
        <v>93.615852138032594</v>
      </c>
      <c r="AJ5509">
        <v>112.00148415378899</v>
      </c>
      <c r="AK5509">
        <v>17.765151830188898</v>
      </c>
      <c r="AL5509">
        <v>79.980560644717599</v>
      </c>
      <c r="AM5509">
        <v>103.38276455142901</v>
      </c>
      <c r="AN5509">
        <v>1.0000000345828099</v>
      </c>
    </row>
    <row r="5510" spans="1:40" x14ac:dyDescent="0.25">
      <c r="A5510" t="str">
        <f>"20190304155525165"</f>
        <v>20190304155525165</v>
      </c>
      <c r="B5510" t="str">
        <f>"1551686125163732"</f>
        <v>1551686125163732</v>
      </c>
      <c r="C5510" t="s">
        <v>40</v>
      </c>
      <c r="D5510">
        <v>4.5628349999999998</v>
      </c>
      <c r="E5510">
        <v>0.43656050000000002</v>
      </c>
      <c r="F5510" t="s">
        <v>74</v>
      </c>
      <c r="G5510">
        <v>-189.40710000000001</v>
      </c>
      <c r="H5510" s="1">
        <v>-7.4851559999999902E-6</v>
      </c>
      <c r="I5510">
        <v>-40.911299999999997</v>
      </c>
      <c r="J5510">
        <v>-196.3629</v>
      </c>
      <c r="K5510">
        <v>1.1202890000000001</v>
      </c>
      <c r="L5510">
        <v>-56.892609999999998</v>
      </c>
      <c r="M5510">
        <v>0.71187999999999996</v>
      </c>
      <c r="N5510">
        <v>-1.571359E-2</v>
      </c>
      <c r="O5510">
        <v>0.70212540000000001</v>
      </c>
      <c r="P5510">
        <v>0.52681489999999997</v>
      </c>
      <c r="Q5510">
        <v>0.16424920000000001</v>
      </c>
      <c r="R5510">
        <v>0.83395940000000002</v>
      </c>
      <c r="S5510">
        <v>1.256302</v>
      </c>
      <c r="T5510">
        <v>-0.19760620000000001</v>
      </c>
      <c r="U5510">
        <v>2.8506469999999999</v>
      </c>
      <c r="V5510">
        <v>-0.2280536</v>
      </c>
      <c r="W5510">
        <v>0.17390439999999999</v>
      </c>
      <c r="X5510">
        <v>0.95799210000000001</v>
      </c>
      <c r="Y5510">
        <v>-0.36813639999999997</v>
      </c>
      <c r="Z5510">
        <v>-2.2715659999999999E-2</v>
      </c>
      <c r="AA5510">
        <v>0.9294943</v>
      </c>
      <c r="AB5510">
        <v>26</v>
      </c>
      <c r="AC5510">
        <v>6.9557999999999804</v>
      </c>
      <c r="AD5510">
        <v>-1.12029648515599</v>
      </c>
      <c r="AE5510">
        <v>15.981310000000001</v>
      </c>
      <c r="AF5510">
        <v>-6.4670145107292702</v>
      </c>
      <c r="AG5510">
        <v>-1.12029648515599</v>
      </c>
      <c r="AH5510">
        <v>16.108025582817099</v>
      </c>
      <c r="AI5510">
        <v>93.692842162886905</v>
      </c>
      <c r="AJ5510">
        <v>111.87436461901</v>
      </c>
      <c r="AK5510">
        <v>17.393844574254601</v>
      </c>
      <c r="AL5510">
        <v>79.985092975085195</v>
      </c>
      <c r="AM5510">
        <v>103.390247494246</v>
      </c>
      <c r="AN5510">
        <v>1.0000000242373599</v>
      </c>
    </row>
    <row r="5511" spans="1:40" x14ac:dyDescent="0.25">
      <c r="A5511" t="str">
        <f>"20190304155525189"</f>
        <v>20190304155525189</v>
      </c>
      <c r="B5511" t="str">
        <f>"1551686125183252"</f>
        <v>1551686125183252</v>
      </c>
      <c r="C5511" t="s">
        <v>40</v>
      </c>
      <c r="D5511">
        <v>4.5471599999999999</v>
      </c>
      <c r="E5511">
        <v>0.43719799999999998</v>
      </c>
      <c r="F5511" t="s">
        <v>74</v>
      </c>
      <c r="G5511">
        <v>-189.5728</v>
      </c>
      <c r="H5511" s="1">
        <v>-7.4674139999999998E-6</v>
      </c>
      <c r="I5511">
        <v>-41.019979999999997</v>
      </c>
      <c r="J5511">
        <v>-196.191</v>
      </c>
      <c r="K5511">
        <v>1.12018</v>
      </c>
      <c r="L5511">
        <v>-56.700989999999997</v>
      </c>
      <c r="M5511">
        <v>0.70179150000000001</v>
      </c>
      <c r="N5511">
        <v>-1.5692089999999999E-2</v>
      </c>
      <c r="O5511">
        <v>0.7122096</v>
      </c>
      <c r="P5511">
        <v>0.51535620000000004</v>
      </c>
      <c r="Q5511">
        <v>0.16310359999999999</v>
      </c>
      <c r="R5511">
        <v>0.84131160000000005</v>
      </c>
      <c r="S5511">
        <v>1.224899</v>
      </c>
      <c r="T5511">
        <v>-0.202096</v>
      </c>
      <c r="U5511">
        <v>2.8633419999999998</v>
      </c>
      <c r="V5511">
        <v>-0.2275768</v>
      </c>
      <c r="W5511">
        <v>0.17281060000000001</v>
      </c>
      <c r="X5511">
        <v>0.95830329999999997</v>
      </c>
      <c r="Y5511">
        <v>-0.36499199999999998</v>
      </c>
      <c r="Z5511">
        <v>-2.4305770000000001E-2</v>
      </c>
      <c r="AA5511">
        <v>0.93069329999999995</v>
      </c>
      <c r="AB5511">
        <v>26</v>
      </c>
      <c r="AC5511">
        <v>6.6181999999999697</v>
      </c>
      <c r="AD5511">
        <v>-1.120187467414</v>
      </c>
      <c r="AE5511">
        <v>15.681010000000001</v>
      </c>
      <c r="AF5511">
        <v>-6.2648919323421399</v>
      </c>
      <c r="AG5511">
        <v>-1.120187467414</v>
      </c>
      <c r="AH5511">
        <v>15.7465026975388</v>
      </c>
      <c r="AI5511">
        <v>93.781715911286895</v>
      </c>
      <c r="AJ5511">
        <v>111.695594177316</v>
      </c>
      <c r="AK5511">
        <v>16.983993584833701</v>
      </c>
      <c r="AL5511">
        <v>80.048725924431594</v>
      </c>
      <c r="AM5511">
        <v>103.359073282238</v>
      </c>
      <c r="AN5511">
        <v>0.99999995908074402</v>
      </c>
    </row>
    <row r="5512" spans="1:40" x14ac:dyDescent="0.25">
      <c r="A5512" t="str">
        <f>"20190304155525211"</f>
        <v>20190304155525211</v>
      </c>
      <c r="B5512" t="str">
        <f>"1551686125203747"</f>
        <v>1551686125203747</v>
      </c>
      <c r="C5512" t="s">
        <v>40</v>
      </c>
      <c r="D5512">
        <v>4.472569</v>
      </c>
      <c r="E5512">
        <v>0.43734719999999999</v>
      </c>
      <c r="F5512" t="s">
        <v>74</v>
      </c>
      <c r="G5512">
        <v>-189.81039999999999</v>
      </c>
      <c r="H5512" s="1">
        <v>-7.4092639999999901E-6</v>
      </c>
      <c r="I5512">
        <v>-41.273539999999997</v>
      </c>
      <c r="J5512">
        <v>-196.02709999999999</v>
      </c>
      <c r="K5512">
        <v>1.120055</v>
      </c>
      <c r="L5512">
        <v>-56.513179999999998</v>
      </c>
      <c r="M5512">
        <v>0.69197449999999905</v>
      </c>
      <c r="N5512">
        <v>-1.5668580000000001E-2</v>
      </c>
      <c r="O5512">
        <v>0.7217519</v>
      </c>
      <c r="P5512">
        <v>0.50524820000000004</v>
      </c>
      <c r="Q5512">
        <v>0.1602751</v>
      </c>
      <c r="R5512">
        <v>0.84795989999999999</v>
      </c>
      <c r="S5512">
        <v>1.190048</v>
      </c>
      <c r="T5512">
        <v>-0.20892659999999999</v>
      </c>
      <c r="U5512">
        <v>2.87738</v>
      </c>
      <c r="V5512">
        <v>-0.22618189999999999</v>
      </c>
      <c r="W5512">
        <v>0.17006569999999999</v>
      </c>
      <c r="X5512">
        <v>0.95912430000000004</v>
      </c>
      <c r="Y5512">
        <v>-0.3634889</v>
      </c>
      <c r="Z5512">
        <v>-2.6289449999999999E-2</v>
      </c>
      <c r="AA5512">
        <v>0.93122749999999999</v>
      </c>
      <c r="AB5512">
        <v>26</v>
      </c>
      <c r="AC5512">
        <v>6.2167000000000003</v>
      </c>
      <c r="AD5512">
        <v>-1.1200624092639999</v>
      </c>
      <c r="AE5512">
        <v>15.23964</v>
      </c>
      <c r="AF5512">
        <v>-6.0313392174980898</v>
      </c>
      <c r="AG5512">
        <v>-1.1200624092639999</v>
      </c>
      <c r="AH5512">
        <v>15.2323726513893</v>
      </c>
      <c r="AI5512">
        <v>93.911078346783697</v>
      </c>
      <c r="AJ5512">
        <v>111.601353494523</v>
      </c>
      <c r="AK5512">
        <v>16.421229221589002</v>
      </c>
      <c r="AL5512">
        <v>80.208361070177901</v>
      </c>
      <c r="AM5512">
        <v>103.269135108211</v>
      </c>
      <c r="AN5512">
        <v>1.00000000852729</v>
      </c>
    </row>
    <row r="5513" spans="1:40" x14ac:dyDescent="0.25">
      <c r="A5513" t="str">
        <f>"20190304155525235"</f>
        <v>20190304155525235</v>
      </c>
      <c r="B5513" t="str">
        <f>"1551686125223268"</f>
        <v>1551686125223268</v>
      </c>
      <c r="C5513" t="s">
        <v>40</v>
      </c>
      <c r="D5513">
        <v>4.4737229999999997</v>
      </c>
      <c r="E5513">
        <v>0.43789090000000003</v>
      </c>
      <c r="F5513" t="s">
        <v>74</v>
      </c>
      <c r="G5513">
        <v>-190.1009</v>
      </c>
      <c r="H5513" s="1">
        <v>-5.5796440000000003E-6</v>
      </c>
      <c r="I5513">
        <v>-41.688119999999998</v>
      </c>
      <c r="J5513">
        <v>-195.8475</v>
      </c>
      <c r="K5513">
        <v>1.119902</v>
      </c>
      <c r="L5513">
        <v>-56.3018199999999</v>
      </c>
      <c r="M5513">
        <v>0.68103639999999999</v>
      </c>
      <c r="N5513">
        <v>-1.5637700000000001E-2</v>
      </c>
      <c r="O5513">
        <v>0.73208249999999997</v>
      </c>
      <c r="P5513">
        <v>0.49406739999999999</v>
      </c>
      <c r="Q5513">
        <v>0.15746740000000001</v>
      </c>
      <c r="R5513">
        <v>0.85504469999999999</v>
      </c>
      <c r="S5513">
        <v>1.155518</v>
      </c>
      <c r="T5513">
        <v>-0.21839649999999999</v>
      </c>
      <c r="U5513">
        <v>2.8906860000000001</v>
      </c>
      <c r="V5513">
        <v>-0.2245712</v>
      </c>
      <c r="W5513">
        <v>0.1673576</v>
      </c>
      <c r="X5513">
        <v>0.95997880000000002</v>
      </c>
      <c r="Y5513">
        <v>-0.36056080000000001</v>
      </c>
      <c r="Z5513">
        <v>-2.894863E-2</v>
      </c>
      <c r="AA5513">
        <v>0.93228639999999996</v>
      </c>
      <c r="AB5513">
        <v>26</v>
      </c>
      <c r="AC5513">
        <v>5.7465999999999999</v>
      </c>
      <c r="AD5513">
        <v>-1.1199075796439999</v>
      </c>
      <c r="AE5513">
        <v>14.6136999999999</v>
      </c>
      <c r="AF5513">
        <v>-5.7171004821420901</v>
      </c>
      <c r="AG5513">
        <v>-1.1199075796439999</v>
      </c>
      <c r="AH5513">
        <v>14.5399114134729</v>
      </c>
      <c r="AI5513">
        <v>94.100000020189995</v>
      </c>
      <c r="AJ5513">
        <v>111.464777100669</v>
      </c>
      <c r="AK5513">
        <v>15.663602868481201</v>
      </c>
      <c r="AL5513">
        <v>80.365780695245107</v>
      </c>
      <c r="AM5513">
        <v>103.166629439769</v>
      </c>
      <c r="AN5513">
        <v>1.00000004329831</v>
      </c>
    </row>
    <row r="5514" spans="1:40" x14ac:dyDescent="0.25">
      <c r="A5514" t="str">
        <f>"20190304155525257"</f>
        <v>20190304155525257</v>
      </c>
      <c r="B5514" t="str">
        <f>"1551686125253524"</f>
        <v>1551686125253524</v>
      </c>
      <c r="C5514" t="s">
        <v>40</v>
      </c>
      <c r="D5514">
        <v>4.5506979999999997</v>
      </c>
      <c r="E5514">
        <v>0.44476339999999998</v>
      </c>
      <c r="F5514" t="s">
        <v>74</v>
      </c>
      <c r="G5514">
        <v>-190.35390000000001</v>
      </c>
      <c r="H5514" s="1">
        <v>-5.4558740000000003E-6</v>
      </c>
      <c r="I5514">
        <v>-42.050510000000003</v>
      </c>
      <c r="J5514">
        <v>-195.69139999999999</v>
      </c>
      <c r="K5514">
        <v>1.119742</v>
      </c>
      <c r="L5514">
        <v>-56.113100000000003</v>
      </c>
      <c r="M5514">
        <v>0.67140129999999998</v>
      </c>
      <c r="N5514">
        <v>-1.560426E-2</v>
      </c>
      <c r="O5514">
        <v>0.74092969999999903</v>
      </c>
      <c r="P5514">
        <v>0.48410340000000002</v>
      </c>
      <c r="Q5514">
        <v>0.15637619999999999</v>
      </c>
      <c r="R5514">
        <v>0.86092420000000003</v>
      </c>
      <c r="S5514">
        <v>1.119354</v>
      </c>
      <c r="T5514">
        <v>-0.22818920000000001</v>
      </c>
      <c r="U5514">
        <v>2.9038089999999999</v>
      </c>
      <c r="V5514">
        <v>-0.22320400000000001</v>
      </c>
      <c r="W5514">
        <v>0.16635520000000001</v>
      </c>
      <c r="X5514">
        <v>0.96047170000000004</v>
      </c>
      <c r="Y5514">
        <v>-0.3599</v>
      </c>
      <c r="Z5514">
        <v>-3.1575770000000003E-2</v>
      </c>
      <c r="AA5514">
        <v>0.93245639999999996</v>
      </c>
      <c r="AB5514">
        <v>26</v>
      </c>
      <c r="AC5514">
        <v>5.3374999999999702</v>
      </c>
      <c r="AD5514">
        <v>-1.1197474558739999</v>
      </c>
      <c r="AE5514">
        <v>14.06259</v>
      </c>
      <c r="AF5514">
        <v>-5.4573527868108203</v>
      </c>
      <c r="AG5514">
        <v>-1.1197474558739999</v>
      </c>
      <c r="AH5514">
        <v>13.9275148025382</v>
      </c>
      <c r="AI5514">
        <v>94.280986362358604</v>
      </c>
      <c r="AJ5514">
        <v>111.39721627614</v>
      </c>
      <c r="AK5514">
        <v>15.000406740471099</v>
      </c>
      <c r="AL5514">
        <v>80.424029988553599</v>
      </c>
      <c r="AM5514">
        <v>103.08275228901</v>
      </c>
      <c r="AN5514">
        <v>0.99999998234196397</v>
      </c>
    </row>
    <row r="5515" spans="1:40" x14ac:dyDescent="0.25">
      <c r="A5515" t="str">
        <f>"20190304155525279"</f>
        <v>20190304155525279</v>
      </c>
      <c r="B5515" t="str">
        <f>"1551686125273551"</f>
        <v>1551686125273551</v>
      </c>
      <c r="C5515" t="s">
        <v>40</v>
      </c>
      <c r="D5515">
        <v>4.5787469999999999</v>
      </c>
      <c r="E5515">
        <v>0.44614140000000002</v>
      </c>
      <c r="F5515" t="s">
        <v>74</v>
      </c>
      <c r="G5515">
        <v>-190.39320000000001</v>
      </c>
      <c r="H5515" s="1">
        <v>-5.2065570000000001E-6</v>
      </c>
      <c r="I5515">
        <v>-42.600760000000001</v>
      </c>
      <c r="J5515">
        <v>-195.53960000000001</v>
      </c>
      <c r="K5515">
        <v>1.119569</v>
      </c>
      <c r="L5515">
        <v>-55.924869999999999</v>
      </c>
      <c r="M5515">
        <v>0.66193480000000005</v>
      </c>
      <c r="N5515">
        <v>-1.556549E-2</v>
      </c>
      <c r="O5515">
        <v>0.74939979999999995</v>
      </c>
      <c r="P5515">
        <v>0.47464440000000002</v>
      </c>
      <c r="Q5515">
        <v>0.15579270000000001</v>
      </c>
      <c r="R5515">
        <v>0.86628019999999994</v>
      </c>
      <c r="S5515">
        <v>1.1334690000000001</v>
      </c>
      <c r="T5515">
        <v>-0.2395543</v>
      </c>
      <c r="U5515">
        <v>2.8907780000000001</v>
      </c>
      <c r="V5515">
        <v>-0.22150449999999999</v>
      </c>
      <c r="W5515">
        <v>0.1658713</v>
      </c>
      <c r="X5515">
        <v>0.96094869999999999</v>
      </c>
      <c r="Y5515">
        <v>-0.3426882</v>
      </c>
      <c r="Z5515">
        <v>-3.5217169999999999E-2</v>
      </c>
      <c r="AA5515">
        <v>0.93878890000000004</v>
      </c>
      <c r="AB5515">
        <v>26</v>
      </c>
      <c r="AC5515">
        <v>5.1463999999999999</v>
      </c>
      <c r="AD5515">
        <v>-1.119574206557</v>
      </c>
      <c r="AE5515">
        <v>13.3241099999999</v>
      </c>
      <c r="AF5515">
        <v>-4.9332730771793303</v>
      </c>
      <c r="AG5515">
        <v>-1.119574206557</v>
      </c>
      <c r="AH5515">
        <v>13.3115055210833</v>
      </c>
      <c r="AI5515">
        <v>94.509247642859705</v>
      </c>
      <c r="AJ5515">
        <v>110.33481594827499</v>
      </c>
      <c r="AK5515">
        <v>14.2403233423909</v>
      </c>
      <c r="AL5515">
        <v>80.452145902756101</v>
      </c>
      <c r="AM5515">
        <v>102.980299865791</v>
      </c>
      <c r="AN5515">
        <v>0.99999996785781398</v>
      </c>
    </row>
    <row r="5516" spans="1:40" x14ac:dyDescent="0.25">
      <c r="A5516" t="str">
        <f>"20190304155525300"</f>
        <v>20190304155525300</v>
      </c>
      <c r="B5516" t="str">
        <f>"1551686125293071"</f>
        <v>1551686125293071</v>
      </c>
      <c r="C5516" t="s">
        <v>40</v>
      </c>
      <c r="D5516">
        <v>4.4685689999999996</v>
      </c>
      <c r="E5516">
        <v>0.44641890000000001</v>
      </c>
      <c r="F5516" t="s">
        <v>74</v>
      </c>
      <c r="G5516">
        <v>-190.40809999999999</v>
      </c>
      <c r="H5516" s="1">
        <v>-5.2319790000000001E-6</v>
      </c>
      <c r="I5516">
        <v>-42.551879999999997</v>
      </c>
      <c r="J5516">
        <v>-195.38900000000001</v>
      </c>
      <c r="K5516">
        <v>1.1193789999999999</v>
      </c>
      <c r="L5516">
        <v>-55.733669999999996</v>
      </c>
      <c r="M5516">
        <v>0.65247790000000006</v>
      </c>
      <c r="N5516">
        <v>-1.5522009999999999E-2</v>
      </c>
      <c r="O5516">
        <v>0.75764880000000001</v>
      </c>
      <c r="P5516">
        <v>0.46510459999999898</v>
      </c>
      <c r="Q5516">
        <v>0.15486520000000001</v>
      </c>
      <c r="R5516">
        <v>0.87160459999999995</v>
      </c>
      <c r="S5516">
        <v>1.1118319999999999</v>
      </c>
      <c r="T5516">
        <v>-0.2425804</v>
      </c>
      <c r="U5516">
        <v>2.8975520000000001</v>
      </c>
      <c r="V5516">
        <v>-0.22000069999999999</v>
      </c>
      <c r="W5516">
        <v>0.1650432</v>
      </c>
      <c r="X5516">
        <v>0.96143659999999997</v>
      </c>
      <c r="Y5516">
        <v>-0.33776109999999998</v>
      </c>
      <c r="Z5516">
        <v>-3.6727040000000002E-2</v>
      </c>
      <c r="AA5516">
        <v>0.94051499999999999</v>
      </c>
      <c r="AB5516">
        <v>26</v>
      </c>
      <c r="AC5516">
        <v>4.9809000000000196</v>
      </c>
      <c r="AD5516">
        <v>-1.1193842319789999</v>
      </c>
      <c r="AE5516">
        <v>13.181789999999999</v>
      </c>
      <c r="AF5516">
        <v>-4.7973626493847901</v>
      </c>
      <c r="AG5516">
        <v>-1.1193842319789999</v>
      </c>
      <c r="AH5516">
        <v>13.155673473632</v>
      </c>
      <c r="AI5516">
        <v>94.570413853017698</v>
      </c>
      <c r="AJ5516">
        <v>110.034946626801</v>
      </c>
      <c r="AK5516">
        <v>14.047756190699699</v>
      </c>
      <c r="AL5516">
        <v>80.500255475986407</v>
      </c>
      <c r="AM5516">
        <v>102.888806316352</v>
      </c>
      <c r="AN5516">
        <v>0.99999995084314297</v>
      </c>
    </row>
    <row r="5517" spans="1:40" x14ac:dyDescent="0.25">
      <c r="A5517" t="str">
        <f>"20190304155525323"</f>
        <v>20190304155525323</v>
      </c>
      <c r="B5517" t="str">
        <f>"1551686125313567"</f>
        <v>1551686125313567</v>
      </c>
      <c r="C5517" t="s">
        <v>40</v>
      </c>
      <c r="D5517">
        <v>4.5122090000000004</v>
      </c>
      <c r="E5517">
        <v>0.44600099999999998</v>
      </c>
      <c r="F5517" t="s">
        <v>74</v>
      </c>
      <c r="G5517">
        <v>-190.49719999999999</v>
      </c>
      <c r="H5517" s="1">
        <v>-5.2319419999999997E-6</v>
      </c>
      <c r="I5517">
        <v>-42.585999999999999</v>
      </c>
      <c r="J5517">
        <v>-195.2353</v>
      </c>
      <c r="K5517">
        <v>1.1191709999999999</v>
      </c>
      <c r="L5517">
        <v>-55.53351</v>
      </c>
      <c r="M5517">
        <v>0.64277240000000002</v>
      </c>
      <c r="N5517">
        <v>-1.547346E-2</v>
      </c>
      <c r="O5517">
        <v>0.7659009</v>
      </c>
      <c r="P5517">
        <v>0.45579360000000002</v>
      </c>
      <c r="Q5517">
        <v>0.1541469</v>
      </c>
      <c r="R5517">
        <v>0.87663609999999903</v>
      </c>
      <c r="S5517">
        <v>1.0821379999999901</v>
      </c>
      <c r="T5517">
        <v>-0.24762590000000001</v>
      </c>
      <c r="U5517">
        <v>2.9084780000000001</v>
      </c>
      <c r="V5517">
        <v>-0.2179681</v>
      </c>
      <c r="W5517">
        <v>0.16444029999999901</v>
      </c>
      <c r="X5517">
        <v>0.96200280000000005</v>
      </c>
      <c r="Y5517">
        <v>-0.33538249999999997</v>
      </c>
      <c r="Z5517">
        <v>-3.8583079999999999E-2</v>
      </c>
      <c r="AA5517">
        <v>0.94129160000000001</v>
      </c>
      <c r="AB5517">
        <v>26</v>
      </c>
      <c r="AC5517">
        <v>4.7381000000000002</v>
      </c>
      <c r="AD5517">
        <v>-1.119176231942</v>
      </c>
      <c r="AE5517">
        <v>12.9475099999999</v>
      </c>
      <c r="AF5517">
        <v>-4.6632214077291598</v>
      </c>
      <c r="AG5517">
        <v>-1.119176231942</v>
      </c>
      <c r="AH5517">
        <v>12.878719147627701</v>
      </c>
      <c r="AI5517">
        <v>94.671246753957803</v>
      </c>
      <c r="AJ5517">
        <v>109.904681273969</v>
      </c>
      <c r="AK5517">
        <v>13.7426197000106</v>
      </c>
      <c r="AL5517">
        <v>80.535278529951597</v>
      </c>
      <c r="AM5517">
        <v>102.76637818811901</v>
      </c>
      <c r="AN5517">
        <v>1.00000004604476</v>
      </c>
    </row>
    <row r="5518" spans="1:40" x14ac:dyDescent="0.25">
      <c r="A5518" t="str">
        <f>"20190304155525345"</f>
        <v>20190304155525345</v>
      </c>
      <c r="B5518" t="str">
        <f>"1551686125342847"</f>
        <v>1551686125342847</v>
      </c>
      <c r="C5518" t="s">
        <v>40</v>
      </c>
      <c r="D5518">
        <v>4.6177489999999999</v>
      </c>
      <c r="E5518">
        <v>0.4539107</v>
      </c>
      <c r="F5518" t="s">
        <v>74</v>
      </c>
      <c r="G5518">
        <v>-190.5103</v>
      </c>
      <c r="H5518" s="1">
        <v>-5.338975E-6</v>
      </c>
      <c r="I5518">
        <v>-42.36121</v>
      </c>
      <c r="J5518">
        <v>-195.0866</v>
      </c>
      <c r="K5518">
        <v>1.1189690000000001</v>
      </c>
      <c r="L5518">
        <v>-55.335079999999998</v>
      </c>
      <c r="M5518">
        <v>0.63334480000000004</v>
      </c>
      <c r="N5518">
        <v>-1.5423569999999999E-2</v>
      </c>
      <c r="O5518">
        <v>0.77371610000000002</v>
      </c>
      <c r="P5518">
        <v>0.4467856</v>
      </c>
      <c r="Q5518">
        <v>0.1538832</v>
      </c>
      <c r="R5518">
        <v>0.88130739999999996</v>
      </c>
      <c r="S5518">
        <v>1.047806</v>
      </c>
      <c r="T5518">
        <v>-0.24818270000000001</v>
      </c>
      <c r="U5518">
        <v>2.9210210000000001</v>
      </c>
      <c r="V5518">
        <v>-0.21598020000000001</v>
      </c>
      <c r="W5518">
        <v>0.1642855</v>
      </c>
      <c r="X5518">
        <v>0.96247740000000004</v>
      </c>
      <c r="Y5518">
        <v>-0.33494429999999997</v>
      </c>
      <c r="Z5518">
        <v>-3.941534E-2</v>
      </c>
      <c r="AA5518">
        <v>0.94141319999999995</v>
      </c>
      <c r="AB5518">
        <v>25</v>
      </c>
      <c r="AC5518">
        <v>4.5762999999999998</v>
      </c>
      <c r="AD5518">
        <v>-1.118974338975</v>
      </c>
      <c r="AE5518">
        <v>12.97387</v>
      </c>
      <c r="AF5518">
        <v>-4.6459958261455201</v>
      </c>
      <c r="AG5518">
        <v>-1.118974338975</v>
      </c>
      <c r="AH5518">
        <v>12.8529752644134</v>
      </c>
      <c r="AI5518">
        <v>94.680637552842299</v>
      </c>
      <c r="AJ5518">
        <v>109.873524668074</v>
      </c>
      <c r="AK5518">
        <v>13.7126348283424</v>
      </c>
      <c r="AL5518">
        <v>80.544269372012593</v>
      </c>
      <c r="AM5518">
        <v>102.647673705703</v>
      </c>
      <c r="AN5518">
        <v>0.99999995890652404</v>
      </c>
    </row>
    <row r="5519" spans="1:40" x14ac:dyDescent="0.25">
      <c r="A5519" t="str">
        <f>"20190304155525369"</f>
        <v>20190304155525369</v>
      </c>
      <c r="B5519" t="str">
        <f>"1551686125362889"</f>
        <v>1551686125362889</v>
      </c>
      <c r="C5519" t="s">
        <v>40</v>
      </c>
      <c r="D5519">
        <v>4.6470820000000002</v>
      </c>
      <c r="E5519">
        <v>0.45507880000000001</v>
      </c>
      <c r="F5519" t="s">
        <v>74</v>
      </c>
      <c r="G5519">
        <v>-190.27879999999999</v>
      </c>
      <c r="H5519" s="1">
        <v>-5.3077949999999999E-6</v>
      </c>
      <c r="I5519">
        <v>-42.339680000000001</v>
      </c>
      <c r="J5519">
        <v>-194.9308</v>
      </c>
      <c r="K5519">
        <v>1.1187739999999999</v>
      </c>
      <c r="L5519">
        <v>-55.122010000000003</v>
      </c>
      <c r="M5519">
        <v>0.62339789999999995</v>
      </c>
      <c r="N5519">
        <v>-1.537095E-2</v>
      </c>
      <c r="O5519">
        <v>0.781753699999999</v>
      </c>
      <c r="P5519">
        <v>0.436859</v>
      </c>
      <c r="Q5519">
        <v>0.15463679999999999</v>
      </c>
      <c r="R5519">
        <v>0.8861386</v>
      </c>
      <c r="S5519">
        <v>1.0740809999999901</v>
      </c>
      <c r="T5519">
        <v>-0.24998100000000001</v>
      </c>
      <c r="U5519">
        <v>2.9031980000000002</v>
      </c>
      <c r="V5519">
        <v>-0.21432960000000001</v>
      </c>
      <c r="W5519">
        <v>0.16512829999999901</v>
      </c>
      <c r="X5519">
        <v>0.96270219999999995</v>
      </c>
      <c r="Y5519">
        <v>-0.31351659999999998</v>
      </c>
      <c r="Z5519">
        <v>-4.1361130000000003E-2</v>
      </c>
      <c r="AA5519">
        <v>0.94868149999999996</v>
      </c>
      <c r="AB5519">
        <v>25</v>
      </c>
      <c r="AC5519">
        <v>4.6520000000000099</v>
      </c>
      <c r="AD5519">
        <v>-1.1187793077949999</v>
      </c>
      <c r="AE5519">
        <v>12.7823299999999</v>
      </c>
      <c r="AF5519">
        <v>-4.3031615407695396</v>
      </c>
      <c r="AG5519">
        <v>-1.1187793077949999</v>
      </c>
      <c r="AH5519">
        <v>12.8075643661542</v>
      </c>
      <c r="AI5519">
        <v>94.733533061709807</v>
      </c>
      <c r="AJ5519">
        <v>108.57162460149701</v>
      </c>
      <c r="AK5519">
        <v>13.5573806975643</v>
      </c>
      <c r="AL5519">
        <v>80.495312526931897</v>
      </c>
      <c r="AM5519">
        <v>102.551252229939</v>
      </c>
      <c r="AN5519">
        <v>1.0000000293909399</v>
      </c>
    </row>
    <row r="5520" spans="1:40" x14ac:dyDescent="0.25">
      <c r="A5520" t="str">
        <f>"20190304155525390"</f>
        <v>20190304155525390</v>
      </c>
      <c r="B5520" t="str">
        <f>"1551686125383370"</f>
        <v>1551686125383370</v>
      </c>
      <c r="C5520" t="s">
        <v>40</v>
      </c>
      <c r="D5520">
        <v>4.6337799999999998</v>
      </c>
      <c r="E5520">
        <v>0.45592709999999997</v>
      </c>
      <c r="F5520" t="s">
        <v>74</v>
      </c>
      <c r="G5520">
        <v>-190.11689999999999</v>
      </c>
      <c r="H5520" s="1">
        <v>-5.5411509999999997E-6</v>
      </c>
      <c r="I5520">
        <v>-41.776870000000002</v>
      </c>
      <c r="J5520">
        <v>-194.79419999999999</v>
      </c>
      <c r="K5520">
        <v>1.1186130000000001</v>
      </c>
      <c r="L5520">
        <v>-54.930970000000002</v>
      </c>
      <c r="M5520">
        <v>0.614633599999999</v>
      </c>
      <c r="N5520">
        <v>-1.5326040000000001E-2</v>
      </c>
      <c r="O5520">
        <v>0.78866389999999997</v>
      </c>
      <c r="P5520">
        <v>0.42874259999999997</v>
      </c>
      <c r="Q5520">
        <v>0.15567729999999999</v>
      </c>
      <c r="R5520">
        <v>0.8899125</v>
      </c>
      <c r="S5520">
        <v>1.049866</v>
      </c>
      <c r="T5520">
        <v>-0.24399889999999999</v>
      </c>
      <c r="U5520">
        <v>2.9104920000000001</v>
      </c>
      <c r="V5520">
        <v>-0.2122194</v>
      </c>
      <c r="W5520">
        <v>0.16625599999999999</v>
      </c>
      <c r="X5520">
        <v>0.96297549999999998</v>
      </c>
      <c r="Y5520">
        <v>-0.31065470000000001</v>
      </c>
      <c r="Z5520">
        <v>-4.077654E-2</v>
      </c>
      <c r="AA5520">
        <v>0.94964780000000004</v>
      </c>
      <c r="AB5520">
        <v>25</v>
      </c>
      <c r="AC5520">
        <v>4.6772999999999998</v>
      </c>
      <c r="AD5520">
        <v>-1.1186185411509999</v>
      </c>
      <c r="AE5520">
        <v>13.1540999999999</v>
      </c>
      <c r="AF5520">
        <v>-4.3686038861982803</v>
      </c>
      <c r="AG5520">
        <v>-1.1186185411509999</v>
      </c>
      <c r="AH5520">
        <v>13.166019248714599</v>
      </c>
      <c r="AI5520">
        <v>94.610318521050601</v>
      </c>
      <c r="AJ5520">
        <v>108.356309635119</v>
      </c>
      <c r="AK5520">
        <v>13.916898728259699</v>
      </c>
      <c r="AL5520">
        <v>80.429793902390998</v>
      </c>
      <c r="AM5520">
        <v>102.42811940541699</v>
      </c>
      <c r="AN5520">
        <v>0.99999997243630401</v>
      </c>
    </row>
    <row r="5521" spans="1:40" x14ac:dyDescent="0.25">
      <c r="A5521" t="str">
        <f>"20190304155525412"</f>
        <v>20190304155525412</v>
      </c>
      <c r="B5521" t="str">
        <f>"1551686125402890"</f>
        <v>1551686125402890</v>
      </c>
      <c r="C5521" t="s">
        <v>40</v>
      </c>
      <c r="D5521">
        <v>4.6346439999999998</v>
      </c>
      <c r="E5521">
        <v>0.45643719999999999</v>
      </c>
      <c r="F5521" t="s">
        <v>74</v>
      </c>
      <c r="G5521">
        <v>-190.0035</v>
      </c>
      <c r="H5521" s="1">
        <v>-5.712978E-6</v>
      </c>
      <c r="I5521">
        <v>-41.364649999999997</v>
      </c>
      <c r="J5521">
        <v>-194.64840000000001</v>
      </c>
      <c r="K5521">
        <v>1.1184449999999999</v>
      </c>
      <c r="L5521">
        <v>-54.722349999999999</v>
      </c>
      <c r="M5521">
        <v>0.60523899999999997</v>
      </c>
      <c r="N5521">
        <v>-1.527763E-2</v>
      </c>
      <c r="O5521">
        <v>0.79589719999999997</v>
      </c>
      <c r="P5521">
        <v>0.4200487</v>
      </c>
      <c r="Q5521">
        <v>0.1558069</v>
      </c>
      <c r="R5521">
        <v>0.89402649999999995</v>
      </c>
      <c r="S5521">
        <v>1.03006</v>
      </c>
      <c r="T5521">
        <v>-0.24051739999999999</v>
      </c>
      <c r="U5521">
        <v>2.9169309999999999</v>
      </c>
      <c r="V5521">
        <v>-0.2100998</v>
      </c>
      <c r="W5521">
        <v>0.16647419999999999</v>
      </c>
      <c r="X5521">
        <v>0.96340250000000005</v>
      </c>
      <c r="Y5521">
        <v>-0.30577870000000001</v>
      </c>
      <c r="Z5521">
        <v>-4.0793870000000003E-2</v>
      </c>
      <c r="AA5521">
        <v>0.95122830000000003</v>
      </c>
      <c r="AB5521">
        <v>25</v>
      </c>
      <c r="AC5521">
        <v>4.6448999999999998</v>
      </c>
      <c r="AD5521">
        <v>-1.1184507129779999</v>
      </c>
      <c r="AE5521">
        <v>13.357699999999999</v>
      </c>
      <c r="AF5521">
        <v>-4.3609742559227804</v>
      </c>
      <c r="AG5521">
        <v>-1.1184507129779999</v>
      </c>
      <c r="AH5521">
        <v>13.360634816584399</v>
      </c>
      <c r="AI5521">
        <v>94.550032796894598</v>
      </c>
      <c r="AJ5521">
        <v>108.076926982644</v>
      </c>
      <c r="AK5521">
        <v>14.0987797755802</v>
      </c>
      <c r="AL5521">
        <v>80.417115360385907</v>
      </c>
      <c r="AM5521">
        <v>102.30250282993001</v>
      </c>
      <c r="AN5521">
        <v>0.999999981115964</v>
      </c>
    </row>
    <row r="5522" spans="1:40" x14ac:dyDescent="0.25">
      <c r="A5522" t="str">
        <f>"20190304155525438"</f>
        <v>20190304155525438</v>
      </c>
      <c r="B5522" t="str">
        <f>"1551686125433146"</f>
        <v>1551686125433146</v>
      </c>
      <c r="C5522" t="s">
        <v>40</v>
      </c>
      <c r="D5522">
        <v>4.6456059999999999</v>
      </c>
      <c r="E5522">
        <v>0.45740940000000002</v>
      </c>
      <c r="F5522" t="s">
        <v>74</v>
      </c>
      <c r="G5522">
        <v>-190.01859999999999</v>
      </c>
      <c r="H5522" s="1">
        <v>-5.766119E-6</v>
      </c>
      <c r="I5522">
        <v>-41.256340000000002</v>
      </c>
      <c r="J5522">
        <v>-194.49350000000001</v>
      </c>
      <c r="K5522">
        <v>1.1182510000000001</v>
      </c>
      <c r="L5522">
        <v>-54.495240000000003</v>
      </c>
      <c r="M5522">
        <v>0.59521849999999998</v>
      </c>
      <c r="N5522">
        <v>-1.5223179999999999E-2</v>
      </c>
      <c r="O5522">
        <v>0.80341969999999996</v>
      </c>
      <c r="P5522">
        <v>0.41100049999999999</v>
      </c>
      <c r="Q5522">
        <v>0.15489229999999901</v>
      </c>
      <c r="R5522">
        <v>0.89838019999999996</v>
      </c>
      <c r="S5522">
        <v>1.005798</v>
      </c>
      <c r="T5522">
        <v>-0.24297460000000001</v>
      </c>
      <c r="U5522">
        <v>2.9253849999999999</v>
      </c>
      <c r="V5522">
        <v>-0.2077447</v>
      </c>
      <c r="W5522">
        <v>0.16565929999999901</v>
      </c>
      <c r="X5522">
        <v>0.96405350000000001</v>
      </c>
      <c r="Y5522">
        <v>-0.30176789999999998</v>
      </c>
      <c r="Z5522">
        <v>-4.213691E-2</v>
      </c>
      <c r="AA5522">
        <v>0.95244980000000001</v>
      </c>
      <c r="AB5522">
        <v>25</v>
      </c>
      <c r="AC5522">
        <v>4.4749000000000096</v>
      </c>
      <c r="AD5522">
        <v>-1.1182567661189999</v>
      </c>
      <c r="AE5522">
        <v>13.238899999999999</v>
      </c>
      <c r="AF5522">
        <v>-4.2580468604299</v>
      </c>
      <c r="AG5522">
        <v>-1.1182567661189999</v>
      </c>
      <c r="AH5522">
        <v>13.2168476504702</v>
      </c>
      <c r="AI5522">
        <v>94.604223189325495</v>
      </c>
      <c r="AJ5522">
        <v>107.85728537998</v>
      </c>
      <c r="AK5522">
        <v>13.930776111772399</v>
      </c>
      <c r="AL5522">
        <v>80.464463393934693</v>
      </c>
      <c r="AM5522">
        <v>102.160758050505</v>
      </c>
      <c r="AN5522">
        <v>1.0000000074584099</v>
      </c>
    </row>
    <row r="5523" spans="1:40" x14ac:dyDescent="0.25">
      <c r="A5523" t="str">
        <f>"20190304155525459"</f>
        <v>20190304155525459</v>
      </c>
      <c r="B5523" t="str">
        <f>"1551686125453644"</f>
        <v>1551686125453644</v>
      </c>
      <c r="C5523" t="s">
        <v>40</v>
      </c>
      <c r="D5523">
        <v>4.7644679999999999</v>
      </c>
      <c r="E5523">
        <v>0.46435860000000001</v>
      </c>
      <c r="F5523" t="s">
        <v>74</v>
      </c>
      <c r="G5523">
        <v>-190.01249999999999</v>
      </c>
      <c r="H5523" s="1">
        <v>-5.8245400000000001E-6</v>
      </c>
      <c r="I5523">
        <v>-41.128590000000003</v>
      </c>
      <c r="J5523">
        <v>-194.3578</v>
      </c>
      <c r="K5523">
        <v>1.1180680000000001</v>
      </c>
      <c r="L5523">
        <v>-54.291780000000003</v>
      </c>
      <c r="M5523">
        <v>0.58643619999999996</v>
      </c>
      <c r="N5523">
        <v>-1.51726E-2</v>
      </c>
      <c r="O5523">
        <v>0.8098533</v>
      </c>
      <c r="P5523">
        <v>0.40385569999999998</v>
      </c>
      <c r="Q5523">
        <v>0.1540599</v>
      </c>
      <c r="R5523">
        <v>0.90175729999999998</v>
      </c>
      <c r="S5523">
        <v>0.98291019999999896</v>
      </c>
      <c r="T5523">
        <v>-0.2452896</v>
      </c>
      <c r="U5523">
        <v>2.9319760000000001</v>
      </c>
      <c r="V5523">
        <v>-0.20488529999999999</v>
      </c>
      <c r="W5523">
        <v>0.164936</v>
      </c>
      <c r="X5523">
        <v>0.96478920000000001</v>
      </c>
      <c r="Y5523">
        <v>-0.29873250000000001</v>
      </c>
      <c r="Z5523">
        <v>-4.336011E-2</v>
      </c>
      <c r="AA5523">
        <v>0.95335130000000001</v>
      </c>
      <c r="AB5523">
        <v>25</v>
      </c>
      <c r="AC5523">
        <v>4.3452999999999999</v>
      </c>
      <c r="AD5523">
        <v>-1.1180738245399999</v>
      </c>
      <c r="AE5523">
        <v>13.16319</v>
      </c>
      <c r="AF5523">
        <v>-4.1736464216570104</v>
      </c>
      <c r="AG5523">
        <v>-1.1180738245399999</v>
      </c>
      <c r="AH5523">
        <v>13.1246290940073</v>
      </c>
      <c r="AI5523">
        <v>94.641265760618396</v>
      </c>
      <c r="AJ5523">
        <v>107.640720977443</v>
      </c>
      <c r="AK5523">
        <v>13.8175722319587</v>
      </c>
      <c r="AL5523">
        <v>80.506483738837304</v>
      </c>
      <c r="AM5523">
        <v>101.98937571172</v>
      </c>
      <c r="AN5523">
        <v>1.0000000353443601</v>
      </c>
    </row>
    <row r="5524" spans="1:40" x14ac:dyDescent="0.25">
      <c r="A5524" t="str">
        <f>"20190304155525482"</f>
        <v>20190304155525482</v>
      </c>
      <c r="B5524" t="str">
        <f>"1551686125472694"</f>
        <v>1551686125472694</v>
      </c>
      <c r="C5524" t="s">
        <v>40</v>
      </c>
      <c r="D5524">
        <v>4.7372129999999997</v>
      </c>
      <c r="E5524">
        <v>0.49334450000000002</v>
      </c>
      <c r="F5524" t="s">
        <v>74</v>
      </c>
      <c r="G5524">
        <v>-189.95400000000001</v>
      </c>
      <c r="H5524" s="1">
        <v>-7.3255929999999998E-6</v>
      </c>
      <c r="I5524">
        <v>-41.571730000000002</v>
      </c>
      <c r="J5524">
        <v>-194.22470000000001</v>
      </c>
      <c r="K5524">
        <v>1.1178699999999999</v>
      </c>
      <c r="L5524">
        <v>-54.087679999999999</v>
      </c>
      <c r="M5524">
        <v>0.57781819999999995</v>
      </c>
      <c r="N5524">
        <v>-1.512113E-2</v>
      </c>
      <c r="O5524">
        <v>0.81602540000000001</v>
      </c>
      <c r="P5524">
        <v>0.3968951</v>
      </c>
      <c r="Q5524">
        <v>0.15443029999999999</v>
      </c>
      <c r="R5524">
        <v>0.90477929999999995</v>
      </c>
      <c r="S5524">
        <v>1.0103150000000001</v>
      </c>
      <c r="T5524">
        <v>-0.25650450000000002</v>
      </c>
      <c r="U5524">
        <v>2.9181819999999998</v>
      </c>
      <c r="V5524">
        <v>-0.20197190000000001</v>
      </c>
      <c r="W5524">
        <v>0.1654176</v>
      </c>
      <c r="X5524">
        <v>0.96532090000000004</v>
      </c>
      <c r="Y5524">
        <v>-0.27925850000000002</v>
      </c>
      <c r="Z5524">
        <v>-4.7215159999999999E-2</v>
      </c>
      <c r="AA5524">
        <v>0.95905439999999997</v>
      </c>
      <c r="AB5524">
        <v>25</v>
      </c>
      <c r="AC5524">
        <v>4.2706999999999997</v>
      </c>
      <c r="AD5524">
        <v>-1.1178773255929999</v>
      </c>
      <c r="AE5524">
        <v>12.51595</v>
      </c>
      <c r="AF5524">
        <v>-3.7207858852663702</v>
      </c>
      <c r="AG5524">
        <v>-1.1178773255929999</v>
      </c>
      <c r="AH5524">
        <v>12.5924926353076</v>
      </c>
      <c r="AI5524">
        <v>94.866123706574399</v>
      </c>
      <c r="AJ5524">
        <v>106.461172701015</v>
      </c>
      <c r="AK5524">
        <v>13.1781928992313</v>
      </c>
      <c r="AL5524">
        <v>80.478505786545099</v>
      </c>
      <c r="AM5524">
        <v>101.817393607272</v>
      </c>
      <c r="AN5524">
        <v>1.00000003537808</v>
      </c>
    </row>
    <row r="5525" spans="1:40" x14ac:dyDescent="0.25">
      <c r="A5525" t="str">
        <f>"20190304155525502"</f>
        <v>20190304155525502</v>
      </c>
      <c r="B5525" t="str">
        <f>"1551686125493189"</f>
        <v>1551686125493189</v>
      </c>
      <c r="C5525" t="s">
        <v>40</v>
      </c>
      <c r="D5525">
        <v>4.7303290000000002</v>
      </c>
      <c r="E5525">
        <v>0.50059979999999904</v>
      </c>
      <c r="F5525" t="s">
        <v>46</v>
      </c>
      <c r="G5525">
        <v>-188.2946</v>
      </c>
      <c r="H5525" s="1">
        <v>-5.5151209999999999E-7</v>
      </c>
      <c r="I5525">
        <v>-40.06467</v>
      </c>
      <c r="J5525">
        <v>-194.1</v>
      </c>
      <c r="K5525">
        <v>1.117669</v>
      </c>
      <c r="L5525">
        <v>-53.892609999999998</v>
      </c>
      <c r="M5525">
        <v>0.56978019999999996</v>
      </c>
      <c r="N5525">
        <v>-1.507142E-2</v>
      </c>
      <c r="O5525">
        <v>0.82165900000000003</v>
      </c>
      <c r="P5525">
        <v>0.39022620000000002</v>
      </c>
      <c r="Q5525">
        <v>0.15413360000000001</v>
      </c>
      <c r="R5525">
        <v>0.90772589999999997</v>
      </c>
      <c r="S5525">
        <v>1.1964870000000001</v>
      </c>
      <c r="T5525">
        <v>-0.225549</v>
      </c>
      <c r="U5525">
        <v>2.8293759999999999</v>
      </c>
      <c r="V5525">
        <v>-0.19953319999999999</v>
      </c>
      <c r="W5525">
        <v>0.16522239999999999</v>
      </c>
      <c r="X5525">
        <v>0.96586130000000003</v>
      </c>
      <c r="Y5525">
        <v>-0.2050515</v>
      </c>
      <c r="Z5525">
        <v>-4.2617160000000001E-2</v>
      </c>
      <c r="AA5525">
        <v>0.97782290000000005</v>
      </c>
      <c r="AB5525">
        <v>25</v>
      </c>
      <c r="AC5525">
        <v>5.8053999999999899</v>
      </c>
      <c r="AD5525">
        <v>-1.1176695515121</v>
      </c>
      <c r="AE5525">
        <v>13.8279399999999</v>
      </c>
      <c r="AF5525">
        <v>-3.0920070511453601</v>
      </c>
      <c r="AG5525">
        <v>-1.1176695515121</v>
      </c>
      <c r="AH5525">
        <v>14.5902836420974</v>
      </c>
      <c r="AI5525">
        <v>94.285698707037994</v>
      </c>
      <c r="AJ5525">
        <v>101.96522809838901</v>
      </c>
      <c r="AK5525">
        <v>14.9561381909758</v>
      </c>
      <c r="AL5525">
        <v>80.489845576782599</v>
      </c>
      <c r="AM5525">
        <v>101.67229255938599</v>
      </c>
      <c r="AN5525">
        <v>0.99999999510084403</v>
      </c>
    </row>
    <row r="5526" spans="1:40" x14ac:dyDescent="0.25">
      <c r="A5526" t="str">
        <f>"20190304155525526"</f>
        <v>20190304155525526</v>
      </c>
      <c r="B5526" t="str">
        <f>"1551686125523445"</f>
        <v>1551686125523445</v>
      </c>
      <c r="C5526" t="s">
        <v>40</v>
      </c>
      <c r="D5526">
        <v>4.6678300000000004</v>
      </c>
      <c r="E5526">
        <v>0.50577340000000004</v>
      </c>
      <c r="F5526" t="s">
        <v>46</v>
      </c>
      <c r="G5526">
        <v>-187.6208</v>
      </c>
      <c r="H5526" s="1">
        <v>-1.074193E-6</v>
      </c>
      <c r="I5526">
        <v>-39.055549999999997</v>
      </c>
      <c r="J5526">
        <v>-193.95840000000001</v>
      </c>
      <c r="K5526">
        <v>1.1174519999999999</v>
      </c>
      <c r="L5526">
        <v>-53.666049999999998</v>
      </c>
      <c r="M5526">
        <v>0.56064930000000002</v>
      </c>
      <c r="N5526">
        <v>-1.501567E-2</v>
      </c>
      <c r="O5526">
        <v>0.82791719999999902</v>
      </c>
      <c r="P5526">
        <v>0.3828915</v>
      </c>
      <c r="Q5526">
        <v>0.15315409999999999</v>
      </c>
      <c r="R5526">
        <v>0.91100930000000002</v>
      </c>
      <c r="S5526">
        <v>1.228348</v>
      </c>
      <c r="T5526">
        <v>-0.211892</v>
      </c>
      <c r="U5526">
        <v>2.8128660000000001</v>
      </c>
      <c r="V5526">
        <v>-0.19661090000000001</v>
      </c>
      <c r="W5526">
        <v>0.16435420000000001</v>
      </c>
      <c r="X5526">
        <v>0.96660849999999998</v>
      </c>
      <c r="Y5526">
        <v>-0.18274689999999999</v>
      </c>
      <c r="Z5526">
        <v>-4.0294829999999997E-2</v>
      </c>
      <c r="AA5526">
        <v>0.98233389999999998</v>
      </c>
      <c r="AB5526">
        <v>25</v>
      </c>
      <c r="AC5526">
        <v>6.3376000000000001</v>
      </c>
      <c r="AD5526">
        <v>-1.117453074193</v>
      </c>
      <c r="AE5526">
        <v>14.6105</v>
      </c>
      <c r="AF5526">
        <v>-2.93026402569684</v>
      </c>
      <c r="AG5526">
        <v>-1.117453074193</v>
      </c>
      <c r="AH5526">
        <v>15.5745419452685</v>
      </c>
      <c r="AI5526">
        <v>94.033338799205694</v>
      </c>
      <c r="AJ5526">
        <v>100.65532275367499</v>
      </c>
      <c r="AK5526">
        <v>15.887149065777701</v>
      </c>
      <c r="AL5526">
        <v>80.540279976790302</v>
      </c>
      <c r="AM5526">
        <v>101.49727799403099</v>
      </c>
      <c r="AN5526">
        <v>1.0000000706643399</v>
      </c>
    </row>
    <row r="5527" spans="1:40" x14ac:dyDescent="0.25">
      <c r="A5527" t="str">
        <f>"20190304155525547"</f>
        <v>20190304155525547</v>
      </c>
      <c r="B5527" t="str">
        <f>"1551686125542966"</f>
        <v>1551686125542966</v>
      </c>
      <c r="C5527" t="s">
        <v>40</v>
      </c>
      <c r="D5527">
        <v>4.7165990000000004</v>
      </c>
      <c r="E5527">
        <v>0.50788979999999995</v>
      </c>
      <c r="F5527" t="s">
        <v>46</v>
      </c>
      <c r="G5527">
        <v>-187.65549999999999</v>
      </c>
      <c r="H5527" s="1">
        <v>-9.3136420000000004E-7</v>
      </c>
      <c r="I5527">
        <v>-39.448180000000001</v>
      </c>
      <c r="J5527">
        <v>-193.8366</v>
      </c>
      <c r="K5527">
        <v>1.117275</v>
      </c>
      <c r="L5527">
        <v>-53.467219999999998</v>
      </c>
      <c r="M5527">
        <v>0.55280479999999999</v>
      </c>
      <c r="N5527">
        <v>-1.496986E-2</v>
      </c>
      <c r="O5527">
        <v>0.83317640000000004</v>
      </c>
      <c r="P5527">
        <v>0.37775320000000001</v>
      </c>
      <c r="Q5527">
        <v>0.1516296</v>
      </c>
      <c r="R5527">
        <v>0.9134063</v>
      </c>
      <c r="S5527">
        <v>1.2444309999999901</v>
      </c>
      <c r="T5527">
        <v>-0.2206264</v>
      </c>
      <c r="U5527">
        <v>2.8071290000000002</v>
      </c>
      <c r="V5527">
        <v>-0.19296189999999999</v>
      </c>
      <c r="W5527">
        <v>0.16294249999999999</v>
      </c>
      <c r="X5527">
        <v>0.96758230000000001</v>
      </c>
      <c r="Y5527">
        <v>-0.16805599999999901</v>
      </c>
      <c r="Z5527">
        <v>-4.3230919999999999E-2</v>
      </c>
      <c r="AA5527">
        <v>0.98482910000000001</v>
      </c>
      <c r="AB5527">
        <v>25</v>
      </c>
      <c r="AC5527">
        <v>6.1811000000000096</v>
      </c>
      <c r="AD5527">
        <v>-1.1172759313642</v>
      </c>
      <c r="AE5527">
        <v>14.019039999999899</v>
      </c>
      <c r="AF5527">
        <v>-2.5863831550579301</v>
      </c>
      <c r="AG5527">
        <v>-1.1172759313642</v>
      </c>
      <c r="AH5527">
        <v>15.0190966926753</v>
      </c>
      <c r="AI5527">
        <v>94.1929255858131</v>
      </c>
      <c r="AJ5527">
        <v>99.770861664856696</v>
      </c>
      <c r="AK5527">
        <v>15.281065041269301</v>
      </c>
      <c r="AL5527">
        <v>80.622269373402105</v>
      </c>
      <c r="AM5527">
        <v>101.278353519688</v>
      </c>
      <c r="AN5527">
        <v>1.00000003021557</v>
      </c>
    </row>
    <row r="5528" spans="1:40" x14ac:dyDescent="0.25">
      <c r="A5528" t="str">
        <f>"20190304155525569"</f>
        <v>20190304155525569</v>
      </c>
      <c r="B5528" t="str">
        <f>"1551686125563008"</f>
        <v>1551686125563008</v>
      </c>
      <c r="C5528" t="s">
        <v>40</v>
      </c>
      <c r="D5528">
        <v>4.7005480000000004</v>
      </c>
      <c r="E5528">
        <v>0.51008869999999995</v>
      </c>
      <c r="F5528" t="s">
        <v>46</v>
      </c>
      <c r="G5528">
        <v>-187.6129</v>
      </c>
      <c r="H5528" s="1">
        <v>-9.5482280000000007E-7</v>
      </c>
      <c r="I5528">
        <v>-39.412559999999999</v>
      </c>
      <c r="J5528">
        <v>-193.709</v>
      </c>
      <c r="K5528">
        <v>1.117103</v>
      </c>
      <c r="L5528">
        <v>-53.254939999999998</v>
      </c>
      <c r="M5528">
        <v>0.54463039999999996</v>
      </c>
      <c r="N5528">
        <v>-1.4922370000000001E-2</v>
      </c>
      <c r="O5528">
        <v>0.8385435</v>
      </c>
      <c r="P5528">
        <v>0.37187870000000001</v>
      </c>
      <c r="Q5528">
        <v>0.1524064</v>
      </c>
      <c r="R5528">
        <v>0.91568479999999997</v>
      </c>
      <c r="S5528">
        <v>1.2431490000000001</v>
      </c>
      <c r="T5528">
        <v>-0.2231698</v>
      </c>
      <c r="U5528">
        <v>2.8073429999999999</v>
      </c>
      <c r="V5528">
        <v>-0.18957589999999999</v>
      </c>
      <c r="W5528">
        <v>0.1638184</v>
      </c>
      <c r="X5528">
        <v>0.96810359999999995</v>
      </c>
      <c r="Y5528">
        <v>-0.1588426</v>
      </c>
      <c r="Z5528">
        <v>-4.451956E-2</v>
      </c>
      <c r="AA5528">
        <v>0.9862997</v>
      </c>
      <c r="AB5528">
        <v>25</v>
      </c>
      <c r="AC5528">
        <v>6.0960999999999999</v>
      </c>
      <c r="AD5528">
        <v>-1.1171039548227999</v>
      </c>
      <c r="AE5528">
        <v>13.84238</v>
      </c>
      <c r="AF5528">
        <v>-2.4142367870583601</v>
      </c>
      <c r="AG5528">
        <v>-1.1171039548227999</v>
      </c>
      <c r="AH5528">
        <v>14.8482258726571</v>
      </c>
      <c r="AI5528">
        <v>94.246969317908693</v>
      </c>
      <c r="AJ5528">
        <v>99.235149760363399</v>
      </c>
      <c r="AK5528">
        <v>15.084636955369801</v>
      </c>
      <c r="AL5528">
        <v>80.571400529001295</v>
      </c>
      <c r="AM5528">
        <v>101.07956911428199</v>
      </c>
      <c r="AN5528">
        <v>1.00000003518616</v>
      </c>
    </row>
    <row r="5529" spans="1:40" x14ac:dyDescent="0.25">
      <c r="A5529" t="str">
        <f>"20190304155525593"</f>
        <v>20190304155525593</v>
      </c>
      <c r="B5529" t="str">
        <f>"1551686125583489"</f>
        <v>1551686125583489</v>
      </c>
      <c r="C5529" t="s">
        <v>40</v>
      </c>
      <c r="D5529">
        <v>4.6244480000000001</v>
      </c>
      <c r="E5529">
        <v>0.5120673</v>
      </c>
      <c r="F5529" t="s">
        <v>46</v>
      </c>
      <c r="G5529">
        <v>-187.36770000000001</v>
      </c>
      <c r="H5529" s="1">
        <v>-1.1953509999999999E-6</v>
      </c>
      <c r="I5529">
        <v>-38.897469999999998</v>
      </c>
      <c r="J5529">
        <v>-193.58109999999999</v>
      </c>
      <c r="K5529">
        <v>1.1169180000000001</v>
      </c>
      <c r="L5529">
        <v>-53.037719999999901</v>
      </c>
      <c r="M5529">
        <v>0.53648779999999996</v>
      </c>
      <c r="N5529">
        <v>-1.4872730000000001E-2</v>
      </c>
      <c r="O5529">
        <v>0.84377709999999995</v>
      </c>
      <c r="P5529">
        <v>0.36498380000000002</v>
      </c>
      <c r="Q5529">
        <v>0.15482750000000001</v>
      </c>
      <c r="R5529">
        <v>0.91804980000000003</v>
      </c>
      <c r="S5529">
        <v>1.24057</v>
      </c>
      <c r="T5529">
        <v>-0.21854090000000001</v>
      </c>
      <c r="U5529">
        <v>2.8087770000000001</v>
      </c>
      <c r="V5529">
        <v>-0.187222</v>
      </c>
      <c r="W5529">
        <v>0.16631570000000001</v>
      </c>
      <c r="X5529">
        <v>0.96813579999999999</v>
      </c>
      <c r="Y5529">
        <v>-0.15021660000000001</v>
      </c>
      <c r="Z5529">
        <v>-4.3918459999999999E-2</v>
      </c>
      <c r="AA5529">
        <v>0.98767720000000003</v>
      </c>
      <c r="AB5529">
        <v>25</v>
      </c>
      <c r="AC5529">
        <v>6.2133999999999698</v>
      </c>
      <c r="AD5529">
        <v>-1.116919195351</v>
      </c>
      <c r="AE5529">
        <v>14.140249999999901</v>
      </c>
      <c r="AF5529">
        <v>-2.3314139320305398</v>
      </c>
      <c r="AG5529">
        <v>-1.116919195351</v>
      </c>
      <c r="AH5529">
        <v>15.1869001975562</v>
      </c>
      <c r="AI5529">
        <v>94.157707344927999</v>
      </c>
      <c r="AJ5529">
        <v>98.727615073155206</v>
      </c>
      <c r="AK5529">
        <v>15.405354167364701</v>
      </c>
      <c r="AL5529">
        <v>80.426324912820206</v>
      </c>
      <c r="AM5529">
        <v>100.944985280279</v>
      </c>
      <c r="AN5529">
        <v>0.99999995829606403</v>
      </c>
    </row>
    <row r="5530" spans="1:40" x14ac:dyDescent="0.25">
      <c r="A5530" t="str">
        <f>"20190304155525616"</f>
        <v>20190304155525616</v>
      </c>
      <c r="B5530" t="str">
        <f>"1551686125612768"</f>
        <v>1551686125612768</v>
      </c>
      <c r="C5530" t="s">
        <v>40</v>
      </c>
      <c r="D5530">
        <v>4.6971379999999998</v>
      </c>
      <c r="E5530">
        <v>0.51513540000000002</v>
      </c>
      <c r="F5530" t="s">
        <v>46</v>
      </c>
      <c r="G5530">
        <v>-187.042</v>
      </c>
      <c r="H5530" s="1">
        <v>-1.536666E-6</v>
      </c>
      <c r="I5530">
        <v>-38.149120000000003</v>
      </c>
      <c r="J5530">
        <v>-193.45439999999999</v>
      </c>
      <c r="K5530">
        <v>1.1167279999999999</v>
      </c>
      <c r="L5530">
        <v>-52.818390000000001</v>
      </c>
      <c r="M5530">
        <v>0.52849729999999995</v>
      </c>
      <c r="N5530">
        <v>-1.4821300000000001E-2</v>
      </c>
      <c r="O5530">
        <v>0.84880560000000005</v>
      </c>
      <c r="P5530">
        <v>0.3587224</v>
      </c>
      <c r="Q5530">
        <v>0.15492700000000001</v>
      </c>
      <c r="R5530">
        <v>0.92049769999999997</v>
      </c>
      <c r="S5530">
        <v>1.235168</v>
      </c>
      <c r="T5530">
        <v>-0.21097579999999999</v>
      </c>
      <c r="U5530">
        <v>2.8123170000000002</v>
      </c>
      <c r="V5530">
        <v>-0.18457699999999999</v>
      </c>
      <c r="W5530">
        <v>0.16650470000000001</v>
      </c>
      <c r="X5530">
        <v>0.96861109999999995</v>
      </c>
      <c r="Y5530">
        <v>-0.1429029</v>
      </c>
      <c r="Z5530">
        <v>-4.2460520000000002E-2</v>
      </c>
      <c r="AA5530">
        <v>0.98882550000000002</v>
      </c>
      <c r="AB5530">
        <v>25</v>
      </c>
      <c r="AC5530">
        <v>6.4123999999999901</v>
      </c>
      <c r="AD5530">
        <v>-1.1167295366659999</v>
      </c>
      <c r="AE5530">
        <v>14.6692699999999</v>
      </c>
      <c r="AF5530">
        <v>-2.2988569570347699</v>
      </c>
      <c r="AG5530">
        <v>-1.1167295366659999</v>
      </c>
      <c r="AH5530">
        <v>15.765326801095201</v>
      </c>
      <c r="AI5530">
        <v>94.009490585284894</v>
      </c>
      <c r="AJ5530">
        <v>98.296243922928497</v>
      </c>
      <c r="AK5530">
        <v>15.971141390404799</v>
      </c>
      <c r="AL5530">
        <v>80.415343030885197</v>
      </c>
      <c r="AM5530">
        <v>100.788844206531</v>
      </c>
      <c r="AN5530">
        <v>0.99999997354714898</v>
      </c>
    </row>
    <row r="5531" spans="1:40" x14ac:dyDescent="0.25">
      <c r="A5531" t="str">
        <f>"20190304155525641"</f>
        <v>20190304155525641</v>
      </c>
      <c r="B5531" t="str">
        <f>"1551686125633264"</f>
        <v>1551686125633264</v>
      </c>
      <c r="C5531" t="s">
        <v>40</v>
      </c>
      <c r="D5531">
        <v>4.6916949999999904</v>
      </c>
      <c r="E5531">
        <v>0.51595309999999905</v>
      </c>
      <c r="F5531" t="s">
        <v>46</v>
      </c>
      <c r="G5531">
        <v>-186.69300000000001</v>
      </c>
      <c r="H5531" s="1">
        <v>-1.8582850000000001E-6</v>
      </c>
      <c r="I5531">
        <v>-37.476939999999999</v>
      </c>
      <c r="J5531">
        <v>-193.32060000000001</v>
      </c>
      <c r="K5531">
        <v>1.11649</v>
      </c>
      <c r="L5531">
        <v>-52.5824</v>
      </c>
      <c r="M5531">
        <v>0.5201694</v>
      </c>
      <c r="N5531">
        <v>-1.476567E-2</v>
      </c>
      <c r="O5531">
        <v>0.85393539999999901</v>
      </c>
      <c r="P5531">
        <v>0.35306720000000003</v>
      </c>
      <c r="Q5531">
        <v>0.154420899999999</v>
      </c>
      <c r="R5531">
        <v>0.92276639999999999</v>
      </c>
      <c r="S5531">
        <v>1.2387999999999999</v>
      </c>
      <c r="T5531">
        <v>-0.20460210000000001</v>
      </c>
      <c r="U5531">
        <v>2.810791</v>
      </c>
      <c r="V5531">
        <v>-0.1809732</v>
      </c>
      <c r="W5531">
        <v>0.16611589999999901</v>
      </c>
      <c r="X5531">
        <v>0.96935760000000004</v>
      </c>
      <c r="Y5531">
        <v>-0.13193160000000001</v>
      </c>
      <c r="Z5531">
        <v>-4.1383459999999997E-2</v>
      </c>
      <c r="AA5531">
        <v>0.99039460000000001</v>
      </c>
      <c r="AB5531">
        <v>25</v>
      </c>
      <c r="AC5531">
        <v>6.6276000000000197</v>
      </c>
      <c r="AD5531">
        <v>-1.1164918582850001</v>
      </c>
      <c r="AE5531">
        <v>15.105460000000001</v>
      </c>
      <c r="AF5531">
        <v>-2.1880714842311102</v>
      </c>
      <c r="AG5531">
        <v>-1.1164918582850001</v>
      </c>
      <c r="AH5531">
        <v>16.2737907947261</v>
      </c>
      <c r="AI5531">
        <v>93.8898336194504</v>
      </c>
      <c r="AJ5531">
        <v>97.657705448175605</v>
      </c>
      <c r="AK5531">
        <v>16.458143203904701</v>
      </c>
      <c r="AL5531">
        <v>80.437934252543002</v>
      </c>
      <c r="AM5531">
        <v>100.575034035112</v>
      </c>
      <c r="AN5531">
        <v>0.99999997401440399</v>
      </c>
    </row>
    <row r="5532" spans="1:40" x14ac:dyDescent="0.25">
      <c r="A5532" t="str">
        <f>"20190304155525664"</f>
        <v>20190304155525664</v>
      </c>
      <c r="B5532" t="str">
        <f>"1551686125652784"</f>
        <v>1551686125652784</v>
      </c>
      <c r="C5532" t="s">
        <v>40</v>
      </c>
      <c r="D5532">
        <v>4.6837109999999997</v>
      </c>
      <c r="E5532">
        <v>0.53410539999999995</v>
      </c>
      <c r="F5532" t="s">
        <v>46</v>
      </c>
      <c r="G5532">
        <v>-186.61449999999999</v>
      </c>
      <c r="H5532" s="1">
        <v>-1.9725059999999999E-6</v>
      </c>
      <c r="I5532">
        <v>-37.202640000000002</v>
      </c>
      <c r="J5532">
        <v>-193.20070000000001</v>
      </c>
      <c r="K5532">
        <v>1.1162449999999999</v>
      </c>
      <c r="L5532">
        <v>-52.366819999999997</v>
      </c>
      <c r="M5532">
        <v>0.51286419999999999</v>
      </c>
      <c r="N5532">
        <v>-1.471415E-2</v>
      </c>
      <c r="O5532">
        <v>0.85834370000000004</v>
      </c>
      <c r="P5532">
        <v>0.34826479999999999</v>
      </c>
      <c r="Q5532">
        <v>0.15582399999999999</v>
      </c>
      <c r="R5532">
        <v>0.92435409999999996</v>
      </c>
      <c r="S5532">
        <v>1.227676</v>
      </c>
      <c r="T5532">
        <v>-0.20439470000000001</v>
      </c>
      <c r="U5532">
        <v>2.8155519999999998</v>
      </c>
      <c r="V5532">
        <v>-0.17753189999999999</v>
      </c>
      <c r="W5532">
        <v>0.16763069999999999</v>
      </c>
      <c r="X5532">
        <v>0.96973319999999996</v>
      </c>
      <c r="Y5532">
        <v>-0.1273811</v>
      </c>
      <c r="Z5532">
        <v>-4.1738860000000003E-2</v>
      </c>
      <c r="AA5532">
        <v>0.9909753</v>
      </c>
      <c r="AB5532">
        <v>25</v>
      </c>
      <c r="AC5532">
        <v>6.5862000000000096</v>
      </c>
      <c r="AD5532">
        <v>-1.116246972506</v>
      </c>
      <c r="AE5532">
        <v>15.16418</v>
      </c>
      <c r="AF5532">
        <v>-2.1145322873105998</v>
      </c>
      <c r="AG5532">
        <v>-1.116246972506</v>
      </c>
      <c r="AH5532">
        <v>16.321276338524498</v>
      </c>
      <c r="AI5532">
        <v>93.880159850147393</v>
      </c>
      <c r="AJ5532">
        <v>97.381939081187298</v>
      </c>
      <c r="AK5532">
        <v>16.495493791220301</v>
      </c>
      <c r="AL5532">
        <v>80.349909096066895</v>
      </c>
      <c r="AM5532">
        <v>100.37442240858201</v>
      </c>
      <c r="AN5532">
        <v>1.0000000531411599</v>
      </c>
    </row>
    <row r="5533" spans="1:40" x14ac:dyDescent="0.25">
      <c r="A5533" t="str">
        <f>"20190304155525683"</f>
        <v>20190304155525683</v>
      </c>
      <c r="B5533" t="str">
        <f>"1551686125672810"</f>
        <v>1551686125672810</v>
      </c>
      <c r="C5533" t="s">
        <v>40</v>
      </c>
      <c r="D5533">
        <v>4.7791880000000004</v>
      </c>
      <c r="E5533">
        <v>0.52820459999999902</v>
      </c>
      <c r="F5533" t="s">
        <v>46</v>
      </c>
      <c r="G5533">
        <v>-184.37479999999999</v>
      </c>
      <c r="H5533" s="1">
        <v>-3.6318020000000002E-6</v>
      </c>
      <c r="I5533">
        <v>-34.227310000000003</v>
      </c>
      <c r="J5533">
        <v>-193.09280000000001</v>
      </c>
      <c r="K5533">
        <v>1.116012</v>
      </c>
      <c r="L5533">
        <v>-52.169649999999997</v>
      </c>
      <c r="M5533">
        <v>0.50645169999999995</v>
      </c>
      <c r="N5533">
        <v>-1.466611E-2</v>
      </c>
      <c r="O5533">
        <v>0.86214360000000001</v>
      </c>
      <c r="P5533">
        <v>0.34301579999999998</v>
      </c>
      <c r="Q5533">
        <v>0.15859419999999999</v>
      </c>
      <c r="R5533">
        <v>0.92584449999999996</v>
      </c>
      <c r="S5533">
        <v>1.3462829999999999</v>
      </c>
      <c r="T5533">
        <v>-0.17027039999999999</v>
      </c>
      <c r="U5533">
        <v>2.7669679999999999</v>
      </c>
      <c r="V5533">
        <v>-0.17549799999999999</v>
      </c>
      <c r="W5533">
        <v>0.17048440000000001</v>
      </c>
      <c r="X5533">
        <v>0.96960590000000002</v>
      </c>
      <c r="Y5533">
        <v>-7.8458440000000004E-2</v>
      </c>
      <c r="Z5533">
        <v>-3.3621730000000002E-2</v>
      </c>
      <c r="AA5533">
        <v>0.99635030000000002</v>
      </c>
      <c r="AB5533">
        <v>25</v>
      </c>
      <c r="AC5533">
        <v>8.7180000000000106</v>
      </c>
      <c r="AD5533">
        <v>-1.116015631802</v>
      </c>
      <c r="AE5533">
        <v>17.942339999999898</v>
      </c>
      <c r="AF5533">
        <v>-1.5660281072848601</v>
      </c>
      <c r="AG5533">
        <v>-1.116015631802</v>
      </c>
      <c r="AH5533">
        <v>19.824210175759099</v>
      </c>
      <c r="AI5533">
        <v>93.212113155301907</v>
      </c>
      <c r="AJ5533">
        <v>94.516742637463594</v>
      </c>
      <c r="AK5533">
        <v>19.917259952511198</v>
      </c>
      <c r="AL5533">
        <v>80.184016114799803</v>
      </c>
      <c r="AM5533">
        <v>100.259423470017</v>
      </c>
      <c r="AN5533">
        <v>1.00000003998108</v>
      </c>
    </row>
    <row r="5534" spans="1:40" x14ac:dyDescent="0.25">
      <c r="A5534" t="str">
        <f>"20190304155525705"</f>
        <v>20190304155525705</v>
      </c>
      <c r="B5534" t="str">
        <f>"1551686125693306"</f>
        <v>1551686125693306</v>
      </c>
      <c r="C5534" t="s">
        <v>40</v>
      </c>
      <c r="D5534">
        <v>4.6793089999999999</v>
      </c>
      <c r="E5534">
        <v>0.53062609999999999</v>
      </c>
      <c r="F5534" t="s">
        <v>46</v>
      </c>
      <c r="G5534">
        <v>-185.08199999999999</v>
      </c>
      <c r="H5534" s="1">
        <v>-3.2509489999999999E-6</v>
      </c>
      <c r="I5534">
        <v>-34.822670000000002</v>
      </c>
      <c r="J5534">
        <v>-192.9811</v>
      </c>
      <c r="K5534">
        <v>1.115774</v>
      </c>
      <c r="L5534">
        <v>-51.962429999999998</v>
      </c>
      <c r="M5534">
        <v>0.4999557</v>
      </c>
      <c r="N5534">
        <v>-1.461638E-2</v>
      </c>
      <c r="O5534">
        <v>0.86592760000000002</v>
      </c>
      <c r="P5534">
        <v>0.33759090000000003</v>
      </c>
      <c r="Q5534">
        <v>0.15853229999999999</v>
      </c>
      <c r="R5534">
        <v>0.92784690000000003</v>
      </c>
      <c r="S5534">
        <v>1.2898860000000001</v>
      </c>
      <c r="T5534">
        <v>-0.17969889999999999</v>
      </c>
      <c r="U5534">
        <v>2.7931819999999998</v>
      </c>
      <c r="V5534">
        <v>-0.173782399999999</v>
      </c>
      <c r="W5534">
        <v>0.17050319999999999</v>
      </c>
      <c r="X5534">
        <v>0.96991150000000004</v>
      </c>
      <c r="Y5534">
        <v>-9.1127739999999999E-2</v>
      </c>
      <c r="Z5534">
        <v>-3.6196319999999997E-2</v>
      </c>
      <c r="AA5534">
        <v>0.99518110000000004</v>
      </c>
      <c r="AB5534">
        <v>25</v>
      </c>
      <c r="AC5534">
        <v>7.8990999999999998</v>
      </c>
      <c r="AD5534">
        <v>-1.115777250949</v>
      </c>
      <c r="AE5534">
        <v>17.1397599999999</v>
      </c>
      <c r="AF5534">
        <v>-1.72323332661412</v>
      </c>
      <c r="AG5534">
        <v>-1.115777250949</v>
      </c>
      <c r="AH5534">
        <v>18.727538473026801</v>
      </c>
      <c r="AI5534">
        <v>93.395313020809994</v>
      </c>
      <c r="AJ5534">
        <v>95.257324422874106</v>
      </c>
      <c r="AK5534">
        <v>18.8397237036638</v>
      </c>
      <c r="AL5534">
        <v>80.182922461238704</v>
      </c>
      <c r="AM5534">
        <v>100.158096125312</v>
      </c>
      <c r="AN5534">
        <v>0.999999990796125</v>
      </c>
    </row>
    <row r="5535" spans="1:40" x14ac:dyDescent="0.25">
      <c r="A5535" t="str">
        <f>"20190304155525728"</f>
        <v>20190304155525728</v>
      </c>
      <c r="B5535" t="str">
        <f>"1551686125723563"</f>
        <v>1551686125723563</v>
      </c>
      <c r="C5535" t="s">
        <v>40</v>
      </c>
      <c r="D5535">
        <v>4.8179290000000004</v>
      </c>
      <c r="E5535">
        <v>0.52921770000000001</v>
      </c>
      <c r="F5535" t="s">
        <v>46</v>
      </c>
      <c r="G5535">
        <v>-184.57</v>
      </c>
      <c r="H5535" s="1">
        <v>-3.7830620000000001E-6</v>
      </c>
      <c r="I5535">
        <v>-33.79401</v>
      </c>
      <c r="J5535">
        <v>-192.85890000000001</v>
      </c>
      <c r="K5535">
        <v>1.115524</v>
      </c>
      <c r="L5535">
        <v>-51.732120000000002</v>
      </c>
      <c r="M5535">
        <v>0.4930409</v>
      </c>
      <c r="N5535">
        <v>-1.456402E-2</v>
      </c>
      <c r="O5535">
        <v>0.86988430000000005</v>
      </c>
      <c r="P5535">
        <v>0.33249970000000001</v>
      </c>
      <c r="Q5535">
        <v>0.15726619999999999</v>
      </c>
      <c r="R5535">
        <v>0.92989860000000002</v>
      </c>
      <c r="S5535">
        <v>1.2926789999999999</v>
      </c>
      <c r="T5535">
        <v>-0.17148160000000001</v>
      </c>
      <c r="U5535">
        <v>2.7922669999999998</v>
      </c>
      <c r="V5535">
        <v>-0.17134959999999999</v>
      </c>
      <c r="W5535">
        <v>0.1693308</v>
      </c>
      <c r="X5535">
        <v>0.97054949999999995</v>
      </c>
      <c r="Y5535">
        <v>-8.2219589999999995E-2</v>
      </c>
      <c r="Z5535">
        <v>-3.4333559999999999E-2</v>
      </c>
      <c r="AA5535">
        <v>0.99602259999999998</v>
      </c>
      <c r="AB5535">
        <v>25</v>
      </c>
      <c r="AC5535">
        <v>8.2889000000000106</v>
      </c>
      <c r="AD5535">
        <v>-1.1155277830620001</v>
      </c>
      <c r="AE5535">
        <v>17.938110000000002</v>
      </c>
      <c r="AF5535">
        <v>-1.62882033034833</v>
      </c>
      <c r="AG5535">
        <v>-1.1155277830620001</v>
      </c>
      <c r="AH5535">
        <v>19.630375447802301</v>
      </c>
      <c r="AI5535">
        <v>93.241312390270807</v>
      </c>
      <c r="AJ5535">
        <v>94.743222494578404</v>
      </c>
      <c r="AK5535">
        <v>19.7293968008406</v>
      </c>
      <c r="AL5535">
        <v>80.251087046452696</v>
      </c>
      <c r="AM5535">
        <v>100.01233994626099</v>
      </c>
      <c r="AN5535">
        <v>0.999999968599524</v>
      </c>
    </row>
    <row r="5536" spans="1:40" x14ac:dyDescent="0.25">
      <c r="A5536" t="str">
        <f>"20190304155525749"</f>
        <v>20190304155525749</v>
      </c>
      <c r="B5536" t="str">
        <f>"1551686125743082"</f>
        <v>1551686125743082</v>
      </c>
      <c r="C5536" t="s">
        <v>40</v>
      </c>
      <c r="D5536">
        <v>4.7757019999999999</v>
      </c>
      <c r="E5536">
        <v>0.5293757</v>
      </c>
      <c r="F5536" t="s">
        <v>46</v>
      </c>
      <c r="G5536">
        <v>-185.18620000000001</v>
      </c>
      <c r="H5536" s="1">
        <v>-3.2585350000000001E-6</v>
      </c>
      <c r="I5536">
        <v>-34.761899999999997</v>
      </c>
      <c r="J5536">
        <v>-192.74850000000001</v>
      </c>
      <c r="K5536">
        <v>1.115307</v>
      </c>
      <c r="L5536">
        <v>-51.521090000000001</v>
      </c>
      <c r="M5536">
        <v>0.48699439999999999</v>
      </c>
      <c r="N5536">
        <v>-1.451769E-2</v>
      </c>
      <c r="O5536">
        <v>0.87328449999999902</v>
      </c>
      <c r="P5536">
        <v>0.32865409999999901</v>
      </c>
      <c r="Q5536">
        <v>0.15818160000000001</v>
      </c>
      <c r="R5536">
        <v>0.93110959999999998</v>
      </c>
      <c r="S5536">
        <v>1.2677609999999999</v>
      </c>
      <c r="T5536">
        <v>-0.1843204</v>
      </c>
      <c r="U5536">
        <v>2.8040159999999998</v>
      </c>
      <c r="V5536">
        <v>-0.1684611</v>
      </c>
      <c r="W5536">
        <v>0.17033309999999999</v>
      </c>
      <c r="X5536">
        <v>0.97087970000000001</v>
      </c>
      <c r="Y5536">
        <v>-8.4279939999999998E-2</v>
      </c>
      <c r="Z5536">
        <v>-3.8036319999999998E-2</v>
      </c>
      <c r="AA5536">
        <v>0.99571589999999999</v>
      </c>
      <c r="AB5536">
        <v>25</v>
      </c>
      <c r="AC5536">
        <v>7.5622999999999898</v>
      </c>
      <c r="AD5536">
        <v>-1.1153102585349901</v>
      </c>
      <c r="AE5536">
        <v>16.75919</v>
      </c>
      <c r="AF5536">
        <v>-1.5520454861200801</v>
      </c>
      <c r="AG5536">
        <v>-1.1153102585349901</v>
      </c>
      <c r="AH5536">
        <v>18.2531042799259</v>
      </c>
      <c r="AI5536">
        <v>93.484027194401506</v>
      </c>
      <c r="AJ5536">
        <v>94.860119686451</v>
      </c>
      <c r="AK5536">
        <v>18.352890181593501</v>
      </c>
      <c r="AL5536">
        <v>80.1928127473535</v>
      </c>
      <c r="AM5536">
        <v>99.843606274305898</v>
      </c>
      <c r="AN5536">
        <v>0.99999994952045301</v>
      </c>
    </row>
    <row r="5537" spans="1:40" x14ac:dyDescent="0.25">
      <c r="A5537" t="str">
        <f>"20190304155525782"</f>
        <v>20190304155525782</v>
      </c>
      <c r="B5537" t="str">
        <f>"1551686125773338"</f>
        <v>1551686125773338</v>
      </c>
      <c r="C5537" t="s">
        <v>40</v>
      </c>
      <c r="D5537">
        <v>4.7656809999999998</v>
      </c>
      <c r="E5537">
        <v>0.52941090000000002</v>
      </c>
      <c r="F5537" t="s">
        <v>46</v>
      </c>
      <c r="G5537">
        <v>-185.18819999999999</v>
      </c>
      <c r="H5537" s="1">
        <v>-3.3184770000000001E-6</v>
      </c>
      <c r="I5537">
        <v>-34.621380000000002</v>
      </c>
      <c r="J5537">
        <v>-192.58770000000001</v>
      </c>
      <c r="K5537">
        <v>1.1149579999999999</v>
      </c>
      <c r="L5537">
        <v>-51.20908</v>
      </c>
      <c r="M5537">
        <v>0.4785817</v>
      </c>
      <c r="N5537">
        <v>-1.444847E-2</v>
      </c>
      <c r="O5537">
        <v>0.87792409999999999</v>
      </c>
      <c r="P5537">
        <v>0.3192373</v>
      </c>
      <c r="Q5537">
        <v>0.1601582</v>
      </c>
      <c r="R5537">
        <v>0.93404330000000002</v>
      </c>
      <c r="S5537">
        <v>1.2569889999999999</v>
      </c>
      <c r="T5537">
        <v>-0.18543399999999999</v>
      </c>
      <c r="U5537">
        <v>2.8097840000000001</v>
      </c>
      <c r="V5537">
        <v>-0.1686474</v>
      </c>
      <c r="W5537">
        <v>0.172379</v>
      </c>
      <c r="X5537">
        <v>0.97048619999999997</v>
      </c>
      <c r="Y5537">
        <v>-7.8662289999999996E-2</v>
      </c>
      <c r="Z5537">
        <v>-3.8730609999999999E-2</v>
      </c>
      <c r="AA5537">
        <v>0.9961487</v>
      </c>
      <c r="AB5537">
        <v>25</v>
      </c>
      <c r="AC5537">
        <v>7.3995000000000104</v>
      </c>
      <c r="AD5537">
        <v>-1.114961318477</v>
      </c>
      <c r="AE5537">
        <v>16.587699999999899</v>
      </c>
      <c r="AF5537">
        <v>-1.43710564553415</v>
      </c>
      <c r="AG5537">
        <v>-1.114961318477</v>
      </c>
      <c r="AH5537">
        <v>18.037927382388599</v>
      </c>
      <c r="AI5537">
        <v>93.525925176257104</v>
      </c>
      <c r="AJ5537">
        <v>94.555209060952293</v>
      </c>
      <c r="AK5537">
        <v>18.129402517194301</v>
      </c>
      <c r="AL5537">
        <v>80.073831603564003</v>
      </c>
      <c r="AM5537">
        <v>99.858196166392503</v>
      </c>
      <c r="AN5537">
        <v>0.99999996477909903</v>
      </c>
    </row>
    <row r="5538" spans="1:40" x14ac:dyDescent="0.25">
      <c r="A5538" t="str">
        <f>"20190304155525806"</f>
        <v>20190304155525806</v>
      </c>
      <c r="B5538" t="str">
        <f>"1551686125803596"</f>
        <v>1551686125803596</v>
      </c>
      <c r="C5538" t="s">
        <v>40</v>
      </c>
      <c r="D5538">
        <v>4.7771169999999996</v>
      </c>
      <c r="E5538">
        <v>0.53065549999999995</v>
      </c>
      <c r="F5538" t="s">
        <v>46</v>
      </c>
      <c r="G5538">
        <v>-184.99270000000001</v>
      </c>
      <c r="H5538" s="1">
        <v>-3.7014019999999999E-6</v>
      </c>
      <c r="I5538">
        <v>-33.80959</v>
      </c>
      <c r="J5538">
        <v>-192.46860000000001</v>
      </c>
      <c r="K5538">
        <v>1.11466</v>
      </c>
      <c r="L5538">
        <v>-50.973849999999999</v>
      </c>
      <c r="M5538">
        <v>0.47272789999999998</v>
      </c>
      <c r="N5538">
        <v>-1.4395369999999999E-2</v>
      </c>
      <c r="O5538">
        <v>0.88109090000000001</v>
      </c>
      <c r="P5538">
        <v>0.31308960000000002</v>
      </c>
      <c r="Q5538">
        <v>0.15868119999999999</v>
      </c>
      <c r="R5538">
        <v>0.93637340000000002</v>
      </c>
      <c r="S5538">
        <v>1.2317659999999999</v>
      </c>
      <c r="T5538">
        <v>-0.18082580000000001</v>
      </c>
      <c r="U5538">
        <v>2.821869</v>
      </c>
      <c r="V5538">
        <v>-0.16854759999999999</v>
      </c>
      <c r="W5538">
        <v>0.17097490000000001</v>
      </c>
      <c r="X5538">
        <v>0.9707519</v>
      </c>
      <c r="Y5538">
        <v>-8.1050880000000006E-2</v>
      </c>
      <c r="Z5538">
        <v>-3.7598550000000001E-2</v>
      </c>
      <c r="AA5538">
        <v>0.99600049999999996</v>
      </c>
      <c r="AB5538">
        <v>25</v>
      </c>
      <c r="AC5538">
        <v>7.4758999999999904</v>
      </c>
      <c r="AD5538">
        <v>-1.114663701402</v>
      </c>
      <c r="AE5538">
        <v>17.164259999999999</v>
      </c>
      <c r="AF5538">
        <v>-1.5218406180352999</v>
      </c>
      <c r="AG5538">
        <v>-1.114663701402</v>
      </c>
      <c r="AH5538">
        <v>18.5933618252926</v>
      </c>
      <c r="AI5538">
        <v>93.419343196975305</v>
      </c>
      <c r="AJ5538">
        <v>94.679149047728401</v>
      </c>
      <c r="AK5538">
        <v>18.68880889731</v>
      </c>
      <c r="AL5538">
        <v>80.155493178017295</v>
      </c>
      <c r="AM5538">
        <v>99.849832914463207</v>
      </c>
      <c r="AN5538">
        <v>0.99999998062468898</v>
      </c>
    </row>
    <row r="5539" spans="1:40" x14ac:dyDescent="0.25">
      <c r="A5539" t="str">
        <f>"20190304155525828"</f>
        <v>20190304155525828</v>
      </c>
      <c r="B5539" t="str">
        <f>"1551686125823115"</f>
        <v>1551686125823115</v>
      </c>
      <c r="C5539" t="s">
        <v>40</v>
      </c>
      <c r="D5539">
        <v>4.8068070000000001</v>
      </c>
      <c r="E5539">
        <v>0.53150469999999905</v>
      </c>
      <c r="F5539" t="s">
        <v>46</v>
      </c>
      <c r="G5539">
        <v>-185.131</v>
      </c>
      <c r="H5539" s="1">
        <v>-3.5847199999999999E-6</v>
      </c>
      <c r="I5539">
        <v>-34.0244</v>
      </c>
      <c r="J5539">
        <v>-192.35919999999999</v>
      </c>
      <c r="K5539">
        <v>1.114393</v>
      </c>
      <c r="L5539">
        <v>-50.755580000000002</v>
      </c>
      <c r="M5539">
        <v>0.46757840000000001</v>
      </c>
      <c r="N5539">
        <v>-1.4349290000000001E-2</v>
      </c>
      <c r="O5539">
        <v>0.88383509999999998</v>
      </c>
      <c r="P5539">
        <v>0.30753900000000001</v>
      </c>
      <c r="Q5539">
        <v>0.157362</v>
      </c>
      <c r="R5539">
        <v>0.93843330000000003</v>
      </c>
      <c r="S5539">
        <v>1.223511</v>
      </c>
      <c r="T5539">
        <v>-0.18586639999999999</v>
      </c>
      <c r="U5539">
        <v>2.826263</v>
      </c>
      <c r="V5539">
        <v>-0.1686135</v>
      </c>
      <c r="W5539">
        <v>0.16971889999999901</v>
      </c>
      <c r="X5539">
        <v>0.97096090000000002</v>
      </c>
      <c r="Y5539">
        <v>-7.8277139999999995E-2</v>
      </c>
      <c r="Z5539">
        <v>-3.9223029999999999E-2</v>
      </c>
      <c r="AA5539">
        <v>0.99615969999999998</v>
      </c>
      <c r="AB5539">
        <v>25</v>
      </c>
      <c r="AC5539">
        <v>7.22820000000001</v>
      </c>
      <c r="AD5539">
        <v>-1.1143965847199999</v>
      </c>
      <c r="AE5539">
        <v>16.731179999999998</v>
      </c>
      <c r="AF5539">
        <v>-1.4294053093524901</v>
      </c>
      <c r="AG5539">
        <v>-1.1143965847199999</v>
      </c>
      <c r="AH5539">
        <v>18.101551312018302</v>
      </c>
      <c r="AI5539">
        <v>93.511982840863197</v>
      </c>
      <c r="AJ5539">
        <v>94.5150437194864</v>
      </c>
      <c r="AK5539">
        <v>18.192065280997401</v>
      </c>
      <c r="AL5539">
        <v>80.2285247113971</v>
      </c>
      <c r="AM5539">
        <v>99.851529167423806</v>
      </c>
      <c r="AN5539">
        <v>1.0000000433641301</v>
      </c>
    </row>
    <row r="5540" spans="1:40" x14ac:dyDescent="0.25">
      <c r="A5540" t="str">
        <f>"20190304155525853"</f>
        <v>20190304155525853</v>
      </c>
      <c r="B5540" t="str">
        <f>"1551686125843611"</f>
        <v>1551686125843611</v>
      </c>
      <c r="C5540" t="s">
        <v>40</v>
      </c>
      <c r="D5540">
        <v>4.787039</v>
      </c>
      <c r="E5540">
        <v>0.53253589999999995</v>
      </c>
      <c r="F5540" t="s">
        <v>46</v>
      </c>
      <c r="G5540">
        <v>-185.25700000000001</v>
      </c>
      <c r="H5540" s="1">
        <v>-3.4928440000000002E-6</v>
      </c>
      <c r="I5540">
        <v>-34.186489999999999</v>
      </c>
      <c r="J5540">
        <v>-192.2407</v>
      </c>
      <c r="K5540">
        <v>1.114107</v>
      </c>
      <c r="L5540">
        <v>-50.516359999999999</v>
      </c>
      <c r="M5540">
        <v>0.46231860000000002</v>
      </c>
      <c r="N5540">
        <v>-1.430145E-2</v>
      </c>
      <c r="O5540">
        <v>0.88659859999999902</v>
      </c>
      <c r="P5540">
        <v>0.30129919999999999</v>
      </c>
      <c r="Q5540">
        <v>0.15749749999999901</v>
      </c>
      <c r="R5540">
        <v>0.9404325</v>
      </c>
      <c r="S5540">
        <v>1.213516</v>
      </c>
      <c r="T5540">
        <v>-0.19040979999999999</v>
      </c>
      <c r="U5540">
        <v>2.8310550000000001</v>
      </c>
      <c r="V5540">
        <v>-0.16916349999999999</v>
      </c>
      <c r="W5540">
        <v>0.1699205</v>
      </c>
      <c r="X5540">
        <v>0.97082990000000002</v>
      </c>
      <c r="Y5540">
        <v>-7.5960910000000006E-2</v>
      </c>
      <c r="Z5540">
        <v>-4.0717370000000003E-2</v>
      </c>
      <c r="AA5540">
        <v>0.99627909999999997</v>
      </c>
      <c r="AB5540">
        <v>25</v>
      </c>
      <c r="AC5540">
        <v>6.98369999999999</v>
      </c>
      <c r="AD5540">
        <v>-1.114110492844</v>
      </c>
      <c r="AE5540">
        <v>16.32987</v>
      </c>
      <c r="AF5540">
        <v>-1.3526800219186099</v>
      </c>
      <c r="AG5540">
        <v>-1.114110492844</v>
      </c>
      <c r="AH5540">
        <v>17.6391345771607</v>
      </c>
      <c r="AI5540">
        <v>93.603522264432101</v>
      </c>
      <c r="AJ5540">
        <v>94.385218775359107</v>
      </c>
      <c r="AK5540">
        <v>17.7259711740471</v>
      </c>
      <c r="AL5540">
        <v>80.216803013752397</v>
      </c>
      <c r="AM5540">
        <v>99.884338497357703</v>
      </c>
      <c r="AN5540">
        <v>0.999999980393254</v>
      </c>
    </row>
    <row r="5541" spans="1:40" x14ac:dyDescent="0.25">
      <c r="A5541" t="str">
        <f>"20190304155525873"</f>
        <v>20190304155525873</v>
      </c>
      <c r="B5541" t="str">
        <f>"1551686125863130"</f>
        <v>1551686125863130</v>
      </c>
      <c r="C5541" t="s">
        <v>40</v>
      </c>
      <c r="D5541">
        <v>4.7739649999999996</v>
      </c>
      <c r="E5541">
        <v>0.53345480000000001</v>
      </c>
      <c r="F5541" t="s">
        <v>46</v>
      </c>
      <c r="G5541">
        <v>-185.17869999999999</v>
      </c>
      <c r="H5541" s="1">
        <v>-3.6470270000000001E-6</v>
      </c>
      <c r="I5541">
        <v>-33.859439999999999</v>
      </c>
      <c r="J5541">
        <v>-192.13890000000001</v>
      </c>
      <c r="K5541">
        <v>1.1138349999999999</v>
      </c>
      <c r="L5541">
        <v>-50.309049999999999</v>
      </c>
      <c r="M5541">
        <v>0.45812760000000002</v>
      </c>
      <c r="N5541">
        <v>-1.426007E-2</v>
      </c>
      <c r="O5541">
        <v>0.88877199999999901</v>
      </c>
      <c r="P5541">
        <v>0.29599950000000003</v>
      </c>
      <c r="Q5541">
        <v>0.15851989999999999</v>
      </c>
      <c r="R5541">
        <v>0.94194259999999996</v>
      </c>
      <c r="S5541">
        <v>1.202591</v>
      </c>
      <c r="T5541">
        <v>-0.18972269999999999</v>
      </c>
      <c r="U5541">
        <v>2.8365170000000002</v>
      </c>
      <c r="V5541">
        <v>-0.1698644</v>
      </c>
      <c r="W5541">
        <v>0.1710045</v>
      </c>
      <c r="X5541">
        <v>0.97051719999999997</v>
      </c>
      <c r="Y5541">
        <v>-7.5195250000000005E-2</v>
      </c>
      <c r="Z5541">
        <v>-4.0676860000000002E-2</v>
      </c>
      <c r="AA5541">
        <v>0.99633879999999997</v>
      </c>
      <c r="AB5541">
        <v>25</v>
      </c>
      <c r="AC5541">
        <v>6.9602000000000102</v>
      </c>
      <c r="AD5541">
        <v>-1.1138386470270001</v>
      </c>
      <c r="AE5541">
        <v>16.44961</v>
      </c>
      <c r="AF5541">
        <v>-1.34489687614419</v>
      </c>
      <c r="AG5541">
        <v>-1.1138386470270001</v>
      </c>
      <c r="AH5541">
        <v>17.741432617815398</v>
      </c>
      <c r="AI5541">
        <v>93.582165074908005</v>
      </c>
      <c r="AJ5541">
        <v>94.335040005421803</v>
      </c>
      <c r="AK5541">
        <v>17.8271650991278</v>
      </c>
      <c r="AL5541">
        <v>80.153772507649606</v>
      </c>
      <c r="AM5541">
        <v>99.927613969644298</v>
      </c>
      <c r="AN5541">
        <v>1.0000000444517201</v>
      </c>
    </row>
    <row r="5542" spans="1:40" x14ac:dyDescent="0.25">
      <c r="A5542" t="str">
        <f>"20190304155525897"</f>
        <v>20190304155525897</v>
      </c>
      <c r="B5542" t="str">
        <f>"1551686125893387"</f>
        <v>1551686125893387</v>
      </c>
      <c r="C5542" t="s">
        <v>40</v>
      </c>
      <c r="D5542">
        <v>4.6523779999999997</v>
      </c>
      <c r="E5542">
        <v>0.53461069999999999</v>
      </c>
      <c r="F5542" t="s">
        <v>46</v>
      </c>
      <c r="G5542">
        <v>-184.9589</v>
      </c>
      <c r="H5542" s="1">
        <v>-3.9515180000000003E-6</v>
      </c>
      <c r="I5542">
        <v>-33.24053</v>
      </c>
      <c r="J5542">
        <v>-192.02959999999999</v>
      </c>
      <c r="K5542">
        <v>1.113518</v>
      </c>
      <c r="L5542">
        <v>-50.084809999999997</v>
      </c>
      <c r="M5542">
        <v>0.453982</v>
      </c>
      <c r="N5542">
        <v>-1.421541E-2</v>
      </c>
      <c r="O5542">
        <v>0.89089750000000001</v>
      </c>
      <c r="P5542">
        <v>0.29090429999999901</v>
      </c>
      <c r="Q5542">
        <v>0.15750729999999999</v>
      </c>
      <c r="R5542">
        <v>0.94369809999999998</v>
      </c>
      <c r="S5542">
        <v>1.1949160000000001</v>
      </c>
      <c r="T5542">
        <v>-0.18536929999999999</v>
      </c>
      <c r="U5542">
        <v>2.8406069999999999</v>
      </c>
      <c r="V5542">
        <v>-0.1705277</v>
      </c>
      <c r="W5542">
        <v>0.17007329999999901</v>
      </c>
      <c r="X5542">
        <v>0.97056450000000005</v>
      </c>
      <c r="Y5542">
        <v>-7.3332289999999994E-2</v>
      </c>
      <c r="Z5542">
        <v>-3.9618199999999999E-2</v>
      </c>
      <c r="AA5542">
        <v>0.99652030000000003</v>
      </c>
      <c r="AB5542">
        <v>25</v>
      </c>
      <c r="AC5542">
        <v>7.07069999999998</v>
      </c>
      <c r="AD5542">
        <v>-1.1135219515179999</v>
      </c>
      <c r="AE5542">
        <v>16.844279999999898</v>
      </c>
      <c r="AF5542">
        <v>-1.3428777314875799</v>
      </c>
      <c r="AG5542">
        <v>-1.1135219515179999</v>
      </c>
      <c r="AH5542">
        <v>18.150899063839699</v>
      </c>
      <c r="AI5542">
        <v>93.501038902307997</v>
      </c>
      <c r="AJ5542">
        <v>94.231267134375798</v>
      </c>
      <c r="AK5542">
        <v>18.234538342495402</v>
      </c>
      <c r="AL5542">
        <v>80.207919459043097</v>
      </c>
      <c r="AM5542">
        <v>99.965128502139294</v>
      </c>
      <c r="AN5542">
        <v>1.0000000362502099</v>
      </c>
    </row>
    <row r="5543" spans="1:40" x14ac:dyDescent="0.25">
      <c r="A5543" t="str">
        <f>"20190304155525917"</f>
        <v>20190304155525917</v>
      </c>
      <c r="B5543" t="str">
        <f>"1551686125912906"</f>
        <v>1551686125912906</v>
      </c>
      <c r="C5543" t="s">
        <v>40</v>
      </c>
      <c r="D5543">
        <v>4.770683</v>
      </c>
      <c r="E5543">
        <v>0.55424530000000005</v>
      </c>
      <c r="F5543" t="s">
        <v>46</v>
      </c>
      <c r="G5543">
        <v>-184.90539999999999</v>
      </c>
      <c r="H5543" s="1">
        <v>-4.0433220000000001E-6</v>
      </c>
      <c r="I5543">
        <v>-33.048670000000001</v>
      </c>
      <c r="J5543">
        <v>-191.92949999999999</v>
      </c>
      <c r="K5543">
        <v>1.1132219999999999</v>
      </c>
      <c r="L5543">
        <v>-49.878169999999997</v>
      </c>
      <c r="M5543">
        <v>0.45050859999999898</v>
      </c>
      <c r="N5543">
        <v>-1.4176269999999999E-2</v>
      </c>
      <c r="O5543">
        <v>0.89265949999999905</v>
      </c>
      <c r="P5543">
        <v>0.28693059999999998</v>
      </c>
      <c r="Q5543">
        <v>0.15603880000000001</v>
      </c>
      <c r="R5543">
        <v>0.94515749999999998</v>
      </c>
      <c r="S5543">
        <v>1.189087</v>
      </c>
      <c r="T5543">
        <v>-0.1858562</v>
      </c>
      <c r="U5543">
        <v>2.8434750000000002</v>
      </c>
      <c r="V5543">
        <v>-0.17081099999999999</v>
      </c>
      <c r="W5543">
        <v>0.16868830000000001</v>
      </c>
      <c r="X5543">
        <v>0.97075639999999996</v>
      </c>
      <c r="Y5543">
        <v>-7.1549619999999994E-2</v>
      </c>
      <c r="Z5543">
        <v>-3.9905120000000002E-2</v>
      </c>
      <c r="AA5543">
        <v>0.99663849999999998</v>
      </c>
      <c r="AB5543">
        <v>25</v>
      </c>
      <c r="AC5543">
        <v>7.0240999999999998</v>
      </c>
      <c r="AD5543">
        <v>-1.113226043322</v>
      </c>
      <c r="AE5543">
        <v>16.829499999999999</v>
      </c>
      <c r="AF5543">
        <v>-1.3069665340174199</v>
      </c>
      <c r="AG5543">
        <v>-1.113226043322</v>
      </c>
      <c r="AH5543">
        <v>18.121730890359299</v>
      </c>
      <c r="AI5543">
        <v>93.506203806563803</v>
      </c>
      <c r="AJ5543">
        <v>94.125115555130506</v>
      </c>
      <c r="AK5543">
        <v>18.202872416384601</v>
      </c>
      <c r="AL5543">
        <v>80.288437823555896</v>
      </c>
      <c r="AM5543">
        <v>99.979417598310107</v>
      </c>
      <c r="AN5543">
        <v>1.00000006420942</v>
      </c>
    </row>
    <row r="5544" spans="1:40" x14ac:dyDescent="0.25">
      <c r="A5544" t="str">
        <f>"20190304155525940"</f>
        <v>20190304155525940</v>
      </c>
      <c r="B5544" t="str">
        <f>"1551686125933403"</f>
        <v>1551686125933403</v>
      </c>
      <c r="C5544" t="s">
        <v>40</v>
      </c>
      <c r="D5544">
        <v>4.7477580000000001</v>
      </c>
      <c r="E5544">
        <v>0.55606350000000004</v>
      </c>
      <c r="F5544" t="s">
        <v>46</v>
      </c>
      <c r="G5544">
        <v>-183.73910000000001</v>
      </c>
      <c r="H5544" s="1">
        <v>-4.4537460000000002E-6</v>
      </c>
      <c r="I5544">
        <v>-32.574199999999998</v>
      </c>
      <c r="J5544">
        <v>-191.8228</v>
      </c>
      <c r="K5544">
        <v>1.1129249999999999</v>
      </c>
      <c r="L5544">
        <v>-49.656680000000001</v>
      </c>
      <c r="M5544">
        <v>0.44711780000000001</v>
      </c>
      <c r="N5544">
        <v>-1.413771E-2</v>
      </c>
      <c r="O5544">
        <v>0.89436329999999997</v>
      </c>
      <c r="P5544">
        <v>0.28345049999999999</v>
      </c>
      <c r="Q5544">
        <v>0.15518670000000001</v>
      </c>
      <c r="R5544">
        <v>0.9463471</v>
      </c>
      <c r="S5544">
        <v>1.325928</v>
      </c>
      <c r="T5544">
        <v>-0.18021760000000001</v>
      </c>
      <c r="U5544">
        <v>2.8012999999999999</v>
      </c>
      <c r="V5544">
        <v>-0.17063499999999901</v>
      </c>
      <c r="W5544">
        <v>0.16792360000000001</v>
      </c>
      <c r="X5544">
        <v>0.9709198</v>
      </c>
      <c r="Y5544">
        <v>-2.1859139999999999E-2</v>
      </c>
      <c r="Z5544">
        <v>-3.8947469999999998E-2</v>
      </c>
      <c r="AA5544">
        <v>0.99900219999999995</v>
      </c>
      <c r="AB5544">
        <v>25</v>
      </c>
      <c r="AC5544">
        <v>8.0836999999999897</v>
      </c>
      <c r="AD5544">
        <v>-1.1129294537459999</v>
      </c>
      <c r="AE5544">
        <v>17.08248</v>
      </c>
      <c r="AF5544">
        <v>-0.40674649178085798</v>
      </c>
      <c r="AG5544">
        <v>-1.1129294537459999</v>
      </c>
      <c r="AH5544">
        <v>18.8289003684032</v>
      </c>
      <c r="AI5544">
        <v>93.381888120918404</v>
      </c>
      <c r="AJ5544">
        <v>91.237524908263197</v>
      </c>
      <c r="AK5544">
        <v>18.8661480901864</v>
      </c>
      <c r="AL5544">
        <v>80.332884835028096</v>
      </c>
      <c r="AM5544">
        <v>99.967697278408806</v>
      </c>
      <c r="AN5544">
        <v>0.99999994834699801</v>
      </c>
    </row>
    <row r="5545" spans="1:40" x14ac:dyDescent="0.25">
      <c r="A5545" t="str">
        <f>"20190304155525962"</f>
        <v>20190304155525962</v>
      </c>
      <c r="B5545" t="str">
        <f>"1551686125952922"</f>
        <v>1551686125952922</v>
      </c>
      <c r="C5545" t="s">
        <v>40</v>
      </c>
      <c r="D5545">
        <v>4.7107349999999997</v>
      </c>
      <c r="E5545">
        <v>0.55728919999999904</v>
      </c>
      <c r="F5545" t="s">
        <v>46</v>
      </c>
      <c r="G5545">
        <v>-183.42359999999999</v>
      </c>
      <c r="H5545" s="1">
        <v>-4.7742970000000003E-6</v>
      </c>
      <c r="I5545">
        <v>-31.957450000000001</v>
      </c>
      <c r="J5545">
        <v>-191.7182</v>
      </c>
      <c r="K5545">
        <v>1.1126739999999999</v>
      </c>
      <c r="L5545">
        <v>-49.438290000000002</v>
      </c>
      <c r="M5545">
        <v>0.44410139999999998</v>
      </c>
      <c r="N5545">
        <v>-1.410291E-2</v>
      </c>
      <c r="O5545">
        <v>0.89586559999999904</v>
      </c>
      <c r="P5545">
        <v>0.27987830000000002</v>
      </c>
      <c r="Q5545">
        <v>0.155309</v>
      </c>
      <c r="R5545">
        <v>0.9473897</v>
      </c>
      <c r="S5545">
        <v>1.3291470000000001</v>
      </c>
      <c r="T5545">
        <v>-0.17611740000000001</v>
      </c>
      <c r="U5545">
        <v>2.8008419999999998</v>
      </c>
      <c r="V5545">
        <v>-0.1709165</v>
      </c>
      <c r="W5545">
        <v>0.16811209999999999</v>
      </c>
      <c r="X5545">
        <v>0.97083770000000003</v>
      </c>
      <c r="Y5545">
        <v>-1.7471850000000001E-2</v>
      </c>
      <c r="Z5545">
        <v>-3.7926050000000003E-2</v>
      </c>
      <c r="AA5545">
        <v>0.99912780000000001</v>
      </c>
      <c r="AB5545">
        <v>25</v>
      </c>
      <c r="AC5545">
        <v>8.2946000000000009</v>
      </c>
      <c r="AD5545">
        <v>-1.1126787742969999</v>
      </c>
      <c r="AE5545">
        <v>17.480840000000001</v>
      </c>
      <c r="AF5545">
        <v>-0.33135597878948397</v>
      </c>
      <c r="AG5545">
        <v>-1.1126787742969999</v>
      </c>
      <c r="AH5545">
        <v>19.2822840960885</v>
      </c>
      <c r="AI5545">
        <v>93.302087948858798</v>
      </c>
      <c r="AJ5545">
        <v>90.984501136461205</v>
      </c>
      <c r="AK5545">
        <v>19.3172029756307</v>
      </c>
      <c r="AL5545">
        <v>80.321929176685799</v>
      </c>
      <c r="AM5545">
        <v>99.984637912556096</v>
      </c>
      <c r="AN5545">
        <v>0.99999998393997402</v>
      </c>
    </row>
    <row r="5546" spans="1:40" x14ac:dyDescent="0.25">
      <c r="A5546" t="str">
        <f>"20190304155525985"</f>
        <v>20190304155525985</v>
      </c>
      <c r="B5546" t="str">
        <f>"1551686125973419"</f>
        <v>1551686125973419</v>
      </c>
      <c r="C5546" t="s">
        <v>40</v>
      </c>
      <c r="D5546">
        <v>4.7397030000000004</v>
      </c>
      <c r="E5546">
        <v>0.55832490000000001</v>
      </c>
      <c r="F5546" t="s">
        <v>46</v>
      </c>
      <c r="G5546">
        <v>-183.1069</v>
      </c>
      <c r="H5546" s="1">
        <v>-5.1264779999999998E-6</v>
      </c>
      <c r="I5546">
        <v>-31.26746</v>
      </c>
      <c r="J5546">
        <v>-191.6131</v>
      </c>
      <c r="K5546">
        <v>1.112479</v>
      </c>
      <c r="L5546">
        <v>-49.217709999999997</v>
      </c>
      <c r="M5546">
        <v>0.44133270000000002</v>
      </c>
      <c r="N5546">
        <v>-1.4070869999999999E-2</v>
      </c>
      <c r="O5546">
        <v>0.89723319999999995</v>
      </c>
      <c r="P5546">
        <v>0.27616039999999997</v>
      </c>
      <c r="Q5546">
        <v>0.15572529999999901</v>
      </c>
      <c r="R5546">
        <v>0.94841189999999997</v>
      </c>
      <c r="S5546">
        <v>1.328079</v>
      </c>
      <c r="T5546">
        <v>-0.17160310000000001</v>
      </c>
      <c r="U5546">
        <v>2.8023989999999999</v>
      </c>
      <c r="V5546">
        <v>-0.1716184</v>
      </c>
      <c r="W5546">
        <v>0.16857320000000001</v>
      </c>
      <c r="X5546">
        <v>0.97063390000000005</v>
      </c>
      <c r="Y5546">
        <v>-1.4889629999999999E-2</v>
      </c>
      <c r="Z5546">
        <v>-3.6743030000000003E-2</v>
      </c>
      <c r="AA5546">
        <v>0.99921380000000004</v>
      </c>
      <c r="AB5546">
        <v>25</v>
      </c>
      <c r="AC5546">
        <v>8.5061999999999998</v>
      </c>
      <c r="AD5546">
        <v>-1.1124841264779901</v>
      </c>
      <c r="AE5546">
        <v>17.95025</v>
      </c>
      <c r="AF5546">
        <v>-0.28910913399708299</v>
      </c>
      <c r="AG5546">
        <v>-1.1124841264779901</v>
      </c>
      <c r="AH5546">
        <v>19.799486988503499</v>
      </c>
      <c r="AI5546">
        <v>93.215584428637598</v>
      </c>
      <c r="AJ5546">
        <v>90.836564910957193</v>
      </c>
      <c r="AK5546">
        <v>19.832823551651501</v>
      </c>
      <c r="AL5546">
        <v>80.295127589048903</v>
      </c>
      <c r="AM5546">
        <v>100.02687374238999</v>
      </c>
      <c r="AN5546">
        <v>0.999999983403004</v>
      </c>
    </row>
    <row r="5547" spans="1:40" x14ac:dyDescent="0.25">
      <c r="A5547" t="str">
        <f>"20190304155526008"</f>
        <v>20190304155526008</v>
      </c>
      <c r="B5547" t="str">
        <f>"1551686126002700"</f>
        <v>1551686126002700</v>
      </c>
      <c r="C5547" t="s">
        <v>40</v>
      </c>
      <c r="D5547">
        <v>5.0108280000000001</v>
      </c>
      <c r="E5547">
        <v>0.52815469999999998</v>
      </c>
      <c r="F5547" t="s">
        <v>46</v>
      </c>
      <c r="G5547">
        <v>-182.8357</v>
      </c>
      <c r="H5547" s="1">
        <v>-5.4429949999999999E-6</v>
      </c>
      <c r="I5547">
        <v>-30.6418</v>
      </c>
      <c r="J5547">
        <v>-191.50659999999999</v>
      </c>
      <c r="K5547">
        <v>1.112339</v>
      </c>
      <c r="L5547">
        <v>-48.993259999999999</v>
      </c>
      <c r="M5547">
        <v>0.43870480000000001</v>
      </c>
      <c r="N5547">
        <v>-1.40414999999999E-2</v>
      </c>
      <c r="O5547">
        <v>0.89852149999999997</v>
      </c>
      <c r="P5547">
        <v>0.27294629999999998</v>
      </c>
      <c r="Q5547">
        <v>0.15548299999999901</v>
      </c>
      <c r="R5547">
        <v>0.94938160000000005</v>
      </c>
      <c r="S5547">
        <v>1.3253330000000001</v>
      </c>
      <c r="T5547">
        <v>-0.16797779999999901</v>
      </c>
      <c r="U5547">
        <v>2.80484</v>
      </c>
      <c r="V5547">
        <v>-0.17202419999999999</v>
      </c>
      <c r="W5547">
        <v>0.16835839999999999</v>
      </c>
      <c r="X5547">
        <v>0.9705994</v>
      </c>
      <c r="Y5547">
        <v>-1.3083279999999999E-2</v>
      </c>
      <c r="Z5547">
        <v>-3.5791759999999999E-2</v>
      </c>
      <c r="AA5547">
        <v>0.99927359999999998</v>
      </c>
      <c r="AB5547">
        <v>25</v>
      </c>
      <c r="AC5547">
        <v>8.6708999999999801</v>
      </c>
      <c r="AD5547">
        <v>-1.112344442995</v>
      </c>
      <c r="AE5547">
        <v>18.351459999999999</v>
      </c>
      <c r="AF5547">
        <v>-0.25913085354453103</v>
      </c>
      <c r="AG5547">
        <v>-1.112344442995</v>
      </c>
      <c r="AH5547">
        <v>20.234374860746801</v>
      </c>
      <c r="AI5547">
        <v>93.146296734712095</v>
      </c>
      <c r="AJ5547">
        <v>90.733716399066495</v>
      </c>
      <c r="AK5547">
        <v>20.266582962215001</v>
      </c>
      <c r="AL5547">
        <v>80.307613685285204</v>
      </c>
      <c r="AM5547">
        <v>100.050449938349</v>
      </c>
      <c r="AN5547">
        <v>1.0000000357582699</v>
      </c>
    </row>
    <row r="5548" spans="1:40" x14ac:dyDescent="0.25">
      <c r="A5548" t="str">
        <f>"20190304155526031"</f>
        <v>20190304155526031</v>
      </c>
      <c r="B5548" t="str">
        <f>"1551686126023194"</f>
        <v>1551686126023194</v>
      </c>
      <c r="C5548" t="s">
        <v>40</v>
      </c>
      <c r="D5548">
        <v>4.8009250000000003</v>
      </c>
      <c r="E5548">
        <v>0.51283040000000002</v>
      </c>
      <c r="F5548" t="s">
        <v>100</v>
      </c>
      <c r="G5548">
        <v>-163.73929999999999</v>
      </c>
      <c r="H5548">
        <v>4.8076600000000003</v>
      </c>
      <c r="I5548">
        <v>25.184909999999999</v>
      </c>
      <c r="J5548">
        <v>-191.40190000000001</v>
      </c>
      <c r="K5548">
        <v>1.1122510000000001</v>
      </c>
      <c r="L5548">
        <v>-48.771210000000004</v>
      </c>
      <c r="M5548">
        <v>0.43622830000000001</v>
      </c>
      <c r="N5548">
        <v>-1.401608E-2</v>
      </c>
      <c r="O5548">
        <v>0.8997269</v>
      </c>
      <c r="P5548">
        <v>0.2707213</v>
      </c>
      <c r="Q5548">
        <v>0.15480160000000001</v>
      </c>
      <c r="R5548">
        <v>0.95012969999999997</v>
      </c>
      <c r="S5548">
        <v>1.060135</v>
      </c>
      <c r="T5548">
        <v>0.1410843</v>
      </c>
      <c r="U5548">
        <v>2.8320620000000001</v>
      </c>
      <c r="V5548">
        <v>-0.1716329</v>
      </c>
      <c r="W5548">
        <v>0.16769319999999999</v>
      </c>
      <c r="X5548">
        <v>0.97078379999999997</v>
      </c>
      <c r="Y5548">
        <v>-9.3715759999999995E-2</v>
      </c>
      <c r="Z5548">
        <v>5.3866110000000002E-2</v>
      </c>
      <c r="AA5548">
        <v>0.99414069999999999</v>
      </c>
      <c r="AB5548">
        <v>24</v>
      </c>
      <c r="AC5548">
        <v>27.662600000000001</v>
      </c>
      <c r="AD5548">
        <v>3.69540899999999</v>
      </c>
      <c r="AE5548">
        <v>73.956119999999999</v>
      </c>
      <c r="AF5548">
        <v>-7.3575757551528902</v>
      </c>
      <c r="AG5548">
        <v>3.69540899999999</v>
      </c>
      <c r="AH5548">
        <v>78.443422795458702</v>
      </c>
      <c r="AI5548">
        <v>87.314603278426802</v>
      </c>
      <c r="AJ5548">
        <v>95.358362715537297</v>
      </c>
      <c r="AK5548">
        <v>78.874333902336005</v>
      </c>
      <c r="AL5548">
        <v>80.346276407850794</v>
      </c>
      <c r="AM5548">
        <v>100.026186745264</v>
      </c>
      <c r="AN5548">
        <v>1.00000002401554</v>
      </c>
    </row>
    <row r="5549" spans="1:40" x14ac:dyDescent="0.25">
      <c r="A5549" t="str">
        <f>"20190304155526054"</f>
        <v>20190304155526054</v>
      </c>
      <c r="B5549" t="str">
        <f>"1551686126043690"</f>
        <v>1551686126043690</v>
      </c>
      <c r="C5549" t="s">
        <v>40</v>
      </c>
      <c r="D5549">
        <v>4.8076420000000004</v>
      </c>
      <c r="E5549">
        <v>0.5071407</v>
      </c>
      <c r="F5549" t="s">
        <v>100</v>
      </c>
      <c r="G5549">
        <v>-167.43610000000001</v>
      </c>
      <c r="H5549">
        <v>1.9604159999999999</v>
      </c>
      <c r="I5549">
        <v>24.492049999999999</v>
      </c>
      <c r="J5549">
        <v>-191.29310000000001</v>
      </c>
      <c r="K5549">
        <v>1.1121939999999999</v>
      </c>
      <c r="L5549">
        <v>-48.538849999999996</v>
      </c>
      <c r="M5549">
        <v>0.43370120000000001</v>
      </c>
      <c r="N5549">
        <v>-1.399336E-2</v>
      </c>
      <c r="O5549">
        <v>0.90094810000000003</v>
      </c>
      <c r="P5549">
        <v>0.26889200000000002</v>
      </c>
      <c r="Q5549">
        <v>0.1554729</v>
      </c>
      <c r="R5549">
        <v>0.95053949999999998</v>
      </c>
      <c r="S5549">
        <v>0.94317629999999997</v>
      </c>
      <c r="T5549">
        <v>3.3379440000000003E-2</v>
      </c>
      <c r="U5549">
        <v>2.88327</v>
      </c>
      <c r="V5549">
        <v>-0.17070979999999999</v>
      </c>
      <c r="W5549">
        <v>0.168367299999999</v>
      </c>
      <c r="X5549">
        <v>0.97082979999999997</v>
      </c>
      <c r="Y5549">
        <v>-0.13219310000000001</v>
      </c>
      <c r="Z5549">
        <v>2.2606540000000001E-2</v>
      </c>
      <c r="AA5549">
        <v>0.99096609999999996</v>
      </c>
      <c r="AB5549">
        <v>24</v>
      </c>
      <c r="AC5549">
        <v>23.856999999999999</v>
      </c>
      <c r="AD5549">
        <v>0.84822199999999903</v>
      </c>
      <c r="AE5549">
        <v>73.030900000000003</v>
      </c>
      <c r="AF5549">
        <v>-10.179426054102599</v>
      </c>
      <c r="AG5549">
        <v>0.84822199999999903</v>
      </c>
      <c r="AH5549">
        <v>76.142034323675304</v>
      </c>
      <c r="AI5549">
        <v>89.367379528844694</v>
      </c>
      <c r="AJ5549">
        <v>97.614719113469903</v>
      </c>
      <c r="AK5549">
        <v>76.824147156346498</v>
      </c>
      <c r="AL5549">
        <v>80.307095451107799</v>
      </c>
      <c r="AM5549">
        <v>99.972884944034206</v>
      </c>
      <c r="AN5549">
        <v>0.99999994204668297</v>
      </c>
    </row>
    <row r="5550" spans="1:40" x14ac:dyDescent="0.25">
      <c r="A5550" t="str">
        <f>"20190304155526076"</f>
        <v>20190304155526076</v>
      </c>
      <c r="B5550" t="str">
        <f>"1551686126072970"</f>
        <v>1551686126072970</v>
      </c>
      <c r="C5550" t="s">
        <v>40</v>
      </c>
      <c r="D5550">
        <v>4.7993870000000003</v>
      </c>
      <c r="E5550">
        <v>0.50316320000000003</v>
      </c>
      <c r="F5550" t="s">
        <v>100</v>
      </c>
      <c r="G5550">
        <v>-168.708</v>
      </c>
      <c r="H5550">
        <v>0.40301999999999999</v>
      </c>
      <c r="I5550">
        <v>24.492039999999999</v>
      </c>
      <c r="J5550">
        <v>-191.19110000000001</v>
      </c>
      <c r="K5550">
        <v>1.1121719999999999</v>
      </c>
      <c r="L5550">
        <v>-48.319890000000001</v>
      </c>
      <c r="M5550">
        <v>0.43132520000000002</v>
      </c>
      <c r="N5550">
        <v>-1.397523E-2</v>
      </c>
      <c r="O5550">
        <v>0.90208829999999995</v>
      </c>
      <c r="P5550">
        <v>0.26827869999999998</v>
      </c>
      <c r="Q5550">
        <v>0.15435499999999999</v>
      </c>
      <c r="R5550">
        <v>0.95089489999999999</v>
      </c>
      <c r="S5550">
        <v>0.89883419999999903</v>
      </c>
      <c r="T5550">
        <v>-2.822351E-2</v>
      </c>
      <c r="U5550">
        <v>2.9064640000000002</v>
      </c>
      <c r="V5550">
        <v>-0.168840299999999</v>
      </c>
      <c r="W5550">
        <v>0.1672527</v>
      </c>
      <c r="X5550">
        <v>0.97134929999999997</v>
      </c>
      <c r="Y5550">
        <v>-0.14554410000000001</v>
      </c>
      <c r="Z5550">
        <v>4.9730449999999997E-3</v>
      </c>
      <c r="AA5550">
        <v>0.98933930000000003</v>
      </c>
      <c r="AB5550">
        <v>24</v>
      </c>
      <c r="AC5550">
        <v>22.4831</v>
      </c>
      <c r="AD5550">
        <v>-0.709152</v>
      </c>
      <c r="AE5550">
        <v>72.811930000000004</v>
      </c>
      <c r="AF5550">
        <v>-11.124001708329301</v>
      </c>
      <c r="AG5550">
        <v>-0.709152</v>
      </c>
      <c r="AH5550">
        <v>75.381150558003597</v>
      </c>
      <c r="AI5550">
        <v>90.533222686492607</v>
      </c>
      <c r="AJ5550">
        <v>98.394556236047904</v>
      </c>
      <c r="AK5550">
        <v>76.200814759518295</v>
      </c>
      <c r="AL5550">
        <v>80.371876406438403</v>
      </c>
      <c r="AM5550">
        <v>99.860653249315604</v>
      </c>
      <c r="AN5550">
        <v>0.999999987585934</v>
      </c>
    </row>
    <row r="5551" spans="1:40" x14ac:dyDescent="0.25">
      <c r="A5551" t="str">
        <f>"20190304155526097"</f>
        <v>20190304155526097</v>
      </c>
      <c r="B5551" t="str">
        <f>"1551686126093467"</f>
        <v>1551686126093467</v>
      </c>
      <c r="C5551" t="s">
        <v>40</v>
      </c>
      <c r="D5551">
        <v>4.8948400000000003</v>
      </c>
      <c r="E5551">
        <v>0.50244679999999997</v>
      </c>
      <c r="F5551" t="s">
        <v>46</v>
      </c>
      <c r="G5551">
        <v>-179.7928</v>
      </c>
      <c r="H5551">
        <v>7.9985440000000005E-2</v>
      </c>
      <c r="I5551">
        <v>-10.083589999999999</v>
      </c>
      <c r="J5551">
        <v>-191.09870000000001</v>
      </c>
      <c r="K5551">
        <v>1.1121810000000001</v>
      </c>
      <c r="L5551">
        <v>-48.12</v>
      </c>
      <c r="M5551">
        <v>0.42911919999999998</v>
      </c>
      <c r="N5551">
        <v>-1.3961329999999999E-2</v>
      </c>
      <c r="O5551">
        <v>0.90314000000000005</v>
      </c>
      <c r="P5551">
        <v>0.26818189999999997</v>
      </c>
      <c r="Q5551">
        <v>0.15176489999999901</v>
      </c>
      <c r="R5551">
        <v>0.95133900000000005</v>
      </c>
      <c r="S5551">
        <v>0.87104799999999905</v>
      </c>
      <c r="T5551">
        <v>-7.8878279999999995E-2</v>
      </c>
      <c r="U5551">
        <v>2.921967</v>
      </c>
      <c r="V5551">
        <v>-0.166732399999999</v>
      </c>
      <c r="W5551">
        <v>0.1646637</v>
      </c>
      <c r="X5551">
        <v>0.97215549999999995</v>
      </c>
      <c r="Y5551">
        <v>-0.15321119999999999</v>
      </c>
      <c r="Z5551">
        <v>-9.4335040000000005E-3</v>
      </c>
      <c r="AA5551">
        <v>0.98814849999999999</v>
      </c>
      <c r="AB5551">
        <v>24</v>
      </c>
      <c r="AC5551">
        <v>11.305899999999999</v>
      </c>
      <c r="AD5551">
        <v>-1.0321955599999999</v>
      </c>
      <c r="AE5551">
        <v>38.036409999999997</v>
      </c>
      <c r="AF5551">
        <v>-6.10780602691392</v>
      </c>
      <c r="AG5551">
        <v>-1.0321955599999999</v>
      </c>
      <c r="AH5551">
        <v>39.181090738550097</v>
      </c>
      <c r="AI5551">
        <v>91.491064125496607</v>
      </c>
      <c r="AJ5551">
        <v>98.860331538866603</v>
      </c>
      <c r="AK5551">
        <v>39.667727356113801</v>
      </c>
      <c r="AL5551">
        <v>80.5223020051763</v>
      </c>
      <c r="AM5551">
        <v>99.731996886946305</v>
      </c>
      <c r="AN5551">
        <v>1.00000007174384</v>
      </c>
    </row>
    <row r="5552" spans="1:40" x14ac:dyDescent="0.25">
      <c r="A5552" t="str">
        <f>"20190304155526118"</f>
        <v>20190304155526118</v>
      </c>
      <c r="B5552" t="str">
        <f>"1551686126112987"</f>
        <v>1551686126112987</v>
      </c>
      <c r="C5552" t="s">
        <v>40</v>
      </c>
      <c r="D5552">
        <v>4.8048979999999997</v>
      </c>
      <c r="E5552">
        <v>0.50135090000000004</v>
      </c>
      <c r="F5552" t="s">
        <v>46</v>
      </c>
      <c r="G5552">
        <v>-182.1165</v>
      </c>
      <c r="H5552" s="1">
        <v>-2.9650169999999998E-6</v>
      </c>
      <c r="I5552">
        <v>-17.80301</v>
      </c>
      <c r="J5552">
        <v>-190.99850000000001</v>
      </c>
      <c r="K5552">
        <v>1.1122399999999999</v>
      </c>
      <c r="L5552">
        <v>-47.901820000000001</v>
      </c>
      <c r="M5552">
        <v>0.42662699999999998</v>
      </c>
      <c r="N5552">
        <v>-1.3949E-2</v>
      </c>
      <c r="O5552">
        <v>0.90432009999999996</v>
      </c>
      <c r="P5552">
        <v>0.26651449999999999</v>
      </c>
      <c r="Q5552">
        <v>0.15190670000000001</v>
      </c>
      <c r="R5552">
        <v>0.95178479999999999</v>
      </c>
      <c r="S5552">
        <v>0.86695859999999902</v>
      </c>
      <c r="T5552">
        <v>-0.1073474</v>
      </c>
      <c r="U5552">
        <v>2.9261780000000002</v>
      </c>
      <c r="V5552">
        <v>-0.1657621</v>
      </c>
      <c r="W5552">
        <v>0.16478080000000001</v>
      </c>
      <c r="X5552">
        <v>0.97230150000000004</v>
      </c>
      <c r="Y5552">
        <v>-0.15216830000000001</v>
      </c>
      <c r="Z5552">
        <v>-1.7578529999999998E-2</v>
      </c>
      <c r="AA5552">
        <v>0.98819829999999997</v>
      </c>
      <c r="AB5552">
        <v>24</v>
      </c>
      <c r="AC5552">
        <v>8.8819999999999997</v>
      </c>
      <c r="AD5552">
        <v>-1.11224296501699</v>
      </c>
      <c r="AE5552">
        <v>30.098809999999901</v>
      </c>
      <c r="AF5552">
        <v>-4.8032282146065803</v>
      </c>
      <c r="AG5552">
        <v>-1.11224296501699</v>
      </c>
      <c r="AH5552">
        <v>30.972371097064901</v>
      </c>
      <c r="AI5552">
        <v>92.032380564089706</v>
      </c>
      <c r="AJ5552">
        <v>98.815268496426199</v>
      </c>
      <c r="AK5552">
        <v>31.362331818108299</v>
      </c>
      <c r="AL5552">
        <v>80.515499029591297</v>
      </c>
      <c r="AM5552">
        <v>99.675009773970103</v>
      </c>
      <c r="AN5552">
        <v>0.99999999637365</v>
      </c>
    </row>
    <row r="5553" spans="1:40" x14ac:dyDescent="0.25">
      <c r="A5553" t="str">
        <f>"20190304155526140"</f>
        <v>20190304155526140</v>
      </c>
      <c r="B5553" t="str">
        <f>"1551686126133483"</f>
        <v>1551686126133483</v>
      </c>
      <c r="C5553" t="s">
        <v>40</v>
      </c>
      <c r="D5553">
        <v>4.8239830000000001</v>
      </c>
      <c r="E5553">
        <v>0.50091220000000003</v>
      </c>
      <c r="F5553" t="s">
        <v>46</v>
      </c>
      <c r="G5553">
        <v>-183.01499999999999</v>
      </c>
      <c r="H5553" s="1">
        <v>-5.4732950000000003E-6</v>
      </c>
      <c r="I5553">
        <v>-20.497</v>
      </c>
      <c r="J5553">
        <v>-190.90119999999999</v>
      </c>
      <c r="K5553">
        <v>1.1123339999999999</v>
      </c>
      <c r="L5553">
        <v>-47.68817</v>
      </c>
      <c r="M5553">
        <v>0.4240563</v>
      </c>
      <c r="N5553">
        <v>-1.3940350000000001E-2</v>
      </c>
      <c r="O5553">
        <v>0.90552849999999996</v>
      </c>
      <c r="P5553">
        <v>0.26412729999999901</v>
      </c>
      <c r="Q5553">
        <v>0.15293679999999901</v>
      </c>
      <c r="R5553">
        <v>0.95228520000000005</v>
      </c>
      <c r="S5553">
        <v>0.85408019999999996</v>
      </c>
      <c r="T5553">
        <v>-0.118989</v>
      </c>
      <c r="U5553">
        <v>2.9317929999999999</v>
      </c>
      <c r="V5553">
        <v>-0.165406</v>
      </c>
      <c r="W5553">
        <v>0.16576840000000001</v>
      </c>
      <c r="X5553">
        <v>0.97219429999999996</v>
      </c>
      <c r="Y5553">
        <v>-0.153887</v>
      </c>
      <c r="Z5553">
        <v>-2.0908449999999999E-2</v>
      </c>
      <c r="AA5553">
        <v>0.98786719999999895</v>
      </c>
      <c r="AB5553">
        <v>24</v>
      </c>
      <c r="AC5553">
        <v>7.8861999999999997</v>
      </c>
      <c r="AD5553">
        <v>-1.1123394732949901</v>
      </c>
      <c r="AE5553">
        <v>27.19117</v>
      </c>
      <c r="AF5553">
        <v>-4.3830689427382499</v>
      </c>
      <c r="AG5553">
        <v>-1.1123394732949901</v>
      </c>
      <c r="AH5553">
        <v>27.926183105972701</v>
      </c>
      <c r="AI5553">
        <v>92.253409046503606</v>
      </c>
      <c r="AJ5553">
        <v>98.919915307657405</v>
      </c>
      <c r="AK5553">
        <v>28.289932755822498</v>
      </c>
      <c r="AL5553">
        <v>80.458125023531295</v>
      </c>
      <c r="AM5553">
        <v>99.655661492259</v>
      </c>
      <c r="AN5553">
        <v>1.0000000321135201</v>
      </c>
    </row>
    <row r="5554" spans="1:40" x14ac:dyDescent="0.25">
      <c r="A5554" t="str">
        <f>"20190304155526164"</f>
        <v>20190304155526164</v>
      </c>
      <c r="B5554" t="str">
        <f>"1551686126153003"</f>
        <v>1551686126153003</v>
      </c>
      <c r="C5554" t="s">
        <v>40</v>
      </c>
      <c r="D5554">
        <v>4.8172750000000004</v>
      </c>
      <c r="E5554">
        <v>0.50088080000000001</v>
      </c>
      <c r="F5554" t="s">
        <v>46</v>
      </c>
      <c r="G5554">
        <v>-183.2938</v>
      </c>
      <c r="H5554" s="1">
        <v>-5.116082E-6</v>
      </c>
      <c r="I5554">
        <v>-21.214400000000001</v>
      </c>
      <c r="J5554">
        <v>-190.797</v>
      </c>
      <c r="K5554">
        <v>1.1124780000000001</v>
      </c>
      <c r="L5554">
        <v>-47.456940000000003</v>
      </c>
      <c r="M5554">
        <v>0.42106880000000002</v>
      </c>
      <c r="N5554">
        <v>-1.3935350000000001E-2</v>
      </c>
      <c r="O5554">
        <v>0.90692169999999905</v>
      </c>
      <c r="P5554">
        <v>0.26056449999999998</v>
      </c>
      <c r="Q5554">
        <v>0.15253599999999901</v>
      </c>
      <c r="R5554">
        <v>0.95333049999999997</v>
      </c>
      <c r="S5554">
        <v>0.84370419999999902</v>
      </c>
      <c r="T5554">
        <v>-0.1233649</v>
      </c>
      <c r="U5554">
        <v>2.936096</v>
      </c>
      <c r="V5554">
        <v>-0.16591979999999901</v>
      </c>
      <c r="W5554">
        <v>0.165302799999999</v>
      </c>
      <c r="X5554">
        <v>0.97218599999999999</v>
      </c>
      <c r="Y5554">
        <v>-0.15424660000000001</v>
      </c>
      <c r="Z5554">
        <v>-2.2192460000000001E-2</v>
      </c>
      <c r="AA5554">
        <v>0.98778310000000002</v>
      </c>
      <c r="AB5554">
        <v>24</v>
      </c>
      <c r="AC5554">
        <v>7.5031999999999899</v>
      </c>
      <c r="AD5554">
        <v>-1.1124831160819999</v>
      </c>
      <c r="AE5554">
        <v>26.242540000000002</v>
      </c>
      <c r="AF5554">
        <v>-4.2384705836348902</v>
      </c>
      <c r="AG5554">
        <v>-1.1124831160819999</v>
      </c>
      <c r="AH5554">
        <v>26.9171915358632</v>
      </c>
      <c r="AI5554">
        <v>92.337904446475306</v>
      </c>
      <c r="AJ5554">
        <v>98.948508403694703</v>
      </c>
      <c r="AK5554">
        <v>27.271550226385202</v>
      </c>
      <c r="AL5554">
        <v>80.485174886418704</v>
      </c>
      <c r="AM5554">
        <v>99.685168723303207</v>
      </c>
      <c r="AN5554">
        <v>1.00000000715794</v>
      </c>
    </row>
    <row r="5555" spans="1:40" x14ac:dyDescent="0.25">
      <c r="A5555" t="str">
        <f>"20190304155526187"</f>
        <v>20190304155526187</v>
      </c>
      <c r="B5555" t="str">
        <f>"1551686126183258"</f>
        <v>1551686126183258</v>
      </c>
      <c r="C5555" t="s">
        <v>40</v>
      </c>
      <c r="D5555">
        <v>4.8352529999999998</v>
      </c>
      <c r="E5555">
        <v>0.50080919999999995</v>
      </c>
      <c r="F5555" t="s">
        <v>46</v>
      </c>
      <c r="G5555">
        <v>-183.71170000000001</v>
      </c>
      <c r="H5555" s="1">
        <v>-4.5371519999999999E-6</v>
      </c>
      <c r="I5555">
        <v>-22.39114</v>
      </c>
      <c r="J5555">
        <v>-190.69739999999999</v>
      </c>
      <c r="K5555">
        <v>1.1126510000000001</v>
      </c>
      <c r="L5555">
        <v>-47.233220000000003</v>
      </c>
      <c r="M5555">
        <v>0.41794920000000002</v>
      </c>
      <c r="N5555">
        <v>-1.3934459999999999E-2</v>
      </c>
      <c r="O5555">
        <v>0.90836349999999999</v>
      </c>
      <c r="P5555">
        <v>0.25628050000000002</v>
      </c>
      <c r="Q5555">
        <v>0.15234990000000001</v>
      </c>
      <c r="R5555">
        <v>0.95452079999999995</v>
      </c>
      <c r="S5555">
        <v>0.83120729999999998</v>
      </c>
      <c r="T5555">
        <v>-0.13050899999999999</v>
      </c>
      <c r="U5555">
        <v>2.9405519999999998</v>
      </c>
      <c r="V5555">
        <v>-0.16702819999999999</v>
      </c>
      <c r="W5555">
        <v>0.16503809999999999</v>
      </c>
      <c r="X5555">
        <v>0.97204109999999999</v>
      </c>
      <c r="Y5555">
        <v>-0.15514210000000001</v>
      </c>
      <c r="Z5555">
        <v>-2.426791E-2</v>
      </c>
      <c r="AA5555">
        <v>0.98759410000000003</v>
      </c>
      <c r="AB5555">
        <v>24</v>
      </c>
      <c r="AC5555">
        <v>6.98569999999998</v>
      </c>
      <c r="AD5555">
        <v>-1.1126555371519999</v>
      </c>
      <c r="AE5555">
        <v>24.842079999999999</v>
      </c>
      <c r="AF5555">
        <v>-4.0300725139362097</v>
      </c>
      <c r="AG5555">
        <v>-1.1126555371519999</v>
      </c>
      <c r="AH5555">
        <v>25.440486267949399</v>
      </c>
      <c r="AI5555">
        <v>92.473467114738298</v>
      </c>
      <c r="AJ5555">
        <v>99.001527668809004</v>
      </c>
      <c r="AK5555">
        <v>25.781734393978699</v>
      </c>
      <c r="AL5555">
        <v>80.500551711121105</v>
      </c>
      <c r="AM5555">
        <v>99.750056729411497</v>
      </c>
      <c r="AN5555">
        <v>0.99999994706802797</v>
      </c>
    </row>
    <row r="5556" spans="1:40" x14ac:dyDescent="0.25">
      <c r="A5556" t="str">
        <f>"20190304155526209"</f>
        <v>20190304155526209</v>
      </c>
      <c r="B5556" t="str">
        <f>"1551686126202778"</f>
        <v>1551686126202778</v>
      </c>
      <c r="C5556" t="s">
        <v>40</v>
      </c>
      <c r="D5556">
        <v>4.8302329999999998</v>
      </c>
      <c r="E5556">
        <v>0.5008918</v>
      </c>
      <c r="F5556" t="s">
        <v>46</v>
      </c>
      <c r="G5556">
        <v>-184.0907</v>
      </c>
      <c r="H5556" s="1">
        <v>-4.0327679999999997E-6</v>
      </c>
      <c r="I5556">
        <v>-23.410139999999998</v>
      </c>
      <c r="J5556">
        <v>-190.60079999999999</v>
      </c>
      <c r="K5556">
        <v>1.112832</v>
      </c>
      <c r="L5556">
        <v>-47.013759999999998</v>
      </c>
      <c r="M5556">
        <v>0.41468270000000002</v>
      </c>
      <c r="N5556">
        <v>-1.393612E-2</v>
      </c>
      <c r="O5556">
        <v>0.90985939999999998</v>
      </c>
      <c r="P5556">
        <v>0.2506931</v>
      </c>
      <c r="Q5556">
        <v>0.15304879999999901</v>
      </c>
      <c r="R5556">
        <v>0.95589170000000001</v>
      </c>
      <c r="S5556">
        <v>0.81687929999999997</v>
      </c>
      <c r="T5556">
        <v>-0.13757349999999999</v>
      </c>
      <c r="U5556">
        <v>2.9455870000000002</v>
      </c>
      <c r="V5556">
        <v>-0.1692526</v>
      </c>
      <c r="W5556">
        <v>0.16564989999999999</v>
      </c>
      <c r="X5556">
        <v>0.97155219999999998</v>
      </c>
      <c r="Y5556">
        <v>-0.15650120000000001</v>
      </c>
      <c r="Z5556">
        <v>-2.6318540000000001E-2</v>
      </c>
      <c r="AA5556">
        <v>0.98732699999999995</v>
      </c>
      <c r="AB5556">
        <v>24</v>
      </c>
      <c r="AC5556">
        <v>6.5100999999999898</v>
      </c>
      <c r="AD5556">
        <v>-1.112836032768</v>
      </c>
      <c r="AE5556">
        <v>23.603619999999999</v>
      </c>
      <c r="AF5556">
        <v>-3.8571447285314799</v>
      </c>
      <c r="AG5556">
        <v>-1.112836032768</v>
      </c>
      <c r="AH5556">
        <v>24.1281072395679</v>
      </c>
      <c r="AI5556">
        <v>92.6076599400985</v>
      </c>
      <c r="AJ5556">
        <v>99.0825146200022</v>
      </c>
      <c r="AK5556">
        <v>24.459794121307599</v>
      </c>
      <c r="AL5556">
        <v>80.465009492600998</v>
      </c>
      <c r="AM5556">
        <v>99.882234610104206</v>
      </c>
      <c r="AN5556">
        <v>1.0000000046508</v>
      </c>
    </row>
    <row r="5557" spans="1:40" x14ac:dyDescent="0.25">
      <c r="A5557" t="str">
        <f>"20190304155526230"</f>
        <v>20190304155526230</v>
      </c>
      <c r="B5557" t="str">
        <f>"1551686126223275"</f>
        <v>1551686126223275</v>
      </c>
      <c r="C5557" t="s">
        <v>40</v>
      </c>
      <c r="D5557">
        <v>4.8571929999999996</v>
      </c>
      <c r="E5557">
        <v>0.50104090000000001</v>
      </c>
      <c r="F5557" t="s">
        <v>46</v>
      </c>
      <c r="G5557">
        <v>-184.17310000000001</v>
      </c>
      <c r="H5557" s="1">
        <v>-4.0532929999999998E-6</v>
      </c>
      <c r="I5557">
        <v>-23.328240000000001</v>
      </c>
      <c r="J5557">
        <v>-190.5103</v>
      </c>
      <c r="K5557">
        <v>1.1129990000000001</v>
      </c>
      <c r="L5557">
        <v>-46.80545</v>
      </c>
      <c r="M5557">
        <v>0.41136640000000002</v>
      </c>
      <c r="N5557">
        <v>-1.393896E-2</v>
      </c>
      <c r="O5557">
        <v>0.91136349999999999</v>
      </c>
      <c r="P5557">
        <v>0.24682380000000001</v>
      </c>
      <c r="Q5557">
        <v>0.1536421</v>
      </c>
      <c r="R5557">
        <v>0.95680310000000002</v>
      </c>
      <c r="S5557">
        <v>0.80073549999999905</v>
      </c>
      <c r="T5557">
        <v>-0.13863149999999999</v>
      </c>
      <c r="U5557">
        <v>2.9506230000000002</v>
      </c>
      <c r="V5557">
        <v>-0.16967660000000001</v>
      </c>
      <c r="W5557">
        <v>0.16617319999999999</v>
      </c>
      <c r="X5557">
        <v>0.97138880000000005</v>
      </c>
      <c r="Y5557">
        <v>-0.15836329999999901</v>
      </c>
      <c r="Z5557">
        <v>-2.6650719999999999E-2</v>
      </c>
      <c r="AA5557">
        <v>0.98702109999999998</v>
      </c>
      <c r="AB5557">
        <v>24</v>
      </c>
      <c r="AC5557">
        <v>6.3371999999999904</v>
      </c>
      <c r="AD5557">
        <v>-1.113003053293</v>
      </c>
      <c r="AE5557">
        <v>23.477209999999999</v>
      </c>
      <c r="AF5557">
        <v>-3.8745031595367401</v>
      </c>
      <c r="AG5557">
        <v>-1.113003053293</v>
      </c>
      <c r="AH5557">
        <v>23.9553319828686</v>
      </c>
      <c r="AI5557">
        <v>92.626062903177001</v>
      </c>
      <c r="AJ5557">
        <v>99.187381491990706</v>
      </c>
      <c r="AK5557">
        <v>24.292148545144101</v>
      </c>
      <c r="AL5557">
        <v>80.434604611451704</v>
      </c>
      <c r="AM5557">
        <v>99.908134430683404</v>
      </c>
      <c r="AN5557">
        <v>0.99999994087561805</v>
      </c>
    </row>
    <row r="5558" spans="1:40" x14ac:dyDescent="0.25">
      <c r="A5558" t="str">
        <f>"20190304155526269"</f>
        <v>20190304155526269</v>
      </c>
      <c r="B5558" t="str">
        <f>"1551686126243770"</f>
        <v>1551686126243770</v>
      </c>
      <c r="C5558" t="s">
        <v>40</v>
      </c>
      <c r="D5558">
        <v>4.8484939999999996</v>
      </c>
      <c r="E5558">
        <v>0.50118960000000001</v>
      </c>
      <c r="F5558" t="s">
        <v>46</v>
      </c>
      <c r="G5558">
        <v>-184.20869999999999</v>
      </c>
      <c r="H5558" s="1">
        <v>-4.09223E-6</v>
      </c>
      <c r="I5558">
        <v>-23.222740000000002</v>
      </c>
      <c r="J5558">
        <v>-190.4059</v>
      </c>
      <c r="K5558">
        <v>1.1132059999999999</v>
      </c>
      <c r="L5558">
        <v>-46.561860000000003</v>
      </c>
      <c r="M5558">
        <v>0.40718330000000003</v>
      </c>
      <c r="N5558">
        <v>-1.3944679999999999E-2</v>
      </c>
      <c r="O5558">
        <v>0.91324000000000005</v>
      </c>
      <c r="P5558">
        <v>0.2426478</v>
      </c>
      <c r="Q5558">
        <v>0.15387049999999999</v>
      </c>
      <c r="R5558">
        <v>0.95783390000000002</v>
      </c>
      <c r="S5558">
        <v>0.78939820000000005</v>
      </c>
      <c r="T5558">
        <v>-0.1394253</v>
      </c>
      <c r="U5558">
        <v>2.9541930000000001</v>
      </c>
      <c r="V5558">
        <v>-0.16952819999999999</v>
      </c>
      <c r="W5558">
        <v>0.16632559999999999</v>
      </c>
      <c r="X5558">
        <v>0.97138869999999999</v>
      </c>
      <c r="Y5558">
        <v>-0.1576717</v>
      </c>
      <c r="Z5558">
        <v>-2.6954059999999998E-2</v>
      </c>
      <c r="AA5558">
        <v>0.98712370000000005</v>
      </c>
      <c r="AB5558">
        <v>24</v>
      </c>
      <c r="AC5558">
        <v>6.1971999999999996</v>
      </c>
      <c r="AD5558">
        <v>-1.1132100922299999</v>
      </c>
      <c r="AE5558">
        <v>23.339120000000001</v>
      </c>
      <c r="AF5558">
        <v>-3.8359905772628999</v>
      </c>
      <c r="AG5558">
        <v>-1.1132100922299999</v>
      </c>
      <c r="AH5558">
        <v>23.789375602888899</v>
      </c>
      <c r="AI5558">
        <v>92.645051730285303</v>
      </c>
      <c r="AJ5558">
        <v>99.159986753812106</v>
      </c>
      <c r="AK5558">
        <v>24.1223641460289</v>
      </c>
      <c r="AL5558">
        <v>80.425750183263204</v>
      </c>
      <c r="AM5558">
        <v>99.899641238791403</v>
      </c>
      <c r="AN5558">
        <v>1.0000000111491401</v>
      </c>
    </row>
    <row r="5559" spans="1:40" x14ac:dyDescent="0.25">
      <c r="A5559" t="str">
        <f>"20190304155526298"</f>
        <v>20190304155526298</v>
      </c>
      <c r="B5559" t="str">
        <f>"1551686126293547"</f>
        <v>1551686126293547</v>
      </c>
      <c r="C5559" t="s">
        <v>40</v>
      </c>
      <c r="D5559">
        <v>4.9730549999999996</v>
      </c>
      <c r="E5559">
        <v>0.51453349999999998</v>
      </c>
      <c r="F5559" t="s">
        <v>46</v>
      </c>
      <c r="G5559">
        <v>-184.2987</v>
      </c>
      <c r="H5559" s="1">
        <v>-4.0356090000000004E-6</v>
      </c>
      <c r="I5559">
        <v>-23.317519999999998</v>
      </c>
      <c r="J5559">
        <v>-190.23099999999999</v>
      </c>
      <c r="K5559">
        <v>1.1135809999999999</v>
      </c>
      <c r="L5559">
        <v>-46.143799999999999</v>
      </c>
      <c r="M5559">
        <v>0.39918439999999999</v>
      </c>
      <c r="N5559">
        <v>-1.396508E-2</v>
      </c>
      <c r="O5559">
        <v>0.91676429999999998</v>
      </c>
      <c r="P5559">
        <v>0.23688870000000001</v>
      </c>
      <c r="Q5559">
        <v>0.150966299999999</v>
      </c>
      <c r="R5559">
        <v>0.95973589999999998</v>
      </c>
      <c r="S5559">
        <v>0.77717590000000003</v>
      </c>
      <c r="T5559">
        <v>-0.14166089999999901</v>
      </c>
      <c r="U5559">
        <v>2.9579469999999999</v>
      </c>
      <c r="V5559">
        <v>-0.16718540000000001</v>
      </c>
      <c r="W5559">
        <v>0.16331229999999999</v>
      </c>
      <c r="X5559">
        <v>0.97230559999999999</v>
      </c>
      <c r="Y5559">
        <v>-0.15316859999999999</v>
      </c>
      <c r="Z5559">
        <v>-2.7777940000000001E-2</v>
      </c>
      <c r="AA5559">
        <v>0.98780959999999995</v>
      </c>
      <c r="AB5559">
        <v>24</v>
      </c>
      <c r="AC5559">
        <v>5.9322999999999899</v>
      </c>
      <c r="AD5559">
        <v>-1.113585035609</v>
      </c>
      <c r="AE5559">
        <v>22.826280000000001</v>
      </c>
      <c r="AF5559">
        <v>-3.66556023229428</v>
      </c>
      <c r="AG5559">
        <v>-1.113585035609</v>
      </c>
      <c r="AH5559">
        <v>23.244849669875801</v>
      </c>
      <c r="AI5559">
        <v>92.709328140159897</v>
      </c>
      <c r="AJ5559">
        <v>98.961373171185002</v>
      </c>
      <c r="AK5559">
        <v>23.558426085442001</v>
      </c>
      <c r="AL5559">
        <v>80.600793655952899</v>
      </c>
      <c r="AM5559">
        <v>99.7564529406324</v>
      </c>
      <c r="AN5559">
        <v>1.0000000225479</v>
      </c>
    </row>
    <row r="5560" spans="1:40" x14ac:dyDescent="0.25">
      <c r="A5560" t="str">
        <f>"20190304155526319"</f>
        <v>20190304155526319</v>
      </c>
      <c r="B5560" t="str">
        <f>"1551686126313067"</f>
        <v>1551686126313067</v>
      </c>
      <c r="C5560" t="s">
        <v>40</v>
      </c>
      <c r="D5560">
        <v>4.861999</v>
      </c>
      <c r="E5560">
        <v>0.50671219999999995</v>
      </c>
      <c r="F5560" t="s">
        <v>46</v>
      </c>
      <c r="G5560">
        <v>-186.26759999999999</v>
      </c>
      <c r="H5560" s="1">
        <v>-3.9513160000000002E-6</v>
      </c>
      <c r="I5560">
        <v>-32.69988</v>
      </c>
      <c r="J5560">
        <v>-190.1421</v>
      </c>
      <c r="K5560">
        <v>1.1137699999999999</v>
      </c>
      <c r="L5560">
        <v>-45.926090000000002</v>
      </c>
      <c r="M5560">
        <v>0.3946442</v>
      </c>
      <c r="N5560">
        <v>-1.397932E-2</v>
      </c>
      <c r="O5560">
        <v>0.91872770000000004</v>
      </c>
      <c r="P5560">
        <v>0.2325941</v>
      </c>
      <c r="Q5560">
        <v>0.1493485</v>
      </c>
      <c r="R5560">
        <v>0.96103850000000002</v>
      </c>
      <c r="S5560">
        <v>0.86958310000000005</v>
      </c>
      <c r="T5560">
        <v>-0.24432470000000001</v>
      </c>
      <c r="U5560">
        <v>2.949646</v>
      </c>
      <c r="V5560">
        <v>-0.16688900000000001</v>
      </c>
      <c r="W5560">
        <v>0.16163449999999999</v>
      </c>
      <c r="X5560">
        <v>0.97263679999999997</v>
      </c>
      <c r="Y5560">
        <v>-0.1191841</v>
      </c>
      <c r="Z5560">
        <v>-5.7773890000000001E-2</v>
      </c>
      <c r="AA5560">
        <v>0.99118980000000001</v>
      </c>
      <c r="AB5560">
        <v>24</v>
      </c>
      <c r="AC5560">
        <v>3.87450000000001</v>
      </c>
      <c r="AD5560">
        <v>-1.1137739513160001</v>
      </c>
      <c r="AE5560">
        <v>13.22621</v>
      </c>
      <c r="AF5560">
        <v>-1.64942666678857</v>
      </c>
      <c r="AG5560">
        <v>-1.1137739513160001</v>
      </c>
      <c r="AH5560">
        <v>13.592898235075999</v>
      </c>
      <c r="AI5560">
        <v>94.650273043488497</v>
      </c>
      <c r="AJ5560">
        <v>96.918715326673805</v>
      </c>
      <c r="AK5560">
        <v>13.737830366287</v>
      </c>
      <c r="AL5560">
        <v>80.698218786566699</v>
      </c>
      <c r="AM5560">
        <v>99.736234486384305</v>
      </c>
      <c r="AN5560">
        <v>0.99999999731274503</v>
      </c>
    </row>
    <row r="5561" spans="1:40" x14ac:dyDescent="0.25">
      <c r="A5561" t="str">
        <f>"20190304155526342"</f>
        <v>20190304155526342</v>
      </c>
      <c r="B5561" t="str">
        <f>"1551686126333563"</f>
        <v>1551686126333563</v>
      </c>
      <c r="C5561" t="s">
        <v>40</v>
      </c>
      <c r="D5561">
        <v>4.8248170000000004</v>
      </c>
      <c r="E5561">
        <v>0.50634920000000005</v>
      </c>
      <c r="F5561" t="s">
        <v>46</v>
      </c>
      <c r="G5561">
        <v>-185.30869999999999</v>
      </c>
      <c r="H5561" s="1">
        <v>-2.100804E-6</v>
      </c>
      <c r="I5561">
        <v>-27.846609999999998</v>
      </c>
      <c r="J5561">
        <v>-190.0539</v>
      </c>
      <c r="K5561">
        <v>1.1139520000000001</v>
      </c>
      <c r="L5561">
        <v>-45.705840000000002</v>
      </c>
      <c r="M5561">
        <v>0.38977040000000002</v>
      </c>
      <c r="N5561">
        <v>-1.3994080000000001E-2</v>
      </c>
      <c r="O5561">
        <v>0.92080580000000001</v>
      </c>
      <c r="P5561">
        <v>0.22801479999999999</v>
      </c>
      <c r="Q5561">
        <v>0.1471179</v>
      </c>
      <c r="R5561">
        <v>0.96247890000000003</v>
      </c>
      <c r="S5561">
        <v>0.79093930000000001</v>
      </c>
      <c r="T5561">
        <v>-0.1822578</v>
      </c>
      <c r="U5561">
        <v>2.9585270000000001</v>
      </c>
      <c r="V5561">
        <v>-0.16655980000000001</v>
      </c>
      <c r="W5561">
        <v>0.1593466</v>
      </c>
      <c r="X5561">
        <v>0.97307060000000001</v>
      </c>
      <c r="Y5561">
        <v>-0.13888789999999901</v>
      </c>
      <c r="Z5561">
        <v>-3.984795E-2</v>
      </c>
      <c r="AA5561">
        <v>0.98950610000000006</v>
      </c>
      <c r="AB5561">
        <v>24</v>
      </c>
      <c r="AC5561">
        <v>4.7452000000000103</v>
      </c>
      <c r="AD5561">
        <v>-1.1139541008039999</v>
      </c>
      <c r="AE5561">
        <v>17.85923</v>
      </c>
      <c r="AF5561">
        <v>-2.5824605549143298</v>
      </c>
      <c r="AG5561">
        <v>-1.1139541008039999</v>
      </c>
      <c r="AH5561">
        <v>18.2299641293822</v>
      </c>
      <c r="AI5561">
        <v>93.462267106715302</v>
      </c>
      <c r="AJ5561">
        <v>98.062883528847806</v>
      </c>
      <c r="AK5561">
        <v>18.445638736973802</v>
      </c>
      <c r="AL5561">
        <v>80.831026935773707</v>
      </c>
      <c r="AM5561">
        <v>99.713146096933997</v>
      </c>
      <c r="AN5561">
        <v>0.99999994924597801</v>
      </c>
    </row>
    <row r="5562" spans="1:40" x14ac:dyDescent="0.25">
      <c r="A5562" t="str">
        <f>"20190304155526365"</f>
        <v>20190304155526365</v>
      </c>
      <c r="B5562" t="str">
        <f>"1551686126353083"</f>
        <v>1551686126353083</v>
      </c>
      <c r="C5562" t="s">
        <v>40</v>
      </c>
      <c r="D5562">
        <v>4.8050670000000002</v>
      </c>
      <c r="E5562">
        <v>0.50624950000000002</v>
      </c>
      <c r="F5562" t="s">
        <v>46</v>
      </c>
      <c r="G5562">
        <v>-185.501</v>
      </c>
      <c r="H5562" s="1">
        <v>-1.9037399999999999E-6</v>
      </c>
      <c r="I5562">
        <v>-28.275379999999998</v>
      </c>
      <c r="J5562">
        <v>-189.96449999999999</v>
      </c>
      <c r="K5562">
        <v>1.1141479999999999</v>
      </c>
      <c r="L5562">
        <v>-45.478000000000002</v>
      </c>
      <c r="M5562">
        <v>0.3843992</v>
      </c>
      <c r="N5562">
        <v>-1.401146E-2</v>
      </c>
      <c r="O5562">
        <v>0.92306069999999996</v>
      </c>
      <c r="P5562">
        <v>0.22158340000000001</v>
      </c>
      <c r="Q5562">
        <v>0.14486969999999999</v>
      </c>
      <c r="R5562">
        <v>0.96432019999999996</v>
      </c>
      <c r="S5562">
        <v>0.77383419999999903</v>
      </c>
      <c r="T5562">
        <v>-0.18933220000000001</v>
      </c>
      <c r="U5562">
        <v>2.962555</v>
      </c>
      <c r="V5562">
        <v>-0.1675796</v>
      </c>
      <c r="W5562">
        <v>0.15702679999999899</v>
      </c>
      <c r="X5562">
        <v>0.97327269999999999</v>
      </c>
      <c r="Y5562">
        <v>-0.1388161</v>
      </c>
      <c r="Z5562">
        <v>-4.2032380000000001E-2</v>
      </c>
      <c r="AA5562">
        <v>0.98942580000000002</v>
      </c>
      <c r="AB5562">
        <v>24</v>
      </c>
      <c r="AC5562">
        <v>4.4635000000000096</v>
      </c>
      <c r="AD5562">
        <v>-1.11414990374</v>
      </c>
      <c r="AE5562">
        <v>17.20262</v>
      </c>
      <c r="AF5562">
        <v>-2.4830777750792099</v>
      </c>
      <c r="AG5562">
        <v>-1.11414990374</v>
      </c>
      <c r="AH5562">
        <v>17.527669301795299</v>
      </c>
      <c r="AI5562">
        <v>93.601262775737993</v>
      </c>
      <c r="AJ5562">
        <v>98.063218256066705</v>
      </c>
      <c r="AK5562">
        <v>17.737705499815799</v>
      </c>
      <c r="AL5562">
        <v>80.9656374229763</v>
      </c>
      <c r="AM5562">
        <v>99.769484000423404</v>
      </c>
      <c r="AN5562">
        <v>1.0000000434098399</v>
      </c>
    </row>
    <row r="5563" spans="1:40" x14ac:dyDescent="0.25">
      <c r="A5563" t="str">
        <f>"20190304155526388"</f>
        <v>20190304155526388</v>
      </c>
      <c r="B5563" t="str">
        <f>"1551686126383339"</f>
        <v>1551686126383339</v>
      </c>
      <c r="C5563" t="s">
        <v>40</v>
      </c>
      <c r="D5563">
        <v>4.8101390000000004</v>
      </c>
      <c r="E5563">
        <v>0.50609110000000002</v>
      </c>
      <c r="F5563" t="s">
        <v>46</v>
      </c>
      <c r="G5563">
        <v>-185.6412</v>
      </c>
      <c r="H5563" s="1">
        <v>-1.813529E-6</v>
      </c>
      <c r="I5563">
        <v>-28.430810000000001</v>
      </c>
      <c r="J5563">
        <v>-189.88079999999999</v>
      </c>
      <c r="K5563">
        <v>1.114323</v>
      </c>
      <c r="L5563">
        <v>-45.259979999999999</v>
      </c>
      <c r="M5563">
        <v>0.37901810000000002</v>
      </c>
      <c r="N5563">
        <v>-1.4030010000000001E-2</v>
      </c>
      <c r="O5563">
        <v>0.92528290000000002</v>
      </c>
      <c r="P5563">
        <v>0.2149268</v>
      </c>
      <c r="Q5563">
        <v>0.14412339999999901</v>
      </c>
      <c r="R5563">
        <v>0.9659373</v>
      </c>
      <c r="S5563">
        <v>0.75251769999999996</v>
      </c>
      <c r="T5563">
        <v>-0.1939284</v>
      </c>
      <c r="U5563">
        <v>2.9672239999999999</v>
      </c>
      <c r="V5563">
        <v>-0.16872960000000001</v>
      </c>
      <c r="W5563">
        <v>0.156216299999999</v>
      </c>
      <c r="X5563">
        <v>0.97320439999999997</v>
      </c>
      <c r="Y5563">
        <v>-0.14011089999999901</v>
      </c>
      <c r="Z5563">
        <v>-4.3487489999999997E-2</v>
      </c>
      <c r="AA5563">
        <v>0.98918030000000001</v>
      </c>
      <c r="AB5563">
        <v>24</v>
      </c>
      <c r="AC5563">
        <v>4.2395999999999896</v>
      </c>
      <c r="AD5563">
        <v>-1.114324813529</v>
      </c>
      <c r="AE5563">
        <v>16.829170000000001</v>
      </c>
      <c r="AF5563">
        <v>-2.4458888539679502</v>
      </c>
      <c r="AG5563">
        <v>-1.114324813529</v>
      </c>
      <c r="AH5563">
        <v>17.109781783978502</v>
      </c>
      <c r="AI5563">
        <v>93.688896990168601</v>
      </c>
      <c r="AJ5563">
        <v>98.135465674900502</v>
      </c>
      <c r="AK5563">
        <v>17.319605214073899</v>
      </c>
      <c r="AL5563">
        <v>81.012655593662501</v>
      </c>
      <c r="AM5563">
        <v>99.835898050524193</v>
      </c>
      <c r="AN5563">
        <v>1.0000000072405999</v>
      </c>
    </row>
    <row r="5564" spans="1:40" x14ac:dyDescent="0.25">
      <c r="A5564" t="str">
        <f>"20190304155526410"</f>
        <v>20190304155526410</v>
      </c>
      <c r="B5564" t="str">
        <f>"1551686126402859"</f>
        <v>1551686126402859</v>
      </c>
      <c r="C5564" t="s">
        <v>40</v>
      </c>
      <c r="D5564">
        <v>4.8141669999999896</v>
      </c>
      <c r="E5564">
        <v>0.50547370000000003</v>
      </c>
      <c r="F5564" t="s">
        <v>46</v>
      </c>
      <c r="G5564">
        <v>-185.69710000000001</v>
      </c>
      <c r="H5564" s="1">
        <v>-1.861896E-6</v>
      </c>
      <c r="I5564">
        <v>-28.24494</v>
      </c>
      <c r="J5564">
        <v>-189.79400000000001</v>
      </c>
      <c r="K5564">
        <v>1.1144860000000001</v>
      </c>
      <c r="L5564">
        <v>-45.029049999999998</v>
      </c>
      <c r="M5564">
        <v>0.3730697</v>
      </c>
      <c r="N5564">
        <v>-1.404945E-2</v>
      </c>
      <c r="O5564">
        <v>0.92769690000000005</v>
      </c>
      <c r="P5564">
        <v>0.20758109999999999</v>
      </c>
      <c r="Q5564">
        <v>0.14409469999999999</v>
      </c>
      <c r="R5564">
        <v>0.96754680000000004</v>
      </c>
      <c r="S5564">
        <v>0.73080440000000002</v>
      </c>
      <c r="T5564">
        <v>-0.19465299999999999</v>
      </c>
      <c r="U5564">
        <v>2.972229</v>
      </c>
      <c r="V5564">
        <v>-0.16994319999999999</v>
      </c>
      <c r="W5564">
        <v>0.1561245</v>
      </c>
      <c r="X5564">
        <v>0.97300790000000004</v>
      </c>
      <c r="Y5564">
        <v>-0.14095579999999999</v>
      </c>
      <c r="Z5564">
        <v>-4.382751E-2</v>
      </c>
      <c r="AA5564">
        <v>0.98904530000000002</v>
      </c>
      <c r="AB5564">
        <v>24</v>
      </c>
      <c r="AC5564">
        <v>4.0968999999999998</v>
      </c>
      <c r="AD5564">
        <v>-1.1144878618959999</v>
      </c>
      <c r="AE5564">
        <v>16.784109999999899</v>
      </c>
      <c r="AF5564">
        <v>-2.4510053148884801</v>
      </c>
      <c r="AG5564">
        <v>-1.1144878618959999</v>
      </c>
      <c r="AH5564">
        <v>17.029819869236999</v>
      </c>
      <c r="AI5564">
        <v>93.706205714545106</v>
      </c>
      <c r="AJ5564">
        <v>98.190015464730394</v>
      </c>
      <c r="AK5564">
        <v>17.241353630924301</v>
      </c>
      <c r="AL5564">
        <v>81.017980275506503</v>
      </c>
      <c r="AM5564">
        <v>99.907207870958004</v>
      </c>
      <c r="AN5564">
        <v>0.99999996209444897</v>
      </c>
    </row>
    <row r="5565" spans="1:40" x14ac:dyDescent="0.25">
      <c r="A5565" t="str">
        <f>"20190304155526432"</f>
        <v>20190304155526432</v>
      </c>
      <c r="B5565" t="str">
        <f>"1551686126423355"</f>
        <v>1551686126423355</v>
      </c>
      <c r="C5565" t="s">
        <v>40</v>
      </c>
      <c r="D5565">
        <v>4.954326</v>
      </c>
      <c r="E5565">
        <v>0.50559079999999901</v>
      </c>
      <c r="F5565" t="s">
        <v>46</v>
      </c>
      <c r="G5565">
        <v>-185.78909999999999</v>
      </c>
      <c r="H5565" s="1">
        <v>-1.8989900000000001E-6</v>
      </c>
      <c r="I5565">
        <v>-28.064039999999999</v>
      </c>
      <c r="J5565">
        <v>-189.71610000000001</v>
      </c>
      <c r="K5565">
        <v>1.11463</v>
      </c>
      <c r="L5565">
        <v>-44.817050000000002</v>
      </c>
      <c r="M5565">
        <v>0.36738470000000001</v>
      </c>
      <c r="N5565">
        <v>-1.406694E-2</v>
      </c>
      <c r="O5565">
        <v>0.92996270000000003</v>
      </c>
      <c r="P5565">
        <v>0.20082220000000001</v>
      </c>
      <c r="Q5565">
        <v>0.1444397</v>
      </c>
      <c r="R5565">
        <v>0.96892080000000003</v>
      </c>
      <c r="S5565">
        <v>0.70321659999999997</v>
      </c>
      <c r="T5565">
        <v>-0.1956927</v>
      </c>
      <c r="U5565">
        <v>2.978882</v>
      </c>
      <c r="V5565">
        <v>-0.17081950000000001</v>
      </c>
      <c r="W5565">
        <v>0.156417</v>
      </c>
      <c r="X5565">
        <v>0.97280750000000005</v>
      </c>
      <c r="Y5565">
        <v>-0.144067</v>
      </c>
      <c r="Z5565">
        <v>-4.4214160000000002E-2</v>
      </c>
      <c r="AA5565">
        <v>0.98857969999999895</v>
      </c>
      <c r="AB5565">
        <v>24</v>
      </c>
      <c r="AC5565">
        <v>3.92700000000002</v>
      </c>
      <c r="AD5565">
        <v>-1.1146318989899999</v>
      </c>
      <c r="AE5565">
        <v>16.75301</v>
      </c>
      <c r="AF5565">
        <v>-2.4926243414805702</v>
      </c>
      <c r="AG5565">
        <v>-1.1146318989899999</v>
      </c>
      <c r="AH5565">
        <v>16.9529419619981</v>
      </c>
      <c r="AI5565">
        <v>93.721801739654197</v>
      </c>
      <c r="AJ5565">
        <v>98.364379721908804</v>
      </c>
      <c r="AK5565">
        <v>17.1714245636425</v>
      </c>
      <c r="AL5565">
        <v>81.0010131974811</v>
      </c>
      <c r="AM5565">
        <v>99.959283972491804</v>
      </c>
      <c r="AN5565">
        <v>1.0000000057627501</v>
      </c>
    </row>
    <row r="5566" spans="1:40" x14ac:dyDescent="0.25">
      <c r="A5566" t="str">
        <f>"20190304155526455"</f>
        <v>20190304155526455</v>
      </c>
      <c r="B5566" t="str">
        <f>"1551686126442875"</f>
        <v>1551686126442875</v>
      </c>
      <c r="C5566" t="s">
        <v>40</v>
      </c>
      <c r="D5566">
        <v>4.8022229999999997</v>
      </c>
      <c r="E5566">
        <v>0.5060055</v>
      </c>
      <c r="F5566" t="s">
        <v>46</v>
      </c>
      <c r="G5566">
        <v>-185.7698</v>
      </c>
      <c r="H5566" s="1">
        <v>-2.0651529999999999E-6</v>
      </c>
      <c r="I5566">
        <v>-27.59084</v>
      </c>
      <c r="J5566">
        <v>-189.63470000000001</v>
      </c>
      <c r="K5566">
        <v>1.1147899999999999</v>
      </c>
      <c r="L5566">
        <v>-44.590449999999997</v>
      </c>
      <c r="M5566">
        <v>0.36107109999999998</v>
      </c>
      <c r="N5566">
        <v>-1.408682E-2</v>
      </c>
      <c r="O5566">
        <v>0.93243189999999998</v>
      </c>
      <c r="P5566">
        <v>0.1936409</v>
      </c>
      <c r="Q5566">
        <v>0.14495179999999999</v>
      </c>
      <c r="R5566">
        <v>0.97030519999999998</v>
      </c>
      <c r="S5566">
        <v>0.68344119999999997</v>
      </c>
      <c r="T5566">
        <v>-0.19304060000000001</v>
      </c>
      <c r="U5566">
        <v>2.983368</v>
      </c>
      <c r="V5566">
        <v>-0.171464899999999</v>
      </c>
      <c r="W5566">
        <v>0.15687799999999999</v>
      </c>
      <c r="X5566">
        <v>0.97261969999999998</v>
      </c>
      <c r="Y5566">
        <v>-0.14390069999999999</v>
      </c>
      <c r="Z5566">
        <v>-4.3576360000000001E-2</v>
      </c>
      <c r="AA5566">
        <v>0.98863219999999996</v>
      </c>
      <c r="AB5566">
        <v>24</v>
      </c>
      <c r="AC5566">
        <v>3.8649</v>
      </c>
      <c r="AD5566">
        <v>-1.1147920651529999</v>
      </c>
      <c r="AE5566">
        <v>16.999609999999901</v>
      </c>
      <c r="AF5566">
        <v>-2.5242415381438201</v>
      </c>
      <c r="AG5566">
        <v>-1.1147920651529999</v>
      </c>
      <c r="AH5566">
        <v>17.177952048159199</v>
      </c>
      <c r="AI5566">
        <v>93.673756425991002</v>
      </c>
      <c r="AJ5566">
        <v>98.359591839757599</v>
      </c>
      <c r="AK5566">
        <v>17.398177871842702</v>
      </c>
      <c r="AL5566">
        <v>80.974269628920794</v>
      </c>
      <c r="AM5566">
        <v>99.998046341255701</v>
      </c>
      <c r="AN5566">
        <v>0.99999999982205001</v>
      </c>
    </row>
    <row r="5567" spans="1:40" x14ac:dyDescent="0.25">
      <c r="A5567" t="str">
        <f>"20190304155526478"</f>
        <v>20190304155526478</v>
      </c>
      <c r="B5567" t="str">
        <f>"1551686126473131"</f>
        <v>1551686126473131</v>
      </c>
      <c r="C5567" t="s">
        <v>40</v>
      </c>
      <c r="D5567">
        <v>4.8257120000000002</v>
      </c>
      <c r="E5567">
        <v>0.50637659999999995</v>
      </c>
      <c r="F5567" t="s">
        <v>46</v>
      </c>
      <c r="G5567">
        <v>-185.73</v>
      </c>
      <c r="H5567" s="1">
        <v>-2.2605799999999999E-6</v>
      </c>
      <c r="I5567">
        <v>-27.047720000000002</v>
      </c>
      <c r="J5567">
        <v>-189.5548</v>
      </c>
      <c r="K5567">
        <v>1.114943</v>
      </c>
      <c r="L5567">
        <v>-44.362430000000003</v>
      </c>
      <c r="M5567">
        <v>0.35447299999999998</v>
      </c>
      <c r="N5567">
        <v>-1.410899E-2</v>
      </c>
      <c r="O5567">
        <v>0.93495980000000001</v>
      </c>
      <c r="P5567">
        <v>0.186255</v>
      </c>
      <c r="Q5567">
        <v>0.1463323</v>
      </c>
      <c r="R5567">
        <v>0.97154309999999999</v>
      </c>
      <c r="S5567">
        <v>0.66496279999999997</v>
      </c>
      <c r="T5567">
        <v>-0.1898466</v>
      </c>
      <c r="U5567">
        <v>2.9874879999999999</v>
      </c>
      <c r="V5567">
        <v>-0.17199149999999999</v>
      </c>
      <c r="W5567">
        <v>0.15820680000000001</v>
      </c>
      <c r="X5567">
        <v>0.97231140000000005</v>
      </c>
      <c r="Y5567">
        <v>-0.143016</v>
      </c>
      <c r="Z5567">
        <v>-4.2783830000000002E-2</v>
      </c>
      <c r="AA5567">
        <v>0.98879519999999999</v>
      </c>
      <c r="AB5567">
        <v>24</v>
      </c>
      <c r="AC5567">
        <v>3.8248000000000002</v>
      </c>
      <c r="AD5567">
        <v>-1.1149452605799901</v>
      </c>
      <c r="AE5567">
        <v>17.314709999999899</v>
      </c>
      <c r="AF5567">
        <v>-2.5517296010520201</v>
      </c>
      <c r="AG5567">
        <v>-1.1149452605799901</v>
      </c>
      <c r="AH5567">
        <v>17.476996715971801</v>
      </c>
      <c r="AI5567">
        <v>93.612044726804896</v>
      </c>
      <c r="AJ5567">
        <v>98.306777916865101</v>
      </c>
      <c r="AK5567">
        <v>17.697452955187199</v>
      </c>
      <c r="AL5567">
        <v>80.8971718785901</v>
      </c>
      <c r="AM5567">
        <v>100.03124498272</v>
      </c>
      <c r="AN5567">
        <v>0.99999996310422401</v>
      </c>
    </row>
    <row r="5568" spans="1:40" x14ac:dyDescent="0.25">
      <c r="A5568" t="str">
        <f>"20190304155526500"</f>
        <v>20190304155526500</v>
      </c>
      <c r="B5568" t="str">
        <f>"1551686126493627"</f>
        <v>1551686126493627</v>
      </c>
      <c r="C5568" t="s">
        <v>40</v>
      </c>
      <c r="D5568">
        <v>4.6900380000000004</v>
      </c>
      <c r="E5568">
        <v>0.51484759999999996</v>
      </c>
      <c r="F5568" t="s">
        <v>46</v>
      </c>
      <c r="G5568">
        <v>-185.6584</v>
      </c>
      <c r="H5568" s="1">
        <v>-2.5396530000000002E-6</v>
      </c>
      <c r="I5568">
        <v>-26.283619999999999</v>
      </c>
      <c r="J5568">
        <v>-189.48089999999999</v>
      </c>
      <c r="K5568">
        <v>1.1150910000000001</v>
      </c>
      <c r="L5568">
        <v>-44.145809999999997</v>
      </c>
      <c r="M5568">
        <v>0.34798059999999997</v>
      </c>
      <c r="N5568">
        <v>-1.413145E-2</v>
      </c>
      <c r="O5568">
        <v>0.93739519999999998</v>
      </c>
      <c r="P5568">
        <v>0.17906340000000001</v>
      </c>
      <c r="Q5568">
        <v>0.1468264</v>
      </c>
      <c r="R5568">
        <v>0.97281980000000001</v>
      </c>
      <c r="S5568">
        <v>0.64485170000000003</v>
      </c>
      <c r="T5568">
        <v>-0.18452299999999999</v>
      </c>
      <c r="U5568">
        <v>2.992035</v>
      </c>
      <c r="V5568">
        <v>-0.17247870000000001</v>
      </c>
      <c r="W5568">
        <v>0.15865360000000001</v>
      </c>
      <c r="X5568">
        <v>0.97215229999999997</v>
      </c>
      <c r="Y5568">
        <v>-0.14280109999999999</v>
      </c>
      <c r="Z5568">
        <v>-4.133444E-2</v>
      </c>
      <c r="AA5568">
        <v>0.98888790000000004</v>
      </c>
      <c r="AB5568">
        <v>24</v>
      </c>
      <c r="AC5568">
        <v>3.82249999999999</v>
      </c>
      <c r="AD5568">
        <v>-1.115093539653</v>
      </c>
      <c r="AE5568">
        <v>17.862189999999899</v>
      </c>
      <c r="AF5568">
        <v>-2.62299069899561</v>
      </c>
      <c r="AG5568">
        <v>-1.115093539653</v>
      </c>
      <c r="AH5568">
        <v>18.008781824868301</v>
      </c>
      <c r="AI5568">
        <v>93.506295976638597</v>
      </c>
      <c r="AJ5568">
        <v>98.286895440389799</v>
      </c>
      <c r="AK5568">
        <v>18.232930006581501</v>
      </c>
      <c r="AL5568">
        <v>80.871244827889498</v>
      </c>
      <c r="AM5568">
        <v>100.06069357383301</v>
      </c>
      <c r="AN5568">
        <v>0.99999998057096895</v>
      </c>
    </row>
    <row r="5569" spans="1:40" x14ac:dyDescent="0.25">
      <c r="A5569" t="str">
        <f>"20190304155526522"</f>
        <v>20190304155526522</v>
      </c>
      <c r="B5569" t="str">
        <f>"1551686126513147"</f>
        <v>1551686126513147</v>
      </c>
      <c r="C5569" t="s">
        <v>40</v>
      </c>
      <c r="D5569">
        <v>4.8185260000000003</v>
      </c>
      <c r="E5569">
        <v>0.51430319999999996</v>
      </c>
      <c r="F5569" t="s">
        <v>46</v>
      </c>
      <c r="G5569">
        <v>-185.0241</v>
      </c>
      <c r="H5569" s="1">
        <v>-3.2589930000000001E-6</v>
      </c>
      <c r="I5569">
        <v>-24.82788</v>
      </c>
      <c r="J5569">
        <v>-189.4076</v>
      </c>
      <c r="K5569">
        <v>1.1152439999999999</v>
      </c>
      <c r="L5569">
        <v>-43.924770000000002</v>
      </c>
      <c r="M5569">
        <v>0.34112199999999998</v>
      </c>
      <c r="N5569">
        <v>-1.415511E-2</v>
      </c>
      <c r="O5569">
        <v>0.93991239999999998</v>
      </c>
      <c r="P5569">
        <v>0.17207259999999999</v>
      </c>
      <c r="Q5569">
        <v>0.1464242</v>
      </c>
      <c r="R5569">
        <v>0.97414109999999998</v>
      </c>
      <c r="S5569">
        <v>0.68823239999999997</v>
      </c>
      <c r="T5569">
        <v>-0.17219570000000001</v>
      </c>
      <c r="U5569">
        <v>2.9831240000000001</v>
      </c>
      <c r="V5569">
        <v>-0.17243129999999901</v>
      </c>
      <c r="W5569">
        <v>0.1582134</v>
      </c>
      <c r="X5569">
        <v>0.97223250000000005</v>
      </c>
      <c r="Y5569">
        <v>-0.12121700000000001</v>
      </c>
      <c r="Z5569">
        <v>-3.8041709999999999E-2</v>
      </c>
      <c r="AA5569">
        <v>0.99189680000000002</v>
      </c>
      <c r="AB5569">
        <v>24</v>
      </c>
      <c r="AC5569">
        <v>4.38349999999999</v>
      </c>
      <c r="AD5569">
        <v>-1.115247258993</v>
      </c>
      <c r="AE5569">
        <v>19.096889999999998</v>
      </c>
      <c r="AF5569">
        <v>-2.3867706797339099</v>
      </c>
      <c r="AG5569">
        <v>-1.115247258993</v>
      </c>
      <c r="AH5569">
        <v>19.383861572666401</v>
      </c>
      <c r="AI5569">
        <v>93.268244598274705</v>
      </c>
      <c r="AJ5569">
        <v>97.019601681918701</v>
      </c>
      <c r="AK5569">
        <v>19.562068913962602</v>
      </c>
      <c r="AL5569">
        <v>80.896789550298294</v>
      </c>
      <c r="AM5569">
        <v>100.05717243786</v>
      </c>
      <c r="AN5569">
        <v>1.0000000336077399</v>
      </c>
    </row>
    <row r="5570" spans="1:40" x14ac:dyDescent="0.25">
      <c r="A5570" t="str">
        <f>"20190304155526545"</f>
        <v>20190304155526545</v>
      </c>
      <c r="B5570" t="str">
        <f>"1551686126533643"</f>
        <v>1551686126533643</v>
      </c>
      <c r="C5570" t="s">
        <v>40</v>
      </c>
      <c r="D5570">
        <v>4.8330599999999997</v>
      </c>
      <c r="E5570">
        <v>0.514181</v>
      </c>
      <c r="F5570" t="s">
        <v>46</v>
      </c>
      <c r="G5570">
        <v>-185.78559999999999</v>
      </c>
      <c r="H5570" s="1">
        <v>-2.0567990000000001E-6</v>
      </c>
      <c r="I5570">
        <v>-27.603069999999999</v>
      </c>
      <c r="J5570">
        <v>-189.33750000000001</v>
      </c>
      <c r="K5570">
        <v>1.1153789999999999</v>
      </c>
      <c r="L5570">
        <v>-43.706940000000003</v>
      </c>
      <c r="M5570">
        <v>0.33413579999999998</v>
      </c>
      <c r="N5570">
        <v>-1.4178909999999999E-2</v>
      </c>
      <c r="O5570">
        <v>0.94241830000000004</v>
      </c>
      <c r="P5570">
        <v>0.1647361</v>
      </c>
      <c r="Q5570">
        <v>0.14630370000000001</v>
      </c>
      <c r="R5570">
        <v>0.97542669999999998</v>
      </c>
      <c r="S5570">
        <v>0.66419980000000001</v>
      </c>
      <c r="T5570">
        <v>-0.20451159999999999</v>
      </c>
      <c r="U5570">
        <v>2.993042</v>
      </c>
      <c r="V5570">
        <v>-0.17259089999999999</v>
      </c>
      <c r="W5570">
        <v>0.1580561</v>
      </c>
      <c r="X5570">
        <v>0.97222969999999997</v>
      </c>
      <c r="Y5570">
        <v>-0.122231199999999</v>
      </c>
      <c r="Z5570">
        <v>-4.7741789999999999E-2</v>
      </c>
      <c r="AA5570">
        <v>0.99135269999999998</v>
      </c>
      <c r="AB5570">
        <v>24</v>
      </c>
      <c r="AC5570">
        <v>3.55190000000001</v>
      </c>
      <c r="AD5570">
        <v>-1.1153810567989999</v>
      </c>
      <c r="AE5570">
        <v>16.103870000000001</v>
      </c>
      <c r="AF5570">
        <v>-2.0244472313253699</v>
      </c>
      <c r="AG5570">
        <v>-1.1153810567989999</v>
      </c>
      <c r="AH5570">
        <v>16.290520440096799</v>
      </c>
      <c r="AI5570">
        <v>93.887013870631193</v>
      </c>
      <c r="AJ5570">
        <v>97.083914226937694</v>
      </c>
      <c r="AK5570">
        <v>16.453677938488401</v>
      </c>
      <c r="AL5570">
        <v>80.905916434536906</v>
      </c>
      <c r="AM5570">
        <v>100.06631932234799</v>
      </c>
      <c r="AN5570">
        <v>0.99999996953605397</v>
      </c>
    </row>
    <row r="5571" spans="1:40" x14ac:dyDescent="0.25">
      <c r="A5571" t="str">
        <f>"20190304155526566"</f>
        <v>20190304155526566</v>
      </c>
      <c r="B5571" t="str">
        <f>"1551686126562922"</f>
        <v>1551686126562922</v>
      </c>
      <c r="C5571" t="s">
        <v>40</v>
      </c>
      <c r="D5571">
        <v>4.7955690000000004</v>
      </c>
      <c r="E5571">
        <v>0.51472059999999997</v>
      </c>
      <c r="F5571" t="s">
        <v>46</v>
      </c>
      <c r="G5571">
        <v>-185.93870000000001</v>
      </c>
      <c r="H5571" s="1">
        <v>-1.941679E-6</v>
      </c>
      <c r="I5571">
        <v>-27.821639999999999</v>
      </c>
      <c r="J5571">
        <v>-189.2688</v>
      </c>
      <c r="K5571">
        <v>1.1154930000000001</v>
      </c>
      <c r="L5571">
        <v>-43.487369999999999</v>
      </c>
      <c r="M5571">
        <v>0.3269106</v>
      </c>
      <c r="N5571">
        <v>-1.420197E-2</v>
      </c>
      <c r="O5571">
        <v>0.94494860000000003</v>
      </c>
      <c r="P5571">
        <v>0.15811639999999999</v>
      </c>
      <c r="Q5571">
        <v>0.1460911</v>
      </c>
      <c r="R5571">
        <v>0.97655340000000002</v>
      </c>
      <c r="S5571">
        <v>0.64161679999999999</v>
      </c>
      <c r="T5571">
        <v>-0.21056040000000001</v>
      </c>
      <c r="U5571">
        <v>2.9988100000000002</v>
      </c>
      <c r="V5571">
        <v>-0.1717929</v>
      </c>
      <c r="W5571">
        <v>0.15782969999999999</v>
      </c>
      <c r="X5571">
        <v>0.97240780000000004</v>
      </c>
      <c r="Y5571">
        <v>-0.122181399999999</v>
      </c>
      <c r="Z5571">
        <v>-4.9685989999999999E-2</v>
      </c>
      <c r="AA5571">
        <v>0.99126329999999996</v>
      </c>
      <c r="AB5571">
        <v>24</v>
      </c>
      <c r="AC5571">
        <v>3.3300999999999799</v>
      </c>
      <c r="AD5571">
        <v>-1.1154949416789901</v>
      </c>
      <c r="AE5571">
        <v>15.6657299999999</v>
      </c>
      <c r="AF5571">
        <v>-1.9651856197002799</v>
      </c>
      <c r="AG5571">
        <v>-1.1154949416789901</v>
      </c>
      <c r="AH5571">
        <v>15.8168278314118</v>
      </c>
      <c r="AI5571">
        <v>94.003471296697001</v>
      </c>
      <c r="AJ5571">
        <v>97.082504664666601</v>
      </c>
      <c r="AK5571">
        <v>15.977431775267</v>
      </c>
      <c r="AL5571">
        <v>80.919053110928104</v>
      </c>
      <c r="AM5571">
        <v>100.018923478519</v>
      </c>
      <c r="AN5571">
        <v>0.99999997209666902</v>
      </c>
    </row>
    <row r="5572" spans="1:40" x14ac:dyDescent="0.25">
      <c r="A5572" t="str">
        <f>"20190304155526591"</f>
        <v>20190304155526591</v>
      </c>
      <c r="B5572" t="str">
        <f>"1551686126583419"</f>
        <v>1551686126583419</v>
      </c>
      <c r="C5572" t="s">
        <v>40</v>
      </c>
      <c r="D5572">
        <v>4.7757449999999997</v>
      </c>
      <c r="E5572">
        <v>0.51558789999999999</v>
      </c>
      <c r="F5572" t="s">
        <v>46</v>
      </c>
      <c r="G5572">
        <v>-185.97900000000001</v>
      </c>
      <c r="H5572" s="1">
        <v>-1.9717839999999999E-6</v>
      </c>
      <c r="I5572">
        <v>-27.70168</v>
      </c>
      <c r="J5572">
        <v>-189.1962</v>
      </c>
      <c r="K5572">
        <v>1.1156029999999999</v>
      </c>
      <c r="L5572">
        <v>-43.247529999999998</v>
      </c>
      <c r="M5572">
        <v>0.31882090000000002</v>
      </c>
      <c r="N5572">
        <v>-1.4224779999999999E-2</v>
      </c>
      <c r="O5572">
        <v>0.9477082</v>
      </c>
      <c r="P5572">
        <v>0.15081349999999999</v>
      </c>
      <c r="Q5572">
        <v>0.14567949999999999</v>
      </c>
      <c r="R5572">
        <v>0.97776929999999995</v>
      </c>
      <c r="S5572">
        <v>0.62573239999999997</v>
      </c>
      <c r="T5572">
        <v>-0.21216960000000001</v>
      </c>
      <c r="U5572">
        <v>3.002472</v>
      </c>
      <c r="V5572">
        <v>-0.17080039999999999</v>
      </c>
      <c r="W5572">
        <v>0.15741250000000001</v>
      </c>
      <c r="X5572">
        <v>0.97265029999999997</v>
      </c>
      <c r="Y5572">
        <v>-0.11897249999999999</v>
      </c>
      <c r="Z5572">
        <v>-5.0375679999999999E-2</v>
      </c>
      <c r="AA5572">
        <v>0.99161880000000002</v>
      </c>
      <c r="AB5572">
        <v>24</v>
      </c>
      <c r="AC5572">
        <v>3.2171999999999898</v>
      </c>
      <c r="AD5572">
        <v>-1.115604971784</v>
      </c>
      <c r="AE5572">
        <v>15.5458499999999</v>
      </c>
      <c r="AF5572">
        <v>-1.89819423258505</v>
      </c>
      <c r="AG5572">
        <v>-1.115604971784</v>
      </c>
      <c r="AH5572">
        <v>15.6827885107784</v>
      </c>
      <c r="AI5572">
        <v>94.039533935243398</v>
      </c>
      <c r="AJ5572">
        <v>96.901326102618498</v>
      </c>
      <c r="AK5572">
        <v>15.836589635129499</v>
      </c>
      <c r="AL5572">
        <v>80.943260109475602</v>
      </c>
      <c r="AM5572">
        <v>99.959769899477294</v>
      </c>
      <c r="AN5572">
        <v>1.00000003894324</v>
      </c>
    </row>
    <row r="5573" spans="1:40" x14ac:dyDescent="0.25">
      <c r="A5573" t="str">
        <f>"20190304155526612"</f>
        <v>20190304155526612</v>
      </c>
      <c r="B5573" t="str">
        <f>"1551686126602939"</f>
        <v>1551686126602939</v>
      </c>
      <c r="C5573" t="s">
        <v>40</v>
      </c>
      <c r="D5573">
        <v>4.7606479999999998</v>
      </c>
      <c r="E5573">
        <v>0.51660649999999997</v>
      </c>
      <c r="F5573" t="s">
        <v>46</v>
      </c>
      <c r="G5573">
        <v>-186.0164</v>
      </c>
      <c r="H5573" s="1">
        <v>-2.00269E-6</v>
      </c>
      <c r="I5573">
        <v>-27.581569999999999</v>
      </c>
      <c r="J5573">
        <v>-189.1343</v>
      </c>
      <c r="K5573">
        <v>1.1156870000000001</v>
      </c>
      <c r="L5573">
        <v>-43.036409999999997</v>
      </c>
      <c r="M5573">
        <v>0.3115366</v>
      </c>
      <c r="N5573">
        <v>-1.424359E-2</v>
      </c>
      <c r="O5573">
        <v>0.95012739999999996</v>
      </c>
      <c r="P5573">
        <v>0.14477019999999999</v>
      </c>
      <c r="Q5573">
        <v>0.1449915</v>
      </c>
      <c r="R5573">
        <v>0.97878449999999995</v>
      </c>
      <c r="S5573">
        <v>0.61013790000000001</v>
      </c>
      <c r="T5573">
        <v>-0.21406420000000001</v>
      </c>
      <c r="U5573">
        <v>3.0060120000000001</v>
      </c>
      <c r="V5573">
        <v>-0.1693935</v>
      </c>
      <c r="W5573">
        <v>0.15673339999999999</v>
      </c>
      <c r="X5573">
        <v>0.97300589999999998</v>
      </c>
      <c r="Y5573">
        <v>-0.1165274</v>
      </c>
      <c r="Z5573">
        <v>-5.112353E-2</v>
      </c>
      <c r="AA5573">
        <v>0.99187080000000005</v>
      </c>
      <c r="AB5573">
        <v>24</v>
      </c>
      <c r="AC5573">
        <v>3.1178999999999899</v>
      </c>
      <c r="AD5573">
        <v>-1.1156890026899999</v>
      </c>
      <c r="AE5573">
        <v>15.4548399999999</v>
      </c>
      <c r="AF5573">
        <v>-1.8433034385807301</v>
      </c>
      <c r="AG5573">
        <v>-1.1156890026899999</v>
      </c>
      <c r="AH5573">
        <v>15.5789814874607</v>
      </c>
      <c r="AI5573">
        <v>94.067965169217004</v>
      </c>
      <c r="AJ5573">
        <v>96.747858162544105</v>
      </c>
      <c r="AK5573">
        <v>15.727275469834201</v>
      </c>
      <c r="AL5573">
        <v>80.982658364143504</v>
      </c>
      <c r="AM5573">
        <v>99.875813764316703</v>
      </c>
      <c r="AN5573">
        <v>0.99999999897630998</v>
      </c>
    </row>
    <row r="5574" spans="1:40" x14ac:dyDescent="0.25">
      <c r="A5574" t="str">
        <f>"20190304155526635"</f>
        <v>20190304155526635</v>
      </c>
      <c r="B5574" t="str">
        <f>"1551686126623435"</f>
        <v>1551686126623435</v>
      </c>
      <c r="C5574" t="s">
        <v>40</v>
      </c>
      <c r="D5574">
        <v>4.8035110000000003</v>
      </c>
      <c r="E5574">
        <v>0.51767619999999903</v>
      </c>
      <c r="F5574" t="s">
        <v>46</v>
      </c>
      <c r="G5574">
        <v>-186.03800000000001</v>
      </c>
      <c r="H5574" s="1">
        <v>-2.0292049999999999E-6</v>
      </c>
      <c r="I5574">
        <v>-27.48677</v>
      </c>
      <c r="J5574">
        <v>-189.06979999999999</v>
      </c>
      <c r="K5574">
        <v>1.115764</v>
      </c>
      <c r="L5574">
        <v>-42.809539999999998</v>
      </c>
      <c r="M5574">
        <v>0.30354779999999998</v>
      </c>
      <c r="N5574">
        <v>-1.426389E-2</v>
      </c>
      <c r="O5574">
        <v>0.95270940000000004</v>
      </c>
      <c r="P5574">
        <v>0.13848050000000001</v>
      </c>
      <c r="Q5574">
        <v>0.1445401</v>
      </c>
      <c r="R5574">
        <v>0.97976079999999999</v>
      </c>
      <c r="S5574">
        <v>0.59902949999999999</v>
      </c>
      <c r="T5574">
        <v>-0.21585260000000001</v>
      </c>
      <c r="U5574">
        <v>3.0083920000000002</v>
      </c>
      <c r="V5574">
        <v>-0.16751469999999999</v>
      </c>
      <c r="W5574">
        <v>0.1562982</v>
      </c>
      <c r="X5574">
        <v>0.97340110000000002</v>
      </c>
      <c r="Y5574">
        <v>-0.1118697</v>
      </c>
      <c r="Z5574">
        <v>-5.1884920000000001E-2</v>
      </c>
      <c r="AA5574">
        <v>0.99236740000000001</v>
      </c>
      <c r="AB5574">
        <v>23</v>
      </c>
      <c r="AC5574">
        <v>3.0318000000000001</v>
      </c>
      <c r="AD5574">
        <v>-1.115766029205</v>
      </c>
      <c r="AE5574">
        <v>15.32277</v>
      </c>
      <c r="AF5574">
        <v>-1.75399818690007</v>
      </c>
      <c r="AG5574">
        <v>-1.115766029205</v>
      </c>
      <c r="AH5574">
        <v>15.4412319089777</v>
      </c>
      <c r="AI5574">
        <v>94.106627325586004</v>
      </c>
      <c r="AJ5574">
        <v>96.480556074072695</v>
      </c>
      <c r="AK5574">
        <v>15.580535495881</v>
      </c>
      <c r="AL5574">
        <v>81.007904661691697</v>
      </c>
      <c r="AM5574">
        <v>99.7645099648431</v>
      </c>
      <c r="AN5574">
        <v>1.0000000017602699</v>
      </c>
    </row>
    <row r="5575" spans="1:40" x14ac:dyDescent="0.25">
      <c r="A5575" t="str">
        <f>"20190304155526681"</f>
        <v>20190304155526681</v>
      </c>
      <c r="B5575" t="str">
        <f>"1551686126673211"</f>
        <v>1551686126673211</v>
      </c>
      <c r="C5575" t="s">
        <v>40</v>
      </c>
      <c r="D5575">
        <v>4.8744670000000001</v>
      </c>
      <c r="E5575">
        <v>0.5318003</v>
      </c>
      <c r="F5575" t="s">
        <v>46</v>
      </c>
      <c r="G5575">
        <v>-186.05340000000001</v>
      </c>
      <c r="H5575" s="1">
        <v>-2.0728260000000002E-6</v>
      </c>
      <c r="I5575">
        <v>-27.34656</v>
      </c>
      <c r="J5575">
        <v>-188.94569999999999</v>
      </c>
      <c r="K5575">
        <v>1.1159079999999999</v>
      </c>
      <c r="L5575">
        <v>-42.348390000000002</v>
      </c>
      <c r="M5575">
        <v>0.2868735</v>
      </c>
      <c r="N5575">
        <v>-1.430438E-2</v>
      </c>
      <c r="O5575">
        <v>0.95786170000000004</v>
      </c>
      <c r="P5575">
        <v>0.1244406</v>
      </c>
      <c r="Q5575">
        <v>0.1420235</v>
      </c>
      <c r="R5575">
        <v>0.9820101</v>
      </c>
      <c r="S5575">
        <v>0.5873718</v>
      </c>
      <c r="T5575">
        <v>-0.2172666</v>
      </c>
      <c r="U5575">
        <v>3.0110169999999998</v>
      </c>
      <c r="V5575">
        <v>-0.1645828</v>
      </c>
      <c r="W5575">
        <v>0.153811</v>
      </c>
      <c r="X5575">
        <v>0.97429699999999997</v>
      </c>
      <c r="Y5575">
        <v>-9.8395739999999995E-2</v>
      </c>
      <c r="Z5575">
        <v>-5.2802500000000002E-2</v>
      </c>
      <c r="AA5575">
        <v>0.99374549999999995</v>
      </c>
      <c r="AB5575">
        <v>23</v>
      </c>
      <c r="AC5575">
        <v>2.8922999999999699</v>
      </c>
      <c r="AD5575">
        <v>-1.1159100728260001</v>
      </c>
      <c r="AE5575">
        <v>15.00183</v>
      </c>
      <c r="AF5575">
        <v>-1.5252241266312201</v>
      </c>
      <c r="AG5575">
        <v>-1.1159100728260001</v>
      </c>
      <c r="AH5575">
        <v>15.1202933912499</v>
      </c>
      <c r="AI5575">
        <v>94.1996635833315</v>
      </c>
      <c r="AJ5575">
        <v>95.760093207250506</v>
      </c>
      <c r="AK5575">
        <v>15.2379406799137</v>
      </c>
      <c r="AL5575">
        <v>81.152155179208094</v>
      </c>
      <c r="AM5575">
        <v>99.588153441182897</v>
      </c>
      <c r="AN5575">
        <v>0.99999998299291903</v>
      </c>
    </row>
    <row r="5576" spans="1:40" x14ac:dyDescent="0.25">
      <c r="A5576" t="str">
        <f>"20190304155526703"</f>
        <v>20190304155526703</v>
      </c>
      <c r="B5576" t="str">
        <f>"1551686126693706"</f>
        <v>1551686126693706</v>
      </c>
      <c r="C5576" t="s">
        <v>40</v>
      </c>
      <c r="D5576">
        <v>4.8367969999999998</v>
      </c>
      <c r="E5576">
        <v>0.53220639999999997</v>
      </c>
      <c r="F5576" t="s">
        <v>46</v>
      </c>
      <c r="G5576">
        <v>-185.34119999999999</v>
      </c>
      <c r="H5576" s="1">
        <v>-2.798157E-6</v>
      </c>
      <c r="I5576">
        <v>-25.772010000000002</v>
      </c>
      <c r="J5576">
        <v>-188.8912</v>
      </c>
      <c r="K5576">
        <v>1.1159589999999999</v>
      </c>
      <c r="L5576">
        <v>-42.133789999999998</v>
      </c>
      <c r="M5576">
        <v>0.27895439999999999</v>
      </c>
      <c r="N5576">
        <v>-1.432023E-2</v>
      </c>
      <c r="O5576">
        <v>0.96019759999999998</v>
      </c>
      <c r="P5576">
        <v>0.11805110000000001</v>
      </c>
      <c r="Q5576">
        <v>0.14157349999999999</v>
      </c>
      <c r="R5576">
        <v>0.98286359999999995</v>
      </c>
      <c r="S5576">
        <v>0.65266420000000003</v>
      </c>
      <c r="T5576">
        <v>-0.2020565</v>
      </c>
      <c r="U5576">
        <v>3.001465</v>
      </c>
      <c r="V5576">
        <v>-0.16290250000000001</v>
      </c>
      <c r="W5576">
        <v>0.15338370000000001</v>
      </c>
      <c r="X5576">
        <v>0.97464669999999998</v>
      </c>
      <c r="Y5576">
        <v>-6.8786219999999995E-2</v>
      </c>
      <c r="Z5576">
        <v>-4.854108E-2</v>
      </c>
      <c r="AA5576">
        <v>0.99644980000000005</v>
      </c>
      <c r="AB5576">
        <v>23</v>
      </c>
      <c r="AC5576">
        <v>3.55000000000001</v>
      </c>
      <c r="AD5576">
        <v>-1.115961798157</v>
      </c>
      <c r="AE5576">
        <v>16.36178</v>
      </c>
      <c r="AF5576">
        <v>-1.1504960490034399</v>
      </c>
      <c r="AG5576">
        <v>-1.115961798157</v>
      </c>
      <c r="AH5576">
        <v>16.628663904831999</v>
      </c>
      <c r="AI5576">
        <v>93.830275247264495</v>
      </c>
      <c r="AJ5576">
        <v>93.957845756363596</v>
      </c>
      <c r="AK5576">
        <v>16.705731805388801</v>
      </c>
      <c r="AL5576">
        <v>81.176931710760002</v>
      </c>
      <c r="AM5576">
        <v>99.488710101770494</v>
      </c>
      <c r="AN5576">
        <v>0.999999986876414</v>
      </c>
    </row>
    <row r="5577" spans="1:40" x14ac:dyDescent="0.25">
      <c r="A5577" t="str">
        <f>"20190304155526723"</f>
        <v>20190304155526723</v>
      </c>
      <c r="B5577" t="str">
        <f>"1551686126713227"</f>
        <v>1551686126713227</v>
      </c>
      <c r="C5577" t="s">
        <v>40</v>
      </c>
      <c r="D5577">
        <v>4.832948</v>
      </c>
      <c r="E5577">
        <v>0.53307569999999904</v>
      </c>
      <c r="F5577" t="s">
        <v>46</v>
      </c>
      <c r="G5577">
        <v>-185.4074</v>
      </c>
      <c r="H5577" s="1">
        <v>-2.8387130000000002E-6</v>
      </c>
      <c r="I5577">
        <v>-25.649059999999999</v>
      </c>
      <c r="J5577">
        <v>-188.84100000000001</v>
      </c>
      <c r="K5577">
        <v>1.1159950000000001</v>
      </c>
      <c r="L5577">
        <v>-41.928530000000002</v>
      </c>
      <c r="M5577">
        <v>0.27131670000000002</v>
      </c>
      <c r="N5577">
        <v>-1.433252E-2</v>
      </c>
      <c r="O5577">
        <v>0.9623834</v>
      </c>
      <c r="P5577">
        <v>0.11040949999999999</v>
      </c>
      <c r="Q5577">
        <v>0.14287559999999999</v>
      </c>
      <c r="R5577">
        <v>0.98356310000000002</v>
      </c>
      <c r="S5577">
        <v>0.63513180000000002</v>
      </c>
      <c r="T5577">
        <v>-0.20345160000000001</v>
      </c>
      <c r="U5577">
        <v>3.005341</v>
      </c>
      <c r="V5577">
        <v>-0.16270960000000001</v>
      </c>
      <c r="W5577">
        <v>0.15468680000000001</v>
      </c>
      <c r="X5577">
        <v>0.97447300000000003</v>
      </c>
      <c r="Y5577">
        <v>-6.6690780000000005E-2</v>
      </c>
      <c r="Z5577">
        <v>-4.911339E-2</v>
      </c>
      <c r="AA5577">
        <v>0.99656420000000001</v>
      </c>
      <c r="AB5577">
        <v>23</v>
      </c>
      <c r="AC5577">
        <v>3.4335999999999798</v>
      </c>
      <c r="AD5577">
        <v>-1.1159978387130001</v>
      </c>
      <c r="AE5577">
        <v>16.27947</v>
      </c>
      <c r="AF5577">
        <v>-1.10758338830432</v>
      </c>
      <c r="AG5577">
        <v>-1.1159978387130001</v>
      </c>
      <c r="AH5577">
        <v>16.526034605141302</v>
      </c>
      <c r="AI5577">
        <v>93.854678997135395</v>
      </c>
      <c r="AJ5577">
        <v>93.834258799188703</v>
      </c>
      <c r="AK5577">
        <v>16.6006629960489</v>
      </c>
      <c r="AL5577">
        <v>81.101368076335405</v>
      </c>
      <c r="AM5577">
        <v>99.479336807446202</v>
      </c>
      <c r="AN5577">
        <v>1.00000002387769</v>
      </c>
    </row>
    <row r="5578" spans="1:40" x14ac:dyDescent="0.25">
      <c r="A5578" t="str">
        <f>"20190304155526745"</f>
        <v>20190304155526745</v>
      </c>
      <c r="B5578" t="str">
        <f>"1551686126743483"</f>
        <v>1551686126743483</v>
      </c>
      <c r="C5578" t="s">
        <v>40</v>
      </c>
      <c r="D5578">
        <v>4.8369759999999999</v>
      </c>
      <c r="E5578">
        <v>0.53431519999999899</v>
      </c>
      <c r="F5578" t="s">
        <v>46</v>
      </c>
      <c r="G5578">
        <v>-185.40989999999999</v>
      </c>
      <c r="H5578" s="1">
        <v>-3.0112519999999998E-6</v>
      </c>
      <c r="I5578">
        <v>-25.245840000000001</v>
      </c>
      <c r="J5578">
        <v>-188.78890000000001</v>
      </c>
      <c r="K5578">
        <v>1.115999</v>
      </c>
      <c r="L5578">
        <v>-41.707459999999998</v>
      </c>
      <c r="M5578">
        <v>0.2630382</v>
      </c>
      <c r="N5578">
        <v>-1.4342580000000001E-2</v>
      </c>
      <c r="O5578">
        <v>0.96467879999999995</v>
      </c>
      <c r="P5578">
        <v>0.10216790000000001</v>
      </c>
      <c r="Q5578">
        <v>0.1436713</v>
      </c>
      <c r="R5578">
        <v>0.98433749999999998</v>
      </c>
      <c r="S5578">
        <v>0.61903379999999997</v>
      </c>
      <c r="T5578">
        <v>-0.2013482</v>
      </c>
      <c r="U5578">
        <v>3.0098880000000001</v>
      </c>
      <c r="V5578">
        <v>-0.16248199999999999</v>
      </c>
      <c r="W5578">
        <v>0.1554914</v>
      </c>
      <c r="X5578">
        <v>0.97438290000000005</v>
      </c>
      <c r="Y5578">
        <v>-6.3526940000000004E-2</v>
      </c>
      <c r="Z5578">
        <v>-4.860308E-2</v>
      </c>
      <c r="AA5578">
        <v>0.99679589999999996</v>
      </c>
      <c r="AB5578">
        <v>23</v>
      </c>
      <c r="AC5578">
        <v>3.3790000000000102</v>
      </c>
      <c r="AD5578">
        <v>-1.1160020112519999</v>
      </c>
      <c r="AE5578">
        <v>16.4616199999999</v>
      </c>
      <c r="AF5578">
        <v>-1.0657949429899001</v>
      </c>
      <c r="AG5578">
        <v>-1.1160020112519999</v>
      </c>
      <c r="AH5578">
        <v>16.697069087825401</v>
      </c>
      <c r="AI5578">
        <v>93.816115935067003</v>
      </c>
      <c r="AJ5578">
        <v>93.652306769245996</v>
      </c>
      <c r="AK5578">
        <v>16.768228751816199</v>
      </c>
      <c r="AL5578">
        <v>81.054703107455495</v>
      </c>
      <c r="AM5578">
        <v>99.4671766517218</v>
      </c>
      <c r="AN5578">
        <v>1.0000000058051799</v>
      </c>
    </row>
    <row r="5579" spans="1:40" x14ac:dyDescent="0.25">
      <c r="A5579" t="str">
        <f>"20190304155526768"</f>
        <v>20190304155526768</v>
      </c>
      <c r="B5579" t="str">
        <f>"1551686126763002"</f>
        <v>1551686126763002</v>
      </c>
      <c r="C5579" t="s">
        <v>40</v>
      </c>
      <c r="D5579">
        <v>4.8232059999999999</v>
      </c>
      <c r="E5579">
        <v>0.53558549999999905</v>
      </c>
      <c r="F5579" t="s">
        <v>46</v>
      </c>
      <c r="G5579">
        <v>-185.28649999999999</v>
      </c>
      <c r="H5579" s="1">
        <v>-3.4736620000000001E-6</v>
      </c>
      <c r="I5579">
        <v>-24.218969999999999</v>
      </c>
      <c r="J5579">
        <v>-188.7371</v>
      </c>
      <c r="K5579">
        <v>1.1159829999999999</v>
      </c>
      <c r="L5579">
        <v>-41.47833</v>
      </c>
      <c r="M5579">
        <v>0.25442740000000003</v>
      </c>
      <c r="N5579">
        <v>-1.435023E-2</v>
      </c>
      <c r="O5579">
        <v>0.96698539999999999</v>
      </c>
      <c r="P5579">
        <v>9.4560920000000007E-2</v>
      </c>
      <c r="Q5579">
        <v>0.14377219999999999</v>
      </c>
      <c r="R5579">
        <v>0.98508260000000003</v>
      </c>
      <c r="S5579">
        <v>0.60343930000000001</v>
      </c>
      <c r="T5579">
        <v>-0.1922799</v>
      </c>
      <c r="U5579">
        <v>3.013153</v>
      </c>
      <c r="V5579">
        <v>-0.16131280000000001</v>
      </c>
      <c r="W5579">
        <v>0.15562279999999901</v>
      </c>
      <c r="X5579">
        <v>0.97455610000000004</v>
      </c>
      <c r="Y5579">
        <v>-5.9774760000000003E-2</v>
      </c>
      <c r="Z5579">
        <v>-4.5954460000000003E-2</v>
      </c>
      <c r="AA5579">
        <v>0.99715350000000003</v>
      </c>
      <c r="AB5579">
        <v>23</v>
      </c>
      <c r="AC5579">
        <v>3.4506000000000001</v>
      </c>
      <c r="AD5579">
        <v>-1.115986473662</v>
      </c>
      <c r="AE5579">
        <v>17.259359999999901</v>
      </c>
      <c r="AF5579">
        <v>-1.0504598159413501</v>
      </c>
      <c r="AG5579">
        <v>-1.115986473662</v>
      </c>
      <c r="AH5579">
        <v>17.498936281665301</v>
      </c>
      <c r="AI5579">
        <v>93.642530236992897</v>
      </c>
      <c r="AJ5579">
        <v>93.435338731017595</v>
      </c>
      <c r="AK5579">
        <v>17.5659233353697</v>
      </c>
      <c r="AL5579">
        <v>81.047081014518696</v>
      </c>
      <c r="AM5579">
        <v>99.398631432113206</v>
      </c>
      <c r="AN5579">
        <v>0.99999993368544204</v>
      </c>
    </row>
    <row r="5580" spans="1:40" x14ac:dyDescent="0.25">
      <c r="A5580" t="str">
        <f>"20190304155526791"</f>
        <v>20190304155526791</v>
      </c>
      <c r="B5580" t="str">
        <f>"1551686126783499"</f>
        <v>1551686126783499</v>
      </c>
      <c r="C5580" t="s">
        <v>40</v>
      </c>
      <c r="D5580">
        <v>4.7713260000000002</v>
      </c>
      <c r="E5580">
        <v>0.53704019999999997</v>
      </c>
      <c r="F5580" t="s">
        <v>46</v>
      </c>
      <c r="G5580">
        <v>-185.2012</v>
      </c>
      <c r="H5580" s="1">
        <v>-3.8470039999999999E-6</v>
      </c>
      <c r="I5580">
        <v>-23.383970000000001</v>
      </c>
      <c r="J5580">
        <v>-188.68809999999999</v>
      </c>
      <c r="K5580">
        <v>1.1159589999999999</v>
      </c>
      <c r="L5580">
        <v>-41.252690000000001</v>
      </c>
      <c r="M5580">
        <v>0.24594089999999999</v>
      </c>
      <c r="N5580">
        <v>-1.435529E-2</v>
      </c>
      <c r="O5580">
        <v>0.96917850000000005</v>
      </c>
      <c r="P5580">
        <v>8.6728739999999999E-2</v>
      </c>
      <c r="Q5580">
        <v>0.1436142</v>
      </c>
      <c r="R5580">
        <v>0.98582610000000004</v>
      </c>
      <c r="S5580">
        <v>0.58935550000000003</v>
      </c>
      <c r="T5580">
        <v>-0.18601419999999999</v>
      </c>
      <c r="U5580">
        <v>3.0159910000000001</v>
      </c>
      <c r="V5580">
        <v>-0.1605066</v>
      </c>
      <c r="W5580">
        <v>0.15549279999999999</v>
      </c>
      <c r="X5580">
        <v>0.97470999999999997</v>
      </c>
      <c r="Y5580">
        <v>-5.5672180000000002E-2</v>
      </c>
      <c r="Z5580">
        <v>-4.4159249999999997E-2</v>
      </c>
      <c r="AA5580">
        <v>0.99747209999999997</v>
      </c>
      <c r="AB5580">
        <v>23</v>
      </c>
      <c r="AC5580">
        <v>3.4868999999999901</v>
      </c>
      <c r="AD5580">
        <v>-1.1159628470039999</v>
      </c>
      <c r="AE5580">
        <v>17.86872</v>
      </c>
      <c r="AF5580">
        <v>-1.0115245518548199</v>
      </c>
      <c r="AG5580">
        <v>-1.1159628470039999</v>
      </c>
      <c r="AH5580">
        <v>18.109380604981698</v>
      </c>
      <c r="AI5580">
        <v>93.520831253226007</v>
      </c>
      <c r="AJ5580">
        <v>93.197013108522199</v>
      </c>
      <c r="AK5580">
        <v>18.171907464297401</v>
      </c>
      <c r="AL5580">
        <v>81.0546216892009</v>
      </c>
      <c r="AM5580">
        <v>99.351040830506193</v>
      </c>
      <c r="AN5580">
        <v>0.999999981797699</v>
      </c>
    </row>
    <row r="5581" spans="1:40" x14ac:dyDescent="0.25">
      <c r="A5581" t="str">
        <f>"20190304155526814"</f>
        <v>20190304155526814</v>
      </c>
      <c r="B5581" t="str">
        <f>"1551686126803020"</f>
        <v>1551686126803020</v>
      </c>
      <c r="C5581" t="s">
        <v>40</v>
      </c>
      <c r="D5581">
        <v>4.7256269999999896</v>
      </c>
      <c r="E5581">
        <v>0.55098899999999995</v>
      </c>
      <c r="F5581" t="s">
        <v>46</v>
      </c>
      <c r="G5581">
        <v>-185.1814</v>
      </c>
      <c r="H5581" s="1">
        <v>-4.078309E-6</v>
      </c>
      <c r="I5581">
        <v>-22.852989999999998</v>
      </c>
      <c r="J5581">
        <v>-188.6396</v>
      </c>
      <c r="K5581">
        <v>1.1159209999999999</v>
      </c>
      <c r="L5581">
        <v>-41.019260000000003</v>
      </c>
      <c r="M5581">
        <v>0.2371838</v>
      </c>
      <c r="N5581">
        <v>-1.4357709999999999E-2</v>
      </c>
      <c r="O5581">
        <v>0.97135870000000002</v>
      </c>
      <c r="P5581">
        <v>7.8755339999999993E-2</v>
      </c>
      <c r="Q5581">
        <v>0.14404020000000001</v>
      </c>
      <c r="R5581">
        <v>0.986433</v>
      </c>
      <c r="S5581">
        <v>0.5754089</v>
      </c>
      <c r="T5581">
        <v>-0.18311769999999999</v>
      </c>
      <c r="U5581">
        <v>3.019196</v>
      </c>
      <c r="V5581">
        <v>-0.1595644</v>
      </c>
      <c r="W5581">
        <v>0.1559507</v>
      </c>
      <c r="X5581">
        <v>0.97479159999999998</v>
      </c>
      <c r="Y5581">
        <v>-5.1297750000000003E-2</v>
      </c>
      <c r="Z5581">
        <v>-4.3399159999999999E-2</v>
      </c>
      <c r="AA5581">
        <v>0.99773999999999996</v>
      </c>
      <c r="AB5581">
        <v>23</v>
      </c>
      <c r="AC5581">
        <v>3.4582000000000002</v>
      </c>
      <c r="AD5581">
        <v>-1.115925078309</v>
      </c>
      <c r="AE5581">
        <v>18.166270000000001</v>
      </c>
      <c r="AF5581">
        <v>-0.94624443694969196</v>
      </c>
      <c r="AG5581">
        <v>-1.115925078309</v>
      </c>
      <c r="AH5581">
        <v>18.4010895116818</v>
      </c>
      <c r="AI5581">
        <v>93.465855981368406</v>
      </c>
      <c r="AJ5581">
        <v>92.943744155384294</v>
      </c>
      <c r="AK5581">
        <v>18.459164730067901</v>
      </c>
      <c r="AL5581">
        <v>81.028062483252498</v>
      </c>
      <c r="AM5581">
        <v>99.296345244762406</v>
      </c>
      <c r="AN5581">
        <v>1.0000000410042</v>
      </c>
    </row>
    <row r="5582" spans="1:40" x14ac:dyDescent="0.25">
      <c r="A5582" t="str">
        <f>"20190304155526837"</f>
        <v>20190304155526837</v>
      </c>
      <c r="B5582" t="str">
        <f>"1551686126833275"</f>
        <v>1551686126833275</v>
      </c>
      <c r="C5582" t="s">
        <v>40</v>
      </c>
      <c r="D5582">
        <v>4.6549500000000004</v>
      </c>
      <c r="E5582">
        <v>0.55350049999999995</v>
      </c>
      <c r="F5582" t="s">
        <v>46</v>
      </c>
      <c r="G5582">
        <v>-183.6738</v>
      </c>
      <c r="H5582" s="1">
        <v>-2.3593189999999999E-6</v>
      </c>
      <c r="I5582">
        <v>-18.365220000000001</v>
      </c>
      <c r="J5582">
        <v>-188.5951</v>
      </c>
      <c r="K5582">
        <v>1.1158729999999999</v>
      </c>
      <c r="L5582">
        <v>-40.795929999999998</v>
      </c>
      <c r="M5582">
        <v>0.2288586</v>
      </c>
      <c r="N5582">
        <v>-1.435669E-2</v>
      </c>
      <c r="O5582">
        <v>0.97335380000000005</v>
      </c>
      <c r="P5582">
        <v>7.1186120000000006E-2</v>
      </c>
      <c r="Q5582">
        <v>0.14500550000000001</v>
      </c>
      <c r="R5582">
        <v>0.98686669999999999</v>
      </c>
      <c r="S5582">
        <v>0.65983579999999997</v>
      </c>
      <c r="T5582">
        <v>-0.14828169999999999</v>
      </c>
      <c r="U5582">
        <v>3.0102229999999999</v>
      </c>
      <c r="V5582">
        <v>-0.158654399999999</v>
      </c>
      <c r="W5582">
        <v>0.15694669999999999</v>
      </c>
      <c r="X5582">
        <v>0.97478030000000004</v>
      </c>
      <c r="Y5582">
        <v>-1.525405E-2</v>
      </c>
      <c r="Z5582">
        <v>-3.2713199999999998E-2</v>
      </c>
      <c r="AA5582">
        <v>0.99934829999999997</v>
      </c>
      <c r="AB5582">
        <v>23</v>
      </c>
      <c r="AC5582">
        <v>4.9212999999999996</v>
      </c>
      <c r="AD5582">
        <v>-1.1158753593189901</v>
      </c>
      <c r="AE5582">
        <v>22.430710000000001</v>
      </c>
      <c r="AF5582">
        <v>-0.34252146539718997</v>
      </c>
      <c r="AG5582">
        <v>-1.1158753593189901</v>
      </c>
      <c r="AH5582">
        <v>22.907576492362399</v>
      </c>
      <c r="AI5582">
        <v>92.788480128250399</v>
      </c>
      <c r="AJ5582">
        <v>90.856641121636102</v>
      </c>
      <c r="AK5582">
        <v>22.937296255775799</v>
      </c>
      <c r="AL5582">
        <v>80.970284578807195</v>
      </c>
      <c r="AM5582">
        <v>99.244351104900304</v>
      </c>
      <c r="AN5582">
        <v>1.00000005927416</v>
      </c>
    </row>
    <row r="5583" spans="1:40" x14ac:dyDescent="0.25">
      <c r="A5583" t="str">
        <f>"20190304155526857"</f>
        <v>20190304155526857</v>
      </c>
      <c r="B5583" t="str">
        <f>"1551686126853771"</f>
        <v>1551686126853771</v>
      </c>
      <c r="C5583" t="s">
        <v>40</v>
      </c>
      <c r="D5583">
        <v>4.6811619999999996</v>
      </c>
      <c r="E5583">
        <v>0.55500749999999999</v>
      </c>
      <c r="F5583" t="s">
        <v>46</v>
      </c>
      <c r="G5583">
        <v>-183.21039999999999</v>
      </c>
      <c r="H5583" s="1">
        <v>-3.264322E-6</v>
      </c>
      <c r="I5583">
        <v>-16.068179999999899</v>
      </c>
      <c r="J5583">
        <v>-188.55600000000001</v>
      </c>
      <c r="K5583">
        <v>1.11581</v>
      </c>
      <c r="L5583">
        <v>-40.590760000000003</v>
      </c>
      <c r="M5583">
        <v>0.2212807</v>
      </c>
      <c r="N5583">
        <v>-1.435092E-2</v>
      </c>
      <c r="O5583">
        <v>0.97510459999999999</v>
      </c>
      <c r="P5583">
        <v>6.3759679999999999E-2</v>
      </c>
      <c r="Q5583">
        <v>0.14673810000000001</v>
      </c>
      <c r="R5583">
        <v>0.98711839999999995</v>
      </c>
      <c r="S5583">
        <v>0.65602109999999902</v>
      </c>
      <c r="T5583">
        <v>-0.13594690000000001</v>
      </c>
      <c r="U5583">
        <v>3.0125730000000002</v>
      </c>
      <c r="V5583">
        <v>-0.1583464</v>
      </c>
      <c r="W5583">
        <v>0.15869929999999999</v>
      </c>
      <c r="X5583">
        <v>0.97454660000000004</v>
      </c>
      <c r="Y5583">
        <v>-8.8246160000000004E-3</v>
      </c>
      <c r="Z5583">
        <v>-2.891579E-2</v>
      </c>
      <c r="AA5583">
        <v>0.99954290000000001</v>
      </c>
      <c r="AB5583">
        <v>23</v>
      </c>
      <c r="AC5583">
        <v>5.3455999999999904</v>
      </c>
      <c r="AD5583">
        <v>-1.115813264322</v>
      </c>
      <c r="AE5583">
        <v>24.522580000000001</v>
      </c>
      <c r="AF5583">
        <v>-0.21345464942263601</v>
      </c>
      <c r="AG5583">
        <v>-1.115813264322</v>
      </c>
      <c r="AH5583">
        <v>25.0480356668937</v>
      </c>
      <c r="AI5583">
        <v>92.550572672442698</v>
      </c>
      <c r="AJ5583">
        <v>90.488252039039295</v>
      </c>
      <c r="AK5583">
        <v>25.073784973517199</v>
      </c>
      <c r="AL5583">
        <v>80.868593569490898</v>
      </c>
      <c r="AM5583">
        <v>99.228888285331905</v>
      </c>
      <c r="AN5583">
        <v>1.0000000628925001</v>
      </c>
    </row>
    <row r="5584" spans="1:40" x14ac:dyDescent="0.25">
      <c r="A5584" t="str">
        <f>"20190304155526882"</f>
        <v>20190304155526882</v>
      </c>
      <c r="B5584" t="str">
        <f>"1551686126873062"</f>
        <v>1551686126873062</v>
      </c>
      <c r="C5584" t="s">
        <v>40</v>
      </c>
      <c r="D5584">
        <v>4.587707</v>
      </c>
      <c r="E5584">
        <v>0.55672630000000001</v>
      </c>
      <c r="F5584" t="s">
        <v>46</v>
      </c>
      <c r="G5584">
        <v>-182.9006</v>
      </c>
      <c r="H5584" s="1">
        <v>-3.9876690000000002E-6</v>
      </c>
      <c r="I5584">
        <v>-14.1848299999999</v>
      </c>
      <c r="J5584">
        <v>-188.5102</v>
      </c>
      <c r="K5584">
        <v>1.115702</v>
      </c>
      <c r="L5584">
        <v>-40.339869999999998</v>
      </c>
      <c r="M5584">
        <v>0.2121343</v>
      </c>
      <c r="N5584">
        <v>-1.4337269999999999E-2</v>
      </c>
      <c r="O5584">
        <v>0.97713539999999999</v>
      </c>
      <c r="P5584">
        <v>5.4248240000000003E-2</v>
      </c>
      <c r="Q5584">
        <v>0.14781469999999999</v>
      </c>
      <c r="R5584">
        <v>0.98752620000000002</v>
      </c>
      <c r="S5584">
        <v>0.64602660000000001</v>
      </c>
      <c r="T5584">
        <v>-0.12745979999999901</v>
      </c>
      <c r="U5584">
        <v>3.0163570000000002</v>
      </c>
      <c r="V5584">
        <v>-0.15854289999999999</v>
      </c>
      <c r="W5584">
        <v>0.1597961</v>
      </c>
      <c r="X5584">
        <v>0.97433530000000002</v>
      </c>
      <c r="Y5584">
        <v>-2.8669590000000001E-3</v>
      </c>
      <c r="Z5584">
        <v>-2.632456E-2</v>
      </c>
      <c r="AA5584">
        <v>0.99964929999999996</v>
      </c>
      <c r="AB5584">
        <v>23</v>
      </c>
      <c r="AC5584">
        <v>5.6096000000000004</v>
      </c>
      <c r="AD5584">
        <v>-1.1157059876690001</v>
      </c>
      <c r="AE5584">
        <v>26.15504</v>
      </c>
      <c r="AF5584">
        <v>-6.6932811549411206E-2</v>
      </c>
      <c r="AG5584">
        <v>-1.1157059876690001</v>
      </c>
      <c r="AH5584">
        <v>26.7032981352842</v>
      </c>
      <c r="AI5584">
        <v>92.392509130909701</v>
      </c>
      <c r="AJ5584">
        <v>90.1436137050177</v>
      </c>
      <c r="AK5584">
        <v>26.726679763001901</v>
      </c>
      <c r="AL5584">
        <v>80.804938297392198</v>
      </c>
      <c r="AM5584">
        <v>99.242112746136797</v>
      </c>
      <c r="AN5584">
        <v>0.99999996077085396</v>
      </c>
    </row>
    <row r="5585" spans="1:40" x14ac:dyDescent="0.25">
      <c r="A5585" t="str">
        <f>"20190304155526923"</f>
        <v>20190304155526923</v>
      </c>
      <c r="B5585" t="str">
        <f>"1551686126913078"</f>
        <v>1551686126913078</v>
      </c>
      <c r="C5585" t="s">
        <v>40</v>
      </c>
      <c r="D5585">
        <v>4.4485849999999996</v>
      </c>
      <c r="E5585">
        <v>0.57165619999999995</v>
      </c>
      <c r="F5585" t="s">
        <v>46</v>
      </c>
      <c r="G5585">
        <v>-182.55090000000001</v>
      </c>
      <c r="H5585" s="1">
        <v>-4.956288E-6</v>
      </c>
      <c r="I5585">
        <v>-11.89405</v>
      </c>
      <c r="J5585">
        <v>-188.44059999999999</v>
      </c>
      <c r="K5585">
        <v>1.1154729999999999</v>
      </c>
      <c r="L5585">
        <v>-39.931060000000002</v>
      </c>
      <c r="M5585">
        <v>0.1976011</v>
      </c>
      <c r="N5585">
        <v>-1.429106E-2</v>
      </c>
      <c r="O5585">
        <v>0.98017840000000001</v>
      </c>
      <c r="P5585">
        <v>4.3186469999999998E-2</v>
      </c>
      <c r="Q5585">
        <v>0.144613299999999</v>
      </c>
      <c r="R5585">
        <v>0.98854540000000002</v>
      </c>
      <c r="S5585">
        <v>0.63285829999999998</v>
      </c>
      <c r="T5585">
        <v>-0.118485199999999</v>
      </c>
      <c r="U5585">
        <v>3.0208740000000001</v>
      </c>
      <c r="V5585">
        <v>-0.15494769999999999</v>
      </c>
      <c r="W5585">
        <v>0.1566892</v>
      </c>
      <c r="X5585">
        <v>0.97541770000000005</v>
      </c>
      <c r="Y5585">
        <v>7.5164300000000002E-3</v>
      </c>
      <c r="Z5585">
        <v>-2.3640680000000001E-2</v>
      </c>
      <c r="AA5585">
        <v>0.99969229999999998</v>
      </c>
      <c r="AB5585">
        <v>23</v>
      </c>
      <c r="AC5585">
        <v>5.8896999999999702</v>
      </c>
      <c r="AD5585">
        <v>-1.1154779562879999</v>
      </c>
      <c r="AE5585">
        <v>28.037009999999899</v>
      </c>
      <c r="AF5585">
        <v>0.232484018986052</v>
      </c>
      <c r="AG5585">
        <v>-1.1154779562879999</v>
      </c>
      <c r="AH5585">
        <v>28.6046414512791</v>
      </c>
      <c r="AI5585">
        <v>92.233123725671206</v>
      </c>
      <c r="AJ5585">
        <v>89.534339214514702</v>
      </c>
      <c r="AK5585">
        <v>28.627327022379902</v>
      </c>
      <c r="AL5585">
        <v>80.985222458471199</v>
      </c>
      <c r="AM5585">
        <v>99.026168827138306</v>
      </c>
      <c r="AN5585">
        <v>0.99999999230260905</v>
      </c>
    </row>
    <row r="5586" spans="1:40" x14ac:dyDescent="0.25">
      <c r="A5586" t="str">
        <f>"20190304155526947"</f>
        <v>20190304155526947</v>
      </c>
      <c r="B5586" t="str">
        <f>"1551686126943334"</f>
        <v>1551686126943334</v>
      </c>
      <c r="C5586" t="s">
        <v>40</v>
      </c>
      <c r="D5586">
        <v>4.5157720000000001</v>
      </c>
      <c r="E5586">
        <v>0.56594630000000001</v>
      </c>
      <c r="F5586" t="s">
        <v>46</v>
      </c>
      <c r="G5586">
        <v>-179.66130000000001</v>
      </c>
      <c r="H5586">
        <v>7.9986059999999998E-2</v>
      </c>
      <c r="I5586">
        <v>-3.0125320000000002</v>
      </c>
      <c r="J5586">
        <v>-188.4023</v>
      </c>
      <c r="K5586">
        <v>1.1153470000000001</v>
      </c>
      <c r="L5586">
        <v>-39.690550000000002</v>
      </c>
      <c r="M5586">
        <v>0.18927949999999999</v>
      </c>
      <c r="N5586">
        <v>-1.425919E-2</v>
      </c>
      <c r="O5586">
        <v>0.98181969999999996</v>
      </c>
      <c r="P5586">
        <v>3.6726759999999997E-2</v>
      </c>
      <c r="Q5586">
        <v>0.145867</v>
      </c>
      <c r="R5586">
        <v>0.98862220000000001</v>
      </c>
      <c r="S5586">
        <v>0.71716309999999905</v>
      </c>
      <c r="T5586">
        <v>-8.4587099999999998E-2</v>
      </c>
      <c r="U5586">
        <v>3.0158079999999998</v>
      </c>
      <c r="V5586">
        <v>-0.1529722</v>
      </c>
      <c r="W5586">
        <v>0.15798509999999999</v>
      </c>
      <c r="X5586">
        <v>0.97552050000000001</v>
      </c>
      <c r="Y5586">
        <v>4.2971380000000003E-2</v>
      </c>
      <c r="Z5586">
        <v>-1.2953859999999999E-2</v>
      </c>
      <c r="AA5586">
        <v>0.99899230000000006</v>
      </c>
      <c r="AB5586">
        <v>23</v>
      </c>
      <c r="AC5586">
        <v>8.7409999999999801</v>
      </c>
      <c r="AD5586">
        <v>-1.0353609399999999</v>
      </c>
      <c r="AE5586">
        <v>36.678018000000002</v>
      </c>
      <c r="AF5586">
        <v>1.6386202811607899</v>
      </c>
      <c r="AG5586">
        <v>-1.0353609399999999</v>
      </c>
      <c r="AH5586">
        <v>37.641140881359199</v>
      </c>
      <c r="AI5586">
        <v>91.574096022984094</v>
      </c>
      <c r="AJ5586">
        <v>87.507334160924302</v>
      </c>
      <c r="AK5586">
        <v>37.691013989440997</v>
      </c>
      <c r="AL5586">
        <v>80.910036621087997</v>
      </c>
      <c r="AM5586">
        <v>98.912025038446302</v>
      </c>
      <c r="AN5586">
        <v>1.0000000158575399</v>
      </c>
    </row>
    <row r="5587" spans="1:40" x14ac:dyDescent="0.25">
      <c r="A5587" t="str">
        <f>"20190304155526968"</f>
        <v>20190304155526968</v>
      </c>
      <c r="B5587" t="str">
        <f>"1551686126962854"</f>
        <v>1551686126962854</v>
      </c>
      <c r="C5587" t="s">
        <v>40</v>
      </c>
      <c r="D5587">
        <v>4.4967079999999999</v>
      </c>
      <c r="E5587">
        <v>0.57472250000000003</v>
      </c>
      <c r="F5587" t="s">
        <v>46</v>
      </c>
      <c r="G5587">
        <v>-180.751</v>
      </c>
      <c r="H5587" s="1">
        <v>-4.5463669999999999E-6</v>
      </c>
      <c r="I5587">
        <v>-4.2237309999999999</v>
      </c>
      <c r="J5587">
        <v>-188.37</v>
      </c>
      <c r="K5587">
        <v>1.1152439999999999</v>
      </c>
      <c r="L5587">
        <v>-39.478119999999997</v>
      </c>
      <c r="M5587">
        <v>0.18207660000000001</v>
      </c>
      <c r="N5587">
        <v>-1.4231529999999999E-2</v>
      </c>
      <c r="O5587">
        <v>0.98318139999999998</v>
      </c>
      <c r="P5587">
        <v>3.1468490000000002E-2</v>
      </c>
      <c r="Q5587">
        <v>0.14843100000000001</v>
      </c>
      <c r="R5587">
        <v>0.98842200000000002</v>
      </c>
      <c r="S5587">
        <v>0.65243530000000005</v>
      </c>
      <c r="T5587">
        <v>-9.5108150000000002E-2</v>
      </c>
      <c r="U5587">
        <v>3.0243229999999999</v>
      </c>
      <c r="V5587">
        <v>-0.1509209</v>
      </c>
      <c r="W5587">
        <v>0.16058639999999999</v>
      </c>
      <c r="X5587">
        <v>0.97541520000000004</v>
      </c>
      <c r="Y5587">
        <v>2.9314369999999999E-2</v>
      </c>
      <c r="Z5587">
        <v>-1.6342430000000002E-2</v>
      </c>
      <c r="AA5587">
        <v>0.99943660000000001</v>
      </c>
      <c r="AB5587">
        <v>23</v>
      </c>
      <c r="AC5587">
        <v>7.6190000000000202</v>
      </c>
      <c r="AD5587">
        <v>-1.1152485463670001</v>
      </c>
      <c r="AE5587">
        <v>35.254389000000003</v>
      </c>
      <c r="AF5587">
        <v>1.07094441182661</v>
      </c>
      <c r="AG5587">
        <v>-1.1152485463670001</v>
      </c>
      <c r="AH5587">
        <v>36.017914807631897</v>
      </c>
      <c r="AI5587">
        <v>91.772740739319801</v>
      </c>
      <c r="AJ5587">
        <v>88.296888589153795</v>
      </c>
      <c r="AK5587">
        <v>36.0510872005717</v>
      </c>
      <c r="AL5587">
        <v>80.7590650357768</v>
      </c>
      <c r="AM5587">
        <v>98.795333233133206</v>
      </c>
      <c r="AN5587">
        <v>0.99999996115640399</v>
      </c>
    </row>
    <row r="5588" spans="1:40" x14ac:dyDescent="0.25">
      <c r="A5588" t="str">
        <f>"20190304155526992"</f>
        <v>20190304155526992</v>
      </c>
      <c r="B5588" t="str">
        <f>"1551686126983791"</f>
        <v>1551686126983791</v>
      </c>
      <c r="C5588" t="s">
        <v>40</v>
      </c>
      <c r="D5588">
        <v>4.4361699999999997</v>
      </c>
      <c r="E5588">
        <v>0.57448109999999997</v>
      </c>
      <c r="F5588" t="s">
        <v>46</v>
      </c>
      <c r="G5588">
        <v>-178.84450000000001</v>
      </c>
      <c r="H5588">
        <v>7.9985890000000004E-2</v>
      </c>
      <c r="I5588">
        <v>1.294875</v>
      </c>
      <c r="J5588">
        <v>-188.33580000000001</v>
      </c>
      <c r="K5588">
        <v>1.115103</v>
      </c>
      <c r="L5588">
        <v>-39.24277</v>
      </c>
      <c r="M5588">
        <v>0.1743207</v>
      </c>
      <c r="N5588">
        <v>-1.419871E-2</v>
      </c>
      <c r="O5588">
        <v>0.98458650000000003</v>
      </c>
      <c r="P5588">
        <v>2.499177E-2</v>
      </c>
      <c r="Q5588">
        <v>0.14825959999999999</v>
      </c>
      <c r="R5588">
        <v>0.98863259999999997</v>
      </c>
      <c r="S5588">
        <v>0.70651249999999999</v>
      </c>
      <c r="T5588">
        <v>-7.678604E-2</v>
      </c>
      <c r="U5588">
        <v>3.0241699999999998</v>
      </c>
      <c r="V5588">
        <v>-0.149564</v>
      </c>
      <c r="W5588">
        <v>0.1604546</v>
      </c>
      <c r="X5588">
        <v>0.97564589999999995</v>
      </c>
      <c r="Y5588">
        <v>5.421757E-2</v>
      </c>
      <c r="Z5588">
        <v>-1.054359E-2</v>
      </c>
      <c r="AA5588">
        <v>0.99847350000000001</v>
      </c>
      <c r="AB5588">
        <v>23</v>
      </c>
      <c r="AC5588">
        <v>9.4912999999999901</v>
      </c>
      <c r="AD5588">
        <v>-1.0351171099999901</v>
      </c>
      <c r="AE5588">
        <v>40.537644999999998</v>
      </c>
      <c r="AF5588">
        <v>2.2772773652405101</v>
      </c>
      <c r="AG5588">
        <v>-1.0351171099999901</v>
      </c>
      <c r="AH5588">
        <v>41.545860155681602</v>
      </c>
      <c r="AI5588">
        <v>91.425093459593199</v>
      </c>
      <c r="AJ5588">
        <v>86.862552826166194</v>
      </c>
      <c r="AK5588">
        <v>41.621099885816399</v>
      </c>
      <c r="AL5588">
        <v>80.7667161510835</v>
      </c>
      <c r="AM5588">
        <v>98.715446578412894</v>
      </c>
      <c r="AN5588">
        <v>0.99999999547198404</v>
      </c>
    </row>
    <row r="5589" spans="1:40" x14ac:dyDescent="0.25">
      <c r="A5589" t="str">
        <f>"20190304155527016"</f>
        <v>20190304155527016</v>
      </c>
      <c r="B5589" t="str">
        <f>"1551686127013071"</f>
        <v>1551686127013071</v>
      </c>
      <c r="C5589" t="s">
        <v>40</v>
      </c>
      <c r="D5589">
        <v>4.4253030000000004</v>
      </c>
      <c r="E5589">
        <v>0.57676660000000002</v>
      </c>
      <c r="F5589" t="s">
        <v>46</v>
      </c>
      <c r="G5589">
        <v>-178.7013</v>
      </c>
      <c r="H5589">
        <v>7.9986509999999997E-2</v>
      </c>
      <c r="I5589">
        <v>3.3575539999999999</v>
      </c>
      <c r="J5589">
        <v>-188.3032</v>
      </c>
      <c r="K5589">
        <v>1.1149129999999901</v>
      </c>
      <c r="L5589">
        <v>-39.007480000000001</v>
      </c>
      <c r="M5589">
        <v>0.16683770000000001</v>
      </c>
      <c r="N5589">
        <v>-1.4161669999999999E-2</v>
      </c>
      <c r="O5589">
        <v>0.98588260000000005</v>
      </c>
      <c r="P5589">
        <v>1.9503E-2</v>
      </c>
      <c r="Q5589">
        <v>0.14763499999999999</v>
      </c>
      <c r="R5589">
        <v>0.9888496</v>
      </c>
      <c r="S5589">
        <v>0.68486020000000003</v>
      </c>
      <c r="T5589">
        <v>-7.3580149999999997E-2</v>
      </c>
      <c r="U5589">
        <v>3.0281980000000002</v>
      </c>
      <c r="V5589">
        <v>-0.14750350000000001</v>
      </c>
      <c r="W5589">
        <v>0.15988659999999999</v>
      </c>
      <c r="X5589">
        <v>0.97605280000000005</v>
      </c>
      <c r="Y5589">
        <v>5.4728480000000003E-2</v>
      </c>
      <c r="Z5589">
        <v>-9.5724290000000004E-3</v>
      </c>
      <c r="AA5589">
        <v>0.99845539999999999</v>
      </c>
      <c r="AB5589">
        <v>23</v>
      </c>
      <c r="AC5589">
        <v>9.6019000000000005</v>
      </c>
      <c r="AD5589">
        <v>-1.0349264899999999</v>
      </c>
      <c r="AE5589">
        <v>42.365034000000001</v>
      </c>
      <c r="AF5589">
        <v>2.3971413452157</v>
      </c>
      <c r="AG5589">
        <v>-1.0349264899999999</v>
      </c>
      <c r="AH5589">
        <v>43.3486560298388</v>
      </c>
      <c r="AI5589">
        <v>91.365561408465894</v>
      </c>
      <c r="AJ5589">
        <v>86.834819118028605</v>
      </c>
      <c r="AK5589">
        <v>43.427218873212801</v>
      </c>
      <c r="AL5589">
        <v>80.799686207919706</v>
      </c>
      <c r="AM5589">
        <v>98.593652253887399</v>
      </c>
      <c r="AN5589">
        <v>1.0000000378798199</v>
      </c>
    </row>
    <row r="5590" spans="1:40" x14ac:dyDescent="0.25">
      <c r="A5590" t="str">
        <f>"20190304155527058"</f>
        <v>20190304155527058</v>
      </c>
      <c r="B5590" t="str">
        <f>"1551686127053087"</f>
        <v>1551686127053087</v>
      </c>
      <c r="C5590" t="s">
        <v>40</v>
      </c>
      <c r="D5590">
        <v>4.4974470000000002</v>
      </c>
      <c r="E5590">
        <v>0.50619609999999904</v>
      </c>
      <c r="F5590" t="s">
        <v>46</v>
      </c>
      <c r="G5590">
        <v>-178.78469999999999</v>
      </c>
      <c r="H5590">
        <v>7.9986409999999994E-2</v>
      </c>
      <c r="I5590">
        <v>3.016143</v>
      </c>
      <c r="J5590">
        <v>-188.24760000000001</v>
      </c>
      <c r="K5590">
        <v>1.114501</v>
      </c>
      <c r="L5590">
        <v>-38.578580000000002</v>
      </c>
      <c r="M5590">
        <v>0.15398779999999901</v>
      </c>
      <c r="N5590">
        <v>-1.408441E-2</v>
      </c>
      <c r="O5590">
        <v>0.98797239999999997</v>
      </c>
      <c r="P5590">
        <v>7.0817850000000002E-3</v>
      </c>
      <c r="Q5590">
        <v>0.15184639999999999</v>
      </c>
      <c r="R5590">
        <v>0.98837870000000005</v>
      </c>
      <c r="S5590">
        <v>0.68663019999999997</v>
      </c>
      <c r="T5590">
        <v>-7.4655890000000003E-2</v>
      </c>
      <c r="U5590">
        <v>3.0314329999999998</v>
      </c>
      <c r="V5590">
        <v>-0.1468381</v>
      </c>
      <c r="W5590">
        <v>0.16416510000000001</v>
      </c>
      <c r="X5590">
        <v>0.97544260000000005</v>
      </c>
      <c r="Y5590">
        <v>6.8044610000000005E-2</v>
      </c>
      <c r="Z5590">
        <v>-1.001061E-2</v>
      </c>
      <c r="AA5590">
        <v>0.99763199999999996</v>
      </c>
      <c r="AB5590">
        <v>23</v>
      </c>
      <c r="AC5590">
        <v>9.4629000000000101</v>
      </c>
      <c r="AD5590">
        <v>-1.0345145899999999</v>
      </c>
      <c r="AE5590">
        <v>41.594722999999902</v>
      </c>
      <c r="AF5590">
        <v>2.9425654282010698</v>
      </c>
      <c r="AG5590">
        <v>-1.0345145899999999</v>
      </c>
      <c r="AH5590">
        <v>42.530814858457802</v>
      </c>
      <c r="AI5590">
        <v>91.390059431777203</v>
      </c>
      <c r="AJ5590">
        <v>86.042202857034098</v>
      </c>
      <c r="AK5590">
        <v>42.645036337897302</v>
      </c>
      <c r="AL5590">
        <v>80.551262523082301</v>
      </c>
      <c r="AM5590">
        <v>98.560733256994595</v>
      </c>
      <c r="AN5590">
        <v>0.99999993678218801</v>
      </c>
    </row>
    <row r="5591" spans="1:40" x14ac:dyDescent="0.25">
      <c r="A5591" t="str">
        <f>"20190304155527083"</f>
        <v>20190304155527083</v>
      </c>
      <c r="B5591" t="str">
        <f>"1551686127073135"</f>
        <v>1551686127073135</v>
      </c>
      <c r="C5591" t="s">
        <v>40</v>
      </c>
      <c r="D5591">
        <v>4.5017899999999997</v>
      </c>
      <c r="E5591">
        <v>0.50665649999999995</v>
      </c>
      <c r="F5591" t="s">
        <v>46</v>
      </c>
      <c r="G5591">
        <v>-187.47749999999999</v>
      </c>
      <c r="H5591" s="1">
        <v>-3.9821429999999997E-6</v>
      </c>
      <c r="I5591">
        <v>-12.12776</v>
      </c>
      <c r="J5591">
        <v>-188.21770000000001</v>
      </c>
      <c r="K5591">
        <v>1.1142620000000001</v>
      </c>
      <c r="L5591">
        <v>-38.332949999999997</v>
      </c>
      <c r="M5591">
        <v>0.14709239999999901</v>
      </c>
      <c r="N5591">
        <v>-1.4032660000000001E-2</v>
      </c>
      <c r="O5591">
        <v>0.98902319999999999</v>
      </c>
      <c r="P5591">
        <v>3.8014629999999998E-4</v>
      </c>
      <c r="Q5591">
        <v>0.150596799999999</v>
      </c>
      <c r="R5591">
        <v>0.98859520000000001</v>
      </c>
      <c r="S5591">
        <v>8.8928220000000002E-2</v>
      </c>
      <c r="T5591">
        <v>-0.1286976</v>
      </c>
      <c r="U5591">
        <v>3.0544129999999998</v>
      </c>
      <c r="V5591">
        <v>-0.1465698</v>
      </c>
      <c r="W5591">
        <v>0.16295290000000001</v>
      </c>
      <c r="X5591">
        <v>0.97568630000000001</v>
      </c>
      <c r="Y5591">
        <v>-0.11822249999999999</v>
      </c>
      <c r="Z5591">
        <v>-2.726085E-2</v>
      </c>
      <c r="AA5591">
        <v>0.99261279999999996</v>
      </c>
      <c r="AB5591">
        <v>23</v>
      </c>
      <c r="AC5591">
        <v>0.74020000000001496</v>
      </c>
      <c r="AD5591">
        <v>-1.1142659821430001</v>
      </c>
      <c r="AE5591">
        <v>26.205189999999899</v>
      </c>
      <c r="AF5591">
        <v>-3.1171853901460298</v>
      </c>
      <c r="AG5591">
        <v>-1.1142659821430001</v>
      </c>
      <c r="AH5591">
        <v>25.982043217773899</v>
      </c>
      <c r="AI5591">
        <v>92.438218482390795</v>
      </c>
      <c r="AJ5591">
        <v>96.841339076081098</v>
      </c>
      <c r="AK5591">
        <v>26.192079016484598</v>
      </c>
      <c r="AL5591">
        <v>80.621665659424806</v>
      </c>
      <c r="AM5591">
        <v>98.543219481496095</v>
      </c>
      <c r="AN5591">
        <v>1.00000005494906</v>
      </c>
    </row>
    <row r="5592" spans="1:40" x14ac:dyDescent="0.25">
      <c r="A5592" t="str">
        <f>"20190304155527125"</f>
        <v>20190304155527125</v>
      </c>
      <c r="B5592" t="str">
        <f>"1551686127113129"</f>
        <v>1551686127113129</v>
      </c>
      <c r="C5592" t="s">
        <v>40</v>
      </c>
      <c r="D5592">
        <v>4.4989059999999998</v>
      </c>
      <c r="E5592">
        <v>0.50846979999999997</v>
      </c>
      <c r="F5592" t="s">
        <v>46</v>
      </c>
      <c r="G5592">
        <v>-187.59289999999999</v>
      </c>
      <c r="H5592" s="1">
        <v>-4.0990820000000002E-6</v>
      </c>
      <c r="I5592">
        <v>-11.80743</v>
      </c>
      <c r="J5592">
        <v>-188.16929999999999</v>
      </c>
      <c r="K5592">
        <v>1.11385499999999</v>
      </c>
      <c r="L5592">
        <v>-37.911290000000001</v>
      </c>
      <c r="M5592">
        <v>0.13620399999999999</v>
      </c>
      <c r="N5592">
        <v>-1.392961E-2</v>
      </c>
      <c r="O5592">
        <v>0.99058290000000004</v>
      </c>
      <c r="P5592">
        <v>-7.4687219999999997E-3</v>
      </c>
      <c r="Q5592">
        <v>0.14799079999999901</v>
      </c>
      <c r="R5592">
        <v>0.98896059999999997</v>
      </c>
      <c r="S5592">
        <v>7.1929930000000003E-2</v>
      </c>
      <c r="T5592">
        <v>-0.1282963</v>
      </c>
      <c r="U5592">
        <v>3.054138</v>
      </c>
      <c r="V5592">
        <v>-0.1434502</v>
      </c>
      <c r="W5592">
        <v>0.1604236</v>
      </c>
      <c r="X5592">
        <v>0.97656860000000001</v>
      </c>
      <c r="Y5592">
        <v>-0.11281819999999999</v>
      </c>
      <c r="Z5592">
        <v>-2.7345390000000001E-2</v>
      </c>
      <c r="AA5592">
        <v>0.99323930000000005</v>
      </c>
      <c r="AB5592">
        <v>23</v>
      </c>
      <c r="AC5592">
        <v>0.57640000000000602</v>
      </c>
      <c r="AD5592">
        <v>-1.1138590990820001</v>
      </c>
      <c r="AE5592">
        <v>26.103860000000001</v>
      </c>
      <c r="AF5592">
        <v>-2.9793456742284201</v>
      </c>
      <c r="AG5592">
        <v>-1.1138590990820001</v>
      </c>
      <c r="AH5592">
        <v>25.891941531171199</v>
      </c>
      <c r="AI5592">
        <v>92.447190312653703</v>
      </c>
      <c r="AJ5592">
        <v>96.564067283436302</v>
      </c>
      <c r="AK5592">
        <v>26.086583122224699</v>
      </c>
      <c r="AL5592">
        <v>80.768515309353205</v>
      </c>
      <c r="AM5592">
        <v>98.356534843484596</v>
      </c>
      <c r="AN5592">
        <v>0.99999996091147902</v>
      </c>
    </row>
    <row r="5593" spans="1:40" x14ac:dyDescent="0.25">
      <c r="A5593" t="str">
        <f>"20190304155527147"</f>
        <v>20190304155527147</v>
      </c>
      <c r="B5593" t="str">
        <f>"1551686127143386"</f>
        <v>1551686127143386</v>
      </c>
      <c r="C5593" t="s">
        <v>40</v>
      </c>
      <c r="D5593">
        <v>4.5033779999999997</v>
      </c>
      <c r="E5593">
        <v>0.51036939999999997</v>
      </c>
      <c r="F5593" t="s">
        <v>46</v>
      </c>
      <c r="G5593">
        <v>-187.6816</v>
      </c>
      <c r="H5593" s="1">
        <v>-3.4593040000000002E-6</v>
      </c>
      <c r="I5593">
        <v>-13.26211</v>
      </c>
      <c r="J5593">
        <v>-188.14500000000001</v>
      </c>
      <c r="K5593">
        <v>1.1136680000000001</v>
      </c>
      <c r="L5593">
        <v>-37.686950000000003</v>
      </c>
      <c r="M5593">
        <v>0.13085189999999999</v>
      </c>
      <c r="N5593">
        <v>-1.387511E-2</v>
      </c>
      <c r="O5593">
        <v>0.99130479999999999</v>
      </c>
      <c r="P5593">
        <v>-1.3458589999999999E-2</v>
      </c>
      <c r="Q5593">
        <v>0.15138960000000001</v>
      </c>
      <c r="R5593">
        <v>0.9883826</v>
      </c>
      <c r="S5593">
        <v>6.0440059999999997E-2</v>
      </c>
      <c r="T5593">
        <v>-0.13803260000000001</v>
      </c>
      <c r="U5593">
        <v>3.0545960000000001</v>
      </c>
      <c r="V5593">
        <v>-0.14397589999999999</v>
      </c>
      <c r="W5593">
        <v>0.1638232</v>
      </c>
      <c r="X5593">
        <v>0.97592670000000004</v>
      </c>
      <c r="Y5593">
        <v>-0.1111895</v>
      </c>
      <c r="Z5593">
        <v>-3.0569010000000001E-2</v>
      </c>
      <c r="AA5593">
        <v>0.99332900000000002</v>
      </c>
      <c r="AB5593">
        <v>23</v>
      </c>
      <c r="AC5593">
        <v>0.46340000000000697</v>
      </c>
      <c r="AD5593">
        <v>-1.113671459304</v>
      </c>
      <c r="AE5593">
        <v>24.42484</v>
      </c>
      <c r="AF5593">
        <v>-2.7312534364802499</v>
      </c>
      <c r="AG5593">
        <v>-1.113671459304</v>
      </c>
      <c r="AH5593">
        <v>24.225090016717399</v>
      </c>
      <c r="AI5593">
        <v>92.615589832185094</v>
      </c>
      <c r="AJ5593">
        <v>96.432638247481407</v>
      </c>
      <c r="AK5593">
        <v>24.403995487862499</v>
      </c>
      <c r="AL5593">
        <v>80.571121524246294</v>
      </c>
      <c r="AM5593">
        <v>98.392161837865103</v>
      </c>
      <c r="AN5593">
        <v>1.00000001220597</v>
      </c>
    </row>
    <row r="5594" spans="1:40" x14ac:dyDescent="0.25">
      <c r="A5594" t="str">
        <f>"20190304155527170"</f>
        <v>20190304155527170</v>
      </c>
      <c r="B5594" t="str">
        <f>"1551686127162905"</f>
        <v>1551686127162905</v>
      </c>
      <c r="C5594" t="s">
        <v>40</v>
      </c>
      <c r="D5594">
        <v>4.4804019999999998</v>
      </c>
      <c r="E5594">
        <v>0.51146729999999996</v>
      </c>
      <c r="F5594" t="s">
        <v>46</v>
      </c>
      <c r="G5594">
        <v>-187.63059999999999</v>
      </c>
      <c r="H5594" s="1">
        <v>-4.6278120000000003E-6</v>
      </c>
      <c r="I5594">
        <v>-10.559380000000001</v>
      </c>
      <c r="J5594">
        <v>-188.12110000000001</v>
      </c>
      <c r="K5594">
        <v>1.1134820000000001</v>
      </c>
      <c r="L5594">
        <v>-37.45749</v>
      </c>
      <c r="M5594">
        <v>0.12565190000000001</v>
      </c>
      <c r="N5594">
        <v>-1.381895E-2</v>
      </c>
      <c r="O5594">
        <v>0.99197820000000003</v>
      </c>
      <c r="P5594">
        <v>-1.9830980000000002E-2</v>
      </c>
      <c r="Q5594">
        <v>0.1525244</v>
      </c>
      <c r="R5594">
        <v>0.98810070000000005</v>
      </c>
      <c r="S5594">
        <v>5.7937620000000002E-2</v>
      </c>
      <c r="T5594">
        <v>-0.1254284</v>
      </c>
      <c r="U5594">
        <v>3.0552670000000002</v>
      </c>
      <c r="V5594">
        <v>-0.1450659</v>
      </c>
      <c r="W5594">
        <v>0.1649534</v>
      </c>
      <c r="X5594">
        <v>0.97557490000000002</v>
      </c>
      <c r="Y5594">
        <v>-0.10679760000000001</v>
      </c>
      <c r="Z5594">
        <v>-2.6615610000000001E-2</v>
      </c>
      <c r="AA5594">
        <v>0.99392449999999999</v>
      </c>
      <c r="AB5594">
        <v>23</v>
      </c>
      <c r="AC5594">
        <v>0.49050000000002503</v>
      </c>
      <c r="AD5594">
        <v>-1.1134866278119999</v>
      </c>
      <c r="AE5594">
        <v>26.898109999999999</v>
      </c>
      <c r="AF5594">
        <v>-2.8885610614021</v>
      </c>
      <c r="AG5594">
        <v>-1.1134866278119999</v>
      </c>
      <c r="AH5594">
        <v>26.700782372756802</v>
      </c>
      <c r="AI5594">
        <v>92.374151162679496</v>
      </c>
      <c r="AJ5594">
        <v>96.1743959520837</v>
      </c>
      <c r="AK5594">
        <v>26.879646887433001</v>
      </c>
      <c r="AL5594">
        <v>80.505473207645906</v>
      </c>
      <c r="AM5594">
        <v>98.457786309716397</v>
      </c>
      <c r="AN5594">
        <v>1.0000000625121801</v>
      </c>
    </row>
    <row r="5595" spans="1:40" x14ac:dyDescent="0.25">
      <c r="A5595" t="str">
        <f>"20190304155527193"</f>
        <v>20190304155527193</v>
      </c>
      <c r="B5595" t="str">
        <f>"1551686127182932"</f>
        <v>1551686127182932</v>
      </c>
      <c r="C5595" t="s">
        <v>40</v>
      </c>
      <c r="D5595">
        <v>4.5541589999999896</v>
      </c>
      <c r="E5595">
        <v>0.51252010000000003</v>
      </c>
      <c r="F5595" t="s">
        <v>46</v>
      </c>
      <c r="G5595">
        <v>-187.67250000000001</v>
      </c>
      <c r="H5595" s="1">
        <v>-1.0330929999999999E-6</v>
      </c>
      <c r="I5595">
        <v>-9.1359370000000002</v>
      </c>
      <c r="J5595">
        <v>-188.09819999999999</v>
      </c>
      <c r="K5595">
        <v>1.1132759999999999</v>
      </c>
      <c r="L5595">
        <v>-37.22983</v>
      </c>
      <c r="M5595">
        <v>0.1208307</v>
      </c>
      <c r="N5595">
        <v>-1.3750439999999999E-2</v>
      </c>
      <c r="O5595">
        <v>0.99257790000000001</v>
      </c>
      <c r="P5595">
        <v>-2.493151E-2</v>
      </c>
      <c r="Q5595">
        <v>0.15009639999999999</v>
      </c>
      <c r="R5595">
        <v>0.98835689999999998</v>
      </c>
      <c r="S5595">
        <v>4.840088E-2</v>
      </c>
      <c r="T5595">
        <v>-0.12013450000000001</v>
      </c>
      <c r="U5595">
        <v>3.055634</v>
      </c>
      <c r="V5595">
        <v>-0.14530979999999999</v>
      </c>
      <c r="W5595">
        <v>0.16253219999999999</v>
      </c>
      <c r="X5595">
        <v>0.9759449</v>
      </c>
      <c r="Y5595">
        <v>-0.1050714</v>
      </c>
      <c r="Z5595">
        <v>-2.5012329999999999E-2</v>
      </c>
      <c r="AA5595">
        <v>0.99415010000000004</v>
      </c>
      <c r="AB5595">
        <v>23</v>
      </c>
      <c r="AC5595">
        <v>0.42569999999997699</v>
      </c>
      <c r="AD5595">
        <v>-1.113277033093</v>
      </c>
      <c r="AE5595">
        <v>28.093892999999898</v>
      </c>
      <c r="AF5595">
        <v>-2.96768623743626</v>
      </c>
      <c r="AG5595">
        <v>-1.113277033093</v>
      </c>
      <c r="AH5595">
        <v>27.895661604703399</v>
      </c>
      <c r="AI5595">
        <v>92.272571501047807</v>
      </c>
      <c r="AJ5595">
        <v>96.072583671306205</v>
      </c>
      <c r="AK5595">
        <v>28.0751577683974</v>
      </c>
      <c r="AL5595">
        <v>80.646095641883406</v>
      </c>
      <c r="AM5595">
        <v>98.468634994967601</v>
      </c>
      <c r="AN5595">
        <v>1.00000005092444</v>
      </c>
    </row>
    <row r="5596" spans="1:40" x14ac:dyDescent="0.25">
      <c r="A5596" t="str">
        <f>"20190304155527218"</f>
        <v>20190304155527218</v>
      </c>
      <c r="B5596" t="str">
        <f>"1551686127213188"</f>
        <v>1551686127213188</v>
      </c>
      <c r="C5596" t="s">
        <v>40</v>
      </c>
      <c r="D5596">
        <v>4.5491449999999896</v>
      </c>
      <c r="E5596">
        <v>0.52276999999999996</v>
      </c>
      <c r="F5596" t="s">
        <v>46</v>
      </c>
      <c r="G5596">
        <v>-187.73179999999999</v>
      </c>
      <c r="H5596" s="1">
        <v>-6.0989299999999999E-7</v>
      </c>
      <c r="I5596">
        <v>-10.33314</v>
      </c>
      <c r="J5596">
        <v>-188.07429999999999</v>
      </c>
      <c r="K5596">
        <v>1.113011</v>
      </c>
      <c r="L5596">
        <v>-36.983980000000003</v>
      </c>
      <c r="M5596">
        <v>0.116035</v>
      </c>
      <c r="N5596">
        <v>-1.3660210000000001E-2</v>
      </c>
      <c r="O5596">
        <v>0.99315120000000001</v>
      </c>
      <c r="P5596">
        <v>-2.9911690000000001E-2</v>
      </c>
      <c r="Q5596">
        <v>0.1489972</v>
      </c>
      <c r="R5596">
        <v>0.98838510000000002</v>
      </c>
      <c r="S5596">
        <v>4.162598E-2</v>
      </c>
      <c r="T5596">
        <v>-0.126474</v>
      </c>
      <c r="U5596">
        <v>3.0556030000000001</v>
      </c>
      <c r="V5596">
        <v>-0.14542469999999999</v>
      </c>
      <c r="W5596">
        <v>0.16143589999999999</v>
      </c>
      <c r="X5596">
        <v>0.97610969999999997</v>
      </c>
      <c r="Y5596">
        <v>-0.1024718</v>
      </c>
      <c r="Z5596">
        <v>-2.718431E-2</v>
      </c>
      <c r="AA5596">
        <v>0.99436440000000004</v>
      </c>
      <c r="AB5596">
        <v>23</v>
      </c>
      <c r="AC5596">
        <v>0.34250000000000103</v>
      </c>
      <c r="AD5596">
        <v>-1.1130116098930001</v>
      </c>
      <c r="AE5596">
        <v>26.650839999999899</v>
      </c>
      <c r="AF5596">
        <v>-2.74774110678658</v>
      </c>
      <c r="AG5596">
        <v>-1.1130116098930001</v>
      </c>
      <c r="AH5596">
        <v>26.464379339234299</v>
      </c>
      <c r="AI5596">
        <v>92.395405861455799</v>
      </c>
      <c r="AJ5596">
        <v>95.927661209512294</v>
      </c>
      <c r="AK5596">
        <v>26.6299126893907</v>
      </c>
      <c r="AL5596">
        <v>80.709749368177</v>
      </c>
      <c r="AM5596">
        <v>98.473824008199301</v>
      </c>
      <c r="AN5596">
        <v>1.00000001980649</v>
      </c>
    </row>
    <row r="5597" spans="1:40" x14ac:dyDescent="0.25">
      <c r="A5597" t="str">
        <f>"20190304155527238"</f>
        <v>20190304155527238</v>
      </c>
      <c r="B5597" t="str">
        <f>"1551686127233683"</f>
        <v>1551686127233683</v>
      </c>
      <c r="C5597" t="s">
        <v>40</v>
      </c>
      <c r="D5597">
        <v>4.5902859999999999</v>
      </c>
      <c r="E5597">
        <v>0.52387649999999997</v>
      </c>
      <c r="F5597" t="s">
        <v>46</v>
      </c>
      <c r="G5597">
        <v>-187.0574</v>
      </c>
      <c r="H5597" s="1">
        <v>-1.616849E-6</v>
      </c>
      <c r="I5597">
        <v>-7.9014789999999904</v>
      </c>
      <c r="J5597">
        <v>-188.05449999999999</v>
      </c>
      <c r="K5597">
        <v>1.1127689999999999</v>
      </c>
      <c r="L5597">
        <v>-36.776090000000003</v>
      </c>
      <c r="M5597">
        <v>0.112331399999999</v>
      </c>
      <c r="N5597">
        <v>-1.357592E-2</v>
      </c>
      <c r="O5597">
        <v>0.99357810000000002</v>
      </c>
      <c r="P5597">
        <v>-3.4256719999999997E-2</v>
      </c>
      <c r="Q5597">
        <v>0.1506884</v>
      </c>
      <c r="R5597">
        <v>0.98798759999999997</v>
      </c>
      <c r="S5597">
        <v>0.1068573</v>
      </c>
      <c r="T5597">
        <v>-0.11696040000000001</v>
      </c>
      <c r="U5597">
        <v>3.0561219999999998</v>
      </c>
      <c r="V5597">
        <v>-0.1459636</v>
      </c>
      <c r="W5597">
        <v>0.1631213</v>
      </c>
      <c r="X5597">
        <v>0.97574899999999998</v>
      </c>
      <c r="Y5597">
        <v>-7.7533599999999994E-2</v>
      </c>
      <c r="Z5597">
        <v>-2.4268169999999999E-2</v>
      </c>
      <c r="AA5597">
        <v>0.99669430000000003</v>
      </c>
      <c r="AB5597">
        <v>23</v>
      </c>
      <c r="AC5597">
        <v>0.997099999999989</v>
      </c>
      <c r="AD5597">
        <v>-1.1127706168489999</v>
      </c>
      <c r="AE5597">
        <v>28.874611000000002</v>
      </c>
      <c r="AF5597">
        <v>-2.2496990586177699</v>
      </c>
      <c r="AG5597">
        <v>-1.1127706168489999</v>
      </c>
      <c r="AH5597">
        <v>28.761175318898999</v>
      </c>
      <c r="AI5597">
        <v>92.208929570282393</v>
      </c>
      <c r="AJ5597">
        <v>94.472568951861803</v>
      </c>
      <c r="AK5597">
        <v>28.8704799063769</v>
      </c>
      <c r="AL5597">
        <v>80.611885879522504</v>
      </c>
      <c r="AM5597">
        <v>98.507864954605594</v>
      </c>
      <c r="AN5597">
        <v>1.0000000210198201</v>
      </c>
    </row>
    <row r="5598" spans="1:40" x14ac:dyDescent="0.25">
      <c r="A5598" t="str">
        <f>"20190304155527262"</f>
        <v>20190304155527262</v>
      </c>
      <c r="B5598" t="str">
        <f>"1551686127253204"</f>
        <v>1551686127253204</v>
      </c>
      <c r="C5598" t="s">
        <v>40</v>
      </c>
      <c r="D5598">
        <v>4.5235940000000001</v>
      </c>
      <c r="E5598">
        <v>0.52485979999999999</v>
      </c>
      <c r="F5598" t="s">
        <v>46</v>
      </c>
      <c r="G5598">
        <v>-186.9854</v>
      </c>
      <c r="H5598" s="1">
        <v>-2.8579039999999999E-6</v>
      </c>
      <c r="I5598">
        <v>-4.951854</v>
      </c>
      <c r="J5598">
        <v>-188.03219999999999</v>
      </c>
      <c r="K5598">
        <v>1.112471</v>
      </c>
      <c r="L5598">
        <v>-36.53622</v>
      </c>
      <c r="M5598">
        <v>0.1084475</v>
      </c>
      <c r="N5598">
        <v>-1.346899E-2</v>
      </c>
      <c r="O5598">
        <v>0.99401090000000003</v>
      </c>
      <c r="P5598">
        <v>-3.9468940000000001E-2</v>
      </c>
      <c r="Q5598">
        <v>0.15159520000000001</v>
      </c>
      <c r="R5598">
        <v>0.98765429999999999</v>
      </c>
      <c r="S5598">
        <v>0.1026764</v>
      </c>
      <c r="T5598">
        <v>-0.1068684</v>
      </c>
      <c r="U5598">
        <v>3.0563349999999998</v>
      </c>
      <c r="V5598">
        <v>-0.14717529999999901</v>
      </c>
      <c r="W5598">
        <v>0.16401550000000001</v>
      </c>
      <c r="X5598">
        <v>0.97541699999999998</v>
      </c>
      <c r="Y5598">
        <v>-7.5001579999999998E-2</v>
      </c>
      <c r="Z5598">
        <v>-2.113758E-2</v>
      </c>
      <c r="AA5598">
        <v>0.99695940000000005</v>
      </c>
      <c r="AB5598">
        <v>23</v>
      </c>
      <c r="AC5598">
        <v>1.04679999999999</v>
      </c>
      <c r="AD5598">
        <v>-1.1124738579040001</v>
      </c>
      <c r="AE5598">
        <v>31.5843659999999</v>
      </c>
      <c r="AF5598">
        <v>-2.38197946352751</v>
      </c>
      <c r="AG5598">
        <v>-1.1124738579040001</v>
      </c>
      <c r="AH5598">
        <v>31.472583894770199</v>
      </c>
      <c r="AI5598">
        <v>92.018645253432098</v>
      </c>
      <c r="AJ5598">
        <v>94.328137684217793</v>
      </c>
      <c r="AK5598">
        <v>31.582193737334599</v>
      </c>
      <c r="AL5598">
        <v>80.559952244929605</v>
      </c>
      <c r="AM5598">
        <v>98.580321754030805</v>
      </c>
      <c r="AN5598">
        <v>0.99999998852966898</v>
      </c>
    </row>
    <row r="5599" spans="1:40" x14ac:dyDescent="0.25">
      <c r="A5599" t="str">
        <f>"20190304155527285"</f>
        <v>20190304155527285</v>
      </c>
      <c r="B5599" t="str">
        <f>"1551686127273245"</f>
        <v>1551686127273245</v>
      </c>
      <c r="C5599" t="s">
        <v>40</v>
      </c>
      <c r="D5599">
        <v>4.5393290000000004</v>
      </c>
      <c r="E5599">
        <v>0.52608250000000001</v>
      </c>
      <c r="F5599" t="s">
        <v>46</v>
      </c>
      <c r="G5599">
        <v>-186.99279999999999</v>
      </c>
      <c r="H5599" s="1">
        <v>-3.5685600000000002E-6</v>
      </c>
      <c r="I5599">
        <v>-3.2922389999999999</v>
      </c>
      <c r="J5599">
        <v>-188.0112</v>
      </c>
      <c r="K5599">
        <v>1.112188</v>
      </c>
      <c r="L5599">
        <v>-36.30585</v>
      </c>
      <c r="M5599">
        <v>0.1051401</v>
      </c>
      <c r="N5599">
        <v>-1.335568E-2</v>
      </c>
      <c r="O5599">
        <v>0.99436769999999997</v>
      </c>
      <c r="P5599">
        <v>-4.3764289999999997E-2</v>
      </c>
      <c r="Q5599">
        <v>0.1505322</v>
      </c>
      <c r="R5599">
        <v>0.98763590000000001</v>
      </c>
      <c r="S5599">
        <v>9.5581050000000001E-2</v>
      </c>
      <c r="T5599">
        <v>-0.1023005</v>
      </c>
      <c r="U5599">
        <v>3.0570369999999998</v>
      </c>
      <c r="V5599">
        <v>-0.14808460000000001</v>
      </c>
      <c r="W5599">
        <v>0.1629293</v>
      </c>
      <c r="X5599">
        <v>0.97546140000000003</v>
      </c>
      <c r="Y5599">
        <v>-7.4003669999999994E-2</v>
      </c>
      <c r="Z5599">
        <v>-1.9784199999999998E-2</v>
      </c>
      <c r="AA5599">
        <v>0.99706170000000005</v>
      </c>
      <c r="AB5599">
        <v>23</v>
      </c>
      <c r="AC5599">
        <v>1.01840000000001</v>
      </c>
      <c r="AD5599">
        <v>-1.1121915685599999</v>
      </c>
      <c r="AE5599">
        <v>33.013610999999997</v>
      </c>
      <c r="AF5599">
        <v>-2.4558250930748602</v>
      </c>
      <c r="AG5599">
        <v>-1.1121915685599999</v>
      </c>
      <c r="AH5599">
        <v>32.900377415278697</v>
      </c>
      <c r="AI5599">
        <v>91.930769278710898</v>
      </c>
      <c r="AJ5599">
        <v>94.268885729653405</v>
      </c>
      <c r="AK5599">
        <v>33.010647994862701</v>
      </c>
      <c r="AL5599">
        <v>80.623035391530394</v>
      </c>
      <c r="AM5599">
        <v>98.632150713197106</v>
      </c>
      <c r="AN5599">
        <v>0.99999997422280396</v>
      </c>
    </row>
    <row r="5600" spans="1:40" x14ac:dyDescent="0.25">
      <c r="A5600" t="str">
        <f>"20190304155527327"</f>
        <v>20190304155527327</v>
      </c>
      <c r="B5600" t="str">
        <f>"1551686127323983"</f>
        <v>1551686127323983</v>
      </c>
      <c r="C5600" t="s">
        <v>40</v>
      </c>
      <c r="D5600">
        <v>4.6008950000000004</v>
      </c>
      <c r="E5600">
        <v>0.52684900000000001</v>
      </c>
      <c r="F5600" t="s">
        <v>46</v>
      </c>
      <c r="G5600">
        <v>-187.053</v>
      </c>
      <c r="H5600" s="1">
        <v>-2.909798E-6</v>
      </c>
      <c r="I5600">
        <v>-4.8029479999999998</v>
      </c>
      <c r="J5600">
        <v>-187.9742</v>
      </c>
      <c r="K5600">
        <v>1.1118410000000001</v>
      </c>
      <c r="L5600">
        <v>-35.89029</v>
      </c>
      <c r="M5600">
        <v>9.9927870000000002E-2</v>
      </c>
      <c r="N5600">
        <v>-1.315322E-2</v>
      </c>
      <c r="O5600">
        <v>0.99490769999999995</v>
      </c>
      <c r="P5600">
        <v>-4.6202890000000003E-2</v>
      </c>
      <c r="Q5600">
        <v>0.14657039999999999</v>
      </c>
      <c r="R5600">
        <v>0.98812069999999996</v>
      </c>
      <c r="S5600">
        <v>9.3017580000000002E-2</v>
      </c>
      <c r="T5600">
        <v>-0.1079657</v>
      </c>
      <c r="U5600">
        <v>3.0581360000000002</v>
      </c>
      <c r="V5600">
        <v>-0.14529329999999999</v>
      </c>
      <c r="W5600">
        <v>0.15890789999999999</v>
      </c>
      <c r="X5600">
        <v>0.97654399999999997</v>
      </c>
      <c r="Y5600">
        <v>-6.9625149999999997E-2</v>
      </c>
      <c r="Z5600">
        <v>-2.1838739999999999E-2</v>
      </c>
      <c r="AA5600">
        <v>0.9973341</v>
      </c>
      <c r="AB5600">
        <v>23</v>
      </c>
      <c r="AC5600">
        <v>0.92119999999999802</v>
      </c>
      <c r="AD5600">
        <v>-1.111843909798</v>
      </c>
      <c r="AE5600">
        <v>31.087342</v>
      </c>
      <c r="AF5600">
        <v>-2.1873769307303101</v>
      </c>
      <c r="AG5600">
        <v>-1.111843909798</v>
      </c>
      <c r="AH5600">
        <v>30.9841759947792</v>
      </c>
      <c r="AI5600">
        <v>92.050036400493298</v>
      </c>
      <c r="AJ5600">
        <v>94.038186497970202</v>
      </c>
      <c r="AK5600">
        <v>31.081183645290899</v>
      </c>
      <c r="AL5600">
        <v>80.856487693663794</v>
      </c>
      <c r="AM5600">
        <v>98.462567722075207</v>
      </c>
      <c r="AN5600">
        <v>1.00000002382164</v>
      </c>
    </row>
    <row r="5601" spans="1:40" x14ac:dyDescent="0.25">
      <c r="A5601" t="str">
        <f>"20190304155527351"</f>
        <v>20190304155527351</v>
      </c>
      <c r="B5601" t="str">
        <f>"1551686127343502"</f>
        <v>1551686127343502</v>
      </c>
      <c r="C5601" t="s">
        <v>40</v>
      </c>
      <c r="D5601">
        <v>4.5697380000000001</v>
      </c>
      <c r="E5601">
        <v>0.52702249999999995</v>
      </c>
      <c r="F5601" t="s">
        <v>46</v>
      </c>
      <c r="G5601">
        <v>-187.17320000000001</v>
      </c>
      <c r="H5601" s="1">
        <v>-1.35711E-6</v>
      </c>
      <c r="I5601">
        <v>-8.5741859999999992</v>
      </c>
      <c r="J5601">
        <v>-187.95320000000001</v>
      </c>
      <c r="K5601">
        <v>1.1117109999999999</v>
      </c>
      <c r="L5601">
        <v>-35.648560000000003</v>
      </c>
      <c r="M5601">
        <v>9.7295370000000006E-2</v>
      </c>
      <c r="N5601">
        <v>-1.302918E-2</v>
      </c>
      <c r="O5601">
        <v>0.9951702</v>
      </c>
      <c r="P5601">
        <v>-4.7420619999999997E-2</v>
      </c>
      <c r="Q5601">
        <v>0.148701</v>
      </c>
      <c r="R5601">
        <v>0.98774459999999997</v>
      </c>
      <c r="S5601">
        <v>8.9691160000000006E-2</v>
      </c>
      <c r="T5601">
        <v>-0.1244984</v>
      </c>
      <c r="U5601">
        <v>3.058716</v>
      </c>
      <c r="V5601">
        <v>-0.14383879999999999</v>
      </c>
      <c r="W5601">
        <v>0.16096289999999999</v>
      </c>
      <c r="X5601">
        <v>0.97642269999999998</v>
      </c>
      <c r="Y5601">
        <v>-6.807742E-2</v>
      </c>
      <c r="Z5601">
        <v>-2.7320830000000001E-2</v>
      </c>
      <c r="AA5601">
        <v>0.99730589999999997</v>
      </c>
      <c r="AB5601">
        <v>23</v>
      </c>
      <c r="AC5601">
        <v>0.78000000000000103</v>
      </c>
      <c r="AD5601">
        <v>-1.11171235711</v>
      </c>
      <c r="AE5601">
        <v>27.074373999999999</v>
      </c>
      <c r="AF5601">
        <v>-1.8550112898400899</v>
      </c>
      <c r="AG5601">
        <v>-1.11171235711</v>
      </c>
      <c r="AH5601">
        <v>26.976350458250501</v>
      </c>
      <c r="AI5601">
        <v>92.354306390659602</v>
      </c>
      <c r="AJ5601">
        <v>93.933714778111394</v>
      </c>
      <c r="AK5601">
        <v>27.062898131884101</v>
      </c>
      <c r="AL5601">
        <v>80.737208954043894</v>
      </c>
      <c r="AM5601">
        <v>98.380085584183504</v>
      </c>
      <c r="AN5601">
        <v>0.99999997231856896</v>
      </c>
    </row>
    <row r="5602" spans="1:40" x14ac:dyDescent="0.25">
      <c r="A5602" t="str">
        <f>"20190304155527373"</f>
        <v>20190304155527373</v>
      </c>
      <c r="B5602" t="str">
        <f>"1551686127363022"</f>
        <v>1551686127363022</v>
      </c>
      <c r="C5602" t="s">
        <v>40</v>
      </c>
      <c r="D5602">
        <v>4.5768839999999997</v>
      </c>
      <c r="E5602">
        <v>0.52740900000000002</v>
      </c>
      <c r="F5602" t="s">
        <v>46</v>
      </c>
      <c r="G5602">
        <v>-187.1454</v>
      </c>
      <c r="H5602" s="1">
        <v>-1.8905040000000001E-6</v>
      </c>
      <c r="I5602">
        <v>-7.1407579999999999</v>
      </c>
      <c r="J5602">
        <v>-187.93450000000001</v>
      </c>
      <c r="K5602">
        <v>1.111612</v>
      </c>
      <c r="L5602">
        <v>-35.4285</v>
      </c>
      <c r="M5602">
        <v>9.5074510000000001E-2</v>
      </c>
      <c r="N5602">
        <v>-1.290967E-2</v>
      </c>
      <c r="O5602">
        <v>0.9953864</v>
      </c>
      <c r="P5602">
        <v>-4.9089090000000002E-2</v>
      </c>
      <c r="Q5602">
        <v>0.1498196</v>
      </c>
      <c r="R5602">
        <v>0.98749399999999998</v>
      </c>
      <c r="S5602">
        <v>8.6700440000000004E-2</v>
      </c>
      <c r="T5602">
        <v>-0.1193051</v>
      </c>
      <c r="U5602">
        <v>3.0593569999999999</v>
      </c>
      <c r="V5602">
        <v>-0.1432611</v>
      </c>
      <c r="W5602">
        <v>0.1619958</v>
      </c>
      <c r="X5602">
        <v>0.9763368</v>
      </c>
      <c r="Y5602">
        <v>-6.6831509999999997E-2</v>
      </c>
      <c r="Z5602">
        <v>-2.576556E-2</v>
      </c>
      <c r="AA5602">
        <v>0.99743150000000003</v>
      </c>
      <c r="AB5602">
        <v>23</v>
      </c>
      <c r="AC5602">
        <v>0.78910000000001901</v>
      </c>
      <c r="AD5602">
        <v>-1.1116138905040001</v>
      </c>
      <c r="AE5602">
        <v>28.287741999999898</v>
      </c>
      <c r="AF5602">
        <v>-1.90120895116646</v>
      </c>
      <c r="AG5602">
        <v>-1.1116138905040001</v>
      </c>
      <c r="AH5602">
        <v>28.191111511468499</v>
      </c>
      <c r="AI5602">
        <v>92.252968407823701</v>
      </c>
      <c r="AJ5602">
        <v>93.858186032038105</v>
      </c>
      <c r="AK5602">
        <v>28.2770056613073</v>
      </c>
      <c r="AL5602">
        <v>80.677241053066297</v>
      </c>
      <c r="AM5602">
        <v>98.347627779134498</v>
      </c>
      <c r="AN5602">
        <v>0.99999996451254403</v>
      </c>
    </row>
    <row r="5603" spans="1:40" x14ac:dyDescent="0.25">
      <c r="A5603" t="str">
        <f>"20190304155527394"</f>
        <v>20190304155527394</v>
      </c>
      <c r="B5603" t="str">
        <f>"1551686127383050"</f>
        <v>1551686127383050</v>
      </c>
      <c r="C5603" t="s">
        <v>40</v>
      </c>
      <c r="D5603">
        <v>4.5923389999999999</v>
      </c>
      <c r="E5603">
        <v>0.52779390000000004</v>
      </c>
      <c r="F5603" t="s">
        <v>46</v>
      </c>
      <c r="G5603">
        <v>-187.1172</v>
      </c>
      <c r="H5603" s="1">
        <v>-2.3297240000000001E-6</v>
      </c>
      <c r="I5603">
        <v>-6.1285740000000004</v>
      </c>
      <c r="J5603">
        <v>-187.91589999999999</v>
      </c>
      <c r="K5603">
        <v>1.1115029999999999</v>
      </c>
      <c r="L5603">
        <v>-35.205629999999999</v>
      </c>
      <c r="M5603">
        <v>9.299106E-2</v>
      </c>
      <c r="N5603">
        <v>-1.277882E-2</v>
      </c>
      <c r="O5603">
        <v>0.99558500000000005</v>
      </c>
      <c r="P5603">
        <v>-4.9545579999999999E-2</v>
      </c>
      <c r="Q5603">
        <v>0.1488217</v>
      </c>
      <c r="R5603">
        <v>0.98762209999999995</v>
      </c>
      <c r="S5603">
        <v>8.5357669999999997E-2</v>
      </c>
      <c r="T5603">
        <v>-0.11608789999999999</v>
      </c>
      <c r="U5603">
        <v>3.0598450000000001</v>
      </c>
      <c r="V5603">
        <v>-0.14163919999999999</v>
      </c>
      <c r="W5603">
        <v>0.1609121</v>
      </c>
      <c r="X5603">
        <v>0.97675259999999997</v>
      </c>
      <c r="Y5603">
        <v>-6.5185549999999995E-2</v>
      </c>
      <c r="Z5603">
        <v>-2.486184E-2</v>
      </c>
      <c r="AA5603">
        <v>0.99756339999999999</v>
      </c>
      <c r="AB5603">
        <v>23</v>
      </c>
      <c r="AC5603">
        <v>0.79869999999999597</v>
      </c>
      <c r="AD5603">
        <v>-1.1115053297239901</v>
      </c>
      <c r="AE5603">
        <v>29.077055999999999</v>
      </c>
      <c r="AF5603">
        <v>-1.9061050817196801</v>
      </c>
      <c r="AG5603">
        <v>-1.1115053297239901</v>
      </c>
      <c r="AH5603">
        <v>28.983001635236</v>
      </c>
      <c r="AI5603">
        <v>92.191501532334797</v>
      </c>
      <c r="AJ5603">
        <v>93.762713423711006</v>
      </c>
      <c r="AK5603">
        <v>29.066872285621901</v>
      </c>
      <c r="AL5603">
        <v>80.740158320334899</v>
      </c>
      <c r="AM5603">
        <v>98.250965937428205</v>
      </c>
      <c r="AN5603">
        <v>1.0000000042549</v>
      </c>
    </row>
    <row r="5604" spans="1:40" x14ac:dyDescent="0.25">
      <c r="A5604" t="str">
        <f>"20190304155527460"</f>
        <v>20190304155527460</v>
      </c>
      <c r="B5604" t="str">
        <f>"1551686127453322"</f>
        <v>1551686127453322</v>
      </c>
      <c r="C5604" t="s">
        <v>40</v>
      </c>
      <c r="D5604">
        <v>4.2261899999999999</v>
      </c>
      <c r="E5604">
        <v>0.55343439999999999</v>
      </c>
      <c r="F5604" t="s">
        <v>46</v>
      </c>
      <c r="G5604">
        <v>-187.09309999999999</v>
      </c>
      <c r="H5604" s="1">
        <v>-2.2602369999999999E-6</v>
      </c>
      <c r="I5604">
        <v>-6.3005209999999998</v>
      </c>
      <c r="J5604">
        <v>-187.86279999999999</v>
      </c>
      <c r="K5604">
        <v>1.1111709999999999</v>
      </c>
      <c r="L5604">
        <v>-34.554659999999998</v>
      </c>
      <c r="M5604">
        <v>8.7660310000000005E-2</v>
      </c>
      <c r="N5604">
        <v>-1.2383430000000001E-2</v>
      </c>
      <c r="O5604">
        <v>0.9960734</v>
      </c>
      <c r="P5604">
        <v>-4.865796E-2</v>
      </c>
      <c r="Q5604">
        <v>0.14500479999999999</v>
      </c>
      <c r="R5604">
        <v>0.98823380000000005</v>
      </c>
      <c r="S5604">
        <v>8.7097170000000002E-2</v>
      </c>
      <c r="T5604">
        <v>-0.1176562</v>
      </c>
      <c r="U5604">
        <v>3.0596920000000001</v>
      </c>
      <c r="V5604">
        <v>-0.13545079999999901</v>
      </c>
      <c r="W5604">
        <v>0.15683469999999999</v>
      </c>
      <c r="X5604">
        <v>0.9782923</v>
      </c>
      <c r="Y5604">
        <v>-5.9277410000000003E-2</v>
      </c>
      <c r="Z5604">
        <v>-2.5800190000000001E-2</v>
      </c>
      <c r="AA5604">
        <v>0.99790809999999996</v>
      </c>
      <c r="AB5604">
        <v>23</v>
      </c>
      <c r="AC5604">
        <v>0.76970000000000005</v>
      </c>
      <c r="AD5604">
        <v>-1.1111732602369999</v>
      </c>
      <c r="AE5604">
        <v>28.254138999999999</v>
      </c>
      <c r="AF5604">
        <v>-1.7075809944501199</v>
      </c>
      <c r="AG5604">
        <v>-1.1111732602369999</v>
      </c>
      <c r="AH5604">
        <v>28.169296705606602</v>
      </c>
      <c r="AI5604">
        <v>92.254798111605297</v>
      </c>
      <c r="AJ5604">
        <v>93.468940351825495</v>
      </c>
      <c r="AK5604">
        <v>28.2428719459508</v>
      </c>
      <c r="AL5604">
        <v>80.976781025846805</v>
      </c>
      <c r="AM5604">
        <v>97.882848718250401</v>
      </c>
      <c r="AN5604">
        <v>0.99999993329200698</v>
      </c>
    </row>
    <row r="5605" spans="1:40" x14ac:dyDescent="0.25">
      <c r="A5605" t="str">
        <f>"20190304155527485"</f>
        <v>20190304155527485</v>
      </c>
      <c r="B5605" t="str">
        <f>"1551686127472843"</f>
        <v>1551686127472843</v>
      </c>
      <c r="C5605" t="s">
        <v>40</v>
      </c>
      <c r="D5605">
        <v>4.6961120000000003</v>
      </c>
      <c r="E5605">
        <v>0.5438113</v>
      </c>
      <c r="F5605" t="s">
        <v>46</v>
      </c>
      <c r="G5605">
        <v>-186.33070000000001</v>
      </c>
      <c r="H5605" s="1">
        <v>-1.5928E-6</v>
      </c>
      <c r="I5605">
        <v>-18.540299999999998</v>
      </c>
      <c r="J5605">
        <v>-187.8424</v>
      </c>
      <c r="K5605">
        <v>1.111084</v>
      </c>
      <c r="L5605">
        <v>-34.296509999999998</v>
      </c>
      <c r="M5605">
        <v>8.5798990000000006E-2</v>
      </c>
      <c r="N5605">
        <v>-1.2233600000000001E-2</v>
      </c>
      <c r="O5605">
        <v>0.99623729999999999</v>
      </c>
      <c r="P5605">
        <v>-4.8688490000000001E-2</v>
      </c>
      <c r="Q5605">
        <v>0.1448767</v>
      </c>
      <c r="R5605">
        <v>0.98825110000000005</v>
      </c>
      <c r="S5605">
        <v>0.2948151</v>
      </c>
      <c r="T5605">
        <v>-0.21382019999999999</v>
      </c>
      <c r="U5605">
        <v>3.081604</v>
      </c>
      <c r="V5605">
        <v>-0.1336263</v>
      </c>
      <c r="W5605">
        <v>0.156586999999999</v>
      </c>
      <c r="X5605">
        <v>0.97858290000000003</v>
      </c>
      <c r="Y5605">
        <v>9.3103730000000003E-3</v>
      </c>
      <c r="Z5605">
        <v>-5.6520599999999997E-2</v>
      </c>
      <c r="AA5605">
        <v>0.99835799999999997</v>
      </c>
      <c r="AB5605">
        <v>23</v>
      </c>
      <c r="AC5605">
        <v>1.5116999999999901</v>
      </c>
      <c r="AD5605">
        <v>-1.1110855928000001</v>
      </c>
      <c r="AE5605">
        <v>15.756209999999999</v>
      </c>
      <c r="AF5605">
        <v>0.153400710369829</v>
      </c>
      <c r="AG5605">
        <v>-1.1110855928000001</v>
      </c>
      <c r="AH5605">
        <v>15.7502052584256</v>
      </c>
      <c r="AI5605">
        <v>94.035009208600698</v>
      </c>
      <c r="AJ5605">
        <v>89.441979629109099</v>
      </c>
      <c r="AK5605">
        <v>15.790092104069799</v>
      </c>
      <c r="AL5605">
        <v>80.991151200250101</v>
      </c>
      <c r="AM5605">
        <v>97.7756949463556</v>
      </c>
      <c r="AN5605">
        <v>0.99999998439654902</v>
      </c>
    </row>
    <row r="5606" spans="1:40" x14ac:dyDescent="0.25">
      <c r="A5606" t="str">
        <f>"20190304155527530"</f>
        <v>20190304155527530</v>
      </c>
      <c r="B5606" t="str">
        <f>"1551686127523594"</f>
        <v>1551686127523594</v>
      </c>
      <c r="C5606" t="s">
        <v>40</v>
      </c>
      <c r="D5606">
        <v>4.6192029999999997</v>
      </c>
      <c r="E5606">
        <v>0.51932559999999905</v>
      </c>
      <c r="F5606" t="s">
        <v>48</v>
      </c>
      <c r="G5606">
        <v>-187.77879999999999</v>
      </c>
      <c r="H5606">
        <v>1.0336350000000001</v>
      </c>
      <c r="I5606">
        <v>-33.403390000000002</v>
      </c>
      <c r="J5606">
        <v>-187.80760000000001</v>
      </c>
      <c r="K5606">
        <v>1.1109849999999999</v>
      </c>
      <c r="L5606">
        <v>-33.849029999999999</v>
      </c>
      <c r="M5606">
        <v>8.289444E-2</v>
      </c>
      <c r="N5606">
        <v>-1.197848E-2</v>
      </c>
      <c r="O5606">
        <v>0.99648639999999999</v>
      </c>
      <c r="P5606">
        <v>-4.8053539999999999E-2</v>
      </c>
      <c r="Q5606">
        <v>0.14133270000000001</v>
      </c>
      <c r="R5606">
        <v>0.98879519999999999</v>
      </c>
      <c r="S5606">
        <v>0.2194672</v>
      </c>
      <c r="T5606">
        <v>-0.26759119999999997</v>
      </c>
      <c r="U5606">
        <v>3.085693</v>
      </c>
      <c r="V5606">
        <v>-0.130146699999999</v>
      </c>
      <c r="W5606">
        <v>0.15283469999999999</v>
      </c>
      <c r="X5606">
        <v>0.97964450000000003</v>
      </c>
      <c r="Y5606">
        <v>-1.217858E-2</v>
      </c>
      <c r="Z5606">
        <v>-7.3935329999999994E-2</v>
      </c>
      <c r="AA5606">
        <v>0.99718870000000004</v>
      </c>
      <c r="AB5606">
        <v>23</v>
      </c>
      <c r="AC5606">
        <v>2.8800000000018099E-2</v>
      </c>
      <c r="AD5606">
        <v>-7.7350000000000002E-2</v>
      </c>
      <c r="AE5606">
        <v>0.44563999999999698</v>
      </c>
      <c r="AF5606">
        <v>-8.0027662326999597E-3</v>
      </c>
      <c r="AG5606">
        <v>-7.7350000000000002E-2</v>
      </c>
      <c r="AH5606">
        <v>0.43348828950054402</v>
      </c>
      <c r="AI5606">
        <v>100.11547445510899</v>
      </c>
      <c r="AJ5606">
        <v>91.057635603539197</v>
      </c>
      <c r="AK5606">
        <v>0.44040795167830799</v>
      </c>
      <c r="AL5606">
        <v>81.208762320263304</v>
      </c>
      <c r="AM5606">
        <v>97.567485751438198</v>
      </c>
      <c r="AN5606">
        <v>0.99999997771261395</v>
      </c>
    </row>
    <row r="5607" spans="1:40" x14ac:dyDescent="0.25">
      <c r="A5607" t="str">
        <f>"20190304155527550"</f>
        <v>20190304155527550</v>
      </c>
      <c r="B5607" t="str">
        <f>"1551686127543114"</f>
        <v>1551686127543114</v>
      </c>
      <c r="C5607" t="s">
        <v>40</v>
      </c>
      <c r="D5607">
        <v>4.7857070000000004</v>
      </c>
      <c r="E5607">
        <v>0.51805859999999904</v>
      </c>
      <c r="F5607" t="s">
        <v>46</v>
      </c>
      <c r="G5607">
        <v>-186.99959999999999</v>
      </c>
      <c r="H5607" s="1">
        <v>-1.092625E-6</v>
      </c>
      <c r="I5607">
        <v>90.512879999999996</v>
      </c>
      <c r="J5607">
        <v>-187.79130000000001</v>
      </c>
      <c r="K5607">
        <v>1.1109370000000001</v>
      </c>
      <c r="L5607">
        <v>-33.633759999999903</v>
      </c>
      <c r="M5607">
        <v>8.1610459999999996E-2</v>
      </c>
      <c r="N5607">
        <v>-1.186823E-2</v>
      </c>
      <c r="O5607">
        <v>0.99659370000000003</v>
      </c>
      <c r="P5607">
        <v>-4.7814799999999998E-2</v>
      </c>
      <c r="Q5607">
        <v>0.14081370000000001</v>
      </c>
      <c r="R5607">
        <v>0.9888808</v>
      </c>
      <c r="S5607">
        <v>1.9744870000000001E-2</v>
      </c>
      <c r="T5607">
        <v>-2.714753E-2</v>
      </c>
      <c r="U5607">
        <v>3.0388489999999999</v>
      </c>
      <c r="V5607">
        <v>-0.12863830000000001</v>
      </c>
      <c r="W5607">
        <v>0.15222339999999901</v>
      </c>
      <c r="X5607">
        <v>0.97993889999999995</v>
      </c>
      <c r="Y5607">
        <v>-7.5129559999999998E-2</v>
      </c>
      <c r="Z5607">
        <v>2.9895149999999999E-3</v>
      </c>
      <c r="AA5607">
        <v>0.99716930000000004</v>
      </c>
      <c r="AB5607">
        <v>23</v>
      </c>
      <c r="AC5607">
        <v>0.79170000000001906</v>
      </c>
      <c r="AD5607">
        <v>-1.1109380926250001</v>
      </c>
      <c r="AE5607">
        <v>124.146639999999</v>
      </c>
      <c r="AF5607">
        <v>-9.3425705330143494</v>
      </c>
      <c r="AG5607">
        <v>-1.1109380926250001</v>
      </c>
      <c r="AH5607">
        <v>123.787169438398</v>
      </c>
      <c r="AI5607">
        <v>90.512733709719797</v>
      </c>
      <c r="AJ5607">
        <v>94.316093172880997</v>
      </c>
      <c r="AK5607">
        <v>124.14419489118499</v>
      </c>
      <c r="AL5607">
        <v>81.244202210988306</v>
      </c>
      <c r="AM5607">
        <v>97.478555710373499</v>
      </c>
      <c r="AN5607">
        <v>1.0000000117338299</v>
      </c>
    </row>
    <row r="5608" spans="1:40" x14ac:dyDescent="0.25">
      <c r="A5608" t="str">
        <f>"20190304155527572"</f>
        <v>20190304155527572</v>
      </c>
      <c r="B5608" t="str">
        <f>"1551686127563610"</f>
        <v>1551686127563610</v>
      </c>
      <c r="C5608" t="s">
        <v>40</v>
      </c>
      <c r="D5608">
        <v>4.7569160000000004</v>
      </c>
      <c r="E5608">
        <v>0.5165788</v>
      </c>
      <c r="F5608" t="s">
        <v>46</v>
      </c>
      <c r="G5608">
        <v>-187.63499999999999</v>
      </c>
      <c r="H5608" s="1">
        <v>-1.232269E-6</v>
      </c>
      <c r="I5608">
        <v>11.420030000000001</v>
      </c>
      <c r="J5608">
        <v>-187.77440000000001</v>
      </c>
      <c r="K5608">
        <v>1.110895</v>
      </c>
      <c r="L5608">
        <v>-33.409269999999999</v>
      </c>
      <c r="M5608">
        <v>8.0341839999999998E-2</v>
      </c>
      <c r="N5608">
        <v>-1.1760629999999999E-2</v>
      </c>
      <c r="O5608">
        <v>0.99669799999999997</v>
      </c>
      <c r="P5608">
        <v>-4.8191119999999997E-2</v>
      </c>
      <c r="Q5608">
        <v>0.14246489999999901</v>
      </c>
      <c r="R5608">
        <v>0.988626</v>
      </c>
      <c r="S5608">
        <v>1.055908E-2</v>
      </c>
      <c r="T5608">
        <v>-7.5081830000000002E-2</v>
      </c>
      <c r="U5608">
        <v>3.0449220000000001</v>
      </c>
      <c r="V5608">
        <v>-0.12773190000000001</v>
      </c>
      <c r="W5608">
        <v>0.1537808</v>
      </c>
      <c r="X5608">
        <v>0.97981430000000003</v>
      </c>
      <c r="Y5608">
        <v>-7.6874139999999994E-2</v>
      </c>
      <c r="Z5608">
        <v>-1.273737E-2</v>
      </c>
      <c r="AA5608">
        <v>0.99695940000000005</v>
      </c>
      <c r="AB5608">
        <v>23</v>
      </c>
      <c r="AC5608">
        <v>0.13940000000002301</v>
      </c>
      <c r="AD5608">
        <v>-1.1108962322689999</v>
      </c>
      <c r="AE5608">
        <v>44.829300000000003</v>
      </c>
      <c r="AF5608">
        <v>-3.4608429894946302</v>
      </c>
      <c r="AG5608">
        <v>-1.1108962322689999</v>
      </c>
      <c r="AH5608">
        <v>44.6681343619058</v>
      </c>
      <c r="AI5608">
        <v>91.420396827306305</v>
      </c>
      <c r="AJ5608">
        <v>94.430369461067599</v>
      </c>
      <c r="AK5608">
        <v>44.815775704656502</v>
      </c>
      <c r="AL5608">
        <v>81.153906654688498</v>
      </c>
      <c r="AM5608">
        <v>97.427385078743995</v>
      </c>
      <c r="AN5608">
        <v>1.0000000176053601</v>
      </c>
    </row>
    <row r="5609" spans="1:40" x14ac:dyDescent="0.25">
      <c r="A5609" t="str">
        <f>"20190304155527596"</f>
        <v>20190304155527596</v>
      </c>
      <c r="B5609" t="str">
        <f>"1551686127592890"</f>
        <v>1551686127592890</v>
      </c>
      <c r="C5609" t="s">
        <v>40</v>
      </c>
      <c r="D5609">
        <v>4.7337680000000004</v>
      </c>
      <c r="E5609">
        <v>0.51572399999999996</v>
      </c>
      <c r="F5609" t="s">
        <v>46</v>
      </c>
      <c r="G5609">
        <v>-187.80240000000001</v>
      </c>
      <c r="H5609" s="1">
        <v>-2.2212489999999999E-6</v>
      </c>
      <c r="I5609">
        <v>3.9019180000000002</v>
      </c>
      <c r="J5609">
        <v>-187.75620000000001</v>
      </c>
      <c r="K5609">
        <v>1.110825</v>
      </c>
      <c r="L5609">
        <v>-33.164250000000003</v>
      </c>
      <c r="M5609">
        <v>7.9065659999999996E-2</v>
      </c>
      <c r="N5609">
        <v>-1.1639450000000001E-2</v>
      </c>
      <c r="O5609">
        <v>0.99680139999999995</v>
      </c>
      <c r="P5609">
        <v>-4.912474E-2</v>
      </c>
      <c r="Q5609">
        <v>0.1443159</v>
      </c>
      <c r="R5609">
        <v>0.98831150000000001</v>
      </c>
      <c r="S5609">
        <v>-2.2888180000000002E-3</v>
      </c>
      <c r="T5609">
        <v>-9.0735319999999994E-2</v>
      </c>
      <c r="U5609">
        <v>3.047485</v>
      </c>
      <c r="V5609">
        <v>-0.12736210000000001</v>
      </c>
      <c r="W5609">
        <v>0.1555291</v>
      </c>
      <c r="X5609">
        <v>0.97958639999999997</v>
      </c>
      <c r="Y5609">
        <v>-7.9800270000000006E-2</v>
      </c>
      <c r="Z5609">
        <v>-1.7936779999999999E-2</v>
      </c>
      <c r="AA5609">
        <v>0.99664949999999997</v>
      </c>
      <c r="AB5609">
        <v>23</v>
      </c>
      <c r="AC5609">
        <v>-4.6199999999998902E-2</v>
      </c>
      <c r="AD5609">
        <v>-1.110827221249</v>
      </c>
      <c r="AE5609">
        <v>37.066167999999998</v>
      </c>
      <c r="AF5609">
        <v>-2.9742438447094299</v>
      </c>
      <c r="AG5609">
        <v>-1.110827221249</v>
      </c>
      <c r="AH5609">
        <v>36.913307419945397</v>
      </c>
      <c r="AI5609">
        <v>91.718109325097601</v>
      </c>
      <c r="AJ5609">
        <v>94.606584539628102</v>
      </c>
      <c r="AK5609">
        <v>37.0495928215501</v>
      </c>
      <c r="AL5609">
        <v>81.052516043545296</v>
      </c>
      <c r="AM5609">
        <v>97.407824817735104</v>
      </c>
      <c r="AN5609">
        <v>0.99999996026408899</v>
      </c>
    </row>
    <row r="5610" spans="1:40" x14ac:dyDescent="0.25">
      <c r="A5610" t="str">
        <f>"20190304155527618"</f>
        <v>20190304155527618</v>
      </c>
      <c r="B5610" t="str">
        <f>"1551686127613386"</f>
        <v>1551686127613386</v>
      </c>
      <c r="C5610" t="s">
        <v>40</v>
      </c>
      <c r="D5610">
        <v>4.6895280000000001</v>
      </c>
      <c r="E5610">
        <v>0.51534799999999903</v>
      </c>
      <c r="F5610" t="s">
        <v>46</v>
      </c>
      <c r="G5610">
        <v>-187.8809</v>
      </c>
      <c r="H5610" s="1">
        <v>-7.0017359999999898E-7</v>
      </c>
      <c r="I5610">
        <v>4.8667460000000003E-2</v>
      </c>
      <c r="J5610">
        <v>-187.74010000000001</v>
      </c>
      <c r="K5610">
        <v>1.1107499999999999</v>
      </c>
      <c r="L5610">
        <v>-32.945010000000003</v>
      </c>
      <c r="M5610">
        <v>7.8034919999999994E-2</v>
      </c>
      <c r="N5610">
        <v>-1.1530500000000001E-2</v>
      </c>
      <c r="O5610">
        <v>0.99688390000000004</v>
      </c>
      <c r="P5610">
        <v>-4.9988299999999999E-2</v>
      </c>
      <c r="Q5610">
        <v>0.1440842</v>
      </c>
      <c r="R5610">
        <v>0.98830209999999996</v>
      </c>
      <c r="S5610">
        <v>-1.1444090000000001E-2</v>
      </c>
      <c r="T5610">
        <v>-0.1020025</v>
      </c>
      <c r="U5610">
        <v>3.0498050000000001</v>
      </c>
      <c r="V5610">
        <v>-0.12718160000000001</v>
      </c>
      <c r="W5610">
        <v>0.15521160000000001</v>
      </c>
      <c r="X5610">
        <v>0.97966019999999998</v>
      </c>
      <c r="Y5610">
        <v>-8.1758310000000001E-2</v>
      </c>
      <c r="Z5610">
        <v>-2.1689969999999999E-2</v>
      </c>
      <c r="AA5610">
        <v>0.99641619999999997</v>
      </c>
      <c r="AB5610">
        <v>23</v>
      </c>
      <c r="AC5610">
        <v>-0.14079999999998399</v>
      </c>
      <c r="AD5610">
        <v>-1.1107507001735999</v>
      </c>
      <c r="AE5610">
        <v>32.993677459999901</v>
      </c>
      <c r="AF5610">
        <v>-2.7121270693019199</v>
      </c>
      <c r="AG5610">
        <v>-1.1107507001735999</v>
      </c>
      <c r="AH5610">
        <v>32.844841269769702</v>
      </c>
      <c r="AI5610">
        <v>91.930332476307399</v>
      </c>
      <c r="AJ5610">
        <v>94.720427489426001</v>
      </c>
      <c r="AK5610">
        <v>32.975339246084197</v>
      </c>
      <c r="AL5610">
        <v>81.070931023086203</v>
      </c>
      <c r="AM5610">
        <v>97.396891573961</v>
      </c>
      <c r="AN5610">
        <v>0.99999995380857898</v>
      </c>
    </row>
    <row r="5611" spans="1:40" x14ac:dyDescent="0.25">
      <c r="A5611" t="str">
        <f>"20190304155527643"</f>
        <v>20190304155527643</v>
      </c>
      <c r="B5611" t="str">
        <f>"1551686127632906"</f>
        <v>1551686127632906</v>
      </c>
      <c r="C5611" t="s">
        <v>40</v>
      </c>
      <c r="D5611">
        <v>4.6253769999999896</v>
      </c>
      <c r="E5611">
        <v>0.51611279999999904</v>
      </c>
      <c r="F5611" t="s">
        <v>46</v>
      </c>
      <c r="G5611">
        <v>-187.9085</v>
      </c>
      <c r="H5611" s="1">
        <v>-3.7668160000000001E-6</v>
      </c>
      <c r="I5611">
        <v>-2.4514870000000002</v>
      </c>
      <c r="J5611">
        <v>-187.72149999999999</v>
      </c>
      <c r="K5611">
        <v>1.110657</v>
      </c>
      <c r="L5611">
        <v>-32.690800000000003</v>
      </c>
      <c r="M5611">
        <v>7.6977459999999998E-2</v>
      </c>
      <c r="N5611">
        <v>-1.1410770000000001E-2</v>
      </c>
      <c r="O5611">
        <v>0.99696759999999995</v>
      </c>
      <c r="P5611">
        <v>-5.0680500000000003E-2</v>
      </c>
      <c r="Q5611">
        <v>0.143458</v>
      </c>
      <c r="R5611">
        <v>0.98835790000000001</v>
      </c>
      <c r="S5611">
        <v>-1.6845699999999901E-2</v>
      </c>
      <c r="T5611">
        <v>-0.1111296</v>
      </c>
      <c r="U5611">
        <v>3.0508419999999998</v>
      </c>
      <c r="V5611">
        <v>-0.12680169999999999</v>
      </c>
      <c r="W5611">
        <v>0.15449649999999901</v>
      </c>
      <c r="X5611">
        <v>0.97982250000000004</v>
      </c>
      <c r="Y5611">
        <v>-8.2462170000000001E-2</v>
      </c>
      <c r="Z5611">
        <v>-2.476948E-2</v>
      </c>
      <c r="AA5611">
        <v>0.99628629999999996</v>
      </c>
      <c r="AB5611">
        <v>23</v>
      </c>
      <c r="AC5611">
        <v>-0.18700000000001099</v>
      </c>
      <c r="AD5611">
        <v>-1.110660766816</v>
      </c>
      <c r="AE5611">
        <v>30.239312999999999</v>
      </c>
      <c r="AF5611">
        <v>-2.51095477655632</v>
      </c>
      <c r="AG5611">
        <v>-1.110660766816</v>
      </c>
      <c r="AH5611">
        <v>30.094583803696199</v>
      </c>
      <c r="AI5611">
        <v>92.106267850129001</v>
      </c>
      <c r="AJ5611">
        <v>94.769451453536306</v>
      </c>
      <c r="AK5611">
        <v>30.219570406386499</v>
      </c>
      <c r="AL5611">
        <v>81.112403790203004</v>
      </c>
      <c r="AM5611">
        <v>97.373831993217905</v>
      </c>
      <c r="AN5611">
        <v>0.99999998557069403</v>
      </c>
    </row>
    <row r="5612" spans="1:40" x14ac:dyDescent="0.25">
      <c r="A5612" t="str">
        <f>"20190304155527668"</f>
        <v>20190304155527668</v>
      </c>
      <c r="B5612" t="str">
        <f>"1551686127663162"</f>
        <v>1551686127663162</v>
      </c>
      <c r="C5612" t="s">
        <v>40</v>
      </c>
      <c r="D5612">
        <v>4.6320629999999996</v>
      </c>
      <c r="E5612">
        <v>0.51726119999999998</v>
      </c>
      <c r="F5612" t="s">
        <v>46</v>
      </c>
      <c r="G5612">
        <v>-187.84010000000001</v>
      </c>
      <c r="H5612" s="1">
        <v>-3.3264349999999999E-6</v>
      </c>
      <c r="I5612">
        <v>-3.5062859999999998</v>
      </c>
      <c r="J5612">
        <v>-187.7038</v>
      </c>
      <c r="K5612">
        <v>1.1105659999999999</v>
      </c>
      <c r="L5612">
        <v>-32.446959999999997</v>
      </c>
      <c r="M5612">
        <v>7.6109389999999999E-2</v>
      </c>
      <c r="N5612">
        <v>-1.130603E-2</v>
      </c>
      <c r="O5612">
        <v>0.99703540000000002</v>
      </c>
      <c r="P5612">
        <v>-5.0957490000000001E-2</v>
      </c>
      <c r="Q5612">
        <v>0.14361270000000001</v>
      </c>
      <c r="R5612">
        <v>0.98832120000000001</v>
      </c>
      <c r="S5612">
        <v>-1.24054E-2</v>
      </c>
      <c r="T5612">
        <v>-0.11613229999999999</v>
      </c>
      <c r="U5612">
        <v>3.0515750000000001</v>
      </c>
      <c r="V5612">
        <v>-0.12619089999999999</v>
      </c>
      <c r="W5612">
        <v>0.1545743</v>
      </c>
      <c r="X5612">
        <v>0.97988909999999996</v>
      </c>
      <c r="Y5612">
        <v>-8.0143149999999996E-2</v>
      </c>
      <c r="Z5612">
        <v>-2.650019E-2</v>
      </c>
      <c r="AA5612">
        <v>0.99643110000000001</v>
      </c>
      <c r="AB5612">
        <v>23</v>
      </c>
      <c r="AC5612">
        <v>-0.136300000000005</v>
      </c>
      <c r="AD5612">
        <v>-1.1105693264349901</v>
      </c>
      <c r="AE5612">
        <v>28.940674000000001</v>
      </c>
      <c r="AF5612">
        <v>-2.33526363635269</v>
      </c>
      <c r="AG5612">
        <v>-1.1105693264349901</v>
      </c>
      <c r="AH5612">
        <v>28.803931023014801</v>
      </c>
      <c r="AI5612">
        <v>92.200798231820698</v>
      </c>
      <c r="AJ5612">
        <v>94.635087498444705</v>
      </c>
      <c r="AK5612">
        <v>28.919772870108801</v>
      </c>
      <c r="AL5612">
        <v>81.107892134415096</v>
      </c>
      <c r="AM5612">
        <v>97.338207241533894</v>
      </c>
      <c r="AN5612">
        <v>1.0000000028810501</v>
      </c>
    </row>
    <row r="5613" spans="1:40" x14ac:dyDescent="0.25">
      <c r="A5613" t="str">
        <f>"20190304155527709"</f>
        <v>20190304155527709</v>
      </c>
      <c r="B5613" t="str">
        <f>"1551686127703178"</f>
        <v>1551686127703178</v>
      </c>
      <c r="C5613" t="s">
        <v>40</v>
      </c>
      <c r="D5613">
        <v>4.6406640000000001</v>
      </c>
      <c r="E5613">
        <v>0.51867259999999904</v>
      </c>
      <c r="F5613" t="s">
        <v>46</v>
      </c>
      <c r="G5613">
        <v>-187.7475</v>
      </c>
      <c r="H5613" s="1">
        <v>-3.3988430000000001E-6</v>
      </c>
      <c r="I5613">
        <v>-3.3758029999999999</v>
      </c>
      <c r="J5613">
        <v>-187.67359999999999</v>
      </c>
      <c r="K5613">
        <v>1.110444</v>
      </c>
      <c r="L5613">
        <v>-32.029820000000001</v>
      </c>
      <c r="M5613">
        <v>7.4881050000000005E-2</v>
      </c>
      <c r="N5613">
        <v>-1.11415E-2</v>
      </c>
      <c r="O5613">
        <v>0.99713019999999997</v>
      </c>
      <c r="P5613">
        <v>-5.232933E-2</v>
      </c>
      <c r="Q5613">
        <v>0.14535729999999999</v>
      </c>
      <c r="R5613">
        <v>0.98799440000000005</v>
      </c>
      <c r="S5613">
        <v>-4.592896E-3</v>
      </c>
      <c r="T5613">
        <v>-0.116597699999999</v>
      </c>
      <c r="U5613">
        <v>3.052155</v>
      </c>
      <c r="V5613">
        <v>-0.12628889999999901</v>
      </c>
      <c r="W5613">
        <v>0.1561852</v>
      </c>
      <c r="X5613">
        <v>0.97962099999999996</v>
      </c>
      <c r="Y5613">
        <v>-7.6364580000000001E-2</v>
      </c>
      <c r="Z5613">
        <v>-2.6821040000000001E-2</v>
      </c>
      <c r="AA5613">
        <v>0.99671920000000003</v>
      </c>
      <c r="AB5613">
        <v>23</v>
      </c>
      <c r="AC5613">
        <v>-7.3900000000008903E-2</v>
      </c>
      <c r="AD5613">
        <v>-1.1104473988429999</v>
      </c>
      <c r="AE5613">
        <v>28.654017</v>
      </c>
      <c r="AF5613">
        <v>-2.2161403505786601</v>
      </c>
      <c r="AG5613">
        <v>-1.1104473988429999</v>
      </c>
      <c r="AH5613">
        <v>28.5251859090186</v>
      </c>
      <c r="AI5613">
        <v>92.222631627665194</v>
      </c>
      <c r="AJ5613">
        <v>94.442423011465607</v>
      </c>
      <c r="AK5613">
        <v>28.6326841672787</v>
      </c>
      <c r="AL5613">
        <v>81.014459600736501</v>
      </c>
      <c r="AM5613">
        <v>97.345831807772797</v>
      </c>
      <c r="AN5613">
        <v>1.0000000033016201</v>
      </c>
    </row>
    <row r="5614" spans="1:40" x14ac:dyDescent="0.25">
      <c r="A5614" t="str">
        <f>"20190304155527751"</f>
        <v>20190304155527751</v>
      </c>
      <c r="B5614" t="str">
        <f>"1551686127743194"</f>
        <v>1551686127743194</v>
      </c>
      <c r="C5614" t="s">
        <v>40</v>
      </c>
      <c r="D5614">
        <v>4.6276549999999999</v>
      </c>
      <c r="E5614">
        <v>0.51976279999999997</v>
      </c>
      <c r="F5614" t="s">
        <v>46</v>
      </c>
      <c r="G5614">
        <v>-187.63679999999999</v>
      </c>
      <c r="H5614" s="1">
        <v>-4.2246199999999999E-6</v>
      </c>
      <c r="I5614">
        <v>-1.4966759999999999</v>
      </c>
      <c r="J5614">
        <v>-187.642</v>
      </c>
      <c r="K5614">
        <v>1.110349</v>
      </c>
      <c r="L5614">
        <v>-31.592040000000001</v>
      </c>
      <c r="M5614">
        <v>7.3903510000000006E-2</v>
      </c>
      <c r="N5614">
        <v>-1.097211E-2</v>
      </c>
      <c r="O5614">
        <v>0.99720500000000001</v>
      </c>
      <c r="P5614">
        <v>-5.3358790000000003E-2</v>
      </c>
      <c r="Q5614">
        <v>0.14371639999999999</v>
      </c>
      <c r="R5614">
        <v>0.98817929999999998</v>
      </c>
      <c r="S5614">
        <v>3.6773679999999999E-3</v>
      </c>
      <c r="T5614">
        <v>-0.1110326</v>
      </c>
      <c r="U5614">
        <v>3.0529790000000001</v>
      </c>
      <c r="V5614">
        <v>-0.12633730000000001</v>
      </c>
      <c r="W5614">
        <v>0.1544037</v>
      </c>
      <c r="X5614">
        <v>0.97989709999999997</v>
      </c>
      <c r="Y5614">
        <v>-7.268811E-2</v>
      </c>
      <c r="Z5614">
        <v>-2.5180890000000001E-2</v>
      </c>
      <c r="AA5614">
        <v>0.99703679999999995</v>
      </c>
      <c r="AB5614">
        <v>23</v>
      </c>
      <c r="AC5614">
        <v>5.2000000000020901E-3</v>
      </c>
      <c r="AD5614">
        <v>-1.1103532246200001</v>
      </c>
      <c r="AE5614">
        <v>30.095364</v>
      </c>
      <c r="AF5614">
        <v>-2.2160846853700402</v>
      </c>
      <c r="AG5614">
        <v>-1.1103532246200001</v>
      </c>
      <c r="AH5614">
        <v>29.972640639934301</v>
      </c>
      <c r="AI5614">
        <v>92.1158139218918</v>
      </c>
      <c r="AJ5614">
        <v>94.228579162864406</v>
      </c>
      <c r="AK5614">
        <v>30.0749580639242</v>
      </c>
      <c r="AL5614">
        <v>81.117785286863196</v>
      </c>
      <c r="AM5614">
        <v>97.346568363690494</v>
      </c>
      <c r="AN5614">
        <v>0.99999997126669404</v>
      </c>
    </row>
    <row r="5615" spans="1:40" x14ac:dyDescent="0.25">
      <c r="A5615" t="str">
        <f>"20190304155527773"</f>
        <v>20190304155527773</v>
      </c>
      <c r="B5615" t="str">
        <f>"1551686127763690"</f>
        <v>1551686127763690</v>
      </c>
      <c r="C5615" t="s">
        <v>40</v>
      </c>
      <c r="D5615">
        <v>4.6284289999999997</v>
      </c>
      <c r="E5615">
        <v>0.52042149999999998</v>
      </c>
      <c r="F5615" t="s">
        <v>46</v>
      </c>
      <c r="G5615">
        <v>-187.55510000000001</v>
      </c>
      <c r="H5615" s="1">
        <v>-3.8725389999999998E-6</v>
      </c>
      <c r="I5615">
        <v>-2.3511630000000001</v>
      </c>
      <c r="J5615">
        <v>-187.62549999999999</v>
      </c>
      <c r="K5615">
        <v>1.110293</v>
      </c>
      <c r="L5615">
        <v>-31.360990000000001</v>
      </c>
      <c r="M5615">
        <v>7.3485930000000005E-2</v>
      </c>
      <c r="N5615">
        <v>-1.0888119999999999E-2</v>
      </c>
      <c r="O5615">
        <v>0.99723680000000003</v>
      </c>
      <c r="P5615">
        <v>-5.3828910000000001E-2</v>
      </c>
      <c r="Q5615">
        <v>0.1431269</v>
      </c>
      <c r="R5615">
        <v>0.98823939999999999</v>
      </c>
      <c r="S5615">
        <v>9.0789789999999992E-3</v>
      </c>
      <c r="T5615">
        <v>-0.115938899999999</v>
      </c>
      <c r="U5615">
        <v>3.053223</v>
      </c>
      <c r="V5615">
        <v>-0.12638550000000001</v>
      </c>
      <c r="W5615">
        <v>0.15374409999999999</v>
      </c>
      <c r="X5615">
        <v>0.97999460000000005</v>
      </c>
      <c r="Y5615">
        <v>-7.0506689999999997E-2</v>
      </c>
      <c r="Z5615">
        <v>-2.6862790000000001E-2</v>
      </c>
      <c r="AA5615">
        <v>0.99714950000000002</v>
      </c>
      <c r="AB5615">
        <v>23</v>
      </c>
      <c r="AC5615">
        <v>7.0399999999977994E-2</v>
      </c>
      <c r="AD5615">
        <v>-1.1102968725389999</v>
      </c>
      <c r="AE5615">
        <v>29.009827000000001</v>
      </c>
      <c r="AF5615">
        <v>-2.0587152369221098</v>
      </c>
      <c r="AG5615">
        <v>-1.1102968725389999</v>
      </c>
      <c r="AH5615">
        <v>28.894231236988301</v>
      </c>
      <c r="AI5615">
        <v>92.195020038133904</v>
      </c>
      <c r="AJ5615">
        <v>94.075439686120603</v>
      </c>
      <c r="AK5615">
        <v>28.988750686231</v>
      </c>
      <c r="AL5615">
        <v>81.156034376967995</v>
      </c>
      <c r="AM5615">
        <v>97.348617381525102</v>
      </c>
      <c r="AN5615">
        <v>0.99999997946210895</v>
      </c>
    </row>
    <row r="5616" spans="1:40" x14ac:dyDescent="0.25">
      <c r="A5616" t="str">
        <f>"20190304155527795"</f>
        <v>20190304155527795</v>
      </c>
      <c r="B5616" t="str">
        <f>"1551686127792970"</f>
        <v>1551686127792970</v>
      </c>
      <c r="C5616" t="s">
        <v>40</v>
      </c>
      <c r="D5616">
        <v>4.6367149999999997</v>
      </c>
      <c r="E5616">
        <v>0.52100119999999905</v>
      </c>
      <c r="F5616" t="s">
        <v>46</v>
      </c>
      <c r="G5616">
        <v>-187.50149999999999</v>
      </c>
      <c r="H5616" s="1">
        <v>-3.8503789999999996E-6</v>
      </c>
      <c r="I5616">
        <v>-2.4249589999999999</v>
      </c>
      <c r="J5616">
        <v>-187.60900000000001</v>
      </c>
      <c r="K5616">
        <v>1.110239</v>
      </c>
      <c r="L5616">
        <v>-31.13156</v>
      </c>
      <c r="M5616">
        <v>7.3128059999999995E-2</v>
      </c>
      <c r="N5616">
        <v>-1.0804380000000001E-2</v>
      </c>
      <c r="O5616">
        <v>0.99726400000000004</v>
      </c>
      <c r="P5616">
        <v>-5.4240679999999999E-2</v>
      </c>
      <c r="Q5616">
        <v>0.14228150000000001</v>
      </c>
      <c r="R5616">
        <v>0.98833899999999997</v>
      </c>
      <c r="S5616">
        <v>1.307678E-2</v>
      </c>
      <c r="T5616">
        <v>-0.11716020000000001</v>
      </c>
      <c r="U5616">
        <v>3.053375</v>
      </c>
      <c r="V5616">
        <v>-0.1264364</v>
      </c>
      <c r="W5616">
        <v>0.15282950000000001</v>
      </c>
      <c r="X5616">
        <v>0.98013110000000003</v>
      </c>
      <c r="Y5616">
        <v>-6.8843660000000001E-2</v>
      </c>
      <c r="Z5616">
        <v>-2.7345910000000001E-2</v>
      </c>
      <c r="AA5616">
        <v>0.99725260000000004</v>
      </c>
      <c r="AB5616">
        <v>23</v>
      </c>
      <c r="AC5616">
        <v>0.107500000000015</v>
      </c>
      <c r="AD5616">
        <v>-1.1102428503790001</v>
      </c>
      <c r="AE5616">
        <v>28.706600999999999</v>
      </c>
      <c r="AF5616">
        <v>-1.98919312172375</v>
      </c>
      <c r="AG5616">
        <v>-1.1102428503790001</v>
      </c>
      <c r="AH5616">
        <v>28.594822080522601</v>
      </c>
      <c r="AI5616">
        <v>92.218134507405495</v>
      </c>
      <c r="AJ5616">
        <v>93.979358738151106</v>
      </c>
      <c r="AK5616">
        <v>28.685421005784001</v>
      </c>
      <c r="AL5616">
        <v>81.209063964319895</v>
      </c>
      <c r="AM5616">
        <v>97.350531935226101</v>
      </c>
      <c r="AN5616">
        <v>0.99999999625120894</v>
      </c>
    </row>
    <row r="5617" spans="1:40" x14ac:dyDescent="0.25">
      <c r="A5617" t="str">
        <f>"20190304155527819"</f>
        <v>20190304155527819</v>
      </c>
      <c r="B5617" t="str">
        <f>"1551686127813467"</f>
        <v>1551686127813467</v>
      </c>
      <c r="C5617" t="s">
        <v>40</v>
      </c>
      <c r="D5617">
        <v>4.6225719999999999</v>
      </c>
      <c r="E5617">
        <v>0.52139269999999904</v>
      </c>
      <c r="F5617" t="s">
        <v>46</v>
      </c>
      <c r="G5617">
        <v>-187.4554</v>
      </c>
      <c r="H5617" s="1">
        <v>-3.796162E-6</v>
      </c>
      <c r="I5617">
        <v>-2.5704060000000002</v>
      </c>
      <c r="J5617">
        <v>-187.59200000000001</v>
      </c>
      <c r="K5617">
        <v>1.1101859999999999</v>
      </c>
      <c r="L5617">
        <v>-30.894469999999998</v>
      </c>
      <c r="M5617">
        <v>7.281464E-2</v>
      </c>
      <c r="N5617">
        <v>-1.0714700000000001E-2</v>
      </c>
      <c r="O5617">
        <v>0.9972879</v>
      </c>
      <c r="P5617">
        <v>-5.4447740000000001E-2</v>
      </c>
      <c r="Q5617">
        <v>0.14255899999999999</v>
      </c>
      <c r="R5617">
        <v>0.98828760000000004</v>
      </c>
      <c r="S5617">
        <v>1.6418459999999999E-2</v>
      </c>
      <c r="T5617">
        <v>-0.1186923</v>
      </c>
      <c r="U5617">
        <v>3.053375</v>
      </c>
      <c r="V5617">
        <v>-0.12631600000000001</v>
      </c>
      <c r="W5617">
        <v>0.15303120000000001</v>
      </c>
      <c r="X5617">
        <v>0.98011519999999996</v>
      </c>
      <c r="Y5617">
        <v>-6.7439089999999993E-2</v>
      </c>
      <c r="Z5617">
        <v>-2.793729E-2</v>
      </c>
      <c r="AA5617">
        <v>0.9973322</v>
      </c>
      <c r="AB5617">
        <v>23</v>
      </c>
      <c r="AC5617">
        <v>0.13660000000001499</v>
      </c>
      <c r="AD5617">
        <v>-1.110189796162</v>
      </c>
      <c r="AE5617">
        <v>28.324064</v>
      </c>
      <c r="AF5617">
        <v>-1.9233328413066599</v>
      </c>
      <c r="AG5617">
        <v>-1.110189796162</v>
      </c>
      <c r="AH5617">
        <v>28.215468771015701</v>
      </c>
      <c r="AI5617">
        <v>92.248034648870998</v>
      </c>
      <c r="AJ5617">
        <v>93.899585954635995</v>
      </c>
      <c r="AK5617">
        <v>28.3027279351322</v>
      </c>
      <c r="AL5617">
        <v>81.197370258949306</v>
      </c>
      <c r="AM5617">
        <v>97.343726610492396</v>
      </c>
      <c r="AN5617">
        <v>1.00000004265023</v>
      </c>
    </row>
    <row r="5618" spans="1:40" x14ac:dyDescent="0.25">
      <c r="A5618" t="str">
        <f>"20190304155527840"</f>
        <v>20190304155527840</v>
      </c>
      <c r="B5618" t="str">
        <f>"1551686127832986"</f>
        <v>1551686127832986</v>
      </c>
      <c r="C5618" t="s">
        <v>40</v>
      </c>
      <c r="D5618">
        <v>4.6501469999999996</v>
      </c>
      <c r="E5618">
        <v>0.52171920000000005</v>
      </c>
      <c r="F5618" t="s">
        <v>46</v>
      </c>
      <c r="G5618">
        <v>-187.4135</v>
      </c>
      <c r="H5618" s="1">
        <v>-4.0960600000000002E-6</v>
      </c>
      <c r="I5618">
        <v>-1.8886970000000001</v>
      </c>
      <c r="J5618">
        <v>-187.57589999999999</v>
      </c>
      <c r="K5618">
        <v>1.110144</v>
      </c>
      <c r="L5618">
        <v>-30.668579999999999</v>
      </c>
      <c r="M5618">
        <v>7.2560299999999994E-2</v>
      </c>
      <c r="N5618">
        <v>-1.062893E-2</v>
      </c>
      <c r="O5618">
        <v>0.99730739999999996</v>
      </c>
      <c r="P5618">
        <v>-5.3689050000000002E-2</v>
      </c>
      <c r="Q5618">
        <v>0.14314060000000001</v>
      </c>
      <c r="R5618">
        <v>0.98824500000000004</v>
      </c>
      <c r="S5618">
        <v>1.8798829999999999E-2</v>
      </c>
      <c r="T5618">
        <v>-0.11686970000000001</v>
      </c>
      <c r="U5618">
        <v>3.053436</v>
      </c>
      <c r="V5618">
        <v>-0.12529509999999999</v>
      </c>
      <c r="W5618">
        <v>0.15353820000000001</v>
      </c>
      <c r="X5618">
        <v>0.98016689999999995</v>
      </c>
      <c r="Y5618">
        <v>-6.6407770000000005E-2</v>
      </c>
      <c r="Z5618">
        <v>-2.7432109999999999E-2</v>
      </c>
      <c r="AA5618">
        <v>0.99741539999999995</v>
      </c>
      <c r="AB5618">
        <v>23</v>
      </c>
      <c r="AC5618">
        <v>0.162399999999991</v>
      </c>
      <c r="AD5618">
        <v>-1.1101480960600001</v>
      </c>
      <c r="AE5618">
        <v>28.779883000000002</v>
      </c>
      <c r="AF5618">
        <v>-1.9235609817130801</v>
      </c>
      <c r="AG5618">
        <v>-1.1101480960600001</v>
      </c>
      <c r="AH5618">
        <v>28.673133506197999</v>
      </c>
      <c r="AI5618">
        <v>92.212266372552605</v>
      </c>
      <c r="AJ5618">
        <v>93.837984234152401</v>
      </c>
      <c r="AK5618">
        <v>28.759017728528399</v>
      </c>
      <c r="AL5618">
        <v>81.167973483701999</v>
      </c>
      <c r="AM5618">
        <v>97.284633836269805</v>
      </c>
      <c r="AN5618">
        <v>0.99999999639942905</v>
      </c>
    </row>
    <row r="5619" spans="1:40" x14ac:dyDescent="0.25">
      <c r="A5619" t="str">
        <f>"20190304155527864"</f>
        <v>20190304155527864</v>
      </c>
      <c r="B5619" t="str">
        <f>"1551686127853483"</f>
        <v>1551686127853483</v>
      </c>
      <c r="C5619" t="s">
        <v>40</v>
      </c>
      <c r="D5619">
        <v>4.6345850000000004</v>
      </c>
      <c r="E5619">
        <v>0.52205639999999998</v>
      </c>
      <c r="F5619" t="s">
        <v>46</v>
      </c>
      <c r="G5619">
        <v>-187.3485</v>
      </c>
      <c r="H5619" s="1">
        <v>-4.4431519999999996E-6</v>
      </c>
      <c r="I5619">
        <v>-1.1064700000000001</v>
      </c>
      <c r="J5619">
        <v>-187.559</v>
      </c>
      <c r="K5619">
        <v>1.1101240000000001</v>
      </c>
      <c r="L5619">
        <v>-30.432829999999999</v>
      </c>
      <c r="M5619">
        <v>7.232703E-2</v>
      </c>
      <c r="N5619">
        <v>-1.053831E-2</v>
      </c>
      <c r="O5619">
        <v>0.99732529999999997</v>
      </c>
      <c r="P5619">
        <v>-5.2782570000000001E-2</v>
      </c>
      <c r="Q5619">
        <v>0.14384859999999999</v>
      </c>
      <c r="R5619">
        <v>0.98819109999999999</v>
      </c>
      <c r="S5619">
        <v>2.3483279999999999E-2</v>
      </c>
      <c r="T5619">
        <v>-0.11467049999999999</v>
      </c>
      <c r="U5619">
        <v>3.0535580000000002</v>
      </c>
      <c r="V5619">
        <v>-0.12415030000000001</v>
      </c>
      <c r="W5619">
        <v>0.15416340000000001</v>
      </c>
      <c r="X5619">
        <v>0.98021440000000004</v>
      </c>
      <c r="Y5619">
        <v>-6.4645149999999998E-2</v>
      </c>
      <c r="Z5619">
        <v>-2.6809409999999999E-2</v>
      </c>
      <c r="AA5619">
        <v>0.99754810000000005</v>
      </c>
      <c r="AB5619">
        <v>23</v>
      </c>
      <c r="AC5619">
        <v>0.210500000000024</v>
      </c>
      <c r="AD5619">
        <v>-1.110128443152</v>
      </c>
      <c r="AE5619">
        <v>29.326360000000001</v>
      </c>
      <c r="AF5619">
        <v>-1.9085229947803899</v>
      </c>
      <c r="AG5619">
        <v>-1.110128443152</v>
      </c>
      <c r="AH5619">
        <v>29.222897840727001</v>
      </c>
      <c r="AI5619">
        <v>92.170903215709998</v>
      </c>
      <c r="AJ5619">
        <v>93.736632821959702</v>
      </c>
      <c r="AK5619">
        <v>29.306187117935799</v>
      </c>
      <c r="AL5619">
        <v>81.131720215699403</v>
      </c>
      <c r="AM5619">
        <v>97.218434562515398</v>
      </c>
      <c r="AN5619">
        <v>0.99999996042850403</v>
      </c>
    </row>
    <row r="5620" spans="1:40" x14ac:dyDescent="0.25">
      <c r="A5620" t="str">
        <f>"20190304155527885"</f>
        <v>20190304155527885</v>
      </c>
      <c r="B5620" t="str">
        <f>"1551686127883738"</f>
        <v>1551686127883738</v>
      </c>
      <c r="C5620" t="s">
        <v>40</v>
      </c>
      <c r="D5620">
        <v>4.6341580000000002</v>
      </c>
      <c r="E5620">
        <v>0.52256740000000002</v>
      </c>
      <c r="F5620" t="s">
        <v>46</v>
      </c>
      <c r="G5620">
        <v>-187.28149999999999</v>
      </c>
      <c r="H5620" s="1">
        <v>-7.6327060000000004E-7</v>
      </c>
      <c r="I5620">
        <v>-0.234544</v>
      </c>
      <c r="J5620">
        <v>-187.54259999999999</v>
      </c>
      <c r="K5620">
        <v>1.110112</v>
      </c>
      <c r="L5620">
        <v>-30.203399999999998</v>
      </c>
      <c r="M5620">
        <v>7.2118290000000002E-2</v>
      </c>
      <c r="N5620">
        <v>-1.0447949999999999E-2</v>
      </c>
      <c r="O5620">
        <v>0.99734129999999999</v>
      </c>
      <c r="P5620">
        <v>-5.2269860000000001E-2</v>
      </c>
      <c r="Q5620">
        <v>0.14432890000000001</v>
      </c>
      <c r="R5620">
        <v>0.98814829999999998</v>
      </c>
      <c r="S5620">
        <v>2.8060910000000001E-2</v>
      </c>
      <c r="T5620">
        <v>-0.11225690000000001</v>
      </c>
      <c r="U5620">
        <v>3.0536799999999999</v>
      </c>
      <c r="V5620">
        <v>-0.12342930000000001</v>
      </c>
      <c r="W5620">
        <v>0.15455679999999999</v>
      </c>
      <c r="X5620">
        <v>0.98024359999999999</v>
      </c>
      <c r="Y5620">
        <v>-6.2941839999999999E-2</v>
      </c>
      <c r="Z5620">
        <v>-2.6116279999999999E-2</v>
      </c>
      <c r="AA5620">
        <v>0.99767539999999999</v>
      </c>
      <c r="AB5620">
        <v>23</v>
      </c>
      <c r="AC5620">
        <v>0.261099999999999</v>
      </c>
      <c r="AD5620">
        <v>-1.1101127632706</v>
      </c>
      <c r="AE5620">
        <v>29.968855999999999</v>
      </c>
      <c r="AF5620">
        <v>-1.89839607133841</v>
      </c>
      <c r="AG5620">
        <v>-1.1101127632706</v>
      </c>
      <c r="AH5620">
        <v>29.868661804482802</v>
      </c>
      <c r="AI5620">
        <v>92.124219968341293</v>
      </c>
      <c r="AJ5620">
        <v>93.636720439919998</v>
      </c>
      <c r="AK5620">
        <v>29.949511114230599</v>
      </c>
      <c r="AL5620">
        <v>81.108907482257095</v>
      </c>
      <c r="AM5620">
        <v>97.176740494852794</v>
      </c>
      <c r="AN5620">
        <v>1.0000000559328399</v>
      </c>
    </row>
    <row r="5621" spans="1:40" x14ac:dyDescent="0.25">
      <c r="A5621" t="str">
        <f>"20190304155527929"</f>
        <v>20190304155527929</v>
      </c>
      <c r="B5621" t="str">
        <f>"1551686127923754"</f>
        <v>1551686127923754</v>
      </c>
      <c r="C5621" t="s">
        <v>40</v>
      </c>
      <c r="D5621">
        <v>4.6327769999999999</v>
      </c>
      <c r="E5621">
        <v>0.5230901</v>
      </c>
      <c r="F5621" t="s">
        <v>46</v>
      </c>
      <c r="G5621">
        <v>-187.20079999999999</v>
      </c>
      <c r="H5621" s="1">
        <v>-1.100405E-6</v>
      </c>
      <c r="I5621">
        <v>0.69303539999999997</v>
      </c>
      <c r="J5621">
        <v>-187.51009999999999</v>
      </c>
      <c r="K5621">
        <v>1.1101080000000001</v>
      </c>
      <c r="L5621">
        <v>-29.747409999999999</v>
      </c>
      <c r="M5621">
        <v>7.1717710000000004E-2</v>
      </c>
      <c r="N5621">
        <v>-1.028167E-2</v>
      </c>
      <c r="O5621">
        <v>0.99737200000000004</v>
      </c>
      <c r="P5621">
        <v>-5.133969E-2</v>
      </c>
      <c r="Q5621">
        <v>0.14479439999999999</v>
      </c>
      <c r="R5621">
        <v>0.98812900000000004</v>
      </c>
      <c r="S5621">
        <v>3.3782960000000001E-2</v>
      </c>
      <c r="T5621">
        <v>-0.1097236</v>
      </c>
      <c r="U5621">
        <v>3.0538020000000001</v>
      </c>
      <c r="V5621">
        <v>-0.12211089999999999</v>
      </c>
      <c r="W5621">
        <v>0.15485550000000001</v>
      </c>
      <c r="X5621">
        <v>0.9803615</v>
      </c>
      <c r="Y5621">
        <v>-6.0672810000000001E-2</v>
      </c>
      <c r="Z5621">
        <v>-2.5461299999999999E-2</v>
      </c>
      <c r="AA5621">
        <v>0.99783290000000002</v>
      </c>
      <c r="AB5621">
        <v>23</v>
      </c>
      <c r="AC5621">
        <v>0.30930000000000701</v>
      </c>
      <c r="AD5621">
        <v>-1.1101091004050001</v>
      </c>
      <c r="AE5621">
        <v>30.440445400000002</v>
      </c>
      <c r="AF5621">
        <v>-1.87224122815921</v>
      </c>
      <c r="AG5621">
        <v>-1.1101091004050001</v>
      </c>
      <c r="AH5621">
        <v>30.3438843686355</v>
      </c>
      <c r="AI5621">
        <v>92.091217022264701</v>
      </c>
      <c r="AJ5621">
        <v>93.530718162080504</v>
      </c>
      <c r="AK5621">
        <v>30.421849845273101</v>
      </c>
      <c r="AL5621">
        <v>81.091584032460901</v>
      </c>
      <c r="AM5621">
        <v>97.100024177946295</v>
      </c>
      <c r="AN5621">
        <v>0.99999998423065395</v>
      </c>
    </row>
    <row r="5622" spans="1:40" x14ac:dyDescent="0.25">
      <c r="A5622" t="str">
        <f>"20190304155527953"</f>
        <v>20190304155527953</v>
      </c>
      <c r="B5622" t="str">
        <f>"1551686127943274"</f>
        <v>1551686127943274</v>
      </c>
      <c r="C5622" t="s">
        <v>40</v>
      </c>
      <c r="D5622">
        <v>4.6202690000000004</v>
      </c>
      <c r="E5622">
        <v>0.52338149999999894</v>
      </c>
      <c r="F5622" t="s">
        <v>46</v>
      </c>
      <c r="G5622">
        <v>-187.08949999999999</v>
      </c>
      <c r="H5622" s="1">
        <v>-1.401767E-6</v>
      </c>
      <c r="I5622">
        <v>1.4916049999999901</v>
      </c>
      <c r="J5622">
        <v>-187.4932</v>
      </c>
      <c r="K5622">
        <v>1.110104</v>
      </c>
      <c r="L5622">
        <v>-29.508389999999999</v>
      </c>
      <c r="M5622">
        <v>7.1499110000000005E-2</v>
      </c>
      <c r="N5622">
        <v>-1.020127E-2</v>
      </c>
      <c r="O5622">
        <v>0.99738850000000001</v>
      </c>
      <c r="P5622">
        <v>-5.0999589999999997E-2</v>
      </c>
      <c r="Q5622">
        <v>0.144981</v>
      </c>
      <c r="R5622">
        <v>0.98811919999999998</v>
      </c>
      <c r="S5622">
        <v>4.1122440000000003E-2</v>
      </c>
      <c r="T5622">
        <v>-0.10852970000000001</v>
      </c>
      <c r="U5622">
        <v>3.0540769999999999</v>
      </c>
      <c r="V5622">
        <v>-0.121561</v>
      </c>
      <c r="W5622">
        <v>0.15496099999999999</v>
      </c>
      <c r="X5622">
        <v>0.98041319999999998</v>
      </c>
      <c r="Y5622">
        <v>-5.8057940000000002E-2</v>
      </c>
      <c r="Z5622">
        <v>-2.5153970000000001E-2</v>
      </c>
      <c r="AA5622">
        <v>0.99799629999999995</v>
      </c>
      <c r="AB5622">
        <v>23</v>
      </c>
      <c r="AC5622">
        <v>0.40370000000001399</v>
      </c>
      <c r="AD5622">
        <v>-1.110105401767</v>
      </c>
      <c r="AE5622">
        <v>30.999994999999998</v>
      </c>
      <c r="AF5622">
        <v>-1.8115979920496299</v>
      </c>
      <c r="AG5622">
        <v>-1.110105401767</v>
      </c>
      <c r="AH5622">
        <v>30.909882567562502</v>
      </c>
      <c r="AI5622">
        <v>92.053330636575396</v>
      </c>
      <c r="AJ5622">
        <v>93.354212529369704</v>
      </c>
      <c r="AK5622">
        <v>30.982818813470399</v>
      </c>
      <c r="AL5622">
        <v>81.085465750513904</v>
      </c>
      <c r="AM5622">
        <v>97.068005932438396</v>
      </c>
      <c r="AN5622">
        <v>1.0000000154881199</v>
      </c>
    </row>
    <row r="5623" spans="1:40" x14ac:dyDescent="0.25">
      <c r="A5623" t="str">
        <f>"20190304155527974"</f>
        <v>20190304155527974</v>
      </c>
      <c r="B5623" t="str">
        <f>"1551686127963771"</f>
        <v>1551686127963771</v>
      </c>
      <c r="C5623" t="s">
        <v>40</v>
      </c>
      <c r="D5623">
        <v>4.4968769999999996</v>
      </c>
      <c r="E5623">
        <v>0.52350829999999904</v>
      </c>
      <c r="F5623" t="s">
        <v>46</v>
      </c>
      <c r="G5623">
        <v>-187.02510000000001</v>
      </c>
      <c r="H5623" s="1">
        <v>-1.6383959999999999E-6</v>
      </c>
      <c r="I5623">
        <v>2.136568</v>
      </c>
      <c r="J5623">
        <v>-187.47720000000001</v>
      </c>
      <c r="K5623">
        <v>1.110101</v>
      </c>
      <c r="L5623">
        <v>-29.282440000000001</v>
      </c>
      <c r="M5623">
        <v>7.1281689999999995E-2</v>
      </c>
      <c r="N5623">
        <v>-1.0126629999999999E-2</v>
      </c>
      <c r="O5623">
        <v>0.99740479999999998</v>
      </c>
      <c r="P5623">
        <v>-5.0944870000000003E-2</v>
      </c>
      <c r="Q5623">
        <v>0.14426989999999901</v>
      </c>
      <c r="R5623">
        <v>0.9882261</v>
      </c>
      <c r="S5623">
        <v>4.5181270000000003E-2</v>
      </c>
      <c r="T5623">
        <v>-0.1071382</v>
      </c>
      <c r="U5623">
        <v>3.0541079999999998</v>
      </c>
      <c r="V5623">
        <v>-0.1213026</v>
      </c>
      <c r="W5623">
        <v>0.15417520000000001</v>
      </c>
      <c r="X5623">
        <v>0.98056909999999997</v>
      </c>
      <c r="Y5623">
        <v>-5.6514759999999997E-2</v>
      </c>
      <c r="Z5623">
        <v>-2.4777939999999998E-2</v>
      </c>
      <c r="AA5623">
        <v>0.99809429999999999</v>
      </c>
      <c r="AB5623">
        <v>23</v>
      </c>
      <c r="AC5623">
        <v>0.452100000000001</v>
      </c>
      <c r="AD5623">
        <v>-1.110102638396</v>
      </c>
      <c r="AE5623">
        <v>31.419008000000002</v>
      </c>
      <c r="AF5623">
        <v>-1.7865352463181601</v>
      </c>
      <c r="AG5623">
        <v>-1.110102638396</v>
      </c>
      <c r="AH5623">
        <v>31.332199104950799</v>
      </c>
      <c r="AI5623">
        <v>92.025858063304497</v>
      </c>
      <c r="AJ5623">
        <v>93.263422836790596</v>
      </c>
      <c r="AK5623">
        <v>31.402718621265699</v>
      </c>
      <c r="AL5623">
        <v>81.131036624466603</v>
      </c>
      <c r="AM5623">
        <v>97.052023002240801</v>
      </c>
      <c r="AN5623">
        <v>1.0000000364682999</v>
      </c>
    </row>
    <row r="5624" spans="1:40" x14ac:dyDescent="0.25">
      <c r="A5624" t="str">
        <f>"20190304155527997"</f>
        <v>20190304155527997</v>
      </c>
      <c r="B5624" t="str">
        <f>"1551686127993051"</f>
        <v>1551686127993051</v>
      </c>
      <c r="C5624" t="s">
        <v>40</v>
      </c>
      <c r="D5624">
        <v>4.6111409999999999</v>
      </c>
      <c r="E5624">
        <v>0.52372589999999997</v>
      </c>
      <c r="F5624" t="s">
        <v>46</v>
      </c>
      <c r="G5624">
        <v>-187.0025</v>
      </c>
      <c r="H5624" s="1">
        <v>-1.4090219999999999E-6</v>
      </c>
      <c r="I5624">
        <v>1.444855</v>
      </c>
      <c r="J5624">
        <v>-187.46019999999999</v>
      </c>
      <c r="K5624">
        <v>1.11009</v>
      </c>
      <c r="L5624">
        <v>-29.04083</v>
      </c>
      <c r="M5624">
        <v>7.1038249999999997E-2</v>
      </c>
      <c r="N5624">
        <v>-1.004532E-2</v>
      </c>
      <c r="O5624">
        <v>0.99742299999999995</v>
      </c>
      <c r="P5624">
        <v>-5.1161350000000001E-2</v>
      </c>
      <c r="Q5624">
        <v>0.14427619999999999</v>
      </c>
      <c r="R5624">
        <v>0.98821400000000004</v>
      </c>
      <c r="S5624">
        <v>4.7195429999999997E-2</v>
      </c>
      <c r="T5624">
        <v>-0.1103441</v>
      </c>
      <c r="U5624">
        <v>3.0542910000000001</v>
      </c>
      <c r="V5624">
        <v>-0.12128120000000001</v>
      </c>
      <c r="W5624">
        <v>0.15409929999999999</v>
      </c>
      <c r="X5624">
        <v>0.98058369999999995</v>
      </c>
      <c r="Y5624">
        <v>-5.5614320000000002E-2</v>
      </c>
      <c r="Z5624">
        <v>-2.5902069999999999E-2</v>
      </c>
      <c r="AA5624">
        <v>0.99811629999999996</v>
      </c>
      <c r="AB5624">
        <v>23</v>
      </c>
      <c r="AC5624">
        <v>0.45769999999998801</v>
      </c>
      <c r="AD5624">
        <v>-1.110091409022</v>
      </c>
      <c r="AE5624">
        <v>30.485684999999901</v>
      </c>
      <c r="AF5624">
        <v>-1.7069526441929801</v>
      </c>
      <c r="AG5624">
        <v>-1.110091409022</v>
      </c>
      <c r="AH5624">
        <v>30.400872983397999</v>
      </c>
      <c r="AI5624">
        <v>92.087947186360296</v>
      </c>
      <c r="AJ5624">
        <v>93.213677446004993</v>
      </c>
      <c r="AK5624">
        <v>30.468985352627001</v>
      </c>
      <c r="AL5624">
        <v>81.135438166887894</v>
      </c>
      <c r="AM5624">
        <v>97.050687496292099</v>
      </c>
      <c r="AN5624">
        <v>1.0000000582198001</v>
      </c>
    </row>
    <row r="5625" spans="1:40" x14ac:dyDescent="0.25">
      <c r="A5625" t="str">
        <f>"20190304155528019"</f>
        <v>20190304155528019</v>
      </c>
      <c r="B5625" t="str">
        <f>"1551686128013546"</f>
        <v>1551686128013546</v>
      </c>
      <c r="C5625" t="s">
        <v>40</v>
      </c>
      <c r="D5625">
        <v>4.6379989999999998</v>
      </c>
      <c r="E5625">
        <v>0.5238794</v>
      </c>
      <c r="F5625" t="s">
        <v>46</v>
      </c>
      <c r="G5625">
        <v>-186.96889999999999</v>
      </c>
      <c r="H5625" s="1">
        <v>-1.550744E-6</v>
      </c>
      <c r="I5625">
        <v>1.8351189999999999</v>
      </c>
      <c r="J5625">
        <v>-187.44399999999999</v>
      </c>
      <c r="K5625">
        <v>1.11009</v>
      </c>
      <c r="L5625">
        <v>-28.809229999999999</v>
      </c>
      <c r="M5625">
        <v>7.0797410000000005E-2</v>
      </c>
      <c r="N5625">
        <v>-9.9681249999999996E-3</v>
      </c>
      <c r="O5625">
        <v>0.99744089999999996</v>
      </c>
      <c r="P5625">
        <v>-5.1397350000000001E-2</v>
      </c>
      <c r="Q5625">
        <v>0.14442469999999999</v>
      </c>
      <c r="R5625">
        <v>0.98817999999999995</v>
      </c>
      <c r="S5625">
        <v>4.8599240000000002E-2</v>
      </c>
      <c r="T5625">
        <v>-0.1098129</v>
      </c>
      <c r="U5625">
        <v>3.0543209999999998</v>
      </c>
      <c r="V5625">
        <v>-0.12127930000000001</v>
      </c>
      <c r="W5625">
        <v>0.15417</v>
      </c>
      <c r="X5625">
        <v>0.98057280000000002</v>
      </c>
      <c r="Y5625">
        <v>-5.491497E-2</v>
      </c>
      <c r="Z5625">
        <v>-2.5807650000000001E-2</v>
      </c>
      <c r="AA5625">
        <v>0.99815739999999997</v>
      </c>
      <c r="AB5625">
        <v>23</v>
      </c>
      <c r="AC5625">
        <v>0.475100000000026</v>
      </c>
      <c r="AD5625">
        <v>-1.1100915507439999</v>
      </c>
      <c r="AE5625">
        <v>30.644348999999998</v>
      </c>
      <c r="AF5625">
        <v>-1.6935188431232799</v>
      </c>
      <c r="AG5625">
        <v>-1.1100915507439999</v>
      </c>
      <c r="AH5625">
        <v>30.560989426162099</v>
      </c>
      <c r="AI5625">
        <v>92.077102470240504</v>
      </c>
      <c r="AJ5625">
        <v>93.171767232064795</v>
      </c>
      <c r="AK5625">
        <v>30.628000000474</v>
      </c>
      <c r="AL5625">
        <v>81.131338170784304</v>
      </c>
      <c r="AM5625">
        <v>97.050655736497603</v>
      </c>
      <c r="AN5625">
        <v>1.0000000368041599</v>
      </c>
    </row>
    <row r="5626" spans="1:40" x14ac:dyDescent="0.25">
      <c r="A5626" t="str">
        <f>"20190304155528042"</f>
        <v>20190304155528042</v>
      </c>
      <c r="B5626" t="str">
        <f>"1551686128033067"</f>
        <v>1551686128033067</v>
      </c>
      <c r="C5626" t="s">
        <v>40</v>
      </c>
      <c r="D5626">
        <v>4.6303519999999896</v>
      </c>
      <c r="E5626">
        <v>0.52401690000000001</v>
      </c>
      <c r="F5626" t="s">
        <v>46</v>
      </c>
      <c r="G5626">
        <v>-186.94659999999999</v>
      </c>
      <c r="H5626" s="1">
        <v>-1.692665E-6</v>
      </c>
      <c r="I5626">
        <v>2.234718</v>
      </c>
      <c r="J5626">
        <v>-187.42750000000001</v>
      </c>
      <c r="K5626">
        <v>1.1100840000000001</v>
      </c>
      <c r="L5626">
        <v>-28.5733</v>
      </c>
      <c r="M5626">
        <v>7.0548410000000006E-2</v>
      </c>
      <c r="N5626">
        <v>-9.8912889999999993E-3</v>
      </c>
      <c r="O5626">
        <v>0.99745930000000005</v>
      </c>
      <c r="P5626">
        <v>-5.1403490000000003E-2</v>
      </c>
      <c r="Q5626">
        <v>0.1447946</v>
      </c>
      <c r="R5626">
        <v>0.98812560000000005</v>
      </c>
      <c r="S5626">
        <v>4.8934940000000003E-2</v>
      </c>
      <c r="T5626">
        <v>-0.1092207</v>
      </c>
      <c r="U5626">
        <v>3.0543819999999999</v>
      </c>
      <c r="V5626">
        <v>-0.1210381</v>
      </c>
      <c r="W5626">
        <v>0.15446309999999999</v>
      </c>
      <c r="X5626">
        <v>0.98055639999999999</v>
      </c>
      <c r="Y5626">
        <v>-5.4556510000000003E-2</v>
      </c>
      <c r="Z5626">
        <v>-2.5692329999999999E-2</v>
      </c>
      <c r="AA5626">
        <v>0.99818010000000001</v>
      </c>
      <c r="AB5626">
        <v>23</v>
      </c>
      <c r="AC5626">
        <v>0.48090000000001898</v>
      </c>
      <c r="AD5626">
        <v>-1.110085692665</v>
      </c>
      <c r="AE5626">
        <v>30.808018000000001</v>
      </c>
      <c r="AF5626">
        <v>-1.6916655889362799</v>
      </c>
      <c r="AG5626">
        <v>-1.110085692665</v>
      </c>
      <c r="AH5626">
        <v>30.725294388262299</v>
      </c>
      <c r="AI5626">
        <v>92.066034366206097</v>
      </c>
      <c r="AJ5626">
        <v>93.151394963347002</v>
      </c>
      <c r="AK5626">
        <v>30.791845315850001</v>
      </c>
      <c r="AL5626">
        <v>81.114340511354996</v>
      </c>
      <c r="AM5626">
        <v>97.036890636557203</v>
      </c>
      <c r="AN5626">
        <v>0.99999996224708898</v>
      </c>
    </row>
    <row r="5627" spans="1:40" x14ac:dyDescent="0.25">
      <c r="A5627" t="str">
        <f>"20190304155528064"</f>
        <v>20190304155528064</v>
      </c>
      <c r="B5627" t="str">
        <f>"1551686128053563"</f>
        <v>1551686128053563</v>
      </c>
      <c r="C5627" t="s">
        <v>40</v>
      </c>
      <c r="D5627">
        <v>4.6350870000000004</v>
      </c>
      <c r="E5627">
        <v>0.52415279999999997</v>
      </c>
      <c r="F5627" t="s">
        <v>46</v>
      </c>
      <c r="G5627">
        <v>-186.91200000000001</v>
      </c>
      <c r="H5627" s="1">
        <v>-1.9296539999999999E-6</v>
      </c>
      <c r="I5627">
        <v>2.8539970000000001</v>
      </c>
      <c r="J5627">
        <v>-187.4111</v>
      </c>
      <c r="K5627">
        <v>1.110082</v>
      </c>
      <c r="L5627">
        <v>-28.337430000000001</v>
      </c>
      <c r="M5627">
        <v>7.0298470000000002E-2</v>
      </c>
      <c r="N5627">
        <v>-9.8184610000000005E-3</v>
      </c>
      <c r="O5627">
        <v>0.99747770000000002</v>
      </c>
      <c r="P5627">
        <v>-5.225374E-2</v>
      </c>
      <c r="Q5627">
        <v>0.14537329999999901</v>
      </c>
      <c r="R5627">
        <v>0.98799599999999999</v>
      </c>
      <c r="S5627">
        <v>5.0109859999999999E-2</v>
      </c>
      <c r="T5627">
        <v>-0.10789120000000001</v>
      </c>
      <c r="U5627">
        <v>3.0544739999999999</v>
      </c>
      <c r="V5627">
        <v>-0.1216329</v>
      </c>
      <c r="W5627">
        <v>0.15496760000000001</v>
      </c>
      <c r="X5627">
        <v>0.98040320000000003</v>
      </c>
      <c r="Y5627">
        <v>-5.3923100000000002E-2</v>
      </c>
      <c r="Z5627">
        <v>-2.533297E-2</v>
      </c>
      <c r="AA5627">
        <v>0.99822370000000005</v>
      </c>
      <c r="AB5627">
        <v>24</v>
      </c>
      <c r="AC5627">
        <v>0.49909999999999799</v>
      </c>
      <c r="AD5627">
        <v>-1.1100839296539999</v>
      </c>
      <c r="AE5627">
        <v>31.191427000000001</v>
      </c>
      <c r="AF5627">
        <v>-1.6928065742912</v>
      </c>
      <c r="AG5627">
        <v>-1.1100839296539999</v>
      </c>
      <c r="AH5627">
        <v>31.109945768456299</v>
      </c>
      <c r="AI5627">
        <v>92.040579537838994</v>
      </c>
      <c r="AJ5627">
        <v>93.114602570069593</v>
      </c>
      <c r="AK5627">
        <v>31.1757374595234</v>
      </c>
      <c r="AL5627">
        <v>81.085082628473998</v>
      </c>
      <c r="AM5627">
        <v>97.072215548664701</v>
      </c>
      <c r="AN5627">
        <v>0.99999997699120402</v>
      </c>
    </row>
    <row r="5628" spans="1:40" x14ac:dyDescent="0.25">
      <c r="A5628" t="str">
        <f>"20190304155528086"</f>
        <v>20190304155528086</v>
      </c>
      <c r="B5628" t="str">
        <f>"1551686128082843"</f>
        <v>1551686128082843</v>
      </c>
      <c r="C5628" t="s">
        <v>40</v>
      </c>
      <c r="D5628">
        <v>4.6287839999999996</v>
      </c>
      <c r="E5628">
        <v>0.52431269999999996</v>
      </c>
      <c r="F5628" t="s">
        <v>46</v>
      </c>
      <c r="G5628">
        <v>-186.9051</v>
      </c>
      <c r="H5628" s="1">
        <v>-2.249754E-6</v>
      </c>
      <c r="I5628">
        <v>3.5973259999999998</v>
      </c>
      <c r="J5628">
        <v>-187.39529999999999</v>
      </c>
      <c r="K5628">
        <v>1.110082</v>
      </c>
      <c r="L5628">
        <v>-28.108429999999998</v>
      </c>
      <c r="M5628">
        <v>7.0056740000000006E-2</v>
      </c>
      <c r="N5628">
        <v>-9.7528419999999994E-3</v>
      </c>
      <c r="O5628">
        <v>0.99749540000000003</v>
      </c>
      <c r="P5628">
        <v>-5.3087170000000003E-2</v>
      </c>
      <c r="Q5628">
        <v>0.1458892</v>
      </c>
      <c r="R5628">
        <v>0.98787550000000002</v>
      </c>
      <c r="S5628">
        <v>4.840088E-2</v>
      </c>
      <c r="T5628">
        <v>-0.1061819</v>
      </c>
      <c r="U5628">
        <v>3.0546259999999998</v>
      </c>
      <c r="V5628">
        <v>-0.1222188</v>
      </c>
      <c r="W5628">
        <v>0.15541650000000001</v>
      </c>
      <c r="X5628">
        <v>0.98025929999999994</v>
      </c>
      <c r="Y5628">
        <v>-5.4240169999999997E-2</v>
      </c>
      <c r="Z5628">
        <v>-2.484109E-2</v>
      </c>
      <c r="AA5628">
        <v>0.99821890000000002</v>
      </c>
      <c r="AB5628">
        <v>24</v>
      </c>
      <c r="AC5628">
        <v>0.49019999999998698</v>
      </c>
      <c r="AD5628">
        <v>-1.110084249754</v>
      </c>
      <c r="AE5628">
        <v>31.705756000000001</v>
      </c>
      <c r="AF5628">
        <v>-1.7301914889185901</v>
      </c>
      <c r="AG5628">
        <v>-1.110084249754</v>
      </c>
      <c r="AH5628">
        <v>31.623435079141199</v>
      </c>
      <c r="AI5628">
        <v>92.007440708147698</v>
      </c>
      <c r="AJ5628">
        <v>93.131662681975499</v>
      </c>
      <c r="AK5628">
        <v>31.690179801233899</v>
      </c>
      <c r="AL5628">
        <v>81.059047406280101</v>
      </c>
      <c r="AM5628">
        <v>97.106967116803503</v>
      </c>
      <c r="AN5628">
        <v>1.0000000093910899</v>
      </c>
    </row>
    <row r="5629" spans="1:40" x14ac:dyDescent="0.25">
      <c r="A5629" t="str">
        <f>"20190304155528134"</f>
        <v>20190304155528134</v>
      </c>
      <c r="B5629" t="str">
        <f>"1551686128122859"</f>
        <v>1551686128122859</v>
      </c>
      <c r="C5629" t="s">
        <v>40</v>
      </c>
      <c r="D5629">
        <v>4.5992569999999997</v>
      </c>
      <c r="E5629">
        <v>0.52446910000000002</v>
      </c>
      <c r="F5629" t="s">
        <v>46</v>
      </c>
      <c r="G5629">
        <v>-186.89750000000001</v>
      </c>
      <c r="H5629" s="1">
        <v>-2.5290560000000001E-6</v>
      </c>
      <c r="I5629">
        <v>4.245247</v>
      </c>
      <c r="J5629">
        <v>-187.3604</v>
      </c>
      <c r="K5629">
        <v>1.1100730000000001</v>
      </c>
      <c r="L5629">
        <v>-27.60294</v>
      </c>
      <c r="M5629">
        <v>6.9526779999999996E-2</v>
      </c>
      <c r="N5629">
        <v>-9.6059779999999994E-3</v>
      </c>
      <c r="O5629">
        <v>0.99753389999999997</v>
      </c>
      <c r="P5629">
        <v>-5.4514640000000003E-2</v>
      </c>
      <c r="Q5629">
        <v>0.14744019999999999</v>
      </c>
      <c r="R5629">
        <v>0.98756750000000004</v>
      </c>
      <c r="S5629">
        <v>4.6997070000000002E-2</v>
      </c>
      <c r="T5629">
        <v>-0.1048144</v>
      </c>
      <c r="U5629">
        <v>3.05484</v>
      </c>
      <c r="V5629">
        <v>-0.12310160000000001</v>
      </c>
      <c r="W5629">
        <v>0.15681870000000001</v>
      </c>
      <c r="X5629">
        <v>0.9799255</v>
      </c>
      <c r="Y5629">
        <v>-5.416953E-2</v>
      </c>
      <c r="Z5629">
        <v>-2.4542370000000001E-2</v>
      </c>
      <c r="AA5629">
        <v>0.99823010000000001</v>
      </c>
      <c r="AB5629">
        <v>24</v>
      </c>
      <c r="AC5629">
        <v>0.46289999999998999</v>
      </c>
      <c r="AD5629">
        <v>-1.1100755290559901</v>
      </c>
      <c r="AE5629">
        <v>31.848186999999999</v>
      </c>
      <c r="AF5629">
        <v>-1.75049799163368</v>
      </c>
      <c r="AG5629">
        <v>-1.1100755290559901</v>
      </c>
      <c r="AH5629">
        <v>31.7647130634546</v>
      </c>
      <c r="AI5629">
        <v>91.998460621552795</v>
      </c>
      <c r="AJ5629">
        <v>93.154280062593003</v>
      </c>
      <c r="AK5629">
        <v>31.832271469414898</v>
      </c>
      <c r="AL5629">
        <v>80.977710279145796</v>
      </c>
      <c r="AM5629">
        <v>97.160183875571903</v>
      </c>
      <c r="AN5629">
        <v>1.00000004707124</v>
      </c>
    </row>
    <row r="5630" spans="1:40" x14ac:dyDescent="0.25">
      <c r="A5630" t="str">
        <f>"20190304155528154"</f>
        <v>20190304155528154</v>
      </c>
      <c r="B5630" t="str">
        <f>"1551686128143355"</f>
        <v>1551686128143355</v>
      </c>
      <c r="C5630" t="s">
        <v>40</v>
      </c>
      <c r="D5630">
        <v>4.5121849999999997</v>
      </c>
      <c r="E5630">
        <v>0.52452559999999904</v>
      </c>
      <c r="F5630" t="s">
        <v>46</v>
      </c>
      <c r="G5630">
        <v>-186.87350000000001</v>
      </c>
      <c r="H5630" s="1">
        <v>-3.357477E-6</v>
      </c>
      <c r="I5630">
        <v>6.1664019999999997</v>
      </c>
      <c r="J5630">
        <v>-187.3458</v>
      </c>
      <c r="K5630">
        <v>1.1100680000000001</v>
      </c>
      <c r="L5630">
        <v>-27.388919999999999</v>
      </c>
      <c r="M5630">
        <v>6.9303909999999996E-2</v>
      </c>
      <c r="N5630">
        <v>-9.5462810000000002E-3</v>
      </c>
      <c r="O5630">
        <v>0.99754989999999999</v>
      </c>
      <c r="P5630">
        <v>-5.451027E-2</v>
      </c>
      <c r="Q5630">
        <v>0.14806569999999999</v>
      </c>
      <c r="R5630">
        <v>0.98747410000000002</v>
      </c>
      <c r="S5630">
        <v>4.405212E-2</v>
      </c>
      <c r="T5630">
        <v>-0.1004317</v>
      </c>
      <c r="U5630">
        <v>3.0552060000000001</v>
      </c>
      <c r="V5630">
        <v>-0.1228722</v>
      </c>
      <c r="W5630">
        <v>0.15738469999999999</v>
      </c>
      <c r="X5630">
        <v>0.9798635</v>
      </c>
      <c r="Y5630">
        <v>-5.4910059999999997E-2</v>
      </c>
      <c r="Z5630">
        <v>-2.3171770000000001E-2</v>
      </c>
      <c r="AA5630">
        <v>0.99822239999999995</v>
      </c>
      <c r="AB5630">
        <v>24</v>
      </c>
      <c r="AC5630">
        <v>0.47229999999999001</v>
      </c>
      <c r="AD5630">
        <v>-1.110071357477</v>
      </c>
      <c r="AE5630">
        <v>33.555321999999997</v>
      </c>
      <c r="AF5630">
        <v>-1.8524298197842</v>
      </c>
      <c r="AG5630">
        <v>-1.110071357477</v>
      </c>
      <c r="AH5630">
        <v>33.470744357157898</v>
      </c>
      <c r="AI5630">
        <v>91.896642039563204</v>
      </c>
      <c r="AJ5630">
        <v>93.167788603419694</v>
      </c>
      <c r="AK5630">
        <v>33.540341120479603</v>
      </c>
      <c r="AL5630">
        <v>80.944872681187107</v>
      </c>
      <c r="AM5630">
        <v>97.147426510122102</v>
      </c>
      <c r="AN5630">
        <v>0.99999999997958999</v>
      </c>
    </row>
    <row r="5631" spans="1:40" x14ac:dyDescent="0.25">
      <c r="A5631" t="str">
        <f>"20190304155528175"</f>
        <v>20190304155528175</v>
      </c>
      <c r="B5631" t="str">
        <f>"1551686128173611"</f>
        <v>1551686128173611</v>
      </c>
      <c r="C5631" t="s">
        <v>40</v>
      </c>
      <c r="D5631">
        <v>4.5977980000000001</v>
      </c>
      <c r="E5631">
        <v>0.52458839999999995</v>
      </c>
      <c r="F5631" t="s">
        <v>46</v>
      </c>
      <c r="G5631">
        <v>-186.84780000000001</v>
      </c>
      <c r="H5631" s="1">
        <v>-3.5777329999999999E-6</v>
      </c>
      <c r="I5631">
        <v>6.6691669999999998</v>
      </c>
      <c r="J5631">
        <v>-187.33019999999999</v>
      </c>
      <c r="K5631">
        <v>1.110058</v>
      </c>
      <c r="L5631">
        <v>-27.160920000000001</v>
      </c>
      <c r="M5631">
        <v>6.9067219999999999E-2</v>
      </c>
      <c r="N5631">
        <v>-9.48623E-3</v>
      </c>
      <c r="O5631">
        <v>0.99756690000000003</v>
      </c>
      <c r="P5631">
        <v>-5.4836879999999998E-2</v>
      </c>
      <c r="Q5631">
        <v>0.1488807</v>
      </c>
      <c r="R5631">
        <v>0.98733349999999998</v>
      </c>
      <c r="S5631">
        <v>4.4677729999999999E-2</v>
      </c>
      <c r="T5631">
        <v>-9.9587800000000004E-2</v>
      </c>
      <c r="U5631">
        <v>3.05545</v>
      </c>
      <c r="V5631">
        <v>-0.1229558</v>
      </c>
      <c r="W5631">
        <v>0.15813949999999999</v>
      </c>
      <c r="X5631">
        <v>0.97973149999999998</v>
      </c>
      <c r="Y5631">
        <v>-5.4470089999999999E-2</v>
      </c>
      <c r="Z5631">
        <v>-2.2955759999999999E-2</v>
      </c>
      <c r="AA5631">
        <v>0.99825149999999996</v>
      </c>
      <c r="AB5631">
        <v>24</v>
      </c>
      <c r="AC5631">
        <v>0.48239999999998401</v>
      </c>
      <c r="AD5631">
        <v>-1.1100615777330001</v>
      </c>
      <c r="AE5631">
        <v>33.830086999999999</v>
      </c>
      <c r="AF5631">
        <v>-1.8534121513645001</v>
      </c>
      <c r="AG5631">
        <v>-1.1100615777330001</v>
      </c>
      <c r="AH5631">
        <v>33.746286608225098</v>
      </c>
      <c r="AI5631">
        <v>91.881194039131401</v>
      </c>
      <c r="AJ5631">
        <v>93.143638115121007</v>
      </c>
      <c r="AK5631">
        <v>33.815369776976603</v>
      </c>
      <c r="AL5631">
        <v>80.901077577983301</v>
      </c>
      <c r="AM5631">
        <v>97.153192789631007</v>
      </c>
      <c r="AN5631">
        <v>1.00000002115306</v>
      </c>
    </row>
    <row r="5632" spans="1:40" x14ac:dyDescent="0.25">
      <c r="A5632" t="str">
        <f>"20190304155528199"</f>
        <v>20190304155528199</v>
      </c>
      <c r="B5632" t="str">
        <f>"1551686128193132"</f>
        <v>1551686128193132</v>
      </c>
      <c r="C5632" t="s">
        <v>40</v>
      </c>
      <c r="D5632">
        <v>4.6286680000000002</v>
      </c>
      <c r="E5632">
        <v>0.52464419999999901</v>
      </c>
      <c r="F5632" t="s">
        <v>46</v>
      </c>
      <c r="G5632">
        <v>-186.82060000000001</v>
      </c>
      <c r="H5632" s="1">
        <v>-4.0148580000000004E-6</v>
      </c>
      <c r="I5632">
        <v>7.6769009999999902</v>
      </c>
      <c r="J5632">
        <v>-187.31280000000001</v>
      </c>
      <c r="K5632">
        <v>1.1100509999999999</v>
      </c>
      <c r="L5632">
        <v>-26.904910000000001</v>
      </c>
      <c r="M5632">
        <v>6.8801950000000001E-2</v>
      </c>
      <c r="N5632">
        <v>-9.4167599999999997E-3</v>
      </c>
      <c r="O5632">
        <v>0.99758590000000003</v>
      </c>
      <c r="P5632">
        <v>-5.4960559999999999E-2</v>
      </c>
      <c r="Q5632">
        <v>0.1488119</v>
      </c>
      <c r="R5632">
        <v>0.98733700000000002</v>
      </c>
      <c r="S5632">
        <v>4.4692990000000002E-2</v>
      </c>
      <c r="T5632">
        <v>-9.7364779999999998E-2</v>
      </c>
      <c r="U5632">
        <v>3.0556640000000002</v>
      </c>
      <c r="V5632">
        <v>-0.12281880000000001</v>
      </c>
      <c r="W5632">
        <v>0.15800249999999999</v>
      </c>
      <c r="X5632">
        <v>0.97977080000000005</v>
      </c>
      <c r="Y5632">
        <v>-5.4200680000000001E-2</v>
      </c>
      <c r="Z5632">
        <v>-2.230062E-2</v>
      </c>
      <c r="AA5632">
        <v>0.99828099999999997</v>
      </c>
      <c r="AB5632">
        <v>24</v>
      </c>
      <c r="AC5632">
        <v>0.49219999999999597</v>
      </c>
      <c r="AD5632">
        <v>-1.110055014858</v>
      </c>
      <c r="AE5632">
        <v>34.581810999999902</v>
      </c>
      <c r="AF5632">
        <v>-1.88642464495382</v>
      </c>
      <c r="AG5632">
        <v>-1.110055014858</v>
      </c>
      <c r="AH5632">
        <v>34.498183627667899</v>
      </c>
      <c r="AI5632">
        <v>91.840234675730699</v>
      </c>
      <c r="AJ5632">
        <v>93.1299223422902</v>
      </c>
      <c r="AK5632">
        <v>34.567549720589</v>
      </c>
      <c r="AL5632">
        <v>80.909027160846804</v>
      </c>
      <c r="AM5632">
        <v>97.145021327966802</v>
      </c>
      <c r="AN5632">
        <v>1.0000000340861599</v>
      </c>
    </row>
    <row r="5633" spans="1:40" x14ac:dyDescent="0.25">
      <c r="A5633" t="str">
        <f>"20190304155528220"</f>
        <v>20190304155528220</v>
      </c>
      <c r="B5633" t="str">
        <f>"1551686128213627"</f>
        <v>1551686128213627</v>
      </c>
      <c r="C5633" t="s">
        <v>40</v>
      </c>
      <c r="D5633">
        <v>4.5949949999999999</v>
      </c>
      <c r="E5633">
        <v>0.52482530000000005</v>
      </c>
      <c r="F5633" t="s">
        <v>46</v>
      </c>
      <c r="G5633">
        <v>-186.8</v>
      </c>
      <c r="H5633" s="1">
        <v>-4.0715690000000003E-6</v>
      </c>
      <c r="I5633">
        <v>7.8005539999999902</v>
      </c>
      <c r="J5633">
        <v>-187.29769999999999</v>
      </c>
      <c r="K5633">
        <v>1.1100319999999999</v>
      </c>
      <c r="L5633">
        <v>-26.68225</v>
      </c>
      <c r="M5633">
        <v>6.8571519999999997E-2</v>
      </c>
      <c r="N5633">
        <v>-9.3507569999999995E-3</v>
      </c>
      <c r="O5633">
        <v>0.9976024</v>
      </c>
      <c r="P5633">
        <v>-5.5131069999999997E-2</v>
      </c>
      <c r="Q5633">
        <v>0.14838760000000001</v>
      </c>
      <c r="R5633">
        <v>0.98739140000000003</v>
      </c>
      <c r="S5633">
        <v>4.5150759999999998E-2</v>
      </c>
      <c r="T5633">
        <v>-9.773743E-2</v>
      </c>
      <c r="U5633">
        <v>3.0557249999999998</v>
      </c>
      <c r="V5633">
        <v>-0.122766</v>
      </c>
      <c r="W5633">
        <v>0.15751370000000001</v>
      </c>
      <c r="X5633">
        <v>0.97985610000000001</v>
      </c>
      <c r="Y5633">
        <v>-5.3820949999999999E-2</v>
      </c>
      <c r="Z5633">
        <v>-2.2488299999999999E-2</v>
      </c>
      <c r="AA5633">
        <v>0.99829730000000005</v>
      </c>
      <c r="AB5633">
        <v>24</v>
      </c>
      <c r="AC5633">
        <v>0.49769999999997999</v>
      </c>
      <c r="AD5633">
        <v>-1.1100360715690001</v>
      </c>
      <c r="AE5633">
        <v>34.482803999999902</v>
      </c>
      <c r="AF5633">
        <v>-1.86617976026618</v>
      </c>
      <c r="AG5633">
        <v>-1.1100360715690001</v>
      </c>
      <c r="AH5633">
        <v>34.400120849096702</v>
      </c>
      <c r="AI5633">
        <v>91.845488777931195</v>
      </c>
      <c r="AJ5633">
        <v>93.105207609404403</v>
      </c>
      <c r="AK5633">
        <v>34.468581656492198</v>
      </c>
      <c r="AL5633">
        <v>80.937388323668003</v>
      </c>
      <c r="AM5633">
        <v>97.141366082117003</v>
      </c>
      <c r="AN5633">
        <v>1.0000000165754499</v>
      </c>
    </row>
    <row r="5634" spans="1:40" x14ac:dyDescent="0.25">
      <c r="A5634" t="str">
        <f>"20190304155528245"</f>
        <v>20190304155528245</v>
      </c>
      <c r="B5634" t="str">
        <f>"1551686128233147"</f>
        <v>1551686128233147</v>
      </c>
      <c r="C5634" t="s">
        <v>40</v>
      </c>
      <c r="D5634">
        <v>4.5856789999999998</v>
      </c>
      <c r="E5634">
        <v>0.57333429999999996</v>
      </c>
      <c r="F5634" t="s">
        <v>46</v>
      </c>
      <c r="G5634">
        <v>-186.7773</v>
      </c>
      <c r="H5634" s="1">
        <v>-3.9690539999999998E-6</v>
      </c>
      <c r="I5634">
        <v>7.5522259999999903</v>
      </c>
      <c r="J5634">
        <v>-187.28020000000001</v>
      </c>
      <c r="K5634">
        <v>1.1100139999999901</v>
      </c>
      <c r="L5634">
        <v>-26.422329999999999</v>
      </c>
      <c r="M5634">
        <v>6.8302909999999994E-2</v>
      </c>
      <c r="N5634">
        <v>-9.2680169999999999E-3</v>
      </c>
      <c r="O5634">
        <v>0.9976216</v>
      </c>
      <c r="P5634">
        <v>-5.5635589999999999E-2</v>
      </c>
      <c r="Q5634">
        <v>0.14740490000000001</v>
      </c>
      <c r="R5634">
        <v>0.98751029999999995</v>
      </c>
      <c r="S5634">
        <v>4.6447750000000003E-2</v>
      </c>
      <c r="T5634">
        <v>-9.908235E-2</v>
      </c>
      <c r="U5634">
        <v>3.0557859999999999</v>
      </c>
      <c r="V5634">
        <v>-0.1230136</v>
      </c>
      <c r="W5634">
        <v>0.15645129999999999</v>
      </c>
      <c r="X5634">
        <v>0.97999530000000001</v>
      </c>
      <c r="Y5634">
        <v>-5.3129009999999997E-2</v>
      </c>
      <c r="Z5634">
        <v>-2.300951E-2</v>
      </c>
      <c r="AA5634">
        <v>0.9983225</v>
      </c>
      <c r="AB5634">
        <v>24</v>
      </c>
      <c r="AC5634">
        <v>0.502900000000011</v>
      </c>
      <c r="AD5634">
        <v>-1.11001796905399</v>
      </c>
      <c r="AE5634">
        <v>33.974556</v>
      </c>
      <c r="AF5634">
        <v>-1.81699607332238</v>
      </c>
      <c r="AG5634">
        <v>-1.11001796905399</v>
      </c>
      <c r="AH5634">
        <v>33.893385027328002</v>
      </c>
      <c r="AI5634">
        <v>91.873094839895401</v>
      </c>
      <c r="AJ5634">
        <v>93.068641452540902</v>
      </c>
      <c r="AK5634">
        <v>33.960199693653102</v>
      </c>
      <c r="AL5634">
        <v>80.999024052299703</v>
      </c>
      <c r="AM5634">
        <v>97.154614098293806</v>
      </c>
      <c r="AN5634">
        <v>1.00000007153936</v>
      </c>
    </row>
    <row r="5635" spans="1:40" x14ac:dyDescent="0.25">
      <c r="A5635" t="str">
        <f>"20190304155528266"</f>
        <v>20190304155528266</v>
      </c>
      <c r="B5635" t="str">
        <f>"1551686128263403"</f>
        <v>1551686128263403</v>
      </c>
      <c r="C5635" t="s">
        <v>40</v>
      </c>
      <c r="D5635">
        <v>4.496353</v>
      </c>
      <c r="E5635">
        <v>0.64288789999999996</v>
      </c>
      <c r="F5635" t="s">
        <v>48</v>
      </c>
      <c r="G5635">
        <v>-187.15209999999999</v>
      </c>
      <c r="H5635">
        <v>1.05281</v>
      </c>
      <c r="I5635">
        <v>-25.512270000000001</v>
      </c>
      <c r="J5635">
        <v>-187.26439999999999</v>
      </c>
      <c r="K5635">
        <v>1.1099969999999999</v>
      </c>
      <c r="L5635">
        <v>-26.18854</v>
      </c>
      <c r="M5635">
        <v>6.8061140000000006E-2</v>
      </c>
      <c r="N5635">
        <v>-9.1909350000000008E-3</v>
      </c>
      <c r="O5635">
        <v>0.99763880000000005</v>
      </c>
      <c r="P5635">
        <v>-5.5326939999999998E-2</v>
      </c>
      <c r="Q5635">
        <v>0.1459452</v>
      </c>
      <c r="R5635">
        <v>0.98774430000000002</v>
      </c>
      <c r="S5635">
        <v>0.43470760000000003</v>
      </c>
      <c r="T5635">
        <v>-0.1943163</v>
      </c>
      <c r="U5635">
        <v>3.091431</v>
      </c>
      <c r="V5635">
        <v>-0.1224828</v>
      </c>
      <c r="W5635">
        <v>0.15491859999999999</v>
      </c>
      <c r="X5635">
        <v>0.98030510000000004</v>
      </c>
      <c r="Y5635">
        <v>7.1303850000000002E-2</v>
      </c>
      <c r="Z5635">
        <v>-5.299885E-2</v>
      </c>
      <c r="AA5635">
        <v>0.99604559999999998</v>
      </c>
      <c r="AB5635">
        <v>24</v>
      </c>
      <c r="AC5635">
        <v>0.11230000000000399</v>
      </c>
      <c r="AD5635">
        <v>-5.71869999999998E-2</v>
      </c>
      <c r="AE5635">
        <v>0.67626999999999804</v>
      </c>
      <c r="AF5635">
        <v>6.5553737198685E-2</v>
      </c>
      <c r="AG5635">
        <v>-5.71869999999998E-2</v>
      </c>
      <c r="AH5635">
        <v>0.67762972978176905</v>
      </c>
      <c r="AI5635">
        <v>94.801604567327502</v>
      </c>
      <c r="AJ5635">
        <v>84.474414465767893</v>
      </c>
      <c r="AK5635">
        <v>0.68319081969375695</v>
      </c>
      <c r="AL5635">
        <v>81.087924189728099</v>
      </c>
      <c r="AM5635">
        <v>97.121831780808193</v>
      </c>
      <c r="AN5635">
        <v>0.99999994900390299</v>
      </c>
    </row>
    <row r="5636" spans="1:40" x14ac:dyDescent="0.25">
      <c r="A5636" t="str">
        <f>"20190304155528288"</f>
        <v>20190304155528288</v>
      </c>
      <c r="B5636" t="str">
        <f>"1551686128282923"</f>
        <v>1551686128282923</v>
      </c>
      <c r="C5636" t="s">
        <v>40</v>
      </c>
      <c r="D5636">
        <v>4.7333590000000001</v>
      </c>
      <c r="E5636">
        <v>0.65037199999999995</v>
      </c>
      <c r="F5636" t="s">
        <v>46</v>
      </c>
      <c r="G5636">
        <v>-184.35769999999999</v>
      </c>
      <c r="H5636" s="1">
        <v>-2.642666E-6</v>
      </c>
      <c r="I5636">
        <v>-16.997869999999999</v>
      </c>
      <c r="J5636">
        <v>-187.2482</v>
      </c>
      <c r="K5636">
        <v>1.1099810000000001</v>
      </c>
      <c r="L5636">
        <v>-25.946960000000001</v>
      </c>
      <c r="M5636">
        <v>6.7810819999999994E-2</v>
      </c>
      <c r="N5636">
        <v>-9.1144669999999994E-3</v>
      </c>
      <c r="O5636">
        <v>0.9976566</v>
      </c>
      <c r="P5636">
        <v>-5.5289369999999997E-2</v>
      </c>
      <c r="Q5636">
        <v>0.1451779</v>
      </c>
      <c r="R5636">
        <v>0.9878595</v>
      </c>
      <c r="S5636">
        <v>0.99598690000000001</v>
      </c>
      <c r="T5636">
        <v>-0.38034380000000001</v>
      </c>
      <c r="U5636">
        <v>3.1492</v>
      </c>
      <c r="V5636">
        <v>-0.1222073</v>
      </c>
      <c r="W5636">
        <v>0.15407770000000001</v>
      </c>
      <c r="X5636">
        <v>0.98047200000000001</v>
      </c>
      <c r="Y5636">
        <v>0.23436380000000001</v>
      </c>
      <c r="Z5636">
        <v>-0.1060955</v>
      </c>
      <c r="AA5636">
        <v>0.96634229999999999</v>
      </c>
      <c r="AB5636">
        <v>24</v>
      </c>
      <c r="AC5636">
        <v>2.8904999999999998</v>
      </c>
      <c r="AD5636">
        <v>-1.1099836426659999</v>
      </c>
      <c r="AE5636">
        <v>8.9490899999999893</v>
      </c>
      <c r="AF5636">
        <v>2.2456913148949802</v>
      </c>
      <c r="AG5636">
        <v>-1.1099836426659999</v>
      </c>
      <c r="AH5636">
        <v>8.9991386460188991</v>
      </c>
      <c r="AI5636">
        <v>96.824325230225696</v>
      </c>
      <c r="AJ5636">
        <v>75.988287671914094</v>
      </c>
      <c r="AK5636">
        <v>9.3412895008693404</v>
      </c>
      <c r="AL5636">
        <v>81.136689768382993</v>
      </c>
      <c r="AM5636">
        <v>97.104779374699902</v>
      </c>
      <c r="AN5636">
        <v>0.999999952297288</v>
      </c>
    </row>
    <row r="5637" spans="1:40" x14ac:dyDescent="0.25">
      <c r="A5637" t="str">
        <f>"20190304155528314"</f>
        <v>20190304155528314</v>
      </c>
      <c r="B5637" t="str">
        <f>"1551686128303419"</f>
        <v>1551686128303419</v>
      </c>
      <c r="C5637" t="s">
        <v>40</v>
      </c>
      <c r="D5637">
        <v>4.687373</v>
      </c>
      <c r="E5637">
        <v>0.65242239999999996</v>
      </c>
      <c r="F5637" t="s">
        <v>46</v>
      </c>
      <c r="G5637">
        <v>-184.23259999999999</v>
      </c>
      <c r="H5637" s="1">
        <v>-2.6950419999999999E-6</v>
      </c>
      <c r="I5637">
        <v>-16.941800000000001</v>
      </c>
      <c r="J5637">
        <v>-187.2302</v>
      </c>
      <c r="K5637">
        <v>1.109969</v>
      </c>
      <c r="L5637">
        <v>-25.676639999999999</v>
      </c>
      <c r="M5637">
        <v>6.7527000000000004E-2</v>
      </c>
      <c r="N5637">
        <v>-9.03435E-3</v>
      </c>
      <c r="O5637">
        <v>0.99767660000000002</v>
      </c>
      <c r="P5637">
        <v>-5.4641240000000001E-2</v>
      </c>
      <c r="Q5637">
        <v>0.14500339999999901</v>
      </c>
      <c r="R5637">
        <v>0.98792120000000005</v>
      </c>
      <c r="S5637">
        <v>1.055893</v>
      </c>
      <c r="T5637">
        <v>-0.38865090000000002</v>
      </c>
      <c r="U5637">
        <v>3.153076</v>
      </c>
      <c r="V5637">
        <v>-0.1212859</v>
      </c>
      <c r="W5637">
        <v>0.15382560000000001</v>
      </c>
      <c r="X5637">
        <v>0.980626</v>
      </c>
      <c r="Y5637">
        <v>0.25079299999999999</v>
      </c>
      <c r="Z5637">
        <v>-0.10795100000000001</v>
      </c>
      <c r="AA5637">
        <v>0.96200280000000005</v>
      </c>
      <c r="AB5637">
        <v>24</v>
      </c>
      <c r="AC5637">
        <v>2.9975999999999998</v>
      </c>
      <c r="AD5637">
        <v>-1.109971695042</v>
      </c>
      <c r="AE5637">
        <v>8.7348399999999895</v>
      </c>
      <c r="AF5637">
        <v>2.36670519155264</v>
      </c>
      <c r="AG5637">
        <v>-1.109971695042</v>
      </c>
      <c r="AH5637">
        <v>8.7903386304710498</v>
      </c>
      <c r="AI5637">
        <v>96.951745737186201</v>
      </c>
      <c r="AJ5637">
        <v>74.931052623154301</v>
      </c>
      <c r="AK5637">
        <v>9.1707897078642109</v>
      </c>
      <c r="AL5637">
        <v>81.151308454707404</v>
      </c>
      <c r="AM5637">
        <v>97.050656893917605</v>
      </c>
      <c r="AN5637">
        <v>0.99999996831508398</v>
      </c>
    </row>
    <row r="5638" spans="1:40" x14ac:dyDescent="0.25">
      <c r="A5638" t="str">
        <f>"20190304155528337"</f>
        <v>20190304155528337</v>
      </c>
      <c r="B5638" t="str">
        <f>"1551686128333674"</f>
        <v>1551686128333674</v>
      </c>
      <c r="C5638" t="s">
        <v>40</v>
      </c>
      <c r="D5638">
        <v>4.5524170000000002</v>
      </c>
      <c r="E5638">
        <v>0.65172280000000005</v>
      </c>
      <c r="F5638" t="s">
        <v>46</v>
      </c>
      <c r="G5638">
        <v>-184.1942</v>
      </c>
      <c r="H5638" s="1">
        <v>-2.7648379999999898E-6</v>
      </c>
      <c r="I5638">
        <v>-16.766739999999999</v>
      </c>
      <c r="J5638">
        <v>-187.2131</v>
      </c>
      <c r="K5638">
        <v>1.10996299999999</v>
      </c>
      <c r="L5638">
        <v>-25.42062</v>
      </c>
      <c r="M5638">
        <v>6.7246600000000004E-2</v>
      </c>
      <c r="N5638">
        <v>-8.9605940000000005E-3</v>
      </c>
      <c r="O5638">
        <v>0.99769620000000003</v>
      </c>
      <c r="P5638">
        <v>-5.5180199999999999E-2</v>
      </c>
      <c r="Q5638">
        <v>0.1448286</v>
      </c>
      <c r="R5638">
        <v>0.98791689999999999</v>
      </c>
      <c r="S5638">
        <v>1.0746309999999999</v>
      </c>
      <c r="T5638">
        <v>-0.39288960000000001</v>
      </c>
      <c r="U5638">
        <v>3.153778</v>
      </c>
      <c r="V5638">
        <v>-0.1215497</v>
      </c>
      <c r="W5638">
        <v>0.1535763</v>
      </c>
      <c r="X5638">
        <v>0.98063239999999996</v>
      </c>
      <c r="Y5638">
        <v>0.25608500000000001</v>
      </c>
      <c r="Z5638">
        <v>-0.10906970000000001</v>
      </c>
      <c r="AA5638">
        <v>0.96048129999999998</v>
      </c>
      <c r="AB5638">
        <v>24</v>
      </c>
      <c r="AC5638">
        <v>3.0188999999999999</v>
      </c>
      <c r="AD5638">
        <v>-1.1099657648379999</v>
      </c>
      <c r="AE5638">
        <v>8.6538799999999991</v>
      </c>
      <c r="AF5638">
        <v>2.3949729508237199</v>
      </c>
      <c r="AG5638">
        <v>-1.1099657648379999</v>
      </c>
      <c r="AH5638">
        <v>8.7095705867105302</v>
      </c>
      <c r="AI5638">
        <v>97.005438412825896</v>
      </c>
      <c r="AJ5638">
        <v>74.624720952719699</v>
      </c>
      <c r="AK5638">
        <v>9.1007988242342197</v>
      </c>
      <c r="AL5638">
        <v>81.165763959761605</v>
      </c>
      <c r="AM5638">
        <v>97.065791762504105</v>
      </c>
      <c r="AN5638">
        <v>0.99999995671076902</v>
      </c>
    </row>
    <row r="5639" spans="1:40" x14ac:dyDescent="0.25">
      <c r="A5639" t="str">
        <f>"20190304155528378"</f>
        <v>20190304155528378</v>
      </c>
      <c r="B5639" t="str">
        <f>"1551686128373691"</f>
        <v>1551686128373691</v>
      </c>
      <c r="C5639" t="s">
        <v>40</v>
      </c>
      <c r="D5639">
        <v>4.554176</v>
      </c>
      <c r="E5639">
        <v>0.65108189999999999</v>
      </c>
      <c r="F5639" t="s">
        <v>46</v>
      </c>
      <c r="G5639">
        <v>-184.1987</v>
      </c>
      <c r="H5639" s="1">
        <v>-2.8510739999999998E-6</v>
      </c>
      <c r="I5639">
        <v>-16.509740000000001</v>
      </c>
      <c r="J5639">
        <v>-187.1842</v>
      </c>
      <c r="K5639">
        <v>1.1099779999999999</v>
      </c>
      <c r="L5639">
        <v>-24.981750000000002</v>
      </c>
      <c r="M5639">
        <v>6.6699270000000005E-2</v>
      </c>
      <c r="N5639">
        <v>-8.8365800000000001E-3</v>
      </c>
      <c r="O5639">
        <v>0.99773400000000001</v>
      </c>
      <c r="P5639">
        <v>-5.4849090000000003E-2</v>
      </c>
      <c r="Q5639">
        <v>0.14380009999999999</v>
      </c>
      <c r="R5639">
        <v>0.98808560000000001</v>
      </c>
      <c r="S5639">
        <v>1.0668949999999999</v>
      </c>
      <c r="T5639">
        <v>-0.39285560000000003</v>
      </c>
      <c r="U5639">
        <v>3.15387</v>
      </c>
      <c r="V5639">
        <v>-0.1207042</v>
      </c>
      <c r="W5639">
        <v>0.15241859999999999</v>
      </c>
      <c r="X5639">
        <v>0.9809175</v>
      </c>
      <c r="Y5639">
        <v>0.2544901</v>
      </c>
      <c r="Z5639">
        <v>-0.1092533</v>
      </c>
      <c r="AA5639">
        <v>0.96088419999999997</v>
      </c>
      <c r="AB5639">
        <v>24</v>
      </c>
      <c r="AC5639">
        <v>2.9855</v>
      </c>
      <c r="AD5639">
        <v>-1.1099808510739999</v>
      </c>
      <c r="AE5639">
        <v>8.4720099999999992</v>
      </c>
      <c r="AF5639">
        <v>2.37745003428395</v>
      </c>
      <c r="AG5639">
        <v>-1.1099808510739999</v>
      </c>
      <c r="AH5639">
        <v>8.5221529424512603</v>
      </c>
      <c r="AI5639">
        <v>97.150746646172294</v>
      </c>
      <c r="AJ5639">
        <v>74.412336318359095</v>
      </c>
      <c r="AK5639">
        <v>8.9169174567110492</v>
      </c>
      <c r="AL5639">
        <v>81.232886256369795</v>
      </c>
      <c r="AM5639">
        <v>97.015114612850695</v>
      </c>
      <c r="AN5639">
        <v>1.0000000376649201</v>
      </c>
    </row>
    <row r="5640" spans="1:40" x14ac:dyDescent="0.25">
      <c r="A5640" t="str">
        <f>"20190304155528400"</f>
        <v>20190304155528400</v>
      </c>
      <c r="B5640" t="str">
        <f>"1551686128393212"</f>
        <v>1551686128393212</v>
      </c>
      <c r="C5640" t="s">
        <v>40</v>
      </c>
      <c r="D5640">
        <v>4.5118309999999999</v>
      </c>
      <c r="E5640">
        <v>0.65115769999999995</v>
      </c>
      <c r="F5640" t="s">
        <v>46</v>
      </c>
      <c r="G5640">
        <v>-184.18340000000001</v>
      </c>
      <c r="H5640" s="1">
        <v>-3.0042649999999999E-6</v>
      </c>
      <c r="I5640">
        <v>-16.071579999999901</v>
      </c>
      <c r="J5640">
        <v>-187.16810000000001</v>
      </c>
      <c r="K5640">
        <v>1.1099920000000001</v>
      </c>
      <c r="L5640">
        <v>-24.73593</v>
      </c>
      <c r="M5640">
        <v>6.6343940000000004E-2</v>
      </c>
      <c r="N5640">
        <v>-8.7734230000000007E-3</v>
      </c>
      <c r="O5640">
        <v>0.99775829999999999</v>
      </c>
      <c r="P5640">
        <v>-5.4452050000000002E-2</v>
      </c>
      <c r="Q5640">
        <v>0.14264569999999999</v>
      </c>
      <c r="R5640">
        <v>0.98827489999999996</v>
      </c>
      <c r="S5640">
        <v>1.061615</v>
      </c>
      <c r="T5640">
        <v>-0.3926907</v>
      </c>
      <c r="U5640">
        <v>3.1522519999999998</v>
      </c>
      <c r="V5640">
        <v>-0.1199804</v>
      </c>
      <c r="W5640">
        <v>0.1511969</v>
      </c>
      <c r="X5640">
        <v>0.98119529999999999</v>
      </c>
      <c r="Y5640">
        <v>0.2535366</v>
      </c>
      <c r="Z5640">
        <v>-0.1093717</v>
      </c>
      <c r="AA5640">
        <v>0.96112280000000005</v>
      </c>
      <c r="AB5640">
        <v>24</v>
      </c>
      <c r="AC5640">
        <v>2.9847000000000001</v>
      </c>
      <c r="AD5640">
        <v>-1.109995004265</v>
      </c>
      <c r="AE5640">
        <v>8.6643500000000007</v>
      </c>
      <c r="AF5640">
        <v>2.3685250386345</v>
      </c>
      <c r="AG5640">
        <v>-1.109995004265</v>
      </c>
      <c r="AH5640">
        <v>8.7154170159418403</v>
      </c>
      <c r="AI5640">
        <v>97.0066461418957</v>
      </c>
      <c r="AJ5640">
        <v>74.796335078171197</v>
      </c>
      <c r="AK5640">
        <v>9.0994776514863993</v>
      </c>
      <c r="AL5640">
        <v>81.303705040879507</v>
      </c>
      <c r="AM5640">
        <v>96.971509138108303</v>
      </c>
      <c r="AN5640">
        <v>1.0000000078479201</v>
      </c>
    </row>
    <row r="5641" spans="1:40" x14ac:dyDescent="0.25">
      <c r="A5641" t="str">
        <f>"20190304155528422"</f>
        <v>20190304155528422</v>
      </c>
      <c r="B5641" t="str">
        <f>"1551686128413707"</f>
        <v>1551686128413707</v>
      </c>
      <c r="C5641" t="s">
        <v>40</v>
      </c>
      <c r="D5641">
        <v>4.5332249999999998</v>
      </c>
      <c r="E5641">
        <v>0.677122</v>
      </c>
      <c r="F5641" t="s">
        <v>46</v>
      </c>
      <c r="G5641">
        <v>-184.17910000000001</v>
      </c>
      <c r="H5641" s="1">
        <v>-3.070565E-6</v>
      </c>
      <c r="I5641">
        <v>-15.880129999999999</v>
      </c>
      <c r="J5641">
        <v>-187.15289999999999</v>
      </c>
      <c r="K5641">
        <v>1.1100099999999999</v>
      </c>
      <c r="L5641">
        <v>-24.501339999999999</v>
      </c>
      <c r="M5641">
        <v>6.5950300000000003E-2</v>
      </c>
      <c r="N5641">
        <v>-8.7157229999999999E-3</v>
      </c>
      <c r="O5641">
        <v>0.99778489999999997</v>
      </c>
      <c r="P5641">
        <v>-5.4305399999999997E-2</v>
      </c>
      <c r="Q5641">
        <v>0.14214679999999999</v>
      </c>
      <c r="R5641">
        <v>0.98835479999999998</v>
      </c>
      <c r="S5641">
        <v>1.063599</v>
      </c>
      <c r="T5641">
        <v>-0.39497650000000001</v>
      </c>
      <c r="U5641">
        <v>3.1512150000000001</v>
      </c>
      <c r="V5641">
        <v>-0.1194654</v>
      </c>
      <c r="W5641">
        <v>0.15063180000000001</v>
      </c>
      <c r="X5641">
        <v>0.98134509999999997</v>
      </c>
      <c r="Y5641">
        <v>0.25453019999999998</v>
      </c>
      <c r="Z5641">
        <v>-0.1101196</v>
      </c>
      <c r="AA5641">
        <v>0.96077469999999998</v>
      </c>
      <c r="AB5641">
        <v>24</v>
      </c>
      <c r="AC5641">
        <v>2.9737999999999798</v>
      </c>
      <c r="AD5641">
        <v>-1.110013070565</v>
      </c>
      <c r="AE5641">
        <v>8.6212099999999996</v>
      </c>
      <c r="AF5641">
        <v>2.3637143512327099</v>
      </c>
      <c r="AG5641">
        <v>-1.110013070565</v>
      </c>
      <c r="AH5641">
        <v>8.67012364258788</v>
      </c>
      <c r="AI5641">
        <v>97.041468260352403</v>
      </c>
      <c r="AJ5641">
        <v>74.750200886166894</v>
      </c>
      <c r="AK5641">
        <v>9.0548505525386709</v>
      </c>
      <c r="AL5641">
        <v>81.336458493666598</v>
      </c>
      <c r="AM5641">
        <v>96.940828141530105</v>
      </c>
      <c r="AN5641">
        <v>1.0000000631312</v>
      </c>
    </row>
    <row r="5642" spans="1:40" x14ac:dyDescent="0.25">
      <c r="A5642" t="str">
        <f>"20190304155528445"</f>
        <v>20190304155528445</v>
      </c>
      <c r="B5642" t="str">
        <f>"1551686128433227"</f>
        <v>1551686128433227</v>
      </c>
      <c r="C5642" t="s">
        <v>40</v>
      </c>
      <c r="D5642">
        <v>4.8784340000000004</v>
      </c>
      <c r="E5642">
        <v>0.68208959999999996</v>
      </c>
      <c r="F5642" t="s">
        <v>46</v>
      </c>
      <c r="G5642">
        <v>-183.86590000000001</v>
      </c>
      <c r="H5642" s="1">
        <v>-3.0054550000000001E-6</v>
      </c>
      <c r="I5642">
        <v>-16.316369999999999</v>
      </c>
      <c r="J5642">
        <v>-187.1362</v>
      </c>
      <c r="K5642">
        <v>1.1100540000000001</v>
      </c>
      <c r="L5642">
        <v>-24.239319999999999</v>
      </c>
      <c r="M5642">
        <v>6.5417130000000004E-2</v>
      </c>
      <c r="N5642">
        <v>-8.6540850000000006E-3</v>
      </c>
      <c r="O5642">
        <v>0.9978205</v>
      </c>
      <c r="P5642">
        <v>-5.3696269999999997E-2</v>
      </c>
      <c r="Q5642">
        <v>0.14016999999999999</v>
      </c>
      <c r="R5642">
        <v>0.9886703</v>
      </c>
      <c r="S5642">
        <v>1.2718510000000001</v>
      </c>
      <c r="T5642">
        <v>-0.4294945</v>
      </c>
      <c r="U5642">
        <v>3.166992</v>
      </c>
      <c r="V5642">
        <v>-0.1183724</v>
      </c>
      <c r="W5642">
        <v>0.148582299999999</v>
      </c>
      <c r="X5642">
        <v>0.98178980000000005</v>
      </c>
      <c r="Y5642">
        <v>0.30841679999999999</v>
      </c>
      <c r="Z5642">
        <v>-0.117411</v>
      </c>
      <c r="AA5642">
        <v>0.94397770000000003</v>
      </c>
      <c r="AB5642">
        <v>25</v>
      </c>
      <c r="AC5642">
        <v>3.27029999999999</v>
      </c>
      <c r="AD5642">
        <v>-1.1100570054549901</v>
      </c>
      <c r="AE5642">
        <v>7.9229500000000002</v>
      </c>
      <c r="AF5642">
        <v>2.6996983397169099</v>
      </c>
      <c r="AG5642">
        <v>-1.1100570054549901</v>
      </c>
      <c r="AH5642">
        <v>7.9859763513878503</v>
      </c>
      <c r="AI5642">
        <v>97.501549957736501</v>
      </c>
      <c r="AJ5642">
        <v>71.321924388239196</v>
      </c>
      <c r="AK5642">
        <v>8.5027299125490305</v>
      </c>
      <c r="AL5642">
        <v>81.455222020465996</v>
      </c>
      <c r="AM5642">
        <v>96.874851399810495</v>
      </c>
      <c r="AN5642">
        <v>0.99999996816954395</v>
      </c>
    </row>
    <row r="5643" spans="1:40" x14ac:dyDescent="0.25">
      <c r="A5643" t="str">
        <f>"20190304155528466"</f>
        <v>20190304155528466</v>
      </c>
      <c r="B5643" t="str">
        <f>"1551686128463483"</f>
        <v>1551686128463483</v>
      </c>
      <c r="C5643" t="s">
        <v>40</v>
      </c>
      <c r="D5643">
        <v>4.8395020000000004</v>
      </c>
      <c r="E5643">
        <v>0.69567460000000003</v>
      </c>
      <c r="F5643" t="s">
        <v>46</v>
      </c>
      <c r="G5643">
        <v>-183.8912</v>
      </c>
      <c r="H5643" s="1">
        <v>-2.9670480000000002E-6</v>
      </c>
      <c r="I5643">
        <v>-16.409459999999999</v>
      </c>
      <c r="J5643">
        <v>-187.12190000000001</v>
      </c>
      <c r="K5643">
        <v>1.11009</v>
      </c>
      <c r="L5643">
        <v>-24.01416</v>
      </c>
      <c r="M5643">
        <v>6.4895339999999996E-2</v>
      </c>
      <c r="N5643">
        <v>-8.6047889999999998E-3</v>
      </c>
      <c r="O5643">
        <v>0.99785489999999999</v>
      </c>
      <c r="P5643">
        <v>-5.2962559999999999E-2</v>
      </c>
      <c r="Q5643">
        <v>0.1384263</v>
      </c>
      <c r="R5643">
        <v>0.98895560000000005</v>
      </c>
      <c r="S5643">
        <v>1.3135380000000001</v>
      </c>
      <c r="T5643">
        <v>-0.4493375</v>
      </c>
      <c r="U5643">
        <v>3.1694339999999999</v>
      </c>
      <c r="V5643">
        <v>-0.11716169999999999</v>
      </c>
      <c r="W5643">
        <v>0.1467802</v>
      </c>
      <c r="X5643">
        <v>0.98220600000000002</v>
      </c>
      <c r="Y5643">
        <v>0.31903819999999999</v>
      </c>
      <c r="Z5643">
        <v>-0.1225502</v>
      </c>
      <c r="AA5643">
        <v>0.93978510000000004</v>
      </c>
      <c r="AB5643">
        <v>25</v>
      </c>
      <c r="AC5643">
        <v>3.2307000000000099</v>
      </c>
      <c r="AD5643">
        <v>-1.110092967048</v>
      </c>
      <c r="AE5643">
        <v>7.6047000000000002</v>
      </c>
      <c r="AF5643">
        <v>2.6819502375716402</v>
      </c>
      <c r="AG5643">
        <v>-1.110092967048</v>
      </c>
      <c r="AH5643">
        <v>7.6600637303588996</v>
      </c>
      <c r="AI5643">
        <v>97.788492761754796</v>
      </c>
      <c r="AJ5643">
        <v>70.703770718532397</v>
      </c>
      <c r="AK5643">
        <v>8.1915651633530899</v>
      </c>
      <c r="AL5643">
        <v>81.559619400462395</v>
      </c>
      <c r="AM5643">
        <v>96.802342346706396</v>
      </c>
      <c r="AN5643">
        <v>0.99999995874746395</v>
      </c>
    </row>
    <row r="5644" spans="1:40" x14ac:dyDescent="0.25">
      <c r="A5644" t="str">
        <f>"20190304155528489"</f>
        <v>20190304155528489</v>
      </c>
      <c r="B5644" t="str">
        <f>"1551686128483003"</f>
        <v>1551686128483003</v>
      </c>
      <c r="C5644" t="s">
        <v>40</v>
      </c>
      <c r="D5644">
        <v>4.8209790000000003</v>
      </c>
      <c r="E5644">
        <v>0.69300260000000002</v>
      </c>
      <c r="F5644" t="s">
        <v>46</v>
      </c>
      <c r="G5644">
        <v>-183.511</v>
      </c>
      <c r="H5644" s="1">
        <v>-3.2178849999999999E-6</v>
      </c>
      <c r="I5644">
        <v>-15.969580000000001</v>
      </c>
      <c r="J5644">
        <v>-187.10570000000001</v>
      </c>
      <c r="K5644">
        <v>1.110141</v>
      </c>
      <c r="L5644">
        <v>-23.753329999999998</v>
      </c>
      <c r="M5644">
        <v>6.4204919999999999E-2</v>
      </c>
      <c r="N5644">
        <v>-8.5490080000000003E-3</v>
      </c>
      <c r="O5644">
        <v>0.99790009999999996</v>
      </c>
      <c r="P5644">
        <v>-5.2608059999999998E-2</v>
      </c>
      <c r="Q5644">
        <v>0.13752690000000001</v>
      </c>
      <c r="R5644">
        <v>0.98909999999999998</v>
      </c>
      <c r="S5644">
        <v>1.42334</v>
      </c>
      <c r="T5644">
        <v>-0.43757360000000001</v>
      </c>
      <c r="U5644">
        <v>3.1709900000000002</v>
      </c>
      <c r="V5644">
        <v>-0.11615789999999999</v>
      </c>
      <c r="W5644">
        <v>0.14581179999999999</v>
      </c>
      <c r="X5644">
        <v>0.9824695</v>
      </c>
      <c r="Y5644">
        <v>0.34705029999999998</v>
      </c>
      <c r="Z5644">
        <v>-0.11772349999999999</v>
      </c>
      <c r="AA5644">
        <v>0.93042849999999999</v>
      </c>
      <c r="AB5644">
        <v>25</v>
      </c>
      <c r="AC5644">
        <v>3.5947000000000102</v>
      </c>
      <c r="AD5644">
        <v>-1.1101442178850001</v>
      </c>
      <c r="AE5644">
        <v>7.7837499999999897</v>
      </c>
      <c r="AF5644">
        <v>3.0365987630385298</v>
      </c>
      <c r="AG5644">
        <v>-1.1101442178850001</v>
      </c>
      <c r="AH5644">
        <v>7.8666059719811603</v>
      </c>
      <c r="AI5644">
        <v>97.500034057457199</v>
      </c>
      <c r="AJ5644">
        <v>68.892848449349501</v>
      </c>
      <c r="AK5644">
        <v>8.5051068041853704</v>
      </c>
      <c r="AL5644">
        <v>81.615708694026296</v>
      </c>
      <c r="AM5644">
        <v>96.742809212135896</v>
      </c>
      <c r="AN5644">
        <v>1.0000000285909401</v>
      </c>
    </row>
    <row r="5645" spans="1:40" x14ac:dyDescent="0.25">
      <c r="A5645" t="str">
        <f>"20190304155528513"</f>
        <v>20190304155528513</v>
      </c>
      <c r="B5645" t="str">
        <f>"1551686128503499"</f>
        <v>1551686128503499</v>
      </c>
      <c r="C5645" t="s">
        <v>40</v>
      </c>
      <c r="D5645">
        <v>4.7874569999999999</v>
      </c>
      <c r="E5645">
        <v>0.69128159999999905</v>
      </c>
      <c r="F5645" t="s">
        <v>46</v>
      </c>
      <c r="G5645">
        <v>-183.6027</v>
      </c>
      <c r="H5645" s="1">
        <v>-3.2393160000000001E-6</v>
      </c>
      <c r="I5645">
        <v>-15.83489</v>
      </c>
      <c r="J5645">
        <v>-187.09</v>
      </c>
      <c r="K5645">
        <v>1.1101970000000001</v>
      </c>
      <c r="L5645">
        <v>-23.49643</v>
      </c>
      <c r="M5645">
        <v>6.3421259999999993E-2</v>
      </c>
      <c r="N5645">
        <v>-8.4945750000000007E-3</v>
      </c>
      <c r="O5645">
        <v>0.99795069999999997</v>
      </c>
      <c r="P5645">
        <v>-5.2124179999999999E-2</v>
      </c>
      <c r="Q5645">
        <v>0.13764270000000001</v>
      </c>
      <c r="R5645">
        <v>0.98910949999999997</v>
      </c>
      <c r="S5645">
        <v>1.402069</v>
      </c>
      <c r="T5645">
        <v>-0.44434230000000002</v>
      </c>
      <c r="U5645">
        <v>3.169403</v>
      </c>
      <c r="V5645">
        <v>-0.1149268</v>
      </c>
      <c r="W5645">
        <v>0.1458576</v>
      </c>
      <c r="X5645">
        <v>0.98260740000000002</v>
      </c>
      <c r="Y5645">
        <v>0.34263559999999998</v>
      </c>
      <c r="Z5645">
        <v>-0.120032</v>
      </c>
      <c r="AA5645">
        <v>0.93176879999999995</v>
      </c>
      <c r="AB5645">
        <v>25</v>
      </c>
      <c r="AC5645">
        <v>3.4872999999999998</v>
      </c>
      <c r="AD5645">
        <v>-1.110200239316</v>
      </c>
      <c r="AE5645">
        <v>7.6615399999999996</v>
      </c>
      <c r="AF5645">
        <v>2.9431636731766599</v>
      </c>
      <c r="AG5645">
        <v>-1.110200239316</v>
      </c>
      <c r="AH5645">
        <v>7.7327880857615101</v>
      </c>
      <c r="AI5645">
        <v>97.642313588667506</v>
      </c>
      <c r="AJ5645">
        <v>69.162757623609707</v>
      </c>
      <c r="AK5645">
        <v>8.3480996974029509</v>
      </c>
      <c r="AL5645">
        <v>81.613055573537494</v>
      </c>
      <c r="AM5645">
        <v>96.671065298321906</v>
      </c>
      <c r="AN5645">
        <v>0.99999995568537903</v>
      </c>
    </row>
    <row r="5646" spans="1:40" x14ac:dyDescent="0.25">
      <c r="A5646" t="str">
        <f>"20190304155528537"</f>
        <v>20190304155528537</v>
      </c>
      <c r="B5646" t="str">
        <f>"1551686128533755"</f>
        <v>1551686128533755</v>
      </c>
      <c r="C5646" t="s">
        <v>40</v>
      </c>
      <c r="D5646">
        <v>4.753946</v>
      </c>
      <c r="E5646">
        <v>0.69091059999999904</v>
      </c>
      <c r="F5646" t="s">
        <v>46</v>
      </c>
      <c r="G5646">
        <v>-183.61179999999999</v>
      </c>
      <c r="H5646" s="1">
        <v>-3.3292440000000002E-6</v>
      </c>
      <c r="I5646">
        <v>-15.56357</v>
      </c>
      <c r="J5646">
        <v>-187.0737</v>
      </c>
      <c r="K5646">
        <v>1.110269</v>
      </c>
      <c r="L5646">
        <v>-23.225680000000001</v>
      </c>
      <c r="M5646">
        <v>6.2471569999999997E-2</v>
      </c>
      <c r="N5646">
        <v>-8.4342259999999995E-3</v>
      </c>
      <c r="O5646">
        <v>0.99801110000000004</v>
      </c>
      <c r="P5646">
        <v>-5.2250270000000001E-2</v>
      </c>
      <c r="Q5646">
        <v>0.13806550000000001</v>
      </c>
      <c r="R5646">
        <v>0.98904389999999998</v>
      </c>
      <c r="S5646">
        <v>1.388992</v>
      </c>
      <c r="T5646">
        <v>-0.44335170000000002</v>
      </c>
      <c r="U5646">
        <v>3.1679379999999999</v>
      </c>
      <c r="V5646">
        <v>-0.1141398</v>
      </c>
      <c r="W5646">
        <v>0.14620060000000001</v>
      </c>
      <c r="X5646">
        <v>0.98264819999999997</v>
      </c>
      <c r="Y5646">
        <v>0.34046880000000002</v>
      </c>
      <c r="Z5646">
        <v>-0.12002450000000001</v>
      </c>
      <c r="AA5646">
        <v>0.9325637</v>
      </c>
      <c r="AB5646">
        <v>25</v>
      </c>
      <c r="AC5646">
        <v>3.4619000000000102</v>
      </c>
      <c r="AD5646">
        <v>-1.110272329244</v>
      </c>
      <c r="AE5646">
        <v>7.6621100000000002</v>
      </c>
      <c r="AF5646">
        <v>2.9254439992952999</v>
      </c>
      <c r="AG5646">
        <v>-1.110272329244</v>
      </c>
      <c r="AH5646">
        <v>7.7286524054907701</v>
      </c>
      <c r="AI5646">
        <v>97.652084240448005</v>
      </c>
      <c r="AJ5646">
        <v>69.267379104312198</v>
      </c>
      <c r="AK5646">
        <v>8.3380450492304305</v>
      </c>
      <c r="AL5646">
        <v>81.593190520201105</v>
      </c>
      <c r="AM5646">
        <v>96.625517837450801</v>
      </c>
      <c r="AN5646">
        <v>0.99999999717381904</v>
      </c>
    </row>
    <row r="5647" spans="1:40" x14ac:dyDescent="0.25">
      <c r="A5647" t="str">
        <f>"20190304155528579"</f>
        <v>20190304155528579</v>
      </c>
      <c r="B5647" t="str">
        <f>"1551686128573771"</f>
        <v>1551686128573771</v>
      </c>
      <c r="C5647" t="s">
        <v>40</v>
      </c>
      <c r="D5647">
        <v>4.4347979999999998</v>
      </c>
      <c r="E5647">
        <v>0.69634110000000005</v>
      </c>
      <c r="F5647" t="s">
        <v>46</v>
      </c>
      <c r="G5647">
        <v>-183.57640000000001</v>
      </c>
      <c r="H5647" s="1">
        <v>-3.4529520000000002E-6</v>
      </c>
      <c r="I5647">
        <v>-15.22771</v>
      </c>
      <c r="J5647">
        <v>-187.04679999999999</v>
      </c>
      <c r="K5647">
        <v>1.1104099999999999</v>
      </c>
      <c r="L5647">
        <v>-22.76041</v>
      </c>
      <c r="M5647">
        <v>6.0508149999999997E-2</v>
      </c>
      <c r="N5647">
        <v>-8.3166619999999903E-3</v>
      </c>
      <c r="O5647">
        <v>0.9981331</v>
      </c>
      <c r="P5647">
        <v>-5.2762169999999997E-2</v>
      </c>
      <c r="Q5647">
        <v>0.1385198</v>
      </c>
      <c r="R5647">
        <v>0.98895319999999998</v>
      </c>
      <c r="S5647">
        <v>1.385208</v>
      </c>
      <c r="T5647">
        <v>-0.43975439999999999</v>
      </c>
      <c r="U5647">
        <v>3.1678160000000002</v>
      </c>
      <c r="V5647">
        <v>-0.11276700000000001</v>
      </c>
      <c r="W5647">
        <v>0.14649870000000001</v>
      </c>
      <c r="X5647">
        <v>0.98276229999999998</v>
      </c>
      <c r="Y5647">
        <v>0.34144049999999998</v>
      </c>
      <c r="Z5647">
        <v>-0.1191453</v>
      </c>
      <c r="AA5647">
        <v>0.93232119999999996</v>
      </c>
      <c r="AB5647">
        <v>25</v>
      </c>
      <c r="AC5647">
        <v>3.4703999999999802</v>
      </c>
      <c r="AD5647">
        <v>-1.110413452952</v>
      </c>
      <c r="AE5647">
        <v>7.5327000000000002</v>
      </c>
      <c r="AF5647">
        <v>2.9552604034796199</v>
      </c>
      <c r="AG5647">
        <v>-1.110413452952</v>
      </c>
      <c r="AH5647">
        <v>7.5927862545045999</v>
      </c>
      <c r="AI5647">
        <v>97.760831920995599</v>
      </c>
      <c r="AJ5647">
        <v>68.733042583486906</v>
      </c>
      <c r="AK5647">
        <v>8.2229547727970207</v>
      </c>
      <c r="AL5647">
        <v>81.575924785973001</v>
      </c>
      <c r="AM5647">
        <v>96.545772801466697</v>
      </c>
      <c r="AN5647">
        <v>1.00000000184598</v>
      </c>
    </row>
    <row r="5648" spans="1:40" x14ac:dyDescent="0.25">
      <c r="A5648" t="str">
        <f>"20190304155528603"</f>
        <v>20190304155528603</v>
      </c>
      <c r="B5648" t="str">
        <f>"1551686128593290"</f>
        <v>1551686128593290</v>
      </c>
      <c r="C5648" t="s">
        <v>40</v>
      </c>
      <c r="D5648">
        <v>4.3909379999999896</v>
      </c>
      <c r="E5648">
        <v>0.70035559999999997</v>
      </c>
      <c r="F5648" t="s">
        <v>46</v>
      </c>
      <c r="G5648">
        <v>-183.3415</v>
      </c>
      <c r="H5648" s="1">
        <v>-3.7560230000000001E-6</v>
      </c>
      <c r="I5648">
        <v>-14.520799999999999</v>
      </c>
      <c r="J5648">
        <v>-187.03229999999999</v>
      </c>
      <c r="K5648">
        <v>1.11049</v>
      </c>
      <c r="L5648">
        <v>-22.49954</v>
      </c>
      <c r="M5648">
        <v>5.9245100000000002E-2</v>
      </c>
      <c r="N5648">
        <v>-8.2478969999999902E-3</v>
      </c>
      <c r="O5648">
        <v>0.99820940000000002</v>
      </c>
      <c r="P5648">
        <v>-5.3725530000000001E-2</v>
      </c>
      <c r="Q5648">
        <v>0.13925390000000001</v>
      </c>
      <c r="R5648">
        <v>0.98879819999999996</v>
      </c>
      <c r="S5648">
        <v>1.425262</v>
      </c>
      <c r="T5648">
        <v>-0.4271221</v>
      </c>
      <c r="U5648">
        <v>3.1693730000000002</v>
      </c>
      <c r="V5648">
        <v>-0.1125068</v>
      </c>
      <c r="W5648">
        <v>0.14714150000000001</v>
      </c>
      <c r="X5648">
        <v>0.98269609999999996</v>
      </c>
      <c r="Y5648">
        <v>0.3524852</v>
      </c>
      <c r="Z5648">
        <v>-0.11501459999999999</v>
      </c>
      <c r="AA5648">
        <v>0.92872270000000001</v>
      </c>
      <c r="AB5648">
        <v>25</v>
      </c>
      <c r="AC5648">
        <v>3.6907999999999901</v>
      </c>
      <c r="AD5648">
        <v>-1.1104937560229999</v>
      </c>
      <c r="AE5648">
        <v>7.9787399999999904</v>
      </c>
      <c r="AF5648">
        <v>3.1611565313746999</v>
      </c>
      <c r="AG5648">
        <v>-1.1104937560229999</v>
      </c>
      <c r="AH5648">
        <v>8.0548616552926902</v>
      </c>
      <c r="AI5648">
        <v>97.313185770425704</v>
      </c>
      <c r="AJ5648">
        <v>68.572314384769797</v>
      </c>
      <c r="AK5648">
        <v>8.7239270563160698</v>
      </c>
      <c r="AL5648">
        <v>81.538691664948104</v>
      </c>
      <c r="AM5648">
        <v>96.531235785058897</v>
      </c>
      <c r="AN5648">
        <v>1.00000001301184</v>
      </c>
    </row>
    <row r="5649" spans="1:40" x14ac:dyDescent="0.25">
      <c r="A5649" t="str">
        <f>"20190304155528626"</f>
        <v>20190304155528626</v>
      </c>
      <c r="B5649" t="str">
        <f>"1551686128613787"</f>
        <v>1551686128613787</v>
      </c>
      <c r="C5649" t="s">
        <v>40</v>
      </c>
      <c r="D5649">
        <v>4.388293</v>
      </c>
      <c r="E5649">
        <v>0.70401130000000001</v>
      </c>
      <c r="F5649" t="s">
        <v>46</v>
      </c>
      <c r="G5649">
        <v>-183.12700000000001</v>
      </c>
      <c r="H5649" s="1">
        <v>-3.9970150000000002E-6</v>
      </c>
      <c r="I5649">
        <v>-13.980359999999999</v>
      </c>
      <c r="J5649">
        <v>-187.0179</v>
      </c>
      <c r="K5649">
        <v>1.1105670000000001</v>
      </c>
      <c r="L5649">
        <v>-22.232240000000001</v>
      </c>
      <c r="M5649">
        <v>5.7826870000000002E-2</v>
      </c>
      <c r="N5649">
        <v>-8.1778559999999903E-3</v>
      </c>
      <c r="O5649">
        <v>0.99829310000000004</v>
      </c>
      <c r="P5649">
        <v>-5.3911300000000002E-2</v>
      </c>
      <c r="Q5649">
        <v>0.14014749999999901</v>
      </c>
      <c r="R5649">
        <v>0.98866180000000004</v>
      </c>
      <c r="S5649">
        <v>1.453735</v>
      </c>
      <c r="T5649">
        <v>-0.4133734</v>
      </c>
      <c r="U5649">
        <v>3.1712039999999999</v>
      </c>
      <c r="V5649">
        <v>-0.111317</v>
      </c>
      <c r="W5649">
        <v>0.1479471</v>
      </c>
      <c r="X5649">
        <v>0.98271070000000005</v>
      </c>
      <c r="Y5649">
        <v>0.36071959999999997</v>
      </c>
      <c r="Z5649">
        <v>-0.11072940000000001</v>
      </c>
      <c r="AA5649">
        <v>0.92607799999999996</v>
      </c>
      <c r="AB5649">
        <v>25</v>
      </c>
      <c r="AC5649">
        <v>3.8908999999999798</v>
      </c>
      <c r="AD5649">
        <v>-1.1105709970149999</v>
      </c>
      <c r="AE5649">
        <v>8.2518799999999999</v>
      </c>
      <c r="AF5649">
        <v>3.3574406310759701</v>
      </c>
      <c r="AG5649">
        <v>-1.1105709970149999</v>
      </c>
      <c r="AH5649">
        <v>8.3394993025951791</v>
      </c>
      <c r="AI5649">
        <v>97.042319365383193</v>
      </c>
      <c r="AJ5649">
        <v>68.070531244274093</v>
      </c>
      <c r="AK5649">
        <v>9.0583124338143808</v>
      </c>
      <c r="AL5649">
        <v>81.492023904441297</v>
      </c>
      <c r="AM5649">
        <v>96.462657851420502</v>
      </c>
      <c r="AN5649">
        <v>1.0000000693909401</v>
      </c>
    </row>
    <row r="5650" spans="1:40" x14ac:dyDescent="0.25">
      <c r="A5650" t="str">
        <f>"20190304155528650"</f>
        <v>20190304155528650</v>
      </c>
      <c r="B5650" t="str">
        <f>"1551686128643067"</f>
        <v>1551686128643067</v>
      </c>
      <c r="C5650" t="s">
        <v>40</v>
      </c>
      <c r="D5650">
        <v>4.3734970000000004</v>
      </c>
      <c r="E5650">
        <v>0.7063699</v>
      </c>
      <c r="F5650" t="s">
        <v>46</v>
      </c>
      <c r="G5650">
        <v>-182.9376</v>
      </c>
      <c r="H5650" s="1">
        <v>-4.2124230000000001E-6</v>
      </c>
      <c r="I5650">
        <v>-13.495419999999999</v>
      </c>
      <c r="J5650">
        <v>-187.00360000000001</v>
      </c>
      <c r="K5650">
        <v>1.110622</v>
      </c>
      <c r="L5650">
        <v>-21.956050000000001</v>
      </c>
      <c r="M5650">
        <v>5.6264809999999998E-2</v>
      </c>
      <c r="N5650">
        <v>-8.1085800000000006E-3</v>
      </c>
      <c r="O5650">
        <v>0.99838289999999996</v>
      </c>
      <c r="P5650">
        <v>-5.4503889999999999E-2</v>
      </c>
      <c r="Q5650">
        <v>0.14107919999999999</v>
      </c>
      <c r="R5650">
        <v>0.98849679999999995</v>
      </c>
      <c r="S5650">
        <v>1.4815830000000001</v>
      </c>
      <c r="T5650">
        <v>-0.40325149999999998</v>
      </c>
      <c r="U5650">
        <v>3.1723629999999998</v>
      </c>
      <c r="V5650">
        <v>-0.11038580000000001</v>
      </c>
      <c r="W5650">
        <v>0.1487945</v>
      </c>
      <c r="X5650">
        <v>0.98268770000000005</v>
      </c>
      <c r="Y5650">
        <v>0.36888290000000001</v>
      </c>
      <c r="Z5650">
        <v>-0.10751380000000001</v>
      </c>
      <c r="AA5650">
        <v>0.92323679999999997</v>
      </c>
      <c r="AB5650">
        <v>25</v>
      </c>
      <c r="AC5650">
        <v>4.0659999999999998</v>
      </c>
      <c r="AD5650">
        <v>-1.110626212423</v>
      </c>
      <c r="AE5650">
        <v>8.4606300000000001</v>
      </c>
      <c r="AF5650">
        <v>3.53403521275404</v>
      </c>
      <c r="AG5650">
        <v>-1.110626212423</v>
      </c>
      <c r="AH5650">
        <v>8.5562305673159003</v>
      </c>
      <c r="AI5650">
        <v>96.841214440122002</v>
      </c>
      <c r="AJ5650">
        <v>67.557589985654005</v>
      </c>
      <c r="AK5650">
        <v>9.3237319239550001</v>
      </c>
      <c r="AL5650">
        <v>81.442927219651693</v>
      </c>
      <c r="AM5650">
        <v>96.409196252377896</v>
      </c>
      <c r="AN5650">
        <v>0.99999997190158896</v>
      </c>
    </row>
    <row r="5651" spans="1:40" x14ac:dyDescent="0.25">
      <c r="A5651" t="str">
        <f>"20190304155528688"</f>
        <v>20190304155528688</v>
      </c>
      <c r="B5651" t="str">
        <f>"1551686128683083"</f>
        <v>1551686128683083</v>
      </c>
      <c r="C5651" t="s">
        <v>40</v>
      </c>
      <c r="D5651">
        <v>4.5244299999999997</v>
      </c>
      <c r="E5651">
        <v>0.70891090000000001</v>
      </c>
      <c r="F5651" t="s">
        <v>46</v>
      </c>
      <c r="G5651">
        <v>-182.7722</v>
      </c>
      <c r="H5651" s="1">
        <v>-4.4433359999999996E-6</v>
      </c>
      <c r="I5651">
        <v>-12.99826</v>
      </c>
      <c r="J5651">
        <v>-186.9819</v>
      </c>
      <c r="K5651">
        <v>1.110676</v>
      </c>
      <c r="L5651">
        <v>-21.517790000000002</v>
      </c>
      <c r="M5651">
        <v>5.3638770000000002E-2</v>
      </c>
      <c r="N5651">
        <v>-8.0034640000000001E-3</v>
      </c>
      <c r="O5651">
        <v>0.99852830000000004</v>
      </c>
      <c r="P5651">
        <v>-5.677103E-2</v>
      </c>
      <c r="Q5651">
        <v>0.14111019999999999</v>
      </c>
      <c r="R5651">
        <v>0.98836480000000004</v>
      </c>
      <c r="S5651">
        <v>1.4991760000000001</v>
      </c>
      <c r="T5651">
        <v>-0.3934938</v>
      </c>
      <c r="U5651">
        <v>3.173737</v>
      </c>
      <c r="V5651">
        <v>-0.11008130000000001</v>
      </c>
      <c r="W5651">
        <v>0.148703</v>
      </c>
      <c r="X5651">
        <v>0.98273580000000005</v>
      </c>
      <c r="Y5651">
        <v>0.37549369999999999</v>
      </c>
      <c r="Z5651">
        <v>-0.1045571</v>
      </c>
      <c r="AA5651">
        <v>0.92090839999999996</v>
      </c>
      <c r="AB5651">
        <v>25</v>
      </c>
      <c r="AC5651">
        <v>4.20969999999999</v>
      </c>
      <c r="AD5651">
        <v>-1.110680443336</v>
      </c>
      <c r="AE5651">
        <v>8.5195299999999907</v>
      </c>
      <c r="AF5651">
        <v>3.6961556905006399</v>
      </c>
      <c r="AG5651">
        <v>-1.110680443336</v>
      </c>
      <c r="AH5651">
        <v>8.6153831579634605</v>
      </c>
      <c r="AI5651">
        <v>96.756646659416006</v>
      </c>
      <c r="AJ5651">
        <v>66.779789709249201</v>
      </c>
      <c r="AK5651">
        <v>9.4403392361794793</v>
      </c>
      <c r="AL5651">
        <v>81.448229554192807</v>
      </c>
      <c r="AM5651">
        <v>96.391352703014704</v>
      </c>
      <c r="AN5651">
        <v>1.00000006371016</v>
      </c>
    </row>
    <row r="5652" spans="1:40" x14ac:dyDescent="0.25">
      <c r="A5652" t="str">
        <f>"20190304155528714"</f>
        <v>20190304155528714</v>
      </c>
      <c r="B5652" t="str">
        <f>"1551686128703579"</f>
        <v>1551686128703579</v>
      </c>
      <c r="C5652" t="s">
        <v>40</v>
      </c>
      <c r="D5652">
        <v>4.4235860000000002</v>
      </c>
      <c r="E5652">
        <v>0.5927365</v>
      </c>
      <c r="F5652" t="s">
        <v>46</v>
      </c>
      <c r="G5652">
        <v>-182.636</v>
      </c>
      <c r="H5652" s="1">
        <v>-4.725932E-6</v>
      </c>
      <c r="I5652">
        <v>-12.395860000000001</v>
      </c>
      <c r="J5652">
        <v>-186.96879999999999</v>
      </c>
      <c r="K5652">
        <v>1.1106940000000001</v>
      </c>
      <c r="L5652">
        <v>-21.237549999999999</v>
      </c>
      <c r="M5652">
        <v>5.1904180000000001E-2</v>
      </c>
      <c r="N5652">
        <v>-7.9336519999999994E-3</v>
      </c>
      <c r="O5652">
        <v>0.99862059999999997</v>
      </c>
      <c r="P5652">
        <v>-5.8613489999999997E-2</v>
      </c>
      <c r="Q5652">
        <v>0.14172100000000001</v>
      </c>
      <c r="R5652">
        <v>0.98816979999999999</v>
      </c>
      <c r="S5652">
        <v>1.513855</v>
      </c>
      <c r="T5652">
        <v>-0.38689269999999998</v>
      </c>
      <c r="U5652">
        <v>3.177521</v>
      </c>
      <c r="V5652">
        <v>-0.1102139</v>
      </c>
      <c r="W5652">
        <v>0.14923629999999999</v>
      </c>
      <c r="X5652">
        <v>0.98263999999999996</v>
      </c>
      <c r="Y5652">
        <v>0.38024380000000002</v>
      </c>
      <c r="Z5652">
        <v>-0.10244499999999999</v>
      </c>
      <c r="AA5652">
        <v>0.91919510000000004</v>
      </c>
      <c r="AB5652">
        <v>25</v>
      </c>
      <c r="AC5652">
        <v>4.33279999999999</v>
      </c>
      <c r="AD5652">
        <v>-1.110698725932</v>
      </c>
      <c r="AE5652">
        <v>8.8416899999999892</v>
      </c>
      <c r="AF5652">
        <v>3.8194228500781802</v>
      </c>
      <c r="AG5652">
        <v>-1.110698725932</v>
      </c>
      <c r="AH5652">
        <v>8.9408976658343402</v>
      </c>
      <c r="AI5652">
        <v>96.517196441371794</v>
      </c>
      <c r="AJ5652">
        <v>66.868523610397901</v>
      </c>
      <c r="AK5652">
        <v>9.7857699563400899</v>
      </c>
      <c r="AL5652">
        <v>81.417328138293101</v>
      </c>
      <c r="AM5652">
        <v>96.399606354172903</v>
      </c>
      <c r="AN5652">
        <v>0.99999997329544899</v>
      </c>
    </row>
    <row r="5653" spans="1:40" x14ac:dyDescent="0.25">
      <c r="A5653" t="str">
        <f>"20190304155528757"</f>
        <v>20190304155528757</v>
      </c>
      <c r="B5653" t="str">
        <f>"1551686128753355"</f>
        <v>1551686128753355</v>
      </c>
      <c r="C5653" t="s">
        <v>40</v>
      </c>
      <c r="D5653">
        <v>4.5215379999999996</v>
      </c>
      <c r="E5653">
        <v>0.52916160000000001</v>
      </c>
      <c r="F5653" t="s">
        <v>48</v>
      </c>
      <c r="G5653">
        <v>-186.81819999999999</v>
      </c>
      <c r="H5653">
        <v>1.034705</v>
      </c>
      <c r="I5653">
        <v>-20.430980000000002</v>
      </c>
      <c r="J5653">
        <v>-186.9469</v>
      </c>
      <c r="K5653">
        <v>1.1107020000000001</v>
      </c>
      <c r="L5653">
        <v>-20.746030000000001</v>
      </c>
      <c r="M5653">
        <v>4.8837220000000001E-2</v>
      </c>
      <c r="N5653">
        <v>-7.812355E-3</v>
      </c>
      <c r="O5653">
        <v>0.9987762</v>
      </c>
      <c r="P5653">
        <v>-6.2968129999999997E-2</v>
      </c>
      <c r="Q5653">
        <v>0.14224439999999999</v>
      </c>
      <c r="R5653">
        <v>0.98782669999999995</v>
      </c>
      <c r="S5653">
        <v>0.58030700000000002</v>
      </c>
      <c r="T5653">
        <v>-0.2932765</v>
      </c>
      <c r="U5653">
        <v>3.1123959999999999</v>
      </c>
      <c r="V5653">
        <v>-0.11153449999999999</v>
      </c>
      <c r="W5653">
        <v>0.1496285</v>
      </c>
      <c r="X5653">
        <v>0.98243139999999995</v>
      </c>
      <c r="Y5653">
        <v>0.13435069999999999</v>
      </c>
      <c r="Z5653">
        <v>-8.4685499999999997E-2</v>
      </c>
      <c r="AA5653">
        <v>0.98730859999999998</v>
      </c>
      <c r="AB5653">
        <v>26</v>
      </c>
      <c r="AC5653">
        <v>0.128700000000009</v>
      </c>
      <c r="AD5653">
        <v>-7.5996999999999995E-2</v>
      </c>
      <c r="AE5653">
        <v>0.315049999999999</v>
      </c>
      <c r="AF5653">
        <v>0.10778492996297</v>
      </c>
      <c r="AG5653">
        <v>-7.5996999999999995E-2</v>
      </c>
      <c r="AH5653">
        <v>0.30571467470518199</v>
      </c>
      <c r="AI5653">
        <v>103.19433622058899</v>
      </c>
      <c r="AJ5653">
        <v>70.579027349062898</v>
      </c>
      <c r="AK5653">
        <v>0.33294834053681299</v>
      </c>
      <c r="AL5653">
        <v>81.394602172309902</v>
      </c>
      <c r="AM5653">
        <v>96.477003184276498</v>
      </c>
      <c r="AN5653">
        <v>1.0000000442042201</v>
      </c>
    </row>
    <row r="5654" spans="1:40" x14ac:dyDescent="0.25">
      <c r="A5654" t="str">
        <f>"20190304155528778"</f>
        <v>20190304155528778</v>
      </c>
      <c r="B5654" t="str">
        <f>"1551686128773851"</f>
        <v>1551686128773851</v>
      </c>
      <c r="C5654" t="s">
        <v>40</v>
      </c>
      <c r="D5654">
        <v>4.5545099999999996</v>
      </c>
      <c r="E5654">
        <v>0.52974560000000004</v>
      </c>
      <c r="F5654" t="s">
        <v>46</v>
      </c>
      <c r="G5654">
        <v>-186.50020000000001</v>
      </c>
      <c r="H5654" s="1">
        <v>-2.2368520000000001E-6</v>
      </c>
      <c r="I5654">
        <v>3.39981</v>
      </c>
      <c r="J5654">
        <v>-186.93600000000001</v>
      </c>
      <c r="K5654">
        <v>1.110692</v>
      </c>
      <c r="L5654">
        <v>-20.489139999999999</v>
      </c>
      <c r="M5654">
        <v>4.7238879999999997E-2</v>
      </c>
      <c r="N5654">
        <v>-7.7540819999999998E-3</v>
      </c>
      <c r="O5654">
        <v>0.99885349999999995</v>
      </c>
      <c r="P5654">
        <v>-6.5135699999999894E-2</v>
      </c>
      <c r="Q5654">
        <v>0.14209949999999999</v>
      </c>
      <c r="R5654">
        <v>0.987707</v>
      </c>
      <c r="S5654">
        <v>5.6625370000000001E-2</v>
      </c>
      <c r="T5654">
        <v>-0.1407986</v>
      </c>
      <c r="U5654">
        <v>3.0608520000000001</v>
      </c>
      <c r="V5654">
        <v>-0.11212080000000001</v>
      </c>
      <c r="W5654">
        <v>0.1494239</v>
      </c>
      <c r="X5654">
        <v>0.98239580000000004</v>
      </c>
      <c r="Y5654">
        <v>-2.876362E-2</v>
      </c>
      <c r="Z5654">
        <v>-3.8116990000000003E-2</v>
      </c>
      <c r="AA5654">
        <v>0.99885919999999895</v>
      </c>
      <c r="AB5654">
        <v>26</v>
      </c>
      <c r="AC5654">
        <v>0.43579999999997199</v>
      </c>
      <c r="AD5654">
        <v>-1.1106942368520001</v>
      </c>
      <c r="AE5654">
        <v>23.888950000000001</v>
      </c>
      <c r="AF5654">
        <v>-0.69171296713443498</v>
      </c>
      <c r="AG5654">
        <v>-1.1106942368520001</v>
      </c>
      <c r="AH5654">
        <v>23.831367526335999</v>
      </c>
      <c r="AI5654">
        <v>92.667297338278502</v>
      </c>
      <c r="AJ5654">
        <v>91.662561310750903</v>
      </c>
      <c r="AK5654">
        <v>23.867261818063302</v>
      </c>
      <c r="AL5654">
        <v>81.406458155216896</v>
      </c>
      <c r="AM5654">
        <v>96.5109929725309</v>
      </c>
      <c r="AN5654">
        <v>1.00000004177074</v>
      </c>
    </row>
    <row r="5655" spans="1:40" x14ac:dyDescent="0.25">
      <c r="A5655" t="str">
        <f>"20190304155528801"</f>
        <v>20190304155528801</v>
      </c>
      <c r="B5655" t="str">
        <f>"1551686128793371"</f>
        <v>1551686128793371</v>
      </c>
      <c r="C5655" t="s">
        <v>40</v>
      </c>
      <c r="D5655">
        <v>4.3734590000000004</v>
      </c>
      <c r="E5655">
        <v>0.53189679999999995</v>
      </c>
      <c r="F5655" t="s">
        <v>46</v>
      </c>
      <c r="G5655">
        <v>-186.50139999999999</v>
      </c>
      <c r="H5655" s="1">
        <v>-2.4901909999999999E-6</v>
      </c>
      <c r="I5655">
        <v>3.9908739999999998</v>
      </c>
      <c r="J5655">
        <v>-186.92570000000001</v>
      </c>
      <c r="K5655">
        <v>1.11069</v>
      </c>
      <c r="L5655">
        <v>-20.237490000000001</v>
      </c>
      <c r="M5655">
        <v>4.5681090000000001E-2</v>
      </c>
      <c r="N5655">
        <v>-7.7029960000000001E-3</v>
      </c>
      <c r="O5655">
        <v>0.99892639999999999</v>
      </c>
      <c r="P5655">
        <v>-6.7366040000000002E-2</v>
      </c>
      <c r="Q5655">
        <v>0.14224870000000001</v>
      </c>
      <c r="R5655">
        <v>0.98753590000000002</v>
      </c>
      <c r="S5655">
        <v>5.4336549999999997E-2</v>
      </c>
      <c r="T5655">
        <v>-0.13887820000000001</v>
      </c>
      <c r="U5655">
        <v>3.0609130000000002</v>
      </c>
      <c r="V5655">
        <v>-0.1128077</v>
      </c>
      <c r="W5655">
        <v>0.1495196</v>
      </c>
      <c r="X5655">
        <v>0.98230249999999997</v>
      </c>
      <c r="Y5655">
        <v>-2.795164E-2</v>
      </c>
      <c r="Z5655">
        <v>-3.754822E-2</v>
      </c>
      <c r="AA5655">
        <v>0.99890380000000001</v>
      </c>
      <c r="AB5655">
        <v>26</v>
      </c>
      <c r="AC5655">
        <v>0.424300000000016</v>
      </c>
      <c r="AD5655">
        <v>-1.110692490191</v>
      </c>
      <c r="AE5655">
        <v>24.228363999999999</v>
      </c>
      <c r="AF5655">
        <v>-0.68152203707421399</v>
      </c>
      <c r="AG5655">
        <v>-1.110692490191</v>
      </c>
      <c r="AH5655">
        <v>24.171670572111299</v>
      </c>
      <c r="AI5655">
        <v>92.629856843907305</v>
      </c>
      <c r="AJ5655">
        <v>91.615030863038001</v>
      </c>
      <c r="AK5655">
        <v>24.2067711258948</v>
      </c>
      <c r="AL5655">
        <v>81.400911810395399</v>
      </c>
      <c r="AM5655">
        <v>96.551153224360306</v>
      </c>
      <c r="AN5655">
        <v>0.99999994473484799</v>
      </c>
    </row>
    <row r="5656" spans="1:40" x14ac:dyDescent="0.25">
      <c r="A5656" t="str">
        <f>"20190304155528825"</f>
        <v>20190304155528825</v>
      </c>
      <c r="B5656" t="str">
        <f>"1551686128813867"</f>
        <v>1551686128813867</v>
      </c>
      <c r="C5656" t="s">
        <v>40</v>
      </c>
      <c r="D5656">
        <v>4.4437519999999999</v>
      </c>
      <c r="E5656">
        <v>0.53339510000000001</v>
      </c>
      <c r="F5656" t="s">
        <v>46</v>
      </c>
      <c r="G5656">
        <v>-186.40780000000001</v>
      </c>
      <c r="H5656" s="1">
        <v>-2.6635640000000001E-6</v>
      </c>
      <c r="I5656">
        <v>4.3563159999999996</v>
      </c>
      <c r="J5656">
        <v>-186.91489999999999</v>
      </c>
      <c r="K5656">
        <v>1.1106860000000001</v>
      </c>
      <c r="L5656">
        <v>-19.961120000000001</v>
      </c>
      <c r="M5656">
        <v>4.3980529999999997E-2</v>
      </c>
      <c r="N5656">
        <v>-7.6485709999999998E-3</v>
      </c>
      <c r="O5656">
        <v>0.99900310000000003</v>
      </c>
      <c r="P5656">
        <v>-6.9778290000000007E-2</v>
      </c>
      <c r="Q5656">
        <v>0.14244789999999999</v>
      </c>
      <c r="R5656">
        <v>0.98733970000000004</v>
      </c>
      <c r="S5656">
        <v>6.4483639999999995E-2</v>
      </c>
      <c r="T5656">
        <v>-0.13829330000000001</v>
      </c>
      <c r="U5656">
        <v>3.062195</v>
      </c>
      <c r="V5656">
        <v>-0.1135359</v>
      </c>
      <c r="W5656">
        <v>0.14966199999999999</v>
      </c>
      <c r="X5656">
        <v>0.98219699999999999</v>
      </c>
      <c r="Y5656">
        <v>-2.2949230000000001E-2</v>
      </c>
      <c r="Z5656">
        <v>-3.7400570000000001E-2</v>
      </c>
      <c r="AA5656">
        <v>0.99903679999999995</v>
      </c>
      <c r="AB5656">
        <v>26</v>
      </c>
      <c r="AC5656">
        <v>0.50709999999997901</v>
      </c>
      <c r="AD5656">
        <v>-1.1106886635640001</v>
      </c>
      <c r="AE5656">
        <v>24.317435999999901</v>
      </c>
      <c r="AF5656">
        <v>-0.56174433920143996</v>
      </c>
      <c r="AG5656">
        <v>-1.1106886635640001</v>
      </c>
      <c r="AH5656">
        <v>24.265607855991799</v>
      </c>
      <c r="AI5656">
        <v>92.620019946655006</v>
      </c>
      <c r="AJ5656">
        <v>91.326149844405506</v>
      </c>
      <c r="AK5656">
        <v>24.2975083214466</v>
      </c>
      <c r="AL5656">
        <v>81.392660788559994</v>
      </c>
      <c r="AM5656">
        <v>96.593773241830306</v>
      </c>
      <c r="AN5656">
        <v>1.0000000308209001</v>
      </c>
    </row>
    <row r="5657" spans="1:40" x14ac:dyDescent="0.25">
      <c r="A5657" t="str">
        <f>"20190304155528846"</f>
        <v>20190304155528846</v>
      </c>
      <c r="B5657" t="str">
        <f>"1551686128843147"</f>
        <v>1551686128843147</v>
      </c>
      <c r="C5657" t="s">
        <v>40</v>
      </c>
      <c r="D5657">
        <v>4.4766659999999998</v>
      </c>
      <c r="E5657">
        <v>0.53468000000000004</v>
      </c>
      <c r="F5657" t="s">
        <v>46</v>
      </c>
      <c r="G5657">
        <v>-186.3449</v>
      </c>
      <c r="H5657" s="1">
        <v>-3.1648909999999999E-6</v>
      </c>
      <c r="I5657">
        <v>5.4988910000000004</v>
      </c>
      <c r="J5657">
        <v>-186.9057</v>
      </c>
      <c r="K5657">
        <v>1.110689</v>
      </c>
      <c r="L5657">
        <v>-19.712589999999999</v>
      </c>
      <c r="M5657">
        <v>4.2458559999999999E-2</v>
      </c>
      <c r="N5657">
        <v>-7.6012769999999896E-3</v>
      </c>
      <c r="O5657">
        <v>0.99906930000000005</v>
      </c>
      <c r="P5657">
        <v>-7.1764919999999996E-2</v>
      </c>
      <c r="Q5657">
        <v>0.14342650000000001</v>
      </c>
      <c r="R5657">
        <v>0.98705549999999997</v>
      </c>
      <c r="S5657">
        <v>6.8572999999999995E-2</v>
      </c>
      <c r="T5657">
        <v>-0.1336051</v>
      </c>
      <c r="U5657">
        <v>3.062592</v>
      </c>
      <c r="V5657">
        <v>-0.1140142</v>
      </c>
      <c r="W5657">
        <v>0.15059069999999999</v>
      </c>
      <c r="X5657">
        <v>0.98199959999999997</v>
      </c>
      <c r="Y5657">
        <v>-2.0094979999999998E-2</v>
      </c>
      <c r="Z5657">
        <v>-3.592294E-2</v>
      </c>
      <c r="AA5657">
        <v>0.9991525</v>
      </c>
      <c r="AB5657">
        <v>26</v>
      </c>
      <c r="AC5657">
        <v>0.56079999999999997</v>
      </c>
      <c r="AD5657">
        <v>-1.110692164891</v>
      </c>
      <c r="AE5657">
        <v>25.211480999999999</v>
      </c>
      <c r="AF5657">
        <v>-0.50919208701219298</v>
      </c>
      <c r="AG5657">
        <v>-1.110692164891</v>
      </c>
      <c r="AH5657">
        <v>25.163741393468801</v>
      </c>
      <c r="AI5657">
        <v>92.526798160941198</v>
      </c>
      <c r="AJ5657">
        <v>91.159230502266297</v>
      </c>
      <c r="AK5657">
        <v>25.1933879139746</v>
      </c>
      <c r="AL5657">
        <v>81.338840019257304</v>
      </c>
      <c r="AM5657">
        <v>96.622624291153201</v>
      </c>
      <c r="AN5657">
        <v>1.00000000556414</v>
      </c>
    </row>
    <row r="5658" spans="1:40" x14ac:dyDescent="0.25">
      <c r="A5658" t="str">
        <f>"20190304155528868"</f>
        <v>20190304155528868</v>
      </c>
      <c r="B5658" t="str">
        <f>"1551686128863643"</f>
        <v>1551686128863643</v>
      </c>
      <c r="C5658" t="s">
        <v>40</v>
      </c>
      <c r="D5658">
        <v>4.4601730000000002</v>
      </c>
      <c r="E5658">
        <v>0.53500009999999998</v>
      </c>
      <c r="F5658" t="s">
        <v>46</v>
      </c>
      <c r="G5658">
        <v>-186.27869999999999</v>
      </c>
      <c r="H5658" s="1">
        <v>-3.677815E-6</v>
      </c>
      <c r="I5658">
        <v>6.6671849999999999</v>
      </c>
      <c r="J5658">
        <v>-186.8963</v>
      </c>
      <c r="K5658">
        <v>1.1106879999999999</v>
      </c>
      <c r="L5658">
        <v>-19.452639999999999</v>
      </c>
      <c r="M5658">
        <v>4.0872529999999997E-2</v>
      </c>
      <c r="N5658">
        <v>-7.5565199999999997E-3</v>
      </c>
      <c r="O5658">
        <v>0.99913580000000002</v>
      </c>
      <c r="P5658">
        <v>-7.3407210000000001E-2</v>
      </c>
      <c r="Q5658">
        <v>0.14368049999999999</v>
      </c>
      <c r="R5658">
        <v>0.98689780000000005</v>
      </c>
      <c r="S5658">
        <v>7.2799680000000005E-2</v>
      </c>
      <c r="T5658">
        <v>-0.1289806</v>
      </c>
      <c r="U5658">
        <v>3.0633849999999998</v>
      </c>
      <c r="V5658">
        <v>-0.1140897</v>
      </c>
      <c r="W5658">
        <v>0.15079909999999999</v>
      </c>
      <c r="X5658">
        <v>0.98195889999999997</v>
      </c>
      <c r="Y5658">
        <v>-1.7135170000000002E-2</v>
      </c>
      <c r="Z5658">
        <v>-3.445761E-2</v>
      </c>
      <c r="AA5658">
        <v>0.99925920000000001</v>
      </c>
      <c r="AB5658">
        <v>26</v>
      </c>
      <c r="AC5658">
        <v>0.61760000000001003</v>
      </c>
      <c r="AD5658">
        <v>-1.110691677815</v>
      </c>
      <c r="AE5658">
        <v>26.119824999999999</v>
      </c>
      <c r="AF5658">
        <v>-0.449717196921882</v>
      </c>
      <c r="AG5658">
        <v>-1.110691677815</v>
      </c>
      <c r="AH5658">
        <v>26.076116321085799</v>
      </c>
      <c r="AI5658">
        <v>92.438632205410798</v>
      </c>
      <c r="AJ5658">
        <v>90.988043726724399</v>
      </c>
      <c r="AK5658">
        <v>26.103634305421402</v>
      </c>
      <c r="AL5658">
        <v>81.326762077573207</v>
      </c>
      <c r="AM5658">
        <v>96.627243016068306</v>
      </c>
      <c r="AN5658">
        <v>1.0000000547480501</v>
      </c>
    </row>
    <row r="5659" spans="1:40" x14ac:dyDescent="0.25">
      <c r="A5659" t="str">
        <f>"20190304155528889"</f>
        <v>20190304155528889</v>
      </c>
      <c r="B5659" t="str">
        <f>"1551686128883592"</f>
        <v>1551686128883592</v>
      </c>
      <c r="C5659" t="s">
        <v>40</v>
      </c>
      <c r="D5659">
        <v>4.4556570000000004</v>
      </c>
      <c r="E5659">
        <v>0.53519150000000004</v>
      </c>
      <c r="F5659" t="s">
        <v>46</v>
      </c>
      <c r="G5659">
        <v>-186.29239999999999</v>
      </c>
      <c r="H5659" s="1">
        <v>-3.7736499999999999E-6</v>
      </c>
      <c r="I5659">
        <v>6.8962429999999904</v>
      </c>
      <c r="J5659">
        <v>-186.88759999999999</v>
      </c>
      <c r="K5659">
        <v>1.1106879999999999</v>
      </c>
      <c r="L5659">
        <v>-19.198460000000001</v>
      </c>
      <c r="M5659">
        <v>3.9324890000000001E-2</v>
      </c>
      <c r="N5659">
        <v>-7.5184279999999997E-3</v>
      </c>
      <c r="O5659">
        <v>0.99919820000000004</v>
      </c>
      <c r="P5659">
        <v>-7.5413789999999994E-2</v>
      </c>
      <c r="Q5659">
        <v>0.14441309999999999</v>
      </c>
      <c r="R5659">
        <v>0.98663959999999995</v>
      </c>
      <c r="S5659">
        <v>7.0220950000000004E-2</v>
      </c>
      <c r="T5659">
        <v>-0.12915099999999999</v>
      </c>
      <c r="U5659">
        <v>3.0638429999999999</v>
      </c>
      <c r="V5659">
        <v>-0.11456479999999999</v>
      </c>
      <c r="W5659">
        <v>0.15149109999999999</v>
      </c>
      <c r="X5659">
        <v>0.98179700000000003</v>
      </c>
      <c r="Y5659">
        <v>-1.6430810000000001E-2</v>
      </c>
      <c r="Z5659">
        <v>-3.4549110000000001E-2</v>
      </c>
      <c r="AA5659">
        <v>0.99926789999999999</v>
      </c>
      <c r="AB5659">
        <v>26</v>
      </c>
      <c r="AC5659">
        <v>0.59520000000000495</v>
      </c>
      <c r="AD5659">
        <v>-1.1106917736499999</v>
      </c>
      <c r="AE5659">
        <v>26.094702999999999</v>
      </c>
      <c r="AF5659">
        <v>-0.43068089568122297</v>
      </c>
      <c r="AG5659">
        <v>-1.1106917736499999</v>
      </c>
      <c r="AH5659">
        <v>26.050752666268401</v>
      </c>
      <c r="AI5659">
        <v>92.441033247693994</v>
      </c>
      <c r="AJ5659">
        <v>90.947149211460697</v>
      </c>
      <c r="AK5659">
        <v>26.077976085751899</v>
      </c>
      <c r="AL5659">
        <v>81.286652106976604</v>
      </c>
      <c r="AM5659">
        <v>96.655681124716097</v>
      </c>
      <c r="AN5659">
        <v>0.99999999799362504</v>
      </c>
    </row>
    <row r="5660" spans="1:40" x14ac:dyDescent="0.25">
      <c r="A5660" t="str">
        <f>"20190304155528913"</f>
        <v>20190304155528913</v>
      </c>
      <c r="B5660" t="str">
        <f>"1551686128903111"</f>
        <v>1551686128903111</v>
      </c>
      <c r="C5660" t="s">
        <v>40</v>
      </c>
      <c r="D5660">
        <v>4.4913169999999996</v>
      </c>
      <c r="E5660">
        <v>0.53549239999999998</v>
      </c>
      <c r="F5660" t="s">
        <v>46</v>
      </c>
      <c r="G5660">
        <v>-186.3152</v>
      </c>
      <c r="H5660" s="1">
        <v>-3.9922880000000004E-6</v>
      </c>
      <c r="I5660">
        <v>7.4153190000000002</v>
      </c>
      <c r="J5660">
        <v>-186.87860000000001</v>
      </c>
      <c r="K5660">
        <v>1.110687</v>
      </c>
      <c r="L5660">
        <v>-18.92249</v>
      </c>
      <c r="M5660">
        <v>3.7646069999999997E-2</v>
      </c>
      <c r="N5660">
        <v>-7.4827779999999998E-3</v>
      </c>
      <c r="O5660">
        <v>0.99926309999999996</v>
      </c>
      <c r="P5660">
        <v>-7.7007759999999995E-2</v>
      </c>
      <c r="Q5660">
        <v>0.14390149999999999</v>
      </c>
      <c r="R5660">
        <v>0.9865912</v>
      </c>
      <c r="S5660">
        <v>6.5902710000000003E-2</v>
      </c>
      <c r="T5660">
        <v>-0.12788859999999999</v>
      </c>
      <c r="U5660">
        <v>3.0643919999999998</v>
      </c>
      <c r="V5660">
        <v>-0.1145043</v>
      </c>
      <c r="W5660">
        <v>0.1509443</v>
      </c>
      <c r="X5660">
        <v>0.98188830000000005</v>
      </c>
      <c r="Y5660">
        <v>-1.6162260000000001E-2</v>
      </c>
      <c r="Z5660">
        <v>-3.4171189999999997E-2</v>
      </c>
      <c r="AA5660">
        <v>0.99928530000000004</v>
      </c>
      <c r="AB5660">
        <v>26</v>
      </c>
      <c r="AC5660">
        <v>0.56340000000000101</v>
      </c>
      <c r="AD5660">
        <v>-1.1106909922879999</v>
      </c>
      <c r="AE5660">
        <v>26.337809</v>
      </c>
      <c r="AF5660">
        <v>-0.42778176137436102</v>
      </c>
      <c r="AG5660">
        <v>-1.1106909922879999</v>
      </c>
      <c r="AH5660">
        <v>26.2936094777682</v>
      </c>
      <c r="AI5660">
        <v>92.418522638285495</v>
      </c>
      <c r="AJ5660">
        <v>90.932086835988798</v>
      </c>
      <c r="AK5660">
        <v>26.3205343996868</v>
      </c>
      <c r="AL5660">
        <v>81.318346139714507</v>
      </c>
      <c r="AM5660">
        <v>96.651584859704499</v>
      </c>
      <c r="AN5660">
        <v>1.00000002504893</v>
      </c>
    </row>
    <row r="5661" spans="1:40" x14ac:dyDescent="0.25">
      <c r="A5661" t="str">
        <f>"20190304155528937"</f>
        <v>20190304155528937</v>
      </c>
      <c r="B5661" t="str">
        <f>"1551686128933367"</f>
        <v>1551686128933367</v>
      </c>
      <c r="C5661" t="s">
        <v>40</v>
      </c>
      <c r="D5661">
        <v>4.6058859999999999</v>
      </c>
      <c r="E5661">
        <v>0.53540350000000003</v>
      </c>
      <c r="F5661" t="s">
        <v>46</v>
      </c>
      <c r="G5661">
        <v>-186.32900000000001</v>
      </c>
      <c r="H5661" s="1">
        <v>-3.9674419999999901E-6</v>
      </c>
      <c r="I5661">
        <v>7.3630940000000002</v>
      </c>
      <c r="J5661">
        <v>-186.87</v>
      </c>
      <c r="K5661">
        <v>1.1106830000000001</v>
      </c>
      <c r="L5661">
        <v>-18.64716</v>
      </c>
      <c r="M5661">
        <v>3.597181E-2</v>
      </c>
      <c r="N5661">
        <v>-7.4523289999999997E-3</v>
      </c>
      <c r="O5661">
        <v>0.99932500000000002</v>
      </c>
      <c r="P5661">
        <v>-7.8465640000000003E-2</v>
      </c>
      <c r="Q5661">
        <v>0.1432871</v>
      </c>
      <c r="R5661">
        <v>0.98656569999999999</v>
      </c>
      <c r="S5661">
        <v>6.4071660000000002E-2</v>
      </c>
      <c r="T5661">
        <v>-0.1294968</v>
      </c>
      <c r="U5661">
        <v>3.064667</v>
      </c>
      <c r="V5661">
        <v>-0.1143134</v>
      </c>
      <c r="W5661">
        <v>0.1502994</v>
      </c>
      <c r="X5661">
        <v>0.98200949999999998</v>
      </c>
      <c r="Y5661">
        <v>-1.50863E-2</v>
      </c>
      <c r="Z5661">
        <v>-3.4725079999999998E-2</v>
      </c>
      <c r="AA5661">
        <v>0.99928300000000003</v>
      </c>
      <c r="AB5661">
        <v>26</v>
      </c>
      <c r="AC5661">
        <v>0.54099999999999604</v>
      </c>
      <c r="AD5661">
        <v>-1.1106869674419999</v>
      </c>
      <c r="AE5661">
        <v>26.010254</v>
      </c>
      <c r="AF5661">
        <v>-0.39429340224266901</v>
      </c>
      <c r="AG5661">
        <v>-1.1106869674419999</v>
      </c>
      <c r="AH5661">
        <v>25.965554199218499</v>
      </c>
      <c r="AI5661">
        <v>92.449074716729896</v>
      </c>
      <c r="AJ5661">
        <v>90.869983804140105</v>
      </c>
      <c r="AK5661">
        <v>25.992289196976301</v>
      </c>
      <c r="AL5661">
        <v>81.355722908265903</v>
      </c>
      <c r="AM5661">
        <v>96.639782285932199</v>
      </c>
      <c r="AN5661">
        <v>1.0000000605750801</v>
      </c>
    </row>
    <row r="5662" spans="1:40" x14ac:dyDescent="0.25">
      <c r="A5662" t="str">
        <f>"20190304155528959"</f>
        <v>20190304155528959</v>
      </c>
      <c r="B5662" t="str">
        <f>"1551686128953862"</f>
        <v>1551686128953862</v>
      </c>
      <c r="C5662" t="s">
        <v>40</v>
      </c>
      <c r="D5662">
        <v>4.5565480000000003</v>
      </c>
      <c r="E5662">
        <v>0.53514150000000005</v>
      </c>
      <c r="F5662" t="s">
        <v>46</v>
      </c>
      <c r="G5662">
        <v>-186.38929999999999</v>
      </c>
      <c r="H5662" s="1">
        <v>-3.5415100000000002E-6</v>
      </c>
      <c r="I5662">
        <v>6.3951659999999997</v>
      </c>
      <c r="J5662">
        <v>-186.86199999999999</v>
      </c>
      <c r="K5662">
        <v>1.1106830000000001</v>
      </c>
      <c r="L5662">
        <v>-18.376429999999999</v>
      </c>
      <c r="M5662">
        <v>3.4325880000000003E-2</v>
      </c>
      <c r="N5662">
        <v>-7.4268980000000004E-3</v>
      </c>
      <c r="O5662">
        <v>0.99938309999999997</v>
      </c>
      <c r="P5662">
        <v>-8.0274559999999995E-2</v>
      </c>
      <c r="Q5662">
        <v>0.14249779999999901</v>
      </c>
      <c r="R5662">
        <v>0.98653449999999998</v>
      </c>
      <c r="S5662">
        <v>5.8837889999999997E-2</v>
      </c>
      <c r="T5662">
        <v>-0.1359524</v>
      </c>
      <c r="U5662">
        <v>3.065277</v>
      </c>
      <c r="V5662">
        <v>-0.1145</v>
      </c>
      <c r="W5662">
        <v>0.1494838</v>
      </c>
      <c r="X5662">
        <v>0.98211219999999999</v>
      </c>
      <c r="Y5662">
        <v>-1.5150510000000001E-2</v>
      </c>
      <c r="Z5662">
        <v>-3.6844689999999999E-2</v>
      </c>
      <c r="AA5662">
        <v>0.99920609999999999</v>
      </c>
      <c r="AB5662">
        <v>26</v>
      </c>
      <c r="AC5662">
        <v>0.47270000000000301</v>
      </c>
      <c r="AD5662">
        <v>-1.11068654151</v>
      </c>
      <c r="AE5662">
        <v>24.771595999999999</v>
      </c>
      <c r="AF5662">
        <v>-0.37715092670324901</v>
      </c>
      <c r="AG5662">
        <v>-1.11068654151</v>
      </c>
      <c r="AH5662">
        <v>24.723538160852499</v>
      </c>
      <c r="AI5662">
        <v>92.571941902330195</v>
      </c>
      <c r="AJ5662">
        <v>90.873963921895097</v>
      </c>
      <c r="AK5662">
        <v>24.751347571518899</v>
      </c>
      <c r="AL5662">
        <v>81.4029869217906</v>
      </c>
      <c r="AM5662">
        <v>96.649834533052896</v>
      </c>
      <c r="AN5662">
        <v>1.0000000149256301</v>
      </c>
    </row>
    <row r="5663" spans="1:40" x14ac:dyDescent="0.25">
      <c r="A5663" t="str">
        <f>"20190304155529001"</f>
        <v>20190304155529001</v>
      </c>
      <c r="B5663" t="str">
        <f>"1551686128993879"</f>
        <v>1551686128993879</v>
      </c>
      <c r="C5663" t="s">
        <v>40</v>
      </c>
      <c r="D5663">
        <v>3.965535</v>
      </c>
      <c r="E5663">
        <v>0.53476349999999995</v>
      </c>
      <c r="F5663" t="s">
        <v>46</v>
      </c>
      <c r="G5663">
        <v>-186.46289999999999</v>
      </c>
      <c r="H5663" s="1">
        <v>-3.1263180000000001E-6</v>
      </c>
      <c r="I5663">
        <v>5.4577879999999999</v>
      </c>
      <c r="J5663">
        <v>-186.8485</v>
      </c>
      <c r="K5663">
        <v>1.110687</v>
      </c>
      <c r="L5663">
        <v>-17.878509999999999</v>
      </c>
      <c r="M5663">
        <v>3.129937E-2</v>
      </c>
      <c r="N5663">
        <v>-7.3910390000000003E-3</v>
      </c>
      <c r="O5663">
        <v>0.9994828</v>
      </c>
      <c r="P5663">
        <v>-8.4104579999999998E-2</v>
      </c>
      <c r="Q5663">
        <v>0.14272650000000001</v>
      </c>
      <c r="R5663">
        <v>0.98618229999999996</v>
      </c>
      <c r="S5663">
        <v>5.1330569999999999E-2</v>
      </c>
      <c r="T5663">
        <v>-0.1428661</v>
      </c>
      <c r="U5663">
        <v>3.0657649999999999</v>
      </c>
      <c r="V5663">
        <v>-0.1153443</v>
      </c>
      <c r="W5663">
        <v>0.1496709</v>
      </c>
      <c r="X5663">
        <v>0.98198490000000005</v>
      </c>
      <c r="Y5663">
        <v>-1.457316E-2</v>
      </c>
      <c r="Z5663">
        <v>-3.912769E-2</v>
      </c>
      <c r="AA5663">
        <v>0.99912789999999996</v>
      </c>
      <c r="AB5663">
        <v>26</v>
      </c>
      <c r="AC5663">
        <v>0.38560000000000999</v>
      </c>
      <c r="AD5663">
        <v>-1.110690126318</v>
      </c>
      <c r="AE5663">
        <v>23.336297999999999</v>
      </c>
      <c r="AF5663">
        <v>-0.34424066800389003</v>
      </c>
      <c r="AG5663">
        <v>-1.110690126318</v>
      </c>
      <c r="AH5663">
        <v>23.284202391298098</v>
      </c>
      <c r="AI5663">
        <v>92.730723415203002</v>
      </c>
      <c r="AJ5663">
        <v>90.847016369406504</v>
      </c>
      <c r="AK5663">
        <v>23.3132197517447</v>
      </c>
      <c r="AL5663">
        <v>81.392144908489996</v>
      </c>
      <c r="AM5663">
        <v>96.699285567098102</v>
      </c>
      <c r="AN5663">
        <v>1.0000000148386501</v>
      </c>
    </row>
    <row r="5664" spans="1:40" x14ac:dyDescent="0.25">
      <c r="A5664" t="str">
        <f>"20190304155529024"</f>
        <v>20190304155529024</v>
      </c>
      <c r="B5664" t="str">
        <f>"1551686129013400"</f>
        <v>1551686129013400</v>
      </c>
      <c r="C5664" t="s">
        <v>40</v>
      </c>
      <c r="D5664">
        <v>4.2886660000000001</v>
      </c>
      <c r="E5664">
        <v>0.471385</v>
      </c>
      <c r="F5664" t="s">
        <v>46</v>
      </c>
      <c r="G5664">
        <v>-186.57589999999999</v>
      </c>
      <c r="H5664" s="1">
        <v>-2.952949E-6</v>
      </c>
      <c r="I5664">
        <v>5.1003669999999897</v>
      </c>
      <c r="J5664">
        <v>-186.84200000000001</v>
      </c>
      <c r="K5664">
        <v>1.1106860000000001</v>
      </c>
      <c r="L5664">
        <v>-17.615200000000002</v>
      </c>
      <c r="M5664">
        <v>2.9699389999999999E-2</v>
      </c>
      <c r="N5664">
        <v>-7.3772400000000002E-3</v>
      </c>
      <c r="O5664">
        <v>0.99953159999999996</v>
      </c>
      <c r="P5664">
        <v>-8.7578089999999997E-2</v>
      </c>
      <c r="Q5664">
        <v>0.1428507</v>
      </c>
      <c r="R5664">
        <v>0.98586200000000002</v>
      </c>
      <c r="S5664">
        <v>3.6376949999999998E-2</v>
      </c>
      <c r="T5664">
        <v>-0.14822439999999901</v>
      </c>
      <c r="U5664">
        <v>3.066589</v>
      </c>
      <c r="V5664">
        <v>-0.1172354</v>
      </c>
      <c r="W5664">
        <v>0.1497723</v>
      </c>
      <c r="X5664">
        <v>0.98174539999999999</v>
      </c>
      <c r="Y5664">
        <v>-1.7848070000000001E-2</v>
      </c>
      <c r="Z5664">
        <v>-4.0872760000000001E-2</v>
      </c>
      <c r="AA5664">
        <v>0.99900500000000003</v>
      </c>
      <c r="AB5664">
        <v>27</v>
      </c>
      <c r="AC5664">
        <v>0.26610000000002199</v>
      </c>
      <c r="AD5664">
        <v>-1.1106889529490001</v>
      </c>
      <c r="AE5664">
        <v>22.715567</v>
      </c>
      <c r="AF5664">
        <v>-0.40769968434481801</v>
      </c>
      <c r="AG5664">
        <v>-1.1106889529490001</v>
      </c>
      <c r="AH5664">
        <v>22.659283595401899</v>
      </c>
      <c r="AI5664">
        <v>92.805764889756404</v>
      </c>
      <c r="AJ5664">
        <v>91.030789471377702</v>
      </c>
      <c r="AK5664">
        <v>22.690151653077798</v>
      </c>
      <c r="AL5664">
        <v>81.386268369326302</v>
      </c>
      <c r="AM5664">
        <v>96.809744618477794</v>
      </c>
      <c r="AN5664">
        <v>0.99999995564080402</v>
      </c>
    </row>
    <row r="5665" spans="1:40" x14ac:dyDescent="0.25">
      <c r="A5665" t="str">
        <f>"20190304155529046"</f>
        <v>20190304155529046</v>
      </c>
      <c r="B5665" t="str">
        <f>"1551686129043655"</f>
        <v>1551686129043655</v>
      </c>
      <c r="C5665" t="s">
        <v>40</v>
      </c>
      <c r="D5665">
        <v>4.3113190000000001</v>
      </c>
      <c r="E5665">
        <v>0.4356834</v>
      </c>
      <c r="F5665" t="s">
        <v>46</v>
      </c>
      <c r="G5665">
        <v>-191.24539999999999</v>
      </c>
      <c r="H5665" s="1">
        <v>-5.7140390000000001E-7</v>
      </c>
      <c r="I5665">
        <v>10.148619999999999</v>
      </c>
      <c r="J5665">
        <v>-186.8355</v>
      </c>
      <c r="K5665">
        <v>1.110689</v>
      </c>
      <c r="L5665">
        <v>-17.336980000000001</v>
      </c>
      <c r="M5665">
        <v>2.8008979999999999E-2</v>
      </c>
      <c r="N5665">
        <v>-7.3656759999999998E-3</v>
      </c>
      <c r="O5665">
        <v>0.99958060000000004</v>
      </c>
      <c r="P5665">
        <v>-9.2256669999999999E-2</v>
      </c>
      <c r="Q5665">
        <v>0.14266479999999901</v>
      </c>
      <c r="R5665">
        <v>0.98546210000000001</v>
      </c>
      <c r="S5665">
        <v>-0.47866819999999999</v>
      </c>
      <c r="T5665">
        <v>-0.1207347</v>
      </c>
      <c r="U5665">
        <v>3.018005</v>
      </c>
      <c r="V5665">
        <v>-0.12024079999999999</v>
      </c>
      <c r="W5665">
        <v>0.14956249999999999</v>
      </c>
      <c r="X5665">
        <v>0.98141389999999995</v>
      </c>
      <c r="Y5665">
        <v>-0.18413669999999999</v>
      </c>
      <c r="Z5665">
        <v>-3.1984730000000003E-2</v>
      </c>
      <c r="AA5665">
        <v>0.98238009999999998</v>
      </c>
      <c r="AB5665">
        <v>27</v>
      </c>
      <c r="AC5665">
        <v>-4.4098999999999897</v>
      </c>
      <c r="AD5665">
        <v>-1.1106895714039</v>
      </c>
      <c r="AE5665">
        <v>27.485600000000002</v>
      </c>
      <c r="AF5665">
        <v>-5.1698040239258596</v>
      </c>
      <c r="AG5665">
        <v>-1.1106895714039</v>
      </c>
      <c r="AH5665">
        <v>27.307822475101801</v>
      </c>
      <c r="AI5665">
        <v>92.288499258110093</v>
      </c>
      <c r="AJ5665">
        <v>100.72013002630101</v>
      </c>
      <c r="AK5665">
        <v>27.8150619862962</v>
      </c>
      <c r="AL5665">
        <v>81.398426496673494</v>
      </c>
      <c r="AM5665">
        <v>96.984949611707094</v>
      </c>
      <c r="AN5665">
        <v>1.00000001725204</v>
      </c>
    </row>
    <row r="5666" spans="1:40" x14ac:dyDescent="0.25">
      <c r="A5666" t="str">
        <f>"20190304155529070"</f>
        <v>20190304155529070</v>
      </c>
      <c r="B5666" t="str">
        <f>"1551686129063175"</f>
        <v>1551686129063175</v>
      </c>
      <c r="C5666" t="s">
        <v>40</v>
      </c>
      <c r="D5666">
        <v>4.3134139999999999</v>
      </c>
      <c r="E5666">
        <v>0.42796529999999999</v>
      </c>
      <c r="F5666" t="s">
        <v>46</v>
      </c>
      <c r="G5666">
        <v>-193.32730000000001</v>
      </c>
      <c r="H5666" s="1">
        <v>-4.2267550000000002E-6</v>
      </c>
      <c r="I5666">
        <v>7.6729409999999998</v>
      </c>
      <c r="J5666">
        <v>-186.8297</v>
      </c>
      <c r="K5666">
        <v>1.1106929999999999</v>
      </c>
      <c r="L5666">
        <v>-17.06439</v>
      </c>
      <c r="M5666">
        <v>2.6353459999999999E-2</v>
      </c>
      <c r="N5666">
        <v>-7.35695599999999E-3</v>
      </c>
      <c r="O5666">
        <v>0.9996256</v>
      </c>
      <c r="P5666">
        <v>-9.6400070000000004E-2</v>
      </c>
      <c r="Q5666">
        <v>0.14296539999999999</v>
      </c>
      <c r="R5666">
        <v>0.98502179999999995</v>
      </c>
      <c r="S5666">
        <v>-0.77632139999999905</v>
      </c>
      <c r="T5666">
        <v>-0.13282240000000001</v>
      </c>
      <c r="U5666">
        <v>2.9908139999999999</v>
      </c>
      <c r="V5666">
        <v>-0.1227477</v>
      </c>
      <c r="W5666">
        <v>0.149843</v>
      </c>
      <c r="X5666">
        <v>0.98106070000000001</v>
      </c>
      <c r="Y5666">
        <v>-0.27645599999999998</v>
      </c>
      <c r="Z5666">
        <v>-3.5395540000000003E-2</v>
      </c>
      <c r="AA5666">
        <v>0.96037450000000002</v>
      </c>
      <c r="AB5666">
        <v>27</v>
      </c>
      <c r="AC5666">
        <v>-6.4976000000000003</v>
      </c>
      <c r="AD5666">
        <v>-1.1106972267549999</v>
      </c>
      <c r="AE5666">
        <v>24.737331000000001</v>
      </c>
      <c r="AF5666">
        <v>-7.1338216531223404</v>
      </c>
      <c r="AG5666">
        <v>-1.1106972267549999</v>
      </c>
      <c r="AH5666">
        <v>24.5112750526912</v>
      </c>
      <c r="AI5666">
        <v>92.491280564125006</v>
      </c>
      <c r="AJ5666">
        <v>106.227238409728</v>
      </c>
      <c r="AK5666">
        <v>25.552449284104998</v>
      </c>
      <c r="AL5666">
        <v>81.382171793256504</v>
      </c>
      <c r="AM5666">
        <v>97.1316356110828</v>
      </c>
      <c r="AN5666">
        <v>1.00000000979439</v>
      </c>
    </row>
    <row r="5667" spans="1:40" x14ac:dyDescent="0.25">
      <c r="A5667" t="str">
        <f>"20190304155529114"</f>
        <v>20190304155529114</v>
      </c>
      <c r="B5667" t="str">
        <f>"1551686129103698"</f>
        <v>1551686129103698</v>
      </c>
      <c r="C5667" t="s">
        <v>40</v>
      </c>
      <c r="D5667">
        <v>4.216475</v>
      </c>
      <c r="E5667">
        <v>0.41984919999999998</v>
      </c>
      <c r="F5667" t="s">
        <v>46</v>
      </c>
      <c r="G5667">
        <v>-194.83529999999999</v>
      </c>
      <c r="H5667" s="1">
        <v>-1.874399E-6</v>
      </c>
      <c r="I5667">
        <v>10.959390000000001</v>
      </c>
      <c r="J5667">
        <v>-186.8194</v>
      </c>
      <c r="K5667">
        <v>1.110708</v>
      </c>
      <c r="L5667">
        <v>-16.52777</v>
      </c>
      <c r="M5667">
        <v>2.3099120000000001E-2</v>
      </c>
      <c r="N5667">
        <v>-7.3463199999999999E-3</v>
      </c>
      <c r="O5667">
        <v>0.99970619999999999</v>
      </c>
      <c r="P5667">
        <v>-0.1055929</v>
      </c>
      <c r="Q5667">
        <v>0.14201449999999999</v>
      </c>
      <c r="R5667">
        <v>0.98421650000000005</v>
      </c>
      <c r="S5667">
        <v>-0.85115049999999903</v>
      </c>
      <c r="T5667">
        <v>-0.118088</v>
      </c>
      <c r="U5667">
        <v>2.9794619999999998</v>
      </c>
      <c r="V5667">
        <v>-0.12872329999999901</v>
      </c>
      <c r="W5667">
        <v>0.14885619999999999</v>
      </c>
      <c r="X5667">
        <v>0.98044480000000001</v>
      </c>
      <c r="Y5667">
        <v>-0.29664459999999998</v>
      </c>
      <c r="Z5667">
        <v>-3.0572530000000001E-2</v>
      </c>
      <c r="AA5667">
        <v>0.95449850000000003</v>
      </c>
      <c r="AB5667">
        <v>27</v>
      </c>
      <c r="AC5667">
        <v>-8.0158999999999807</v>
      </c>
      <c r="AD5667">
        <v>-1.110709874399</v>
      </c>
      <c r="AE5667">
        <v>27.487159999999999</v>
      </c>
      <c r="AF5667">
        <v>-8.6357119362362695</v>
      </c>
      <c r="AG5667">
        <v>-1.110709874399</v>
      </c>
      <c r="AH5667">
        <v>27.2536475087424</v>
      </c>
      <c r="AI5667">
        <v>92.224868613139407</v>
      </c>
      <c r="AJ5667">
        <v>107.581557369919</v>
      </c>
      <c r="AK5667">
        <v>28.610671079188698</v>
      </c>
      <c r="AL5667">
        <v>81.439351904982502</v>
      </c>
      <c r="AM5667">
        <v>97.479623655096603</v>
      </c>
      <c r="AN5667">
        <v>0.99999993104418206</v>
      </c>
    </row>
    <row r="5668" spans="1:40" x14ac:dyDescent="0.25">
      <c r="A5668" t="str">
        <f>"20190304155529137"</f>
        <v>20190304155529137</v>
      </c>
      <c r="B5668" t="str">
        <f>"1551686129132978"</f>
        <v>1551686129132978</v>
      </c>
      <c r="C5668" t="s">
        <v>40</v>
      </c>
      <c r="D5668">
        <v>4.0432759999999996</v>
      </c>
      <c r="E5668">
        <v>0.4157805</v>
      </c>
      <c r="F5668" t="s">
        <v>46</v>
      </c>
      <c r="G5668">
        <v>-196.4967</v>
      </c>
      <c r="H5668" s="1">
        <v>-3.4937219999999999E-6</v>
      </c>
      <c r="I5668">
        <v>13.866809999999999</v>
      </c>
      <c r="J5668">
        <v>-186.81460000000001</v>
      </c>
      <c r="K5668">
        <v>1.110708</v>
      </c>
      <c r="L5668">
        <v>-16.236329999999999</v>
      </c>
      <c r="M5668">
        <v>2.1338389999999999E-2</v>
      </c>
      <c r="N5668">
        <v>-7.3433959999999899E-3</v>
      </c>
      <c r="O5668">
        <v>0.99974540000000001</v>
      </c>
      <c r="P5668">
        <v>-0.11054509999999999</v>
      </c>
      <c r="Q5668">
        <v>0.14194079999999901</v>
      </c>
      <c r="R5668">
        <v>0.98368319999999998</v>
      </c>
      <c r="S5668">
        <v>-0.94323729999999995</v>
      </c>
      <c r="T5668">
        <v>-0.1082597</v>
      </c>
      <c r="U5668">
        <v>2.9625240000000002</v>
      </c>
      <c r="V5668">
        <v>-0.13193529999999901</v>
      </c>
      <c r="W5668">
        <v>0.14876619999999999</v>
      </c>
      <c r="X5668">
        <v>0.98003150000000006</v>
      </c>
      <c r="Y5668">
        <v>-0.32348529999999998</v>
      </c>
      <c r="Z5668">
        <v>-2.7304189999999999E-2</v>
      </c>
      <c r="AA5668">
        <v>0.94583919999999999</v>
      </c>
      <c r="AB5668">
        <v>27</v>
      </c>
      <c r="AC5668">
        <v>-9.6820999999999895</v>
      </c>
      <c r="AD5668">
        <v>-1.110711493722</v>
      </c>
      <c r="AE5668">
        <v>30.10314</v>
      </c>
      <c r="AF5668">
        <v>-10.3095457772049</v>
      </c>
      <c r="AG5668">
        <v>-1.110711493722</v>
      </c>
      <c r="AH5668">
        <v>29.852848486476798</v>
      </c>
      <c r="AI5668">
        <v>92.014155535536702</v>
      </c>
      <c r="AJ5668">
        <v>109.05212069185001</v>
      </c>
      <c r="AK5668">
        <v>31.602420428048099</v>
      </c>
      <c r="AL5668">
        <v>81.444567383114105</v>
      </c>
      <c r="AM5668">
        <v>97.667262648500596</v>
      </c>
      <c r="AN5668">
        <v>1.0000000233203801</v>
      </c>
    </row>
    <row r="5669" spans="1:40" x14ac:dyDescent="0.25">
      <c r="A5669" t="str">
        <f>"20190304155529163"</f>
        <v>20190304155529163</v>
      </c>
      <c r="B5669" t="str">
        <f>"1551686129153473"</f>
        <v>1551686129153473</v>
      </c>
      <c r="C5669" t="s">
        <v>40</v>
      </c>
      <c r="D5669">
        <v>3.8573059999999999</v>
      </c>
      <c r="E5669">
        <v>0.41372710000000001</v>
      </c>
      <c r="F5669" t="s">
        <v>46</v>
      </c>
      <c r="G5669">
        <v>-197.4375</v>
      </c>
      <c r="H5669" s="1">
        <v>-4.1963370000000003E-6</v>
      </c>
      <c r="I5669">
        <v>15.441090000000001</v>
      </c>
      <c r="J5669">
        <v>-186.81020000000001</v>
      </c>
      <c r="K5669">
        <v>1.110706</v>
      </c>
      <c r="L5669">
        <v>-15.94336</v>
      </c>
      <c r="M5669">
        <v>1.9583759999999999E-2</v>
      </c>
      <c r="N5669">
        <v>-7.3420469999999896E-3</v>
      </c>
      <c r="O5669">
        <v>0.99978129999999998</v>
      </c>
      <c r="P5669">
        <v>-0.1146749</v>
      </c>
      <c r="Q5669">
        <v>0.14233299999999999</v>
      </c>
      <c r="R5669">
        <v>0.98315359999999996</v>
      </c>
      <c r="S5669">
        <v>-0.99041749999999995</v>
      </c>
      <c r="T5669">
        <v>-0.1035557</v>
      </c>
      <c r="U5669">
        <v>2.9533999999999998</v>
      </c>
      <c r="V5669">
        <v>-0.13433329999999999</v>
      </c>
      <c r="W5669">
        <v>0.14914720000000001</v>
      </c>
      <c r="X5669">
        <v>0.97964779999999996</v>
      </c>
      <c r="Y5669">
        <v>-0.33629920000000002</v>
      </c>
      <c r="Z5669">
        <v>-2.5744090000000001E-2</v>
      </c>
      <c r="AA5669">
        <v>0.94140330000000005</v>
      </c>
      <c r="AB5669">
        <v>27</v>
      </c>
      <c r="AC5669">
        <v>-10.6272999999999</v>
      </c>
      <c r="AD5669">
        <v>-1.1107101963370001</v>
      </c>
      <c r="AE5669">
        <v>31.384450000000001</v>
      </c>
      <c r="AF5669">
        <v>-11.2272883648654</v>
      </c>
      <c r="AG5669">
        <v>-1.1107101963370001</v>
      </c>
      <c r="AH5669">
        <v>31.135317586496399</v>
      </c>
      <c r="AI5669">
        <v>91.922038918664995</v>
      </c>
      <c r="AJ5669">
        <v>109.829129342683</v>
      </c>
      <c r="AK5669">
        <v>33.116365778570596</v>
      </c>
      <c r="AL5669">
        <v>81.422491786649005</v>
      </c>
      <c r="AM5669">
        <v>97.807936278432393</v>
      </c>
      <c r="AN5669">
        <v>1.0000000674007801</v>
      </c>
    </row>
    <row r="5670" spans="1:40" x14ac:dyDescent="0.25">
      <c r="A5670" t="str">
        <f>"20190304155529185"</f>
        <v>20190304155529185</v>
      </c>
      <c r="B5670" t="str">
        <f>"1551686129172993"</f>
        <v>1551686129172993</v>
      </c>
      <c r="C5670" t="s">
        <v>40</v>
      </c>
      <c r="D5670">
        <v>4.2347149999999996</v>
      </c>
      <c r="E5670">
        <v>0.41293039999999998</v>
      </c>
      <c r="F5670" t="s">
        <v>46</v>
      </c>
      <c r="G5670">
        <v>-197.994</v>
      </c>
      <c r="H5670" s="1">
        <v>-4.6283899999999997E-6</v>
      </c>
      <c r="I5670">
        <v>16.420660000000002</v>
      </c>
      <c r="J5670">
        <v>-186.8065</v>
      </c>
      <c r="K5670">
        <v>1.110692</v>
      </c>
      <c r="L5670">
        <v>-15.664429999999999</v>
      </c>
      <c r="M5670">
        <v>1.7940000000000001E-2</v>
      </c>
      <c r="N5670">
        <v>-7.3420869999999997E-3</v>
      </c>
      <c r="O5670">
        <v>0.99981209999999998</v>
      </c>
      <c r="P5670">
        <v>-0.11869830000000001</v>
      </c>
      <c r="Q5670">
        <v>0.14274719999999999</v>
      </c>
      <c r="R5670">
        <v>0.98261589999999999</v>
      </c>
      <c r="S5670">
        <v>-1.0184629999999999</v>
      </c>
      <c r="T5670">
        <v>-0.1011481</v>
      </c>
      <c r="U5670">
        <v>2.9472659999999999</v>
      </c>
      <c r="V5670">
        <v>-0.13673189999999999</v>
      </c>
      <c r="W5670">
        <v>0.14955450000000001</v>
      </c>
      <c r="X5670">
        <v>0.9792537</v>
      </c>
      <c r="Y5670">
        <v>-0.34336440000000001</v>
      </c>
      <c r="Z5670">
        <v>-2.495087E-2</v>
      </c>
      <c r="AA5670">
        <v>0.93887080000000001</v>
      </c>
      <c r="AB5670">
        <v>27</v>
      </c>
      <c r="AC5670">
        <v>-11.1875</v>
      </c>
      <c r="AD5670">
        <v>-1.1106966283899999</v>
      </c>
      <c r="AE5670">
        <v>32.085090000000001</v>
      </c>
      <c r="AF5670">
        <v>-11.7487685017445</v>
      </c>
      <c r="AG5670">
        <v>-1.1106966283899999</v>
      </c>
      <c r="AH5670">
        <v>31.845191943155001</v>
      </c>
      <c r="AI5670">
        <v>91.874168682729007</v>
      </c>
      <c r="AJ5670">
        <v>110.250723636201</v>
      </c>
      <c r="AK5670">
        <v>33.961499645985697</v>
      </c>
      <c r="AL5670">
        <v>81.398889796954407</v>
      </c>
      <c r="AM5670">
        <v>97.948743150892994</v>
      </c>
      <c r="AN5670">
        <v>0.99999998495577402</v>
      </c>
    </row>
    <row r="5671" spans="1:40" x14ac:dyDescent="0.25">
      <c r="A5671" t="str">
        <f>"20190304155529204"</f>
        <v>20190304155529204</v>
      </c>
      <c r="B5671" t="str">
        <f>"1551686129193020"</f>
        <v>1551686129193020</v>
      </c>
      <c r="C5671" t="s">
        <v>40</v>
      </c>
      <c r="D5671">
        <v>4.2141449999999896</v>
      </c>
      <c r="E5671">
        <v>0.41236149999999999</v>
      </c>
      <c r="F5671" t="s">
        <v>46</v>
      </c>
      <c r="G5671">
        <v>-198.1054</v>
      </c>
      <c r="H5671" s="1">
        <v>-4.6492950000000002E-6</v>
      </c>
      <c r="I5671">
        <v>16.424009999999999</v>
      </c>
      <c r="J5671">
        <v>-186.80359999999999</v>
      </c>
      <c r="K5671">
        <v>1.110679</v>
      </c>
      <c r="L5671">
        <v>-15.413880000000001</v>
      </c>
      <c r="M5671">
        <v>1.6481780000000001E-2</v>
      </c>
      <c r="N5671">
        <v>-7.3429339999999997E-3</v>
      </c>
      <c r="O5671">
        <v>0.99983719999999998</v>
      </c>
      <c r="P5671">
        <v>-0.1215654</v>
      </c>
      <c r="Q5671">
        <v>0.14246229999999999</v>
      </c>
      <c r="R5671">
        <v>0.98230669999999998</v>
      </c>
      <c r="S5671">
        <v>-1.036179</v>
      </c>
      <c r="T5671">
        <v>-0.10185809999999999</v>
      </c>
      <c r="U5671">
        <v>2.9427189999999999</v>
      </c>
      <c r="V5671">
        <v>-0.1381597</v>
      </c>
      <c r="W5671">
        <v>0.14926829999999999</v>
      </c>
      <c r="X5671">
        <v>0.97909690000000005</v>
      </c>
      <c r="Y5671">
        <v>-0.34747450000000002</v>
      </c>
      <c r="Z5671">
        <v>-2.5170060000000001E-2</v>
      </c>
      <c r="AA5671">
        <v>0.93735159999999995</v>
      </c>
      <c r="AB5671">
        <v>27</v>
      </c>
      <c r="AC5671">
        <v>-11.3018</v>
      </c>
      <c r="AD5671">
        <v>-1.1106836492950001</v>
      </c>
      <c r="AE5671">
        <v>31.837890000000002</v>
      </c>
      <c r="AF5671">
        <v>-11.812257180887199</v>
      </c>
      <c r="AG5671">
        <v>-1.1106836492950001</v>
      </c>
      <c r="AH5671">
        <v>31.613118495570401</v>
      </c>
      <c r="AI5671">
        <v>91.884993793037296</v>
      </c>
      <c r="AJ5671">
        <v>110.48822663222499</v>
      </c>
      <c r="AK5671">
        <v>33.766141308879398</v>
      </c>
      <c r="AL5671">
        <v>81.415473563024094</v>
      </c>
      <c r="AM5671">
        <v>98.031938542117501</v>
      </c>
      <c r="AN5671">
        <v>0.99999993383929198</v>
      </c>
    </row>
    <row r="5672" spans="1:40" x14ac:dyDescent="0.25">
      <c r="A5672" t="str">
        <f>"20190304155529227"</f>
        <v>20190304155529227</v>
      </c>
      <c r="B5672" t="str">
        <f>"1551686129223277"</f>
        <v>1551686129223277</v>
      </c>
      <c r="C5672" t="s">
        <v>40</v>
      </c>
      <c r="D5672">
        <v>4.308789</v>
      </c>
      <c r="E5672">
        <v>0.41153380000000001</v>
      </c>
      <c r="F5672" t="s">
        <v>46</v>
      </c>
      <c r="G5672">
        <v>-198.03659999999999</v>
      </c>
      <c r="H5672" s="1">
        <v>-4.517718E-6</v>
      </c>
      <c r="I5672">
        <v>16.073219999999999</v>
      </c>
      <c r="J5672">
        <v>-186.80080000000001</v>
      </c>
      <c r="K5672">
        <v>1.1106640000000001</v>
      </c>
      <c r="L5672">
        <v>-15.1485</v>
      </c>
      <c r="M5672">
        <v>1.496048E-2</v>
      </c>
      <c r="N5672">
        <v>-7.3446969999999999E-3</v>
      </c>
      <c r="O5672">
        <v>0.99986109999999995</v>
      </c>
      <c r="P5672">
        <v>-0.1242221</v>
      </c>
      <c r="Q5672">
        <v>0.1421944</v>
      </c>
      <c r="R5672">
        <v>0.98201300000000002</v>
      </c>
      <c r="S5672">
        <v>-1.0485990000000001</v>
      </c>
      <c r="T5672">
        <v>-0.1036816</v>
      </c>
      <c r="U5672">
        <v>2.9393009999999999</v>
      </c>
      <c r="V5672">
        <v>-0.1393152</v>
      </c>
      <c r="W5672">
        <v>0.14900189999999999</v>
      </c>
      <c r="X5672">
        <v>0.97897380000000001</v>
      </c>
      <c r="Y5672">
        <v>-0.3499005</v>
      </c>
      <c r="Z5672">
        <v>-2.575117E-2</v>
      </c>
      <c r="AA5672">
        <v>0.93643290000000001</v>
      </c>
      <c r="AB5672">
        <v>27</v>
      </c>
      <c r="AC5672">
        <v>-11.2357999999999</v>
      </c>
      <c r="AD5672">
        <v>-1.11066851771799</v>
      </c>
      <c r="AE5672">
        <v>31.221720000000001</v>
      </c>
      <c r="AF5672">
        <v>-11.688551361962499</v>
      </c>
      <c r="AG5672">
        <v>-1.11066851771799</v>
      </c>
      <c r="AH5672">
        <v>31.015379079066399</v>
      </c>
      <c r="AI5672">
        <v>91.919241251593505</v>
      </c>
      <c r="AJ5672">
        <v>110.649574047988</v>
      </c>
      <c r="AK5672">
        <v>33.163376741756601</v>
      </c>
      <c r="AL5672">
        <v>81.430910323389895</v>
      </c>
      <c r="AM5672">
        <v>98.099231068398794</v>
      </c>
      <c r="AN5672">
        <v>0.99999999612054402</v>
      </c>
    </row>
    <row r="5673" spans="1:40" x14ac:dyDescent="0.25">
      <c r="A5673" t="str">
        <f>"20190304155529248"</f>
        <v>20190304155529248</v>
      </c>
      <c r="B5673" t="str">
        <f>"1551686129243774"</f>
        <v>1551686129243774</v>
      </c>
      <c r="C5673" t="s">
        <v>40</v>
      </c>
      <c r="D5673">
        <v>4.2705769999999896</v>
      </c>
      <c r="E5673">
        <v>0.41006779999999998</v>
      </c>
      <c r="F5673" t="s">
        <v>46</v>
      </c>
      <c r="G5673">
        <v>-198.03659999999999</v>
      </c>
      <c r="H5673" s="1">
        <v>-4.4534719999999999E-6</v>
      </c>
      <c r="I5673">
        <v>15.884449999999999</v>
      </c>
      <c r="J5673">
        <v>-186.79839999999999</v>
      </c>
      <c r="K5673">
        <v>1.110646</v>
      </c>
      <c r="L5673">
        <v>-14.88226</v>
      </c>
      <c r="M5673">
        <v>1.345974E-2</v>
      </c>
      <c r="N5673">
        <v>-7.3471989999999996E-3</v>
      </c>
      <c r="O5673">
        <v>0.99988239999999995</v>
      </c>
      <c r="P5673">
        <v>-0.12636600000000001</v>
      </c>
      <c r="Q5673">
        <v>0.14223069999999999</v>
      </c>
      <c r="R5673">
        <v>0.9817342</v>
      </c>
      <c r="S5673">
        <v>-1.062897</v>
      </c>
      <c r="T5673">
        <v>-0.1050686</v>
      </c>
      <c r="U5673">
        <v>2.9356990000000001</v>
      </c>
      <c r="V5673">
        <v>-0.13997999999999999</v>
      </c>
      <c r="W5673">
        <v>0.14904200000000001</v>
      </c>
      <c r="X5673">
        <v>0.97887290000000005</v>
      </c>
      <c r="Y5673">
        <v>-0.35288969999999997</v>
      </c>
      <c r="Z5673">
        <v>-2.618645E-2</v>
      </c>
      <c r="AA5673">
        <v>0.93529839999999997</v>
      </c>
      <c r="AB5673">
        <v>28</v>
      </c>
      <c r="AC5673">
        <v>-11.238200000000001</v>
      </c>
      <c r="AD5673">
        <v>-1.1106504534720001</v>
      </c>
      <c r="AE5673">
        <v>30.7667099999999</v>
      </c>
      <c r="AF5673">
        <v>-11.6379244040234</v>
      </c>
      <c r="AG5673">
        <v>-1.1106504534720001</v>
      </c>
      <c r="AH5673">
        <v>30.577499218099302</v>
      </c>
      <c r="AI5673">
        <v>91.944263929354193</v>
      </c>
      <c r="AJ5673">
        <v>110.837034584487</v>
      </c>
      <c r="AK5673">
        <v>32.736192315179601</v>
      </c>
      <c r="AL5673">
        <v>81.428587164737095</v>
      </c>
      <c r="AM5673">
        <v>98.138191017367504</v>
      </c>
      <c r="AN5673">
        <v>1.0000000362592001</v>
      </c>
    </row>
    <row r="5674" spans="1:40" x14ac:dyDescent="0.25">
      <c r="A5674" t="str">
        <f>"20190304155529271"</f>
        <v>20190304155529271</v>
      </c>
      <c r="B5674" t="str">
        <f>"1551686129263293"</f>
        <v>1551686129263293</v>
      </c>
      <c r="C5674" t="s">
        <v>40</v>
      </c>
      <c r="D5674">
        <v>4.277539</v>
      </c>
      <c r="E5674">
        <v>0.40906169999999997</v>
      </c>
      <c r="F5674" t="s">
        <v>46</v>
      </c>
      <c r="G5674">
        <v>-198.38509999999999</v>
      </c>
      <c r="H5674" s="1">
        <v>-4.7441860000000003E-6</v>
      </c>
      <c r="I5674">
        <v>16.557079999999999</v>
      </c>
      <c r="J5674">
        <v>-186.7963</v>
      </c>
      <c r="K5674">
        <v>1.1106389999999999</v>
      </c>
      <c r="L5674">
        <v>-14.606540000000001</v>
      </c>
      <c r="M5674">
        <v>1.1930359999999999E-2</v>
      </c>
      <c r="N5674">
        <v>-7.3505009999999997E-3</v>
      </c>
      <c r="O5674">
        <v>0.99990179999999995</v>
      </c>
      <c r="P5674">
        <v>-0.12768460000000001</v>
      </c>
      <c r="Q5674">
        <v>0.14207790000000001</v>
      </c>
      <c r="R5674">
        <v>0.98158570000000001</v>
      </c>
      <c r="S5674">
        <v>-1.08046</v>
      </c>
      <c r="T5674">
        <v>-0.1035687</v>
      </c>
      <c r="U5674">
        <v>2.9317319999999998</v>
      </c>
      <c r="V5674">
        <v>-0.1397931</v>
      </c>
      <c r="W5674">
        <v>0.1488968</v>
      </c>
      <c r="X5674">
        <v>0.97892170000000001</v>
      </c>
      <c r="Y5674">
        <v>-0.35680770000000001</v>
      </c>
      <c r="Z5674">
        <v>-2.569109E-2</v>
      </c>
      <c r="AA5674">
        <v>0.93382449999999995</v>
      </c>
      <c r="AB5674">
        <v>28</v>
      </c>
      <c r="AC5674">
        <v>-11.5887999999999</v>
      </c>
      <c r="AD5674">
        <v>-1.110643744186</v>
      </c>
      <c r="AE5674">
        <v>31.163620000000002</v>
      </c>
      <c r="AF5674">
        <v>-11.946448116837599</v>
      </c>
      <c r="AG5674">
        <v>-1.110643744186</v>
      </c>
      <c r="AH5674">
        <v>30.988561412457699</v>
      </c>
      <c r="AI5674">
        <v>91.915341191874504</v>
      </c>
      <c r="AJ5674">
        <v>111.082226904713</v>
      </c>
      <c r="AK5674">
        <v>33.230138286628502</v>
      </c>
      <c r="AL5674">
        <v>81.437000345163497</v>
      </c>
      <c r="AM5674">
        <v>98.127070504099194</v>
      </c>
      <c r="AN5674">
        <v>1.00000003129436</v>
      </c>
    </row>
    <row r="5675" spans="1:40" x14ac:dyDescent="0.25">
      <c r="A5675" t="str">
        <f>"20190304155529293"</f>
        <v>20190304155529293</v>
      </c>
      <c r="B5675" t="str">
        <f>"1551686129283788"</f>
        <v>1551686129283788</v>
      </c>
      <c r="C5675" t="s">
        <v>40</v>
      </c>
      <c r="D5675">
        <v>4.2944459999999998</v>
      </c>
      <c r="E5675">
        <v>0.40725240000000001</v>
      </c>
      <c r="F5675" t="s">
        <v>46</v>
      </c>
      <c r="G5675">
        <v>-198.46940000000001</v>
      </c>
      <c r="H5675" s="1">
        <v>-4.8090330000000003E-6</v>
      </c>
      <c r="I5675">
        <v>16.703669999999999</v>
      </c>
      <c r="J5675">
        <v>-186.7946</v>
      </c>
      <c r="K5675">
        <v>1.110638</v>
      </c>
      <c r="L5675">
        <v>-14.326449999999999</v>
      </c>
      <c r="M5675">
        <v>1.039549E-2</v>
      </c>
      <c r="N5675">
        <v>-7.3545290000000003E-3</v>
      </c>
      <c r="O5675">
        <v>0.99991890000000005</v>
      </c>
      <c r="P5675">
        <v>-0.12875899999999901</v>
      </c>
      <c r="Q5675">
        <v>0.14235709999999999</v>
      </c>
      <c r="R5675">
        <v>0.98140490000000002</v>
      </c>
      <c r="S5675">
        <v>-1.092087</v>
      </c>
      <c r="T5675">
        <v>-0.1039075</v>
      </c>
      <c r="U5675">
        <v>2.9292600000000002</v>
      </c>
      <c r="V5675">
        <v>-0.13935939999999999</v>
      </c>
      <c r="W5675">
        <v>0.14918389999999901</v>
      </c>
      <c r="X5675">
        <v>0.97893980000000003</v>
      </c>
      <c r="Y5675">
        <v>-0.35888569999999997</v>
      </c>
      <c r="Z5675">
        <v>-2.578826E-2</v>
      </c>
      <c r="AA5675">
        <v>0.9330252</v>
      </c>
      <c r="AB5675">
        <v>28</v>
      </c>
      <c r="AC5675">
        <v>-11.674799999999999</v>
      </c>
      <c r="AD5675">
        <v>-1.1106428090330001</v>
      </c>
      <c r="AE5675">
        <v>31.03012</v>
      </c>
      <c r="AF5675">
        <v>-11.9833030605548</v>
      </c>
      <c r="AG5675">
        <v>-1.1106428090330001</v>
      </c>
      <c r="AH5675">
        <v>30.8724285056493</v>
      </c>
      <c r="AI5675">
        <v>91.920830786587004</v>
      </c>
      <c r="AJ5675">
        <v>111.213996666577</v>
      </c>
      <c r="AK5675">
        <v>33.135176497595197</v>
      </c>
      <c r="AL5675">
        <v>81.420364702754</v>
      </c>
      <c r="AM5675">
        <v>98.102044220149196</v>
      </c>
      <c r="AN5675">
        <v>1.0000000052058</v>
      </c>
    </row>
    <row r="5676" spans="1:40" x14ac:dyDescent="0.25">
      <c r="A5676" t="str">
        <f>"20190304155529315"</f>
        <v>20190304155529315</v>
      </c>
      <c r="B5676" t="str">
        <f>"1551686129303309"</f>
        <v>1551686129303309</v>
      </c>
      <c r="C5676" t="s">
        <v>40</v>
      </c>
      <c r="D5676">
        <v>4.2867860000000002</v>
      </c>
      <c r="E5676">
        <v>0.40693459999999998</v>
      </c>
      <c r="F5676" t="s">
        <v>46</v>
      </c>
      <c r="G5676">
        <v>-199.35169999999999</v>
      </c>
      <c r="H5676" s="1">
        <v>-5.6677669999999999E-6</v>
      </c>
      <c r="I5676">
        <v>18.767219999999998</v>
      </c>
      <c r="J5676">
        <v>-186.79339999999999</v>
      </c>
      <c r="K5676">
        <v>1.110635</v>
      </c>
      <c r="L5676">
        <v>-14.05228</v>
      </c>
      <c r="M5676">
        <v>8.9056450000000002E-3</v>
      </c>
      <c r="N5676">
        <v>-7.3591009999999998E-3</v>
      </c>
      <c r="O5676">
        <v>0.99993319999999997</v>
      </c>
      <c r="P5676">
        <v>-0.12936429999999999</v>
      </c>
      <c r="Q5676">
        <v>0.14316789999999999</v>
      </c>
      <c r="R5676">
        <v>0.9812073</v>
      </c>
      <c r="S5676">
        <v>-1.110031</v>
      </c>
      <c r="T5676">
        <v>-9.8179699999999995E-2</v>
      </c>
      <c r="U5676">
        <v>2.925446</v>
      </c>
      <c r="V5676">
        <v>-0.13850409999999999</v>
      </c>
      <c r="W5676">
        <v>0.15000189999999999</v>
      </c>
      <c r="X5676">
        <v>0.97893620000000003</v>
      </c>
      <c r="Y5676">
        <v>-0.36292099999999999</v>
      </c>
      <c r="Z5676">
        <v>-2.394042E-2</v>
      </c>
      <c r="AA5676">
        <v>0.93151229999999996</v>
      </c>
      <c r="AB5676">
        <v>28</v>
      </c>
      <c r="AC5676">
        <v>-12.558299999999999</v>
      </c>
      <c r="AD5676">
        <v>-1.110640667767</v>
      </c>
      <c r="AE5676">
        <v>32.819499999999998</v>
      </c>
      <c r="AF5676">
        <v>-12.8372650407343</v>
      </c>
      <c r="AG5676">
        <v>-1.110640667767</v>
      </c>
      <c r="AH5676">
        <v>32.673716528113403</v>
      </c>
      <c r="AI5676">
        <v>91.812096469023501</v>
      </c>
      <c r="AJ5676">
        <v>111.44950170187001</v>
      </c>
      <c r="AK5676">
        <v>35.1226514969823</v>
      </c>
      <c r="AL5676">
        <v>81.372963504773907</v>
      </c>
      <c r="AM5676">
        <v>98.053002470421802</v>
      </c>
      <c r="AN5676">
        <v>1.00000001969543</v>
      </c>
    </row>
    <row r="5677" spans="1:40" x14ac:dyDescent="0.25">
      <c r="A5677" t="str">
        <f>"20190304155529340"</f>
        <v>20190304155529340</v>
      </c>
      <c r="B5677" t="str">
        <f>"1551686129333564"</f>
        <v>1551686129333564</v>
      </c>
      <c r="C5677" t="s">
        <v>40</v>
      </c>
      <c r="D5677">
        <v>4.2969369999999998</v>
      </c>
      <c r="E5677">
        <v>0.4071361</v>
      </c>
      <c r="F5677" t="s">
        <v>46</v>
      </c>
      <c r="G5677">
        <v>-199.62270000000001</v>
      </c>
      <c r="H5677" s="1">
        <v>-6.0038159999999996E-6</v>
      </c>
      <c r="I5677">
        <v>19.61346</v>
      </c>
      <c r="J5677">
        <v>-186.79239999999999</v>
      </c>
      <c r="K5677">
        <v>1.1106320000000001</v>
      </c>
      <c r="L5677">
        <v>-13.74222</v>
      </c>
      <c r="M5677">
        <v>7.2292739999999999E-3</v>
      </c>
      <c r="N5677">
        <v>-7.3648799999999999E-3</v>
      </c>
      <c r="O5677">
        <v>0.99994680000000002</v>
      </c>
      <c r="P5677">
        <v>-0.13009599999999999</v>
      </c>
      <c r="Q5677">
        <v>0.143762</v>
      </c>
      <c r="R5677">
        <v>0.98102370000000005</v>
      </c>
      <c r="S5677">
        <v>-1.1145020000000001</v>
      </c>
      <c r="T5677">
        <v>-9.6482990000000005E-2</v>
      </c>
      <c r="U5677">
        <v>2.9245909999999999</v>
      </c>
      <c r="V5677">
        <v>-0.13759360000000001</v>
      </c>
      <c r="W5677">
        <v>0.15060390000000001</v>
      </c>
      <c r="X5677">
        <v>0.97897210000000001</v>
      </c>
      <c r="Y5677">
        <v>-0.36269849999999998</v>
      </c>
      <c r="Z5677">
        <v>-2.3398579999999999E-2</v>
      </c>
      <c r="AA5677">
        <v>0.93161269999999996</v>
      </c>
      <c r="AB5677">
        <v>28</v>
      </c>
      <c r="AC5677">
        <v>-12.830299999999999</v>
      </c>
      <c r="AD5677">
        <v>-1.110638003816</v>
      </c>
      <c r="AE5677">
        <v>33.35568</v>
      </c>
      <c r="AF5677">
        <v>-13.058496895533199</v>
      </c>
      <c r="AG5677">
        <v>-1.110638003816</v>
      </c>
      <c r="AH5677">
        <v>33.229959087645398</v>
      </c>
      <c r="AI5677">
        <v>91.781729861670001</v>
      </c>
      <c r="AJ5677">
        <v>111.45351684203099</v>
      </c>
      <c r="AK5677">
        <v>35.720974775511898</v>
      </c>
      <c r="AL5677">
        <v>81.338074531303107</v>
      </c>
      <c r="AM5677">
        <v>98.000461662803104</v>
      </c>
      <c r="AN5677">
        <v>0.99999995301728795</v>
      </c>
    </row>
    <row r="5678" spans="1:40" x14ac:dyDescent="0.25">
      <c r="A5678" t="str">
        <f>"20190304155529383"</f>
        <v>20190304155529383</v>
      </c>
      <c r="B5678" t="str">
        <f>"1551686129373581"</f>
        <v>1551686129373581</v>
      </c>
      <c r="C5678" t="s">
        <v>40</v>
      </c>
      <c r="D5678">
        <v>4.2644169999999999</v>
      </c>
      <c r="E5678">
        <v>0.40753010000000001</v>
      </c>
      <c r="F5678" t="s">
        <v>46</v>
      </c>
      <c r="G5678">
        <v>-199.6952</v>
      </c>
      <c r="H5678" s="1">
        <v>-2.7729799999999998E-6</v>
      </c>
      <c r="I5678">
        <v>20.081720000000001</v>
      </c>
      <c r="J5678">
        <v>-186.7919</v>
      </c>
      <c r="K5678">
        <v>1.1106210000000001</v>
      </c>
      <c r="L5678">
        <v>-13.20862</v>
      </c>
      <c r="M5678">
        <v>4.3527660000000001E-3</v>
      </c>
      <c r="N5678">
        <v>-7.3761109999999899E-3</v>
      </c>
      <c r="O5678">
        <v>0.9999633</v>
      </c>
      <c r="P5678">
        <v>-0.1331831</v>
      </c>
      <c r="Q5678">
        <v>0.1424723</v>
      </c>
      <c r="R5678">
        <v>0.98079760000000005</v>
      </c>
      <c r="S5678">
        <v>-1.1154790000000001</v>
      </c>
      <c r="T5678">
        <v>-9.6017119999999997E-2</v>
      </c>
      <c r="U5678">
        <v>2.9241640000000002</v>
      </c>
      <c r="V5678">
        <v>-0.13786019999999999</v>
      </c>
      <c r="W5678">
        <v>0.14932210000000001</v>
      </c>
      <c r="X5678">
        <v>0.97913099999999997</v>
      </c>
      <c r="Y5678">
        <v>-0.36033539999999997</v>
      </c>
      <c r="Z5678">
        <v>-2.326052E-2</v>
      </c>
      <c r="AA5678">
        <v>0.93253280000000005</v>
      </c>
      <c r="AB5678">
        <v>28</v>
      </c>
      <c r="AC5678">
        <v>-12.9033</v>
      </c>
      <c r="AD5678">
        <v>-1.1106237729799999</v>
      </c>
      <c r="AE5678">
        <v>33.29034</v>
      </c>
      <c r="AF5678">
        <v>-13.035473178409299</v>
      </c>
      <c r="AG5678">
        <v>-1.1106237729799999</v>
      </c>
      <c r="AH5678">
        <v>33.201730873063099</v>
      </c>
      <c r="AI5678">
        <v>91.783438808425103</v>
      </c>
      <c r="AJ5678">
        <v>111.435680052636</v>
      </c>
      <c r="AK5678">
        <v>35.686299599670598</v>
      </c>
      <c r="AL5678">
        <v>81.412356854712399</v>
      </c>
      <c r="AM5678">
        <v>98.014478041469502</v>
      </c>
      <c r="AN5678">
        <v>1.00000001972672</v>
      </c>
    </row>
    <row r="5679" spans="1:40" x14ac:dyDescent="0.25">
      <c r="A5679" t="str">
        <f>"20190304155529403"</f>
        <v>20190304155529403</v>
      </c>
      <c r="B5679" t="str">
        <f>"1551686129393101"</f>
        <v>1551686129393101</v>
      </c>
      <c r="C5679" t="s">
        <v>40</v>
      </c>
      <c r="D5679">
        <v>4.2577809999999996</v>
      </c>
      <c r="E5679">
        <v>0.40783720000000001</v>
      </c>
      <c r="F5679" t="s">
        <v>46</v>
      </c>
      <c r="G5679">
        <v>-198.71899999999999</v>
      </c>
      <c r="H5679" s="1">
        <v>-5.2618360000000003E-6</v>
      </c>
      <c r="I5679">
        <v>17.904150000000001</v>
      </c>
      <c r="J5679">
        <v>-186.79220000000001</v>
      </c>
      <c r="K5679">
        <v>1.1106210000000001</v>
      </c>
      <c r="L5679">
        <v>-12.94312</v>
      </c>
      <c r="M5679">
        <v>2.9202070000000002E-3</v>
      </c>
      <c r="N5679">
        <v>-7.3822059999999997E-3</v>
      </c>
      <c r="O5679">
        <v>0.99996850000000004</v>
      </c>
      <c r="P5679">
        <v>-0.13445079999999901</v>
      </c>
      <c r="Q5679">
        <v>0.14179820000000001</v>
      </c>
      <c r="R5679">
        <v>0.98072230000000005</v>
      </c>
      <c r="S5679">
        <v>-1.12007099999999</v>
      </c>
      <c r="T5679">
        <v>-0.1042984</v>
      </c>
      <c r="U5679">
        <v>2.921783</v>
      </c>
      <c r="V5679">
        <v>-0.1377234</v>
      </c>
      <c r="W5679">
        <v>0.14865349999999999</v>
      </c>
      <c r="X5679">
        <v>0.97925200000000001</v>
      </c>
      <c r="Y5679">
        <v>-0.36050389999999999</v>
      </c>
      <c r="Z5679">
        <v>-2.5911969999999999E-2</v>
      </c>
      <c r="AA5679">
        <v>0.9323977</v>
      </c>
      <c r="AB5679">
        <v>28</v>
      </c>
      <c r="AC5679">
        <v>-11.9268</v>
      </c>
      <c r="AD5679">
        <v>-1.1106262618360001</v>
      </c>
      <c r="AE5679">
        <v>30.847270000000002</v>
      </c>
      <c r="AF5679">
        <v>-12.0032957902412</v>
      </c>
      <c r="AG5679">
        <v>-1.1106262618360001</v>
      </c>
      <c r="AH5679">
        <v>30.777600625560599</v>
      </c>
      <c r="AI5679">
        <v>91.925515554391396</v>
      </c>
      <c r="AJ5679">
        <v>111.305834591462</v>
      </c>
      <c r="AK5679">
        <v>33.054096581029299</v>
      </c>
      <c r="AL5679">
        <v>81.451097356221496</v>
      </c>
      <c r="AM5679">
        <v>98.005651877510601</v>
      </c>
      <c r="AN5679">
        <v>1.0000000387368999</v>
      </c>
    </row>
    <row r="5680" spans="1:40" x14ac:dyDescent="0.25">
      <c r="A5680" t="str">
        <f>"20190304155529428"</f>
        <v>20190304155529428</v>
      </c>
      <c r="B5680" t="str">
        <f>"1551686129423357"</f>
        <v>1551686129423357</v>
      </c>
      <c r="C5680" t="s">
        <v>40</v>
      </c>
      <c r="D5680">
        <v>4.0955700000000004</v>
      </c>
      <c r="E5680">
        <v>0.40757850000000001</v>
      </c>
      <c r="F5680" t="s">
        <v>46</v>
      </c>
      <c r="G5680">
        <v>-198.4085</v>
      </c>
      <c r="H5680" s="1">
        <v>-5.0016139999999996E-6</v>
      </c>
      <c r="I5680">
        <v>17.301310000000001</v>
      </c>
      <c r="J5680">
        <v>-186.79310000000001</v>
      </c>
      <c r="K5680">
        <v>1.1106240000000001</v>
      </c>
      <c r="L5680">
        <v>-12.638059999999999</v>
      </c>
      <c r="M5680">
        <v>1.2726359999999999E-3</v>
      </c>
      <c r="N5680">
        <v>-7.3894829999999996E-3</v>
      </c>
      <c r="O5680">
        <v>0.99997190000000002</v>
      </c>
      <c r="P5680">
        <v>-0.13590089999999999</v>
      </c>
      <c r="Q5680">
        <v>0.14129459999999999</v>
      </c>
      <c r="R5680">
        <v>0.98059510000000005</v>
      </c>
      <c r="S5680">
        <v>-1.12178</v>
      </c>
      <c r="T5680">
        <v>-0.1072525</v>
      </c>
      <c r="U5680">
        <v>2.9206850000000002</v>
      </c>
      <c r="V5680">
        <v>-0.13755919999999999</v>
      </c>
      <c r="W5680">
        <v>0.14815599999999901</v>
      </c>
      <c r="X5680">
        <v>0.97935039999999995</v>
      </c>
      <c r="Y5680">
        <v>-0.35954960000000002</v>
      </c>
      <c r="Z5680">
        <v>-2.6864300000000001E-2</v>
      </c>
      <c r="AA5680">
        <v>0.93273919999999999</v>
      </c>
      <c r="AB5680">
        <v>28</v>
      </c>
      <c r="AC5680">
        <v>-11.6153999999999</v>
      </c>
      <c r="AD5680">
        <v>-1.1106290016139999</v>
      </c>
      <c r="AE5680">
        <v>29.93937</v>
      </c>
      <c r="AF5680">
        <v>-11.6395717017805</v>
      </c>
      <c r="AG5680">
        <v>-1.1106290016139999</v>
      </c>
      <c r="AH5680">
        <v>29.888813780904901</v>
      </c>
      <c r="AI5680">
        <v>91.983116809968806</v>
      </c>
      <c r="AJ5680">
        <v>111.277382783142</v>
      </c>
      <c r="AK5680">
        <v>32.094459263395102</v>
      </c>
      <c r="AL5680">
        <v>81.479920589627298</v>
      </c>
      <c r="AM5680">
        <v>97.995437677756996</v>
      </c>
      <c r="AN5680">
        <v>0.99999996991039897</v>
      </c>
    </row>
    <row r="5681" spans="1:40" x14ac:dyDescent="0.25">
      <c r="A5681" t="str">
        <f>"20190304155529448"</f>
        <v>20190304155529448</v>
      </c>
      <c r="B5681" t="str">
        <f>"1551686129443853"</f>
        <v>1551686129443853</v>
      </c>
      <c r="C5681" t="s">
        <v>40</v>
      </c>
      <c r="D5681">
        <v>4.2535189999999998</v>
      </c>
      <c r="E5681">
        <v>0.40765010000000002</v>
      </c>
      <c r="F5681" t="s">
        <v>46</v>
      </c>
      <c r="G5681">
        <v>-198.36600000000001</v>
      </c>
      <c r="H5681" s="1">
        <v>-4.9913010000000002E-6</v>
      </c>
      <c r="I5681">
        <v>17.293199999999999</v>
      </c>
      <c r="J5681">
        <v>-186.79429999999999</v>
      </c>
      <c r="K5681">
        <v>1.110635</v>
      </c>
      <c r="L5681">
        <v>-12.36673</v>
      </c>
      <c r="M5681">
        <v>-1.9415630000000001E-4</v>
      </c>
      <c r="N5681">
        <v>-7.3962430000000003E-3</v>
      </c>
      <c r="O5681">
        <v>0.99997259999999999</v>
      </c>
      <c r="P5681">
        <v>-0.13724169999999999</v>
      </c>
      <c r="Q5681">
        <v>0.14155379999999901</v>
      </c>
      <c r="R5681">
        <v>0.98037099999999999</v>
      </c>
      <c r="S5681">
        <v>-1.1284639999999999</v>
      </c>
      <c r="T5681">
        <v>-0.1082968</v>
      </c>
      <c r="U5681">
        <v>2.9185789999999998</v>
      </c>
      <c r="V5681">
        <v>-0.13746449999999999</v>
      </c>
      <c r="W5681">
        <v>0.1484201</v>
      </c>
      <c r="X5681">
        <v>0.97932370000000002</v>
      </c>
      <c r="Y5681">
        <v>-0.36026180000000002</v>
      </c>
      <c r="Z5681">
        <v>-2.719736E-2</v>
      </c>
      <c r="AA5681">
        <v>0.93245469999999997</v>
      </c>
      <c r="AB5681">
        <v>28</v>
      </c>
      <c r="AC5681">
        <v>-11.5716999999999</v>
      </c>
      <c r="AD5681">
        <v>-1.1106399913009899</v>
      </c>
      <c r="AE5681">
        <v>29.659929999999999</v>
      </c>
      <c r="AF5681">
        <v>-11.5518828800738</v>
      </c>
      <c r="AG5681">
        <v>-1.1106399913009899</v>
      </c>
      <c r="AH5681">
        <v>29.6261226648014</v>
      </c>
      <c r="AI5681">
        <v>92.000372908742193</v>
      </c>
      <c r="AJ5681">
        <v>111.301914318583</v>
      </c>
      <c r="AK5681">
        <v>31.8180241909375</v>
      </c>
      <c r="AL5681">
        <v>81.464619542297697</v>
      </c>
      <c r="AM5681">
        <v>97.9902195033103</v>
      </c>
      <c r="AN5681">
        <v>0.99999996211297404</v>
      </c>
    </row>
    <row r="5682" spans="1:40" x14ac:dyDescent="0.25">
      <c r="A5682" t="str">
        <f>"20190304155529472"</f>
        <v>20190304155529472</v>
      </c>
      <c r="B5682" t="str">
        <f>"1551686129463372"</f>
        <v>1551686129463372</v>
      </c>
      <c r="C5682" t="s">
        <v>40</v>
      </c>
      <c r="D5682">
        <v>4.3789410000000002</v>
      </c>
      <c r="E5682">
        <v>0.40802060000000001</v>
      </c>
      <c r="F5682" t="s">
        <v>46</v>
      </c>
      <c r="G5682">
        <v>-198.63399999999999</v>
      </c>
      <c r="H5682" s="1">
        <v>-5.3260969999999998E-6</v>
      </c>
      <c r="I5682">
        <v>18.137309999999999</v>
      </c>
      <c r="J5682">
        <v>-186.79599999999999</v>
      </c>
      <c r="K5682">
        <v>1.1106400000000001</v>
      </c>
      <c r="L5682">
        <v>-12.07138</v>
      </c>
      <c r="M5682">
        <v>-1.791104E-3</v>
      </c>
      <c r="N5682">
        <v>-7.4038680000000001E-3</v>
      </c>
      <c r="O5682">
        <v>0.99997100000000005</v>
      </c>
      <c r="P5682">
        <v>-0.13882159999999999</v>
      </c>
      <c r="Q5682">
        <v>0.1409078</v>
      </c>
      <c r="R5682">
        <v>0.98024160000000005</v>
      </c>
      <c r="S5682">
        <v>-1.1321559999999999</v>
      </c>
      <c r="T5682">
        <v>-0.1062032</v>
      </c>
      <c r="U5682">
        <v>2.9169010000000002</v>
      </c>
      <c r="V5682">
        <v>-0.1374792</v>
      </c>
      <c r="W5682">
        <v>0.14777960000000001</v>
      </c>
      <c r="X5682">
        <v>0.97941849999999997</v>
      </c>
      <c r="Y5682">
        <v>-0.35998619999999998</v>
      </c>
      <c r="Z5682">
        <v>-2.653643E-2</v>
      </c>
      <c r="AA5682">
        <v>0.93258019999999997</v>
      </c>
      <c r="AB5682">
        <v>28</v>
      </c>
      <c r="AC5682">
        <v>-11.837999999999999</v>
      </c>
      <c r="AD5682">
        <v>-1.110645326097</v>
      </c>
      <c r="AE5682">
        <v>30.208690000000001</v>
      </c>
      <c r="AF5682">
        <v>-11.770080716695301</v>
      </c>
      <c r="AG5682">
        <v>-1.110645326097</v>
      </c>
      <c r="AH5682">
        <v>30.194464043406299</v>
      </c>
      <c r="AI5682">
        <v>91.962834622764802</v>
      </c>
      <c r="AJ5682">
        <v>111.29629560468101</v>
      </c>
      <c r="AK5682">
        <v>32.426439705685603</v>
      </c>
      <c r="AL5682">
        <v>81.501726755681801</v>
      </c>
      <c r="AM5682">
        <v>97.990299432173899</v>
      </c>
      <c r="AN5682">
        <v>0.99999996937552404</v>
      </c>
    </row>
    <row r="5683" spans="1:40" x14ac:dyDescent="0.25">
      <c r="A5683" t="str">
        <f>"20190304155529515"</f>
        <v>20190304155529515</v>
      </c>
      <c r="B5683" t="str">
        <f>"1551686129503389"</f>
        <v>1551686129503389</v>
      </c>
      <c r="C5683" t="s">
        <v>40</v>
      </c>
      <c r="D5683">
        <v>4.2489339999999904</v>
      </c>
      <c r="E5683">
        <v>0.40780870000000002</v>
      </c>
      <c r="F5683" t="s">
        <v>46</v>
      </c>
      <c r="G5683">
        <v>-198.57810000000001</v>
      </c>
      <c r="H5683" s="1">
        <v>-5.3396679999999998E-6</v>
      </c>
      <c r="I5683">
        <v>18.206330000000001</v>
      </c>
      <c r="J5683">
        <v>-186.8004</v>
      </c>
      <c r="K5683">
        <v>1.1106480000000001</v>
      </c>
      <c r="L5683">
        <v>-11.520810000000001</v>
      </c>
      <c r="M5683">
        <v>-4.7679139999999998E-3</v>
      </c>
      <c r="N5683">
        <v>-7.4185780000000003E-3</v>
      </c>
      <c r="O5683">
        <v>0.99996110000000005</v>
      </c>
      <c r="P5683">
        <v>-0.14204939999999999</v>
      </c>
      <c r="Q5683">
        <v>0.14099249999999999</v>
      </c>
      <c r="R5683">
        <v>0.97976680000000005</v>
      </c>
      <c r="S5683">
        <v>-1.1343989999999999</v>
      </c>
      <c r="T5683">
        <v>-0.1069349</v>
      </c>
      <c r="U5683">
        <v>2.9151919999999998</v>
      </c>
      <c r="V5683">
        <v>-0.1377949</v>
      </c>
      <c r="W5683">
        <v>0.147873</v>
      </c>
      <c r="X5683">
        <v>0.97936000000000001</v>
      </c>
      <c r="Y5683">
        <v>-0.35801349999999998</v>
      </c>
      <c r="Z5683">
        <v>-2.6786399999999998E-2</v>
      </c>
      <c r="AA5683">
        <v>0.9333321</v>
      </c>
      <c r="AB5683">
        <v>28</v>
      </c>
      <c r="AC5683">
        <v>-11.777699999999999</v>
      </c>
      <c r="AD5683">
        <v>-1.1106533396679901</v>
      </c>
      <c r="AE5683">
        <v>29.727139999999999</v>
      </c>
      <c r="AF5683">
        <v>-11.621804011724301</v>
      </c>
      <c r="AG5683">
        <v>-1.1106533396679901</v>
      </c>
      <c r="AH5683">
        <v>29.7470687191738</v>
      </c>
      <c r="AI5683">
        <v>91.991754405291701</v>
      </c>
      <c r="AJ5683">
        <v>111.33995962091799</v>
      </c>
      <c r="AK5683">
        <v>31.956031929998701</v>
      </c>
      <c r="AL5683">
        <v>81.496315580059104</v>
      </c>
      <c r="AM5683">
        <v>98.008882315846606</v>
      </c>
      <c r="AN5683">
        <v>0.99999993409750199</v>
      </c>
    </row>
    <row r="5684" spans="1:40" x14ac:dyDescent="0.25">
      <c r="A5684" t="str">
        <f>"20190304155529542"</f>
        <v>20190304155529542</v>
      </c>
      <c r="B5684" t="str">
        <f>"1551686129533645"</f>
        <v>1551686129533645</v>
      </c>
      <c r="C5684" t="s">
        <v>40</v>
      </c>
      <c r="D5684">
        <v>4.3634599999999999</v>
      </c>
      <c r="E5684">
        <v>0.40855979999999997</v>
      </c>
      <c r="F5684" t="s">
        <v>46</v>
      </c>
      <c r="G5684">
        <v>-198.88470000000001</v>
      </c>
      <c r="H5684" s="1">
        <v>-5.7208070000000003E-6</v>
      </c>
      <c r="I5684">
        <v>19.16648</v>
      </c>
      <c r="J5684">
        <v>-186.8039</v>
      </c>
      <c r="K5684">
        <v>1.110654</v>
      </c>
      <c r="L5684">
        <v>-11.18399</v>
      </c>
      <c r="M5684">
        <v>-6.5880050000000001E-3</v>
      </c>
      <c r="N5684">
        <v>-7.4278069999999998E-3</v>
      </c>
      <c r="O5684">
        <v>0.99995069999999997</v>
      </c>
      <c r="P5684">
        <v>-0.1443856</v>
      </c>
      <c r="Q5684">
        <v>0.14127129999999999</v>
      </c>
      <c r="R5684">
        <v>0.97938510000000001</v>
      </c>
      <c r="S5684">
        <v>-1.1462859999999999</v>
      </c>
      <c r="T5684">
        <v>-0.1053538</v>
      </c>
      <c r="U5684">
        <v>2.9109189999999998</v>
      </c>
      <c r="V5684">
        <v>-0.13835259999999999</v>
      </c>
      <c r="W5684">
        <v>0.14815599999999901</v>
      </c>
      <c r="X5684">
        <v>0.97923870000000002</v>
      </c>
      <c r="Y5684">
        <v>-0.3600855</v>
      </c>
      <c r="Z5684">
        <v>-2.6282139999999999E-2</v>
      </c>
      <c r="AA5684">
        <v>0.93254910000000002</v>
      </c>
      <c r="AB5684">
        <v>29</v>
      </c>
      <c r="AC5684">
        <v>-12.0808</v>
      </c>
      <c r="AD5684">
        <v>-1.1106597208069999</v>
      </c>
      <c r="AE5684">
        <v>30.350470000000001</v>
      </c>
      <c r="AF5684">
        <v>-11.8668651428386</v>
      </c>
      <c r="AG5684">
        <v>-1.1106597208069999</v>
      </c>
      <c r="AH5684">
        <v>30.394266086466299</v>
      </c>
      <c r="AI5684">
        <v>91.949556643317607</v>
      </c>
      <c r="AJ5684">
        <v>111.32721716699599</v>
      </c>
      <c r="AK5684">
        <v>32.647625706453098</v>
      </c>
      <c r="AL5684">
        <v>81.479921164802093</v>
      </c>
      <c r="AM5684">
        <v>98.041856732602895</v>
      </c>
      <c r="AN5684">
        <v>1.00000003692022</v>
      </c>
    </row>
    <row r="5685" spans="1:40" x14ac:dyDescent="0.25">
      <c r="A5685" t="str">
        <f>"20190304155529584"</f>
        <v>20190304155529584</v>
      </c>
      <c r="B5685" t="str">
        <f>"1551686129573661"</f>
        <v>1551686129573661</v>
      </c>
      <c r="C5685" t="s">
        <v>40</v>
      </c>
      <c r="D5685">
        <v>4.371397</v>
      </c>
      <c r="E5685">
        <v>0.40935529999999998</v>
      </c>
      <c r="F5685" t="s">
        <v>46</v>
      </c>
      <c r="G5685">
        <v>-199.07990000000001</v>
      </c>
      <c r="H5685" s="1">
        <v>-2.5640619999999999E-6</v>
      </c>
      <c r="I5685">
        <v>19.9344</v>
      </c>
      <c r="J5685">
        <v>-186.8109</v>
      </c>
      <c r="K5685">
        <v>1.110663</v>
      </c>
      <c r="L5685">
        <v>-10.643370000000001</v>
      </c>
      <c r="M5685">
        <v>-9.5071640000000002E-3</v>
      </c>
      <c r="N5685">
        <v>-7.4425450000000001E-3</v>
      </c>
      <c r="O5685">
        <v>0.99992709999999996</v>
      </c>
      <c r="P5685">
        <v>-0.147563</v>
      </c>
      <c r="Q5685">
        <v>0.14122470000000001</v>
      </c>
      <c r="R5685">
        <v>0.97891810000000001</v>
      </c>
      <c r="S5685">
        <v>-1.1475519999999999</v>
      </c>
      <c r="T5685">
        <v>-0.10382379999999999</v>
      </c>
      <c r="U5685">
        <v>2.9089360000000002</v>
      </c>
      <c r="V5685">
        <v>-0.13867599999999999</v>
      </c>
      <c r="W5685">
        <v>0.14811830000000001</v>
      </c>
      <c r="X5685">
        <v>0.97919860000000003</v>
      </c>
      <c r="Y5685">
        <v>-0.35793459999999899</v>
      </c>
      <c r="Z5685">
        <v>-2.5814150000000001E-2</v>
      </c>
      <c r="AA5685">
        <v>0.93338980000000005</v>
      </c>
      <c r="AB5685">
        <v>29</v>
      </c>
      <c r="AC5685">
        <v>-12.269</v>
      </c>
      <c r="AD5685">
        <v>-1.110665564062</v>
      </c>
      <c r="AE5685">
        <v>30.577770000000001</v>
      </c>
      <c r="AF5685">
        <v>-11.964133694302999</v>
      </c>
      <c r="AG5685">
        <v>-1.110665564062</v>
      </c>
      <c r="AH5685">
        <v>30.658195107056901</v>
      </c>
      <c r="AI5685">
        <v>91.932919611739095</v>
      </c>
      <c r="AJ5685">
        <v>111.317847391166</v>
      </c>
      <c r="AK5685">
        <v>32.928695696500398</v>
      </c>
      <c r="AL5685">
        <v>81.482104833893302</v>
      </c>
      <c r="AM5685">
        <v>98.060733611471804</v>
      </c>
      <c r="AN5685">
        <v>0.99999998100642395</v>
      </c>
    </row>
    <row r="5686" spans="1:40" x14ac:dyDescent="0.25">
      <c r="A5686" t="str">
        <f>"20190304155529606"</f>
        <v>20190304155529606</v>
      </c>
      <c r="B5686" t="str">
        <f>"1551686129602941"</f>
        <v>1551686129602941</v>
      </c>
      <c r="C5686" t="s">
        <v>40</v>
      </c>
      <c r="D5686">
        <v>4.4669100000000004</v>
      </c>
      <c r="E5686">
        <v>0.41008719999999999</v>
      </c>
      <c r="F5686" t="s">
        <v>46</v>
      </c>
      <c r="G5686">
        <v>-199.16329999999999</v>
      </c>
      <c r="H5686" s="1">
        <v>-2.8366410000000002E-6</v>
      </c>
      <c r="I5686">
        <v>20.546009999999999</v>
      </c>
      <c r="J5686">
        <v>-186.81540000000001</v>
      </c>
      <c r="K5686">
        <v>1.11067</v>
      </c>
      <c r="L5686">
        <v>-10.34488</v>
      </c>
      <c r="M5686">
        <v>-1.1117810000000001E-2</v>
      </c>
      <c r="N5686">
        <v>-7.4507879999999999E-3</v>
      </c>
      <c r="O5686">
        <v>0.99991039999999998</v>
      </c>
      <c r="P5686">
        <v>-0.14909610000000001</v>
      </c>
      <c r="Q5686">
        <v>0.14169519999999999</v>
      </c>
      <c r="R5686">
        <v>0.97861779999999998</v>
      </c>
      <c r="S5686">
        <v>-1.150925</v>
      </c>
      <c r="T5686">
        <v>-0.1034851</v>
      </c>
      <c r="U5686">
        <v>2.9060359999999998</v>
      </c>
      <c r="V5686">
        <v>-0.1386375</v>
      </c>
      <c r="W5686">
        <v>0.14859449999999999</v>
      </c>
      <c r="X5686">
        <v>0.97913190000000005</v>
      </c>
      <c r="Y5686">
        <v>-0.35768610000000001</v>
      </c>
      <c r="Z5686">
        <v>-2.572462E-2</v>
      </c>
      <c r="AA5686">
        <v>0.93348750000000003</v>
      </c>
      <c r="AB5686">
        <v>29</v>
      </c>
      <c r="AC5686">
        <v>-12.3478999999999</v>
      </c>
      <c r="AD5686">
        <v>-1.1106728366409999</v>
      </c>
      <c r="AE5686">
        <v>30.890889999999999</v>
      </c>
      <c r="AF5686">
        <v>-11.9903232881972</v>
      </c>
      <c r="AG5686">
        <v>-1.1106728366409999</v>
      </c>
      <c r="AH5686">
        <v>30.991721434478499</v>
      </c>
      <c r="AI5686">
        <v>91.914311119403393</v>
      </c>
      <c r="AJ5686">
        <v>111.150853089417</v>
      </c>
      <c r="AK5686">
        <v>33.248883352345104</v>
      </c>
      <c r="AL5686">
        <v>81.454515264641699</v>
      </c>
      <c r="AM5686">
        <v>98.059066893669694</v>
      </c>
      <c r="AN5686">
        <v>0.99999997971705401</v>
      </c>
    </row>
    <row r="5687" spans="1:40" x14ac:dyDescent="0.25">
      <c r="A5687" t="str">
        <f>"20190304155529628"</f>
        <v>20190304155529628</v>
      </c>
      <c r="B5687" t="str">
        <f>"1551686129623437"</f>
        <v>1551686129623437</v>
      </c>
      <c r="C5687" t="s">
        <v>40</v>
      </c>
      <c r="D5687">
        <v>4.4874619999999998</v>
      </c>
      <c r="E5687">
        <v>0.41051209999999999</v>
      </c>
      <c r="F5687" t="s">
        <v>46</v>
      </c>
      <c r="G5687">
        <v>-199.3237</v>
      </c>
      <c r="H5687" s="1">
        <v>-3.1073260000000002E-6</v>
      </c>
      <c r="I5687">
        <v>21.257809999999999</v>
      </c>
      <c r="J5687">
        <v>-186.8202</v>
      </c>
      <c r="K5687">
        <v>1.110676</v>
      </c>
      <c r="L5687">
        <v>-10.05804</v>
      </c>
      <c r="M5687">
        <v>-1.266511E-2</v>
      </c>
      <c r="N5687">
        <v>-7.4588319999999899E-3</v>
      </c>
      <c r="O5687">
        <v>0.999892</v>
      </c>
      <c r="P5687">
        <v>-0.15092729999999999</v>
      </c>
      <c r="Q5687">
        <v>0.14187569999999999</v>
      </c>
      <c r="R5687">
        <v>0.97831089999999998</v>
      </c>
      <c r="S5687">
        <v>-1.1498569999999999</v>
      </c>
      <c r="T5687">
        <v>-0.1021012</v>
      </c>
      <c r="U5687">
        <v>2.905151</v>
      </c>
      <c r="V5687">
        <v>-0.13895759999999999</v>
      </c>
      <c r="W5687">
        <v>0.14877889999999999</v>
      </c>
      <c r="X5687">
        <v>0.9790586</v>
      </c>
      <c r="Y5687">
        <v>-0.35604599999999997</v>
      </c>
      <c r="Z5687">
        <v>-2.5296849999999999E-2</v>
      </c>
      <c r="AA5687">
        <v>0.93412600000000001</v>
      </c>
      <c r="AB5687">
        <v>29</v>
      </c>
      <c r="AC5687">
        <v>-12.503500000000001</v>
      </c>
      <c r="AD5687">
        <v>-1.1106791073260001</v>
      </c>
      <c r="AE5687">
        <v>31.315850000000001</v>
      </c>
      <c r="AF5687">
        <v>-12.0927473761086</v>
      </c>
      <c r="AG5687">
        <v>-1.1106791073260001</v>
      </c>
      <c r="AH5687">
        <v>31.4375925861744</v>
      </c>
      <c r="AI5687">
        <v>91.888603501405996</v>
      </c>
      <c r="AJ5687">
        <v>111.03967912583001</v>
      </c>
      <c r="AK5687">
        <v>33.701489207394403</v>
      </c>
      <c r="AL5687">
        <v>81.443831845047001</v>
      </c>
      <c r="AM5687">
        <v>98.078025932082596</v>
      </c>
      <c r="AN5687">
        <v>1.0000000589584599</v>
      </c>
    </row>
    <row r="5688" spans="1:40" x14ac:dyDescent="0.25">
      <c r="A5688" t="str">
        <f>"20190304155529673"</f>
        <v>20190304155529673</v>
      </c>
      <c r="B5688" t="str">
        <f>"1551686129663453"</f>
        <v>1551686129663453</v>
      </c>
      <c r="C5688" t="s">
        <v>40</v>
      </c>
      <c r="D5688">
        <v>4.4292480000000003</v>
      </c>
      <c r="E5688">
        <v>0.41148509999999999</v>
      </c>
      <c r="F5688" t="s">
        <v>46</v>
      </c>
      <c r="G5688">
        <v>-199.47730000000001</v>
      </c>
      <c r="H5688" s="1">
        <v>-3.328109E-6</v>
      </c>
      <c r="I5688">
        <v>21.826550000000001</v>
      </c>
      <c r="J5688">
        <v>-186.83109999999999</v>
      </c>
      <c r="K5688">
        <v>1.1106940000000001</v>
      </c>
      <c r="L5688">
        <v>-9.4827580000000005</v>
      </c>
      <c r="M5688">
        <v>-1.576613E-2</v>
      </c>
      <c r="N5688">
        <v>-7.4751959999999999E-3</v>
      </c>
      <c r="O5688">
        <v>0.99984779999999995</v>
      </c>
      <c r="P5688">
        <v>-0.1539856</v>
      </c>
      <c r="Q5688">
        <v>0.14161989999999999</v>
      </c>
      <c r="R5688">
        <v>0.9778713</v>
      </c>
      <c r="S5688">
        <v>-1.152542</v>
      </c>
      <c r="T5688">
        <v>-0.1011374</v>
      </c>
      <c r="U5688">
        <v>2.903381</v>
      </c>
      <c r="V5688">
        <v>-0.13898659999999999</v>
      </c>
      <c r="W5688">
        <v>0.14853459999999999</v>
      </c>
      <c r="X5688">
        <v>0.9790915</v>
      </c>
      <c r="Y5688">
        <v>-0.35409210000000002</v>
      </c>
      <c r="Z5688">
        <v>-2.4999549999999999E-2</v>
      </c>
      <c r="AA5688">
        <v>0.93487640000000005</v>
      </c>
      <c r="AB5688">
        <v>29</v>
      </c>
      <c r="AC5688">
        <v>-12.6462</v>
      </c>
      <c r="AD5688">
        <v>-1.110697328109</v>
      </c>
      <c r="AE5688">
        <v>31.309308000000001</v>
      </c>
      <c r="AF5688">
        <v>-12.137855022153699</v>
      </c>
      <c r="AG5688">
        <v>-1.110697328109</v>
      </c>
      <c r="AH5688">
        <v>31.470753386800499</v>
      </c>
      <c r="AI5688">
        <v>91.885995900410194</v>
      </c>
      <c r="AJ5688">
        <v>111.090969983543</v>
      </c>
      <c r="AK5688">
        <v>33.748622073001897</v>
      </c>
      <c r="AL5688">
        <v>81.457985831162503</v>
      </c>
      <c r="AM5688">
        <v>98.079421617499094</v>
      </c>
      <c r="AN5688">
        <v>0.99999998387448397</v>
      </c>
    </row>
    <row r="5689" spans="1:40" x14ac:dyDescent="0.25">
      <c r="A5689" t="str">
        <f>"20190304155529695"</f>
        <v>20190304155529695</v>
      </c>
      <c r="B5689" t="str">
        <f>"1551686129683949"</f>
        <v>1551686129683949</v>
      </c>
      <c r="C5689" t="s">
        <v>40</v>
      </c>
      <c r="D5689">
        <v>4.5137999999999998</v>
      </c>
      <c r="E5689">
        <v>0.41135240000000001</v>
      </c>
      <c r="F5689" t="s">
        <v>46</v>
      </c>
      <c r="G5689">
        <v>-199.30699999999999</v>
      </c>
      <c r="H5689" s="1">
        <v>-3.3136310000000001E-6</v>
      </c>
      <c r="I5689">
        <v>21.872769999999999</v>
      </c>
      <c r="J5689">
        <v>-186.8374</v>
      </c>
      <c r="K5689">
        <v>1.1107039999999999</v>
      </c>
      <c r="L5689">
        <v>-9.1869200000000006</v>
      </c>
      <c r="M5689">
        <v>-1.7359639999999999E-2</v>
      </c>
      <c r="N5689">
        <v>-7.4837409999999899E-3</v>
      </c>
      <c r="O5689">
        <v>0.99982130000000002</v>
      </c>
      <c r="P5689">
        <v>-0.155054</v>
      </c>
      <c r="Q5689">
        <v>0.1416511</v>
      </c>
      <c r="R5689">
        <v>0.97769790000000001</v>
      </c>
      <c r="S5689">
        <v>-1.154266</v>
      </c>
      <c r="T5689">
        <v>-0.1027613</v>
      </c>
      <c r="U5689">
        <v>2.9010009999999999</v>
      </c>
      <c r="V5689">
        <v>-0.13849739999999999</v>
      </c>
      <c r="W5689">
        <v>0.14857419999999999</v>
      </c>
      <c r="X5689">
        <v>0.97915479999999999</v>
      </c>
      <c r="Y5689">
        <v>-0.35333870000000001</v>
      </c>
      <c r="Z5689">
        <v>-2.5539019999999999E-2</v>
      </c>
      <c r="AA5689">
        <v>0.93514679999999994</v>
      </c>
      <c r="AB5689">
        <v>29</v>
      </c>
      <c r="AC5689">
        <v>-12.4696</v>
      </c>
      <c r="AD5689">
        <v>-1.1107073136309999</v>
      </c>
      <c r="AE5689">
        <v>31.05969</v>
      </c>
      <c r="AF5689">
        <v>-11.915398289399199</v>
      </c>
      <c r="AG5689">
        <v>-1.1107073136309999</v>
      </c>
      <c r="AH5689">
        <v>31.237081796077401</v>
      </c>
      <c r="AI5689">
        <v>91.902802520553493</v>
      </c>
      <c r="AJ5689">
        <v>110.879373571081</v>
      </c>
      <c r="AK5689">
        <v>33.450944176008001</v>
      </c>
      <c r="AL5689">
        <v>81.455691362873793</v>
      </c>
      <c r="AM5689">
        <v>98.050843819758697</v>
      </c>
      <c r="AN5689">
        <v>0.999999972537719</v>
      </c>
    </row>
    <row r="5690" spans="1:40" x14ac:dyDescent="0.25">
      <c r="A5690" t="str">
        <f>"20190304155529717"</f>
        <v>20190304155529717</v>
      </c>
      <c r="B5690" t="str">
        <f>"1551686129713229"</f>
        <v>1551686129713229</v>
      </c>
      <c r="C5690" t="s">
        <v>40</v>
      </c>
      <c r="D5690">
        <v>4.5314560000000004</v>
      </c>
      <c r="E5690">
        <v>0.41215869999999999</v>
      </c>
      <c r="F5690" t="s">
        <v>46</v>
      </c>
      <c r="G5690">
        <v>-199.4178</v>
      </c>
      <c r="H5690" s="1">
        <v>-3.4774459999999999E-6</v>
      </c>
      <c r="I5690">
        <v>22.296379999999999</v>
      </c>
      <c r="J5690">
        <v>-186.84389999999999</v>
      </c>
      <c r="K5690">
        <v>1.1106990000000001</v>
      </c>
      <c r="L5690">
        <v>-8.8999020000000009</v>
      </c>
      <c r="M5690">
        <v>-1.8904730000000002E-2</v>
      </c>
      <c r="N5690">
        <v>-7.4921839999999998E-3</v>
      </c>
      <c r="O5690">
        <v>0.99979320000000005</v>
      </c>
      <c r="P5690">
        <v>-0.15585570000000001</v>
      </c>
      <c r="Q5690">
        <v>0.1420236</v>
      </c>
      <c r="R5690">
        <v>0.97751639999999995</v>
      </c>
      <c r="S5690">
        <v>-1.158615</v>
      </c>
      <c r="T5690">
        <v>-0.10229240000000001</v>
      </c>
      <c r="U5690">
        <v>2.8995060000000001</v>
      </c>
      <c r="V5690">
        <v>-0.13779089999999999</v>
      </c>
      <c r="W5690">
        <v>0.14895529999999901</v>
      </c>
      <c r="X5690">
        <v>0.97919659999999997</v>
      </c>
      <c r="Y5690">
        <v>-0.35327039999999998</v>
      </c>
      <c r="Z5690">
        <v>-2.538849E-2</v>
      </c>
      <c r="AA5690">
        <v>0.93517669999999997</v>
      </c>
      <c r="AB5690">
        <v>29</v>
      </c>
      <c r="AC5690">
        <v>-12.5739</v>
      </c>
      <c r="AD5690">
        <v>-1.1107024774459999</v>
      </c>
      <c r="AE5690">
        <v>31.196282</v>
      </c>
      <c r="AF5690">
        <v>-11.9688272956947</v>
      </c>
      <c r="AG5690">
        <v>-1.1107024774459999</v>
      </c>
      <c r="AH5690">
        <v>31.394185050070099</v>
      </c>
      <c r="AI5690">
        <v>91.893409575080497</v>
      </c>
      <c r="AJ5690">
        <v>110.869019937275</v>
      </c>
      <c r="AK5690">
        <v>33.616682492262903</v>
      </c>
      <c r="AL5690">
        <v>81.433610450667103</v>
      </c>
      <c r="AM5690">
        <v>98.009971917692894</v>
      </c>
      <c r="AN5690">
        <v>0.99999999748623003</v>
      </c>
    </row>
    <row r="5691" spans="1:40" x14ac:dyDescent="0.25">
      <c r="A5691" t="str">
        <f>"20190304155529742"</f>
        <v>20190304155529742</v>
      </c>
      <c r="B5691" t="str">
        <f>"1551686129733725"</f>
        <v>1551686129733725</v>
      </c>
      <c r="C5691" t="s">
        <v>40</v>
      </c>
      <c r="D5691">
        <v>4.5081309999999997</v>
      </c>
      <c r="E5691">
        <v>0.41269670000000003</v>
      </c>
      <c r="F5691" t="s">
        <v>46</v>
      </c>
      <c r="G5691">
        <v>-199.45490000000001</v>
      </c>
      <c r="H5691" s="1">
        <v>-3.6434990000000001E-6</v>
      </c>
      <c r="I5691">
        <v>22.764990000000001</v>
      </c>
      <c r="J5691">
        <v>-186.8518</v>
      </c>
      <c r="K5691">
        <v>1.1107049999999901</v>
      </c>
      <c r="L5691">
        <v>-8.5770569999999999</v>
      </c>
      <c r="M5691">
        <v>-2.0642239999999999E-2</v>
      </c>
      <c r="N5691">
        <v>-7.5017319999999997E-3</v>
      </c>
      <c r="O5691">
        <v>0.99975879999999995</v>
      </c>
      <c r="P5691">
        <v>-0.15685950000000001</v>
      </c>
      <c r="Q5691">
        <v>0.14223529999999901</v>
      </c>
      <c r="R5691">
        <v>0.977325</v>
      </c>
      <c r="S5691">
        <v>-1.1548309999999999</v>
      </c>
      <c r="T5691">
        <v>-0.1017107</v>
      </c>
      <c r="U5691">
        <v>2.8996580000000001</v>
      </c>
      <c r="V5691">
        <v>-0.137098</v>
      </c>
      <c r="W5691">
        <v>0.14917639999999999</v>
      </c>
      <c r="X5691">
        <v>0.97926020000000003</v>
      </c>
      <c r="Y5691">
        <v>-0.35057539999999998</v>
      </c>
      <c r="Z5691">
        <v>-2.5216100000000002E-2</v>
      </c>
      <c r="AA5691">
        <v>0.936195</v>
      </c>
      <c r="AB5691">
        <v>29</v>
      </c>
      <c r="AC5691">
        <v>-12.6031</v>
      </c>
      <c r="AD5691">
        <v>-1.1107086434989999</v>
      </c>
      <c r="AE5691">
        <v>31.342046999999901</v>
      </c>
      <c r="AF5691">
        <v>-11.9405176987726</v>
      </c>
      <c r="AG5691">
        <v>-1.1107086434989999</v>
      </c>
      <c r="AH5691">
        <v>31.561411957638999</v>
      </c>
      <c r="AI5691">
        <v>91.885218132669806</v>
      </c>
      <c r="AJ5691">
        <v>110.722957366796</v>
      </c>
      <c r="AK5691">
        <v>33.762884375675597</v>
      </c>
      <c r="AL5691">
        <v>81.420799235700201</v>
      </c>
      <c r="AM5691">
        <v>97.969700602756205</v>
      </c>
      <c r="AN5691">
        <v>0.99999999961249997</v>
      </c>
    </row>
    <row r="5692" spans="1:40" x14ac:dyDescent="0.25">
      <c r="A5692" t="str">
        <f>"20190304155529784"</f>
        <v>20190304155529784</v>
      </c>
      <c r="B5692" t="str">
        <f>"1551686129773742"</f>
        <v>1551686129773742</v>
      </c>
      <c r="C5692" t="s">
        <v>40</v>
      </c>
      <c r="D5692">
        <v>4.5262769999999897</v>
      </c>
      <c r="E5692">
        <v>0.41375489999999998</v>
      </c>
      <c r="F5692" t="s">
        <v>46</v>
      </c>
      <c r="G5692">
        <v>-199.506</v>
      </c>
      <c r="H5692" s="1">
        <v>-3.807056E-6</v>
      </c>
      <c r="I5692">
        <v>23.21902</v>
      </c>
      <c r="J5692">
        <v>-186.86689999999999</v>
      </c>
      <c r="K5692">
        <v>1.110717</v>
      </c>
      <c r="L5692">
        <v>-8.0156559999999999</v>
      </c>
      <c r="M5692">
        <v>-2.3661430000000001E-2</v>
      </c>
      <c r="N5692">
        <v>-7.5182740000000001E-3</v>
      </c>
      <c r="O5692">
        <v>0.99969180000000002</v>
      </c>
      <c r="P5692">
        <v>-0.15916540000000001</v>
      </c>
      <c r="Q5692">
        <v>0.1429655</v>
      </c>
      <c r="R5692">
        <v>0.97684559999999998</v>
      </c>
      <c r="S5692">
        <v>-1.1538090000000001</v>
      </c>
      <c r="T5692">
        <v>-0.10127460000000001</v>
      </c>
      <c r="U5692">
        <v>2.8991699999999998</v>
      </c>
      <c r="V5692">
        <v>-0.13646</v>
      </c>
      <c r="W5692">
        <v>0.14992039999999901</v>
      </c>
      <c r="X5692">
        <v>0.97923570000000004</v>
      </c>
      <c r="Y5692">
        <v>-0.34751650000000001</v>
      </c>
      <c r="Z5692">
        <v>-2.5086870000000001E-2</v>
      </c>
      <c r="AA5692">
        <v>0.93733820000000001</v>
      </c>
      <c r="AB5692">
        <v>30</v>
      </c>
      <c r="AC5692">
        <v>-12.6390999999999</v>
      </c>
      <c r="AD5692">
        <v>-1.110720807056</v>
      </c>
      <c r="AE5692">
        <v>31.234676</v>
      </c>
      <c r="AF5692">
        <v>-11.8835702891366</v>
      </c>
      <c r="AG5692">
        <v>-1.110720807056</v>
      </c>
      <c r="AH5692">
        <v>31.4907796868182</v>
      </c>
      <c r="AI5692">
        <v>91.8900634904508</v>
      </c>
      <c r="AJ5692">
        <v>110.67483438982801</v>
      </c>
      <c r="AK5692">
        <v>33.676730078969896</v>
      </c>
      <c r="AL5692">
        <v>81.377686409172398</v>
      </c>
      <c r="AM5692">
        <v>97.933281983812705</v>
      </c>
      <c r="AN5692">
        <v>1.0000000070453201</v>
      </c>
    </row>
    <row r="5693" spans="1:40" x14ac:dyDescent="0.25">
      <c r="A5693" t="str">
        <f>"20190304155529804"</f>
        <v>20190304155529804</v>
      </c>
      <c r="B5693" t="str">
        <f>"1551686129793262"</f>
        <v>1551686129793262</v>
      </c>
      <c r="C5693" t="s">
        <v>40</v>
      </c>
      <c r="D5693">
        <v>4.5316340000000004</v>
      </c>
      <c r="E5693">
        <v>0.41433429999999999</v>
      </c>
      <c r="F5693" t="s">
        <v>46</v>
      </c>
      <c r="G5693">
        <v>-199.68989999999999</v>
      </c>
      <c r="H5693" s="1">
        <v>-4.1792160000000002E-6</v>
      </c>
      <c r="I5693">
        <v>24.216760000000001</v>
      </c>
      <c r="J5693">
        <v>-186.8751</v>
      </c>
      <c r="K5693">
        <v>1.110733</v>
      </c>
      <c r="L5693">
        <v>-7.7328489999999999</v>
      </c>
      <c r="M5693">
        <v>-2.5181700000000001E-2</v>
      </c>
      <c r="N5693">
        <v>-7.5266809999999899E-3</v>
      </c>
      <c r="O5693">
        <v>0.9996545</v>
      </c>
      <c r="P5693">
        <v>-0.15985679999999999</v>
      </c>
      <c r="Q5693">
        <v>0.1431065</v>
      </c>
      <c r="R5693">
        <v>0.97671200000000002</v>
      </c>
      <c r="S5693">
        <v>-1.152863</v>
      </c>
      <c r="T5693">
        <v>-9.9860550000000006E-2</v>
      </c>
      <c r="U5693">
        <v>2.897888</v>
      </c>
      <c r="V5693">
        <v>-0.13566629999999999</v>
      </c>
      <c r="W5693">
        <v>0.15007119999999999</v>
      </c>
      <c r="X5693">
        <v>0.9793229</v>
      </c>
      <c r="Y5693">
        <v>-0.34597309999999998</v>
      </c>
      <c r="Z5693">
        <v>-2.4649009999999999E-2</v>
      </c>
      <c r="AA5693">
        <v>0.93792059999999999</v>
      </c>
      <c r="AB5693">
        <v>30</v>
      </c>
      <c r="AC5693">
        <v>-12.8147999999999</v>
      </c>
      <c r="AD5693">
        <v>-1.1107371792159999</v>
      </c>
      <c r="AE5693">
        <v>31.949608999999999</v>
      </c>
      <c r="AF5693">
        <v>-11.9936807766007</v>
      </c>
      <c r="AG5693">
        <v>-1.1107371792159999</v>
      </c>
      <c r="AH5693">
        <v>32.228630279053199</v>
      </c>
      <c r="AI5693">
        <v>91.850019662087604</v>
      </c>
      <c r="AJ5693">
        <v>110.41243176765801</v>
      </c>
      <c r="AK5693">
        <v>34.405911197295801</v>
      </c>
      <c r="AL5693">
        <v>81.368947504332297</v>
      </c>
      <c r="AM5693">
        <v>97.887028157037903</v>
      </c>
      <c r="AN5693">
        <v>1.0000000262447599</v>
      </c>
    </row>
    <row r="5694" spans="1:40" x14ac:dyDescent="0.25">
      <c r="A5694" t="str">
        <f>"20190304155529831"</f>
        <v>20190304155529831</v>
      </c>
      <c r="B5694" t="str">
        <f>"1551686129823518"</f>
        <v>1551686129823518</v>
      </c>
      <c r="C5694" t="s">
        <v>40</v>
      </c>
      <c r="D5694">
        <v>4.5772690000000003</v>
      </c>
      <c r="E5694">
        <v>0.41506559999999998</v>
      </c>
      <c r="F5694" t="s">
        <v>46</v>
      </c>
      <c r="G5694">
        <v>-199.76050000000001</v>
      </c>
      <c r="H5694" s="1">
        <v>-4.3574419999999999E-6</v>
      </c>
      <c r="I5694">
        <v>24.703700000000001</v>
      </c>
      <c r="J5694">
        <v>-186.88560000000001</v>
      </c>
      <c r="K5694">
        <v>1.1107359999999999</v>
      </c>
      <c r="L5694">
        <v>-7.3935849999999999</v>
      </c>
      <c r="M5694">
        <v>-2.7004299999999998E-2</v>
      </c>
      <c r="N5694">
        <v>-7.5368529999999996E-3</v>
      </c>
      <c r="O5694">
        <v>0.99960689999999996</v>
      </c>
      <c r="P5694">
        <v>-0.16098199999999999</v>
      </c>
      <c r="Q5694">
        <v>0.14306360000000001</v>
      </c>
      <c r="R5694">
        <v>0.97653350000000005</v>
      </c>
      <c r="S5694">
        <v>-1.1510929999999999</v>
      </c>
      <c r="T5694">
        <v>-9.9226239999999993E-2</v>
      </c>
      <c r="U5694">
        <v>2.897675</v>
      </c>
      <c r="V5694">
        <v>-0.13501089999999999</v>
      </c>
      <c r="W5694">
        <v>0.15003820000000001</v>
      </c>
      <c r="X5694">
        <v>0.97941849999999997</v>
      </c>
      <c r="Y5694">
        <v>-0.34379280000000001</v>
      </c>
      <c r="Z5694">
        <v>-2.445402E-2</v>
      </c>
      <c r="AA5694">
        <v>0.93872710000000004</v>
      </c>
      <c r="AB5694">
        <v>30</v>
      </c>
      <c r="AC5694">
        <v>-12.874899999999901</v>
      </c>
      <c r="AD5694">
        <v>-1.1107403574420001</v>
      </c>
      <c r="AE5694">
        <v>32.097284999999999</v>
      </c>
      <c r="AF5694">
        <v>-11.9910456651402</v>
      </c>
      <c r="AG5694">
        <v>-1.1107403574420001</v>
      </c>
      <c r="AH5694">
        <v>32.399844177898601</v>
      </c>
      <c r="AI5694">
        <v>91.841484278361406</v>
      </c>
      <c r="AJ5694">
        <v>110.309300632957</v>
      </c>
      <c r="AK5694">
        <v>34.5654281477496</v>
      </c>
      <c r="AL5694">
        <v>81.370859701561997</v>
      </c>
      <c r="AM5694">
        <v>97.848645614538597</v>
      </c>
      <c r="AN5694">
        <v>1.00000000136015</v>
      </c>
    </row>
    <row r="5695" spans="1:40" x14ac:dyDescent="0.25">
      <c r="A5695" t="str">
        <f>"20190304155529873"</f>
        <v>20190304155529873</v>
      </c>
      <c r="B5695" t="str">
        <f>"1551686129863533"</f>
        <v>1551686129863533</v>
      </c>
      <c r="C5695" t="s">
        <v>40</v>
      </c>
      <c r="D5695">
        <v>5.5689279999999997</v>
      </c>
      <c r="E5695">
        <v>0.41511480000000001</v>
      </c>
      <c r="F5695" t="s">
        <v>46</v>
      </c>
      <c r="G5695">
        <v>-199.5487</v>
      </c>
      <c r="H5695" s="1">
        <v>-4.2681949999999997E-6</v>
      </c>
      <c r="I5695">
        <v>24.55181</v>
      </c>
      <c r="J5695">
        <v>-186.9042</v>
      </c>
      <c r="K5695">
        <v>1.1107400000000001</v>
      </c>
      <c r="L5695">
        <v>-6.8317869999999896</v>
      </c>
      <c r="M5695">
        <v>-3.0020999999999999E-2</v>
      </c>
      <c r="N5695">
        <v>-7.5539409999999998E-3</v>
      </c>
      <c r="O5695">
        <v>0.99952070000000004</v>
      </c>
      <c r="P5695">
        <v>-0.1607365</v>
      </c>
      <c r="Q5695">
        <v>0.14273949999999999</v>
      </c>
      <c r="R5695">
        <v>0.97662130000000003</v>
      </c>
      <c r="S5695">
        <v>-1.1485749999999999</v>
      </c>
      <c r="T5695">
        <v>-0.1007468</v>
      </c>
      <c r="U5695">
        <v>2.8975219999999999</v>
      </c>
      <c r="V5695">
        <v>-0.13180629999999999</v>
      </c>
      <c r="W5695">
        <v>0.14974029999999999</v>
      </c>
      <c r="X5695">
        <v>0.97990049999999995</v>
      </c>
      <c r="Y5695">
        <v>-0.34026400000000001</v>
      </c>
      <c r="Z5695">
        <v>-2.4954199999999999E-2</v>
      </c>
      <c r="AA5695">
        <v>0.93999869999999996</v>
      </c>
      <c r="AB5695">
        <v>30</v>
      </c>
      <c r="AC5695">
        <v>-12.644499999999899</v>
      </c>
      <c r="AD5695">
        <v>-1.1107442681949999</v>
      </c>
      <c r="AE5695">
        <v>31.383597000000002</v>
      </c>
      <c r="AF5695">
        <v>-11.684014793106</v>
      </c>
      <c r="AG5695">
        <v>-1.1107442681949999</v>
      </c>
      <c r="AH5695">
        <v>31.714883204033502</v>
      </c>
      <c r="AI5695">
        <v>91.882265325867493</v>
      </c>
      <c r="AJ5695">
        <v>110.22419792649799</v>
      </c>
      <c r="AK5695">
        <v>33.8169154589879</v>
      </c>
      <c r="AL5695">
        <v>81.388123339727997</v>
      </c>
      <c r="AM5695">
        <v>97.660866879374595</v>
      </c>
      <c r="AN5695">
        <v>1.0000000240320099</v>
      </c>
    </row>
    <row r="5696" spans="1:40" x14ac:dyDescent="0.25">
      <c r="A5696" t="str">
        <f>"20190304155529894"</f>
        <v>20190304155529894</v>
      </c>
      <c r="B5696" t="str">
        <f>"1551686129883053"</f>
        <v>1551686129883053</v>
      </c>
      <c r="C5696" t="s">
        <v>40</v>
      </c>
      <c r="D5696">
        <v>5.47194</v>
      </c>
      <c r="E5696">
        <v>0.41511480000000001</v>
      </c>
      <c r="F5696" t="s">
        <v>46</v>
      </c>
      <c r="G5696">
        <v>-199.16409999999999</v>
      </c>
      <c r="H5696" s="1">
        <v>-4.057073E-6</v>
      </c>
      <c r="I5696">
        <v>24.131920000000001</v>
      </c>
      <c r="J5696">
        <v>-186.91480000000001</v>
      </c>
      <c r="K5696">
        <v>1.1107419999999999</v>
      </c>
      <c r="L5696">
        <v>-6.5331419999999998</v>
      </c>
      <c r="M5696">
        <v>-3.1623400000000003E-2</v>
      </c>
      <c r="N5696">
        <v>-7.5630319999999999E-3</v>
      </c>
      <c r="O5696">
        <v>0.9994712</v>
      </c>
      <c r="P5696">
        <v>-0.1612624</v>
      </c>
      <c r="Q5696">
        <v>0.14286209999999999</v>
      </c>
      <c r="R5696">
        <v>0.97651670000000002</v>
      </c>
      <c r="S5696">
        <v>-1.1475070000000001</v>
      </c>
      <c r="T5696">
        <v>-0.10396420000000001</v>
      </c>
      <c r="U5696">
        <v>2.8981629999999998</v>
      </c>
      <c r="V5696">
        <v>-0.13076489999999999</v>
      </c>
      <c r="W5696">
        <v>0.14987420000000001</v>
      </c>
      <c r="X5696">
        <v>0.98001950000000004</v>
      </c>
      <c r="Y5696">
        <v>-0.33837460000000003</v>
      </c>
      <c r="Z5696">
        <v>-2.5987679999999999E-2</v>
      </c>
      <c r="AA5696">
        <v>0.94065259999999995</v>
      </c>
      <c r="AB5696">
        <v>30</v>
      </c>
      <c r="AC5696">
        <v>-12.2492999999999</v>
      </c>
      <c r="AD5696">
        <v>-1.1107460570729999</v>
      </c>
      <c r="AE5696">
        <v>30.665061999999999</v>
      </c>
      <c r="AF5696">
        <v>-11.260670697364599</v>
      </c>
      <c r="AG5696">
        <v>-1.1107460570729999</v>
      </c>
      <c r="AH5696">
        <v>31.002021569563102</v>
      </c>
      <c r="AI5696">
        <v>91.928738001872105</v>
      </c>
      <c r="AJ5696">
        <v>109.962224000437</v>
      </c>
      <c r="AK5696">
        <v>33.002451465875197</v>
      </c>
      <c r="AL5696">
        <v>81.380363468208103</v>
      </c>
      <c r="AM5696">
        <v>97.600136736565702</v>
      </c>
      <c r="AN5696">
        <v>0.99999997763894899</v>
      </c>
    </row>
    <row r="5697" spans="1:40" x14ac:dyDescent="0.25">
      <c r="A5697" t="str">
        <f>"20190304155529918"</f>
        <v>20190304155529918</v>
      </c>
      <c r="B5697" t="str">
        <f>"1551686129913309"</f>
        <v>1551686129913309</v>
      </c>
      <c r="C5697" t="s">
        <v>40</v>
      </c>
      <c r="D5697">
        <v>4.9169349999999996</v>
      </c>
      <c r="E5697">
        <v>0.52716730000000001</v>
      </c>
      <c r="F5697" t="s">
        <v>46</v>
      </c>
      <c r="G5697">
        <v>-199.2792</v>
      </c>
      <c r="H5697" s="1">
        <v>-4.2493430000000003E-6</v>
      </c>
      <c r="I5697">
        <v>24.63691</v>
      </c>
      <c r="J5697">
        <v>-186.9263</v>
      </c>
      <c r="K5697">
        <v>1.110746</v>
      </c>
      <c r="L5697">
        <v>-6.2230220000000003</v>
      </c>
      <c r="M5697">
        <v>-3.3286780000000002E-2</v>
      </c>
      <c r="N5697">
        <v>-7.572479E-3</v>
      </c>
      <c r="O5697">
        <v>0.99941709999999995</v>
      </c>
      <c r="P5697">
        <v>-0.1612333</v>
      </c>
      <c r="Q5697">
        <v>0.142854799999999</v>
      </c>
      <c r="R5697">
        <v>0.97652260000000002</v>
      </c>
      <c r="S5697">
        <v>-1.149338</v>
      </c>
      <c r="T5697">
        <v>-0.10324999999999999</v>
      </c>
      <c r="U5697">
        <v>2.8974299999999999</v>
      </c>
      <c r="V5697">
        <v>-0.1291051</v>
      </c>
      <c r="W5697">
        <v>0.14988029999999999</v>
      </c>
      <c r="X5697">
        <v>0.98023859999999996</v>
      </c>
      <c r="Y5697">
        <v>-0.33740599999999998</v>
      </c>
      <c r="Z5697">
        <v>-2.5758119999999999E-2</v>
      </c>
      <c r="AA5697">
        <v>0.94100680000000003</v>
      </c>
      <c r="AB5697">
        <v>30</v>
      </c>
      <c r="AC5697">
        <v>-12.3529</v>
      </c>
      <c r="AD5697">
        <v>-1.1107502493429999</v>
      </c>
      <c r="AE5697">
        <v>30.859932000000001</v>
      </c>
      <c r="AF5697">
        <v>-11.306172376861401</v>
      </c>
      <c r="AG5697">
        <v>-1.1107502493429999</v>
      </c>
      <c r="AH5697">
        <v>31.219170426802901</v>
      </c>
      <c r="AI5697">
        <v>91.915995546835504</v>
      </c>
      <c r="AJ5697">
        <v>109.908097306594</v>
      </c>
      <c r="AK5697">
        <v>33.221979201568999</v>
      </c>
      <c r="AL5697">
        <v>81.380009922531798</v>
      </c>
      <c r="AM5697">
        <v>97.503116342360499</v>
      </c>
      <c r="AN5697">
        <v>0.99999997205202895</v>
      </c>
    </row>
    <row r="5698" spans="1:40" x14ac:dyDescent="0.25">
      <c r="A5698" t="str">
        <f>"20190304155529942"</f>
        <v>20190304155529942</v>
      </c>
      <c r="B5698" t="str">
        <f>"1551686129933805"</f>
        <v>1551686129933805</v>
      </c>
      <c r="C5698" t="s">
        <v>40</v>
      </c>
      <c r="D5698">
        <v>4.9167889999999996</v>
      </c>
      <c r="E5698">
        <v>0.5255029</v>
      </c>
      <c r="F5698" t="s">
        <v>101</v>
      </c>
      <c r="G5698">
        <v>-222.14599999999999</v>
      </c>
      <c r="H5698">
        <v>2.0360649999999998</v>
      </c>
      <c r="I5698">
        <v>391.87</v>
      </c>
      <c r="J5698">
        <v>-186.93870000000001</v>
      </c>
      <c r="K5698">
        <v>1.1107549999999999</v>
      </c>
      <c r="L5698">
        <v>-5.9020080000000004</v>
      </c>
      <c r="M5698">
        <v>-3.5007530000000002E-2</v>
      </c>
      <c r="N5698">
        <v>-7.5822569999999898E-3</v>
      </c>
      <c r="O5698">
        <v>0.99935830000000003</v>
      </c>
      <c r="P5698">
        <v>-0.16125410000000001</v>
      </c>
      <c r="Q5698">
        <v>0.14239479999999999</v>
      </c>
      <c r="R5698">
        <v>0.97658630000000002</v>
      </c>
      <c r="S5698">
        <v>-0.26779170000000002</v>
      </c>
      <c r="T5698">
        <v>7.0356129999999996E-3</v>
      </c>
      <c r="U5698">
        <v>3.0268860000000002</v>
      </c>
      <c r="V5698">
        <v>-0.1274351</v>
      </c>
      <c r="W5698">
        <v>0.14943519999999999</v>
      </c>
      <c r="X5698">
        <v>0.98052510000000004</v>
      </c>
      <c r="Y5698">
        <v>-5.3195100000000002E-2</v>
      </c>
      <c r="Z5698">
        <v>9.8865180000000004E-3</v>
      </c>
      <c r="AA5698">
        <v>0.99853519999999896</v>
      </c>
      <c r="AB5698">
        <v>30</v>
      </c>
      <c r="AC5698">
        <v>-35.207299999999897</v>
      </c>
      <c r="AD5698">
        <v>0.92530999999999997</v>
      </c>
      <c r="AE5698">
        <v>397.77200800000003</v>
      </c>
      <c r="AF5698">
        <v>-21.260188648812999</v>
      </c>
      <c r="AG5698">
        <v>0.92530999999999997</v>
      </c>
      <c r="AH5698">
        <v>398.75859403510998</v>
      </c>
      <c r="AI5698">
        <v>89.867235284251905</v>
      </c>
      <c r="AJ5698">
        <v>93.051888686329804</v>
      </c>
      <c r="AK5698">
        <v>399.32601735528999</v>
      </c>
      <c r="AL5698">
        <v>81.405803239489799</v>
      </c>
      <c r="AM5698">
        <v>97.405006486310199</v>
      </c>
      <c r="AN5698">
        <v>1.0000000277205201</v>
      </c>
    </row>
    <row r="5699" spans="1:40" x14ac:dyDescent="0.25">
      <c r="A5699" t="str">
        <f>"20190304155529966"</f>
        <v>20190304155529966</v>
      </c>
      <c r="B5699" t="str">
        <f>"1551686129963085"</f>
        <v>1551686129963085</v>
      </c>
      <c r="C5699" t="s">
        <v>40</v>
      </c>
      <c r="D5699">
        <v>4.847906</v>
      </c>
      <c r="E5699">
        <v>0.52478400000000003</v>
      </c>
      <c r="F5699" t="s">
        <v>46</v>
      </c>
      <c r="G5699">
        <v>-192.28909999999999</v>
      </c>
      <c r="H5699" s="1">
        <v>-1.6065819999999999E-6</v>
      </c>
      <c r="I5699">
        <v>51.91431</v>
      </c>
      <c r="J5699">
        <v>-186.95179999999999</v>
      </c>
      <c r="K5699">
        <v>1.1107590000000001</v>
      </c>
      <c r="L5699">
        <v>-5.5794980000000001</v>
      </c>
      <c r="M5699">
        <v>-3.6735660000000003E-2</v>
      </c>
      <c r="N5699">
        <v>-7.5921729999999998E-3</v>
      </c>
      <c r="O5699">
        <v>0.99929619999999997</v>
      </c>
      <c r="P5699">
        <v>-0.16065860000000001</v>
      </c>
      <c r="Q5699">
        <v>0.1422127</v>
      </c>
      <c r="R5699">
        <v>0.976711</v>
      </c>
      <c r="S5699">
        <v>-0.280777</v>
      </c>
      <c r="T5699">
        <v>-5.8289769999999998E-2</v>
      </c>
      <c r="U5699">
        <v>3.0340579999999999</v>
      </c>
      <c r="V5699">
        <v>-0.12513949999999999</v>
      </c>
      <c r="W5699">
        <v>0.14927070000000001</v>
      </c>
      <c r="X5699">
        <v>0.98084570000000004</v>
      </c>
      <c r="Y5699">
        <v>-5.549362E-2</v>
      </c>
      <c r="Z5699">
        <v>-1.1554719999999999E-2</v>
      </c>
      <c r="AA5699">
        <v>0.99839219999999895</v>
      </c>
      <c r="AB5699">
        <v>30</v>
      </c>
      <c r="AC5699">
        <v>-5.3372999999999902</v>
      </c>
      <c r="AD5699">
        <v>-1.1107606065819999</v>
      </c>
      <c r="AE5699">
        <v>57.493807999999902</v>
      </c>
      <c r="AF5699">
        <v>-3.2203716706284</v>
      </c>
      <c r="AG5699">
        <v>-1.1107606065819999</v>
      </c>
      <c r="AH5699">
        <v>57.629746891132598</v>
      </c>
      <c r="AI5699">
        <v>91.102467449017595</v>
      </c>
      <c r="AJ5699">
        <v>93.198383109712196</v>
      </c>
      <c r="AK5699">
        <v>57.730341325494798</v>
      </c>
      <c r="AL5699">
        <v>81.415334736720993</v>
      </c>
      <c r="AM5699">
        <v>97.270702997441006</v>
      </c>
      <c r="AN5699">
        <v>0.99999996177361405</v>
      </c>
    </row>
    <row r="5700" spans="1:40" x14ac:dyDescent="0.25">
      <c r="A5700" t="str">
        <f>"20190304155530008"</f>
        <v>20190304155530008</v>
      </c>
      <c r="B5700" t="str">
        <f>"1551686130003102"</f>
        <v>1551686130003102</v>
      </c>
      <c r="C5700" t="s">
        <v>40</v>
      </c>
      <c r="D5700">
        <v>4.7859179999999997</v>
      </c>
      <c r="E5700">
        <v>0.52749990000000002</v>
      </c>
      <c r="F5700" t="s">
        <v>46</v>
      </c>
      <c r="G5700">
        <v>-189.97229999999999</v>
      </c>
      <c r="H5700" s="1">
        <v>-3.0576199999999999E-6</v>
      </c>
      <c r="I5700">
        <v>26.733689999999999</v>
      </c>
      <c r="J5700">
        <v>-186.97649999999999</v>
      </c>
      <c r="K5700">
        <v>1.1107830000000001</v>
      </c>
      <c r="L5700">
        <v>-5.0017699999999996</v>
      </c>
      <c r="M5700">
        <v>-3.9825739999999998E-2</v>
      </c>
      <c r="N5700">
        <v>-7.6098040000000004E-3</v>
      </c>
      <c r="O5700">
        <v>0.9991776</v>
      </c>
      <c r="P5700">
        <v>-0.1596747</v>
      </c>
      <c r="Q5700">
        <v>0.1439145</v>
      </c>
      <c r="R5700">
        <v>0.97662309999999997</v>
      </c>
      <c r="S5700">
        <v>-0.28416439999999998</v>
      </c>
      <c r="T5700">
        <v>-0.10449990000000001</v>
      </c>
      <c r="U5700">
        <v>3.040009</v>
      </c>
      <c r="V5700">
        <v>-0.1211322</v>
      </c>
      <c r="W5700">
        <v>0.15100079999999999</v>
      </c>
      <c r="X5700">
        <v>0.98108399999999996</v>
      </c>
      <c r="Y5700">
        <v>-5.3299819999999998E-2</v>
      </c>
      <c r="Z5700">
        <v>-2.6622650000000001E-2</v>
      </c>
      <c r="AA5700">
        <v>0.99822359999999999</v>
      </c>
      <c r="AB5700">
        <v>30</v>
      </c>
      <c r="AC5700">
        <v>-2.9958</v>
      </c>
      <c r="AD5700">
        <v>-1.1107860576199999</v>
      </c>
      <c r="AE5700">
        <v>31.73546</v>
      </c>
      <c r="AF5700">
        <v>-1.7274007154623601</v>
      </c>
      <c r="AG5700">
        <v>-1.1107860576199999</v>
      </c>
      <c r="AH5700">
        <v>31.790991206927099</v>
      </c>
      <c r="AI5700">
        <v>91.998171218449002</v>
      </c>
      <c r="AJ5700">
        <v>93.110174798230801</v>
      </c>
      <c r="AK5700">
        <v>31.857257898577899</v>
      </c>
      <c r="AL5700">
        <v>81.315071464883701</v>
      </c>
      <c r="AM5700">
        <v>97.038557331536794</v>
      </c>
      <c r="AN5700">
        <v>1.00000003326673</v>
      </c>
    </row>
    <row r="5701" spans="1:40" x14ac:dyDescent="0.25">
      <c r="A5701" t="str">
        <f>"20190304155530031"</f>
        <v>20190304155530031</v>
      </c>
      <c r="B5701" t="str">
        <f>"1551686130023597"</f>
        <v>1551686130023597</v>
      </c>
      <c r="C5701" t="s">
        <v>40</v>
      </c>
      <c r="D5701">
        <v>4.8643049999999999</v>
      </c>
      <c r="E5701">
        <v>0.5280996</v>
      </c>
      <c r="F5701" t="s">
        <v>46</v>
      </c>
      <c r="G5701">
        <v>-189.58410000000001</v>
      </c>
      <c r="H5701" s="1">
        <v>-2.6172000000000001E-6</v>
      </c>
      <c r="I5701">
        <v>25.56156</v>
      </c>
      <c r="J5701">
        <v>-186.99080000000001</v>
      </c>
      <c r="K5701">
        <v>1.1107910000000001</v>
      </c>
      <c r="L5701">
        <v>-4.6862789999999999</v>
      </c>
      <c r="M5701">
        <v>-4.1503440000000003E-2</v>
      </c>
      <c r="N5701">
        <v>-7.6193240000000002E-3</v>
      </c>
      <c r="O5701">
        <v>0.99910929999999998</v>
      </c>
      <c r="P5701">
        <v>-0.16006709999999999</v>
      </c>
      <c r="Q5701">
        <v>0.14425350000000001</v>
      </c>
      <c r="R5701">
        <v>0.97650879999999995</v>
      </c>
      <c r="S5701">
        <v>-0.25984190000000001</v>
      </c>
      <c r="T5701">
        <v>-0.11068939999999999</v>
      </c>
      <c r="U5701">
        <v>3.0456240000000001</v>
      </c>
      <c r="V5701">
        <v>-0.1198816</v>
      </c>
      <c r="W5701">
        <v>0.1513534</v>
      </c>
      <c r="X5701">
        <v>0.98118320000000003</v>
      </c>
      <c r="Y5701">
        <v>-4.3537979999999997E-2</v>
      </c>
      <c r="Z5701">
        <v>-2.8588100000000002E-2</v>
      </c>
      <c r="AA5701">
        <v>0.99864269999999999</v>
      </c>
      <c r="AB5701">
        <v>31</v>
      </c>
      <c r="AC5701">
        <v>-2.5933000000000002</v>
      </c>
      <c r="AD5701">
        <v>-1.1107936171999999</v>
      </c>
      <c r="AE5701">
        <v>30.247838999999999</v>
      </c>
      <c r="AF5701">
        <v>-1.33385386976692</v>
      </c>
      <c r="AG5701">
        <v>-1.1107936171999999</v>
      </c>
      <c r="AH5701">
        <v>30.288859744798501</v>
      </c>
      <c r="AI5701">
        <v>92.098254499844501</v>
      </c>
      <c r="AJ5701">
        <v>92.5215492257676</v>
      </c>
      <c r="AK5701">
        <v>30.3385572044219</v>
      </c>
      <c r="AL5701">
        <v>81.294633445059901</v>
      </c>
      <c r="AM5701">
        <v>96.9659098088257</v>
      </c>
      <c r="AN5701">
        <v>0.99999996083617904</v>
      </c>
    </row>
    <row r="5702" spans="1:40" x14ac:dyDescent="0.25">
      <c r="A5702" t="str">
        <f>"20190304155530075"</f>
        <v>20190304155530075</v>
      </c>
      <c r="B5702" t="str">
        <f>"1551686130063615"</f>
        <v>1551686130063615</v>
      </c>
      <c r="C5702" t="s">
        <v>40</v>
      </c>
      <c r="D5702">
        <v>4.8047690000000003</v>
      </c>
      <c r="E5702">
        <v>0.52804589999999996</v>
      </c>
      <c r="F5702" t="s">
        <v>46</v>
      </c>
      <c r="G5702">
        <v>-189.53960000000001</v>
      </c>
      <c r="H5702" s="1">
        <v>-2.6557499999999999E-6</v>
      </c>
      <c r="I5702">
        <v>25.633030000000002</v>
      </c>
      <c r="J5702">
        <v>-187.0189</v>
      </c>
      <c r="K5702">
        <v>1.110781</v>
      </c>
      <c r="L5702">
        <v>-4.0959469999999998</v>
      </c>
      <c r="M5702">
        <v>-4.4589370000000003E-2</v>
      </c>
      <c r="N5702">
        <v>-7.6367650000000002E-3</v>
      </c>
      <c r="O5702">
        <v>0.99897619999999998</v>
      </c>
      <c r="P5702">
        <v>-0.16148750000000001</v>
      </c>
      <c r="Q5702">
        <v>0.14596709999999999</v>
      </c>
      <c r="R5702">
        <v>0.9760202</v>
      </c>
      <c r="S5702">
        <v>-0.25611879999999998</v>
      </c>
      <c r="T5702">
        <v>-0.1116191</v>
      </c>
      <c r="U5702">
        <v>3.0466609999999998</v>
      </c>
      <c r="V5702">
        <v>-0.11828859999999999</v>
      </c>
      <c r="W5702">
        <v>0.15309200000000001</v>
      </c>
      <c r="X5702">
        <v>0.9811069</v>
      </c>
      <c r="Y5702">
        <v>-3.9211129999999997E-2</v>
      </c>
      <c r="Z5702">
        <v>-2.8860630000000002E-2</v>
      </c>
      <c r="AA5702">
        <v>0.99881399999999998</v>
      </c>
      <c r="AB5702">
        <v>31</v>
      </c>
      <c r="AC5702">
        <v>-2.5207000000000002</v>
      </c>
      <c r="AD5702">
        <v>-1.1107836557499999</v>
      </c>
      <c r="AE5702">
        <v>29.728977</v>
      </c>
      <c r="AF5702">
        <v>-1.19090704837794</v>
      </c>
      <c r="AG5702">
        <v>-1.1107836557499999</v>
      </c>
      <c r="AH5702">
        <v>29.770542199187599</v>
      </c>
      <c r="AI5702">
        <v>92.135094344686394</v>
      </c>
      <c r="AJ5702">
        <v>92.290774063095299</v>
      </c>
      <c r="AK5702">
        <v>29.815051278865301</v>
      </c>
      <c r="AL5702">
        <v>81.1938452146657</v>
      </c>
      <c r="AM5702">
        <v>96.874767120706395</v>
      </c>
      <c r="AN5702">
        <v>1.0000000512907801</v>
      </c>
    </row>
    <row r="5703" spans="1:40" x14ac:dyDescent="0.25">
      <c r="A5703" t="str">
        <f>"20190304155530096"</f>
        <v>20190304155530096</v>
      </c>
      <c r="B5703" t="str">
        <f>"1551686130093870"</f>
        <v>1551686130093870</v>
      </c>
      <c r="C5703" t="s">
        <v>40</v>
      </c>
      <c r="D5703">
        <v>4.8351360000000003</v>
      </c>
      <c r="E5703">
        <v>0.52791690000000002</v>
      </c>
      <c r="F5703" t="s">
        <v>46</v>
      </c>
      <c r="G5703">
        <v>-189.33090000000001</v>
      </c>
      <c r="H5703" s="1">
        <v>-1.5343010000000001E-6</v>
      </c>
      <c r="I5703">
        <v>22.932600000000001</v>
      </c>
      <c r="J5703">
        <v>-187.03389999999999</v>
      </c>
      <c r="K5703">
        <v>1.1107629999999999</v>
      </c>
      <c r="L5703">
        <v>-3.7930600000000001</v>
      </c>
      <c r="M5703">
        <v>-4.6129549999999998E-2</v>
      </c>
      <c r="N5703">
        <v>-7.6454359999999898E-3</v>
      </c>
      <c r="O5703">
        <v>0.99890619999999997</v>
      </c>
      <c r="P5703">
        <v>-0.16262009999999999</v>
      </c>
      <c r="Q5703">
        <v>0.14631140000000001</v>
      </c>
      <c r="R5703">
        <v>0.97578050000000005</v>
      </c>
      <c r="S5703">
        <v>-0.2608337</v>
      </c>
      <c r="T5703">
        <v>-0.12531539999999999</v>
      </c>
      <c r="U5703">
        <v>3.0492859999999999</v>
      </c>
      <c r="V5703">
        <v>-0.1179114</v>
      </c>
      <c r="W5703">
        <v>0.153451</v>
      </c>
      <c r="X5703">
        <v>0.98109610000000003</v>
      </c>
      <c r="Y5703">
        <v>-3.9119750000000002E-2</v>
      </c>
      <c r="Z5703">
        <v>-3.328105E-2</v>
      </c>
      <c r="AA5703">
        <v>0.99868009999999996</v>
      </c>
      <c r="AB5703">
        <v>31</v>
      </c>
      <c r="AC5703">
        <v>-2.2970000000000201</v>
      </c>
      <c r="AD5703">
        <v>-1.110764534301</v>
      </c>
      <c r="AE5703">
        <v>26.725659999999898</v>
      </c>
      <c r="AF5703">
        <v>-1.05985855913477</v>
      </c>
      <c r="AG5703">
        <v>-1.110764534301</v>
      </c>
      <c r="AH5703">
        <v>26.757289621854</v>
      </c>
      <c r="AI5703">
        <v>92.375271146493105</v>
      </c>
      <c r="AJ5703">
        <v>92.2683049918394</v>
      </c>
      <c r="AK5703">
        <v>26.801299332752698</v>
      </c>
      <c r="AL5703">
        <v>81.173029025028896</v>
      </c>
      <c r="AM5703">
        <v>96.853128322538694</v>
      </c>
      <c r="AN5703">
        <v>0.99999993254308195</v>
      </c>
    </row>
    <row r="5704" spans="1:40" x14ac:dyDescent="0.25">
      <c r="A5704" t="str">
        <f>"20190304155530118"</f>
        <v>20190304155530118</v>
      </c>
      <c r="B5704" t="str">
        <f>"1551686130113390"</f>
        <v>1551686130113390</v>
      </c>
      <c r="C5704" t="s">
        <v>40</v>
      </c>
      <c r="D5704">
        <v>4.7475350000000001</v>
      </c>
      <c r="E5704">
        <v>0.52866669999999905</v>
      </c>
      <c r="F5704" t="s">
        <v>46</v>
      </c>
      <c r="G5704">
        <v>-189.28899999999999</v>
      </c>
      <c r="H5704" s="1">
        <v>-1.1957480000000001E-6</v>
      </c>
      <c r="I5704">
        <v>22.126110000000001</v>
      </c>
      <c r="J5704">
        <v>-187.04949999999999</v>
      </c>
      <c r="K5704">
        <v>1.1107359999999999</v>
      </c>
      <c r="L5704">
        <v>-3.4889830000000002</v>
      </c>
      <c r="M5704">
        <v>-4.7635780000000003E-2</v>
      </c>
      <c r="N5704">
        <v>-7.654073E-3</v>
      </c>
      <c r="O5704">
        <v>0.99883540000000004</v>
      </c>
      <c r="P5704">
        <v>-0.1638857</v>
      </c>
      <c r="Q5704">
        <v>0.14606179999999999</v>
      </c>
      <c r="R5704">
        <v>0.97560619999999998</v>
      </c>
      <c r="S5704">
        <v>-0.26535029999999998</v>
      </c>
      <c r="T5704">
        <v>-0.1307005</v>
      </c>
      <c r="U5704">
        <v>3.0498349999999999</v>
      </c>
      <c r="V5704">
        <v>-0.11769300000000001</v>
      </c>
      <c r="W5704">
        <v>0.153217299999999</v>
      </c>
      <c r="X5704">
        <v>0.98115889999999994</v>
      </c>
      <c r="Y5704">
        <v>-3.9060360000000002E-2</v>
      </c>
      <c r="Z5704">
        <v>-3.5013559999999999E-2</v>
      </c>
      <c r="AA5704">
        <v>0.99862320000000004</v>
      </c>
      <c r="AB5704">
        <v>31</v>
      </c>
      <c r="AC5704">
        <v>-2.23950000000002</v>
      </c>
      <c r="AD5704">
        <v>-1.1107371957479999</v>
      </c>
      <c r="AE5704">
        <v>25.615092999999899</v>
      </c>
      <c r="AF5704">
        <v>-1.0148330416259399</v>
      </c>
      <c r="AG5704">
        <v>-1.1107371957479999</v>
      </c>
      <c r="AH5704">
        <v>25.644841173584801</v>
      </c>
      <c r="AI5704">
        <v>92.478125072409497</v>
      </c>
      <c r="AJ5704">
        <v>92.266160528747804</v>
      </c>
      <c r="AK5704">
        <v>25.6889373474027</v>
      </c>
      <c r="AL5704">
        <v>81.186579757129806</v>
      </c>
      <c r="AM5704">
        <v>96.840121398619203</v>
      </c>
      <c r="AN5704">
        <v>0.99999998515874899</v>
      </c>
    </row>
    <row r="5705" spans="1:40" x14ac:dyDescent="0.25">
      <c r="A5705" t="str">
        <f>"20190304155530141"</f>
        <v>20190304155530141</v>
      </c>
      <c r="B5705" t="str">
        <f>"1551686130133885"</f>
        <v>1551686130133885</v>
      </c>
      <c r="C5705" t="s">
        <v>40</v>
      </c>
      <c r="D5705">
        <v>4.7270919999999998</v>
      </c>
      <c r="E5705">
        <v>0.52945430000000004</v>
      </c>
      <c r="F5705" t="s">
        <v>46</v>
      </c>
      <c r="G5705">
        <v>-189.28919999999999</v>
      </c>
      <c r="H5705" s="1">
        <v>-1.3218800000000001E-6</v>
      </c>
      <c r="I5705">
        <v>22.420210000000001</v>
      </c>
      <c r="J5705">
        <v>-187.0658</v>
      </c>
      <c r="K5705">
        <v>1.110703</v>
      </c>
      <c r="L5705">
        <v>-3.1774290000000001</v>
      </c>
      <c r="M5705">
        <v>-4.9124809999999998E-2</v>
      </c>
      <c r="N5705">
        <v>-7.6628769999999898E-3</v>
      </c>
      <c r="O5705">
        <v>0.99876330000000002</v>
      </c>
      <c r="P5705">
        <v>-0.1644428</v>
      </c>
      <c r="Q5705">
        <v>0.14583460000000001</v>
      </c>
      <c r="R5705">
        <v>0.97554640000000004</v>
      </c>
      <c r="S5705">
        <v>-0.26368709999999901</v>
      </c>
      <c r="T5705">
        <v>-0.1307673</v>
      </c>
      <c r="U5705">
        <v>3.0502929999999999</v>
      </c>
      <c r="V5705">
        <v>-0.11677559999999999</v>
      </c>
      <c r="W5705">
        <v>0.15301139999999999</v>
      </c>
      <c r="X5705">
        <v>0.98130070000000003</v>
      </c>
      <c r="Y5705">
        <v>-3.7017559999999998E-2</v>
      </c>
      <c r="Z5705">
        <v>-3.5018630000000002E-2</v>
      </c>
      <c r="AA5705">
        <v>0.9987009</v>
      </c>
      <c r="AB5705">
        <v>31</v>
      </c>
      <c r="AC5705">
        <v>-2.2233999999999901</v>
      </c>
      <c r="AD5705">
        <v>-1.1107043218799999</v>
      </c>
      <c r="AE5705">
        <v>25.597639000000001</v>
      </c>
      <c r="AF5705">
        <v>-0.96140285685300497</v>
      </c>
      <c r="AG5705">
        <v>-1.1107043218799999</v>
      </c>
      <c r="AH5705">
        <v>25.6280686951871</v>
      </c>
      <c r="AI5705">
        <v>92.479867827168306</v>
      </c>
      <c r="AJ5705">
        <v>92.148367438728499</v>
      </c>
      <c r="AK5705">
        <v>25.670135655836201</v>
      </c>
      <c r="AL5705">
        <v>81.198518269797603</v>
      </c>
      <c r="AM5705">
        <v>96.786331335279499</v>
      </c>
      <c r="AN5705">
        <v>1.0000000465529</v>
      </c>
    </row>
    <row r="5706" spans="1:40" x14ac:dyDescent="0.25">
      <c r="A5706" t="str">
        <f>"20190304155530167"</f>
        <v>20190304155530167</v>
      </c>
      <c r="B5706" t="str">
        <f>"1551686130163166"</f>
        <v>1551686130163166</v>
      </c>
      <c r="C5706" t="s">
        <v>40</v>
      </c>
      <c r="D5706">
        <v>4.6390229999999999</v>
      </c>
      <c r="E5706">
        <v>0.53057379999999998</v>
      </c>
      <c r="F5706" t="s">
        <v>46</v>
      </c>
      <c r="G5706">
        <v>-189.25489999999999</v>
      </c>
      <c r="H5706" s="1">
        <v>-1.3796699999999999E-6</v>
      </c>
      <c r="I5706">
        <v>22.54073</v>
      </c>
      <c r="J5706">
        <v>-187.0847</v>
      </c>
      <c r="K5706">
        <v>1.1106590000000001</v>
      </c>
      <c r="L5706">
        <v>-2.8279420000000002</v>
      </c>
      <c r="M5706">
        <v>-5.0711930000000002E-2</v>
      </c>
      <c r="N5706">
        <v>-7.6725789999999997E-3</v>
      </c>
      <c r="O5706">
        <v>0.99868389999999996</v>
      </c>
      <c r="P5706">
        <v>-0.16588269999999999</v>
      </c>
      <c r="Q5706">
        <v>0.1456095</v>
      </c>
      <c r="R5706">
        <v>0.97533630000000004</v>
      </c>
      <c r="S5706">
        <v>-0.25970460000000001</v>
      </c>
      <c r="T5706">
        <v>-0.13177039999999901</v>
      </c>
      <c r="U5706">
        <v>3.0511170000000001</v>
      </c>
      <c r="V5706">
        <v>-0.116645899999999</v>
      </c>
      <c r="W5706">
        <v>0.15280920000000001</v>
      </c>
      <c r="X5706">
        <v>0.98134759999999999</v>
      </c>
      <c r="Y5706">
        <v>-3.4111750000000003E-2</v>
      </c>
      <c r="Z5706">
        <v>-3.5323880000000002E-2</v>
      </c>
      <c r="AA5706">
        <v>0.99879359999999995</v>
      </c>
      <c r="AB5706">
        <v>31</v>
      </c>
      <c r="AC5706">
        <v>-2.1701999999999901</v>
      </c>
      <c r="AD5706">
        <v>-1.1106603796700001</v>
      </c>
      <c r="AE5706">
        <v>25.368672</v>
      </c>
      <c r="AF5706">
        <v>-0.87920239084405605</v>
      </c>
      <c r="AG5706">
        <v>-1.1106603796700001</v>
      </c>
      <c r="AH5706">
        <v>25.3977593749314</v>
      </c>
      <c r="AI5706">
        <v>92.502488897841104</v>
      </c>
      <c r="AJ5706">
        <v>91.982634679201993</v>
      </c>
      <c r="AK5706">
        <v>25.4372314647241</v>
      </c>
      <c r="AL5706">
        <v>81.210241057090499</v>
      </c>
      <c r="AM5706">
        <v>96.778543136081396</v>
      </c>
      <c r="AN5706">
        <v>1.0000000148085999</v>
      </c>
    </row>
    <row r="5707" spans="1:40" x14ac:dyDescent="0.25">
      <c r="A5707" t="str">
        <f>"20190304155530210"</f>
        <v>20190304155530210</v>
      </c>
      <c r="B5707" t="str">
        <f>"1551686130203311"</f>
        <v>1551686130203311</v>
      </c>
      <c r="C5707" t="s">
        <v>40</v>
      </c>
      <c r="D5707">
        <v>4.5868510000000002</v>
      </c>
      <c r="E5707">
        <v>0.53213690000000002</v>
      </c>
      <c r="F5707" t="s">
        <v>46</v>
      </c>
      <c r="G5707">
        <v>-189.25839999999999</v>
      </c>
      <c r="H5707" s="1">
        <v>-1.629975E-6</v>
      </c>
      <c r="I5707">
        <v>23.12566</v>
      </c>
      <c r="J5707">
        <v>-187.11799999999999</v>
      </c>
      <c r="K5707">
        <v>1.1105659999999999</v>
      </c>
      <c r="L5707">
        <v>-2.2291259999999999</v>
      </c>
      <c r="M5707">
        <v>-5.325585E-2</v>
      </c>
      <c r="N5707">
        <v>-7.6892019999999896E-3</v>
      </c>
      <c r="O5707">
        <v>0.99855130000000003</v>
      </c>
      <c r="P5707">
        <v>-0.16839680000000001</v>
      </c>
      <c r="Q5707">
        <v>0.14551900000000001</v>
      </c>
      <c r="R5707">
        <v>0.97491879999999997</v>
      </c>
      <c r="S5707">
        <v>-0.25561519999999999</v>
      </c>
      <c r="T5707">
        <v>-0.13060239999999901</v>
      </c>
      <c r="U5707">
        <v>3.0518800000000001</v>
      </c>
      <c r="V5707">
        <v>-0.116645</v>
      </c>
      <c r="W5707">
        <v>0.1527578</v>
      </c>
      <c r="X5707">
        <v>0.98135570000000005</v>
      </c>
      <c r="Y5707">
        <v>-3.0217569999999999E-2</v>
      </c>
      <c r="Z5707">
        <v>-3.4913529999999998E-2</v>
      </c>
      <c r="AA5707">
        <v>0.99893339999999997</v>
      </c>
      <c r="AB5707">
        <v>31</v>
      </c>
      <c r="AC5707">
        <v>-2.1404000000000001</v>
      </c>
      <c r="AD5707">
        <v>-1.110567629975</v>
      </c>
      <c r="AE5707">
        <v>25.354785999999901</v>
      </c>
      <c r="AF5707">
        <v>-0.78553537139996299</v>
      </c>
      <c r="AG5707">
        <v>-1.110567629975</v>
      </c>
      <c r="AH5707">
        <v>25.384438720914801</v>
      </c>
      <c r="AI5707">
        <v>92.503892259805397</v>
      </c>
      <c r="AJ5707">
        <v>91.772483657001601</v>
      </c>
      <c r="AK5707">
        <v>25.420860635634401</v>
      </c>
      <c r="AL5707">
        <v>81.213220965495694</v>
      </c>
      <c r="AM5707">
        <v>96.778435893499505</v>
      </c>
      <c r="AN5707">
        <v>1.00000000570416</v>
      </c>
    </row>
    <row r="5708" spans="1:40" x14ac:dyDescent="0.25">
      <c r="A5708" t="str">
        <f>"20190304155530231"</f>
        <v>20190304155530231</v>
      </c>
      <c r="B5708" t="str">
        <f>"1551686130223807"</f>
        <v>1551686130223807</v>
      </c>
      <c r="C5708" t="s">
        <v>40</v>
      </c>
      <c r="D5708">
        <v>4.6412120000000003</v>
      </c>
      <c r="E5708">
        <v>0.53160549999999995</v>
      </c>
      <c r="F5708" t="s">
        <v>46</v>
      </c>
      <c r="G5708">
        <v>-189.31450000000001</v>
      </c>
      <c r="H5708" s="1">
        <v>-2.161502E-6</v>
      </c>
      <c r="I5708">
        <v>24.387830000000001</v>
      </c>
      <c r="J5708">
        <v>-187.13550000000001</v>
      </c>
      <c r="K5708">
        <v>1.1105290000000001</v>
      </c>
      <c r="L5708">
        <v>-1.9242250000000001</v>
      </c>
      <c r="M5708">
        <v>-5.4469160000000003E-2</v>
      </c>
      <c r="N5708">
        <v>-7.6977440000000003E-3</v>
      </c>
      <c r="O5708">
        <v>0.99848579999999998</v>
      </c>
      <c r="P5708">
        <v>-0.1690797</v>
      </c>
      <c r="Q5708">
        <v>0.14542639999999901</v>
      </c>
      <c r="R5708">
        <v>0.97481450000000003</v>
      </c>
      <c r="S5708">
        <v>-0.2519073</v>
      </c>
      <c r="T5708">
        <v>-0.12737000000000001</v>
      </c>
      <c r="U5708">
        <v>3.052673</v>
      </c>
      <c r="V5708">
        <v>-0.11612500000000001</v>
      </c>
      <c r="W5708">
        <v>0.152686299999999</v>
      </c>
      <c r="X5708">
        <v>0.98142850000000004</v>
      </c>
      <c r="Y5708">
        <v>-2.7779910000000001E-2</v>
      </c>
      <c r="Z5708">
        <v>-3.3841570000000001E-2</v>
      </c>
      <c r="AA5708">
        <v>0.99904110000000002</v>
      </c>
      <c r="AB5708">
        <v>31</v>
      </c>
      <c r="AC5708">
        <v>-2.1789999999999998</v>
      </c>
      <c r="AD5708">
        <v>-1.1105311615019999</v>
      </c>
      <c r="AE5708">
        <v>26.312055000000001</v>
      </c>
      <c r="AF5708">
        <v>-0.74121563111884803</v>
      </c>
      <c r="AG5708">
        <v>-1.1105311615019999</v>
      </c>
      <c r="AH5708">
        <v>26.345072598843998</v>
      </c>
      <c r="AI5708">
        <v>92.412822260492405</v>
      </c>
      <c r="AJ5708">
        <v>91.611585122863502</v>
      </c>
      <c r="AK5708">
        <v>26.378884174863099</v>
      </c>
      <c r="AL5708">
        <v>81.217366290032302</v>
      </c>
      <c r="AM5708">
        <v>96.748001169853197</v>
      </c>
      <c r="AN5708">
        <v>1.0000000112224701</v>
      </c>
    </row>
    <row r="5709" spans="1:40" x14ac:dyDescent="0.25">
      <c r="A5709" t="str">
        <f>"20190304155530253"</f>
        <v>20190304155530253</v>
      </c>
      <c r="B5709" t="str">
        <f>"1551686130243327"</f>
        <v>1551686130243327</v>
      </c>
      <c r="C5709" t="s">
        <v>40</v>
      </c>
      <c r="D5709">
        <v>4.6068309999999997</v>
      </c>
      <c r="E5709">
        <v>0.53123679999999995</v>
      </c>
      <c r="F5709" t="s">
        <v>46</v>
      </c>
      <c r="G5709">
        <v>-189.32570000000001</v>
      </c>
      <c r="H5709" s="1">
        <v>-1.955317E-6</v>
      </c>
      <c r="I5709">
        <v>23.911829999999998</v>
      </c>
      <c r="J5709">
        <v>-187.1532</v>
      </c>
      <c r="K5709">
        <v>1.1104889999999901</v>
      </c>
      <c r="L5709">
        <v>-1.621124</v>
      </c>
      <c r="M5709">
        <v>-5.5614730000000001E-2</v>
      </c>
      <c r="N5709">
        <v>-7.706236E-3</v>
      </c>
      <c r="O5709">
        <v>0.99842260000000005</v>
      </c>
      <c r="P5709">
        <v>-0.16965629999999901</v>
      </c>
      <c r="Q5709">
        <v>0.14565139999999999</v>
      </c>
      <c r="R5709">
        <v>0.97468069999999896</v>
      </c>
      <c r="S5709">
        <v>-0.25874330000000001</v>
      </c>
      <c r="T5709">
        <v>-0.1311957</v>
      </c>
      <c r="U5709">
        <v>3.052216</v>
      </c>
      <c r="V5709">
        <v>-0.1155669</v>
      </c>
      <c r="W5709">
        <v>0.15293219999999999</v>
      </c>
      <c r="X5709">
        <v>0.98145610000000005</v>
      </c>
      <c r="Y5709">
        <v>-2.8863300000000001E-2</v>
      </c>
      <c r="Z5709">
        <v>-3.5076740000000002E-2</v>
      </c>
      <c r="AA5709">
        <v>0.99896770000000001</v>
      </c>
      <c r="AB5709">
        <v>31</v>
      </c>
      <c r="AC5709">
        <v>-2.1725000000000101</v>
      </c>
      <c r="AD5709">
        <v>-1.1104909553169999</v>
      </c>
      <c r="AE5709">
        <v>25.532954</v>
      </c>
      <c r="AF5709">
        <v>-0.74768282473569303</v>
      </c>
      <c r="AG5709">
        <v>-1.1104909553169999</v>
      </c>
      <c r="AH5709">
        <v>25.566247607251899</v>
      </c>
      <c r="AI5709">
        <v>92.486064320875201</v>
      </c>
      <c r="AJ5709">
        <v>91.675132943648606</v>
      </c>
      <c r="AK5709">
        <v>25.601274118363001</v>
      </c>
      <c r="AL5709">
        <v>81.203109914278897</v>
      </c>
      <c r="AM5709">
        <v>96.715679891597205</v>
      </c>
      <c r="AN5709">
        <v>1.0000000211998199</v>
      </c>
    </row>
    <row r="5710" spans="1:40" x14ac:dyDescent="0.25">
      <c r="A5710" t="str">
        <f>"20190304155530275"</f>
        <v>20190304155530275</v>
      </c>
      <c r="B5710" t="str">
        <f>"1551686130263824"</f>
        <v>1551686130263824</v>
      </c>
      <c r="C5710" t="s">
        <v>40</v>
      </c>
      <c r="D5710">
        <v>4.5978199999999996</v>
      </c>
      <c r="E5710">
        <v>0.53129919999999997</v>
      </c>
      <c r="F5710" t="s">
        <v>46</v>
      </c>
      <c r="G5710">
        <v>-189.3485</v>
      </c>
      <c r="H5710" s="1">
        <v>-1.8841629999999999E-6</v>
      </c>
      <c r="I5710">
        <v>23.755420000000001</v>
      </c>
      <c r="J5710">
        <v>-187.17179999999999</v>
      </c>
      <c r="K5710">
        <v>1.1104459999999901</v>
      </c>
      <c r="L5710">
        <v>-1.307709</v>
      </c>
      <c r="M5710">
        <v>-5.6717129999999998E-2</v>
      </c>
      <c r="N5710">
        <v>-7.7148809999999998E-3</v>
      </c>
      <c r="O5710">
        <v>0.99836049999999998</v>
      </c>
      <c r="P5710">
        <v>-0.1703896</v>
      </c>
      <c r="Q5710">
        <v>0.14635209999999901</v>
      </c>
      <c r="R5710">
        <v>0.97444779999999998</v>
      </c>
      <c r="S5710">
        <v>-0.2640228</v>
      </c>
      <c r="T5710">
        <v>-0.1335546</v>
      </c>
      <c r="U5710">
        <v>3.0519409999999998</v>
      </c>
      <c r="V5710">
        <v>-0.1152093</v>
      </c>
      <c r="W5710">
        <v>0.1536565</v>
      </c>
      <c r="X5710">
        <v>0.98138499999999995</v>
      </c>
      <c r="Y5710">
        <v>-2.948013E-2</v>
      </c>
      <c r="Z5710">
        <v>-3.5832700000000002E-2</v>
      </c>
      <c r="AA5710">
        <v>0.99892289999999995</v>
      </c>
      <c r="AB5710">
        <v>31</v>
      </c>
      <c r="AC5710">
        <v>-2.1767000000000101</v>
      </c>
      <c r="AD5710">
        <v>-1.1104478841630001</v>
      </c>
      <c r="AE5710">
        <v>25.063129</v>
      </c>
      <c r="AF5710">
        <v>-0.75018330461669003</v>
      </c>
      <c r="AG5710">
        <v>-1.1104478841630001</v>
      </c>
      <c r="AH5710">
        <v>25.097344140512401</v>
      </c>
      <c r="AI5710">
        <v>92.532306151227303</v>
      </c>
      <c r="AJ5710">
        <v>91.712115142996694</v>
      </c>
      <c r="AK5710">
        <v>25.133096753111801</v>
      </c>
      <c r="AL5710">
        <v>81.161114120710195</v>
      </c>
      <c r="AM5710">
        <v>96.695569064580297</v>
      </c>
      <c r="AN5710">
        <v>1.00000001051187</v>
      </c>
    </row>
    <row r="5711" spans="1:40" x14ac:dyDescent="0.25">
      <c r="A5711" t="str">
        <f>"20190304155530298"</f>
        <v>20190304155530298</v>
      </c>
      <c r="B5711" t="str">
        <f>"1551686130293776"</f>
        <v>1551686130293776</v>
      </c>
      <c r="C5711" t="s">
        <v>40</v>
      </c>
      <c r="D5711">
        <v>4.5699339999999999</v>
      </c>
      <c r="E5711">
        <v>0.53072030000000003</v>
      </c>
      <c r="F5711" t="s">
        <v>46</v>
      </c>
      <c r="G5711">
        <v>-189.41640000000001</v>
      </c>
      <c r="H5711" s="1">
        <v>-2.1589659999999999E-6</v>
      </c>
      <c r="I5711">
        <v>24.424050000000001</v>
      </c>
      <c r="J5711">
        <v>-187.1917</v>
      </c>
      <c r="K5711">
        <v>1.1103769999999999</v>
      </c>
      <c r="L5711">
        <v>-0.97665409999999997</v>
      </c>
      <c r="M5711">
        <v>-5.7779850000000001E-2</v>
      </c>
      <c r="N5711">
        <v>-7.72369599999999E-3</v>
      </c>
      <c r="O5711">
        <v>0.99829950000000001</v>
      </c>
      <c r="P5711">
        <v>-0.17135590000000001</v>
      </c>
      <c r="Q5711">
        <v>0.14648529999999901</v>
      </c>
      <c r="R5711">
        <v>0.97425830000000002</v>
      </c>
      <c r="S5711">
        <v>-0.26622010000000002</v>
      </c>
      <c r="T5711">
        <v>-0.13170460000000001</v>
      </c>
      <c r="U5711">
        <v>3.0519099999999999</v>
      </c>
      <c r="V5711">
        <v>-0.1151128</v>
      </c>
      <c r="W5711">
        <v>0.1538176</v>
      </c>
      <c r="X5711">
        <v>0.98137099999999999</v>
      </c>
      <c r="Y5711">
        <v>-2.913278E-2</v>
      </c>
      <c r="Z5711">
        <v>-3.521788E-2</v>
      </c>
      <c r="AA5711">
        <v>0.99895500000000004</v>
      </c>
      <c r="AB5711">
        <v>31</v>
      </c>
      <c r="AC5711">
        <v>-2.2247000000000101</v>
      </c>
      <c r="AD5711">
        <v>-1.1103791589659999</v>
      </c>
      <c r="AE5711">
        <v>25.400704099999999</v>
      </c>
      <c r="AF5711">
        <v>-0.75186462827627798</v>
      </c>
      <c r="AG5711">
        <v>-1.1103791589659999</v>
      </c>
      <c r="AH5711">
        <v>25.438570547304401</v>
      </c>
      <c r="AI5711">
        <v>92.498252168149193</v>
      </c>
      <c r="AJ5711">
        <v>91.692946248223606</v>
      </c>
      <c r="AK5711">
        <v>25.473890825433401</v>
      </c>
      <c r="AL5711">
        <v>81.151771957448105</v>
      </c>
      <c r="AM5711">
        <v>96.690106244491602</v>
      </c>
      <c r="AN5711">
        <v>0.99999992521729697</v>
      </c>
    </row>
    <row r="5712" spans="1:40" x14ac:dyDescent="0.25">
      <c r="A5712" t="str">
        <f>"20190304155530322"</f>
        <v>20190304155530322</v>
      </c>
      <c r="B5712" t="str">
        <f>"1551686130313296"</f>
        <v>1551686130313296</v>
      </c>
      <c r="C5712" t="s">
        <v>40</v>
      </c>
      <c r="D5712">
        <v>4.7178649999999998</v>
      </c>
      <c r="E5712">
        <v>0.53081750000000005</v>
      </c>
      <c r="F5712" t="s">
        <v>46</v>
      </c>
      <c r="G5712">
        <v>-189.4384</v>
      </c>
      <c r="H5712" s="1">
        <v>-2.014003E-6</v>
      </c>
      <c r="I5712">
        <v>24.09526</v>
      </c>
      <c r="J5712">
        <v>-187.21170000000001</v>
      </c>
      <c r="K5712">
        <v>1.110287</v>
      </c>
      <c r="L5712">
        <v>-0.64657589999999998</v>
      </c>
      <c r="M5712">
        <v>-5.8719670000000002E-2</v>
      </c>
      <c r="N5712">
        <v>-7.7323289999999996E-3</v>
      </c>
      <c r="O5712">
        <v>0.99824460000000004</v>
      </c>
      <c r="P5712">
        <v>-0.17196510000000001</v>
      </c>
      <c r="Q5712">
        <v>0.1462415</v>
      </c>
      <c r="R5712">
        <v>0.97418760000000004</v>
      </c>
      <c r="S5712">
        <v>-0.2734528</v>
      </c>
      <c r="T5712">
        <v>-0.1351434</v>
      </c>
      <c r="U5712">
        <v>3.0514830000000002</v>
      </c>
      <c r="V5712">
        <v>-0.11476649999999999</v>
      </c>
      <c r="W5712">
        <v>0.15360839999999901</v>
      </c>
      <c r="X5712">
        <v>0.98144439999999999</v>
      </c>
      <c r="Y5712">
        <v>-3.0549199999999999E-2</v>
      </c>
      <c r="Z5712">
        <v>-3.632585E-2</v>
      </c>
      <c r="AA5712">
        <v>0.99887289999999995</v>
      </c>
      <c r="AB5712">
        <v>32</v>
      </c>
      <c r="AC5712">
        <v>-2.2266999999999899</v>
      </c>
      <c r="AD5712">
        <v>-1.110289014003</v>
      </c>
      <c r="AE5712">
        <v>24.741835900000002</v>
      </c>
      <c r="AF5712">
        <v>-0.76844676697565995</v>
      </c>
      <c r="AG5712">
        <v>-1.110289014003</v>
      </c>
      <c r="AH5712">
        <v>24.780395692036901</v>
      </c>
      <c r="AI5712">
        <v>92.564198474445703</v>
      </c>
      <c r="AJ5712">
        <v>91.776188402623006</v>
      </c>
      <c r="AK5712">
        <v>24.817156621623901</v>
      </c>
      <c r="AL5712">
        <v>81.163903066954305</v>
      </c>
      <c r="AM5712">
        <v>96.669667308880307</v>
      </c>
      <c r="AN5712">
        <v>1.0000000001820799</v>
      </c>
    </row>
    <row r="5713" spans="1:40" x14ac:dyDescent="0.25">
      <c r="A5713" t="str">
        <f>"20190304155530343"</f>
        <v>20190304155530343</v>
      </c>
      <c r="B5713" t="str">
        <f>"1551686130333792"</f>
        <v>1551686130333792</v>
      </c>
      <c r="C5713" t="s">
        <v>40</v>
      </c>
      <c r="D5713">
        <v>3.9112490000000002</v>
      </c>
      <c r="E5713">
        <v>0.47253669999999998</v>
      </c>
      <c r="F5713" t="s">
        <v>46</v>
      </c>
      <c r="G5713">
        <v>-189.4992</v>
      </c>
      <c r="H5713" s="1">
        <v>-2.28323E-6</v>
      </c>
      <c r="I5713">
        <v>24.747969999999999</v>
      </c>
      <c r="J5713">
        <v>-187.23009999999999</v>
      </c>
      <c r="K5713">
        <v>1.1101989999999999</v>
      </c>
      <c r="L5713">
        <v>-0.34686280000000003</v>
      </c>
      <c r="M5713">
        <v>-5.9446409999999998E-2</v>
      </c>
      <c r="N5713">
        <v>-7.7401630000000004E-3</v>
      </c>
      <c r="O5713">
        <v>0.99820149999999996</v>
      </c>
      <c r="P5713">
        <v>-0.17278650000000001</v>
      </c>
      <c r="Q5713">
        <v>0.1465804</v>
      </c>
      <c r="R5713">
        <v>0.9739913</v>
      </c>
      <c r="S5713">
        <v>-0.27482600000000001</v>
      </c>
      <c r="T5713">
        <v>-0.13339419999999999</v>
      </c>
      <c r="U5713">
        <v>3.0509949999999999</v>
      </c>
      <c r="V5713">
        <v>-0.1148487</v>
      </c>
      <c r="W5713">
        <v>0.1539797</v>
      </c>
      <c r="X5713">
        <v>0.98137660000000004</v>
      </c>
      <c r="Y5713">
        <v>-3.028368E-2</v>
      </c>
      <c r="Z5713">
        <v>-3.5752829999999999E-2</v>
      </c>
      <c r="AA5713">
        <v>0.9989017</v>
      </c>
      <c r="AB5713">
        <v>32</v>
      </c>
      <c r="AC5713">
        <v>-2.2690999999999999</v>
      </c>
      <c r="AD5713">
        <v>-1.1102012832299999</v>
      </c>
      <c r="AE5713">
        <v>25.094832799999999</v>
      </c>
      <c r="AF5713">
        <v>-0.77174624803162595</v>
      </c>
      <c r="AG5713">
        <v>-1.1102012832299999</v>
      </c>
      <c r="AH5713">
        <v>25.136545542513201</v>
      </c>
      <c r="AI5713">
        <v>92.527739310814596</v>
      </c>
      <c r="AJ5713">
        <v>91.758551789771005</v>
      </c>
      <c r="AK5713">
        <v>25.172883445713499</v>
      </c>
      <c r="AL5713">
        <v>81.142373010516906</v>
      </c>
      <c r="AM5713">
        <v>96.6748582377312</v>
      </c>
      <c r="AN5713">
        <v>1.00000000146567</v>
      </c>
    </row>
    <row r="5714" spans="1:40" x14ac:dyDescent="0.25">
      <c r="A5714" t="str">
        <f>"20190304155530367"</f>
        <v>20190304155530367</v>
      </c>
      <c r="B5714" t="str">
        <f>"1551686130363072"</f>
        <v>1551686130363072</v>
      </c>
      <c r="C5714" t="s">
        <v>40</v>
      </c>
      <c r="D5714">
        <v>4.4344749999999999</v>
      </c>
      <c r="E5714">
        <v>0.40438370000000001</v>
      </c>
      <c r="F5714" t="s">
        <v>46</v>
      </c>
      <c r="G5714">
        <v>-194.37799999999999</v>
      </c>
      <c r="H5714" s="1">
        <v>-4.6952000000000004E-6</v>
      </c>
      <c r="I5714">
        <v>28.501809999999999</v>
      </c>
      <c r="J5714">
        <v>-187.25129999999999</v>
      </c>
      <c r="K5714">
        <v>1.1100950000000001</v>
      </c>
      <c r="L5714">
        <v>-4.6386719999999999E-3</v>
      </c>
      <c r="M5714">
        <v>-6.0149040000000001E-2</v>
      </c>
      <c r="N5714">
        <v>-7.7492719999999998E-3</v>
      </c>
      <c r="O5714">
        <v>0.99815929999999997</v>
      </c>
      <c r="P5714">
        <v>-0.1735884</v>
      </c>
      <c r="Q5714">
        <v>0.14620920000000001</v>
      </c>
      <c r="R5714">
        <v>0.97390449999999995</v>
      </c>
      <c r="S5714">
        <v>-0.73510739999999997</v>
      </c>
      <c r="T5714">
        <v>-0.1141769</v>
      </c>
      <c r="U5714">
        <v>2.966888</v>
      </c>
      <c r="V5714">
        <v>-0.1149245</v>
      </c>
      <c r="W5714">
        <v>0.15364610000000001</v>
      </c>
      <c r="X5714">
        <v>0.98141999999999996</v>
      </c>
      <c r="Y5714">
        <v>-0.1815397</v>
      </c>
      <c r="Z5714">
        <v>-2.9777919999999999E-2</v>
      </c>
      <c r="AA5714">
        <v>0.98293269999999999</v>
      </c>
      <c r="AB5714">
        <v>32</v>
      </c>
      <c r="AC5714">
        <v>-7.1266999999999996</v>
      </c>
      <c r="AD5714">
        <v>-1.1100996952</v>
      </c>
      <c r="AE5714">
        <v>28.506448671999902</v>
      </c>
      <c r="AF5714">
        <v>-5.3914135817176101</v>
      </c>
      <c r="AG5714">
        <v>-1.1100996952</v>
      </c>
      <c r="AH5714">
        <v>28.8423430440467</v>
      </c>
      <c r="AI5714">
        <v>92.166651442962504</v>
      </c>
      <c r="AJ5714">
        <v>100.58793827582799</v>
      </c>
      <c r="AK5714">
        <v>29.362908813891099</v>
      </c>
      <c r="AL5714">
        <v>81.161716980157095</v>
      </c>
      <c r="AM5714">
        <v>96.678931147732598</v>
      </c>
      <c r="AN5714">
        <v>0.99999999057272904</v>
      </c>
    </row>
    <row r="5715" spans="1:40" x14ac:dyDescent="0.25">
      <c r="A5715" t="str">
        <f>"20190304155530410"</f>
        <v>20190304155530410</v>
      </c>
      <c r="B5715" t="str">
        <f>"1551686130403088"</f>
        <v>1551686130403088</v>
      </c>
      <c r="C5715" t="s">
        <v>40</v>
      </c>
      <c r="D5715">
        <v>4.227411</v>
      </c>
      <c r="E5715">
        <v>0.4009626</v>
      </c>
      <c r="F5715" t="s">
        <v>46</v>
      </c>
      <c r="G5715">
        <v>-201.95689999999999</v>
      </c>
      <c r="H5715">
        <v>7.9985860000000006E-2</v>
      </c>
      <c r="I5715">
        <v>33.130099999999999</v>
      </c>
      <c r="J5715">
        <v>-187.28909999999999</v>
      </c>
      <c r="K5715">
        <v>1.109901</v>
      </c>
      <c r="L5715">
        <v>0.60452269999999997</v>
      </c>
      <c r="M5715">
        <v>-6.1028249999999999E-2</v>
      </c>
      <c r="N5715">
        <v>-7.7656849999999996E-3</v>
      </c>
      <c r="O5715">
        <v>0.99810580000000004</v>
      </c>
      <c r="P5715">
        <v>-0.1743624</v>
      </c>
      <c r="Q5715">
        <v>0.1458286</v>
      </c>
      <c r="R5715">
        <v>0.9738232</v>
      </c>
      <c r="S5715">
        <v>-1.2724</v>
      </c>
      <c r="T5715">
        <v>-8.9129920000000001E-2</v>
      </c>
      <c r="U5715">
        <v>2.8669739999999999</v>
      </c>
      <c r="V5715">
        <v>-0.1147659</v>
      </c>
      <c r="W5715">
        <v>0.15333459999999999</v>
      </c>
      <c r="X5715">
        <v>0.98148729999999995</v>
      </c>
      <c r="Y5715">
        <v>-0.34898129999999999</v>
      </c>
      <c r="Z5715">
        <v>-2.1000230000000002E-2</v>
      </c>
      <c r="AA5715">
        <v>0.93689440000000002</v>
      </c>
      <c r="AB5715">
        <v>32</v>
      </c>
      <c r="AC5715">
        <v>-14.6678</v>
      </c>
      <c r="AD5715">
        <v>-1.02991514</v>
      </c>
      <c r="AE5715">
        <v>32.525577300000002</v>
      </c>
      <c r="AF5715">
        <v>-12.644883314061101</v>
      </c>
      <c r="AG5715">
        <v>-1.02991514</v>
      </c>
      <c r="AH5715">
        <v>33.332351546225397</v>
      </c>
      <c r="AI5715">
        <v>91.654782768979601</v>
      </c>
      <c r="AJ5715">
        <v>110.77462526598001</v>
      </c>
      <c r="AK5715">
        <v>35.665101413328102</v>
      </c>
      <c r="AL5715">
        <v>81.179778867281101</v>
      </c>
      <c r="AM5715">
        <v>96.669343856072004</v>
      </c>
      <c r="AN5715">
        <v>1.0000000157106299</v>
      </c>
    </row>
    <row r="5716" spans="1:40" x14ac:dyDescent="0.25">
      <c r="A5716" t="str">
        <f>"20190304155530432"</f>
        <v>20190304155530432</v>
      </c>
      <c r="B5716" t="str">
        <f>"1551686130423584"</f>
        <v>1551686130423584</v>
      </c>
      <c r="C5716" t="s">
        <v>40</v>
      </c>
      <c r="D5716">
        <v>4.2286029999999997</v>
      </c>
      <c r="E5716">
        <v>0.4107864</v>
      </c>
      <c r="F5716" t="s">
        <v>53</v>
      </c>
      <c r="G5716">
        <v>-212.2252</v>
      </c>
      <c r="H5716">
        <v>-2.216166E-2</v>
      </c>
      <c r="I5716">
        <v>55.357480000000002</v>
      </c>
      <c r="J5716">
        <v>-187.30860000000001</v>
      </c>
      <c r="K5716">
        <v>1.1097919999999999</v>
      </c>
      <c r="L5716">
        <v>0.91897580000000001</v>
      </c>
      <c r="M5716">
        <v>-6.1279970000000003E-2</v>
      </c>
      <c r="N5716">
        <v>-7.7744279999999999E-3</v>
      </c>
      <c r="O5716">
        <v>0.99809029999999999</v>
      </c>
      <c r="P5716">
        <v>-0.1749483</v>
      </c>
      <c r="Q5716">
        <v>0.14599300000000001</v>
      </c>
      <c r="R5716">
        <v>0.97369349999999999</v>
      </c>
      <c r="S5716">
        <v>-1.300964</v>
      </c>
      <c r="T5716">
        <v>-5.9061049999999997E-2</v>
      </c>
      <c r="U5716">
        <v>2.8565670000000001</v>
      </c>
      <c r="V5716">
        <v>-0.1150716</v>
      </c>
      <c r="W5716">
        <v>0.15353629999999999</v>
      </c>
      <c r="X5716">
        <v>0.98141999999999996</v>
      </c>
      <c r="Y5716">
        <v>-0.35785850000000002</v>
      </c>
      <c r="Z5716">
        <v>-1.131996E-2</v>
      </c>
      <c r="AA5716">
        <v>0.93370719999999996</v>
      </c>
      <c r="AB5716">
        <v>32</v>
      </c>
      <c r="AC5716">
        <v>-24.916599999999899</v>
      </c>
      <c r="AD5716">
        <v>-1.13195366</v>
      </c>
      <c r="AE5716">
        <v>54.438504199999997</v>
      </c>
      <c r="AF5716">
        <v>-21.525983524180401</v>
      </c>
      <c r="AG5716">
        <v>-1.13195366</v>
      </c>
      <c r="AH5716">
        <v>55.843159506663802</v>
      </c>
      <c r="AI5716">
        <v>91.083545701656305</v>
      </c>
      <c r="AJ5716">
        <v>111.08026256325201</v>
      </c>
      <c r="AK5716">
        <v>59.859065724903999</v>
      </c>
      <c r="AL5716">
        <v>81.168084062127804</v>
      </c>
      <c r="AM5716">
        <v>96.687402604386804</v>
      </c>
      <c r="AN5716">
        <v>1.00000004247212</v>
      </c>
    </row>
    <row r="5717" spans="1:40" x14ac:dyDescent="0.25">
      <c r="A5717" t="str">
        <f>"20190304155530454"</f>
        <v>20190304155530454</v>
      </c>
      <c r="B5717" t="str">
        <f>"1551686130443105"</f>
        <v>1551686130443105</v>
      </c>
      <c r="C5717" t="s">
        <v>40</v>
      </c>
      <c r="D5717">
        <v>4.0330640000000004</v>
      </c>
      <c r="E5717">
        <v>0.41511670000000001</v>
      </c>
      <c r="F5717" t="s">
        <v>47</v>
      </c>
      <c r="G5717">
        <v>-208.28039999999999</v>
      </c>
      <c r="H5717">
        <v>-0.05</v>
      </c>
      <c r="I5717">
        <v>50.05677</v>
      </c>
      <c r="J5717">
        <v>-187.32859999999999</v>
      </c>
      <c r="K5717">
        <v>1.1096710000000001</v>
      </c>
      <c r="L5717">
        <v>1.240723</v>
      </c>
      <c r="M5717">
        <v>-6.1408209999999998E-2</v>
      </c>
      <c r="N5717">
        <v>-7.7835909999999899E-3</v>
      </c>
      <c r="O5717">
        <v>0.99808240000000004</v>
      </c>
      <c r="P5717">
        <v>-0.17549979999999901</v>
      </c>
      <c r="Q5717">
        <v>0.146095</v>
      </c>
      <c r="R5717">
        <v>0.97357899999999997</v>
      </c>
      <c r="S5717">
        <v>-1.225357</v>
      </c>
      <c r="T5717">
        <v>-6.7765240000000004E-2</v>
      </c>
      <c r="U5717">
        <v>2.8710629999999999</v>
      </c>
      <c r="V5717">
        <v>-0.1154616</v>
      </c>
      <c r="W5717">
        <v>0.15367720000000001</v>
      </c>
      <c r="X5717">
        <v>0.98135209999999995</v>
      </c>
      <c r="Y5717">
        <v>-0.33524080000000001</v>
      </c>
      <c r="Z5717">
        <v>-1.4207249999999999E-2</v>
      </c>
      <c r="AA5717">
        <v>0.94202540000000001</v>
      </c>
      <c r="AB5717">
        <v>32</v>
      </c>
      <c r="AC5717">
        <v>-20.951799999999899</v>
      </c>
      <c r="AD5717">
        <v>-1.1596709999999999</v>
      </c>
      <c r="AE5717">
        <v>48.816046999999998</v>
      </c>
      <c r="AF5717">
        <v>-17.905925974981699</v>
      </c>
      <c r="AG5717">
        <v>-1.1596709999999999</v>
      </c>
      <c r="AH5717">
        <v>49.986742549620701</v>
      </c>
      <c r="AI5717">
        <v>91.251174844347005</v>
      </c>
      <c r="AJ5717">
        <v>109.708209598675</v>
      </c>
      <c r="AK5717">
        <v>53.109711471366701</v>
      </c>
      <c r="AL5717">
        <v>81.159913779770093</v>
      </c>
      <c r="AM5717">
        <v>96.710321219522299</v>
      </c>
      <c r="AN5717">
        <v>1.0000000035244001</v>
      </c>
    </row>
    <row r="5718" spans="1:40" x14ac:dyDescent="0.25">
      <c r="A5718" t="str">
        <f>"20190304155530476"</f>
        <v>20190304155530476</v>
      </c>
      <c r="B5718" t="str">
        <f>"1551686130473360"</f>
        <v>1551686130473360</v>
      </c>
      <c r="C5718" t="s">
        <v>40</v>
      </c>
      <c r="D5718">
        <v>4.1884880000000004</v>
      </c>
      <c r="E5718">
        <v>0.41705429999999999</v>
      </c>
      <c r="F5718" t="s">
        <v>46</v>
      </c>
      <c r="G5718">
        <v>-204.2473</v>
      </c>
      <c r="H5718">
        <v>7.9986290000000002E-2</v>
      </c>
      <c r="I5718">
        <v>42.052950000000003</v>
      </c>
      <c r="J5718">
        <v>-187.34729999999999</v>
      </c>
      <c r="K5718">
        <v>1.1095710000000001</v>
      </c>
      <c r="L5718">
        <v>1.544281</v>
      </c>
      <c r="M5718">
        <v>-6.1393509999999998E-2</v>
      </c>
      <c r="N5718">
        <v>-7.7923669999999997E-3</v>
      </c>
      <c r="O5718">
        <v>0.99808319999999995</v>
      </c>
      <c r="P5718">
        <v>-0.17513589999999901</v>
      </c>
      <c r="Q5718">
        <v>0.1468904</v>
      </c>
      <c r="R5718">
        <v>0.97352479999999997</v>
      </c>
      <c r="S5718">
        <v>-1.19278</v>
      </c>
      <c r="T5718">
        <v>-7.2593450000000004E-2</v>
      </c>
      <c r="U5718">
        <v>2.8772890000000002</v>
      </c>
      <c r="V5718">
        <v>-0.11507539999999999</v>
      </c>
      <c r="W5718">
        <v>0.15451210000000001</v>
      </c>
      <c r="X5718">
        <v>0.98126639999999998</v>
      </c>
      <c r="Y5718">
        <v>-0.32542549999999998</v>
      </c>
      <c r="Z5718">
        <v>-1.579941E-2</v>
      </c>
      <c r="AA5718">
        <v>0.94543569999999999</v>
      </c>
      <c r="AB5718">
        <v>32</v>
      </c>
      <c r="AC5718">
        <v>-16.899999999999999</v>
      </c>
      <c r="AD5718">
        <v>-1.02958471</v>
      </c>
      <c r="AE5718">
        <v>40.508668999999998</v>
      </c>
      <c r="AF5718">
        <v>-14.3731651391432</v>
      </c>
      <c r="AG5718">
        <v>-1.02958471</v>
      </c>
      <c r="AH5718">
        <v>41.447027000666601</v>
      </c>
      <c r="AI5718">
        <v>91.344473864971704</v>
      </c>
      <c r="AJ5718">
        <v>109.12572674482099</v>
      </c>
      <c r="AK5718">
        <v>43.880564809333698</v>
      </c>
      <c r="AL5718">
        <v>81.111499620644807</v>
      </c>
      <c r="AM5718">
        <v>96.688658787010496</v>
      </c>
      <c r="AN5718">
        <v>1.00000004225026</v>
      </c>
    </row>
    <row r="5719" spans="1:40" x14ac:dyDescent="0.25">
      <c r="A5719" t="str">
        <f>"20190304155530499"</f>
        <v>20190304155530499</v>
      </c>
      <c r="B5719" t="str">
        <f>"1551686130493856"</f>
        <v>1551686130493856</v>
      </c>
      <c r="C5719" t="s">
        <v>40</v>
      </c>
      <c r="D5719">
        <v>4.1584289999999999</v>
      </c>
      <c r="E5719">
        <v>0.41964859999999998</v>
      </c>
      <c r="F5719" t="s">
        <v>46</v>
      </c>
      <c r="G5719">
        <v>-204.00110000000001</v>
      </c>
      <c r="H5719">
        <v>7.9986189999999999E-2</v>
      </c>
      <c r="I5719">
        <v>42.329239999999999</v>
      </c>
      <c r="J5719">
        <v>-187.36850000000001</v>
      </c>
      <c r="K5719">
        <v>1.1094360000000001</v>
      </c>
      <c r="L5719">
        <v>1.8897090000000001</v>
      </c>
      <c r="M5719">
        <v>-6.120801E-2</v>
      </c>
      <c r="N5719">
        <v>-7.8026459999999999E-3</v>
      </c>
      <c r="O5719">
        <v>0.99809460000000005</v>
      </c>
      <c r="P5719">
        <v>-0.17384829999999901</v>
      </c>
      <c r="Q5719">
        <v>0.14748820000000001</v>
      </c>
      <c r="R5719">
        <v>0.97366520000000001</v>
      </c>
      <c r="S5719">
        <v>-1.1763760000000001</v>
      </c>
      <c r="T5719">
        <v>-7.2726609999999997E-2</v>
      </c>
      <c r="U5719">
        <v>2.8809200000000001</v>
      </c>
      <c r="V5719">
        <v>-0.1139131</v>
      </c>
      <c r="W5719">
        <v>0.15515789999999999</v>
      </c>
      <c r="X5719">
        <v>0.98130010000000001</v>
      </c>
      <c r="Y5719">
        <v>-0.32057089999999999</v>
      </c>
      <c r="Z5719">
        <v>-1.5848319999999999E-2</v>
      </c>
      <c r="AA5719">
        <v>0.94709189999999999</v>
      </c>
      <c r="AB5719">
        <v>32</v>
      </c>
      <c r="AC5719">
        <v>-16.632599999999901</v>
      </c>
      <c r="AD5719">
        <v>-1.02944981</v>
      </c>
      <c r="AE5719">
        <v>40.439531000000002</v>
      </c>
      <c r="AF5719">
        <v>-14.118288738511399</v>
      </c>
      <c r="AG5719">
        <v>-1.02944981</v>
      </c>
      <c r="AH5719">
        <v>41.358858790207002</v>
      </c>
      <c r="AI5719">
        <v>91.349411216732406</v>
      </c>
      <c r="AJ5719">
        <v>108.847887709693</v>
      </c>
      <c r="AK5719">
        <v>43.7143116638427</v>
      </c>
      <c r="AL5719">
        <v>81.074046198571594</v>
      </c>
      <c r="AM5719">
        <v>96.621478683781305</v>
      </c>
      <c r="AN5719">
        <v>1.00000002727201</v>
      </c>
    </row>
    <row r="5720" spans="1:40" x14ac:dyDescent="0.25">
      <c r="A5720" t="str">
        <f>"20190304155530522"</f>
        <v>20190304155530522</v>
      </c>
      <c r="B5720" t="str">
        <f>"1551686130513376"</f>
        <v>1551686130513376</v>
      </c>
      <c r="C5720" t="s">
        <v>40</v>
      </c>
      <c r="D5720">
        <v>4.2458419999999997</v>
      </c>
      <c r="E5720">
        <v>0.42178559999999998</v>
      </c>
      <c r="F5720" t="s">
        <v>46</v>
      </c>
      <c r="G5720">
        <v>-203.631</v>
      </c>
      <c r="H5720">
        <v>7.9986100000000004E-2</v>
      </c>
      <c r="I5720">
        <v>42.619100000000003</v>
      </c>
      <c r="J5720">
        <v>-187.38759999999999</v>
      </c>
      <c r="K5720">
        <v>1.1093</v>
      </c>
      <c r="L5720">
        <v>2.2063290000000002</v>
      </c>
      <c r="M5720">
        <v>-6.0868949999999998E-2</v>
      </c>
      <c r="N5720">
        <v>-7.8125090000000005E-3</v>
      </c>
      <c r="O5720">
        <v>0.99811519999999998</v>
      </c>
      <c r="P5720">
        <v>-0.17278279999999999</v>
      </c>
      <c r="Q5720">
        <v>0.14728629999999901</v>
      </c>
      <c r="R5720">
        <v>0.97388540000000001</v>
      </c>
      <c r="S5720">
        <v>-1.152496</v>
      </c>
      <c r="T5720">
        <v>-7.2955130000000007E-2</v>
      </c>
      <c r="U5720">
        <v>2.8864139999999998</v>
      </c>
      <c r="V5720">
        <v>-0.113118899999999</v>
      </c>
      <c r="W5720">
        <v>0.15500340000000001</v>
      </c>
      <c r="X5720">
        <v>0.98141630000000002</v>
      </c>
      <c r="Y5720">
        <v>-0.31351430000000002</v>
      </c>
      <c r="Z5720">
        <v>-1.593311E-2</v>
      </c>
      <c r="AA5720">
        <v>0.94944980000000001</v>
      </c>
      <c r="AB5720">
        <v>32</v>
      </c>
      <c r="AC5720">
        <v>-16.243399999999902</v>
      </c>
      <c r="AD5720">
        <v>-1.0293139</v>
      </c>
      <c r="AE5720">
        <v>40.412770999999999</v>
      </c>
      <c r="AF5720">
        <v>-13.7456442405727</v>
      </c>
      <c r="AG5720">
        <v>-1.0293139</v>
      </c>
      <c r="AH5720">
        <v>41.303512774264703</v>
      </c>
      <c r="AI5720">
        <v>91.354546056928299</v>
      </c>
      <c r="AJ5720">
        <v>108.407236622553</v>
      </c>
      <c r="AK5720">
        <v>43.542879902309799</v>
      </c>
      <c r="AL5720">
        <v>81.083006079268699</v>
      </c>
      <c r="AM5720">
        <v>96.574947820401306</v>
      </c>
      <c r="AN5720">
        <v>0.99999994672722803</v>
      </c>
    </row>
    <row r="5721" spans="1:40" x14ac:dyDescent="0.25">
      <c r="A5721" t="str">
        <f>"20190304155530543"</f>
        <v>20190304155530543</v>
      </c>
      <c r="B5721" t="str">
        <f>"1551686130533872"</f>
        <v>1551686130533872</v>
      </c>
      <c r="C5721" t="s">
        <v>40</v>
      </c>
      <c r="D5721">
        <v>4.1730269999999896</v>
      </c>
      <c r="E5721">
        <v>0.4228787</v>
      </c>
      <c r="F5721" t="s">
        <v>46</v>
      </c>
      <c r="G5721">
        <v>-203.0941</v>
      </c>
      <c r="H5721">
        <v>7.9986160000000001E-2</v>
      </c>
      <c r="I5721">
        <v>42.310090000000002</v>
      </c>
      <c r="J5721">
        <v>-187.4068</v>
      </c>
      <c r="K5721">
        <v>1.109162</v>
      </c>
      <c r="L5721">
        <v>2.5282589999999998</v>
      </c>
      <c r="M5721">
        <v>-6.0348560000000002E-2</v>
      </c>
      <c r="N5721">
        <v>-7.8228359999999997E-3</v>
      </c>
      <c r="O5721">
        <v>0.99814669999999905</v>
      </c>
      <c r="P5721">
        <v>-0.1712484</v>
      </c>
      <c r="Q5721">
        <v>0.14674970000000001</v>
      </c>
      <c r="R5721">
        <v>0.97423740000000003</v>
      </c>
      <c r="S5721">
        <v>-1.132172</v>
      </c>
      <c r="T5721">
        <v>-7.4196219999999993E-2</v>
      </c>
      <c r="U5721">
        <v>2.8908079999999998</v>
      </c>
      <c r="V5721">
        <v>-0.1120259</v>
      </c>
      <c r="W5721">
        <v>0.15451679999999901</v>
      </c>
      <c r="X5721">
        <v>0.98161849999999995</v>
      </c>
      <c r="Y5721">
        <v>-0.30773040000000002</v>
      </c>
      <c r="Z5721">
        <v>-1.6343239999999998E-2</v>
      </c>
      <c r="AA5721">
        <v>0.95133319999999999</v>
      </c>
      <c r="AB5721">
        <v>32</v>
      </c>
      <c r="AC5721">
        <v>-15.687299999999899</v>
      </c>
      <c r="AD5721">
        <v>-1.02917584</v>
      </c>
      <c r="AE5721">
        <v>39.781830999999997</v>
      </c>
      <c r="AF5721">
        <v>-13.2501816082691</v>
      </c>
      <c r="AG5721">
        <v>-1.02917584</v>
      </c>
      <c r="AH5721">
        <v>40.632518745838503</v>
      </c>
      <c r="AI5721">
        <v>91.379463648058703</v>
      </c>
      <c r="AJ5721">
        <v>108.061041965459</v>
      </c>
      <c r="AK5721">
        <v>42.750767188352</v>
      </c>
      <c r="AL5721">
        <v>81.1112272309649</v>
      </c>
      <c r="AM5721">
        <v>96.510636501521901</v>
      </c>
      <c r="AN5721">
        <v>1.0000000616476401</v>
      </c>
    </row>
    <row r="5722" spans="1:40" x14ac:dyDescent="0.25">
      <c r="A5722" t="str">
        <f>"20190304155530590"</f>
        <v>20190304155530590</v>
      </c>
      <c r="B5722" t="str">
        <f>"1551686130583648"</f>
        <v>1551686130583648</v>
      </c>
      <c r="C5722" t="s">
        <v>40</v>
      </c>
      <c r="D5722">
        <v>5.2963789999999999</v>
      </c>
      <c r="E5722">
        <v>0.42327779999999998</v>
      </c>
      <c r="F5722" t="s">
        <v>46</v>
      </c>
      <c r="G5722">
        <v>-202.56620000000001</v>
      </c>
      <c r="H5722">
        <v>7.9986299999999996E-2</v>
      </c>
      <c r="I5722">
        <v>41.756439999999998</v>
      </c>
      <c r="J5722">
        <v>-187.4453</v>
      </c>
      <c r="K5722">
        <v>1.108897</v>
      </c>
      <c r="L5722">
        <v>3.1903079999999999</v>
      </c>
      <c r="M5722">
        <v>-5.8856640000000002E-2</v>
      </c>
      <c r="N5722">
        <v>-7.8440719999999901E-3</v>
      </c>
      <c r="O5722">
        <v>0.9982356</v>
      </c>
      <c r="P5722">
        <v>-0.1680249</v>
      </c>
      <c r="Q5722">
        <v>0.14651789999999901</v>
      </c>
      <c r="R5722">
        <v>0.97483339999999996</v>
      </c>
      <c r="S5722">
        <v>-1.1184229999999999</v>
      </c>
      <c r="T5722">
        <v>-7.5930239999999996E-2</v>
      </c>
      <c r="U5722">
        <v>2.8941650000000001</v>
      </c>
      <c r="V5722">
        <v>-0.11014599999999999</v>
      </c>
      <c r="W5722">
        <v>0.1543745</v>
      </c>
      <c r="X5722">
        <v>0.98185350000000005</v>
      </c>
      <c r="Y5722">
        <v>-0.30484689999999998</v>
      </c>
      <c r="Z5722">
        <v>-1.6890329999999999E-2</v>
      </c>
      <c r="AA5722">
        <v>0.95225159999999998</v>
      </c>
      <c r="AB5722">
        <v>32</v>
      </c>
      <c r="AC5722">
        <v>-15.120900000000001</v>
      </c>
      <c r="AD5722">
        <v>-1.0289107</v>
      </c>
      <c r="AE5722">
        <v>38.566132000000003</v>
      </c>
      <c r="AF5722">
        <v>-12.816835449888501</v>
      </c>
      <c r="AG5722">
        <v>-1.0289107</v>
      </c>
      <c r="AH5722">
        <v>39.364978427656801</v>
      </c>
      <c r="AI5722">
        <v>91.423710296776406</v>
      </c>
      <c r="AJ5722">
        <v>108.03472095910099</v>
      </c>
      <c r="AK5722">
        <v>41.411730883748099</v>
      </c>
      <c r="AL5722">
        <v>81.119478539300303</v>
      </c>
      <c r="AM5722">
        <v>96.400777078538496</v>
      </c>
      <c r="AN5722">
        <v>0.99999996151424897</v>
      </c>
    </row>
    <row r="5723" spans="1:40" x14ac:dyDescent="0.25">
      <c r="A5723" t="str">
        <f>"20190304155530614"</f>
        <v>20190304155530614</v>
      </c>
      <c r="B5723" t="str">
        <f>"1551686130603168"</f>
        <v>1551686130603168</v>
      </c>
      <c r="C5723" t="s">
        <v>40</v>
      </c>
      <c r="D5723">
        <v>4.3479380000000001</v>
      </c>
      <c r="E5723">
        <v>0.49963570000000002</v>
      </c>
      <c r="F5723" t="s">
        <v>46</v>
      </c>
      <c r="G5723">
        <v>-200.9511</v>
      </c>
      <c r="H5723">
        <v>7.9985689999999998E-2</v>
      </c>
      <c r="I5723">
        <v>38.617159999999998</v>
      </c>
      <c r="J5723">
        <v>-187.46600000000001</v>
      </c>
      <c r="K5723">
        <v>1.1087720000000001</v>
      </c>
      <c r="L5723">
        <v>3.5592350000000001</v>
      </c>
      <c r="M5723">
        <v>-5.7799789999999997E-2</v>
      </c>
      <c r="N5723">
        <v>-7.8559249999999997E-3</v>
      </c>
      <c r="O5723">
        <v>0.99829730000000005</v>
      </c>
      <c r="P5723">
        <v>-0.16535339999999901</v>
      </c>
      <c r="Q5723">
        <v>0.1462136</v>
      </c>
      <c r="R5723">
        <v>0.97533579999999998</v>
      </c>
      <c r="S5723">
        <v>-1.1054079999999999</v>
      </c>
      <c r="T5723">
        <v>-8.4212899999999993E-2</v>
      </c>
      <c r="U5723">
        <v>2.8995669999999998</v>
      </c>
      <c r="V5723">
        <v>-0.1084447</v>
      </c>
      <c r="W5723">
        <v>0.1541139</v>
      </c>
      <c r="X5723">
        <v>0.98208379999999995</v>
      </c>
      <c r="Y5723">
        <v>-0.30151020000000001</v>
      </c>
      <c r="Z5723">
        <v>-1.9554220000000001E-2</v>
      </c>
      <c r="AA5723">
        <v>0.95326239999999995</v>
      </c>
      <c r="AB5723">
        <v>33</v>
      </c>
      <c r="AC5723">
        <v>-13.485099999999999</v>
      </c>
      <c r="AD5723">
        <v>-1.0287863100000001</v>
      </c>
      <c r="AE5723">
        <v>35.057924999999997</v>
      </c>
      <c r="AF5723">
        <v>-11.4275784629142</v>
      </c>
      <c r="AG5723">
        <v>-1.0287863100000001</v>
      </c>
      <c r="AH5723">
        <v>35.751951761659299</v>
      </c>
      <c r="AI5723">
        <v>91.5700580412813</v>
      </c>
      <c r="AJ5723">
        <v>107.725704112031</v>
      </c>
      <c r="AK5723">
        <v>37.547969393373499</v>
      </c>
      <c r="AL5723">
        <v>81.134590734651994</v>
      </c>
      <c r="AM5723">
        <v>96.301247241228296</v>
      </c>
      <c r="AN5723">
        <v>0.99999996867686902</v>
      </c>
    </row>
    <row r="5724" spans="1:40" x14ac:dyDescent="0.25">
      <c r="A5724" t="str">
        <f>"20190304155530638"</f>
        <v>20190304155530638</v>
      </c>
      <c r="B5724" t="str">
        <f>"1551686130633424"</f>
        <v>1551686130633424</v>
      </c>
      <c r="C5724" t="s">
        <v>40</v>
      </c>
      <c r="D5724">
        <v>4.4199359999999999</v>
      </c>
      <c r="E5724">
        <v>0.52261629999999903</v>
      </c>
      <c r="F5724" t="s">
        <v>46</v>
      </c>
      <c r="G5724">
        <v>-196.76990000000001</v>
      </c>
      <c r="H5724" s="1">
        <v>-1.8728540000000001E-6</v>
      </c>
      <c r="I5724">
        <v>59.755890000000001</v>
      </c>
      <c r="J5724">
        <v>-187.48480000000001</v>
      </c>
      <c r="K5724">
        <v>1.108657</v>
      </c>
      <c r="L5724">
        <v>3.9006349999999999</v>
      </c>
      <c r="M5724">
        <v>-5.6691489999999997E-2</v>
      </c>
      <c r="N5724">
        <v>-7.8670330000000007E-3</v>
      </c>
      <c r="O5724">
        <v>0.99836080000000005</v>
      </c>
      <c r="P5724">
        <v>-0.16306779999999901</v>
      </c>
      <c r="Q5724">
        <v>0.14579610000000001</v>
      </c>
      <c r="R5724">
        <v>0.97578299999999996</v>
      </c>
      <c r="S5724">
        <v>-0.49676510000000001</v>
      </c>
      <c r="T5724">
        <v>-5.9200999999999997E-2</v>
      </c>
      <c r="U5724">
        <v>3.0005190000000002</v>
      </c>
      <c r="V5724">
        <v>-0.10718900000000001</v>
      </c>
      <c r="W5724">
        <v>0.1537356</v>
      </c>
      <c r="X5724">
        <v>0.98228099999999996</v>
      </c>
      <c r="Y5724">
        <v>-0.1071192</v>
      </c>
      <c r="Z5724">
        <v>-1.166004E-2</v>
      </c>
      <c r="AA5724">
        <v>0.9941778</v>
      </c>
      <c r="AB5724">
        <v>33</v>
      </c>
      <c r="AC5724">
        <v>-9.2850999999999999</v>
      </c>
      <c r="AD5724">
        <v>-1.1086588728540001</v>
      </c>
      <c r="AE5724">
        <v>55.855255</v>
      </c>
      <c r="AF5724">
        <v>-6.1012117180644498</v>
      </c>
      <c r="AG5724">
        <v>-1.1086588728540001</v>
      </c>
      <c r="AH5724">
        <v>56.2702494453873</v>
      </c>
      <c r="AI5724">
        <v>91.122143026343096</v>
      </c>
      <c r="AJ5724">
        <v>96.188231928494403</v>
      </c>
      <c r="AK5724">
        <v>56.610907796741103</v>
      </c>
      <c r="AL5724">
        <v>81.156527787638495</v>
      </c>
      <c r="AM5724">
        <v>96.227620193279506</v>
      </c>
      <c r="AN5724">
        <v>1.00000003969467</v>
      </c>
    </row>
    <row r="5725" spans="1:40" x14ac:dyDescent="0.25">
      <c r="A5725" t="str">
        <f>"20190304155530680"</f>
        <v>20190304155530680</v>
      </c>
      <c r="B5725" t="str">
        <f>"1551686130673441"</f>
        <v>1551686130673441</v>
      </c>
      <c r="C5725" t="s">
        <v>40</v>
      </c>
      <c r="D5725">
        <v>4.4005960000000002</v>
      </c>
      <c r="E5725">
        <v>0.53088100000000005</v>
      </c>
      <c r="F5725" t="s">
        <v>46</v>
      </c>
      <c r="G5725">
        <v>-189.50659999999999</v>
      </c>
      <c r="H5725" s="1">
        <v>-1.906474E-6</v>
      </c>
      <c r="I5725">
        <v>23.872810000000001</v>
      </c>
      <c r="J5725">
        <v>-187.51689999999999</v>
      </c>
      <c r="K5725">
        <v>1.108466</v>
      </c>
      <c r="L5725">
        <v>4.5082089999999999</v>
      </c>
      <c r="M5725">
        <v>-5.439335E-2</v>
      </c>
      <c r="N5725">
        <v>-7.8877129999999993E-3</v>
      </c>
      <c r="O5725">
        <v>0.99848840000000005</v>
      </c>
      <c r="P5725">
        <v>-0.15762799999999999</v>
      </c>
      <c r="Q5725">
        <v>0.14563129999999999</v>
      </c>
      <c r="R5725">
        <v>0.97670100000000004</v>
      </c>
      <c r="S5725">
        <v>-0.30857849999999998</v>
      </c>
      <c r="T5725">
        <v>-0.16920379999999999</v>
      </c>
      <c r="U5725">
        <v>3.0481569999999998</v>
      </c>
      <c r="V5725">
        <v>-0.1038953</v>
      </c>
      <c r="W5725">
        <v>0.15363949999999901</v>
      </c>
      <c r="X5725">
        <v>0.98264980000000002</v>
      </c>
      <c r="Y5725">
        <v>-4.6327840000000002E-2</v>
      </c>
      <c r="Z5725">
        <v>-4.727609E-2</v>
      </c>
      <c r="AA5725">
        <v>0.997807</v>
      </c>
      <c r="AB5725">
        <v>33</v>
      </c>
      <c r="AC5725">
        <v>-1.98969999999999</v>
      </c>
      <c r="AD5725">
        <v>-1.108467906474</v>
      </c>
      <c r="AE5725">
        <v>19.364601</v>
      </c>
      <c r="AF5725">
        <v>-0.93039917894130897</v>
      </c>
      <c r="AG5725">
        <v>-1.108467906474</v>
      </c>
      <c r="AH5725">
        <v>19.3813191901334</v>
      </c>
      <c r="AI5725">
        <v>93.269571341613599</v>
      </c>
      <c r="AJ5725">
        <v>92.748370907035493</v>
      </c>
      <c r="AK5725">
        <v>19.435274046992301</v>
      </c>
      <c r="AL5725">
        <v>81.162099576563506</v>
      </c>
      <c r="AM5725">
        <v>96.0354444368201</v>
      </c>
      <c r="AN5725">
        <v>0.99999997938118901</v>
      </c>
    </row>
    <row r="5726" spans="1:40" x14ac:dyDescent="0.25">
      <c r="A5726" t="str">
        <f>"20190304155530701"</f>
        <v>20190304155530701</v>
      </c>
      <c r="B5726" t="str">
        <f>"1551686130693936"</f>
        <v>1551686130693936</v>
      </c>
      <c r="C5726" t="s">
        <v>40</v>
      </c>
      <c r="D5726">
        <v>4.5557639999999999</v>
      </c>
      <c r="E5726">
        <v>0.53235239999999995</v>
      </c>
      <c r="F5726" t="s">
        <v>46</v>
      </c>
      <c r="G5726">
        <v>-188.8212</v>
      </c>
      <c r="H5726" s="1">
        <v>-1.3098810000000001E-6</v>
      </c>
      <c r="I5726">
        <v>22.198720000000002</v>
      </c>
      <c r="J5726">
        <v>-187.53319999999999</v>
      </c>
      <c r="K5726">
        <v>1.108365</v>
      </c>
      <c r="L5726">
        <v>4.8304749999999999</v>
      </c>
      <c r="M5726">
        <v>-5.3046530000000001E-2</v>
      </c>
      <c r="N5726">
        <v>-7.8988029999999994E-3</v>
      </c>
      <c r="O5726">
        <v>0.99856080000000003</v>
      </c>
      <c r="P5726">
        <v>-0.15503020000000001</v>
      </c>
      <c r="Q5726">
        <v>0.14623039999999901</v>
      </c>
      <c r="R5726">
        <v>0.97702730000000004</v>
      </c>
      <c r="S5726">
        <v>-0.22589110000000001</v>
      </c>
      <c r="T5726">
        <v>-0.19196930000000001</v>
      </c>
      <c r="U5726">
        <v>3.0637210000000001</v>
      </c>
      <c r="V5726">
        <v>-0.1025716</v>
      </c>
      <c r="W5726">
        <v>0.15427089999999999</v>
      </c>
      <c r="X5726">
        <v>0.98268999999999995</v>
      </c>
      <c r="Y5726">
        <v>-2.040838E-2</v>
      </c>
      <c r="Z5726">
        <v>-5.4443730000000003E-2</v>
      </c>
      <c r="AA5726">
        <v>0.99830819999999998</v>
      </c>
      <c r="AB5726">
        <v>33</v>
      </c>
      <c r="AC5726">
        <v>-1.28800000000001</v>
      </c>
      <c r="AD5726">
        <v>-1.1083663098809999</v>
      </c>
      <c r="AE5726">
        <v>17.368245000000002</v>
      </c>
      <c r="AF5726">
        <v>-0.36336089063708799</v>
      </c>
      <c r="AG5726">
        <v>-1.1083663098809999</v>
      </c>
      <c r="AH5726">
        <v>17.341878268675099</v>
      </c>
      <c r="AI5726">
        <v>93.656153887566802</v>
      </c>
      <c r="AJ5726">
        <v>91.2003313191194</v>
      </c>
      <c r="AK5726">
        <v>17.381060062587402</v>
      </c>
      <c r="AL5726">
        <v>81.125487054222603</v>
      </c>
      <c r="AM5726">
        <v>95.958863426157507</v>
      </c>
      <c r="AN5726">
        <v>1.00000003990668</v>
      </c>
    </row>
    <row r="5727" spans="1:40" x14ac:dyDescent="0.25">
      <c r="A5727" t="str">
        <f>"20190304155530744"</f>
        <v>20190304155530744</v>
      </c>
      <c r="B5727" t="str">
        <f>"1551686130733953"</f>
        <v>1551686130733953</v>
      </c>
      <c r="C5727" t="s">
        <v>40</v>
      </c>
      <c r="D5727">
        <v>4.4467470000000002</v>
      </c>
      <c r="E5727">
        <v>0.53296080000000001</v>
      </c>
      <c r="F5727" t="s">
        <v>46</v>
      </c>
      <c r="G5727">
        <v>-188.71629999999999</v>
      </c>
      <c r="H5727" s="1">
        <v>-1.4058970000000001E-6</v>
      </c>
      <c r="I5727">
        <v>22.379169999999998</v>
      </c>
      <c r="J5727">
        <v>-187.56399999999999</v>
      </c>
      <c r="K5727">
        <v>1.1082179999999999</v>
      </c>
      <c r="L5727">
        <v>5.4684749999999998</v>
      </c>
      <c r="M5727">
        <v>-5.0182160000000003E-2</v>
      </c>
      <c r="N5727">
        <v>-7.9195829999999991E-3</v>
      </c>
      <c r="O5727">
        <v>0.9987087</v>
      </c>
      <c r="P5727">
        <v>-0.1495061</v>
      </c>
      <c r="Q5727">
        <v>0.1467145</v>
      </c>
      <c r="R5727">
        <v>0.97781530000000005</v>
      </c>
      <c r="S5727">
        <v>-0.20675660000000001</v>
      </c>
      <c r="T5727">
        <v>-0.193692</v>
      </c>
      <c r="U5727">
        <v>3.0667110000000002</v>
      </c>
      <c r="V5727">
        <v>-9.9779870000000007E-2</v>
      </c>
      <c r="W5727">
        <v>0.15480559999999999</v>
      </c>
      <c r="X5727">
        <v>0.98289329999999997</v>
      </c>
      <c r="Y5727">
        <v>-1.7005570000000001E-2</v>
      </c>
      <c r="Z5727">
        <v>-5.4946910000000002E-2</v>
      </c>
      <c r="AA5727">
        <v>0.99834449999999997</v>
      </c>
      <c r="AB5727">
        <v>33</v>
      </c>
      <c r="AC5727">
        <v>-1.1522999999999599</v>
      </c>
      <c r="AD5727">
        <v>-1.1082194058970001</v>
      </c>
      <c r="AE5727">
        <v>16.910695</v>
      </c>
      <c r="AF5727">
        <v>-0.30091992919238802</v>
      </c>
      <c r="AG5727">
        <v>-1.1082194058970001</v>
      </c>
      <c r="AH5727">
        <v>16.8750765448953</v>
      </c>
      <c r="AI5727">
        <v>93.756735434836003</v>
      </c>
      <c r="AJ5727">
        <v>91.021602165439205</v>
      </c>
      <c r="AK5727">
        <v>16.914103921031899</v>
      </c>
      <c r="AL5727">
        <v>81.094478290656099</v>
      </c>
      <c r="AM5727">
        <v>95.796607899086894</v>
      </c>
      <c r="AN5727">
        <v>1.0000000177167301</v>
      </c>
    </row>
    <row r="5728" spans="1:40" x14ac:dyDescent="0.25">
      <c r="A5728" t="str">
        <f>"20190304155530767"</f>
        <v>20190304155530767</v>
      </c>
      <c r="B5728" t="str">
        <f>"1551686130763232"</f>
        <v>1551686130763232</v>
      </c>
      <c r="C5728" t="s">
        <v>40</v>
      </c>
      <c r="D5728">
        <v>4.4527299999999999</v>
      </c>
      <c r="E5728">
        <v>0.53274189999999999</v>
      </c>
      <c r="F5728" t="s">
        <v>46</v>
      </c>
      <c r="G5728">
        <v>-188.59829999999999</v>
      </c>
      <c r="H5728" s="1">
        <v>-1.524078E-6</v>
      </c>
      <c r="I5728">
        <v>22.605840000000001</v>
      </c>
      <c r="J5728">
        <v>-187.5796</v>
      </c>
      <c r="K5728">
        <v>1.1081620000000001</v>
      </c>
      <c r="L5728">
        <v>5.810333</v>
      </c>
      <c r="M5728">
        <v>-4.8579209999999998E-2</v>
      </c>
      <c r="N5728">
        <v>-7.9303510000000004E-3</v>
      </c>
      <c r="O5728">
        <v>0.99878789999999995</v>
      </c>
      <c r="P5728">
        <v>-0.14621629999999899</v>
      </c>
      <c r="Q5728">
        <v>0.14592069999999999</v>
      </c>
      <c r="R5728">
        <v>0.9784313</v>
      </c>
      <c r="S5728">
        <v>-0.18525700000000001</v>
      </c>
      <c r="T5728">
        <v>-0.19849610000000001</v>
      </c>
      <c r="U5728">
        <v>3.0695190000000001</v>
      </c>
      <c r="V5728">
        <v>-9.8026199999999994E-2</v>
      </c>
      <c r="W5728">
        <v>0.154032</v>
      </c>
      <c r="X5728">
        <v>0.98319129999999999</v>
      </c>
      <c r="Y5728">
        <v>-1.158095E-2</v>
      </c>
      <c r="Z5728">
        <v>-5.6453209999999997E-2</v>
      </c>
      <c r="AA5728">
        <v>0.99833810000000001</v>
      </c>
      <c r="AB5728">
        <v>33</v>
      </c>
      <c r="AC5728">
        <v>-1.0186999999999899</v>
      </c>
      <c r="AD5728">
        <v>-1.1081635240779999</v>
      </c>
      <c r="AE5728">
        <v>16.795507000000001</v>
      </c>
      <c r="AF5728">
        <v>-0.20068863891793801</v>
      </c>
      <c r="AG5728">
        <v>-1.1081635240779999</v>
      </c>
      <c r="AH5728">
        <v>16.752503205983999</v>
      </c>
      <c r="AI5728">
        <v>93.784281657530002</v>
      </c>
      <c r="AJ5728">
        <v>90.686348890782398</v>
      </c>
      <c r="AK5728">
        <v>16.790314648403399</v>
      </c>
      <c r="AL5728">
        <v>81.139340806872994</v>
      </c>
      <c r="AM5728">
        <v>95.693691068042895</v>
      </c>
      <c r="AN5728">
        <v>1.0000000626530601</v>
      </c>
    </row>
    <row r="5729" spans="1:40" x14ac:dyDescent="0.25">
      <c r="A5729" t="str">
        <f>"20190304155530791"</f>
        <v>20190304155530791</v>
      </c>
      <c r="B5729" t="str">
        <f>"1551686130783728"</f>
        <v>1551686130783728</v>
      </c>
      <c r="C5729" t="s">
        <v>40</v>
      </c>
      <c r="D5729">
        <v>4.45322</v>
      </c>
      <c r="E5729">
        <v>0.53261369999999997</v>
      </c>
      <c r="F5729" t="s">
        <v>46</v>
      </c>
      <c r="G5729">
        <v>-188.52930000000001</v>
      </c>
      <c r="H5729" s="1">
        <v>-1.400009E-6</v>
      </c>
      <c r="I5729">
        <v>22.288129999999999</v>
      </c>
      <c r="J5729">
        <v>-187.5951</v>
      </c>
      <c r="K5729">
        <v>1.1081219999999901</v>
      </c>
      <c r="L5729">
        <v>6.162598</v>
      </c>
      <c r="M5729">
        <v>-4.690416E-2</v>
      </c>
      <c r="N5729">
        <v>-7.9413000000000001E-3</v>
      </c>
      <c r="O5729">
        <v>0.99886779999999997</v>
      </c>
      <c r="P5729">
        <v>-0.14369219999999999</v>
      </c>
      <c r="Q5729">
        <v>0.14511559999999901</v>
      </c>
      <c r="R5729">
        <v>0.97892489999999999</v>
      </c>
      <c r="S5729">
        <v>-0.1769714</v>
      </c>
      <c r="T5729">
        <v>-0.2064947</v>
      </c>
      <c r="U5729">
        <v>3.070465</v>
      </c>
      <c r="V5729">
        <v>-9.7120680000000001E-2</v>
      </c>
      <c r="W5729">
        <v>0.15324560000000001</v>
      </c>
      <c r="X5729">
        <v>0.98340399999999994</v>
      </c>
      <c r="Y5729">
        <v>-1.0546359999999999E-2</v>
      </c>
      <c r="Z5729">
        <v>-5.9017790000000001E-2</v>
      </c>
      <c r="AA5729">
        <v>0.99820120000000001</v>
      </c>
      <c r="AB5729">
        <v>33</v>
      </c>
      <c r="AC5729">
        <v>-0.93420000000000403</v>
      </c>
      <c r="AD5729">
        <v>-1.1081234000089999</v>
      </c>
      <c r="AE5729">
        <v>16.125532</v>
      </c>
      <c r="AF5729">
        <v>-0.17596517481131099</v>
      </c>
      <c r="AG5729">
        <v>-1.1081234000089999</v>
      </c>
      <c r="AH5729">
        <v>16.075941737267001</v>
      </c>
      <c r="AI5729">
        <v>93.942956403108397</v>
      </c>
      <c r="AJ5729">
        <v>90.627127132005697</v>
      </c>
      <c r="AK5729">
        <v>16.115048990071301</v>
      </c>
      <c r="AL5729">
        <v>81.184939340936793</v>
      </c>
      <c r="AM5729">
        <v>95.640223947733006</v>
      </c>
      <c r="AN5729">
        <v>1.0000000338095101</v>
      </c>
    </row>
    <row r="5730" spans="1:40" x14ac:dyDescent="0.25">
      <c r="A5730" t="str">
        <f>"20190304155530834"</f>
        <v>20190304155530834</v>
      </c>
      <c r="B5730" t="str">
        <f>"1551686130823276"</f>
        <v>1551686130823276</v>
      </c>
      <c r="C5730" t="s">
        <v>40</v>
      </c>
      <c r="D5730">
        <v>4.3023610000000003</v>
      </c>
      <c r="E5730">
        <v>0.53364309999999904</v>
      </c>
      <c r="F5730" t="s">
        <v>46</v>
      </c>
      <c r="G5730">
        <v>-188.488</v>
      </c>
      <c r="H5730" s="1">
        <v>-1.416333E-6</v>
      </c>
      <c r="I5730">
        <v>22.309090000000001</v>
      </c>
      <c r="J5730">
        <v>-187.62209999999999</v>
      </c>
      <c r="K5730">
        <v>1.1080650000000001</v>
      </c>
      <c r="L5730">
        <v>6.8102720000000003</v>
      </c>
      <c r="M5730">
        <v>-4.3804999999999997E-2</v>
      </c>
      <c r="N5730">
        <v>-7.9613719999999995E-3</v>
      </c>
      <c r="O5730">
        <v>0.99900840000000002</v>
      </c>
      <c r="P5730">
        <v>-0.13860349999999999</v>
      </c>
      <c r="Q5730">
        <v>0.14634800000000001</v>
      </c>
      <c r="R5730">
        <v>0.97947499999999998</v>
      </c>
      <c r="S5730">
        <v>-0.1698151</v>
      </c>
      <c r="T5730">
        <v>-0.2107533</v>
      </c>
      <c r="U5730">
        <v>3.0708920000000002</v>
      </c>
      <c r="V5730">
        <v>-9.5044459999999997E-2</v>
      </c>
      <c r="W5730">
        <v>0.15450259999999999</v>
      </c>
      <c r="X5730">
        <v>0.98341009999999995</v>
      </c>
      <c r="Y5730">
        <v>-1.131705E-2</v>
      </c>
      <c r="Z5730">
        <v>-6.0380490000000002E-2</v>
      </c>
      <c r="AA5730">
        <v>0.99811119999999998</v>
      </c>
      <c r="AB5730">
        <v>33</v>
      </c>
      <c r="AC5730">
        <v>-0.86590000000001</v>
      </c>
      <c r="AD5730">
        <v>-1.1080664163329901</v>
      </c>
      <c r="AE5730">
        <v>15.498817999999901</v>
      </c>
      <c r="AF5730">
        <v>-0.18517798378210101</v>
      </c>
      <c r="AG5730">
        <v>-1.1080664163329901</v>
      </c>
      <c r="AH5730">
        <v>15.443182020984001</v>
      </c>
      <c r="AI5730">
        <v>94.103712207062799</v>
      </c>
      <c r="AJ5730">
        <v>90.686996271440293</v>
      </c>
      <c r="AK5730">
        <v>15.483990861594</v>
      </c>
      <c r="AL5730">
        <v>81.112049843176095</v>
      </c>
      <c r="AM5730">
        <v>95.520367595207105</v>
      </c>
      <c r="AN5730">
        <v>0.99999996378273004</v>
      </c>
    </row>
    <row r="5731" spans="1:40" x14ac:dyDescent="0.25">
      <c r="A5731" t="str">
        <f>"20190304155530855"</f>
        <v>20190304155530855</v>
      </c>
      <c r="B5731" t="str">
        <f>"1551686130853532"</f>
        <v>1551686130853532</v>
      </c>
      <c r="C5731" t="s">
        <v>40</v>
      </c>
      <c r="D5731">
        <v>4.2978399999999999</v>
      </c>
      <c r="E5731">
        <v>0.53501889999999996</v>
      </c>
      <c r="F5731" t="s">
        <v>46</v>
      </c>
      <c r="G5731">
        <v>-188.4222</v>
      </c>
      <c r="H5731" s="1">
        <v>-2.0246239999999999E-6</v>
      </c>
      <c r="I5731">
        <v>23.699819999999999</v>
      </c>
      <c r="J5731">
        <v>-187.63489999999999</v>
      </c>
      <c r="K5731">
        <v>1.108052</v>
      </c>
      <c r="L5731">
        <v>7.1347959999999997</v>
      </c>
      <c r="M5731">
        <v>-4.2254119999999999E-2</v>
      </c>
      <c r="N5731">
        <v>-7.9714520000000004E-3</v>
      </c>
      <c r="O5731">
        <v>0.99907509999999999</v>
      </c>
      <c r="P5731">
        <v>-0.1360526</v>
      </c>
      <c r="Q5731">
        <v>0.1458894</v>
      </c>
      <c r="R5731">
        <v>0.97990100000000002</v>
      </c>
      <c r="S5731">
        <v>-0.14553829999999901</v>
      </c>
      <c r="T5731">
        <v>-0.2015691</v>
      </c>
      <c r="U5731">
        <v>3.0723880000000001</v>
      </c>
      <c r="V5731">
        <v>-9.400066E-2</v>
      </c>
      <c r="W5731">
        <v>0.15405550000000001</v>
      </c>
      <c r="X5731">
        <v>0.98358060000000003</v>
      </c>
      <c r="Y5731">
        <v>-4.9867779999999999E-3</v>
      </c>
      <c r="Z5731">
        <v>-5.7392980000000003E-2</v>
      </c>
      <c r="AA5731">
        <v>0.99833919999999998</v>
      </c>
      <c r="AB5731">
        <v>33</v>
      </c>
      <c r="AC5731">
        <v>-0.78730000000001599</v>
      </c>
      <c r="AD5731">
        <v>-1.108054024624</v>
      </c>
      <c r="AE5731">
        <v>16.565023999999902</v>
      </c>
      <c r="AF5731">
        <v>-8.6249021033318704E-2</v>
      </c>
      <c r="AG5731">
        <v>-1.108054024624</v>
      </c>
      <c r="AH5731">
        <v>16.509791079514802</v>
      </c>
      <c r="AI5731">
        <v>93.839593695048805</v>
      </c>
      <c r="AJ5731">
        <v>90.299316927391502</v>
      </c>
      <c r="AK5731">
        <v>16.547157583837201</v>
      </c>
      <c r="AL5731">
        <v>81.137977610858201</v>
      </c>
      <c r="AM5731">
        <v>95.459169282330706</v>
      </c>
      <c r="AN5731">
        <v>1.0000000089285199</v>
      </c>
    </row>
    <row r="5732" spans="1:40" x14ac:dyDescent="0.25">
      <c r="A5732" t="str">
        <f>"20190304155530881"</f>
        <v>20190304155530881</v>
      </c>
      <c r="B5732" t="str">
        <f>"1551686130874028"</f>
        <v>1551686130874028</v>
      </c>
      <c r="C5732" t="s">
        <v>40</v>
      </c>
      <c r="D5732">
        <v>4.311382</v>
      </c>
      <c r="E5732">
        <v>0.5356166</v>
      </c>
      <c r="F5732" t="s">
        <v>46</v>
      </c>
      <c r="G5732">
        <v>-188.3554</v>
      </c>
      <c r="H5732" s="1">
        <v>-2.4296099999999999E-6</v>
      </c>
      <c r="I5732">
        <v>24.616250000000001</v>
      </c>
      <c r="J5732">
        <v>-187.649</v>
      </c>
      <c r="K5732">
        <v>1.1080270000000001</v>
      </c>
      <c r="L5732">
        <v>7.5054319999999999</v>
      </c>
      <c r="M5732">
        <v>-4.0487000000000002E-2</v>
      </c>
      <c r="N5732">
        <v>-7.9829700000000007E-3</v>
      </c>
      <c r="O5732">
        <v>0.99914820000000004</v>
      </c>
      <c r="P5732">
        <v>-0.13290199999999999</v>
      </c>
      <c r="Q5732">
        <v>0.14542920000000001</v>
      </c>
      <c r="R5732">
        <v>0.98040159999999998</v>
      </c>
      <c r="S5732">
        <v>-0.12664790000000001</v>
      </c>
      <c r="T5732">
        <v>-0.1947768</v>
      </c>
      <c r="U5732">
        <v>3.072937</v>
      </c>
      <c r="V5732">
        <v>-9.2569120000000005E-2</v>
      </c>
      <c r="W5732">
        <v>0.15360789999999999</v>
      </c>
      <c r="X5732">
        <v>0.9837863</v>
      </c>
      <c r="Y5732">
        <v>-6.2828959999999996E-4</v>
      </c>
      <c r="Z5732">
        <v>-5.5190860000000001E-2</v>
      </c>
      <c r="AA5732">
        <v>0.99847560000000002</v>
      </c>
      <c r="AB5732">
        <v>33</v>
      </c>
      <c r="AC5732">
        <v>-0.70640000000000203</v>
      </c>
      <c r="AD5732">
        <v>-1.1080294296099999</v>
      </c>
      <c r="AE5732">
        <v>17.110817999999998</v>
      </c>
      <c r="AF5732">
        <v>-1.29786835198546E-2</v>
      </c>
      <c r="AG5732">
        <v>-1.1080294296099999</v>
      </c>
      <c r="AH5732">
        <v>17.053996590541999</v>
      </c>
      <c r="AI5732">
        <v>93.717385873641305</v>
      </c>
      <c r="AJ5732">
        <v>90.0436040690997</v>
      </c>
      <c r="AK5732">
        <v>17.089958963476899</v>
      </c>
      <c r="AL5732">
        <v>81.163931669803205</v>
      </c>
      <c r="AM5732">
        <v>95.375404695829801</v>
      </c>
      <c r="AN5732">
        <v>0.999999956493836</v>
      </c>
    </row>
    <row r="5733" spans="1:40" x14ac:dyDescent="0.25">
      <c r="A5733" t="str">
        <f>"20190304155530900"</f>
        <v>20190304155530900</v>
      </c>
      <c r="B5733" t="str">
        <f>"1551686130893098"</f>
        <v>1551686130893098</v>
      </c>
      <c r="C5733" t="s">
        <v>40</v>
      </c>
      <c r="D5733">
        <v>4.2900299999999998</v>
      </c>
      <c r="E5733">
        <v>0.53613009999999905</v>
      </c>
      <c r="F5733" t="s">
        <v>46</v>
      </c>
      <c r="G5733">
        <v>-188.298</v>
      </c>
      <c r="H5733" s="1">
        <v>-2.7295509999999998E-6</v>
      </c>
      <c r="I5733">
        <v>25.29166</v>
      </c>
      <c r="J5733">
        <v>-187.6602</v>
      </c>
      <c r="K5733">
        <v>1.108015</v>
      </c>
      <c r="L5733">
        <v>7.8156129999999999</v>
      </c>
      <c r="M5733">
        <v>-3.9011419999999998E-2</v>
      </c>
      <c r="N5733">
        <v>-7.9926119999999996E-3</v>
      </c>
      <c r="O5733">
        <v>0.99920679999999995</v>
      </c>
      <c r="P5733">
        <v>-0.13011110000000001</v>
      </c>
      <c r="Q5733">
        <v>0.14573179999999999</v>
      </c>
      <c r="R5733">
        <v>0.98073100000000002</v>
      </c>
      <c r="S5733">
        <v>-0.11213679999999999</v>
      </c>
      <c r="T5733">
        <v>-0.19145010000000001</v>
      </c>
      <c r="U5733">
        <v>3.0731809999999999</v>
      </c>
      <c r="V5733">
        <v>-9.1216350000000002E-2</v>
      </c>
      <c r="W5733">
        <v>0.1539189</v>
      </c>
      <c r="X5733">
        <v>0.98386410000000002</v>
      </c>
      <c r="Y5733">
        <v>2.6026529999999999E-3</v>
      </c>
      <c r="Z5733">
        <v>-5.4111470000000002E-2</v>
      </c>
      <c r="AA5733">
        <v>0.99853150000000002</v>
      </c>
      <c r="AB5733">
        <v>34</v>
      </c>
      <c r="AC5733">
        <v>-0.63779999999999804</v>
      </c>
      <c r="AD5733">
        <v>-1.1080177295510001</v>
      </c>
      <c r="AE5733">
        <v>17.476047000000001</v>
      </c>
      <c r="AF5733">
        <v>4.4294912003838199E-2</v>
      </c>
      <c r="AG5733">
        <v>-1.1080177295510001</v>
      </c>
      <c r="AH5733">
        <v>17.417702086678599</v>
      </c>
      <c r="AI5733">
        <v>93.639923648524203</v>
      </c>
      <c r="AJ5733">
        <v>89.854291569121301</v>
      </c>
      <c r="AK5733">
        <v>17.452965688057699</v>
      </c>
      <c r="AL5733">
        <v>81.145898688880195</v>
      </c>
      <c r="AM5733">
        <v>95.296884236316799</v>
      </c>
      <c r="AN5733">
        <v>1.0000000087766701</v>
      </c>
    </row>
    <row r="5734" spans="1:40" x14ac:dyDescent="0.25">
      <c r="A5734" t="str">
        <f>"20190304155530924"</f>
        <v>20190304155530924</v>
      </c>
      <c r="B5734" t="str">
        <f>"1551686130913576"</f>
        <v>1551686130913576</v>
      </c>
      <c r="C5734" t="s">
        <v>40</v>
      </c>
      <c r="D5734">
        <v>4.3030520000000001</v>
      </c>
      <c r="E5734">
        <v>0.53660019999999997</v>
      </c>
      <c r="F5734" t="s">
        <v>46</v>
      </c>
      <c r="G5734">
        <v>-188.251</v>
      </c>
      <c r="H5734" s="1">
        <v>-3.0910449999999999E-6</v>
      </c>
      <c r="I5734">
        <v>26.114879999999999</v>
      </c>
      <c r="J5734">
        <v>-187.672</v>
      </c>
      <c r="K5734">
        <v>1.1079969999999999</v>
      </c>
      <c r="L5734">
        <v>8.1580809999999992</v>
      </c>
      <c r="M5734">
        <v>-3.7384529999999999E-2</v>
      </c>
      <c r="N5734">
        <v>-8.0033139999999992E-3</v>
      </c>
      <c r="O5734">
        <v>0.99926890000000002</v>
      </c>
      <c r="P5734">
        <v>-0.1269121</v>
      </c>
      <c r="Q5734">
        <v>0.14622950000000001</v>
      </c>
      <c r="R5734">
        <v>0.98107610000000001</v>
      </c>
      <c r="S5734">
        <v>-9.9227910000000002E-2</v>
      </c>
      <c r="T5734">
        <v>-0.1860955</v>
      </c>
      <c r="U5734">
        <v>3.0734249999999999</v>
      </c>
      <c r="V5734">
        <v>-8.9603660000000002E-2</v>
      </c>
      <c r="W5734">
        <v>0.15442439999999999</v>
      </c>
      <c r="X5734">
        <v>0.9839331</v>
      </c>
      <c r="Y5734">
        <v>5.1627720000000004E-3</v>
      </c>
      <c r="Z5734">
        <v>-5.2373999999999997E-2</v>
      </c>
      <c r="AA5734">
        <v>0.99861420000000001</v>
      </c>
      <c r="AB5734">
        <v>34</v>
      </c>
      <c r="AC5734">
        <v>-0.57899999999997898</v>
      </c>
      <c r="AD5734">
        <v>-1.1080000910450001</v>
      </c>
      <c r="AE5734">
        <v>17.956799</v>
      </c>
      <c r="AF5734">
        <v>9.2381406019729995E-2</v>
      </c>
      <c r="AG5734">
        <v>-1.1080000910450001</v>
      </c>
      <c r="AH5734">
        <v>17.897819580686701</v>
      </c>
      <c r="AI5734">
        <v>93.542441147560794</v>
      </c>
      <c r="AJ5734">
        <v>89.704264665249397</v>
      </c>
      <c r="AK5734">
        <v>17.932321218089498</v>
      </c>
      <c r="AL5734">
        <v>81.116585376818506</v>
      </c>
      <c r="AM5734">
        <v>95.203392001974194</v>
      </c>
      <c r="AN5734">
        <v>1.00000002823818</v>
      </c>
    </row>
    <row r="5735" spans="1:40" x14ac:dyDescent="0.25">
      <c r="A5735" t="str">
        <f>"20190304155530945"</f>
        <v>20190304155530945</v>
      </c>
      <c r="B5735" t="str">
        <f>"1551686130933096"</f>
        <v>1551686130933096</v>
      </c>
      <c r="C5735" t="s">
        <v>40</v>
      </c>
      <c r="D5735">
        <v>4.3033650000000003</v>
      </c>
      <c r="E5735">
        <v>0.53689989999999999</v>
      </c>
      <c r="F5735" t="s">
        <v>46</v>
      </c>
      <c r="G5735">
        <v>-188.19720000000001</v>
      </c>
      <c r="H5735" s="1">
        <v>-3.4728559999999999E-6</v>
      </c>
      <c r="I5735">
        <v>26.98264</v>
      </c>
      <c r="J5735">
        <v>-187.68279999999999</v>
      </c>
      <c r="K5735">
        <v>1.1079870000000001</v>
      </c>
      <c r="L5735">
        <v>8.4874270000000003</v>
      </c>
      <c r="M5735">
        <v>-3.5821119999999998E-2</v>
      </c>
      <c r="N5735">
        <v>-8.0135950000000001E-3</v>
      </c>
      <c r="O5735">
        <v>0.99932609999999999</v>
      </c>
      <c r="P5735">
        <v>-0.1236326</v>
      </c>
      <c r="Q5735">
        <v>0.1467744</v>
      </c>
      <c r="R5735">
        <v>0.98141339999999999</v>
      </c>
      <c r="S5735">
        <v>-8.575439E-2</v>
      </c>
      <c r="T5735">
        <v>-0.18091760000000001</v>
      </c>
      <c r="U5735">
        <v>3.0737299999999999</v>
      </c>
      <c r="V5735">
        <v>-8.7849099999999999E-2</v>
      </c>
      <c r="W5735">
        <v>0.15497659999999999</v>
      </c>
      <c r="X5735">
        <v>0.98400449999999995</v>
      </c>
      <c r="Y5735">
        <v>7.9717119999999902E-3</v>
      </c>
      <c r="Z5735">
        <v>-5.0691149999999997E-2</v>
      </c>
      <c r="AA5735">
        <v>0.99868259999999998</v>
      </c>
      <c r="AB5735">
        <v>34</v>
      </c>
      <c r="AC5735">
        <v>-0.51440000000002295</v>
      </c>
      <c r="AD5735">
        <v>-1.1079904728559999</v>
      </c>
      <c r="AE5735">
        <v>18.495213</v>
      </c>
      <c r="AF5735">
        <v>0.14794014170157699</v>
      </c>
      <c r="AG5735">
        <v>-1.1079904728559999</v>
      </c>
      <c r="AH5735">
        <v>18.435657936461901</v>
      </c>
      <c r="AI5735">
        <v>93.439251896511607</v>
      </c>
      <c r="AJ5735">
        <v>89.540229926675394</v>
      </c>
      <c r="AK5735">
        <v>18.469515768522399</v>
      </c>
      <c r="AL5735">
        <v>81.0845611681017</v>
      </c>
      <c r="AM5735">
        <v>95.101677433345102</v>
      </c>
      <c r="AN5735">
        <v>1.0000000334693</v>
      </c>
    </row>
    <row r="5736" spans="1:40" x14ac:dyDescent="0.25">
      <c r="A5736" t="str">
        <f>"20190304155530968"</f>
        <v>20190304155530968</v>
      </c>
      <c r="B5736" t="str">
        <f>"1551686130963352"</f>
        <v>1551686130963352</v>
      </c>
      <c r="C5736" t="s">
        <v>40</v>
      </c>
      <c r="D5736">
        <v>4.4373209999999998</v>
      </c>
      <c r="E5736">
        <v>0.53694469999999905</v>
      </c>
      <c r="F5736" t="s">
        <v>46</v>
      </c>
      <c r="G5736">
        <v>-188.14230000000001</v>
      </c>
      <c r="H5736" s="1">
        <v>-3.8419350000000003E-6</v>
      </c>
      <c r="I5736">
        <v>27.82029</v>
      </c>
      <c r="J5736">
        <v>-187.6935</v>
      </c>
      <c r="K5736">
        <v>1.10798</v>
      </c>
      <c r="L5736">
        <v>8.8282779999999992</v>
      </c>
      <c r="M5736">
        <v>-3.4203829999999998E-2</v>
      </c>
      <c r="N5736">
        <v>-8.0243380000000007E-3</v>
      </c>
      <c r="O5736">
        <v>0.99938269999999996</v>
      </c>
      <c r="P5736">
        <v>-0.1208687</v>
      </c>
      <c r="Q5736">
        <v>0.14659749999999999</v>
      </c>
      <c r="R5736">
        <v>0.98178399999999999</v>
      </c>
      <c r="S5736">
        <v>-7.3059079999999998E-2</v>
      </c>
      <c r="T5736">
        <v>-0.1761733</v>
      </c>
      <c r="U5736">
        <v>3.0739749999999999</v>
      </c>
      <c r="V5736">
        <v>-8.6666110000000005E-2</v>
      </c>
      <c r="W5736">
        <v>0.1548088</v>
      </c>
      <c r="X5736">
        <v>0.98413569999999995</v>
      </c>
      <c r="Y5736">
        <v>1.047491E-2</v>
      </c>
      <c r="Z5736">
        <v>-4.9147799999999998E-2</v>
      </c>
      <c r="AA5736">
        <v>0.99873659999999997</v>
      </c>
      <c r="AB5736">
        <v>34</v>
      </c>
      <c r="AC5736">
        <v>-0.44880000000000497</v>
      </c>
      <c r="AD5736">
        <v>-1.1079838419350001</v>
      </c>
      <c r="AE5736">
        <v>18.992011999999999</v>
      </c>
      <c r="AF5736">
        <v>0.20040137659776899</v>
      </c>
      <c r="AG5736">
        <v>-1.1079838419350001</v>
      </c>
      <c r="AH5736">
        <v>18.931851342316701</v>
      </c>
      <c r="AI5736">
        <v>93.349219344187503</v>
      </c>
      <c r="AJ5736">
        <v>89.393523430585702</v>
      </c>
      <c r="AK5736">
        <v>18.965304747177399</v>
      </c>
      <c r="AL5736">
        <v>81.0942918977928</v>
      </c>
      <c r="AM5736">
        <v>95.032665154958593</v>
      </c>
      <c r="AN5736">
        <v>0.999999927597228</v>
      </c>
    </row>
    <row r="5737" spans="1:40" x14ac:dyDescent="0.25">
      <c r="A5737" t="str">
        <f>"20190304155531013"</f>
        <v>20190304155531013</v>
      </c>
      <c r="B5737" t="str">
        <f>"1551686131003367"</f>
        <v>1551686131003367</v>
      </c>
      <c r="C5737" t="s">
        <v>40</v>
      </c>
      <c r="D5737">
        <v>4.3440690000000002</v>
      </c>
      <c r="E5737">
        <v>0.53684509999999996</v>
      </c>
      <c r="F5737" t="s">
        <v>46</v>
      </c>
      <c r="G5737">
        <v>-188.101</v>
      </c>
      <c r="H5737" s="1">
        <v>-4.1057439999999999E-6</v>
      </c>
      <c r="I5737">
        <v>28.418150000000001</v>
      </c>
      <c r="J5737">
        <v>-187.71350000000001</v>
      </c>
      <c r="K5737">
        <v>1.107972</v>
      </c>
      <c r="L5737">
        <v>9.5187679999999997</v>
      </c>
      <c r="M5737">
        <v>-3.092903E-2</v>
      </c>
      <c r="N5737">
        <v>-8.0454469999999903E-3</v>
      </c>
      <c r="O5737">
        <v>0.99948919999999997</v>
      </c>
      <c r="P5737">
        <v>-0.1162275</v>
      </c>
      <c r="Q5737">
        <v>0.14718249999999999</v>
      </c>
      <c r="R5737">
        <v>0.98225680000000004</v>
      </c>
      <c r="S5737">
        <v>-6.3934329999999998E-2</v>
      </c>
      <c r="T5737">
        <v>-0.1738489</v>
      </c>
      <c r="U5737">
        <v>3.0737610000000002</v>
      </c>
      <c r="V5737">
        <v>-8.5232649999999993E-2</v>
      </c>
      <c r="W5737">
        <v>0.1554132</v>
      </c>
      <c r="X5737">
        <v>0.98416570000000003</v>
      </c>
      <c r="Y5737">
        <v>1.01595E-2</v>
      </c>
      <c r="Z5737">
        <v>-4.8388880000000002E-2</v>
      </c>
      <c r="AA5737">
        <v>0.99877689999999997</v>
      </c>
      <c r="AB5737">
        <v>34</v>
      </c>
      <c r="AC5737">
        <v>-0.38749999999998802</v>
      </c>
      <c r="AD5737">
        <v>-1.1079761057440001</v>
      </c>
      <c r="AE5737">
        <v>18.899381999999999</v>
      </c>
      <c r="AF5737">
        <v>0.196568571579673</v>
      </c>
      <c r="AG5737">
        <v>-1.1079761057440001</v>
      </c>
      <c r="AH5737">
        <v>18.8376094394266</v>
      </c>
      <c r="AI5737">
        <v>93.365918451051698</v>
      </c>
      <c r="AJ5737">
        <v>89.4021459667117</v>
      </c>
      <c r="AK5737">
        <v>18.871189142356801</v>
      </c>
      <c r="AL5737">
        <v>81.059238689187694</v>
      </c>
      <c r="AM5737">
        <v>94.949691594401102</v>
      </c>
      <c r="AN5737">
        <v>0.99999999620837599</v>
      </c>
    </row>
    <row r="5738" spans="1:40" x14ac:dyDescent="0.25">
      <c r="A5738" t="str">
        <f>"20190304155531033"</f>
        <v>20190304155531033</v>
      </c>
      <c r="B5738" t="str">
        <f>"1551686131023864"</f>
        <v>1551686131023864</v>
      </c>
      <c r="C5738" t="s">
        <v>40</v>
      </c>
      <c r="D5738">
        <v>4.3268380000000004</v>
      </c>
      <c r="E5738">
        <v>0.53688469999999999</v>
      </c>
      <c r="F5738" t="s">
        <v>46</v>
      </c>
      <c r="G5738">
        <v>-188.0369</v>
      </c>
      <c r="H5738" s="1">
        <v>-5.1373479999999998E-7</v>
      </c>
      <c r="I5738">
        <v>29.622820000000001</v>
      </c>
      <c r="J5738">
        <v>-187.72200000000001</v>
      </c>
      <c r="K5738">
        <v>1.107961</v>
      </c>
      <c r="L5738">
        <v>9.8391420000000007</v>
      </c>
      <c r="M5738">
        <v>-2.9410229999999999E-2</v>
      </c>
      <c r="N5738">
        <v>-8.0551479999999998E-3</v>
      </c>
      <c r="O5738">
        <v>0.99953499999999995</v>
      </c>
      <c r="P5738">
        <v>-0.11404980000000001</v>
      </c>
      <c r="Q5738">
        <v>0.147178799999999</v>
      </c>
      <c r="R5738">
        <v>0.98251259999999996</v>
      </c>
      <c r="S5738">
        <v>-4.9453740000000003E-2</v>
      </c>
      <c r="T5738">
        <v>-0.16939899999999999</v>
      </c>
      <c r="U5738">
        <v>3.0737299999999999</v>
      </c>
      <c r="V5738">
        <v>-8.4543179999999996E-2</v>
      </c>
      <c r="W5738">
        <v>0.1554179</v>
      </c>
      <c r="X5738">
        <v>0.9842244</v>
      </c>
      <c r="Y5738">
        <v>1.334162E-2</v>
      </c>
      <c r="Z5738">
        <v>-4.6943850000000002E-2</v>
      </c>
      <c r="AA5738">
        <v>0.99880840000000004</v>
      </c>
      <c r="AB5738">
        <v>34</v>
      </c>
      <c r="AC5738">
        <v>-0.31489999999999402</v>
      </c>
      <c r="AD5738">
        <v>-1.1079615137348</v>
      </c>
      <c r="AE5738">
        <v>19.783677999999998</v>
      </c>
      <c r="AF5738">
        <v>0.266262703595678</v>
      </c>
      <c r="AG5738">
        <v>-1.1079615137348</v>
      </c>
      <c r="AH5738">
        <v>19.722538466886999</v>
      </c>
      <c r="AI5738">
        <v>93.215057647013893</v>
      </c>
      <c r="AJ5738">
        <v>89.226529463209403</v>
      </c>
      <c r="AK5738">
        <v>19.755429585839899</v>
      </c>
      <c r="AL5738">
        <v>81.058965861607703</v>
      </c>
      <c r="AM5738">
        <v>94.909557319812095</v>
      </c>
      <c r="AN5738">
        <v>0.99999997124013995</v>
      </c>
    </row>
    <row r="5739" spans="1:40" x14ac:dyDescent="0.25">
      <c r="A5739" t="str">
        <f>"20190304155531058"</f>
        <v>20190304155531058</v>
      </c>
      <c r="B5739" t="str">
        <f>"1551686131053144"</f>
        <v>1551686131053144</v>
      </c>
      <c r="C5739" t="s">
        <v>40</v>
      </c>
      <c r="D5739">
        <v>4.27454</v>
      </c>
      <c r="E5739">
        <v>0.5377248</v>
      </c>
      <c r="F5739" t="s">
        <v>46</v>
      </c>
      <c r="G5739">
        <v>-188.00299999999999</v>
      </c>
      <c r="H5739" s="1">
        <v>-8.1059279999999995E-7</v>
      </c>
      <c r="I5739">
        <v>30.46866</v>
      </c>
      <c r="J5739">
        <v>-187.7311</v>
      </c>
      <c r="K5739">
        <v>1.107953</v>
      </c>
      <c r="L5739">
        <v>10.203430000000001</v>
      </c>
      <c r="M5739">
        <v>-2.7683960000000001E-2</v>
      </c>
      <c r="N5739">
        <v>-8.0661559999999997E-3</v>
      </c>
      <c r="O5739">
        <v>0.99958420000000003</v>
      </c>
      <c r="P5739">
        <v>-0.11244410000000001</v>
      </c>
      <c r="Q5739">
        <v>0.1464357</v>
      </c>
      <c r="R5739">
        <v>0.98280869999999998</v>
      </c>
      <c r="S5739">
        <v>-4.1870119999999997E-2</v>
      </c>
      <c r="T5739">
        <v>-0.16505810000000001</v>
      </c>
      <c r="U5739">
        <v>3.0732729999999999</v>
      </c>
      <c r="V5739">
        <v>-8.4631369999999997E-2</v>
      </c>
      <c r="W5739">
        <v>0.15468870000000001</v>
      </c>
      <c r="X5739">
        <v>0.98433170000000003</v>
      </c>
      <c r="Y5739">
        <v>1.407546E-2</v>
      </c>
      <c r="Z5739">
        <v>-4.5539599999999902E-2</v>
      </c>
      <c r="AA5739">
        <v>0.99886330000000001</v>
      </c>
      <c r="AB5739">
        <v>34</v>
      </c>
      <c r="AC5739">
        <v>-0.27189999999998798</v>
      </c>
      <c r="AD5739">
        <v>-1.1079538105928</v>
      </c>
      <c r="AE5739">
        <v>20.265229999999899</v>
      </c>
      <c r="AF5739">
        <v>0.28838242864908997</v>
      </c>
      <c r="AG5739">
        <v>-1.1079538105928</v>
      </c>
      <c r="AH5739">
        <v>20.204607174586702</v>
      </c>
      <c r="AI5739">
        <v>93.138448318547205</v>
      </c>
      <c r="AJ5739">
        <v>89.182266994586698</v>
      </c>
      <c r="AK5739">
        <v>20.2370174964326</v>
      </c>
      <c r="AL5739">
        <v>81.101257486906903</v>
      </c>
      <c r="AM5739">
        <v>94.9141204701059</v>
      </c>
      <c r="AN5739">
        <v>0.99999997916032801</v>
      </c>
    </row>
    <row r="5740" spans="1:40" x14ac:dyDescent="0.25">
      <c r="A5740" t="str">
        <f>"20190304155531081"</f>
        <v>20190304155531081</v>
      </c>
      <c r="B5740" t="str">
        <f>"1551686131073640"</f>
        <v>1551686131073640</v>
      </c>
      <c r="C5740" t="s">
        <v>40</v>
      </c>
      <c r="D5740">
        <v>4.3093539999999999</v>
      </c>
      <c r="E5740">
        <v>0.53842119999999905</v>
      </c>
      <c r="F5740" t="s">
        <v>46</v>
      </c>
      <c r="G5740">
        <v>-187.9391</v>
      </c>
      <c r="H5740" s="1">
        <v>-1.3724960000000001E-6</v>
      </c>
      <c r="I5740">
        <v>31.97993</v>
      </c>
      <c r="J5740">
        <v>-187.73939999999999</v>
      </c>
      <c r="K5740">
        <v>1.1079429999999999</v>
      </c>
      <c r="L5740">
        <v>10.559939999999999</v>
      </c>
      <c r="M5740">
        <v>-2.599539E-2</v>
      </c>
      <c r="N5740">
        <v>-8.0768890000000003E-3</v>
      </c>
      <c r="O5740">
        <v>0.9996294</v>
      </c>
      <c r="P5740">
        <v>-0.11087959999999999</v>
      </c>
      <c r="Q5740">
        <v>0.1457147</v>
      </c>
      <c r="R5740">
        <v>0.98309360000000001</v>
      </c>
      <c r="S5740">
        <v>-2.9342650000000001E-2</v>
      </c>
      <c r="T5740">
        <v>-0.15631989999999901</v>
      </c>
      <c r="U5740">
        <v>3.0724179999999999</v>
      </c>
      <c r="V5740">
        <v>-8.4724859999999999E-2</v>
      </c>
      <c r="W5740">
        <v>0.15398110000000001</v>
      </c>
      <c r="X5740">
        <v>0.98443460000000005</v>
      </c>
      <c r="Y5740">
        <v>1.6453180000000001E-2</v>
      </c>
      <c r="Z5740">
        <v>-4.271527E-2</v>
      </c>
      <c r="AA5740">
        <v>0.99895179999999995</v>
      </c>
      <c r="AB5740">
        <v>34</v>
      </c>
      <c r="AC5740">
        <v>-0.19970000000000701</v>
      </c>
      <c r="AD5740">
        <v>-1.1079443724959901</v>
      </c>
      <c r="AE5740">
        <v>21.419989999999999</v>
      </c>
      <c r="AF5740">
        <v>0.356253608998993</v>
      </c>
      <c r="AG5740">
        <v>-1.1079443724959901</v>
      </c>
      <c r="AH5740">
        <v>21.360797513078602</v>
      </c>
      <c r="AI5740">
        <v>92.968751413101501</v>
      </c>
      <c r="AJ5740">
        <v>89.044514325894696</v>
      </c>
      <c r="AK5740">
        <v>21.392478298720199</v>
      </c>
      <c r="AL5740">
        <v>81.142291648788401</v>
      </c>
      <c r="AM5740">
        <v>94.919010640898705</v>
      </c>
      <c r="AN5740">
        <v>0.99999998136819401</v>
      </c>
    </row>
    <row r="5741" spans="1:40" x14ac:dyDescent="0.25">
      <c r="A5741" t="str">
        <f>"20190304155531100"</f>
        <v>20190304155531100</v>
      </c>
      <c r="B5741" t="str">
        <f>"1551686131093160"</f>
        <v>1551686131093160</v>
      </c>
      <c r="C5741" t="s">
        <v>40</v>
      </c>
      <c r="D5741">
        <v>4.3233389999999998</v>
      </c>
      <c r="E5741">
        <v>0.53895090000000001</v>
      </c>
      <c r="F5741" t="s">
        <v>46</v>
      </c>
      <c r="G5741">
        <v>-187.8759</v>
      </c>
      <c r="H5741" s="1">
        <v>-1.8340120000000001E-6</v>
      </c>
      <c r="I5741">
        <v>33.029620000000001</v>
      </c>
      <c r="J5741">
        <v>-187.74600000000001</v>
      </c>
      <c r="K5741">
        <v>1.1079399999999999</v>
      </c>
      <c r="L5741">
        <v>10.86734</v>
      </c>
      <c r="M5741">
        <v>-2.4540929999999999E-2</v>
      </c>
      <c r="N5741">
        <v>-8.0860649999999999E-3</v>
      </c>
      <c r="O5741">
        <v>0.9996661</v>
      </c>
      <c r="P5741">
        <v>-0.10999059999999999</v>
      </c>
      <c r="Q5741">
        <v>0.1455457</v>
      </c>
      <c r="R5741">
        <v>0.98321840000000005</v>
      </c>
      <c r="S5741">
        <v>-1.8661500000000001E-2</v>
      </c>
      <c r="T5741">
        <v>-0.1514721</v>
      </c>
      <c r="U5741">
        <v>3.07193</v>
      </c>
      <c r="V5741">
        <v>-8.5265380000000002E-2</v>
      </c>
      <c r="W5741">
        <v>0.15382370000000001</v>
      </c>
      <c r="X5741">
        <v>0.98441259999999997</v>
      </c>
      <c r="Y5741">
        <v>1.8469240000000001E-2</v>
      </c>
      <c r="Z5741">
        <v>-4.1144460000000001E-2</v>
      </c>
      <c r="AA5741">
        <v>0.9989825</v>
      </c>
      <c r="AB5741">
        <v>34</v>
      </c>
      <c r="AC5741">
        <v>-0.12990000000002</v>
      </c>
      <c r="AD5741">
        <v>-1.107941834012</v>
      </c>
      <c r="AE5741">
        <v>22.162279999999999</v>
      </c>
      <c r="AF5741">
        <v>0.41300771850930301</v>
      </c>
      <c r="AG5741">
        <v>-1.107941834012</v>
      </c>
      <c r="AH5741">
        <v>22.103553017164401</v>
      </c>
      <c r="AI5741">
        <v>92.869052536138597</v>
      </c>
      <c r="AJ5741">
        <v>88.929545588763006</v>
      </c>
      <c r="AK5741">
        <v>22.135156797856698</v>
      </c>
      <c r="AL5741">
        <v>81.151419279608504</v>
      </c>
      <c r="AM5741">
        <v>94.950347134648396</v>
      </c>
      <c r="AN5741">
        <v>1.00000004137349</v>
      </c>
    </row>
    <row r="5742" spans="1:40" x14ac:dyDescent="0.25">
      <c r="A5742" t="str">
        <f>"20190304155531124"</f>
        <v>20190304155531124</v>
      </c>
      <c r="B5742" t="str">
        <f>"1551686131113656"</f>
        <v>1551686131113656</v>
      </c>
      <c r="C5742" t="s">
        <v>40</v>
      </c>
      <c r="D5742">
        <v>4.3237360000000002</v>
      </c>
      <c r="E5742">
        <v>0.53919450000000002</v>
      </c>
      <c r="F5742" t="s">
        <v>46</v>
      </c>
      <c r="G5742">
        <v>-187.83609999999999</v>
      </c>
      <c r="H5742" s="1">
        <v>-2.3399510000000002E-6</v>
      </c>
      <c r="I5742">
        <v>34.192500000000003</v>
      </c>
      <c r="J5742">
        <v>-187.75319999999999</v>
      </c>
      <c r="K5742">
        <v>1.107928</v>
      </c>
      <c r="L5742">
        <v>11.222899999999999</v>
      </c>
      <c r="M5742">
        <v>-2.2861940000000001E-2</v>
      </c>
      <c r="N5742">
        <v>-8.0968969999999901E-3</v>
      </c>
      <c r="O5742">
        <v>0.99970590000000004</v>
      </c>
      <c r="P5742">
        <v>-0.1094376</v>
      </c>
      <c r="Q5742">
        <v>0.14530270000000001</v>
      </c>
      <c r="R5742">
        <v>0.98331610000000003</v>
      </c>
      <c r="S5742">
        <v>-1.185608E-2</v>
      </c>
      <c r="T5742">
        <v>-0.14589449999999901</v>
      </c>
      <c r="U5742">
        <v>3.071472</v>
      </c>
      <c r="V5742">
        <v>-8.6364960000000005E-2</v>
      </c>
      <c r="W5742">
        <v>0.1535957</v>
      </c>
      <c r="X5742">
        <v>0.98435229999999996</v>
      </c>
      <c r="Y5742">
        <v>1.9002209999999999E-2</v>
      </c>
      <c r="Z5742">
        <v>-3.9334349999999997E-2</v>
      </c>
      <c r="AA5742">
        <v>0.99904539999999997</v>
      </c>
      <c r="AB5742">
        <v>34</v>
      </c>
      <c r="AC5742">
        <v>-8.2899999999995005E-2</v>
      </c>
      <c r="AD5742">
        <v>-1.1079303399510001</v>
      </c>
      <c r="AE5742">
        <v>22.9696</v>
      </c>
      <c r="AF5742">
        <v>0.44124189898882199</v>
      </c>
      <c r="AG5742">
        <v>-1.1079303399510001</v>
      </c>
      <c r="AH5742">
        <v>22.9121850544132</v>
      </c>
      <c r="AI5742">
        <v>92.767897681588096</v>
      </c>
      <c r="AJ5742">
        <v>88.896736655971594</v>
      </c>
      <c r="AK5742">
        <v>22.943200038775899</v>
      </c>
      <c r="AL5742">
        <v>81.164639442386999</v>
      </c>
      <c r="AM5742">
        <v>95.014168894951297</v>
      </c>
      <c r="AN5742">
        <v>0.99999999794479</v>
      </c>
    </row>
    <row r="5743" spans="1:40" x14ac:dyDescent="0.25">
      <c r="A5743" t="str">
        <f>"20190304155531146"</f>
        <v>20190304155531146</v>
      </c>
      <c r="B5743" t="str">
        <f>"1551686131143912"</f>
        <v>1551686131143912</v>
      </c>
      <c r="C5743" t="s">
        <v>40</v>
      </c>
      <c r="D5743">
        <v>4.3043839999999998</v>
      </c>
      <c r="E5743">
        <v>0.5500562</v>
      </c>
      <c r="F5743" t="s">
        <v>46</v>
      </c>
      <c r="G5743">
        <v>-187.81530000000001</v>
      </c>
      <c r="H5743" s="1">
        <v>-2.6447170000000001E-6</v>
      </c>
      <c r="I5743">
        <v>34.894329999999997</v>
      </c>
      <c r="J5743">
        <v>-187.75960000000001</v>
      </c>
      <c r="K5743">
        <v>1.107923</v>
      </c>
      <c r="L5743">
        <v>11.57117</v>
      </c>
      <c r="M5743">
        <v>-2.122367E-2</v>
      </c>
      <c r="N5743">
        <v>-8.1073529999999994E-3</v>
      </c>
      <c r="O5743">
        <v>0.99974189999999996</v>
      </c>
      <c r="P5743">
        <v>-0.1089094</v>
      </c>
      <c r="Q5743">
        <v>0.14494399999999999</v>
      </c>
      <c r="R5743">
        <v>0.98342759999999996</v>
      </c>
      <c r="S5743">
        <v>-8.0566409999999998E-3</v>
      </c>
      <c r="T5743">
        <v>-0.14374890000000001</v>
      </c>
      <c r="U5743">
        <v>3.071259</v>
      </c>
      <c r="V5743">
        <v>-8.7449659999999999E-2</v>
      </c>
      <c r="W5743">
        <v>0.15325220000000001</v>
      </c>
      <c r="X5743">
        <v>0.98431009999999997</v>
      </c>
      <c r="Y5743">
        <v>1.8599480000000002E-2</v>
      </c>
      <c r="Z5743">
        <v>-3.863366E-2</v>
      </c>
      <c r="AA5743">
        <v>0.99908030000000003</v>
      </c>
      <c r="AB5743">
        <v>34</v>
      </c>
      <c r="AC5743">
        <v>-5.5700000000001602E-2</v>
      </c>
      <c r="AD5743">
        <v>-1.1079256447170001</v>
      </c>
      <c r="AE5743">
        <v>23.323159999999898</v>
      </c>
      <c r="AF5743">
        <v>0.43834271728580998</v>
      </c>
      <c r="AG5743">
        <v>-1.1079256447170001</v>
      </c>
      <c r="AH5743">
        <v>23.266586274295499</v>
      </c>
      <c r="AI5743">
        <v>92.725810723715796</v>
      </c>
      <c r="AJ5743">
        <v>88.920674631602694</v>
      </c>
      <c r="AK5743">
        <v>23.297074503706501</v>
      </c>
      <c r="AL5743">
        <v>81.184556602699502</v>
      </c>
      <c r="AM5743">
        <v>95.077033745232299</v>
      </c>
      <c r="AN5743">
        <v>1.00000002640048</v>
      </c>
    </row>
    <row r="5744" spans="1:40" x14ac:dyDescent="0.25">
      <c r="A5744" t="str">
        <f>"20190304155531169"</f>
        <v>20190304155531169</v>
      </c>
      <c r="B5744" t="str">
        <f>"1551686131163432"</f>
        <v>1551686131163432</v>
      </c>
      <c r="C5744" t="s">
        <v>40</v>
      </c>
      <c r="D5744">
        <v>4.339264</v>
      </c>
      <c r="E5744">
        <v>0.54947159999999995</v>
      </c>
      <c r="F5744" t="s">
        <v>46</v>
      </c>
      <c r="G5744">
        <v>-181.58150000000001</v>
      </c>
      <c r="H5744" s="1">
        <v>-3.764289E-6</v>
      </c>
      <c r="I5744">
        <v>254.12739999999999</v>
      </c>
      <c r="J5744">
        <v>-187.76560000000001</v>
      </c>
      <c r="K5744">
        <v>1.107917</v>
      </c>
      <c r="L5744">
        <v>11.924530000000001</v>
      </c>
      <c r="M5744">
        <v>-1.956836E-2</v>
      </c>
      <c r="N5744">
        <v>-8.1178589999999998E-3</v>
      </c>
      <c r="O5744">
        <v>0.99977559999999999</v>
      </c>
      <c r="P5744">
        <v>-0.108845</v>
      </c>
      <c r="Q5744">
        <v>0.14520930000000001</v>
      </c>
      <c r="R5744">
        <v>0.98339569999999998</v>
      </c>
      <c r="S5744">
        <v>7.7972410000000006E-2</v>
      </c>
      <c r="T5744">
        <v>-1.398289E-2</v>
      </c>
      <c r="U5744">
        <v>3.0612490000000001</v>
      </c>
      <c r="V5744">
        <v>-8.9015629999999998E-2</v>
      </c>
      <c r="W5744">
        <v>0.1535321</v>
      </c>
      <c r="X5744">
        <v>0.9841261</v>
      </c>
      <c r="Y5744">
        <v>4.5017840000000003E-2</v>
      </c>
      <c r="Z5744">
        <v>3.5566550000000001E-3</v>
      </c>
      <c r="AA5744">
        <v>0.99897990000000003</v>
      </c>
      <c r="AB5744">
        <v>35</v>
      </c>
      <c r="AC5744">
        <v>6.1840999999999999</v>
      </c>
      <c r="AD5744">
        <v>-1.1079207642890001</v>
      </c>
      <c r="AE5744">
        <v>242.20286999999999</v>
      </c>
      <c r="AF5744">
        <v>10.922356360193101</v>
      </c>
      <c r="AG5744">
        <v>-1.1079207642890001</v>
      </c>
      <c r="AH5744">
        <v>242.03041247072599</v>
      </c>
      <c r="AI5744">
        <v>90.262009227606399</v>
      </c>
      <c r="AJ5744">
        <v>87.416107305287298</v>
      </c>
      <c r="AK5744">
        <v>242.27927257119799</v>
      </c>
      <c r="AL5744">
        <v>81.168327520052102</v>
      </c>
      <c r="AM5744">
        <v>95.168421711599706</v>
      </c>
      <c r="AN5744">
        <v>1.00000003440795</v>
      </c>
    </row>
    <row r="5745" spans="1:40" x14ac:dyDescent="0.25">
      <c r="A5745" t="str">
        <f>"20190304155531194"</f>
        <v>20190304155531194</v>
      </c>
      <c r="B5745" t="str">
        <f>"1551686131183928"</f>
        <v>1551686131183928</v>
      </c>
      <c r="C5745" t="s">
        <v>40</v>
      </c>
      <c r="D5745">
        <v>4.3414260000000002</v>
      </c>
      <c r="E5745">
        <v>0.54915340000000001</v>
      </c>
      <c r="F5745" t="s">
        <v>46</v>
      </c>
      <c r="G5745">
        <v>-181.94800000000001</v>
      </c>
      <c r="H5745" s="1">
        <v>-3.3143350000000001E-6</v>
      </c>
      <c r="I5745">
        <v>253.09180000000001</v>
      </c>
      <c r="J5745">
        <v>-187.7715</v>
      </c>
      <c r="K5745">
        <v>1.1079159999999999</v>
      </c>
      <c r="L5745">
        <v>12.31302</v>
      </c>
      <c r="M5745">
        <v>-1.7762699999999999E-2</v>
      </c>
      <c r="N5745">
        <v>-8.1293149999999998E-3</v>
      </c>
      <c r="O5745">
        <v>0.99980919999999895</v>
      </c>
      <c r="P5745">
        <v>-0.10768759999999999</v>
      </c>
      <c r="Q5745">
        <v>0.14552329999999999</v>
      </c>
      <c r="R5745">
        <v>0.98347660000000003</v>
      </c>
      <c r="S5745">
        <v>7.3837280000000005E-2</v>
      </c>
      <c r="T5745">
        <v>-1.4061809999999999E-2</v>
      </c>
      <c r="U5745">
        <v>3.0609130000000002</v>
      </c>
      <c r="V5745">
        <v>-8.9636080000000007E-2</v>
      </c>
      <c r="W5745">
        <v>0.1538581</v>
      </c>
      <c r="X5745">
        <v>0.98401879999999997</v>
      </c>
      <c r="Y5745">
        <v>4.1867620000000001E-2</v>
      </c>
      <c r="Z5745">
        <v>3.540947E-3</v>
      </c>
      <c r="AA5745">
        <v>0.99911689999999997</v>
      </c>
      <c r="AB5745">
        <v>35</v>
      </c>
      <c r="AC5745">
        <v>5.8235000000000197</v>
      </c>
      <c r="AD5745">
        <v>-1.1079193143349999</v>
      </c>
      <c r="AE5745">
        <v>240.77877999999899</v>
      </c>
      <c r="AF5745">
        <v>10.0993899489334</v>
      </c>
      <c r="AG5745">
        <v>-1.1079193143349999</v>
      </c>
      <c r="AH5745">
        <v>240.63225361680799</v>
      </c>
      <c r="AI5745">
        <v>90.2635674020094</v>
      </c>
      <c r="AJ5745">
        <v>87.5966936921143</v>
      </c>
      <c r="AK5745">
        <v>240.846645488891</v>
      </c>
      <c r="AL5745">
        <v>81.149423924568595</v>
      </c>
      <c r="AM5745">
        <v>95.204813484051698</v>
      </c>
      <c r="AN5745">
        <v>0.99999997026340703</v>
      </c>
    </row>
    <row r="5746" spans="1:40" x14ac:dyDescent="0.25">
      <c r="A5746" t="str">
        <f>"20190304155531235"</f>
        <v>20190304155531235</v>
      </c>
      <c r="B5746" t="str">
        <f>"1551686131233704"</f>
        <v>1551686131233704</v>
      </c>
      <c r="C5746" t="s">
        <v>40</v>
      </c>
      <c r="D5746">
        <v>4.335966</v>
      </c>
      <c r="E5746">
        <v>0.54856309999999997</v>
      </c>
      <c r="F5746" t="s">
        <v>46</v>
      </c>
      <c r="G5746">
        <v>-183.67339999999999</v>
      </c>
      <c r="H5746" s="1">
        <v>-2.241107E-6</v>
      </c>
      <c r="I5746">
        <v>181.28700000000001</v>
      </c>
      <c r="J5746">
        <v>-187.77979999999999</v>
      </c>
      <c r="K5746">
        <v>1.1079239999999999</v>
      </c>
      <c r="L5746">
        <v>12.9566</v>
      </c>
      <c r="M5746">
        <v>-1.4829699999999999E-2</v>
      </c>
      <c r="N5746">
        <v>-8.1479589999999998E-3</v>
      </c>
      <c r="O5746">
        <v>0.99985679999999999</v>
      </c>
      <c r="P5746">
        <v>-0.1052259</v>
      </c>
      <c r="Q5746">
        <v>0.14457909999999999</v>
      </c>
      <c r="R5746">
        <v>0.98388229999999999</v>
      </c>
      <c r="S5746">
        <v>7.4249270000000006E-2</v>
      </c>
      <c r="T5746">
        <v>-2.007341E-2</v>
      </c>
      <c r="U5746">
        <v>3.061493</v>
      </c>
      <c r="V5746">
        <v>-9.0068209999999996E-2</v>
      </c>
      <c r="W5746">
        <v>0.15293080000000001</v>
      </c>
      <c r="X5746">
        <v>0.98412390000000005</v>
      </c>
      <c r="Y5746">
        <v>3.9066299999999998E-2</v>
      </c>
      <c r="Z5746">
        <v>1.597415E-3</v>
      </c>
      <c r="AA5746">
        <v>0.99923530000000005</v>
      </c>
      <c r="AB5746">
        <v>35</v>
      </c>
      <c r="AC5746">
        <v>4.1063999999999998</v>
      </c>
      <c r="AD5746">
        <v>-1.1079262411070001</v>
      </c>
      <c r="AE5746">
        <v>168.3304</v>
      </c>
      <c r="AF5746">
        <v>6.6020348580777499</v>
      </c>
      <c r="AG5746">
        <v>-1.1079262411070001</v>
      </c>
      <c r="AH5746">
        <v>168.243705318107</v>
      </c>
      <c r="AI5746">
        <v>90.377011217208903</v>
      </c>
      <c r="AJ5746">
        <v>87.752814863416901</v>
      </c>
      <c r="AK5746">
        <v>168.37683553265001</v>
      </c>
      <c r="AL5746">
        <v>81.203190729366298</v>
      </c>
      <c r="AM5746">
        <v>95.229211343339699</v>
      </c>
      <c r="AN5746">
        <v>0.99999998129622703</v>
      </c>
    </row>
    <row r="5747" spans="1:40" x14ac:dyDescent="0.25">
      <c r="A5747" t="str">
        <f>"20190304155531257"</f>
        <v>20190304155531257</v>
      </c>
      <c r="B5747" t="str">
        <f>"1551686131253224"</f>
        <v>1551686131253224</v>
      </c>
      <c r="C5747" t="s">
        <v>40</v>
      </c>
      <c r="D5747">
        <v>4.3855629999999897</v>
      </c>
      <c r="E5747">
        <v>0.54824110000000004</v>
      </c>
      <c r="F5747" t="s">
        <v>62</v>
      </c>
      <c r="G5747">
        <v>-184.10810000000001</v>
      </c>
      <c r="H5747" s="1">
        <v>-1.357839E-5</v>
      </c>
      <c r="I5747">
        <v>156.39570000000001</v>
      </c>
      <c r="J5747">
        <v>-187.7834</v>
      </c>
      <c r="K5747">
        <v>1.1079349999999999</v>
      </c>
      <c r="L5747">
        <v>13.29349</v>
      </c>
      <c r="M5747">
        <v>-1.33305E-2</v>
      </c>
      <c r="N5747">
        <v>-8.1575940000000007E-3</v>
      </c>
      <c r="O5747">
        <v>0.99987789999999999</v>
      </c>
      <c r="P5747">
        <v>-0.1035727</v>
      </c>
      <c r="Q5747">
        <v>0.1438806</v>
      </c>
      <c r="R5747">
        <v>0.98416009999999998</v>
      </c>
      <c r="S5747">
        <v>7.8353880000000001E-2</v>
      </c>
      <c r="T5747">
        <v>-2.364349E-2</v>
      </c>
      <c r="U5747">
        <v>3.0610050000000002</v>
      </c>
      <c r="V5747">
        <v>-8.9896760000000006E-2</v>
      </c>
      <c r="W5747">
        <v>0.1522395</v>
      </c>
      <c r="X5747">
        <v>0.98424679999999998</v>
      </c>
      <c r="Y5747">
        <v>3.8910840000000002E-2</v>
      </c>
      <c r="Z5747">
        <v>4.403524E-4</v>
      </c>
      <c r="AA5747">
        <v>0.99924259999999998</v>
      </c>
      <c r="AB5747">
        <v>35</v>
      </c>
      <c r="AC5747">
        <v>3.6752999999999898</v>
      </c>
      <c r="AD5747">
        <v>-1.10794857839</v>
      </c>
      <c r="AE5747">
        <v>143.10221000000001</v>
      </c>
      <c r="AF5747">
        <v>5.5823264279757998</v>
      </c>
      <c r="AG5747">
        <v>-1.10794857839</v>
      </c>
      <c r="AH5747">
        <v>143.031930313168</v>
      </c>
      <c r="AI5747">
        <v>90.443475928397106</v>
      </c>
      <c r="AJ5747">
        <v>87.764964133512294</v>
      </c>
      <c r="AK5747">
        <v>143.14511171364401</v>
      </c>
      <c r="AL5747">
        <v>81.243269014876304</v>
      </c>
      <c r="AM5747">
        <v>95.218664146152506</v>
      </c>
      <c r="AN5747">
        <v>1.0000000280644901</v>
      </c>
    </row>
    <row r="5748" spans="1:40" x14ac:dyDescent="0.25">
      <c r="A5748" t="str">
        <f>"20190304155531280"</f>
        <v>20190304155531280</v>
      </c>
      <c r="B5748" t="str">
        <f>"1551686131273720"</f>
        <v>1551686131273720</v>
      </c>
      <c r="C5748" t="s">
        <v>40</v>
      </c>
      <c r="D5748">
        <v>4.3616609999999998</v>
      </c>
      <c r="E5748">
        <v>0.54780600000000002</v>
      </c>
      <c r="F5748" t="s">
        <v>62</v>
      </c>
      <c r="G5748">
        <v>-184.42339999999999</v>
      </c>
      <c r="H5748" s="1">
        <v>-8.5829000000000004E-6</v>
      </c>
      <c r="I5748">
        <v>139.7921</v>
      </c>
      <c r="J5748">
        <v>-187.78659999999999</v>
      </c>
      <c r="K5748">
        <v>1.1079540000000001</v>
      </c>
      <c r="L5748">
        <v>13.63705</v>
      </c>
      <c r="M5748">
        <v>-1.183883E-2</v>
      </c>
      <c r="N5748">
        <v>-8.1740419999999994E-3</v>
      </c>
      <c r="O5748">
        <v>0.99989649999999997</v>
      </c>
      <c r="P5748">
        <v>-0.10158159999999999</v>
      </c>
      <c r="Q5748">
        <v>0.1430534</v>
      </c>
      <c r="R5748">
        <v>0.98448809999999998</v>
      </c>
      <c r="S5748">
        <v>8.1298830000000002E-2</v>
      </c>
      <c r="T5748">
        <v>-2.6807790000000001E-2</v>
      </c>
      <c r="U5748">
        <v>3.0607600000000001</v>
      </c>
      <c r="V5748">
        <v>-8.9382920000000005E-2</v>
      </c>
      <c r="W5748">
        <v>0.15142320000000001</v>
      </c>
      <c r="X5748">
        <v>0.9844195</v>
      </c>
      <c r="Y5748">
        <v>3.8382810000000003E-2</v>
      </c>
      <c r="Z5748">
        <v>-5.7720429999999999E-4</v>
      </c>
      <c r="AA5748">
        <v>0.99926289999999995</v>
      </c>
      <c r="AB5748">
        <v>35</v>
      </c>
      <c r="AC5748">
        <v>3.3632</v>
      </c>
      <c r="AD5748">
        <v>-1.1079625828999999</v>
      </c>
      <c r="AE5748">
        <v>126.15505</v>
      </c>
      <c r="AF5748">
        <v>4.8561680814684802</v>
      </c>
      <c r="AG5748">
        <v>-1.1079625828999999</v>
      </c>
      <c r="AH5748">
        <v>126.096671280281</v>
      </c>
      <c r="AI5748">
        <v>90.503049967197995</v>
      </c>
      <c r="AJ5748">
        <v>87.794545244674296</v>
      </c>
      <c r="AK5748">
        <v>126.195009637813</v>
      </c>
      <c r="AL5748">
        <v>81.290588104469194</v>
      </c>
      <c r="AM5748">
        <v>95.188092784421599</v>
      </c>
      <c r="AN5748">
        <v>1.0000000219331</v>
      </c>
    </row>
    <row r="5749" spans="1:40" x14ac:dyDescent="0.25">
      <c r="A5749" t="str">
        <f>"20190304155531303"</f>
        <v>20190304155531303</v>
      </c>
      <c r="B5749" t="str">
        <f>"1551686131293239"</f>
        <v>1551686131293239</v>
      </c>
      <c r="C5749" t="s">
        <v>40</v>
      </c>
      <c r="D5749">
        <v>4.3859839999999997</v>
      </c>
      <c r="E5749">
        <v>0.54733169999999898</v>
      </c>
      <c r="F5749" t="s">
        <v>62</v>
      </c>
      <c r="G5749">
        <v>-184.74350000000001</v>
      </c>
      <c r="H5749" s="1">
        <v>-3.5216759999999999E-6</v>
      </c>
      <c r="I5749">
        <v>124.8267</v>
      </c>
      <c r="J5749">
        <v>-187.78960000000001</v>
      </c>
      <c r="K5749">
        <v>1.1079909999999999</v>
      </c>
      <c r="L5749">
        <v>14.023829999999901</v>
      </c>
      <c r="M5749">
        <v>-1.022414E-2</v>
      </c>
      <c r="N5749">
        <v>-8.2065439999999996E-3</v>
      </c>
      <c r="O5749">
        <v>0.99991410000000003</v>
      </c>
      <c r="P5749">
        <v>-0.100077399999999</v>
      </c>
      <c r="Q5749">
        <v>0.14204839999999999</v>
      </c>
      <c r="R5749">
        <v>0.98478770000000004</v>
      </c>
      <c r="S5749">
        <v>8.3755490000000002E-2</v>
      </c>
      <c r="T5749">
        <v>-3.049493E-2</v>
      </c>
      <c r="U5749">
        <v>3.060333</v>
      </c>
      <c r="V5749">
        <v>-8.9483289999999993E-2</v>
      </c>
      <c r="W5749">
        <v>0.1504441</v>
      </c>
      <c r="X5749">
        <v>0.98456049999999995</v>
      </c>
      <c r="Y5749">
        <v>3.7574240000000002E-2</v>
      </c>
      <c r="Z5749">
        <v>-1.7502990000000001E-3</v>
      </c>
      <c r="AA5749">
        <v>0.99929230000000002</v>
      </c>
      <c r="AB5749">
        <v>35</v>
      </c>
      <c r="AC5749">
        <v>3.0460999999999898</v>
      </c>
      <c r="AD5749">
        <v>-1.1079945216760001</v>
      </c>
      <c r="AE5749">
        <v>110.80287</v>
      </c>
      <c r="AF5749">
        <v>4.1784254300369303</v>
      </c>
      <c r="AG5749">
        <v>-1.1079945216760001</v>
      </c>
      <c r="AH5749">
        <v>110.75486693865</v>
      </c>
      <c r="AI5749">
        <v>90.572761886294799</v>
      </c>
      <c r="AJ5749">
        <v>87.839438910737101</v>
      </c>
      <c r="AK5749">
        <v>110.839196323018</v>
      </c>
      <c r="AL5749">
        <v>81.347336609431807</v>
      </c>
      <c r="AM5749">
        <v>95.193147004611404</v>
      </c>
      <c r="AN5749">
        <v>1.0000000322871401</v>
      </c>
    </row>
    <row r="5750" spans="1:40" x14ac:dyDescent="0.25">
      <c r="A5750" t="str">
        <f>"20190304155531325"</f>
        <v>20190304155531325</v>
      </c>
      <c r="B5750" t="str">
        <f>"1551686131313737"</f>
        <v>1551686131313737</v>
      </c>
      <c r="C5750" t="s">
        <v>40</v>
      </c>
      <c r="D5750">
        <v>4.4200839999999904</v>
      </c>
      <c r="E5750">
        <v>0.54676269999999905</v>
      </c>
      <c r="F5750" t="s">
        <v>46</v>
      </c>
      <c r="G5750">
        <v>-185.10759999999999</v>
      </c>
      <c r="H5750" s="1">
        <v>-1.906665E-6</v>
      </c>
      <c r="I5750">
        <v>111.4256</v>
      </c>
      <c r="J5750">
        <v>-187.79179999999999</v>
      </c>
      <c r="K5750">
        <v>1.1080369999999999</v>
      </c>
      <c r="L5750">
        <v>14.358370000000001</v>
      </c>
      <c r="M5750">
        <v>-8.8905029999999993E-3</v>
      </c>
      <c r="N5750">
        <v>-8.2449819999999997E-3</v>
      </c>
      <c r="O5750">
        <v>0.99992650000000005</v>
      </c>
      <c r="P5750">
        <v>-9.8961930000000004E-2</v>
      </c>
      <c r="Q5750">
        <v>0.1417291</v>
      </c>
      <c r="R5750">
        <v>0.9849464</v>
      </c>
      <c r="S5750">
        <v>8.4259029999999999E-2</v>
      </c>
      <c r="T5750">
        <v>-3.4808279999999997E-2</v>
      </c>
      <c r="U5750">
        <v>3.0599370000000001</v>
      </c>
      <c r="V5750">
        <v>-8.9696659999999998E-2</v>
      </c>
      <c r="W5750">
        <v>0.1501547</v>
      </c>
      <c r="X5750">
        <v>0.98458520000000005</v>
      </c>
      <c r="Y5750">
        <v>3.6409039999999997E-2</v>
      </c>
      <c r="Z5750">
        <v>-3.1223100000000001E-3</v>
      </c>
      <c r="AA5750">
        <v>0.99933209999999995</v>
      </c>
      <c r="AB5750">
        <v>35</v>
      </c>
      <c r="AC5750">
        <v>2.6842000000000001</v>
      </c>
      <c r="AD5750">
        <v>-1.108038906665</v>
      </c>
      <c r="AE5750">
        <v>97.067229999999995</v>
      </c>
      <c r="AF5750">
        <v>3.54663793645231</v>
      </c>
      <c r="AG5750">
        <v>-1.108038906665</v>
      </c>
      <c r="AH5750">
        <v>97.026895281273895</v>
      </c>
      <c r="AI5750">
        <v>90.653847866134001</v>
      </c>
      <c r="AJ5750">
        <v>87.906591227743206</v>
      </c>
      <c r="AK5750">
        <v>97.098016451389299</v>
      </c>
      <c r="AL5750">
        <v>81.364107989194295</v>
      </c>
      <c r="AM5750">
        <v>95.205332076840904</v>
      </c>
      <c r="AN5750">
        <v>0.99999997040314204</v>
      </c>
    </row>
    <row r="5751" spans="1:40" x14ac:dyDescent="0.25">
      <c r="A5751" t="str">
        <f>"20190304155531347"</f>
        <v>20190304155531347</v>
      </c>
      <c r="B5751" t="str">
        <f>"1551686131343992"</f>
        <v>1551686131343992</v>
      </c>
      <c r="C5751" t="s">
        <v>40</v>
      </c>
      <c r="D5751">
        <v>4.3721189999999996</v>
      </c>
      <c r="E5751">
        <v>0.53866139999999996</v>
      </c>
      <c r="F5751" t="s">
        <v>46</v>
      </c>
      <c r="G5751">
        <v>-185.25710000000001</v>
      </c>
      <c r="H5751" s="1">
        <v>-4.2265089999999997E-6</v>
      </c>
      <c r="I5751">
        <v>107.52379999999999</v>
      </c>
      <c r="J5751">
        <v>-187.7937</v>
      </c>
      <c r="K5751">
        <v>1.108093</v>
      </c>
      <c r="L5751">
        <v>14.70932</v>
      </c>
      <c r="M5751">
        <v>-7.5480879999999997E-3</v>
      </c>
      <c r="N5751">
        <v>-8.2891159999999992E-3</v>
      </c>
      <c r="O5751">
        <v>0.99993719999999997</v>
      </c>
      <c r="P5751">
        <v>-9.806724E-2</v>
      </c>
      <c r="Q5751">
        <v>0.14158080000000001</v>
      </c>
      <c r="R5751">
        <v>0.98505719999999997</v>
      </c>
      <c r="S5751">
        <v>8.3236690000000002E-2</v>
      </c>
      <c r="T5751">
        <v>-3.6386849999999998E-2</v>
      </c>
      <c r="U5751">
        <v>3.0594480000000002</v>
      </c>
      <c r="V5751">
        <v>-9.0140949999999997E-2</v>
      </c>
      <c r="W5751">
        <v>0.15004149999999999</v>
      </c>
      <c r="X5751">
        <v>0.98456189999999999</v>
      </c>
      <c r="Y5751">
        <v>3.4738079999999998E-2</v>
      </c>
      <c r="Z5751">
        <v>-3.596344E-3</v>
      </c>
      <c r="AA5751">
        <v>0.99939</v>
      </c>
      <c r="AB5751">
        <v>35</v>
      </c>
      <c r="AC5751">
        <v>2.5365999999999902</v>
      </c>
      <c r="AD5751">
        <v>-1.1080972265090001</v>
      </c>
      <c r="AE5751">
        <v>92.814480000000003</v>
      </c>
      <c r="AF5751">
        <v>3.2366626394765499</v>
      </c>
      <c r="AG5751">
        <v>-1.1080972265090001</v>
      </c>
      <c r="AH5751">
        <v>92.779474119123094</v>
      </c>
      <c r="AI5751">
        <v>90.683854741603199</v>
      </c>
      <c r="AJ5751">
        <v>88.002015685026905</v>
      </c>
      <c r="AK5751">
        <v>92.842526259932299</v>
      </c>
      <c r="AL5751">
        <v>81.370668351075807</v>
      </c>
      <c r="AM5751">
        <v>95.231095809200994</v>
      </c>
      <c r="AN5751">
        <v>0.99999998876038099</v>
      </c>
    </row>
    <row r="5752" spans="1:40" x14ac:dyDescent="0.25">
      <c r="A5752" t="str">
        <f>"20190304155531371"</f>
        <v>20190304155531371</v>
      </c>
      <c r="B5752" t="str">
        <f>"1551686131363512"</f>
        <v>1551686131363512</v>
      </c>
      <c r="C5752" t="s">
        <v>40</v>
      </c>
      <c r="D5752">
        <v>4.394628</v>
      </c>
      <c r="E5752">
        <v>0.53972919999999902</v>
      </c>
      <c r="F5752" t="s">
        <v>46</v>
      </c>
      <c r="G5752">
        <v>-187.38829999999999</v>
      </c>
      <c r="H5752" s="1">
        <v>-8.7443889999999896E-7</v>
      </c>
      <c r="I5752">
        <v>70.175609999999907</v>
      </c>
      <c r="J5752">
        <v>-187.79519999999999</v>
      </c>
      <c r="K5752">
        <v>1.108147</v>
      </c>
      <c r="L5752">
        <v>15.07483</v>
      </c>
      <c r="M5752">
        <v>-6.2194839999999999E-3</v>
      </c>
      <c r="N5752">
        <v>-8.3381549999999999E-3</v>
      </c>
      <c r="O5752">
        <v>0.99994590000000005</v>
      </c>
      <c r="P5752">
        <v>-9.7363549999999993E-2</v>
      </c>
      <c r="Q5752">
        <v>0.14140050000000001</v>
      </c>
      <c r="R5752">
        <v>0.9851529</v>
      </c>
      <c r="S5752">
        <v>2.233887E-2</v>
      </c>
      <c r="T5752">
        <v>-6.1062459999999999E-2</v>
      </c>
      <c r="U5752">
        <v>3.0565190000000002</v>
      </c>
      <c r="V5752">
        <v>-9.0764490000000003E-2</v>
      </c>
      <c r="W5752">
        <v>0.14990059999999999</v>
      </c>
      <c r="X5752">
        <v>0.98452609999999996</v>
      </c>
      <c r="Y5752">
        <v>1.352571E-2</v>
      </c>
      <c r="Z5752">
        <v>-1.163466E-2</v>
      </c>
      <c r="AA5752">
        <v>0.99984090000000003</v>
      </c>
      <c r="AB5752">
        <v>35</v>
      </c>
      <c r="AC5752">
        <v>0.40690000000000698</v>
      </c>
      <c r="AD5752">
        <v>-1.1081478744388999</v>
      </c>
      <c r="AE5752">
        <v>55.100779999999901</v>
      </c>
      <c r="AF5752">
        <v>0.74929941294220503</v>
      </c>
      <c r="AG5752">
        <v>-1.1081478744388999</v>
      </c>
      <c r="AH5752">
        <v>55.074908809149697</v>
      </c>
      <c r="AI5752">
        <v>91.152571263768806</v>
      </c>
      <c r="AJ5752">
        <v>89.220533518626993</v>
      </c>
      <c r="AK5752">
        <v>55.091151936204902</v>
      </c>
      <c r="AL5752">
        <v>81.378833875471301</v>
      </c>
      <c r="AM5752">
        <v>95.267268955022004</v>
      </c>
      <c r="AN5752">
        <v>1.0000000120532599</v>
      </c>
    </row>
    <row r="5753" spans="1:40" x14ac:dyDescent="0.25">
      <c r="A5753" t="str">
        <f>"20190304155531394"</f>
        <v>20190304155531394</v>
      </c>
      <c r="B5753" t="str">
        <f>"1551686131384008"</f>
        <v>1551686131384008</v>
      </c>
      <c r="C5753" t="s">
        <v>40</v>
      </c>
      <c r="D5753">
        <v>4.3847310000000004</v>
      </c>
      <c r="E5753">
        <v>0.53977730000000002</v>
      </c>
      <c r="F5753" t="s">
        <v>46</v>
      </c>
      <c r="G5753">
        <v>-187.16390000000001</v>
      </c>
      <c r="H5753" s="1">
        <v>-2.1678790000000001E-6</v>
      </c>
      <c r="I5753">
        <v>73.513469999999998</v>
      </c>
      <c r="J5753">
        <v>-187.7963</v>
      </c>
      <c r="K5753">
        <v>1.108214</v>
      </c>
      <c r="L5753">
        <v>15.440060000000001</v>
      </c>
      <c r="M5753">
        <v>-4.9741849999999999E-3</v>
      </c>
      <c r="N5753">
        <v>-8.3966309999999999E-3</v>
      </c>
      <c r="O5753">
        <v>0.99995239999999996</v>
      </c>
      <c r="P5753">
        <v>-9.6537090000000006E-2</v>
      </c>
      <c r="Q5753">
        <v>0.1413866</v>
      </c>
      <c r="R5753">
        <v>0.98523620000000001</v>
      </c>
      <c r="S5753">
        <v>3.3020019999999997E-2</v>
      </c>
      <c r="T5753">
        <v>-5.7964799999999997E-2</v>
      </c>
      <c r="U5753">
        <v>3.0567929999999999</v>
      </c>
      <c r="V5753">
        <v>-9.1185119999999995E-2</v>
      </c>
      <c r="W5753">
        <v>0.1499326</v>
      </c>
      <c r="X5753">
        <v>0.98448230000000003</v>
      </c>
      <c r="Y5753">
        <v>1.577307E-2</v>
      </c>
      <c r="Z5753">
        <v>-1.056111E-2</v>
      </c>
      <c r="AA5753">
        <v>0.99981980000000004</v>
      </c>
      <c r="AB5753">
        <v>35</v>
      </c>
      <c r="AC5753">
        <v>0.63239999999998897</v>
      </c>
      <c r="AD5753">
        <v>-1.1082161678789999</v>
      </c>
      <c r="AE5753">
        <v>58.073410000000003</v>
      </c>
      <c r="AF5753">
        <v>0.92093490791269095</v>
      </c>
      <c r="AG5753">
        <v>-1.1082161678789999</v>
      </c>
      <c r="AH5753">
        <v>58.048409215516003</v>
      </c>
      <c r="AI5753">
        <v>91.093577085699195</v>
      </c>
      <c r="AJ5753">
        <v>89.091081774137194</v>
      </c>
      <c r="AK5753">
        <v>58.066290363957002</v>
      </c>
      <c r="AL5753">
        <v>81.376978955892497</v>
      </c>
      <c r="AM5753">
        <v>95.291774903676597</v>
      </c>
      <c r="AN5753">
        <v>0.99999995483273096</v>
      </c>
    </row>
    <row r="5754" spans="1:40" x14ac:dyDescent="0.25">
      <c r="A5754" t="str">
        <f>"20190304155531436"</f>
        <v>20190304155531436</v>
      </c>
      <c r="B5754" t="str">
        <f>"1551686131433784"</f>
        <v>1551686131433784</v>
      </c>
      <c r="C5754" t="s">
        <v>40</v>
      </c>
      <c r="D5754">
        <v>4.3768960000000003</v>
      </c>
      <c r="E5754">
        <v>0.53943969999999997</v>
      </c>
      <c r="F5754" t="s">
        <v>46</v>
      </c>
      <c r="G5754">
        <v>-187.11279999999999</v>
      </c>
      <c r="H5754" s="1">
        <v>-2.207052E-6</v>
      </c>
      <c r="I5754">
        <v>73.583629999999999</v>
      </c>
      <c r="J5754">
        <v>-187.79730000000001</v>
      </c>
      <c r="K5754">
        <v>1.1083620000000001</v>
      </c>
      <c r="L5754">
        <v>16.11871</v>
      </c>
      <c r="M5754">
        <v>-2.9087039999999998E-3</v>
      </c>
      <c r="N5754">
        <v>-8.5304909999999994E-3</v>
      </c>
      <c r="O5754">
        <v>0.99995940000000005</v>
      </c>
      <c r="P5754">
        <v>-9.5127379999999997E-2</v>
      </c>
      <c r="Q5754">
        <v>0.14227000000000001</v>
      </c>
      <c r="R5754">
        <v>0.98524619999999996</v>
      </c>
      <c r="S5754">
        <v>3.593445E-2</v>
      </c>
      <c r="T5754">
        <v>-5.8263059999999998E-2</v>
      </c>
      <c r="U5754">
        <v>3.0568240000000002</v>
      </c>
      <c r="V5754">
        <v>-9.1855590000000001E-2</v>
      </c>
      <c r="W5754">
        <v>0.15091930000000001</v>
      </c>
      <c r="X5754">
        <v>0.98426930000000001</v>
      </c>
      <c r="Y5754">
        <v>1.466086E-2</v>
      </c>
      <c r="Z5754">
        <v>-1.052496E-2</v>
      </c>
      <c r="AA5754">
        <v>0.99983710000000003</v>
      </c>
      <c r="AB5754">
        <v>35</v>
      </c>
      <c r="AC5754">
        <v>0.68450000000001399</v>
      </c>
      <c r="AD5754">
        <v>-1.1083642070519999</v>
      </c>
      <c r="AE5754">
        <v>57.4649199999999</v>
      </c>
      <c r="AF5754">
        <v>0.85133496249803697</v>
      </c>
      <c r="AG5754">
        <v>-1.1083642070519999</v>
      </c>
      <c r="AH5754">
        <v>57.441319860870003</v>
      </c>
      <c r="AI5754">
        <v>91.105297385546905</v>
      </c>
      <c r="AJ5754">
        <v>89.150884252579502</v>
      </c>
      <c r="AK5754">
        <v>57.4583194132288</v>
      </c>
      <c r="AL5754">
        <v>81.319795524369894</v>
      </c>
      <c r="AM5754">
        <v>95.331608070102604</v>
      </c>
      <c r="AN5754">
        <v>1.0000000697246101</v>
      </c>
    </row>
    <row r="5755" spans="1:40" x14ac:dyDescent="0.25">
      <c r="A5755" t="str">
        <f>"20190304155531458"</f>
        <v>20190304155531458</v>
      </c>
      <c r="B5755" t="str">
        <f>"1551686131453304"</f>
        <v>1551686131453304</v>
      </c>
      <c r="C5755" t="s">
        <v>40</v>
      </c>
      <c r="D5755">
        <v>4.4000199999999996</v>
      </c>
      <c r="E5755">
        <v>0.53940589999999999</v>
      </c>
      <c r="F5755" t="s">
        <v>46</v>
      </c>
      <c r="G5755">
        <v>-187.0368</v>
      </c>
      <c r="H5755" s="1">
        <v>-3.6081109999999999E-6</v>
      </c>
      <c r="I5755">
        <v>76.818129999999996</v>
      </c>
      <c r="J5755">
        <v>-187.79750000000001</v>
      </c>
      <c r="K5755">
        <v>1.10843799999999</v>
      </c>
      <c r="L5755">
        <v>16.458590000000001</v>
      </c>
      <c r="M5755">
        <v>-1.9905769999999999E-3</v>
      </c>
      <c r="N5755">
        <v>-8.6037509999999998E-3</v>
      </c>
      <c r="O5755">
        <v>0.99996099999999999</v>
      </c>
      <c r="P5755">
        <v>-9.4020149999999997E-2</v>
      </c>
      <c r="Q5755">
        <v>0.14211470000000001</v>
      </c>
      <c r="R5755">
        <v>0.98537490000000005</v>
      </c>
      <c r="S5755">
        <v>3.8299560000000003E-2</v>
      </c>
      <c r="T5755">
        <v>-5.5815099999999902E-2</v>
      </c>
      <c r="U5755">
        <v>3.056702</v>
      </c>
      <c r="V5755">
        <v>-9.1678159999999995E-2</v>
      </c>
      <c r="W5755">
        <v>0.1508207</v>
      </c>
      <c r="X5755">
        <v>0.98430090000000003</v>
      </c>
      <c r="Y5755">
        <v>1.4516930000000001E-2</v>
      </c>
      <c r="Z5755">
        <v>-9.6520349999999998E-3</v>
      </c>
      <c r="AA5755">
        <v>0.99984799999999996</v>
      </c>
      <c r="AB5755">
        <v>35</v>
      </c>
      <c r="AC5755">
        <v>0.76070000000001403</v>
      </c>
      <c r="AD5755">
        <v>-1.10844160811099</v>
      </c>
      <c r="AE5755">
        <v>60.359540000000003</v>
      </c>
      <c r="AF5755">
        <v>0.88055634476947398</v>
      </c>
      <c r="AG5755">
        <v>-1.10844160811099</v>
      </c>
      <c r="AH5755">
        <v>60.337561358572898</v>
      </c>
      <c r="AI5755">
        <v>91.052331614123204</v>
      </c>
      <c r="AJ5755">
        <v>89.163894268618904</v>
      </c>
      <c r="AK5755">
        <v>60.354165829497298</v>
      </c>
      <c r="AL5755">
        <v>81.325509824373896</v>
      </c>
      <c r="AM5755">
        <v>95.321198755774702</v>
      </c>
      <c r="AN5755">
        <v>1.00000001515514</v>
      </c>
    </row>
    <row r="5756" spans="1:40" x14ac:dyDescent="0.25">
      <c r="A5756" t="str">
        <f>"20190304155531481"</f>
        <v>20190304155531481</v>
      </c>
      <c r="B5756" t="str">
        <f>"1551686131473800"</f>
        <v>1551686131473800</v>
      </c>
      <c r="C5756" t="s">
        <v>40</v>
      </c>
      <c r="D5756">
        <v>4.382028</v>
      </c>
      <c r="E5756">
        <v>0.53907019999999894</v>
      </c>
      <c r="F5756" t="s">
        <v>46</v>
      </c>
      <c r="G5756">
        <v>-187.02260000000001</v>
      </c>
      <c r="H5756" s="1">
        <v>-2.4548569999999999E-6</v>
      </c>
      <c r="I5756">
        <v>74.123990000000006</v>
      </c>
      <c r="J5756">
        <v>-187.79730000000001</v>
      </c>
      <c r="K5756">
        <v>1.1085259999999999</v>
      </c>
      <c r="L5756">
        <v>16.825959999999998</v>
      </c>
      <c r="M5756">
        <v>-1.0909909999999999E-3</v>
      </c>
      <c r="N5756">
        <v>-8.6846170000000004E-3</v>
      </c>
      <c r="O5756">
        <v>0.99996169999999995</v>
      </c>
      <c r="P5756">
        <v>-9.2901949999999997E-2</v>
      </c>
      <c r="Q5756">
        <v>0.14173529999999901</v>
      </c>
      <c r="R5756">
        <v>0.98553559999999996</v>
      </c>
      <c r="S5756">
        <v>4.1076660000000001E-2</v>
      </c>
      <c r="T5756">
        <v>-5.8759810000000003E-2</v>
      </c>
      <c r="U5756">
        <v>3.056915</v>
      </c>
      <c r="V5756">
        <v>-9.1475669999999995E-2</v>
      </c>
      <c r="W5756">
        <v>0.150504</v>
      </c>
      <c r="X5756">
        <v>0.98436820000000003</v>
      </c>
      <c r="Y5756">
        <v>1.4524499999999999E-2</v>
      </c>
      <c r="Z5756">
        <v>-1.0532680000000001E-2</v>
      </c>
      <c r="AA5756">
        <v>0.99983909999999998</v>
      </c>
      <c r="AB5756">
        <v>35</v>
      </c>
      <c r="AC5756">
        <v>0.77469999999999495</v>
      </c>
      <c r="AD5756">
        <v>-1.108528454857</v>
      </c>
      <c r="AE5756">
        <v>57.298029999999997</v>
      </c>
      <c r="AF5756">
        <v>0.83690034048022799</v>
      </c>
      <c r="AG5756">
        <v>-1.108528454857</v>
      </c>
      <c r="AH5756">
        <v>57.275716564893102</v>
      </c>
      <c r="AI5756">
        <v>91.1086600114173</v>
      </c>
      <c r="AJ5756">
        <v>89.162866077886505</v>
      </c>
      <c r="AK5756">
        <v>57.292555760212799</v>
      </c>
      <c r="AL5756">
        <v>81.343864807083605</v>
      </c>
      <c r="AM5756">
        <v>95.309152111317999</v>
      </c>
      <c r="AN5756">
        <v>1.0000000026945901</v>
      </c>
    </row>
    <row r="5757" spans="1:40" x14ac:dyDescent="0.25">
      <c r="A5757" t="str">
        <f>"20190304155531504"</f>
        <v>20190304155531504</v>
      </c>
      <c r="B5757" t="str">
        <f>"1551686131493321"</f>
        <v>1551686131493321</v>
      </c>
      <c r="C5757" t="s">
        <v>40</v>
      </c>
      <c r="D5757">
        <v>4.4014499999999996</v>
      </c>
      <c r="E5757">
        <v>0.53859829999999997</v>
      </c>
      <c r="F5757" t="s">
        <v>46</v>
      </c>
      <c r="G5757">
        <v>-187.02289999999999</v>
      </c>
      <c r="H5757" s="1">
        <v>-2.013028E-6</v>
      </c>
      <c r="I5757">
        <v>73.094210000000004</v>
      </c>
      <c r="J5757">
        <v>-187.797</v>
      </c>
      <c r="K5757">
        <v>1.108614</v>
      </c>
      <c r="L5757">
        <v>17.178529999999999</v>
      </c>
      <c r="M5757">
        <v>-3.3774990000000002E-4</v>
      </c>
      <c r="N5757">
        <v>-8.7660559999999995E-3</v>
      </c>
      <c r="O5757">
        <v>0.99996149999999995</v>
      </c>
      <c r="P5757">
        <v>-9.1730969999999995E-2</v>
      </c>
      <c r="Q5757">
        <v>0.14178080000000001</v>
      </c>
      <c r="R5757">
        <v>0.98563869999999998</v>
      </c>
      <c r="S5757">
        <v>4.2068479999999998E-2</v>
      </c>
      <c r="T5757">
        <v>-6.0218809999999998E-2</v>
      </c>
      <c r="U5757">
        <v>3.0566710000000001</v>
      </c>
      <c r="V5757">
        <v>-9.1076099999999993E-2</v>
      </c>
      <c r="W5757">
        <v>0.15061099999999999</v>
      </c>
      <c r="X5757">
        <v>0.98438890000000001</v>
      </c>
      <c r="Y5757">
        <v>1.409669E-2</v>
      </c>
      <c r="Z5757">
        <v>-1.0929909999999999E-2</v>
      </c>
      <c r="AA5757">
        <v>0.99984090000000003</v>
      </c>
      <c r="AB5757">
        <v>35</v>
      </c>
      <c r="AC5757">
        <v>0.77410000000000401</v>
      </c>
      <c r="AD5757">
        <v>-1.1086160130280001</v>
      </c>
      <c r="AE5757">
        <v>55.915680000000002</v>
      </c>
      <c r="AF5757">
        <v>0.79267466223264804</v>
      </c>
      <c r="AG5757">
        <v>-1.1086160130280001</v>
      </c>
      <c r="AH5757">
        <v>55.893448247130898</v>
      </c>
      <c r="AI5757">
        <v>91.136167276106306</v>
      </c>
      <c r="AJ5757">
        <v>89.187492101054204</v>
      </c>
      <c r="AK5757">
        <v>55.910060986723899</v>
      </c>
      <c r="AL5757">
        <v>81.337663603769101</v>
      </c>
      <c r="AM5757">
        <v>95.285982617710602</v>
      </c>
      <c r="AN5757">
        <v>1.00000001787771</v>
      </c>
    </row>
    <row r="5758" spans="1:40" x14ac:dyDescent="0.25">
      <c r="A5758" t="str">
        <f>"20190304155531525"</f>
        <v>20190304155531525</v>
      </c>
      <c r="B5758" t="str">
        <f>"1551686131513817"</f>
        <v>1551686131513817</v>
      </c>
      <c r="C5758" t="s">
        <v>40</v>
      </c>
      <c r="D5758">
        <v>4.4031510000000003</v>
      </c>
      <c r="E5758">
        <v>0.53810789999999997</v>
      </c>
      <c r="F5758" t="s">
        <v>46</v>
      </c>
      <c r="G5758">
        <v>-187.0343</v>
      </c>
      <c r="H5758" s="1">
        <v>-1.7232310000000001E-6</v>
      </c>
      <c r="I5758">
        <v>72.393039999999999</v>
      </c>
      <c r="J5758">
        <v>-187.79650000000001</v>
      </c>
      <c r="K5758">
        <v>1.1087100000000001</v>
      </c>
      <c r="L5758">
        <v>17.526309999999999</v>
      </c>
      <c r="M5758">
        <v>3.1021599999999999E-4</v>
      </c>
      <c r="N5758">
        <v>-8.8501450000000002E-3</v>
      </c>
      <c r="O5758">
        <v>0.99996079999999998</v>
      </c>
      <c r="P5758">
        <v>-9.060472E-2</v>
      </c>
      <c r="Q5758">
        <v>0.14177110000000001</v>
      </c>
      <c r="R5758">
        <v>0.98574419999999996</v>
      </c>
      <c r="S5758">
        <v>4.2221069999999999E-2</v>
      </c>
      <c r="T5758">
        <v>-6.1368579999999999E-2</v>
      </c>
      <c r="U5758">
        <v>3.0564580000000001</v>
      </c>
      <c r="V5758">
        <v>-9.0618610000000002E-2</v>
      </c>
      <c r="W5758">
        <v>0.1506652</v>
      </c>
      <c r="X5758">
        <v>0.98442280000000004</v>
      </c>
      <c r="Y5758">
        <v>1.349961E-2</v>
      </c>
      <c r="Z5758">
        <v>-1.122329E-2</v>
      </c>
      <c r="AA5758">
        <v>0.99984589999999995</v>
      </c>
      <c r="AB5758">
        <v>36</v>
      </c>
      <c r="AC5758">
        <v>0.76220000000000698</v>
      </c>
      <c r="AD5758">
        <v>-1.108711723231</v>
      </c>
      <c r="AE5758">
        <v>54.866729999999997</v>
      </c>
      <c r="AF5758">
        <v>0.74487465792625296</v>
      </c>
      <c r="AG5758">
        <v>-1.108711723231</v>
      </c>
      <c r="AH5758">
        <v>54.844573048139303</v>
      </c>
      <c r="AI5758">
        <v>91.157999633255798</v>
      </c>
      <c r="AJ5758">
        <v>89.221881984593495</v>
      </c>
      <c r="AK5758">
        <v>54.860835509258699</v>
      </c>
      <c r="AL5758">
        <v>81.334522101990601</v>
      </c>
      <c r="AM5758">
        <v>95.259399452429705</v>
      </c>
      <c r="AN5758">
        <v>0.99999999206460599</v>
      </c>
    </row>
    <row r="5759" spans="1:40" x14ac:dyDescent="0.25">
      <c r="A5759" t="str">
        <f>"20190304155531548"</f>
        <v>20190304155531548</v>
      </c>
      <c r="B5759" t="str">
        <f>"1551686131543096"</f>
        <v>1551686131543096</v>
      </c>
      <c r="C5759" t="s">
        <v>40</v>
      </c>
      <c r="D5759">
        <v>4.4499500000000003</v>
      </c>
      <c r="E5759">
        <v>0.537547</v>
      </c>
      <c r="F5759" t="s">
        <v>46</v>
      </c>
      <c r="G5759">
        <v>-187.07050000000001</v>
      </c>
      <c r="H5759" s="1">
        <v>-1.3344899999999901E-6</v>
      </c>
      <c r="I5759">
        <v>71.279060000000001</v>
      </c>
      <c r="J5759">
        <v>-187.79570000000001</v>
      </c>
      <c r="K5759">
        <v>1.108803</v>
      </c>
      <c r="L5759">
        <v>17.90494</v>
      </c>
      <c r="M5759">
        <v>9.2810060000000005E-4</v>
      </c>
      <c r="N5759">
        <v>-8.9414500000000001E-3</v>
      </c>
      <c r="O5759">
        <v>0.99995959999999995</v>
      </c>
      <c r="P5759">
        <v>-9.0371880000000002E-2</v>
      </c>
      <c r="Q5759">
        <v>0.1417612</v>
      </c>
      <c r="R5759">
        <v>0.98576710000000001</v>
      </c>
      <c r="S5759">
        <v>4.1275020000000003E-2</v>
      </c>
      <c r="T5759">
        <v>-6.3038469999999999E-2</v>
      </c>
      <c r="U5759">
        <v>3.056244</v>
      </c>
      <c r="V5759">
        <v>-9.1025670000000003E-2</v>
      </c>
      <c r="W5759">
        <v>0.15072650000000001</v>
      </c>
      <c r="X5759">
        <v>0.98437589999999997</v>
      </c>
      <c r="Y5759">
        <v>1.2573279999999999E-2</v>
      </c>
      <c r="Z5759">
        <v>-1.167966E-2</v>
      </c>
      <c r="AA5759">
        <v>0.99985270000000004</v>
      </c>
      <c r="AB5759">
        <v>36</v>
      </c>
      <c r="AC5759">
        <v>0.72520000000000095</v>
      </c>
      <c r="AD5759">
        <v>-1.10880433449</v>
      </c>
      <c r="AE5759">
        <v>53.374119999999998</v>
      </c>
      <c r="AF5759">
        <v>0.67536974123184901</v>
      </c>
      <c r="AG5759">
        <v>-1.10880433449</v>
      </c>
      <c r="AH5759">
        <v>53.351749483785497</v>
      </c>
      <c r="AI5759">
        <v>91.190505981344899</v>
      </c>
      <c r="AJ5759">
        <v>89.274742264088999</v>
      </c>
      <c r="AK5759">
        <v>53.367543922501902</v>
      </c>
      <c r="AL5759">
        <v>81.330969642349302</v>
      </c>
      <c r="AM5759">
        <v>95.283141643222393</v>
      </c>
      <c r="AN5759">
        <v>1.000000031451</v>
      </c>
    </row>
    <row r="5760" spans="1:40" x14ac:dyDescent="0.25">
      <c r="A5760" t="str">
        <f>"20190304155531570"</f>
        <v>20190304155531570</v>
      </c>
      <c r="B5760" t="str">
        <f>"1551686131563592"</f>
        <v>1551686131563592</v>
      </c>
      <c r="C5760" t="s">
        <v>40</v>
      </c>
      <c r="D5760">
        <v>4.4287169999999998</v>
      </c>
      <c r="E5760">
        <v>0.53716330000000001</v>
      </c>
      <c r="F5760" t="s">
        <v>46</v>
      </c>
      <c r="G5760">
        <v>-187.17679999999999</v>
      </c>
      <c r="H5760" s="1">
        <v>-4.4141450000000004E-6</v>
      </c>
      <c r="I5760">
        <v>68.754900000000006</v>
      </c>
      <c r="J5760">
        <v>-187.79499999999999</v>
      </c>
      <c r="K5760">
        <v>1.1088830000000001</v>
      </c>
      <c r="L5760">
        <v>18.242000000000001</v>
      </c>
      <c r="M5760">
        <v>1.4071190000000001E-3</v>
      </c>
      <c r="N5760">
        <v>-9.0267620000000007E-3</v>
      </c>
      <c r="O5760">
        <v>0.99995829999999997</v>
      </c>
      <c r="P5760">
        <v>-8.9791689999999993E-2</v>
      </c>
      <c r="Q5760">
        <v>0.14127239999999999</v>
      </c>
      <c r="R5760">
        <v>0.9858903</v>
      </c>
      <c r="S5760">
        <v>3.720093E-2</v>
      </c>
      <c r="T5760">
        <v>-6.6644190000000006E-2</v>
      </c>
      <c r="U5760">
        <v>3.056305</v>
      </c>
      <c r="V5760">
        <v>-9.0944220000000006E-2</v>
      </c>
      <c r="W5760">
        <v>0.15030689999999999</v>
      </c>
      <c r="X5760">
        <v>0.98444750000000003</v>
      </c>
      <c r="Y5760">
        <v>1.0761389999999999E-2</v>
      </c>
      <c r="Z5760">
        <v>-1.2773400000000001E-2</v>
      </c>
      <c r="AA5760">
        <v>0.99986050000000004</v>
      </c>
      <c r="AB5760">
        <v>36</v>
      </c>
      <c r="AC5760">
        <v>0.61820000000000097</v>
      </c>
      <c r="AD5760">
        <v>-1.108887414145</v>
      </c>
      <c r="AE5760">
        <v>50.512900000000002</v>
      </c>
      <c r="AF5760">
        <v>0.54685533467825598</v>
      </c>
      <c r="AG5760">
        <v>-1.108887414145</v>
      </c>
      <c r="AH5760">
        <v>50.489391961318702</v>
      </c>
      <c r="AI5760">
        <v>91.258098564976194</v>
      </c>
      <c r="AJ5760">
        <v>89.379448309475293</v>
      </c>
      <c r="AK5760">
        <v>50.504528338337998</v>
      </c>
      <c r="AL5760">
        <v>81.355287269840204</v>
      </c>
      <c r="AM5760">
        <v>95.278059250564397</v>
      </c>
      <c r="AN5760">
        <v>0.99999994779763202</v>
      </c>
    </row>
    <row r="5761" spans="1:40" x14ac:dyDescent="0.25">
      <c r="A5761" t="str">
        <f>"20190304155531595"</f>
        <v>20190304155531595</v>
      </c>
      <c r="B5761" t="str">
        <f>"1551686131583112"</f>
        <v>1551686131583112</v>
      </c>
      <c r="C5761" t="s">
        <v>40</v>
      </c>
      <c r="D5761">
        <v>4.4257669999999996</v>
      </c>
      <c r="E5761">
        <v>0.536833</v>
      </c>
      <c r="F5761" t="s">
        <v>46</v>
      </c>
      <c r="G5761">
        <v>-187.21209999999999</v>
      </c>
      <c r="H5761" s="1">
        <v>-3.8244040000000003E-6</v>
      </c>
      <c r="I5761">
        <v>67.394800000000004</v>
      </c>
      <c r="J5761">
        <v>-187.79390000000001</v>
      </c>
      <c r="K5761">
        <v>1.1089659999999999</v>
      </c>
      <c r="L5761">
        <v>18.64621</v>
      </c>
      <c r="M5761">
        <v>1.8946569999999999E-3</v>
      </c>
      <c r="N5761">
        <v>-9.1482079999999997E-3</v>
      </c>
      <c r="O5761">
        <v>0.99995639999999997</v>
      </c>
      <c r="P5761">
        <v>-8.9568590000000003E-2</v>
      </c>
      <c r="Q5761">
        <v>0.14057220000000001</v>
      </c>
      <c r="R5761">
        <v>0.98601059999999996</v>
      </c>
      <c r="S5761">
        <v>3.623962E-2</v>
      </c>
      <c r="T5761">
        <v>-6.894612E-2</v>
      </c>
      <c r="U5761">
        <v>3.0561219999999998</v>
      </c>
      <c r="V5761">
        <v>-9.1231409999999999E-2</v>
      </c>
      <c r="W5761">
        <v>0.1497106</v>
      </c>
      <c r="X5761">
        <v>0.9845119</v>
      </c>
      <c r="Y5761">
        <v>9.960076E-3</v>
      </c>
      <c r="Z5761">
        <v>-1.340613E-2</v>
      </c>
      <c r="AA5761">
        <v>0.99986050000000004</v>
      </c>
      <c r="AB5761">
        <v>36</v>
      </c>
      <c r="AC5761">
        <v>0.58180000000001497</v>
      </c>
      <c r="AD5761">
        <v>-1.1089698244039901</v>
      </c>
      <c r="AE5761">
        <v>48.74859</v>
      </c>
      <c r="AF5761">
        <v>0.489180119457579</v>
      </c>
      <c r="AG5761">
        <v>-1.1089698244039901</v>
      </c>
      <c r="AH5761">
        <v>48.724393281149098</v>
      </c>
      <c r="AI5761">
        <v>91.303764249701601</v>
      </c>
      <c r="AJ5761">
        <v>89.424784738584293</v>
      </c>
      <c r="AK5761">
        <v>48.739466676162898</v>
      </c>
      <c r="AL5761">
        <v>81.389844716148005</v>
      </c>
      <c r="AM5761">
        <v>95.294287727188305</v>
      </c>
      <c r="AN5761">
        <v>1.0000000575822701</v>
      </c>
    </row>
    <row r="5762" spans="1:40" x14ac:dyDescent="0.25">
      <c r="A5762" t="str">
        <f>"20190304155531640"</f>
        <v>20190304155531640</v>
      </c>
      <c r="B5762" t="str">
        <f>"1551686131633864"</f>
        <v>1551686131633864</v>
      </c>
      <c r="C5762" t="s">
        <v>40</v>
      </c>
      <c r="D5762">
        <v>4.709276</v>
      </c>
      <c r="E5762">
        <v>0.53625210000000001</v>
      </c>
      <c r="F5762" t="s">
        <v>46</v>
      </c>
      <c r="G5762">
        <v>-187.26769999999999</v>
      </c>
      <c r="H5762" s="1">
        <v>-3.1194569999999998E-6</v>
      </c>
      <c r="I5762">
        <v>65.774529999999999</v>
      </c>
      <c r="J5762">
        <v>-187.79169999999999</v>
      </c>
      <c r="K5762">
        <v>1.109137</v>
      </c>
      <c r="L5762">
        <v>19.35699</v>
      </c>
      <c r="M5762">
        <v>2.5563930000000001E-3</v>
      </c>
      <c r="N5762">
        <v>-9.4223680000000004E-3</v>
      </c>
      <c r="O5762">
        <v>0.99995230000000002</v>
      </c>
      <c r="P5762">
        <v>-9.0311680000000005E-2</v>
      </c>
      <c r="Q5762">
        <v>0.1407467</v>
      </c>
      <c r="R5762">
        <v>0.98591790000000001</v>
      </c>
      <c r="S5762">
        <v>3.411865E-2</v>
      </c>
      <c r="T5762">
        <v>-7.1908120000000006E-2</v>
      </c>
      <c r="U5762">
        <v>3.0559080000000001</v>
      </c>
      <c r="V5762">
        <v>-9.2672260000000006E-2</v>
      </c>
      <c r="W5762">
        <v>0.15012690000000001</v>
      </c>
      <c r="X5762">
        <v>0.98431380000000002</v>
      </c>
      <c r="Y5762">
        <v>8.6052909999999993E-3</v>
      </c>
      <c r="Z5762">
        <v>-1.4102389999999999E-2</v>
      </c>
      <c r="AA5762">
        <v>0.99986350000000002</v>
      </c>
      <c r="AB5762">
        <v>36</v>
      </c>
      <c r="AC5762">
        <v>0.52400000000000002</v>
      </c>
      <c r="AD5762">
        <v>-1.1091401194570001</v>
      </c>
      <c r="AE5762">
        <v>46.417540000000002</v>
      </c>
      <c r="AF5762">
        <v>0.40510027254354403</v>
      </c>
      <c r="AG5762">
        <v>-1.1091401194570001</v>
      </c>
      <c r="AH5762">
        <v>46.392243005975899</v>
      </c>
      <c r="AI5762">
        <v>91.369507456072895</v>
      </c>
      <c r="AJ5762">
        <v>89.499702008515001</v>
      </c>
      <c r="AK5762">
        <v>46.407267848483798</v>
      </c>
      <c r="AL5762">
        <v>81.3657188564043</v>
      </c>
      <c r="AM5762">
        <v>95.3784918133655</v>
      </c>
      <c r="AN5762">
        <v>0.99999994537377701</v>
      </c>
    </row>
    <row r="5763" spans="1:40" x14ac:dyDescent="0.25">
      <c r="A5763" t="str">
        <f>"20190304155531661"</f>
        <v>20190304155531661</v>
      </c>
      <c r="B5763" t="str">
        <f>"1551686131653384"</f>
        <v>1551686131653384</v>
      </c>
      <c r="C5763" t="s">
        <v>40</v>
      </c>
      <c r="D5763">
        <v>4.475492</v>
      </c>
      <c r="E5763">
        <v>0.53588499999999994</v>
      </c>
      <c r="F5763" t="s">
        <v>46</v>
      </c>
      <c r="G5763">
        <v>-187.38300000000001</v>
      </c>
      <c r="H5763" s="1">
        <v>-2.8117600000000001E-6</v>
      </c>
      <c r="I5763">
        <v>65.104979999999998</v>
      </c>
      <c r="J5763">
        <v>-187.79060000000001</v>
      </c>
      <c r="K5763">
        <v>1.1092</v>
      </c>
      <c r="L5763">
        <v>19.692170000000001</v>
      </c>
      <c r="M5763">
        <v>2.8041009999999998E-3</v>
      </c>
      <c r="N5763">
        <v>-9.5682000000000007E-3</v>
      </c>
      <c r="O5763">
        <v>0.99995029999999996</v>
      </c>
      <c r="P5763">
        <v>-9.0829569999999998E-2</v>
      </c>
      <c r="Q5763">
        <v>0.14054659999999999</v>
      </c>
      <c r="R5763">
        <v>0.98589890000000002</v>
      </c>
      <c r="S5763">
        <v>2.7297970000000001E-2</v>
      </c>
      <c r="T5763">
        <v>-7.4089879999999997E-2</v>
      </c>
      <c r="U5763">
        <v>3.055939</v>
      </c>
      <c r="V5763">
        <v>-9.3451380000000001E-2</v>
      </c>
      <c r="W5763">
        <v>0.15005950000000001</v>
      </c>
      <c r="X5763">
        <v>0.98425050000000003</v>
      </c>
      <c r="Y5763">
        <v>6.1263009999999998E-3</v>
      </c>
      <c r="Z5763">
        <v>-1.46702E-2</v>
      </c>
      <c r="AA5763">
        <v>0.99987360000000003</v>
      </c>
      <c r="AB5763">
        <v>36</v>
      </c>
      <c r="AC5763">
        <v>0.40760000000002999</v>
      </c>
      <c r="AD5763">
        <v>-1.1092028117599999</v>
      </c>
      <c r="AE5763">
        <v>45.412809999999901</v>
      </c>
      <c r="AF5763">
        <v>0.280083385605918</v>
      </c>
      <c r="AG5763">
        <v>-1.1092028117599999</v>
      </c>
      <c r="AH5763">
        <v>45.386700049962101</v>
      </c>
      <c r="AI5763">
        <v>91.399942765987007</v>
      </c>
      <c r="AJ5763">
        <v>89.646429632759705</v>
      </c>
      <c r="AK5763">
        <v>45.401115834368397</v>
      </c>
      <c r="AL5763">
        <v>81.369625578753002</v>
      </c>
      <c r="AM5763">
        <v>95.423788416714899</v>
      </c>
      <c r="AN5763">
        <v>1.0000000303572001</v>
      </c>
    </row>
    <row r="5764" spans="1:40" x14ac:dyDescent="0.25">
      <c r="A5764" t="str">
        <f>"20190304155531683"</f>
        <v>20190304155531683</v>
      </c>
      <c r="B5764" t="str">
        <f>"1551686131673880"</f>
        <v>1551686131673880</v>
      </c>
      <c r="C5764" t="s">
        <v>40</v>
      </c>
      <c r="D5764">
        <v>4.5423109999999998</v>
      </c>
      <c r="E5764">
        <v>0.5353523</v>
      </c>
      <c r="F5764" t="s">
        <v>46</v>
      </c>
      <c r="G5764">
        <v>-187.45140000000001</v>
      </c>
      <c r="H5764" s="1">
        <v>-2.5411940000000002E-6</v>
      </c>
      <c r="I5764">
        <v>64.502529999999993</v>
      </c>
      <c r="J5764">
        <v>-187.7893</v>
      </c>
      <c r="K5764">
        <v>1.1092690000000001</v>
      </c>
      <c r="L5764">
        <v>20.059629999999999</v>
      </c>
      <c r="M5764">
        <v>3.0435839999999998E-3</v>
      </c>
      <c r="N5764">
        <v>-9.7322789999999999E-3</v>
      </c>
      <c r="O5764">
        <v>0.99994799999999995</v>
      </c>
      <c r="P5764">
        <v>-9.1239840000000003E-2</v>
      </c>
      <c r="Q5764">
        <v>0.1402254</v>
      </c>
      <c r="R5764">
        <v>0.98590679999999997</v>
      </c>
      <c r="S5764">
        <v>2.3132320000000001E-2</v>
      </c>
      <c r="T5764">
        <v>-7.5641390000000003E-2</v>
      </c>
      <c r="U5764">
        <v>3.0558169999999998</v>
      </c>
      <c r="V5764">
        <v>-9.4114139999999999E-2</v>
      </c>
      <c r="W5764">
        <v>0.14989059999999901</v>
      </c>
      <c r="X5764">
        <v>0.98421309999999995</v>
      </c>
      <c r="Y5764">
        <v>4.5244270000000001E-3</v>
      </c>
      <c r="Z5764">
        <v>-1.5014660000000001E-2</v>
      </c>
      <c r="AA5764">
        <v>0.99987700000000002</v>
      </c>
      <c r="AB5764">
        <v>36</v>
      </c>
      <c r="AC5764">
        <v>0.33789999999998999</v>
      </c>
      <c r="AD5764">
        <v>-1.109271541194</v>
      </c>
      <c r="AE5764">
        <v>44.442900000000002</v>
      </c>
      <c r="AF5764">
        <v>0.202500182504982</v>
      </c>
      <c r="AG5764">
        <v>-1.109271541194</v>
      </c>
      <c r="AH5764">
        <v>44.416054095713903</v>
      </c>
      <c r="AI5764">
        <v>91.430624798556593</v>
      </c>
      <c r="AJ5764">
        <v>89.738780815716495</v>
      </c>
      <c r="AK5764">
        <v>44.430365192167798</v>
      </c>
      <c r="AL5764">
        <v>81.379413664739403</v>
      </c>
      <c r="AM5764">
        <v>95.4622285757778</v>
      </c>
      <c r="AN5764">
        <v>1.0000000447639501</v>
      </c>
    </row>
    <row r="5765" spans="1:40" x14ac:dyDescent="0.25">
      <c r="A5765" t="str">
        <f>"20190304155531705"</f>
        <v>20190304155531705</v>
      </c>
      <c r="B5765" t="str">
        <f>"1551686131693401"</f>
        <v>1551686131693401</v>
      </c>
      <c r="C5765" t="s">
        <v>40</v>
      </c>
      <c r="D5765">
        <v>4.5026519999999897</v>
      </c>
      <c r="E5765">
        <v>0.46239150000000001</v>
      </c>
      <c r="F5765" t="s">
        <v>46</v>
      </c>
      <c r="G5765">
        <v>-187.53659999999999</v>
      </c>
      <c r="H5765" s="1">
        <v>-2.001184E-6</v>
      </c>
      <c r="I5765">
        <v>63.278979999999997</v>
      </c>
      <c r="J5765">
        <v>-187.78800000000001</v>
      </c>
      <c r="K5765">
        <v>1.1093189999999999</v>
      </c>
      <c r="L5765">
        <v>20.397549999999999</v>
      </c>
      <c r="M5765">
        <v>3.2442030000000002E-3</v>
      </c>
      <c r="N5765">
        <v>-9.8841999999999992E-3</v>
      </c>
      <c r="O5765">
        <v>0.99994590000000005</v>
      </c>
      <c r="P5765">
        <v>-9.2298569999999996E-2</v>
      </c>
      <c r="Q5765">
        <v>0.14000839999999901</v>
      </c>
      <c r="R5765">
        <v>0.98583909999999997</v>
      </c>
      <c r="S5765">
        <v>1.7868040000000002E-2</v>
      </c>
      <c r="T5765">
        <v>-7.8427670000000005E-2</v>
      </c>
      <c r="U5765">
        <v>3.0556950000000001</v>
      </c>
      <c r="V5765">
        <v>-9.5381359999999998E-2</v>
      </c>
      <c r="W5765">
        <v>0.14981620000000001</v>
      </c>
      <c r="X5765">
        <v>0.98410240000000004</v>
      </c>
      <c r="Y5765">
        <v>2.6018349999999998E-3</v>
      </c>
      <c r="Z5765">
        <v>-1.5775049999999999E-2</v>
      </c>
      <c r="AA5765">
        <v>0.99987219999999999</v>
      </c>
      <c r="AB5765">
        <v>36</v>
      </c>
      <c r="AC5765">
        <v>0.25139999999998902</v>
      </c>
      <c r="AD5765">
        <v>-1.109321001184</v>
      </c>
      <c r="AE5765">
        <v>42.881430000000002</v>
      </c>
      <c r="AF5765">
        <v>0.112200733047027</v>
      </c>
      <c r="AG5765">
        <v>-1.109321001184</v>
      </c>
      <c r="AH5765">
        <v>42.853342156687297</v>
      </c>
      <c r="AI5765">
        <v>91.482848222755507</v>
      </c>
      <c r="AJ5765">
        <v>89.849985708267099</v>
      </c>
      <c r="AK5765">
        <v>42.867844780047903</v>
      </c>
      <c r="AL5765">
        <v>81.3837249021622</v>
      </c>
      <c r="AM5765">
        <v>95.535940939995498</v>
      </c>
      <c r="AN5765">
        <v>1.0000000156518201</v>
      </c>
    </row>
    <row r="5766" spans="1:40" x14ac:dyDescent="0.25">
      <c r="A5766" t="str">
        <f>"20190304155531772"</f>
        <v>20190304155531772</v>
      </c>
      <c r="B5766" t="str">
        <f>"1551686131763673"</f>
        <v>1551686131763673</v>
      </c>
      <c r="C5766" t="s">
        <v>40</v>
      </c>
      <c r="D5766">
        <v>4.1593799999999996</v>
      </c>
      <c r="E5766">
        <v>0.44268099999999999</v>
      </c>
      <c r="F5766" t="s">
        <v>46</v>
      </c>
      <c r="G5766">
        <v>-199.2825</v>
      </c>
      <c r="H5766" s="1">
        <v>-3.127236E-6</v>
      </c>
      <c r="I5766">
        <v>81.337800000000001</v>
      </c>
      <c r="J5766">
        <v>-187.78360000000001</v>
      </c>
      <c r="K5766">
        <v>1.109424</v>
      </c>
      <c r="L5766">
        <v>21.474430000000002</v>
      </c>
      <c r="M5766">
        <v>3.8352439999999998E-3</v>
      </c>
      <c r="N5766">
        <v>-1.03131E-2</v>
      </c>
      <c r="O5766">
        <v>0.99993940000000003</v>
      </c>
      <c r="P5766">
        <v>-9.3486319999999998E-2</v>
      </c>
      <c r="Q5766">
        <v>0.13954079999999999</v>
      </c>
      <c r="R5766">
        <v>0.98579340000000004</v>
      </c>
      <c r="S5766">
        <v>-0.56546019999999997</v>
      </c>
      <c r="T5766">
        <v>-5.4571990000000001E-2</v>
      </c>
      <c r="U5766">
        <v>2.9978940000000001</v>
      </c>
      <c r="V5766">
        <v>-9.7173689999999993E-2</v>
      </c>
      <c r="W5766">
        <v>0.1497568</v>
      </c>
      <c r="X5766">
        <v>0.98393609999999998</v>
      </c>
      <c r="Y5766">
        <v>-0.1890859</v>
      </c>
      <c r="Z5766">
        <v>-7.5624189999999999E-3</v>
      </c>
      <c r="AA5766">
        <v>0.98193140000000001</v>
      </c>
      <c r="AB5766">
        <v>36</v>
      </c>
      <c r="AC5766">
        <v>-11.4988999999999</v>
      </c>
      <c r="AD5766">
        <v>-1.1094271272359999</v>
      </c>
      <c r="AE5766">
        <v>59.863369999999897</v>
      </c>
      <c r="AF5766">
        <v>-11.724534670396499</v>
      </c>
      <c r="AG5766">
        <v>-1.1094271272359999</v>
      </c>
      <c r="AH5766">
        <v>59.799018563672497</v>
      </c>
      <c r="AI5766">
        <v>91.043009612443299</v>
      </c>
      <c r="AJ5766">
        <v>101.09301893554</v>
      </c>
      <c r="AK5766">
        <v>60.947667412021801</v>
      </c>
      <c r="AL5766">
        <v>81.387167290606001</v>
      </c>
      <c r="AM5766">
        <v>95.640250473375104</v>
      </c>
      <c r="AN5766">
        <v>1.00000003702883</v>
      </c>
    </row>
    <row r="5767" spans="1:40" x14ac:dyDescent="0.25">
      <c r="A5767" t="str">
        <f>"20190304155531795"</f>
        <v>20190304155531795</v>
      </c>
      <c r="B5767" t="str">
        <f>"1551686131783192"</f>
        <v>1551686131783192</v>
      </c>
      <c r="C5767" t="s">
        <v>40</v>
      </c>
      <c r="D5767">
        <v>4.1937490000000004</v>
      </c>
      <c r="E5767">
        <v>0.43654779999999999</v>
      </c>
      <c r="F5767" t="s">
        <v>46</v>
      </c>
      <c r="G5767">
        <v>-193.94499999999999</v>
      </c>
      <c r="H5767" s="1">
        <v>-4.0811989999999998E-6</v>
      </c>
      <c r="I5767">
        <v>46.923250000000003</v>
      </c>
      <c r="J5767">
        <v>-187.78200000000001</v>
      </c>
      <c r="K5767">
        <v>1.1094440000000001</v>
      </c>
      <c r="L5767">
        <v>21.843050000000002</v>
      </c>
      <c r="M5767">
        <v>4.032763E-3</v>
      </c>
      <c r="N5767">
        <v>-1.0433420000000001E-2</v>
      </c>
      <c r="O5767">
        <v>0.99993739999999998</v>
      </c>
      <c r="P5767">
        <v>-9.3566769999999994E-2</v>
      </c>
      <c r="Q5767">
        <v>0.13953399999999999</v>
      </c>
      <c r="R5767">
        <v>0.98578670000000002</v>
      </c>
      <c r="S5767">
        <v>-0.72462459999999995</v>
      </c>
      <c r="T5767">
        <v>-0.13047739999999999</v>
      </c>
      <c r="U5767">
        <v>2.9929809999999999</v>
      </c>
      <c r="V5767">
        <v>-9.7453600000000001E-2</v>
      </c>
      <c r="W5767">
        <v>0.14986469999999999</v>
      </c>
      <c r="X5767">
        <v>0.98389199999999999</v>
      </c>
      <c r="Y5767">
        <v>-0.23904300000000001</v>
      </c>
      <c r="Z5767">
        <v>-3.1880140000000001E-2</v>
      </c>
      <c r="AA5767">
        <v>0.9704855</v>
      </c>
      <c r="AB5767">
        <v>36</v>
      </c>
      <c r="AC5767">
        <v>-6.1629999999999798</v>
      </c>
      <c r="AD5767">
        <v>-1.109448081199</v>
      </c>
      <c r="AE5767">
        <v>25.080200000000001</v>
      </c>
      <c r="AF5767">
        <v>-6.2525594640787201</v>
      </c>
      <c r="AG5767">
        <v>-1.109448081199</v>
      </c>
      <c r="AH5767">
        <v>25.008989358096301</v>
      </c>
      <c r="AI5767">
        <v>92.464335364504606</v>
      </c>
      <c r="AJ5767">
        <v>104.036916482102</v>
      </c>
      <c r="AK5767">
        <v>25.8026146661553</v>
      </c>
      <c r="AL5767">
        <v>81.380914624866904</v>
      </c>
      <c r="AM5767">
        <v>95.656643962852797</v>
      </c>
      <c r="AN5767">
        <v>1.00000005006152</v>
      </c>
    </row>
    <row r="5768" spans="1:40" x14ac:dyDescent="0.25">
      <c r="A5768" t="str">
        <f>"20190304155531819"</f>
        <v>20190304155531819</v>
      </c>
      <c r="B5768" t="str">
        <f>"1551686131813449"</f>
        <v>1551686131813449</v>
      </c>
      <c r="C5768" t="s">
        <v>40</v>
      </c>
      <c r="D5768">
        <v>4.1162869999999998</v>
      </c>
      <c r="E5768">
        <v>0.43161070000000001</v>
      </c>
      <c r="F5768" t="s">
        <v>46</v>
      </c>
      <c r="G5768">
        <v>-195.3819</v>
      </c>
      <c r="H5768" s="1">
        <v>-2.1099809999999998E-6</v>
      </c>
      <c r="I5768">
        <v>51.169490000000003</v>
      </c>
      <c r="J5768">
        <v>-187.78020000000001</v>
      </c>
      <c r="K5768">
        <v>1.1094649999999999</v>
      </c>
      <c r="L5768">
        <v>22.230530000000002</v>
      </c>
      <c r="M5768">
        <v>4.2310480000000003E-3</v>
      </c>
      <c r="N5768">
        <v>-1.054592E-2</v>
      </c>
      <c r="O5768">
        <v>0.99993540000000003</v>
      </c>
      <c r="P5768">
        <v>-9.3304189999999995E-2</v>
      </c>
      <c r="Q5768">
        <v>0.13940820000000001</v>
      </c>
      <c r="R5768">
        <v>0.98582939999999997</v>
      </c>
      <c r="S5768">
        <v>-0.77377320000000005</v>
      </c>
      <c r="T5768">
        <v>-0.1129558</v>
      </c>
      <c r="U5768">
        <v>2.9858090000000002</v>
      </c>
      <c r="V5768">
        <v>-9.7392870000000006E-2</v>
      </c>
      <c r="W5768">
        <v>0.14984639999999999</v>
      </c>
      <c r="X5768">
        <v>0.98390069999999996</v>
      </c>
      <c r="Y5768">
        <v>-0.25480960000000002</v>
      </c>
      <c r="Z5768">
        <v>-2.602985E-2</v>
      </c>
      <c r="AA5768">
        <v>0.96664079999999997</v>
      </c>
      <c r="AB5768">
        <v>36</v>
      </c>
      <c r="AC5768">
        <v>-7.6016999999999904</v>
      </c>
      <c r="AD5768">
        <v>-1.1094671099809901</v>
      </c>
      <c r="AE5768">
        <v>28.938960000000002</v>
      </c>
      <c r="AF5768">
        <v>-7.7134752992617202</v>
      </c>
      <c r="AG5768">
        <v>-1.1094671099809901</v>
      </c>
      <c r="AH5768">
        <v>28.866845707083701</v>
      </c>
      <c r="AI5768">
        <v>92.1264850322451</v>
      </c>
      <c r="AJ5768">
        <v>104.96041319143301</v>
      </c>
      <c r="AK5768">
        <v>29.900224071686001</v>
      </c>
      <c r="AL5768">
        <v>81.381974253282706</v>
      </c>
      <c r="AM5768">
        <v>95.6530920979922</v>
      </c>
      <c r="AN5768">
        <v>0.99999995109014195</v>
      </c>
    </row>
    <row r="5769" spans="1:40" x14ac:dyDescent="0.25">
      <c r="A5769" t="str">
        <f>"20190304155531860"</f>
        <v>20190304155531860</v>
      </c>
      <c r="B5769" t="str">
        <f>"1551686131853464"</f>
        <v>1551686131853464</v>
      </c>
      <c r="C5769" t="s">
        <v>40</v>
      </c>
      <c r="D5769">
        <v>4.1499779999999999</v>
      </c>
      <c r="E5769">
        <v>0.42557089999999997</v>
      </c>
      <c r="F5769" t="s">
        <v>46</v>
      </c>
      <c r="G5769">
        <v>-196.09299999999999</v>
      </c>
      <c r="H5769" s="1">
        <v>-2.9731809999999999E-6</v>
      </c>
      <c r="I5769">
        <v>52.740600000000001</v>
      </c>
      <c r="J5769">
        <v>-187.77709999999999</v>
      </c>
      <c r="K5769">
        <v>1.1095159999999999</v>
      </c>
      <c r="L5769">
        <v>22.883479999999999</v>
      </c>
      <c r="M5769">
        <v>4.5027940000000001E-3</v>
      </c>
      <c r="N5769">
        <v>-1.070433E-2</v>
      </c>
      <c r="O5769">
        <v>0.99993259999999995</v>
      </c>
      <c r="P5769">
        <v>-9.2215370000000005E-2</v>
      </c>
      <c r="Q5769">
        <v>0.13935799999999901</v>
      </c>
      <c r="R5769">
        <v>0.98593900000000001</v>
      </c>
      <c r="S5769">
        <v>-0.81236269999999999</v>
      </c>
      <c r="T5769">
        <v>-0.108421699999999</v>
      </c>
      <c r="U5769">
        <v>2.9815670000000001</v>
      </c>
      <c r="V5769">
        <v>-9.6587259999999994E-2</v>
      </c>
      <c r="W5769">
        <v>0.14994250000000001</v>
      </c>
      <c r="X5769">
        <v>0.98396550000000005</v>
      </c>
      <c r="Y5769">
        <v>-0.267078599999999</v>
      </c>
      <c r="Z5769">
        <v>-2.4335619999999999E-2</v>
      </c>
      <c r="AA5769">
        <v>0.96336739999999998</v>
      </c>
      <c r="AB5769">
        <v>36</v>
      </c>
      <c r="AC5769">
        <v>-8.3158999999999992</v>
      </c>
      <c r="AD5769">
        <v>-1.109518973181</v>
      </c>
      <c r="AE5769">
        <v>29.857119999999998</v>
      </c>
      <c r="AF5769">
        <v>-8.4394485074267305</v>
      </c>
      <c r="AG5769">
        <v>-1.109518973181</v>
      </c>
      <c r="AH5769">
        <v>29.781205086469701</v>
      </c>
      <c r="AI5769">
        <v>92.052844133348998</v>
      </c>
      <c r="AJ5769">
        <v>105.82175915442301</v>
      </c>
      <c r="AK5769">
        <v>30.973787302551901</v>
      </c>
      <c r="AL5769">
        <v>81.376405448999407</v>
      </c>
      <c r="AM5769">
        <v>95.606263388254305</v>
      </c>
      <c r="AN5769">
        <v>0.99999997864540302</v>
      </c>
    </row>
    <row r="5770" spans="1:40" x14ac:dyDescent="0.25">
      <c r="A5770" t="str">
        <f>"20190304155531894"</f>
        <v>20190304155531894</v>
      </c>
      <c r="B5770" t="str">
        <f>"1551686131883721"</f>
        <v>1551686131883721</v>
      </c>
      <c r="C5770" t="s">
        <v>40</v>
      </c>
      <c r="D5770">
        <v>4.0533380000000001</v>
      </c>
      <c r="E5770">
        <v>0.42387740000000002</v>
      </c>
      <c r="F5770" t="s">
        <v>46</v>
      </c>
      <c r="G5770">
        <v>-197.7782</v>
      </c>
      <c r="H5770" s="1">
        <v>-4.9869380000000003E-6</v>
      </c>
      <c r="I5770">
        <v>57.586779999999997</v>
      </c>
      <c r="J5770">
        <v>-187.77440000000001</v>
      </c>
      <c r="K5770">
        <v>1.1095680000000001</v>
      </c>
      <c r="L5770">
        <v>23.435390000000002</v>
      </c>
      <c r="M5770">
        <v>4.6485859999999997E-3</v>
      </c>
      <c r="N5770">
        <v>-1.0814239999999999E-2</v>
      </c>
      <c r="O5770">
        <v>0.99993069999999895</v>
      </c>
      <c r="P5770">
        <v>-9.1119119999999998E-2</v>
      </c>
      <c r="Q5770">
        <v>0.1390941</v>
      </c>
      <c r="R5770">
        <v>0.98607809999999996</v>
      </c>
      <c r="S5770">
        <v>-0.85765079999999905</v>
      </c>
      <c r="T5770">
        <v>-9.5147969999999998E-2</v>
      </c>
      <c r="U5770">
        <v>2.976013</v>
      </c>
      <c r="V5770">
        <v>-9.5653160000000001E-2</v>
      </c>
      <c r="W5770">
        <v>0.1497761</v>
      </c>
      <c r="X5770">
        <v>0.98408209999999996</v>
      </c>
      <c r="Y5770">
        <v>-0.2812653</v>
      </c>
      <c r="Z5770">
        <v>-1.9868170000000001E-2</v>
      </c>
      <c r="AA5770">
        <v>0.95942439999999996</v>
      </c>
      <c r="AB5770">
        <v>36</v>
      </c>
      <c r="AC5770">
        <v>-10.003799999999901</v>
      </c>
      <c r="AD5770">
        <v>-1.109572986938</v>
      </c>
      <c r="AE5770">
        <v>34.151389999999999</v>
      </c>
      <c r="AF5770">
        <v>-10.152586799016801</v>
      </c>
      <c r="AG5770">
        <v>-1.109572986938</v>
      </c>
      <c r="AH5770">
        <v>34.0713914635161</v>
      </c>
      <c r="AI5770">
        <v>91.787620112859003</v>
      </c>
      <c r="AJ5770">
        <v>106.592994190683</v>
      </c>
      <c r="AK5770">
        <v>35.5691704596139</v>
      </c>
      <c r="AL5770">
        <v>81.386048488709505</v>
      </c>
      <c r="AM5770">
        <v>95.551731623544697</v>
      </c>
      <c r="AN5770">
        <v>0.99999999334480205</v>
      </c>
    </row>
    <row r="5771" spans="1:40" x14ac:dyDescent="0.25">
      <c r="A5771" t="str">
        <f>"20190304155531917"</f>
        <v>20190304155531917</v>
      </c>
      <c r="B5771" t="str">
        <f>"1551686131913976"</f>
        <v>1551686131913976</v>
      </c>
      <c r="C5771" t="s">
        <v>40</v>
      </c>
      <c r="D5771">
        <v>4.034459</v>
      </c>
      <c r="E5771">
        <v>0.42144160000000003</v>
      </c>
      <c r="F5771" t="s">
        <v>46</v>
      </c>
      <c r="G5771">
        <v>-198.22450000000001</v>
      </c>
      <c r="H5771" s="1">
        <v>-5.626966E-6</v>
      </c>
      <c r="I5771">
        <v>59.23489</v>
      </c>
      <c r="J5771">
        <v>-187.77260000000001</v>
      </c>
      <c r="K5771">
        <v>1.1095999999999999</v>
      </c>
      <c r="L5771">
        <v>23.81955</v>
      </c>
      <c r="M5771">
        <v>4.7095870000000003E-3</v>
      </c>
      <c r="N5771">
        <v>-1.088515E-2</v>
      </c>
      <c r="O5771">
        <v>0.99992970000000003</v>
      </c>
      <c r="P5771">
        <v>-9.0356030000000004E-2</v>
      </c>
      <c r="Q5771">
        <v>0.1385565</v>
      </c>
      <c r="R5771">
        <v>0.98622410000000005</v>
      </c>
      <c r="S5771">
        <v>-0.86845399999999995</v>
      </c>
      <c r="T5771">
        <v>-9.2211479999999998E-2</v>
      </c>
      <c r="U5771">
        <v>2.9751280000000002</v>
      </c>
      <c r="V5771">
        <v>-9.4962249999999998E-2</v>
      </c>
      <c r="W5771">
        <v>0.14930280000000001</v>
      </c>
      <c r="X5771">
        <v>0.98422089999999995</v>
      </c>
      <c r="Y5771">
        <v>-0.28461740000000002</v>
      </c>
      <c r="Z5771">
        <v>-1.882938E-2</v>
      </c>
      <c r="AA5771">
        <v>0.95845630000000004</v>
      </c>
      <c r="AB5771">
        <v>36</v>
      </c>
      <c r="AC5771">
        <v>-10.451899999999901</v>
      </c>
      <c r="AD5771">
        <v>-1.109605626966</v>
      </c>
      <c r="AE5771">
        <v>35.41534</v>
      </c>
      <c r="AF5771">
        <v>-10.609005684566901</v>
      </c>
      <c r="AG5771">
        <v>-1.109605626966</v>
      </c>
      <c r="AH5771">
        <v>35.333813852697801</v>
      </c>
      <c r="AI5771">
        <v>91.722767309250401</v>
      </c>
      <c r="AJ5771">
        <v>106.712426324365</v>
      </c>
      <c r="AK5771">
        <v>36.908815039766097</v>
      </c>
      <c r="AL5771">
        <v>81.413474748019098</v>
      </c>
      <c r="AM5771">
        <v>95.511106358225902</v>
      </c>
      <c r="AN5771">
        <v>0.99999996750485498</v>
      </c>
    </row>
    <row r="5772" spans="1:40" x14ac:dyDescent="0.25">
      <c r="A5772" t="str">
        <f>"20190304155531939"</f>
        <v>20190304155531939</v>
      </c>
      <c r="B5772" t="str">
        <f>"1551686131933496"</f>
        <v>1551686131933496</v>
      </c>
      <c r="C5772" t="s">
        <v>40</v>
      </c>
      <c r="D5772">
        <v>3.9442729999999999</v>
      </c>
      <c r="E5772">
        <v>0.42058590000000001</v>
      </c>
      <c r="F5772" t="s">
        <v>46</v>
      </c>
      <c r="G5772">
        <v>-198.7561</v>
      </c>
      <c r="H5772" s="1">
        <v>-2.791497E-6</v>
      </c>
      <c r="I5772">
        <v>60.665399999999998</v>
      </c>
      <c r="J5772">
        <v>-187.77090000000001</v>
      </c>
      <c r="K5772">
        <v>1.109632</v>
      </c>
      <c r="L5772">
        <v>24.16</v>
      </c>
      <c r="M5772">
        <v>4.7281349999999996E-3</v>
      </c>
      <c r="N5772">
        <v>-1.094623E-2</v>
      </c>
      <c r="O5772">
        <v>0.99992890000000001</v>
      </c>
      <c r="P5772">
        <v>-9.0417369999999997E-2</v>
      </c>
      <c r="Q5772">
        <v>0.13788880000000001</v>
      </c>
      <c r="R5772">
        <v>0.98631199999999997</v>
      </c>
      <c r="S5772">
        <v>-0.88632199999999906</v>
      </c>
      <c r="T5772">
        <v>-8.9539999999999995E-2</v>
      </c>
      <c r="U5772">
        <v>2.9732970000000001</v>
      </c>
      <c r="V5772">
        <v>-9.5052310000000001E-2</v>
      </c>
      <c r="W5772">
        <v>0.148690299999999</v>
      </c>
      <c r="X5772">
        <v>0.98430499999999999</v>
      </c>
      <c r="Y5772">
        <v>-0.29009230000000003</v>
      </c>
      <c r="Z5772">
        <v>-1.7876449999999999E-2</v>
      </c>
      <c r="AA5772">
        <v>0.95683169999999995</v>
      </c>
      <c r="AB5772">
        <v>36</v>
      </c>
      <c r="AC5772">
        <v>-10.985199999999899</v>
      </c>
      <c r="AD5772">
        <v>-1.109634791497</v>
      </c>
      <c r="AE5772">
        <v>36.505400000000002</v>
      </c>
      <c r="AF5772">
        <v>-11.1482449169199</v>
      </c>
      <c r="AG5772">
        <v>-1.109634791497</v>
      </c>
      <c r="AH5772">
        <v>36.4221914598862</v>
      </c>
      <c r="AI5772">
        <v>91.668657570194299</v>
      </c>
      <c r="AJ5772">
        <v>107.018503994881</v>
      </c>
      <c r="AK5772">
        <v>38.106307677846999</v>
      </c>
      <c r="AL5772">
        <v>81.448965186576004</v>
      </c>
      <c r="AM5772">
        <v>95.515832329185699</v>
      </c>
      <c r="AN5772">
        <v>1.00000003998771</v>
      </c>
    </row>
    <row r="5773" spans="1:40" x14ac:dyDescent="0.25">
      <c r="A5773" t="str">
        <f>"20190304155531960"</f>
        <v>20190304155531960</v>
      </c>
      <c r="B5773" t="str">
        <f>"1551686131953993"</f>
        <v>1551686131953993</v>
      </c>
      <c r="C5773" t="s">
        <v>40</v>
      </c>
      <c r="D5773">
        <v>4.0852519999999997</v>
      </c>
      <c r="E5773">
        <v>0.39525660000000001</v>
      </c>
      <c r="F5773" t="s">
        <v>46</v>
      </c>
      <c r="G5773">
        <v>-198.4145</v>
      </c>
      <c r="H5773" s="1">
        <v>-5.7797269999999996E-6</v>
      </c>
      <c r="I5773">
        <v>59.58473</v>
      </c>
      <c r="J5773">
        <v>-187.76920000000001</v>
      </c>
      <c r="K5773">
        <v>1.1096699999999999</v>
      </c>
      <c r="L5773">
        <v>24.51483</v>
      </c>
      <c r="M5773">
        <v>4.7012099999999999E-3</v>
      </c>
      <c r="N5773">
        <v>-1.100775E-2</v>
      </c>
      <c r="O5773">
        <v>0.99992840000000005</v>
      </c>
      <c r="P5773">
        <v>-9.0876949999999998E-2</v>
      </c>
      <c r="Q5773">
        <v>0.13760510000000001</v>
      </c>
      <c r="R5773">
        <v>0.9863094</v>
      </c>
      <c r="S5773">
        <v>-0.89318850000000005</v>
      </c>
      <c r="T5773">
        <v>-9.3118790000000007E-2</v>
      </c>
      <c r="U5773">
        <v>2.9727779999999999</v>
      </c>
      <c r="V5773">
        <v>-9.5497319999999997E-2</v>
      </c>
      <c r="W5773">
        <v>0.1484597</v>
      </c>
      <c r="X5773">
        <v>0.98429670000000002</v>
      </c>
      <c r="Y5773">
        <v>-0.29213159999999999</v>
      </c>
      <c r="Z5773">
        <v>-1.8952119999999999E-2</v>
      </c>
      <c r="AA5773">
        <v>0.95619030000000005</v>
      </c>
      <c r="AB5773">
        <v>36</v>
      </c>
      <c r="AC5773">
        <v>-10.645299999999899</v>
      </c>
      <c r="AD5773">
        <v>-1.109675779727</v>
      </c>
      <c r="AE5773">
        <v>35.069899999999997</v>
      </c>
      <c r="AF5773">
        <v>-10.8001623819004</v>
      </c>
      <c r="AG5773">
        <v>-1.109675779727</v>
      </c>
      <c r="AH5773">
        <v>34.9873893335158</v>
      </c>
      <c r="AI5773">
        <v>91.735841895812797</v>
      </c>
      <c r="AJ5773">
        <v>107.154792211253</v>
      </c>
      <c r="AK5773">
        <v>36.633213074838899</v>
      </c>
      <c r="AL5773">
        <v>81.462325598743703</v>
      </c>
      <c r="AM5773">
        <v>95.541542078796596</v>
      </c>
      <c r="AN5773">
        <v>1.0000000071410799</v>
      </c>
    </row>
    <row r="5774" spans="1:40" x14ac:dyDescent="0.25">
      <c r="A5774" t="str">
        <f>"20190304155531984"</f>
        <v>20190304155531984</v>
      </c>
      <c r="B5774" t="str">
        <f>"1551686131973513"</f>
        <v>1551686131973513</v>
      </c>
      <c r="C5774" t="s">
        <v>40</v>
      </c>
      <c r="D5774">
        <v>4.0837690000000002</v>
      </c>
      <c r="E5774">
        <v>0.40243180000000001</v>
      </c>
      <c r="F5774" t="s">
        <v>46</v>
      </c>
      <c r="G5774">
        <v>-202.59469999999999</v>
      </c>
      <c r="H5774">
        <v>7.9985509999999996E-2</v>
      </c>
      <c r="I5774">
        <v>64.44238</v>
      </c>
      <c r="J5774">
        <v>-187.76750000000001</v>
      </c>
      <c r="K5774">
        <v>1.1097220000000001</v>
      </c>
      <c r="L5774">
        <v>24.890170000000001</v>
      </c>
      <c r="M5774">
        <v>4.6112820000000004E-3</v>
      </c>
      <c r="N5774">
        <v>-1.10674E-2</v>
      </c>
      <c r="O5774">
        <v>0.99992809999999999</v>
      </c>
      <c r="P5774">
        <v>-9.1098929999999995E-2</v>
      </c>
      <c r="Q5774">
        <v>0.13689309999999999</v>
      </c>
      <c r="R5774">
        <v>0.98638800000000004</v>
      </c>
      <c r="S5774">
        <v>-1.0958399999999999</v>
      </c>
      <c r="T5774">
        <v>-7.6110360000000002E-2</v>
      </c>
      <c r="U5774">
        <v>2.9512939999999999</v>
      </c>
      <c r="V5774">
        <v>-9.5646780000000001E-2</v>
      </c>
      <c r="W5774">
        <v>0.1477966</v>
      </c>
      <c r="X5774">
        <v>0.98438199999999998</v>
      </c>
      <c r="Y5774">
        <v>-0.35231079999999998</v>
      </c>
      <c r="Z5774">
        <v>-1.307384E-2</v>
      </c>
      <c r="AA5774">
        <v>0.9357917</v>
      </c>
      <c r="AB5774">
        <v>36</v>
      </c>
      <c r="AC5774">
        <v>-14.8271999999999</v>
      </c>
      <c r="AD5774">
        <v>-1.0297364899999999</v>
      </c>
      <c r="AE5774">
        <v>39.552209999999903</v>
      </c>
      <c r="AF5774">
        <v>-15.0005251500243</v>
      </c>
      <c r="AG5774">
        <v>-1.0297364899999999</v>
      </c>
      <c r="AH5774">
        <v>39.459961929431202</v>
      </c>
      <c r="AI5774">
        <v>91.397320584042404</v>
      </c>
      <c r="AJ5774">
        <v>110.814073002154</v>
      </c>
      <c r="AK5774">
        <v>42.227534944482699</v>
      </c>
      <c r="AL5774">
        <v>81.500742446605202</v>
      </c>
      <c r="AM5774">
        <v>95.549682931846505</v>
      </c>
      <c r="AN5774">
        <v>1.00000003170996</v>
      </c>
    </row>
    <row r="5775" spans="1:40" x14ac:dyDescent="0.25">
      <c r="A5775" t="str">
        <f>"20190304155532008"</f>
        <v>20190304155532008</v>
      </c>
      <c r="B5775" t="str">
        <f>"1551686132003769"</f>
        <v>1551686132003769</v>
      </c>
      <c r="C5775" t="s">
        <v>40</v>
      </c>
      <c r="D5775">
        <v>4.0480140000000002</v>
      </c>
      <c r="E5775">
        <v>0.40450789999999998</v>
      </c>
      <c r="F5775" t="s">
        <v>46</v>
      </c>
      <c r="G5775">
        <v>-200.00839999999999</v>
      </c>
      <c r="H5775">
        <v>7.9986790000000002E-2</v>
      </c>
      <c r="I5775">
        <v>59.710140000000003</v>
      </c>
      <c r="J5775">
        <v>-187.76589999999999</v>
      </c>
      <c r="K5775">
        <v>1.1097779999999999</v>
      </c>
      <c r="L5775">
        <v>25.26971</v>
      </c>
      <c r="M5775">
        <v>4.4617169999999996E-3</v>
      </c>
      <c r="N5775">
        <v>-1.112135E-2</v>
      </c>
      <c r="O5775">
        <v>0.99992820000000004</v>
      </c>
      <c r="P5775">
        <v>-9.1487059999999995E-2</v>
      </c>
      <c r="Q5775">
        <v>0.13640279999999999</v>
      </c>
      <c r="R5775">
        <v>0.98641999999999996</v>
      </c>
      <c r="S5775">
        <v>-1.039703</v>
      </c>
      <c r="T5775">
        <v>-8.7463020000000002E-2</v>
      </c>
      <c r="U5775">
        <v>2.9575200000000001</v>
      </c>
      <c r="V5775">
        <v>-9.5906270000000002E-2</v>
      </c>
      <c r="W5775">
        <v>0.14734810000000001</v>
      </c>
      <c r="X5775">
        <v>0.98442390000000002</v>
      </c>
      <c r="Y5775">
        <v>-0.33573819999999999</v>
      </c>
      <c r="Z5775">
        <v>-1.6739739999999999E-2</v>
      </c>
      <c r="AA5775">
        <v>0.94180660000000005</v>
      </c>
      <c r="AB5775">
        <v>36</v>
      </c>
      <c r="AC5775">
        <v>-12.2425</v>
      </c>
      <c r="AD5775">
        <v>-1.02979121</v>
      </c>
      <c r="AE5775">
        <v>34.440429999999999</v>
      </c>
      <c r="AF5775">
        <v>-12.386219500671499</v>
      </c>
      <c r="AG5775">
        <v>-1.02979121</v>
      </c>
      <c r="AH5775">
        <v>34.3581893298186</v>
      </c>
      <c r="AI5775">
        <v>91.615081859329607</v>
      </c>
      <c r="AJ5775">
        <v>109.82436954340599</v>
      </c>
      <c r="AK5775">
        <v>36.537160227344799</v>
      </c>
      <c r="AL5775">
        <v>81.526723329324696</v>
      </c>
      <c r="AM5775">
        <v>95.564409502258897</v>
      </c>
      <c r="AN5775">
        <v>0.99999994504506495</v>
      </c>
    </row>
    <row r="5776" spans="1:40" x14ac:dyDescent="0.25">
      <c r="A5776" t="str">
        <f>"20190304155532031"</f>
        <v>20190304155532031</v>
      </c>
      <c r="B5776" t="str">
        <f>"1551686132023288"</f>
        <v>1551686132023288</v>
      </c>
      <c r="C5776" t="s">
        <v>40</v>
      </c>
      <c r="D5776">
        <v>4.1030369999999996</v>
      </c>
      <c r="E5776">
        <v>0.40734490000000001</v>
      </c>
      <c r="F5776" t="s">
        <v>46</v>
      </c>
      <c r="G5776">
        <v>-199.95779999999999</v>
      </c>
      <c r="H5776">
        <v>3.2243050000000002E-2</v>
      </c>
      <c r="I5776">
        <v>60.485289999999999</v>
      </c>
      <c r="J5776">
        <v>-187.76439999999999</v>
      </c>
      <c r="K5776">
        <v>1.109829</v>
      </c>
      <c r="L5776">
        <v>25.639469999999999</v>
      </c>
      <c r="M5776">
        <v>4.270594E-3</v>
      </c>
      <c r="N5776">
        <v>-1.1168229999999999E-2</v>
      </c>
      <c r="O5776">
        <v>0.9999285</v>
      </c>
      <c r="P5776">
        <v>-9.2452469999999995E-2</v>
      </c>
      <c r="Q5776">
        <v>0.13580909999999999</v>
      </c>
      <c r="R5776">
        <v>0.98641190000000001</v>
      </c>
      <c r="S5776">
        <v>-1.0243679999999999</v>
      </c>
      <c r="T5776">
        <v>-9.0535039999999997E-2</v>
      </c>
      <c r="U5776">
        <v>2.9588320000000001</v>
      </c>
      <c r="V5776">
        <v>-9.6700129999999995E-2</v>
      </c>
      <c r="W5776">
        <v>0.14678920000000001</v>
      </c>
      <c r="X5776">
        <v>0.98442980000000002</v>
      </c>
      <c r="Y5776">
        <v>-0.331065</v>
      </c>
      <c r="Z5776">
        <v>-1.7707939999999998E-2</v>
      </c>
      <c r="AA5776">
        <v>0.9434418</v>
      </c>
      <c r="AB5776">
        <v>36</v>
      </c>
      <c r="AC5776">
        <v>-12.193399999999899</v>
      </c>
      <c r="AD5776">
        <v>-1.07758595</v>
      </c>
      <c r="AE5776">
        <v>34.845820000000003</v>
      </c>
      <c r="AF5776">
        <v>-12.3316039732427</v>
      </c>
      <c r="AG5776">
        <v>-1.07758595</v>
      </c>
      <c r="AH5776">
        <v>34.763807330860701</v>
      </c>
      <c r="AI5776">
        <v>91.673351938572495</v>
      </c>
      <c r="AJ5776">
        <v>109.530886406603</v>
      </c>
      <c r="AK5776">
        <v>36.901923366807601</v>
      </c>
      <c r="AL5776">
        <v>81.559098508525096</v>
      </c>
      <c r="AM5776">
        <v>95.610142613610606</v>
      </c>
      <c r="AN5776">
        <v>1.00000000775334</v>
      </c>
    </row>
    <row r="5777" spans="1:40" x14ac:dyDescent="0.25">
      <c r="A5777" t="str">
        <f>"20190304155532073"</f>
        <v>20190304155532073</v>
      </c>
      <c r="B5777" t="str">
        <f>"1551686132063305"</f>
        <v>1551686132063305</v>
      </c>
      <c r="C5777" t="s">
        <v>40</v>
      </c>
      <c r="D5777">
        <v>3.9945659999999998</v>
      </c>
      <c r="E5777">
        <v>0.40778330000000002</v>
      </c>
      <c r="F5777" t="s">
        <v>46</v>
      </c>
      <c r="G5777">
        <v>-199.3947</v>
      </c>
      <c r="H5777" s="1">
        <v>-2.6373160000000002E-6</v>
      </c>
      <c r="I5777">
        <v>59.909889999999997</v>
      </c>
      <c r="J5777">
        <v>-187.762</v>
      </c>
      <c r="K5777">
        <v>1.109907</v>
      </c>
      <c r="L5777">
        <v>26.311399999999999</v>
      </c>
      <c r="M5777">
        <v>3.8136070000000001E-3</v>
      </c>
      <c r="N5777">
        <v>-1.124027E-2</v>
      </c>
      <c r="O5777">
        <v>0.99992950000000003</v>
      </c>
      <c r="P5777">
        <v>-9.3373429999999993E-2</v>
      </c>
      <c r="Q5777">
        <v>0.13570160000000001</v>
      </c>
      <c r="R5777">
        <v>0.98633990000000005</v>
      </c>
      <c r="S5777">
        <v>-1.0046539999999999</v>
      </c>
      <c r="T5777">
        <v>-9.5869780000000002E-2</v>
      </c>
      <c r="U5777">
        <v>2.9603579999999998</v>
      </c>
      <c r="V5777">
        <v>-9.7196160000000004E-2</v>
      </c>
      <c r="W5777">
        <v>0.146735</v>
      </c>
      <c r="X5777">
        <v>0.98438899999999996</v>
      </c>
      <c r="Y5777">
        <v>-0.32484150000000001</v>
      </c>
      <c r="Z5777">
        <v>-1.9388800000000001E-2</v>
      </c>
      <c r="AA5777">
        <v>0.94556969999999996</v>
      </c>
      <c r="AB5777">
        <v>36</v>
      </c>
      <c r="AC5777">
        <v>-11.6327</v>
      </c>
      <c r="AD5777">
        <v>-1.109909637316</v>
      </c>
      <c r="AE5777">
        <v>33.598489999999998</v>
      </c>
      <c r="AF5777">
        <v>-11.749305631679499</v>
      </c>
      <c r="AG5777">
        <v>-1.109909637316</v>
      </c>
      <c r="AH5777">
        <v>33.521214992870597</v>
      </c>
      <c r="AI5777">
        <v>91.789731224765404</v>
      </c>
      <c r="AJ5777">
        <v>109.315746072389</v>
      </c>
      <c r="AK5777">
        <v>35.538006933814998</v>
      </c>
      <c r="AL5777">
        <v>81.562237685662794</v>
      </c>
      <c r="AM5777">
        <v>95.638967443088902</v>
      </c>
      <c r="AN5777">
        <v>0.99999997853237199</v>
      </c>
    </row>
    <row r="5778" spans="1:40" x14ac:dyDescent="0.25">
      <c r="A5778" t="str">
        <f>"20190304155532096"</f>
        <v>20190304155532096</v>
      </c>
      <c r="B5778" t="str">
        <f>"1551686132093560"</f>
        <v>1551686132093560</v>
      </c>
      <c r="C5778" t="s">
        <v>40</v>
      </c>
      <c r="D5778">
        <v>4.0325540000000002</v>
      </c>
      <c r="E5778">
        <v>0.40814349999999999</v>
      </c>
      <c r="F5778" t="s">
        <v>46</v>
      </c>
      <c r="G5778">
        <v>-199.5172</v>
      </c>
      <c r="H5778" s="1">
        <v>-3.0459820000000001E-6</v>
      </c>
      <c r="I5778">
        <v>60.976680000000002</v>
      </c>
      <c r="J5778">
        <v>-187.76079999999999</v>
      </c>
      <c r="K5778">
        <v>1.109945</v>
      </c>
      <c r="L5778">
        <v>26.696010000000001</v>
      </c>
      <c r="M5778">
        <v>3.502074E-3</v>
      </c>
      <c r="N5778">
        <v>-1.127472E-2</v>
      </c>
      <c r="O5778">
        <v>0.99993030000000005</v>
      </c>
      <c r="P5778">
        <v>-9.3544169999999996E-2</v>
      </c>
      <c r="Q5778">
        <v>0.1357717</v>
      </c>
      <c r="R5778">
        <v>0.98631409999999997</v>
      </c>
      <c r="S5778">
        <v>-1.0036160000000001</v>
      </c>
      <c r="T5778">
        <v>-9.4760059999999993E-2</v>
      </c>
      <c r="U5778">
        <v>2.9595950000000002</v>
      </c>
      <c r="V5778">
        <v>-9.7071770000000002E-2</v>
      </c>
      <c r="W5778">
        <v>0.1468312</v>
      </c>
      <c r="X5778">
        <v>0.98438700000000001</v>
      </c>
      <c r="Y5778">
        <v>-0.32432650000000002</v>
      </c>
      <c r="Z5778">
        <v>-1.901243E-2</v>
      </c>
      <c r="AA5778">
        <v>0.94575410000000004</v>
      </c>
      <c r="AB5778">
        <v>36</v>
      </c>
      <c r="AC5778">
        <v>-11.756399999999999</v>
      </c>
      <c r="AD5778">
        <v>-1.1099480459819999</v>
      </c>
      <c r="AE5778">
        <v>34.280670000000001</v>
      </c>
      <c r="AF5778">
        <v>-11.8652590271313</v>
      </c>
      <c r="AG5778">
        <v>-1.1099480459819999</v>
      </c>
      <c r="AH5778">
        <v>34.207198044794097</v>
      </c>
      <c r="AI5778">
        <v>91.755907892113797</v>
      </c>
      <c r="AJ5778">
        <v>109.129839242488</v>
      </c>
      <c r="AK5778">
        <v>36.223593892951399</v>
      </c>
      <c r="AL5778">
        <v>81.556666066394797</v>
      </c>
      <c r="AM5778">
        <v>95.631808579315106</v>
      </c>
      <c r="AN5778">
        <v>1.0000000477966799</v>
      </c>
    </row>
    <row r="5779" spans="1:40" x14ac:dyDescent="0.25">
      <c r="A5779" t="str">
        <f>"20190304155532117"</f>
        <v>20190304155532117</v>
      </c>
      <c r="B5779" t="str">
        <f>"1551686132113081"</f>
        <v>1551686132113081</v>
      </c>
      <c r="C5779" t="s">
        <v>40</v>
      </c>
      <c r="D5779">
        <v>4.0635190000000003</v>
      </c>
      <c r="E5779">
        <v>0.40717589999999998</v>
      </c>
      <c r="F5779" t="s">
        <v>46</v>
      </c>
      <c r="G5779">
        <v>-199.52510000000001</v>
      </c>
      <c r="H5779" s="1">
        <v>-3.2165399999999999E-6</v>
      </c>
      <c r="I5779">
        <v>61.473750000000003</v>
      </c>
      <c r="J5779">
        <v>-187.75989999999999</v>
      </c>
      <c r="K5779">
        <v>1.109964</v>
      </c>
      <c r="L5779">
        <v>27.041319999999999</v>
      </c>
      <c r="M5779">
        <v>3.203315E-3</v>
      </c>
      <c r="N5779">
        <v>-1.130188E-2</v>
      </c>
      <c r="O5779">
        <v>0.99993100000000001</v>
      </c>
      <c r="P5779">
        <v>-9.3604839999999995E-2</v>
      </c>
      <c r="Q5779">
        <v>0.13569300000000001</v>
      </c>
      <c r="R5779">
        <v>0.98631919999999995</v>
      </c>
      <c r="S5779">
        <v>-1.0011749999999999</v>
      </c>
      <c r="T5779">
        <v>-9.4459769999999998E-2</v>
      </c>
      <c r="U5779">
        <v>2.959686</v>
      </c>
      <c r="V5779">
        <v>-9.6845890000000004E-2</v>
      </c>
      <c r="W5779">
        <v>0.14677409999999999</v>
      </c>
      <c r="X5779">
        <v>0.98441769999999995</v>
      </c>
      <c r="Y5779">
        <v>-0.32333579999999901</v>
      </c>
      <c r="Z5779">
        <v>-1.889822E-2</v>
      </c>
      <c r="AA5779">
        <v>0.94609560000000004</v>
      </c>
      <c r="AB5779">
        <v>36</v>
      </c>
      <c r="AC5779">
        <v>-11.7652</v>
      </c>
      <c r="AD5779">
        <v>-1.1099672165400001</v>
      </c>
      <c r="AE5779">
        <v>34.432429999999997</v>
      </c>
      <c r="AF5779">
        <v>-11.864404461884501</v>
      </c>
      <c r="AG5779">
        <v>-1.1099672165400001</v>
      </c>
      <c r="AH5779">
        <v>34.362588000652202</v>
      </c>
      <c r="AI5779">
        <v>91.748863149605498</v>
      </c>
      <c r="AJ5779">
        <v>109.048307824131</v>
      </c>
      <c r="AK5779">
        <v>36.370091759020198</v>
      </c>
      <c r="AL5779">
        <v>81.559972958527297</v>
      </c>
      <c r="AM5779">
        <v>95.618613558464006</v>
      </c>
      <c r="AN5779">
        <v>0.99999998545699498</v>
      </c>
    </row>
    <row r="5780" spans="1:40" x14ac:dyDescent="0.25">
      <c r="A5780" t="str">
        <f>"20190304155532139"</f>
        <v>20190304155532139</v>
      </c>
      <c r="B5780" t="str">
        <f>"1551686132133577"</f>
        <v>1551686132133577</v>
      </c>
      <c r="C5780" t="s">
        <v>40</v>
      </c>
      <c r="D5780">
        <v>4.0605520000000004</v>
      </c>
      <c r="E5780">
        <v>0.40615269999999998</v>
      </c>
      <c r="F5780" t="s">
        <v>46</v>
      </c>
      <c r="G5780">
        <v>-199.6019</v>
      </c>
      <c r="H5780" s="1">
        <v>-3.33117E-6</v>
      </c>
      <c r="I5780">
        <v>61.770600000000002</v>
      </c>
      <c r="J5780">
        <v>-187.75909999999999</v>
      </c>
      <c r="K5780">
        <v>1.109988</v>
      </c>
      <c r="L5780">
        <v>27.396450000000002</v>
      </c>
      <c r="M5780">
        <v>2.8857129999999998E-3</v>
      </c>
      <c r="N5780">
        <v>-1.132644E-2</v>
      </c>
      <c r="O5780">
        <v>0.99993169999999998</v>
      </c>
      <c r="P5780">
        <v>-9.4114139999999999E-2</v>
      </c>
      <c r="Q5780">
        <v>0.13653289999999901</v>
      </c>
      <c r="R5780">
        <v>0.9861548</v>
      </c>
      <c r="S5780">
        <v>-1.0089109999999999</v>
      </c>
      <c r="T5780">
        <v>-9.4566940000000002E-2</v>
      </c>
      <c r="U5780">
        <v>2.9588619999999999</v>
      </c>
      <c r="V5780">
        <v>-9.7048339999999997E-2</v>
      </c>
      <c r="W5780">
        <v>0.1476325</v>
      </c>
      <c r="X5780">
        <v>0.98426939999999996</v>
      </c>
      <c r="Y5780">
        <v>-0.3253315</v>
      </c>
      <c r="Z5780">
        <v>-1.8893460000000001E-2</v>
      </c>
      <c r="AA5780">
        <v>0.94541129999999995</v>
      </c>
      <c r="AB5780">
        <v>36</v>
      </c>
      <c r="AC5780">
        <v>-11.8428</v>
      </c>
      <c r="AD5780">
        <v>-1.10999133117</v>
      </c>
      <c r="AE5780">
        <v>34.37415</v>
      </c>
      <c r="AF5780">
        <v>-11.930830258319601</v>
      </c>
      <c r="AG5780">
        <v>-1.10999133117</v>
      </c>
      <c r="AH5780">
        <v>34.307851417532397</v>
      </c>
      <c r="AI5780">
        <v>91.750343268270498</v>
      </c>
      <c r="AJ5780">
        <v>109.175528578754</v>
      </c>
      <c r="AK5780">
        <v>36.340135666994797</v>
      </c>
      <c r="AL5780">
        <v>81.510248643715798</v>
      </c>
      <c r="AM5780">
        <v>95.631126378416198</v>
      </c>
      <c r="AN5780">
        <v>0.99999999356468205</v>
      </c>
    </row>
    <row r="5781" spans="1:40" x14ac:dyDescent="0.25">
      <c r="A5781" t="str">
        <f>"20190304155532161"</f>
        <v>20190304155532161</v>
      </c>
      <c r="B5781" t="str">
        <f>"1551686132153097"</f>
        <v>1551686132153097</v>
      </c>
      <c r="C5781" t="s">
        <v>40</v>
      </c>
      <c r="D5781">
        <v>4.4643449999999998</v>
      </c>
      <c r="E5781">
        <v>0.40643760000000001</v>
      </c>
      <c r="F5781" t="s">
        <v>46</v>
      </c>
      <c r="G5781">
        <v>-199.75989999999999</v>
      </c>
      <c r="H5781" s="1">
        <v>-3.5221979999999999E-6</v>
      </c>
      <c r="I5781">
        <v>62.249589999999998</v>
      </c>
      <c r="J5781">
        <v>-187.75829999999999</v>
      </c>
      <c r="K5781">
        <v>1.110006</v>
      </c>
      <c r="L5781">
        <v>27.754090000000001</v>
      </c>
      <c r="M5781">
        <v>2.5607680000000002E-3</v>
      </c>
      <c r="N5781">
        <v>-1.1348169999999999E-2</v>
      </c>
      <c r="O5781">
        <v>0.9999323</v>
      </c>
      <c r="P5781">
        <v>-9.4148090000000004E-2</v>
      </c>
      <c r="Q5781">
        <v>0.1369349</v>
      </c>
      <c r="R5781">
        <v>0.98609579999999997</v>
      </c>
      <c r="S5781">
        <v>-1.018494</v>
      </c>
      <c r="T5781">
        <v>-9.4203709999999996E-2</v>
      </c>
      <c r="U5781">
        <v>2.9579469999999999</v>
      </c>
      <c r="V5781">
        <v>-9.6767160000000005E-2</v>
      </c>
      <c r="W5781">
        <v>0.14805219999999999</v>
      </c>
      <c r="X5781">
        <v>0.98423400000000005</v>
      </c>
      <c r="Y5781">
        <v>-0.32785370000000003</v>
      </c>
      <c r="Z5781">
        <v>-1.8736300000000001E-2</v>
      </c>
      <c r="AA5781">
        <v>0.94454269999999996</v>
      </c>
      <c r="AB5781">
        <v>36</v>
      </c>
      <c r="AC5781">
        <v>-12.0015999999999</v>
      </c>
      <c r="AD5781">
        <v>-1.110009522198</v>
      </c>
      <c r="AE5781">
        <v>34.4955</v>
      </c>
      <c r="AF5781">
        <v>-12.078744843821999</v>
      </c>
      <c r="AG5781">
        <v>-1.110009522198</v>
      </c>
      <c r="AH5781">
        <v>34.432847884751901</v>
      </c>
      <c r="AI5781">
        <v>91.742376719113693</v>
      </c>
      <c r="AJ5781">
        <v>109.33042861608899</v>
      </c>
      <c r="AK5781">
        <v>36.506837874513202</v>
      </c>
      <c r="AL5781">
        <v>81.485934057387595</v>
      </c>
      <c r="AM5781">
        <v>95.615116277761103</v>
      </c>
      <c r="AN5781">
        <v>0.99999995196765101</v>
      </c>
    </row>
    <row r="5782" spans="1:40" x14ac:dyDescent="0.25">
      <c r="A5782" t="str">
        <f>"20190304155532185"</f>
        <v>20190304155532185</v>
      </c>
      <c r="B5782" t="str">
        <f>"1551686132173593"</f>
        <v>1551686132173593</v>
      </c>
      <c r="C5782" t="s">
        <v>40</v>
      </c>
      <c r="D5782">
        <v>3.9708809999999999</v>
      </c>
      <c r="E5782">
        <v>0.48266559999999997</v>
      </c>
      <c r="F5782" t="s">
        <v>46</v>
      </c>
      <c r="G5782">
        <v>-199.95779999999999</v>
      </c>
      <c r="H5782">
        <v>1.7487329999999999E-3</v>
      </c>
      <c r="I5782">
        <v>63.244250000000001</v>
      </c>
      <c r="J5782">
        <v>-187.7577</v>
      </c>
      <c r="K5782">
        <v>1.110026</v>
      </c>
      <c r="L5782">
        <v>28.130739999999999</v>
      </c>
      <c r="M5782">
        <v>2.2171320000000001E-3</v>
      </c>
      <c r="N5782">
        <v>-1.136802E-2</v>
      </c>
      <c r="O5782">
        <v>0.99993290000000001</v>
      </c>
      <c r="P5782">
        <v>-9.4577939999999999E-2</v>
      </c>
      <c r="Q5782">
        <v>0.13698070000000001</v>
      </c>
      <c r="R5782">
        <v>0.98604829999999999</v>
      </c>
      <c r="S5782">
        <v>-1.0167999999999999</v>
      </c>
      <c r="T5782">
        <v>-9.2371229999999999E-2</v>
      </c>
      <c r="U5782">
        <v>2.9580380000000002</v>
      </c>
      <c r="V5782">
        <v>-9.6861520000000007E-2</v>
      </c>
      <c r="W5782">
        <v>0.148115</v>
      </c>
      <c r="X5782">
        <v>0.98421530000000002</v>
      </c>
      <c r="Y5782">
        <v>-0.32704109999999997</v>
      </c>
      <c r="Z5782">
        <v>-1.8138350000000001E-2</v>
      </c>
      <c r="AA5782">
        <v>0.94483600000000001</v>
      </c>
      <c r="AB5782">
        <v>36</v>
      </c>
      <c r="AC5782">
        <v>-12.2000999999999</v>
      </c>
      <c r="AD5782">
        <v>-1.1082772670000001</v>
      </c>
      <c r="AE5782">
        <v>35.113509999999998</v>
      </c>
      <c r="AF5782">
        <v>-12.2670222129524</v>
      </c>
      <c r="AG5782">
        <v>-1.1082772670000001</v>
      </c>
      <c r="AH5782">
        <v>35.0552122389334</v>
      </c>
      <c r="AI5782">
        <v>91.709248918017394</v>
      </c>
      <c r="AJ5782">
        <v>109.28669416348799</v>
      </c>
      <c r="AK5782">
        <v>37.1561033693024</v>
      </c>
      <c r="AL5782">
        <v>81.482296027437499</v>
      </c>
      <c r="AM5782">
        <v>95.620662777283002</v>
      </c>
      <c r="AN5782">
        <v>0.99999998201789997</v>
      </c>
    </row>
    <row r="5783" spans="1:40" x14ac:dyDescent="0.25">
      <c r="A5783" t="str">
        <f>"20190304155532209"</f>
        <v>20190304155532209</v>
      </c>
      <c r="B5783" t="str">
        <f>"1551686132203849"</f>
        <v>1551686132203849</v>
      </c>
      <c r="C5783" t="s">
        <v>40</v>
      </c>
      <c r="D5783">
        <v>4.6231400000000002</v>
      </c>
      <c r="E5783">
        <v>0.50685519999999995</v>
      </c>
      <c r="F5783" t="s">
        <v>46</v>
      </c>
      <c r="G5783">
        <v>-191.30719999999999</v>
      </c>
      <c r="H5783" s="1">
        <v>-2.3002410000000001E-6</v>
      </c>
      <c r="I5783">
        <v>54.140270000000001</v>
      </c>
      <c r="J5783">
        <v>-187.75720000000001</v>
      </c>
      <c r="K5783">
        <v>1.1100410000000001</v>
      </c>
      <c r="L5783">
        <v>28.515689999999999</v>
      </c>
      <c r="M5783">
        <v>1.8662080000000001E-3</v>
      </c>
      <c r="N5783">
        <v>-1.1385849999999999E-2</v>
      </c>
      <c r="O5783">
        <v>0.99993339999999997</v>
      </c>
      <c r="P5783">
        <v>-9.5353160000000006E-2</v>
      </c>
      <c r="Q5783">
        <v>0.136598</v>
      </c>
      <c r="R5783">
        <v>0.98602679999999998</v>
      </c>
      <c r="S5783">
        <v>-0.41224670000000002</v>
      </c>
      <c r="T5783">
        <v>-0.12892149999999999</v>
      </c>
      <c r="U5783">
        <v>3.020813</v>
      </c>
      <c r="V5783">
        <v>-9.7293969999999994E-2</v>
      </c>
      <c r="W5783">
        <v>0.14774809999999999</v>
      </c>
      <c r="X5783">
        <v>0.98422779999999999</v>
      </c>
      <c r="Y5783">
        <v>-0.13695839999999901</v>
      </c>
      <c r="Z5783">
        <v>-3.0862770000000001E-2</v>
      </c>
      <c r="AA5783">
        <v>0.99009590000000003</v>
      </c>
      <c r="AB5783">
        <v>36</v>
      </c>
      <c r="AC5783">
        <v>-3.5499999999999798</v>
      </c>
      <c r="AD5783">
        <v>-1.110043300241</v>
      </c>
      <c r="AE5783">
        <v>25.624579999999899</v>
      </c>
      <c r="AF5783">
        <v>-3.5912054519810401</v>
      </c>
      <c r="AG5783">
        <v>-1.110043300241</v>
      </c>
      <c r="AH5783">
        <v>25.570827928493902</v>
      </c>
      <c r="AI5783">
        <v>92.461552861190697</v>
      </c>
      <c r="AJ5783">
        <v>97.994418750299005</v>
      </c>
      <c r="AK5783">
        <v>25.845622330975001</v>
      </c>
      <c r="AL5783">
        <v>81.503551781055407</v>
      </c>
      <c r="AM5783">
        <v>95.645523915945603</v>
      </c>
      <c r="AN5783">
        <v>0.99999998997240502</v>
      </c>
    </row>
    <row r="5784" spans="1:40" x14ac:dyDescent="0.25">
      <c r="A5784" t="str">
        <f>"20190304155532233"</f>
        <v>20190304155532233</v>
      </c>
      <c r="B5784" t="str">
        <f>"1551686132223369"</f>
        <v>1551686132223369</v>
      </c>
      <c r="C5784" t="s">
        <v>40</v>
      </c>
      <c r="D5784">
        <v>4.5926070000000001</v>
      </c>
      <c r="E5784">
        <v>0.51233260000000003</v>
      </c>
      <c r="F5784" t="s">
        <v>46</v>
      </c>
      <c r="G5784">
        <v>-189.71539999999999</v>
      </c>
      <c r="H5784" s="1">
        <v>-2.4799569999999998E-6</v>
      </c>
      <c r="I5784">
        <v>55.295929999999998</v>
      </c>
      <c r="J5784">
        <v>-187.7568</v>
      </c>
      <c r="K5784">
        <v>1.110047</v>
      </c>
      <c r="L5784">
        <v>28.905609999999999</v>
      </c>
      <c r="M5784">
        <v>1.5120520000000001E-3</v>
      </c>
      <c r="N5784">
        <v>-1.140391E-2</v>
      </c>
      <c r="O5784">
        <v>0.99993379999999998</v>
      </c>
      <c r="P5784">
        <v>-9.6499680000000004E-2</v>
      </c>
      <c r="Q5784">
        <v>0.1364389</v>
      </c>
      <c r="R5784">
        <v>0.98593719999999996</v>
      </c>
      <c r="S5784">
        <v>-0.2221832</v>
      </c>
      <c r="T5784">
        <v>-0.12594530000000001</v>
      </c>
      <c r="U5784">
        <v>3.0384829999999998</v>
      </c>
      <c r="V5784">
        <v>-9.8092990000000005E-2</v>
      </c>
      <c r="W5784">
        <v>0.14760329999999999</v>
      </c>
      <c r="X5784">
        <v>0.98417030000000005</v>
      </c>
      <c r="Y5784">
        <v>-7.4381450000000002E-2</v>
      </c>
      <c r="Z5784">
        <v>-2.990458E-2</v>
      </c>
      <c r="AA5784">
        <v>0.99678129999999998</v>
      </c>
      <c r="AB5784">
        <v>36</v>
      </c>
      <c r="AC5784">
        <v>-1.9585999999999899</v>
      </c>
      <c r="AD5784">
        <v>-1.110049479957</v>
      </c>
      <c r="AE5784">
        <v>26.390319999999999</v>
      </c>
      <c r="AF5784">
        <v>-1.9949935360818001</v>
      </c>
      <c r="AG5784">
        <v>-1.110049479957</v>
      </c>
      <c r="AH5784">
        <v>26.340978988214999</v>
      </c>
      <c r="AI5784">
        <v>92.406221506476399</v>
      </c>
      <c r="AJ5784">
        <v>94.3311565339868</v>
      </c>
      <c r="AK5784">
        <v>26.439731146790201</v>
      </c>
      <c r="AL5784">
        <v>81.511940901419095</v>
      </c>
      <c r="AM5784">
        <v>95.691914561244701</v>
      </c>
      <c r="AN5784">
        <v>1.0000000741300501</v>
      </c>
    </row>
    <row r="5785" spans="1:40" x14ac:dyDescent="0.25">
      <c r="A5785" t="str">
        <f>"20190304155532274"</f>
        <v>20190304155532274</v>
      </c>
      <c r="B5785" t="str">
        <f>"1551686132263385"</f>
        <v>1551686132263385</v>
      </c>
      <c r="C5785" t="s">
        <v>40</v>
      </c>
      <c r="D5785">
        <v>4.5487719999999996</v>
      </c>
      <c r="E5785">
        <v>0.51693149999999999</v>
      </c>
      <c r="F5785" t="s">
        <v>46</v>
      </c>
      <c r="G5785">
        <v>-189.30279999999999</v>
      </c>
      <c r="H5785" s="1">
        <v>-2.33417E-6</v>
      </c>
      <c r="I5785">
        <v>54.785510000000002</v>
      </c>
      <c r="J5785">
        <v>-187.75649999999999</v>
      </c>
      <c r="K5785">
        <v>1.1100559999999999</v>
      </c>
      <c r="L5785">
        <v>29.567959999999999</v>
      </c>
      <c r="M5785">
        <v>9.1245050000000004E-4</v>
      </c>
      <c r="N5785">
        <v>-1.144802E-2</v>
      </c>
      <c r="O5785">
        <v>0.99993410000000005</v>
      </c>
      <c r="P5785">
        <v>-9.799223E-2</v>
      </c>
      <c r="Q5785">
        <v>0.13558919999999999</v>
      </c>
      <c r="R5785">
        <v>0.98590730000000004</v>
      </c>
      <c r="S5785">
        <v>-0.18179319999999999</v>
      </c>
      <c r="T5785">
        <v>-0.1305239</v>
      </c>
      <c r="U5785">
        <v>3.0430600000000001</v>
      </c>
      <c r="V5785">
        <v>-9.8997559999999998E-2</v>
      </c>
      <c r="W5785">
        <v>0.14679489999999901</v>
      </c>
      <c r="X5785">
        <v>0.98420050000000003</v>
      </c>
      <c r="Y5785">
        <v>-6.049674E-2</v>
      </c>
      <c r="Z5785">
        <v>-3.1334960000000002E-2</v>
      </c>
      <c r="AA5785">
        <v>0.99767640000000002</v>
      </c>
      <c r="AB5785">
        <v>36</v>
      </c>
      <c r="AC5785">
        <v>-1.5463</v>
      </c>
      <c r="AD5785">
        <v>-1.1100583341700001</v>
      </c>
      <c r="AE5785">
        <v>25.217549999999999</v>
      </c>
      <c r="AF5785">
        <v>-1.5662870085134799</v>
      </c>
      <c r="AG5785">
        <v>-1.1100583341700001</v>
      </c>
      <c r="AH5785">
        <v>25.167544091443599</v>
      </c>
      <c r="AI5785">
        <v>92.520622907806896</v>
      </c>
      <c r="AJ5785">
        <v>93.561175584415395</v>
      </c>
      <c r="AK5785">
        <v>25.240656887114799</v>
      </c>
      <c r="AL5785">
        <v>81.558767785914299</v>
      </c>
      <c r="AM5785">
        <v>95.743878393895599</v>
      </c>
      <c r="AN5785">
        <v>0.99999994187610497</v>
      </c>
    </row>
    <row r="5786" spans="1:40" x14ac:dyDescent="0.25">
      <c r="A5786" t="str">
        <f>"20190304155532296"</f>
        <v>20190304155532296</v>
      </c>
      <c r="B5786" t="str">
        <f>"1551686132293641"</f>
        <v>1551686132293641</v>
      </c>
      <c r="C5786" t="s">
        <v>40</v>
      </c>
      <c r="D5786">
        <v>4.8291360000000001</v>
      </c>
      <c r="E5786">
        <v>0.51997139999999997</v>
      </c>
      <c r="F5786" t="s">
        <v>46</v>
      </c>
      <c r="G5786">
        <v>-188.87559999999999</v>
      </c>
      <c r="H5786" s="1">
        <v>-1.367277E-6</v>
      </c>
      <c r="I5786">
        <v>52.35501</v>
      </c>
      <c r="J5786">
        <v>-187.75640000000001</v>
      </c>
      <c r="K5786">
        <v>1.110063</v>
      </c>
      <c r="L5786">
        <v>29.9328</v>
      </c>
      <c r="M5786">
        <v>5.8306059999999895E-4</v>
      </c>
      <c r="N5786">
        <v>-1.1476190000000001E-2</v>
      </c>
      <c r="O5786">
        <v>0.99993399999999999</v>
      </c>
      <c r="P5786">
        <v>-9.8948999999999995E-2</v>
      </c>
      <c r="Q5786">
        <v>0.13548550000000001</v>
      </c>
      <c r="R5786">
        <v>0.98582599999999998</v>
      </c>
      <c r="S5786">
        <v>-0.1497192</v>
      </c>
      <c r="T5786">
        <v>-0.14850260000000001</v>
      </c>
      <c r="U5786">
        <v>3.0484309999999999</v>
      </c>
      <c r="V5786">
        <v>-9.9630399999999994E-2</v>
      </c>
      <c r="W5786">
        <v>0.1467175</v>
      </c>
      <c r="X5786">
        <v>0.98414829999999998</v>
      </c>
      <c r="Y5786">
        <v>-4.9585860000000002E-2</v>
      </c>
      <c r="Z5786">
        <v>-3.7131589999999999E-2</v>
      </c>
      <c r="AA5786">
        <v>0.99807939999999995</v>
      </c>
      <c r="AB5786">
        <v>36</v>
      </c>
      <c r="AC5786">
        <v>-1.11919999999997</v>
      </c>
      <c r="AD5786">
        <v>-1.1100643672769901</v>
      </c>
      <c r="AE5786">
        <v>22.42221</v>
      </c>
      <c r="AF5786">
        <v>-1.12951264679567</v>
      </c>
      <c r="AG5786">
        <v>-1.1100643672769901</v>
      </c>
      <c r="AH5786">
        <v>22.366869115209798</v>
      </c>
      <c r="AI5786">
        <v>92.837639683436706</v>
      </c>
      <c r="AJ5786">
        <v>92.890944565856501</v>
      </c>
      <c r="AK5786">
        <v>22.4228650206814</v>
      </c>
      <c r="AL5786">
        <v>81.563252015385103</v>
      </c>
      <c r="AM5786">
        <v>95.780652690377707</v>
      </c>
      <c r="AN5786">
        <v>1.00000005890164</v>
      </c>
    </row>
    <row r="5787" spans="1:40" x14ac:dyDescent="0.25">
      <c r="A5787" t="str">
        <f>"20190304155532318"</f>
        <v>20190304155532318</v>
      </c>
      <c r="B5787" t="str">
        <f>"1551686132313506"</f>
        <v>1551686132313506</v>
      </c>
      <c r="C5787" t="s">
        <v>40</v>
      </c>
      <c r="D5787">
        <v>4.6618240000000002</v>
      </c>
      <c r="E5787">
        <v>0.52125999999999995</v>
      </c>
      <c r="F5787" t="s">
        <v>46</v>
      </c>
      <c r="G5787">
        <v>-188.71459999999999</v>
      </c>
      <c r="H5787" s="1">
        <v>-1.578736E-6</v>
      </c>
      <c r="I5787">
        <v>52.78134</v>
      </c>
      <c r="J5787">
        <v>-187.75649999999999</v>
      </c>
      <c r="K5787">
        <v>1.110069</v>
      </c>
      <c r="L5787">
        <v>30.29102</v>
      </c>
      <c r="M5787">
        <v>2.5985219999999999E-4</v>
      </c>
      <c r="N5787">
        <v>-1.150586E-2</v>
      </c>
      <c r="O5787">
        <v>0.99993379999999998</v>
      </c>
      <c r="P5787">
        <v>-9.9325239999999995E-2</v>
      </c>
      <c r="Q5787">
        <v>0.1353287</v>
      </c>
      <c r="R5787">
        <v>0.98580959999999995</v>
      </c>
      <c r="S5787">
        <v>-0.12792970000000001</v>
      </c>
      <c r="T5787">
        <v>-0.14821210000000001</v>
      </c>
      <c r="U5787">
        <v>3.050659</v>
      </c>
      <c r="V5787">
        <v>-9.9688609999999997E-2</v>
      </c>
      <c r="W5787">
        <v>0.1465892</v>
      </c>
      <c r="X5787">
        <v>0.98416139999999996</v>
      </c>
      <c r="Y5787">
        <v>-4.2114690000000003E-2</v>
      </c>
      <c r="Z5787">
        <v>-3.6988010000000002E-2</v>
      </c>
      <c r="AA5787">
        <v>0.99842790000000003</v>
      </c>
      <c r="AB5787">
        <v>36</v>
      </c>
      <c r="AC5787">
        <v>-0.95810000000000095</v>
      </c>
      <c r="AD5787">
        <v>-1.1100705787359999</v>
      </c>
      <c r="AE5787">
        <v>22.490320000000001</v>
      </c>
      <c r="AF5787">
        <v>-0.96160610875291597</v>
      </c>
      <c r="AG5787">
        <v>-1.1100705787359999</v>
      </c>
      <c r="AH5787">
        <v>22.435512257556201</v>
      </c>
      <c r="AI5787">
        <v>92.829992692100603</v>
      </c>
      <c r="AJ5787">
        <v>92.454246195031899</v>
      </c>
      <c r="AK5787">
        <v>22.483530711547999</v>
      </c>
      <c r="AL5787">
        <v>81.570682376112401</v>
      </c>
      <c r="AM5787">
        <v>95.783930730772099</v>
      </c>
      <c r="AN5787">
        <v>0.99999993688516398</v>
      </c>
    </row>
    <row r="5788" spans="1:40" x14ac:dyDescent="0.25">
      <c r="A5788" t="str">
        <f>"20190304155532339"</f>
        <v>20190304155532339</v>
      </c>
      <c r="B5788" t="str">
        <f>"1551686132334002"</f>
        <v>1551686132334002</v>
      </c>
      <c r="C5788" t="s">
        <v>40</v>
      </c>
      <c r="D5788">
        <v>4.6949630000000004</v>
      </c>
      <c r="E5788">
        <v>0.5220262</v>
      </c>
      <c r="F5788" t="s">
        <v>46</v>
      </c>
      <c r="G5788">
        <v>-188.64160000000001</v>
      </c>
      <c r="H5788" s="1">
        <v>-1.7330599999999999E-6</v>
      </c>
      <c r="I5788">
        <v>53.110919999999901</v>
      </c>
      <c r="J5788">
        <v>-187.7568</v>
      </c>
      <c r="K5788">
        <v>1.1100779999999999</v>
      </c>
      <c r="L5788">
        <v>30.644069999999999</v>
      </c>
      <c r="M5788" s="1">
        <v>-5.8966530000000001E-5</v>
      </c>
      <c r="N5788">
        <v>-1.1537189999999999E-2</v>
      </c>
      <c r="O5788">
        <v>0.99993339999999997</v>
      </c>
      <c r="P5788">
        <v>-9.9293759999999995E-2</v>
      </c>
      <c r="Q5788">
        <v>0.13565239999999901</v>
      </c>
      <c r="R5788">
        <v>0.98576830000000004</v>
      </c>
      <c r="S5788">
        <v>-0.11836240000000001</v>
      </c>
      <c r="T5788">
        <v>-0.1484463</v>
      </c>
      <c r="U5788">
        <v>3.0516359999999998</v>
      </c>
      <c r="V5788">
        <v>-9.9343580000000001E-2</v>
      </c>
      <c r="W5788">
        <v>0.1469434</v>
      </c>
      <c r="X5788">
        <v>0.98414360000000001</v>
      </c>
      <c r="Y5788">
        <v>-3.865851E-2</v>
      </c>
      <c r="Z5788">
        <v>-3.702424E-2</v>
      </c>
      <c r="AA5788">
        <v>0.99856630000000002</v>
      </c>
      <c r="AB5788">
        <v>36</v>
      </c>
      <c r="AC5788">
        <v>-0.88480000000001202</v>
      </c>
      <c r="AD5788">
        <v>-1.1100797330600001</v>
      </c>
      <c r="AE5788">
        <v>22.466849999999901</v>
      </c>
      <c r="AF5788">
        <v>-0.88132685271584499</v>
      </c>
      <c r="AG5788">
        <v>-1.1100797330600001</v>
      </c>
      <c r="AH5788">
        <v>22.412271434912199</v>
      </c>
      <c r="AI5788">
        <v>92.8333563216204</v>
      </c>
      <c r="AJ5788">
        <v>92.251904957977303</v>
      </c>
      <c r="AK5788">
        <v>22.457046219555501</v>
      </c>
      <c r="AL5788">
        <v>81.550167154427498</v>
      </c>
      <c r="AM5788">
        <v>95.764150676225896</v>
      </c>
      <c r="AN5788">
        <v>1.00000006755586</v>
      </c>
    </row>
    <row r="5789" spans="1:40" x14ac:dyDescent="0.25">
      <c r="A5789" t="str">
        <f>"20190304155532362"</f>
        <v>20190304155532362</v>
      </c>
      <c r="B5789" t="str">
        <f>"1551686132353522"</f>
        <v>1551686132353522</v>
      </c>
      <c r="C5789" t="s">
        <v>40</v>
      </c>
      <c r="D5789">
        <v>4.6632569999999998</v>
      </c>
      <c r="E5789">
        <v>0.52266520000000005</v>
      </c>
      <c r="F5789" t="s">
        <v>46</v>
      </c>
      <c r="G5789">
        <v>-188.58369999999999</v>
      </c>
      <c r="H5789" s="1">
        <v>-1.789898E-6</v>
      </c>
      <c r="I5789">
        <v>53.219439999999999</v>
      </c>
      <c r="J5789">
        <v>-187.75710000000001</v>
      </c>
      <c r="K5789">
        <v>1.1100829999999999</v>
      </c>
      <c r="L5789">
        <v>30.99567</v>
      </c>
      <c r="M5789">
        <v>-3.7697799999999998E-4</v>
      </c>
      <c r="N5789">
        <v>-1.1568169999999999E-2</v>
      </c>
      <c r="O5789">
        <v>0.99993299999999996</v>
      </c>
      <c r="P5789">
        <v>-9.8953020000000003E-2</v>
      </c>
      <c r="Q5789">
        <v>0.13589100000000001</v>
      </c>
      <c r="R5789">
        <v>0.98576969999999997</v>
      </c>
      <c r="S5789">
        <v>-0.1118164</v>
      </c>
      <c r="T5789">
        <v>-0.15010809999999999</v>
      </c>
      <c r="U5789">
        <v>3.0527039999999999</v>
      </c>
      <c r="V5789">
        <v>-9.8690050000000001E-2</v>
      </c>
      <c r="W5789">
        <v>0.14721319999999999</v>
      </c>
      <c r="X5789">
        <v>0.98416890000000001</v>
      </c>
      <c r="Y5789">
        <v>-3.6188860000000003E-2</v>
      </c>
      <c r="Z5789">
        <v>-3.7522920000000001E-2</v>
      </c>
      <c r="AA5789">
        <v>0.99864030000000004</v>
      </c>
      <c r="AB5789">
        <v>36</v>
      </c>
      <c r="AC5789">
        <v>-0.82659999999998401</v>
      </c>
      <c r="AD5789">
        <v>-1.110084789898</v>
      </c>
      <c r="AE5789">
        <v>22.223769999999998</v>
      </c>
      <c r="AF5789">
        <v>-0.81618790317185297</v>
      </c>
      <c r="AG5789">
        <v>-1.110084789898</v>
      </c>
      <c r="AH5789">
        <v>22.168844398412698</v>
      </c>
      <c r="AI5789">
        <v>92.864702241215895</v>
      </c>
      <c r="AJ5789">
        <v>92.108500070587695</v>
      </c>
      <c r="AK5789">
        <v>22.2116211226259</v>
      </c>
      <c r="AL5789">
        <v>81.534537688385996</v>
      </c>
      <c r="AM5789">
        <v>95.726337924151196</v>
      </c>
      <c r="AN5789">
        <v>0.99999993797522402</v>
      </c>
    </row>
    <row r="5790" spans="1:40" x14ac:dyDescent="0.25">
      <c r="A5790" t="str">
        <f>"20190304155532384"</f>
        <v>20190304155532384</v>
      </c>
      <c r="B5790" t="str">
        <f>"1551686132374017"</f>
        <v>1551686132374017</v>
      </c>
      <c r="C5790" t="s">
        <v>40</v>
      </c>
      <c r="D5790">
        <v>4.6879989999999996</v>
      </c>
      <c r="E5790">
        <v>0.52306589999999997</v>
      </c>
      <c r="F5790" t="s">
        <v>46</v>
      </c>
      <c r="G5790">
        <v>-188.5291</v>
      </c>
      <c r="H5790" s="1">
        <v>-1.8694099999999999E-6</v>
      </c>
      <c r="I5790">
        <v>53.382210000000001</v>
      </c>
      <c r="J5790">
        <v>-187.7576</v>
      </c>
      <c r="K5790">
        <v>1.110085</v>
      </c>
      <c r="L5790">
        <v>31.37219</v>
      </c>
      <c r="M5790">
        <v>-7.1732899999999995E-4</v>
      </c>
      <c r="N5790">
        <v>-1.159902E-2</v>
      </c>
      <c r="O5790">
        <v>0.9999325</v>
      </c>
      <c r="P5790">
        <v>-9.876037E-2</v>
      </c>
      <c r="Q5790">
        <v>0.13633439999999999</v>
      </c>
      <c r="R5790">
        <v>0.98572780000000004</v>
      </c>
      <c r="S5790">
        <v>-0.1053009</v>
      </c>
      <c r="T5790">
        <v>-0.1514202</v>
      </c>
      <c r="U5790">
        <v>3.0536189999999999</v>
      </c>
      <c r="V5790">
        <v>-9.8162589999999994E-2</v>
      </c>
      <c r="W5790">
        <v>0.1476867</v>
      </c>
      <c r="X5790">
        <v>0.98415079999999999</v>
      </c>
      <c r="Y5790">
        <v>-3.3709790000000003E-2</v>
      </c>
      <c r="Z5790">
        <v>-3.7909539999999999E-2</v>
      </c>
      <c r="AA5790">
        <v>0.99871239999999994</v>
      </c>
      <c r="AB5790">
        <v>36</v>
      </c>
      <c r="AC5790">
        <v>-0.77150000000000296</v>
      </c>
      <c r="AD5790">
        <v>-1.1100868694099999</v>
      </c>
      <c r="AE5790">
        <v>22.010020000000001</v>
      </c>
      <c r="AF5790">
        <v>-0.75379520661926203</v>
      </c>
      <c r="AG5790">
        <v>-1.1100868694099999</v>
      </c>
      <c r="AH5790">
        <v>21.9547890076622</v>
      </c>
      <c r="AI5790">
        <v>92.892845554776798</v>
      </c>
      <c r="AJ5790">
        <v>91.966419495518906</v>
      </c>
      <c r="AK5790">
        <v>21.995755509691499</v>
      </c>
      <c r="AL5790">
        <v>81.507109074128294</v>
      </c>
      <c r="AM5790">
        <v>95.6960387205025</v>
      </c>
      <c r="AN5790">
        <v>1.0000000262865101</v>
      </c>
    </row>
    <row r="5791" spans="1:40" x14ac:dyDescent="0.25">
      <c r="A5791" t="str">
        <f>"20190304155532410"</f>
        <v>20190304155532410</v>
      </c>
      <c r="B5791" t="str">
        <f>"1551686132403803"</f>
        <v>1551686132403803</v>
      </c>
      <c r="C5791" t="s">
        <v>40</v>
      </c>
      <c r="D5791">
        <v>4.6356710000000003</v>
      </c>
      <c r="E5791">
        <v>0.52358839999999995</v>
      </c>
      <c r="F5791" t="s">
        <v>46</v>
      </c>
      <c r="G5791">
        <v>-188.49780000000001</v>
      </c>
      <c r="H5791" s="1">
        <v>-1.973853E-6</v>
      </c>
      <c r="I5791">
        <v>53.612720000000003</v>
      </c>
      <c r="J5791">
        <v>-187.75829999999999</v>
      </c>
      <c r="K5791">
        <v>1.1100909999999999</v>
      </c>
      <c r="L5791">
        <v>31.773769999999999</v>
      </c>
      <c r="M5791">
        <v>-1.0805680000000001E-3</v>
      </c>
      <c r="N5791">
        <v>-1.1628869999999999E-2</v>
      </c>
      <c r="O5791">
        <v>0.99993180000000004</v>
      </c>
      <c r="P5791">
        <v>-9.8611870000000004E-2</v>
      </c>
      <c r="Q5791">
        <v>0.13658239999999999</v>
      </c>
      <c r="R5791">
        <v>0.98570840000000004</v>
      </c>
      <c r="S5791">
        <v>-0.1016541</v>
      </c>
      <c r="T5791">
        <v>-0.15244959999999999</v>
      </c>
      <c r="U5791">
        <v>3.0543209999999998</v>
      </c>
      <c r="V5791">
        <v>-9.7656370000000006E-2</v>
      </c>
      <c r="W5791">
        <v>0.14796500000000001</v>
      </c>
      <c r="X5791">
        <v>0.98415940000000002</v>
      </c>
      <c r="Y5791">
        <v>-3.2147780000000001E-2</v>
      </c>
      <c r="Z5791">
        <v>-3.8206440000000001E-2</v>
      </c>
      <c r="AA5791">
        <v>0.99875259999999999</v>
      </c>
      <c r="AB5791">
        <v>36</v>
      </c>
      <c r="AC5791">
        <v>-0.73950000000002003</v>
      </c>
      <c r="AD5791">
        <v>-1.1100929738530001</v>
      </c>
      <c r="AE5791">
        <v>21.838950000000001</v>
      </c>
      <c r="AF5791">
        <v>-0.714056651077839</v>
      </c>
      <c r="AG5791">
        <v>-1.1100929738530001</v>
      </c>
      <c r="AH5791">
        <v>21.783517071011499</v>
      </c>
      <c r="AI5791">
        <v>92.915718978319205</v>
      </c>
      <c r="AJ5791">
        <v>91.877464882217396</v>
      </c>
      <c r="AK5791">
        <v>21.8234690023057</v>
      </c>
      <c r="AL5791">
        <v>81.490986869484601</v>
      </c>
      <c r="AM5791">
        <v>95.666806991510299</v>
      </c>
      <c r="AN5791">
        <v>1.00000006621746</v>
      </c>
    </row>
    <row r="5792" spans="1:40" x14ac:dyDescent="0.25">
      <c r="A5792" t="str">
        <f>"20190304155532434"</f>
        <v>20190304155532434</v>
      </c>
      <c r="B5792" t="str">
        <f>"1551686132423324"</f>
        <v>1551686132423324</v>
      </c>
      <c r="C5792" t="s">
        <v>40</v>
      </c>
      <c r="D5792">
        <v>4.7476450000000003</v>
      </c>
      <c r="E5792">
        <v>0.52417619999999998</v>
      </c>
      <c r="F5792" t="s">
        <v>46</v>
      </c>
      <c r="G5792">
        <v>-188.45339999999999</v>
      </c>
      <c r="H5792" s="1">
        <v>-2.003932E-6</v>
      </c>
      <c r="I5792">
        <v>53.664470000000001</v>
      </c>
      <c r="J5792">
        <v>-187.75899999999999</v>
      </c>
      <c r="K5792">
        <v>1.110096</v>
      </c>
      <c r="L5792">
        <v>32.150269999999999</v>
      </c>
      <c r="M5792">
        <v>-1.421481E-3</v>
      </c>
      <c r="N5792">
        <v>-1.1654060000000001E-2</v>
      </c>
      <c r="O5792">
        <v>0.99993109999999996</v>
      </c>
      <c r="P5792">
        <v>-9.8789580000000002E-2</v>
      </c>
      <c r="Q5792">
        <v>0.13645889999999999</v>
      </c>
      <c r="R5792">
        <v>0.98570760000000002</v>
      </c>
      <c r="S5792">
        <v>-9.7015379999999998E-2</v>
      </c>
      <c r="T5792">
        <v>-0.15493479999999901</v>
      </c>
      <c r="U5792">
        <v>3.0552670000000002</v>
      </c>
      <c r="V5792">
        <v>-9.7497810000000004E-2</v>
      </c>
      <c r="W5792">
        <v>0.14786640000000001</v>
      </c>
      <c r="X5792">
        <v>0.98418989999999995</v>
      </c>
      <c r="Y5792">
        <v>-3.028148E-2</v>
      </c>
      <c r="Z5792">
        <v>-3.8978939999999997E-2</v>
      </c>
      <c r="AA5792">
        <v>0.99878109999999998</v>
      </c>
      <c r="AB5792">
        <v>36</v>
      </c>
      <c r="AC5792">
        <v>-0.69439999999997304</v>
      </c>
      <c r="AD5792">
        <v>-1.1100980039320001</v>
      </c>
      <c r="AE5792">
        <v>21.514199999999899</v>
      </c>
      <c r="AF5792">
        <v>-0.66205438056464205</v>
      </c>
      <c r="AG5792">
        <v>-1.1100980039320001</v>
      </c>
      <c r="AH5792">
        <v>21.458094966424799</v>
      </c>
      <c r="AI5792">
        <v>92.960053480346104</v>
      </c>
      <c r="AJ5792">
        <v>91.767206839602494</v>
      </c>
      <c r="AK5792">
        <v>21.496987537077501</v>
      </c>
      <c r="AL5792">
        <v>81.496698733344303</v>
      </c>
      <c r="AM5792">
        <v>95.657491614269304</v>
      </c>
      <c r="AN5792">
        <v>1.00000002723288</v>
      </c>
    </row>
    <row r="5793" spans="1:40" x14ac:dyDescent="0.25">
      <c r="A5793" t="str">
        <f>"20190304155532454"</f>
        <v>20190304155532454</v>
      </c>
      <c r="B5793" t="str">
        <f>"1551686132443819"</f>
        <v>1551686132443819</v>
      </c>
      <c r="C5793" t="s">
        <v>40</v>
      </c>
      <c r="D5793">
        <v>4.4790970000000003</v>
      </c>
      <c r="E5793">
        <v>0.5254508</v>
      </c>
      <c r="F5793" t="s">
        <v>46</v>
      </c>
      <c r="G5793">
        <v>-188.4282</v>
      </c>
      <c r="H5793" s="1">
        <v>-2.18588E-6</v>
      </c>
      <c r="I5793">
        <v>54.078180000000003</v>
      </c>
      <c r="J5793">
        <v>-187.75980000000001</v>
      </c>
      <c r="K5793">
        <v>1.110107</v>
      </c>
      <c r="L5793">
        <v>32.505070000000003</v>
      </c>
      <c r="M5793">
        <v>-1.7427569999999999E-3</v>
      </c>
      <c r="N5793">
        <v>-1.1675339999999999E-2</v>
      </c>
      <c r="O5793">
        <v>0.99993030000000005</v>
      </c>
      <c r="P5793">
        <v>-9.9305889999999994E-2</v>
      </c>
      <c r="Q5793">
        <v>0.13698779999999999</v>
      </c>
      <c r="R5793">
        <v>0.98558239999999997</v>
      </c>
      <c r="S5793">
        <v>-9.3246460000000003E-2</v>
      </c>
      <c r="T5793">
        <v>-0.15468799999999999</v>
      </c>
      <c r="U5793">
        <v>3.0555729999999999</v>
      </c>
      <c r="V5793">
        <v>-9.7698049999999995E-2</v>
      </c>
      <c r="W5793">
        <v>0.1484154</v>
      </c>
      <c r="X5793">
        <v>0.98408739999999995</v>
      </c>
      <c r="Y5793">
        <v>-2.8727039999999999E-2</v>
      </c>
      <c r="Z5793">
        <v>-3.8874310000000002E-2</v>
      </c>
      <c r="AA5793">
        <v>0.99883109999999997</v>
      </c>
      <c r="AB5793">
        <v>36</v>
      </c>
      <c r="AC5793">
        <v>-0.668399999999991</v>
      </c>
      <c r="AD5793">
        <v>-1.1101091858799901</v>
      </c>
      <c r="AE5793">
        <v>21.57311</v>
      </c>
      <c r="AF5793">
        <v>-0.62913542626555397</v>
      </c>
      <c r="AG5793">
        <v>-1.1101091858799901</v>
      </c>
      <c r="AH5793">
        <v>21.5173205377173</v>
      </c>
      <c r="AI5793">
        <v>92.952093007087399</v>
      </c>
      <c r="AJ5793">
        <v>91.6747688362357</v>
      </c>
      <c r="AK5793">
        <v>21.555120897643501</v>
      </c>
      <c r="AL5793">
        <v>81.464892392390595</v>
      </c>
      <c r="AM5793">
        <v>95.669621929164293</v>
      </c>
      <c r="AN5793">
        <v>1.00000002538486</v>
      </c>
    </row>
    <row r="5794" spans="1:40" x14ac:dyDescent="0.25">
      <c r="A5794" t="str">
        <f>"20190304155532475"</f>
        <v>20190304155532475</v>
      </c>
      <c r="B5794" t="str">
        <f>"1551686132463340"</f>
        <v>1551686132463340</v>
      </c>
      <c r="C5794" t="s">
        <v>40</v>
      </c>
      <c r="D5794">
        <v>4.4249029999999996</v>
      </c>
      <c r="E5794">
        <v>0.52639279999999999</v>
      </c>
      <c r="F5794" t="s">
        <v>46</v>
      </c>
      <c r="G5794">
        <v>-188.39230000000001</v>
      </c>
      <c r="H5794" s="1">
        <v>-2.6889260000000001E-6</v>
      </c>
      <c r="I5794">
        <v>55.235970000000002</v>
      </c>
      <c r="J5794">
        <v>-187.76060000000001</v>
      </c>
      <c r="K5794">
        <v>1.1101080000000001</v>
      </c>
      <c r="L5794">
        <v>32.824249999999999</v>
      </c>
      <c r="M5794">
        <v>-2.0317180000000001E-3</v>
      </c>
      <c r="N5794">
        <v>-1.1692589999999999E-2</v>
      </c>
      <c r="O5794">
        <v>0.99992950000000003</v>
      </c>
      <c r="P5794">
        <v>-9.9864430000000004E-2</v>
      </c>
      <c r="Q5794">
        <v>0.137404</v>
      </c>
      <c r="R5794">
        <v>0.98546800000000001</v>
      </c>
      <c r="S5794">
        <v>-8.5037230000000005E-2</v>
      </c>
      <c r="T5794">
        <v>-0.14924899999999999</v>
      </c>
      <c r="U5794">
        <v>3.0560610000000001</v>
      </c>
      <c r="V5794">
        <v>-9.7972660000000003E-2</v>
      </c>
      <c r="W5794">
        <v>0.14884729999999999</v>
      </c>
      <c r="X5794">
        <v>0.98399479999999995</v>
      </c>
      <c r="Y5794">
        <v>-2.575564E-2</v>
      </c>
      <c r="Z5794">
        <v>-3.7079580000000001E-2</v>
      </c>
      <c r="AA5794">
        <v>0.99898030000000004</v>
      </c>
      <c r="AB5794">
        <v>36</v>
      </c>
      <c r="AC5794">
        <v>-0.63169999999999504</v>
      </c>
      <c r="AD5794">
        <v>-1.110110688926</v>
      </c>
      <c r="AE5794">
        <v>22.411719999999899</v>
      </c>
      <c r="AF5794">
        <v>-0.58472780664852697</v>
      </c>
      <c r="AG5794">
        <v>-1.110110688926</v>
      </c>
      <c r="AH5794">
        <v>22.358145585482401</v>
      </c>
      <c r="AI5794">
        <v>92.841504895073001</v>
      </c>
      <c r="AJ5794">
        <v>91.498102796105599</v>
      </c>
      <c r="AK5794">
        <v>22.393323254290799</v>
      </c>
      <c r="AL5794">
        <v>81.439867863345498</v>
      </c>
      <c r="AM5794">
        <v>95.685985391126096</v>
      </c>
      <c r="AN5794">
        <v>0.99999996362590204</v>
      </c>
    </row>
    <row r="5795" spans="1:40" x14ac:dyDescent="0.25">
      <c r="A5795" t="str">
        <f>"20190304155532576"</f>
        <v>20190304155532576</v>
      </c>
      <c r="B5795" t="str">
        <f>"1551686132563398"</f>
        <v>1551686132563398</v>
      </c>
      <c r="C5795" t="s">
        <v>40</v>
      </c>
      <c r="D5795">
        <v>4.2155060000000004</v>
      </c>
      <c r="E5795">
        <v>0.52758539999999998</v>
      </c>
      <c r="F5795" t="s">
        <v>46</v>
      </c>
      <c r="G5795">
        <v>-188.38460000000001</v>
      </c>
      <c r="H5795" s="1">
        <v>-3.3445560000000002E-6</v>
      </c>
      <c r="I5795">
        <v>56.761090000000003</v>
      </c>
      <c r="J5795">
        <v>-187.7663</v>
      </c>
      <c r="K5795">
        <v>1.11012</v>
      </c>
      <c r="L5795">
        <v>34.45682</v>
      </c>
      <c r="M5795">
        <v>-3.5086969999999999E-3</v>
      </c>
      <c r="N5795">
        <v>-1.175705E-2</v>
      </c>
      <c r="O5795">
        <v>0.9999247</v>
      </c>
      <c r="P5795">
        <v>-9.9010310000000004E-2</v>
      </c>
      <c r="Q5795">
        <v>0.13752710000000001</v>
      </c>
      <c r="R5795">
        <v>0.98553710000000005</v>
      </c>
      <c r="S5795">
        <v>-7.9666139999999996E-2</v>
      </c>
      <c r="T5795">
        <v>-0.1417243</v>
      </c>
      <c r="U5795">
        <v>3.055939</v>
      </c>
      <c r="V5795">
        <v>-9.5662559999999994E-2</v>
      </c>
      <c r="W5795">
        <v>0.1490378</v>
      </c>
      <c r="X5795">
        <v>0.98419330000000005</v>
      </c>
      <c r="Y5795">
        <v>-2.2529250000000001E-2</v>
      </c>
      <c r="Z5795">
        <v>-3.4565659999999998E-2</v>
      </c>
      <c r="AA5795">
        <v>0.99914849999999999</v>
      </c>
      <c r="AB5795">
        <v>36</v>
      </c>
      <c r="AC5795">
        <v>-0.61830000000000496</v>
      </c>
      <c r="AD5795">
        <v>-1.1101233445559999</v>
      </c>
      <c r="AE5795">
        <v>22.304269999999999</v>
      </c>
      <c r="AF5795">
        <v>-0.53869840130195001</v>
      </c>
      <c r="AG5795">
        <v>-1.1101233445559999</v>
      </c>
      <c r="AH5795">
        <v>22.251223178829299</v>
      </c>
      <c r="AI5795">
        <v>92.855308333304507</v>
      </c>
      <c r="AJ5795">
        <v>91.386850354763496</v>
      </c>
      <c r="AK5795">
        <v>22.285410087359001</v>
      </c>
      <c r="AL5795">
        <v>81.428830397504498</v>
      </c>
      <c r="AM5795">
        <v>95.551650383224995</v>
      </c>
      <c r="AN5795">
        <v>1.00000002148974</v>
      </c>
    </row>
    <row r="5796" spans="1:40" x14ac:dyDescent="0.25">
      <c r="A5796" t="str">
        <f>"20190304155532599"</f>
        <v>20190304155532599</v>
      </c>
      <c r="B5796" t="str">
        <f>"1551686132593654"</f>
        <v>1551686132593654</v>
      </c>
      <c r="C5796" t="s">
        <v>40</v>
      </c>
      <c r="D5796">
        <v>4.3808980000000002</v>
      </c>
      <c r="E5796">
        <v>0.55242230000000003</v>
      </c>
      <c r="F5796" t="s">
        <v>46</v>
      </c>
      <c r="G5796">
        <v>-188.31880000000001</v>
      </c>
      <c r="H5796" s="1">
        <v>-4.3750249999999997E-6</v>
      </c>
      <c r="I5796">
        <v>59.135919999999999</v>
      </c>
      <c r="J5796">
        <v>-187.768</v>
      </c>
      <c r="K5796">
        <v>1.1101209999999999</v>
      </c>
      <c r="L5796">
        <v>34.8429</v>
      </c>
      <c r="M5796">
        <v>-3.8579769999999998E-3</v>
      </c>
      <c r="N5796">
        <v>-1.1767619999999999E-2</v>
      </c>
      <c r="O5796">
        <v>0.99992329999999996</v>
      </c>
      <c r="P5796">
        <v>-9.8214220000000005E-2</v>
      </c>
      <c r="Q5796">
        <v>0.13825860000000001</v>
      </c>
      <c r="R5796">
        <v>0.98551429999999995</v>
      </c>
      <c r="S5796">
        <v>-6.8420410000000001E-2</v>
      </c>
      <c r="T5796">
        <v>-0.1374812</v>
      </c>
      <c r="U5796">
        <v>3.0563349999999998</v>
      </c>
      <c r="V5796">
        <v>-9.4522620000000002E-2</v>
      </c>
      <c r="W5796">
        <v>0.14978029999999901</v>
      </c>
      <c r="X5796">
        <v>0.98419069999999997</v>
      </c>
      <c r="Y5796">
        <v>-1.8504880000000001E-2</v>
      </c>
      <c r="Z5796">
        <v>-3.3168629999999998E-2</v>
      </c>
      <c r="AA5796">
        <v>0.99927840000000001</v>
      </c>
      <c r="AB5796">
        <v>36</v>
      </c>
      <c r="AC5796">
        <v>-0.55080000000000895</v>
      </c>
      <c r="AD5796">
        <v>-1.110125375025</v>
      </c>
      <c r="AE5796">
        <v>24.293019999999999</v>
      </c>
      <c r="AF5796">
        <v>-0.45611550591368699</v>
      </c>
      <c r="AG5796">
        <v>-1.110125375025</v>
      </c>
      <c r="AH5796">
        <v>24.244362199083401</v>
      </c>
      <c r="AI5796">
        <v>92.621222693389598</v>
      </c>
      <c r="AJ5796">
        <v>91.077793289856302</v>
      </c>
      <c r="AK5796">
        <v>24.274050303633999</v>
      </c>
      <c r="AL5796">
        <v>81.385805149692999</v>
      </c>
      <c r="AM5796">
        <v>95.485915859734106</v>
      </c>
      <c r="AN5796">
        <v>0.99999999896312197</v>
      </c>
    </row>
    <row r="5797" spans="1:40" x14ac:dyDescent="0.25">
      <c r="A5797" t="str">
        <f>"20190304155532624"</f>
        <v>20190304155532624</v>
      </c>
      <c r="B5797" t="str">
        <f>"1551686132613174"</f>
        <v>1551686132613174</v>
      </c>
      <c r="C5797" t="s">
        <v>40</v>
      </c>
      <c r="D5797">
        <v>4.4778289999999998</v>
      </c>
      <c r="E5797">
        <v>0.54613750000000005</v>
      </c>
      <c r="F5797" t="s">
        <v>46</v>
      </c>
      <c r="G5797">
        <v>-186.37180000000001</v>
      </c>
      <c r="H5797" s="1">
        <v>-4.1208179999999997E-6</v>
      </c>
      <c r="I5797">
        <v>67.738299999999995</v>
      </c>
      <c r="J5797">
        <v>-187.77</v>
      </c>
      <c r="K5797">
        <v>1.110125</v>
      </c>
      <c r="L5797">
        <v>35.246000000000002</v>
      </c>
      <c r="M5797">
        <v>-4.2224070000000001E-3</v>
      </c>
      <c r="N5797">
        <v>-1.177716E-2</v>
      </c>
      <c r="O5797">
        <v>0.99992170000000002</v>
      </c>
      <c r="P5797">
        <v>-9.7785880000000006E-2</v>
      </c>
      <c r="Q5797">
        <v>0.13938349999999999</v>
      </c>
      <c r="R5797">
        <v>0.98539849999999996</v>
      </c>
      <c r="S5797">
        <v>0.13037109999999999</v>
      </c>
      <c r="T5797">
        <v>-0.103658399999999</v>
      </c>
      <c r="U5797">
        <v>3.071625</v>
      </c>
      <c r="V5797">
        <v>-9.3736600000000003E-2</v>
      </c>
      <c r="W5797">
        <v>0.1509141</v>
      </c>
      <c r="X5797">
        <v>0.98409270000000004</v>
      </c>
      <c r="Y5797">
        <v>4.6601370000000003E-2</v>
      </c>
      <c r="Z5797">
        <v>-2.1920120000000001E-2</v>
      </c>
      <c r="AA5797">
        <v>0.99867300000000003</v>
      </c>
      <c r="AB5797">
        <v>36</v>
      </c>
      <c r="AC5797">
        <v>1.3982000000000001</v>
      </c>
      <c r="AD5797">
        <v>-1.110129120818</v>
      </c>
      <c r="AE5797">
        <v>32.492299999999901</v>
      </c>
      <c r="AF5797">
        <v>1.53360588495921</v>
      </c>
      <c r="AG5797">
        <v>-1.110129120818</v>
      </c>
      <c r="AH5797">
        <v>32.448298927079698</v>
      </c>
      <c r="AI5797">
        <v>91.957269779853306</v>
      </c>
      <c r="AJ5797">
        <v>87.294039816336294</v>
      </c>
      <c r="AK5797">
        <v>32.503483458490898</v>
      </c>
      <c r="AL5797">
        <v>81.320096557951302</v>
      </c>
      <c r="AM5797">
        <v>95.441110136699194</v>
      </c>
      <c r="AN5797">
        <v>1.00000002897582</v>
      </c>
    </row>
    <row r="5798" spans="1:40" x14ac:dyDescent="0.25">
      <c r="A5798" t="str">
        <f>"20190304155532666"</f>
        <v>20190304155532666</v>
      </c>
      <c r="B5798" t="str">
        <f>"1551686132663926"</f>
        <v>1551686132663926</v>
      </c>
      <c r="C5798" t="s">
        <v>40</v>
      </c>
      <c r="D5798">
        <v>4.4790359999999998</v>
      </c>
      <c r="E5798">
        <v>0.536574</v>
      </c>
      <c r="F5798" t="s">
        <v>46</v>
      </c>
      <c r="G5798">
        <v>-186.42869999999999</v>
      </c>
      <c r="H5798" s="1">
        <v>-3.3821589999999999E-6</v>
      </c>
      <c r="I5798">
        <v>86.03998</v>
      </c>
      <c r="J5798">
        <v>-187.77359999999999</v>
      </c>
      <c r="K5798">
        <v>1.1101369999999999</v>
      </c>
      <c r="L5798">
        <v>35.934539999999998</v>
      </c>
      <c r="M5798">
        <v>-4.8453380000000002E-3</v>
      </c>
      <c r="N5798">
        <v>-1.1790709999999999E-2</v>
      </c>
      <c r="O5798">
        <v>0.9999188</v>
      </c>
      <c r="P5798">
        <v>-9.7369010000000006E-2</v>
      </c>
      <c r="Q5798">
        <v>0.1401627</v>
      </c>
      <c r="R5798">
        <v>0.98532920000000002</v>
      </c>
      <c r="S5798">
        <v>8.0856319999999995E-2</v>
      </c>
      <c r="T5798">
        <v>-6.6920519999999997E-2</v>
      </c>
      <c r="U5798">
        <v>3.0619510000000001</v>
      </c>
      <c r="V5798">
        <v>-9.2705960000000004E-2</v>
      </c>
      <c r="W5798">
        <v>0.15170690000000001</v>
      </c>
      <c r="X5798">
        <v>0.98406839999999995</v>
      </c>
      <c r="Y5798">
        <v>3.1233759999999999E-2</v>
      </c>
      <c r="Z5798">
        <v>-1.005061E-2</v>
      </c>
      <c r="AA5798">
        <v>0.99946159999999995</v>
      </c>
      <c r="AB5798">
        <v>36</v>
      </c>
      <c r="AC5798">
        <v>1.34489999999999</v>
      </c>
      <c r="AD5798">
        <v>-1.1101403821589999</v>
      </c>
      <c r="AE5798">
        <v>50.105440000000002</v>
      </c>
      <c r="AF5798">
        <v>1.58690043142274</v>
      </c>
      <c r="AG5798">
        <v>-1.1101403821589999</v>
      </c>
      <c r="AH5798">
        <v>50.0737716747945</v>
      </c>
      <c r="AI5798">
        <v>91.269407856523003</v>
      </c>
      <c r="AJ5798">
        <v>88.184832626784797</v>
      </c>
      <c r="AK5798">
        <v>50.111209069297097</v>
      </c>
      <c r="AL5798">
        <v>81.274143092630595</v>
      </c>
      <c r="AM5798">
        <v>95.381770068319298</v>
      </c>
      <c r="AN5798">
        <v>0.99999999720284505</v>
      </c>
    </row>
    <row r="5799" spans="1:40" x14ac:dyDescent="0.25">
      <c r="A5799" t="str">
        <f>"20190304155532688"</f>
        <v>20190304155532688</v>
      </c>
      <c r="B5799" t="str">
        <f>"1551686132683445"</f>
        <v>1551686132683445</v>
      </c>
      <c r="C5799" t="s">
        <v>40</v>
      </c>
      <c r="D5799">
        <v>4.4770159999999999</v>
      </c>
      <c r="E5799">
        <v>0.53505429999999998</v>
      </c>
      <c r="F5799" t="s">
        <v>46</v>
      </c>
      <c r="G5799">
        <v>-187.65049999999999</v>
      </c>
      <c r="H5799" s="1">
        <v>-2.5401850000000001E-6</v>
      </c>
      <c r="I5799">
        <v>94.582520000000002</v>
      </c>
      <c r="J5799">
        <v>-187.7756</v>
      </c>
      <c r="K5799">
        <v>1.110139</v>
      </c>
      <c r="L5799">
        <v>36.286769999999997</v>
      </c>
      <c r="M5799">
        <v>-5.1639449999999996E-3</v>
      </c>
      <c r="N5799">
        <v>-1.1796569999999999E-2</v>
      </c>
      <c r="O5799">
        <v>0.9999171</v>
      </c>
      <c r="P5799">
        <v>-9.7229529999999995E-2</v>
      </c>
      <c r="Q5799">
        <v>0.1409474</v>
      </c>
      <c r="R5799">
        <v>0.98523099999999997</v>
      </c>
      <c r="S5799">
        <v>6.4086909999999898E-3</v>
      </c>
      <c r="T5799">
        <v>-5.7799820000000002E-2</v>
      </c>
      <c r="U5799">
        <v>3.053528</v>
      </c>
      <c r="V5799">
        <v>-9.2253970000000005E-2</v>
      </c>
      <c r="W5799">
        <v>0.1524973</v>
      </c>
      <c r="X5799">
        <v>0.98398869999999905</v>
      </c>
      <c r="Y5799">
        <v>7.2616740000000001E-3</v>
      </c>
      <c r="Z5799">
        <v>-7.1289919999999998E-3</v>
      </c>
      <c r="AA5799">
        <v>0.99994819999999995</v>
      </c>
      <c r="AB5799">
        <v>36</v>
      </c>
      <c r="AC5799">
        <v>0.12510000000000299</v>
      </c>
      <c r="AD5799">
        <v>-1.1101415401850001</v>
      </c>
      <c r="AE5799">
        <v>58.295749999999998</v>
      </c>
      <c r="AF5799">
        <v>0.42600083499067698</v>
      </c>
      <c r="AG5799">
        <v>-1.1101415401850001</v>
      </c>
      <c r="AH5799">
        <v>58.2731941206141</v>
      </c>
      <c r="AI5799">
        <v>91.091359994575797</v>
      </c>
      <c r="AJ5799">
        <v>89.5811519260144</v>
      </c>
      <c r="AK5799">
        <v>58.285324430506797</v>
      </c>
      <c r="AL5799">
        <v>81.228323335535705</v>
      </c>
      <c r="AM5799">
        <v>95.356115342141905</v>
      </c>
      <c r="AN5799">
        <v>0.99999999160787001</v>
      </c>
    </row>
    <row r="5800" spans="1:40" x14ac:dyDescent="0.25">
      <c r="A5800" t="str">
        <f>"20190304155532720"</f>
        <v>20190304155532720</v>
      </c>
      <c r="B5800" t="str">
        <f>"1551686132713702"</f>
        <v>1551686132713702</v>
      </c>
      <c r="C5800" t="s">
        <v>40</v>
      </c>
      <c r="D5800">
        <v>4.4625339999999998</v>
      </c>
      <c r="E5800">
        <v>0.53342489999999998</v>
      </c>
      <c r="F5800" t="s">
        <v>46</v>
      </c>
      <c r="G5800">
        <v>-187.89150000000001</v>
      </c>
      <c r="H5800" s="1">
        <v>-4.4402700000000001E-6</v>
      </c>
      <c r="I5800">
        <v>99.111320000000006</v>
      </c>
      <c r="J5800">
        <v>-187.77889999999999</v>
      </c>
      <c r="K5800">
        <v>1.1101319999999999</v>
      </c>
      <c r="L5800">
        <v>36.813479999999998</v>
      </c>
      <c r="M5800">
        <v>-5.6402300000000004E-3</v>
      </c>
      <c r="N5800">
        <v>-1.180412E-2</v>
      </c>
      <c r="O5800">
        <v>0.99991439999999998</v>
      </c>
      <c r="P5800">
        <v>-9.6877309999999994E-2</v>
      </c>
      <c r="Q5800">
        <v>0.1416473</v>
      </c>
      <c r="R5800">
        <v>0.98516539999999997</v>
      </c>
      <c r="S5800">
        <v>-5.6304930000000003E-3</v>
      </c>
      <c r="T5800">
        <v>-5.3932670000000002E-2</v>
      </c>
      <c r="U5800">
        <v>3.0521240000000001</v>
      </c>
      <c r="V5800">
        <v>-9.1433039999999993E-2</v>
      </c>
      <c r="W5800">
        <v>0.1532046</v>
      </c>
      <c r="X5800">
        <v>0.98395540000000004</v>
      </c>
      <c r="Y5800">
        <v>3.7952390000000002E-3</v>
      </c>
      <c r="Z5800">
        <v>-5.8638359999999999E-3</v>
      </c>
      <c r="AA5800">
        <v>0.99997559999999996</v>
      </c>
      <c r="AB5800">
        <v>36</v>
      </c>
      <c r="AC5800">
        <v>-0.11260000000001399</v>
      </c>
      <c r="AD5800">
        <v>-1.11013644026999</v>
      </c>
      <c r="AE5800">
        <v>62.297840000000001</v>
      </c>
      <c r="AF5800">
        <v>0.23872462148479401</v>
      </c>
      <c r="AG5800">
        <v>-1.11013644026999</v>
      </c>
      <c r="AH5800">
        <v>62.277708095931402</v>
      </c>
      <c r="AI5800">
        <v>91.021215003112204</v>
      </c>
      <c r="AJ5800">
        <v>89.780373319716304</v>
      </c>
      <c r="AK5800">
        <v>62.288059193098697</v>
      </c>
      <c r="AL5800">
        <v>81.1873157036908</v>
      </c>
      <c r="AM5800">
        <v>95.308905644157903</v>
      </c>
      <c r="AN5800">
        <v>0.99999993972697898</v>
      </c>
    </row>
    <row r="5801" spans="1:40" x14ac:dyDescent="0.25">
      <c r="A5801" t="str">
        <f>"20190304155532742"</f>
        <v>20190304155532742</v>
      </c>
      <c r="B5801" t="str">
        <f>"1551686132733221"</f>
        <v>1551686132733221</v>
      </c>
      <c r="C5801" t="s">
        <v>40</v>
      </c>
      <c r="D5801">
        <v>4.5027049999999997</v>
      </c>
      <c r="E5801">
        <v>0.53264509999999998</v>
      </c>
      <c r="F5801" t="s">
        <v>46</v>
      </c>
      <c r="G5801">
        <v>-188.12559999999999</v>
      </c>
      <c r="H5801" s="1">
        <v>-3.6568610000000001E-6</v>
      </c>
      <c r="I5801">
        <v>97.381979999999999</v>
      </c>
      <c r="J5801">
        <v>-187.78120000000001</v>
      </c>
      <c r="K5801">
        <v>1.1101369999999999</v>
      </c>
      <c r="L5801">
        <v>37.175379999999997</v>
      </c>
      <c r="M5801">
        <v>-5.9673840000000001E-3</v>
      </c>
      <c r="N5801">
        <v>-1.1808580000000001E-2</v>
      </c>
      <c r="O5801">
        <v>0.99991240000000003</v>
      </c>
      <c r="P5801">
        <v>-9.6677189999999996E-2</v>
      </c>
      <c r="Q5801">
        <v>0.1419937</v>
      </c>
      <c r="R5801">
        <v>0.98513519999999999</v>
      </c>
      <c r="S5801">
        <v>-1.747131E-2</v>
      </c>
      <c r="T5801">
        <v>-5.5929420000000001E-2</v>
      </c>
      <c r="U5801">
        <v>3.0514830000000002</v>
      </c>
      <c r="V5801">
        <v>-9.0910489999999997E-2</v>
      </c>
      <c r="W5801">
        <v>0.15355559999999999</v>
      </c>
      <c r="X5801">
        <v>0.98394919999999997</v>
      </c>
      <c r="Y5801">
        <v>2.424611E-4</v>
      </c>
      <c r="Z5801">
        <v>-6.5172110000000002E-3</v>
      </c>
      <c r="AA5801">
        <v>0.9999787</v>
      </c>
      <c r="AB5801">
        <v>36</v>
      </c>
      <c r="AC5801">
        <v>-0.344399999999978</v>
      </c>
      <c r="AD5801">
        <v>-1.1101406568609999</v>
      </c>
      <c r="AE5801">
        <v>60.206600000000002</v>
      </c>
      <c r="AF5801">
        <v>1.49020449978596E-2</v>
      </c>
      <c r="AG5801">
        <v>-1.1101406568609999</v>
      </c>
      <c r="AH5801">
        <v>60.187120754449701</v>
      </c>
      <c r="AI5801">
        <v>91.056690531545797</v>
      </c>
      <c r="AJ5801">
        <v>89.985813837639299</v>
      </c>
      <c r="AK5801">
        <v>60.197359901075998</v>
      </c>
      <c r="AL5801">
        <v>81.166964906112895</v>
      </c>
      <c r="AM5801">
        <v>95.278769621789095</v>
      </c>
      <c r="AN5801">
        <v>1.0000000338320101</v>
      </c>
    </row>
    <row r="5802" spans="1:40" x14ac:dyDescent="0.25">
      <c r="A5802" t="str">
        <f>"20190304155532764"</f>
        <v>20190304155532764</v>
      </c>
      <c r="B5802" t="str">
        <f>"1551686132753718"</f>
        <v>1551686132753718</v>
      </c>
      <c r="C5802" t="s">
        <v>40</v>
      </c>
      <c r="D5802">
        <v>4.5004189999999999</v>
      </c>
      <c r="E5802">
        <v>0.53183990000000003</v>
      </c>
      <c r="F5802" t="s">
        <v>46</v>
      </c>
      <c r="G5802">
        <v>-188.21870000000001</v>
      </c>
      <c r="H5802" s="1">
        <v>-2.5515329999999999E-6</v>
      </c>
      <c r="I5802">
        <v>94.843900000000005</v>
      </c>
      <c r="J5802">
        <v>-187.78370000000001</v>
      </c>
      <c r="K5802">
        <v>1.1101399999999999</v>
      </c>
      <c r="L5802">
        <v>37.537689999999998</v>
      </c>
      <c r="M5802">
        <v>-6.2943640000000002E-3</v>
      </c>
      <c r="N5802">
        <v>-1.1812599999999999E-2</v>
      </c>
      <c r="O5802">
        <v>0.99991039999999998</v>
      </c>
      <c r="P5802">
        <v>-9.6417550000000005E-2</v>
      </c>
      <c r="Q5802">
        <v>0.14224210000000001</v>
      </c>
      <c r="R5802">
        <v>0.98512480000000002</v>
      </c>
      <c r="S5802">
        <v>-2.3147580000000001E-2</v>
      </c>
      <c r="T5802">
        <v>-5.874157E-2</v>
      </c>
      <c r="U5802">
        <v>3.051453</v>
      </c>
      <c r="V5802">
        <v>-9.0328850000000002E-2</v>
      </c>
      <c r="W5802">
        <v>0.15380869999999999</v>
      </c>
      <c r="X5802">
        <v>0.98396320000000004</v>
      </c>
      <c r="Y5802">
        <v>-1.2903210000000001E-3</v>
      </c>
      <c r="Z5802">
        <v>-7.4344629999999997E-3</v>
      </c>
      <c r="AA5802">
        <v>0.99997150000000001</v>
      </c>
      <c r="AB5802">
        <v>36</v>
      </c>
      <c r="AC5802">
        <v>-0.435000000000002</v>
      </c>
      <c r="AD5802">
        <v>-1.1101425515329999</v>
      </c>
      <c r="AE5802">
        <v>57.30621</v>
      </c>
      <c r="AF5802">
        <v>-7.4232205154652495E-2</v>
      </c>
      <c r="AG5802">
        <v>-1.1101425515329999</v>
      </c>
      <c r="AH5802">
        <v>57.286315756035499</v>
      </c>
      <c r="AI5802">
        <v>91.110186057226997</v>
      </c>
      <c r="AJ5802">
        <v>90.074244426834497</v>
      </c>
      <c r="AK5802">
        <v>57.297119472144502</v>
      </c>
      <c r="AL5802">
        <v>81.152288681659201</v>
      </c>
      <c r="AM5802">
        <v>95.245111128261499</v>
      </c>
      <c r="AN5802">
        <v>0.99999999814612595</v>
      </c>
    </row>
    <row r="5803" spans="1:40" x14ac:dyDescent="0.25">
      <c r="A5803" t="str">
        <f>"20190304155532787"</f>
        <v>20190304155532787</v>
      </c>
      <c r="B5803" t="str">
        <f>"1551686132783974"</f>
        <v>1551686132783974</v>
      </c>
      <c r="C5803" t="s">
        <v>40</v>
      </c>
      <c r="D5803">
        <v>4.4874369999999999</v>
      </c>
      <c r="E5803">
        <v>0.53107530000000003</v>
      </c>
      <c r="F5803" t="s">
        <v>46</v>
      </c>
      <c r="G5803">
        <v>-188.29230000000001</v>
      </c>
      <c r="H5803" s="1">
        <v>-1.1413279999999999E-6</v>
      </c>
      <c r="I5803">
        <v>91.587140000000005</v>
      </c>
      <c r="J5803">
        <v>-187.78639999999999</v>
      </c>
      <c r="K5803">
        <v>1.1101479999999999</v>
      </c>
      <c r="L5803">
        <v>37.908569999999997</v>
      </c>
      <c r="M5803">
        <v>-6.6276900000000003E-3</v>
      </c>
      <c r="N5803">
        <v>-1.181624E-2</v>
      </c>
      <c r="O5803">
        <v>0.99990820000000002</v>
      </c>
      <c r="P5803">
        <v>-9.5928100000000002E-2</v>
      </c>
      <c r="Q5803">
        <v>0.14231379999999999</v>
      </c>
      <c r="R5803">
        <v>0.98516219999999999</v>
      </c>
      <c r="S5803">
        <v>-2.8717039999999999E-2</v>
      </c>
      <c r="T5803">
        <v>-6.2676789999999996E-2</v>
      </c>
      <c r="U5803">
        <v>3.0515439999999998</v>
      </c>
      <c r="V5803">
        <v>-8.9510859999999998E-2</v>
      </c>
      <c r="W5803">
        <v>0.15388589999999999</v>
      </c>
      <c r="X5803">
        <v>0.98402590000000001</v>
      </c>
      <c r="Y5803">
        <v>-2.781286E-3</v>
      </c>
      <c r="Z5803">
        <v>-8.7190489999999995E-3</v>
      </c>
      <c r="AA5803">
        <v>0.99995809999999996</v>
      </c>
      <c r="AB5803">
        <v>36</v>
      </c>
      <c r="AC5803">
        <v>-0.505900000000025</v>
      </c>
      <c r="AD5803">
        <v>-1.110149141328</v>
      </c>
      <c r="AE5803">
        <v>53.678569999999901</v>
      </c>
      <c r="AF5803">
        <v>-0.15003495153148499</v>
      </c>
      <c r="AG5803">
        <v>-1.110149141328</v>
      </c>
      <c r="AH5803">
        <v>53.657795516637698</v>
      </c>
      <c r="AI5803">
        <v>91.185243223469001</v>
      </c>
      <c r="AJ5803">
        <v>90.160206863069604</v>
      </c>
      <c r="AK5803">
        <v>53.669488178181602</v>
      </c>
      <c r="AL5803">
        <v>81.147812330582497</v>
      </c>
      <c r="AM5803">
        <v>95.197545008090898</v>
      </c>
      <c r="AN5803">
        <v>1.00000001807377</v>
      </c>
    </row>
    <row r="5804" spans="1:40" x14ac:dyDescent="0.25">
      <c r="A5804" t="str">
        <f>"20190304155532811"</f>
        <v>20190304155532811</v>
      </c>
      <c r="B5804" t="str">
        <f>"1551686132803494"</f>
        <v>1551686132803494</v>
      </c>
      <c r="C5804" t="s">
        <v>40</v>
      </c>
      <c r="D5804">
        <v>4.5356920000000001</v>
      </c>
      <c r="E5804">
        <v>0.53101690000000001</v>
      </c>
      <c r="F5804" t="s">
        <v>46</v>
      </c>
      <c r="G5804">
        <v>-188.3348</v>
      </c>
      <c r="H5804" s="1">
        <v>-4.0587109999999999E-6</v>
      </c>
      <c r="I5804">
        <v>88.405199999999994</v>
      </c>
      <c r="J5804">
        <v>-187.78919999999999</v>
      </c>
      <c r="K5804">
        <v>1.110147</v>
      </c>
      <c r="L5804">
        <v>38.283050000000003</v>
      </c>
      <c r="M5804">
        <v>-6.9596220000000004E-3</v>
      </c>
      <c r="N5804">
        <v>-1.181956E-2</v>
      </c>
      <c r="O5804">
        <v>0.99990590000000001</v>
      </c>
      <c r="P5804">
        <v>-9.5689270000000007E-2</v>
      </c>
      <c r="Q5804">
        <v>0.14332049999999999</v>
      </c>
      <c r="R5804">
        <v>0.98503949999999996</v>
      </c>
      <c r="S5804">
        <v>-3.3142089999999999E-2</v>
      </c>
      <c r="T5804">
        <v>-6.7089199999999904E-2</v>
      </c>
      <c r="U5804">
        <v>3.0516359999999998</v>
      </c>
      <c r="V5804">
        <v>-8.8945330000000003E-2</v>
      </c>
      <c r="W5804">
        <v>0.15489510000000001</v>
      </c>
      <c r="X5804">
        <v>0.98391879999999998</v>
      </c>
      <c r="Y5804">
        <v>-3.8984950000000001E-3</v>
      </c>
      <c r="Z5804">
        <v>-1.016003E-2</v>
      </c>
      <c r="AA5804">
        <v>0.99994079999999996</v>
      </c>
      <c r="AB5804">
        <v>36</v>
      </c>
      <c r="AC5804">
        <v>-0.54560000000000697</v>
      </c>
      <c r="AD5804">
        <v>-1.1101510587109999</v>
      </c>
      <c r="AE5804">
        <v>50.122149999999898</v>
      </c>
      <c r="AF5804">
        <v>-0.19663473624327599</v>
      </c>
      <c r="AG5804">
        <v>-1.1101510587109999</v>
      </c>
      <c r="AH5804">
        <v>50.100158447051399</v>
      </c>
      <c r="AI5804">
        <v>91.269378684833896</v>
      </c>
      <c r="AJ5804">
        <v>90.224875189861393</v>
      </c>
      <c r="AK5804">
        <v>50.112842435969597</v>
      </c>
      <c r="AL5804">
        <v>81.089287409742994</v>
      </c>
      <c r="AM5804">
        <v>95.165444220670693</v>
      </c>
      <c r="AN5804">
        <v>0.99999998436312898</v>
      </c>
    </row>
    <row r="5805" spans="1:40" x14ac:dyDescent="0.25">
      <c r="A5805" t="str">
        <f>"20190304155532834"</f>
        <v>20190304155532834</v>
      </c>
      <c r="B5805" t="str">
        <f>"1551686132823990"</f>
        <v>1551686132823990</v>
      </c>
      <c r="C5805" t="s">
        <v>40</v>
      </c>
      <c r="D5805">
        <v>4.515441</v>
      </c>
      <c r="E5805">
        <v>0.53080699999999903</v>
      </c>
      <c r="F5805" t="s">
        <v>46</v>
      </c>
      <c r="G5805">
        <v>-188.3355</v>
      </c>
      <c r="H5805" s="1">
        <v>-4.4428839999999998E-6</v>
      </c>
      <c r="I5805">
        <v>89.301019999999994</v>
      </c>
      <c r="J5805">
        <v>-187.79220000000001</v>
      </c>
      <c r="K5805">
        <v>1.110144</v>
      </c>
      <c r="L5805">
        <v>38.671570000000003</v>
      </c>
      <c r="M5805">
        <v>-7.2929589999999999E-3</v>
      </c>
      <c r="N5805">
        <v>-1.182278E-2</v>
      </c>
      <c r="O5805">
        <v>0.99990349999999995</v>
      </c>
      <c r="P5805">
        <v>-9.5614829999999998E-2</v>
      </c>
      <c r="Q5805">
        <v>0.14413909999999999</v>
      </c>
      <c r="R5805">
        <v>0.98492729999999995</v>
      </c>
      <c r="S5805">
        <v>-3.2684329999999998E-2</v>
      </c>
      <c r="T5805">
        <v>-6.6412929999999995E-2</v>
      </c>
      <c r="U5805">
        <v>3.052063</v>
      </c>
      <c r="V5805">
        <v>-8.8541499999999995E-2</v>
      </c>
      <c r="W5805">
        <v>0.15571750000000001</v>
      </c>
      <c r="X5805">
        <v>0.98382539999999996</v>
      </c>
      <c r="Y5805">
        <v>-3.4137740000000001E-3</v>
      </c>
      <c r="Z5805">
        <v>-9.9322690000000005E-3</v>
      </c>
      <c r="AA5805">
        <v>0.99994490000000003</v>
      </c>
      <c r="AB5805">
        <v>36</v>
      </c>
      <c r="AC5805">
        <v>-0.54329999999998702</v>
      </c>
      <c r="AD5805">
        <v>-1.1101484428840001</v>
      </c>
      <c r="AE5805">
        <v>50.629449999999899</v>
      </c>
      <c r="AF5805">
        <v>-0.173937615427914</v>
      </c>
      <c r="AG5805">
        <v>-1.1101484428840001</v>
      </c>
      <c r="AH5805">
        <v>50.607737007746103</v>
      </c>
      <c r="AI5805">
        <v>91.256650643068596</v>
      </c>
      <c r="AJ5805">
        <v>90.196923486612604</v>
      </c>
      <c r="AK5805">
        <v>50.620210676215997</v>
      </c>
      <c r="AL5805">
        <v>81.0415885351604</v>
      </c>
      <c r="AM5805">
        <v>95.1426036111352</v>
      </c>
      <c r="AN5805">
        <v>0.999999977356829</v>
      </c>
    </row>
    <row r="5806" spans="1:40" x14ac:dyDescent="0.25">
      <c r="A5806" t="str">
        <f>"20190304155532876"</f>
        <v>20190304155532876</v>
      </c>
      <c r="B5806" t="str">
        <f>"1551686132873766"</f>
        <v>1551686132873766</v>
      </c>
      <c r="C5806" t="s">
        <v>40</v>
      </c>
      <c r="D5806">
        <v>4.571739</v>
      </c>
      <c r="E5806">
        <v>0.52967730000000002</v>
      </c>
      <c r="F5806" t="s">
        <v>46</v>
      </c>
      <c r="G5806">
        <v>-188.36789999999999</v>
      </c>
      <c r="H5806" s="1">
        <v>-7.546675E-7</v>
      </c>
      <c r="I5806">
        <v>90.589609999999993</v>
      </c>
      <c r="J5806">
        <v>-187.7978</v>
      </c>
      <c r="K5806">
        <v>1.1101270000000001</v>
      </c>
      <c r="L5806">
        <v>39.344670000000001</v>
      </c>
      <c r="M5806">
        <v>-7.8192660000000001E-3</v>
      </c>
      <c r="N5806">
        <v>-1.1827300000000001E-2</v>
      </c>
      <c r="O5806">
        <v>0.99989950000000005</v>
      </c>
      <c r="P5806">
        <v>-9.5976300000000001E-2</v>
      </c>
      <c r="Q5806">
        <v>0.145154799999999</v>
      </c>
      <c r="R5806">
        <v>0.98474289999999998</v>
      </c>
      <c r="S5806">
        <v>-3.3843989999999997E-2</v>
      </c>
      <c r="T5806">
        <v>-6.5263749999999995E-2</v>
      </c>
      <c r="U5806">
        <v>3.0521850000000001</v>
      </c>
      <c r="V5806">
        <v>-8.8376410000000002E-2</v>
      </c>
      <c r="W5806">
        <v>0.15674189999999999</v>
      </c>
      <c r="X5806">
        <v>0.98367760000000004</v>
      </c>
      <c r="Y5806">
        <v>-3.2669489999999999E-3</v>
      </c>
      <c r="Z5806">
        <v>-9.5504749999999992E-3</v>
      </c>
      <c r="AA5806">
        <v>0.99994899999999998</v>
      </c>
      <c r="AB5806">
        <v>36</v>
      </c>
      <c r="AC5806">
        <v>-0.57009999999999605</v>
      </c>
      <c r="AD5806">
        <v>-1.1101277546674999</v>
      </c>
      <c r="AE5806">
        <v>51.2449399999999</v>
      </c>
      <c r="AF5806">
        <v>-0.169277299736207</v>
      </c>
      <c r="AG5806">
        <v>-1.1101277546674999</v>
      </c>
      <c r="AH5806">
        <v>51.223795264438003</v>
      </c>
      <c r="AI5806">
        <v>91.241519342479293</v>
      </c>
      <c r="AJ5806">
        <v>90.189342462540495</v>
      </c>
      <c r="AK5806">
        <v>51.2361028936525</v>
      </c>
      <c r="AL5806">
        <v>80.9821654183161</v>
      </c>
      <c r="AM5806">
        <v>95.1338333793597</v>
      </c>
      <c r="AN5806">
        <v>1.00000001690092</v>
      </c>
    </row>
    <row r="5807" spans="1:40" x14ac:dyDescent="0.25">
      <c r="A5807" t="str">
        <f>"20190304155532899"</f>
        <v>20190304155532899</v>
      </c>
      <c r="B5807" t="str">
        <f>"1551686132893287"</f>
        <v>1551686132893287</v>
      </c>
      <c r="C5807" t="s">
        <v>40</v>
      </c>
      <c r="D5807">
        <v>4.5846539999999996</v>
      </c>
      <c r="E5807">
        <v>0.52929749999999998</v>
      </c>
      <c r="F5807" t="s">
        <v>46</v>
      </c>
      <c r="G5807">
        <v>-188.523</v>
      </c>
      <c r="H5807" s="1">
        <v>-5.2836289999999999E-7</v>
      </c>
      <c r="I5807">
        <v>90.045850000000002</v>
      </c>
      <c r="J5807">
        <v>-187.80099999999999</v>
      </c>
      <c r="K5807">
        <v>1.1101080000000001</v>
      </c>
      <c r="L5807">
        <v>39.718440000000001</v>
      </c>
      <c r="M5807">
        <v>-8.0756809999999995E-3</v>
      </c>
      <c r="N5807">
        <v>-1.1829269999999999E-2</v>
      </c>
      <c r="O5807">
        <v>0.99989740000000005</v>
      </c>
      <c r="P5807">
        <v>-9.6573939999999997E-2</v>
      </c>
      <c r="Q5807">
        <v>0.14570949999999999</v>
      </c>
      <c r="R5807">
        <v>0.98460259999999999</v>
      </c>
      <c r="S5807">
        <v>-4.3655399999999997E-2</v>
      </c>
      <c r="T5807">
        <v>-6.6826460000000004E-2</v>
      </c>
      <c r="U5807">
        <v>3.052063</v>
      </c>
      <c r="V5807">
        <v>-8.8715050000000004E-2</v>
      </c>
      <c r="W5807">
        <v>0.15730139999999901</v>
      </c>
      <c r="X5807">
        <v>0.98355780000000004</v>
      </c>
      <c r="Y5807">
        <v>-6.2242560000000001E-3</v>
      </c>
      <c r="Z5807">
        <v>-1.006057E-2</v>
      </c>
      <c r="AA5807">
        <v>0.99992999999999999</v>
      </c>
      <c r="AB5807">
        <v>36</v>
      </c>
      <c r="AC5807">
        <v>-0.72200000000000797</v>
      </c>
      <c r="AD5807">
        <v>-1.1101085283629</v>
      </c>
      <c r="AE5807">
        <v>50.32741</v>
      </c>
      <c r="AF5807">
        <v>-0.31536648900890402</v>
      </c>
      <c r="AG5807">
        <v>-1.1101085283629</v>
      </c>
      <c r="AH5807">
        <v>50.307128129351398</v>
      </c>
      <c r="AI5807">
        <v>91.264094492248802</v>
      </c>
      <c r="AJ5807">
        <v>90.359172403645402</v>
      </c>
      <c r="AK5807">
        <v>50.320363051056297</v>
      </c>
      <c r="AL5807">
        <v>80.949705785307501</v>
      </c>
      <c r="AM5807">
        <v>95.154023754331106</v>
      </c>
      <c r="AN5807">
        <v>1.00000001823965</v>
      </c>
    </row>
    <row r="5808" spans="1:40" x14ac:dyDescent="0.25">
      <c r="A5808" t="str">
        <f>"20190304155532924"</f>
        <v>20190304155532924</v>
      </c>
      <c r="B5808" t="str">
        <f>"1551686132913782"</f>
        <v>1551686132913782</v>
      </c>
      <c r="C5808" t="s">
        <v>40</v>
      </c>
      <c r="D5808">
        <v>4.5743179999999999</v>
      </c>
      <c r="E5808">
        <v>0.52912219999999999</v>
      </c>
      <c r="F5808" t="s">
        <v>46</v>
      </c>
      <c r="G5808">
        <v>-188.60489999999999</v>
      </c>
      <c r="H5808" s="1">
        <v>-6.533393E-7</v>
      </c>
      <c r="I5808">
        <v>90.477159999999998</v>
      </c>
      <c r="J5808">
        <v>-187.80449999999999</v>
      </c>
      <c r="K5808">
        <v>1.110077</v>
      </c>
      <c r="L5808">
        <v>40.120640000000002</v>
      </c>
      <c r="M5808">
        <v>-8.3120590000000001E-3</v>
      </c>
      <c r="N5808">
        <v>-1.1831629999999999E-2</v>
      </c>
      <c r="O5808">
        <v>0.99989550000000005</v>
      </c>
      <c r="P5808">
        <v>-9.7455200000000006E-2</v>
      </c>
      <c r="Q5808">
        <v>0.1457415</v>
      </c>
      <c r="R5808">
        <v>0.98451100000000002</v>
      </c>
      <c r="S5808">
        <v>-4.8339840000000002E-2</v>
      </c>
      <c r="T5808">
        <v>-6.6749569999999994E-2</v>
      </c>
      <c r="U5808">
        <v>3.052063</v>
      </c>
      <c r="V5808">
        <v>-8.935324E-2</v>
      </c>
      <c r="W5808">
        <v>0.15734039999999999</v>
      </c>
      <c r="X5808">
        <v>0.98349370000000003</v>
      </c>
      <c r="Y5808">
        <v>-7.5219889999999998E-3</v>
      </c>
      <c r="Z5808">
        <v>-1.003272E-2</v>
      </c>
      <c r="AA5808">
        <v>0.99992139999999996</v>
      </c>
      <c r="AB5808">
        <v>36</v>
      </c>
      <c r="AC5808">
        <v>-0.800399999999996</v>
      </c>
      <c r="AD5808">
        <v>-1.1100776533393</v>
      </c>
      <c r="AE5808">
        <v>50.356520000000003</v>
      </c>
      <c r="AF5808">
        <v>-0.381591309855498</v>
      </c>
      <c r="AG5808">
        <v>-1.1100776533393</v>
      </c>
      <c r="AH5808">
        <v>50.336978304393298</v>
      </c>
      <c r="AI5808">
        <v>91.263298520502303</v>
      </c>
      <c r="AJ5808">
        <v>90.434335820090993</v>
      </c>
      <c r="AK5808">
        <v>50.350663045695498</v>
      </c>
      <c r="AL5808">
        <v>80.947442272257305</v>
      </c>
      <c r="AM5808">
        <v>95.191234925176403</v>
      </c>
      <c r="AN5808">
        <v>0.99999993045517099</v>
      </c>
    </row>
    <row r="5809" spans="1:40" x14ac:dyDescent="0.25">
      <c r="A5809" t="str">
        <f>"20190304155532944"</f>
        <v>20190304155532944</v>
      </c>
      <c r="B5809" t="str">
        <f>"1551686132934278"</f>
        <v>1551686132934278</v>
      </c>
      <c r="C5809" t="s">
        <v>40</v>
      </c>
      <c r="D5809">
        <v>4.5739919999999996</v>
      </c>
      <c r="E5809">
        <v>0.52885230000000005</v>
      </c>
      <c r="F5809" t="s">
        <v>46</v>
      </c>
      <c r="G5809">
        <v>-188.6694</v>
      </c>
      <c r="H5809" s="1">
        <v>-7.443901E-7</v>
      </c>
      <c r="I5809">
        <v>90.795169999999999</v>
      </c>
      <c r="J5809">
        <v>-187.8074</v>
      </c>
      <c r="K5809">
        <v>1.1100460000000001</v>
      </c>
      <c r="L5809">
        <v>40.452449999999999</v>
      </c>
      <c r="M5809">
        <v>-8.4689199999999996E-3</v>
      </c>
      <c r="N5809">
        <v>-1.18374E-2</v>
      </c>
      <c r="O5809">
        <v>0.99989410000000001</v>
      </c>
      <c r="P5809">
        <v>-9.8484150000000006E-2</v>
      </c>
      <c r="Q5809">
        <v>0.145338299999999</v>
      </c>
      <c r="R5809">
        <v>0.98446820000000002</v>
      </c>
      <c r="S5809">
        <v>-5.2093510000000003E-2</v>
      </c>
      <c r="T5809">
        <v>-6.6855910000000005E-2</v>
      </c>
      <c r="U5809">
        <v>3.0519409999999998</v>
      </c>
      <c r="V5809">
        <v>-9.0216640000000001E-2</v>
      </c>
      <c r="W5809">
        <v>0.15694859999999999</v>
      </c>
      <c r="X5809">
        <v>0.9834775</v>
      </c>
      <c r="Y5809">
        <v>-8.5950179999999994E-3</v>
      </c>
      <c r="Z5809">
        <v>-1.0062359999999999E-2</v>
      </c>
      <c r="AA5809">
        <v>0.99991240000000003</v>
      </c>
      <c r="AB5809">
        <v>36</v>
      </c>
      <c r="AC5809">
        <v>-0.86199999999999399</v>
      </c>
      <c r="AD5809">
        <v>-1.1100467443901001</v>
      </c>
      <c r="AE5809">
        <v>50.34272</v>
      </c>
      <c r="AF5809">
        <v>-0.43537913629249902</v>
      </c>
      <c r="AG5809">
        <v>-1.1100467443901001</v>
      </c>
      <c r="AH5809">
        <v>50.323755166269798</v>
      </c>
      <c r="AI5809">
        <v>91.263584208296194</v>
      </c>
      <c r="AJ5809">
        <v>90.495685676864696</v>
      </c>
      <c r="AK5809">
        <v>50.337879303778003</v>
      </c>
      <c r="AL5809">
        <v>80.970173347509302</v>
      </c>
      <c r="AM5809">
        <v>95.241204466832698</v>
      </c>
      <c r="AN5809">
        <v>0.99999994909054801</v>
      </c>
    </row>
    <row r="5810" spans="1:40" x14ac:dyDescent="0.25">
      <c r="A5810" t="str">
        <f>"20190304155532966"</f>
        <v>20190304155532966</v>
      </c>
      <c r="B5810" t="str">
        <f>"1551686132963558"</f>
        <v>1551686132963558</v>
      </c>
      <c r="C5810" t="s">
        <v>40</v>
      </c>
      <c r="D5810">
        <v>4.7145809999999999</v>
      </c>
      <c r="E5810">
        <v>0.52863649999999995</v>
      </c>
      <c r="F5810" t="s">
        <v>46</v>
      </c>
      <c r="G5810">
        <v>-188.73599999999999</v>
      </c>
      <c r="H5810" s="1">
        <v>-5.4714489999999995E-7</v>
      </c>
      <c r="I5810">
        <v>90.267589999999998</v>
      </c>
      <c r="J5810">
        <v>-187.81059999999999</v>
      </c>
      <c r="K5810">
        <v>1.1100139999999901</v>
      </c>
      <c r="L5810">
        <v>40.814880000000002</v>
      </c>
      <c r="M5810">
        <v>-8.6047769999999992E-3</v>
      </c>
      <c r="N5810">
        <v>-1.1848010000000001E-2</v>
      </c>
      <c r="O5810">
        <v>0.99989280000000003</v>
      </c>
      <c r="P5810">
        <v>-9.9215079999999997E-2</v>
      </c>
      <c r="Q5810">
        <v>0.14504719999999999</v>
      </c>
      <c r="R5810">
        <v>0.98443780000000003</v>
      </c>
      <c r="S5810">
        <v>-5.6884770000000001E-2</v>
      </c>
      <c r="T5810">
        <v>-6.8001270000000003E-2</v>
      </c>
      <c r="U5810">
        <v>3.051666</v>
      </c>
      <c r="V5810">
        <v>-9.0802129999999995E-2</v>
      </c>
      <c r="W5810">
        <v>0.1566746</v>
      </c>
      <c r="X5810">
        <v>0.98346730000000004</v>
      </c>
      <c r="Y5810">
        <v>-1.0029700000000001E-2</v>
      </c>
      <c r="Z5810">
        <v>-1.0428379999999999E-2</v>
      </c>
      <c r="AA5810">
        <v>0.99989530000000004</v>
      </c>
      <c r="AB5810">
        <v>36</v>
      </c>
      <c r="AC5810">
        <v>-0.925399999999996</v>
      </c>
      <c r="AD5810">
        <v>-1.1100145471449001</v>
      </c>
      <c r="AE5810">
        <v>49.452710000000003</v>
      </c>
      <c r="AF5810">
        <v>-0.49955473117076998</v>
      </c>
      <c r="AG5810">
        <v>-1.1100145471449001</v>
      </c>
      <c r="AH5810">
        <v>49.433945143087598</v>
      </c>
      <c r="AI5810">
        <v>91.286266294956306</v>
      </c>
      <c r="AJ5810">
        <v>90.578982789907002</v>
      </c>
      <c r="AK5810">
        <v>49.448929408371498</v>
      </c>
      <c r="AL5810">
        <v>80.986068995444001</v>
      </c>
      <c r="AM5810">
        <v>95.275082084076999</v>
      </c>
      <c r="AN5810">
        <v>0.99999994363349098</v>
      </c>
    </row>
    <row r="5811" spans="1:40" x14ac:dyDescent="0.25">
      <c r="A5811" t="str">
        <f>"20190304155532987"</f>
        <v>20190304155532987</v>
      </c>
      <c r="B5811" t="str">
        <f>"1551686132984054"</f>
        <v>1551686132984054</v>
      </c>
      <c r="C5811" t="s">
        <v>40</v>
      </c>
      <c r="D5811">
        <v>4.5921949999999896</v>
      </c>
      <c r="E5811">
        <v>0.52825180000000005</v>
      </c>
      <c r="F5811" t="s">
        <v>46</v>
      </c>
      <c r="G5811">
        <v>-188.7509</v>
      </c>
      <c r="H5811" s="1">
        <v>-3.8447669999999997E-6</v>
      </c>
      <c r="I5811">
        <v>88.078530000000001</v>
      </c>
      <c r="J5811">
        <v>-187.81379999999999</v>
      </c>
      <c r="K5811">
        <v>1.1099829999999999</v>
      </c>
      <c r="L5811">
        <v>41.17062</v>
      </c>
      <c r="M5811">
        <v>-8.7025409999999994E-3</v>
      </c>
      <c r="N5811">
        <v>-1.1866109999999999E-2</v>
      </c>
      <c r="O5811">
        <v>0.99989170000000005</v>
      </c>
      <c r="P5811">
        <v>-9.9757499999999999E-2</v>
      </c>
      <c r="Q5811">
        <v>0.14496999999999999</v>
      </c>
      <c r="R5811">
        <v>0.98439430000000006</v>
      </c>
      <c r="S5811">
        <v>-6.071472E-2</v>
      </c>
      <c r="T5811">
        <v>-7.1675420000000004E-2</v>
      </c>
      <c r="U5811">
        <v>3.0518800000000001</v>
      </c>
      <c r="V5811">
        <v>-9.1236680000000001E-2</v>
      </c>
      <c r="W5811">
        <v>0.15662129999999999</v>
      </c>
      <c r="X5811">
        <v>0.98343559999999997</v>
      </c>
      <c r="Y5811">
        <v>-1.1184400000000001E-2</v>
      </c>
      <c r="Z5811">
        <v>-1.161133E-2</v>
      </c>
      <c r="AA5811">
        <v>0.99987009999999998</v>
      </c>
      <c r="AB5811">
        <v>36</v>
      </c>
      <c r="AC5811">
        <v>-0.93710000000001503</v>
      </c>
      <c r="AD5811">
        <v>-1.1099868447669901</v>
      </c>
      <c r="AE5811">
        <v>46.907910000000001</v>
      </c>
      <c r="AF5811">
        <v>-0.528521922575099</v>
      </c>
      <c r="AG5811">
        <v>-1.1099868447669901</v>
      </c>
      <c r="AH5811">
        <v>46.8880450356219</v>
      </c>
      <c r="AI5811">
        <v>91.356031104252907</v>
      </c>
      <c r="AJ5811">
        <v>90.645810527876506</v>
      </c>
      <c r="AK5811">
        <v>46.904159447544799</v>
      </c>
      <c r="AL5811">
        <v>80.9891612854139</v>
      </c>
      <c r="AM5811">
        <v>95.3003533823629</v>
      </c>
      <c r="AN5811">
        <v>0.99999997136923502</v>
      </c>
    </row>
    <row r="5812" spans="1:40" x14ac:dyDescent="0.25">
      <c r="A5812" t="str">
        <f>"20190304155533012"</f>
        <v>20190304155533012</v>
      </c>
      <c r="B5812" t="str">
        <f>"1551686133003574"</f>
        <v>1551686133003574</v>
      </c>
      <c r="C5812" t="s">
        <v>40</v>
      </c>
      <c r="D5812">
        <v>4.5434169999999998</v>
      </c>
      <c r="E5812">
        <v>0.52788059999999903</v>
      </c>
      <c r="F5812" t="s">
        <v>46</v>
      </c>
      <c r="G5812">
        <v>-188.79859999999999</v>
      </c>
      <c r="H5812" s="1">
        <v>-3.5623799999999998E-6</v>
      </c>
      <c r="I5812">
        <v>87.440019999999905</v>
      </c>
      <c r="J5812">
        <v>-187.81729999999999</v>
      </c>
      <c r="K5812">
        <v>1.109955</v>
      </c>
      <c r="L5812">
        <v>41.558439999999997</v>
      </c>
      <c r="M5812">
        <v>-8.7679650000000008E-3</v>
      </c>
      <c r="N5812">
        <v>-1.1900620000000001E-2</v>
      </c>
      <c r="O5812">
        <v>0.99989070000000002</v>
      </c>
      <c r="P5812">
        <v>-9.992413E-2</v>
      </c>
      <c r="Q5812">
        <v>0.14470820000000001</v>
      </c>
      <c r="R5812">
        <v>0.98441590000000001</v>
      </c>
      <c r="S5812">
        <v>-6.4956669999999994E-2</v>
      </c>
      <c r="T5812">
        <v>-7.3210600000000001E-2</v>
      </c>
      <c r="U5812">
        <v>3.051758</v>
      </c>
      <c r="V5812">
        <v>-9.1325719999999999E-2</v>
      </c>
      <c r="W5812">
        <v>0.1564014</v>
      </c>
      <c r="X5812">
        <v>0.98346230000000001</v>
      </c>
      <c r="Y5812">
        <v>-1.250854E-2</v>
      </c>
      <c r="Z5812">
        <v>-1.2079929999999999E-2</v>
      </c>
      <c r="AA5812">
        <v>0.99984879999999998</v>
      </c>
      <c r="AB5812">
        <v>36</v>
      </c>
      <c r="AC5812">
        <v>-0.98130000000000395</v>
      </c>
      <c r="AD5812">
        <v>-1.1099585623799999</v>
      </c>
      <c r="AE5812">
        <v>45.8815799999999</v>
      </c>
      <c r="AF5812">
        <v>-0.57860720778140395</v>
      </c>
      <c r="AG5812">
        <v>-1.1099585623799999</v>
      </c>
      <c r="AH5812">
        <v>45.861592766344401</v>
      </c>
      <c r="AI5812">
        <v>91.386311869731003</v>
      </c>
      <c r="AJ5812">
        <v>90.7228268844475</v>
      </c>
      <c r="AK5812">
        <v>45.878671355839302</v>
      </c>
      <c r="AL5812">
        <v>81.001917555440599</v>
      </c>
      <c r="AM5812">
        <v>95.3053533996802</v>
      </c>
      <c r="AN5812">
        <v>0.99999994028838202</v>
      </c>
    </row>
    <row r="5813" spans="1:40" x14ac:dyDescent="0.25">
      <c r="A5813" t="str">
        <f>"20190304155533056"</f>
        <v>20190304155533056</v>
      </c>
      <c r="B5813" t="str">
        <f>"1551686133053350"</f>
        <v>1551686133053350</v>
      </c>
      <c r="C5813" t="s">
        <v>40</v>
      </c>
      <c r="D5813">
        <v>4.710553</v>
      </c>
      <c r="E5813">
        <v>0.52755779999999997</v>
      </c>
      <c r="F5813" t="s">
        <v>46</v>
      </c>
      <c r="G5813">
        <v>-188.82320000000001</v>
      </c>
      <c r="H5813" s="1">
        <v>-3.273606E-6</v>
      </c>
      <c r="I5813">
        <v>86.777050000000003</v>
      </c>
      <c r="J5813">
        <v>-187.8237</v>
      </c>
      <c r="K5813">
        <v>1.1099250000000001</v>
      </c>
      <c r="L5813">
        <v>42.274569999999997</v>
      </c>
      <c r="M5813">
        <v>-8.7978099999999997E-3</v>
      </c>
      <c r="N5813">
        <v>-1.200711E-2</v>
      </c>
      <c r="O5813">
        <v>0.99988920000000003</v>
      </c>
      <c r="P5813">
        <v>-9.9701590000000007E-2</v>
      </c>
      <c r="Q5813">
        <v>0.14382990000000001</v>
      </c>
      <c r="R5813">
        <v>0.98456719999999998</v>
      </c>
      <c r="S5813">
        <v>-6.7886349999999998E-2</v>
      </c>
      <c r="T5813">
        <v>-7.4906230000000004E-2</v>
      </c>
      <c r="U5813">
        <v>3.0516049999999999</v>
      </c>
      <c r="V5813">
        <v>-9.105307E-2</v>
      </c>
      <c r="W5813">
        <v>0.15564120000000001</v>
      </c>
      <c r="X5813">
        <v>0.98360820000000004</v>
      </c>
      <c r="Y5813">
        <v>-1.3438790000000001E-2</v>
      </c>
      <c r="Z5813">
        <v>-1.2529459999999999E-2</v>
      </c>
      <c r="AA5813">
        <v>0.99983120000000003</v>
      </c>
      <c r="AB5813">
        <v>36</v>
      </c>
      <c r="AC5813">
        <v>-0.99950000000001105</v>
      </c>
      <c r="AD5813">
        <v>-1.1099282736059899</v>
      </c>
      <c r="AE5813">
        <v>44.502479999999998</v>
      </c>
      <c r="AF5813">
        <v>-0.60753099871595695</v>
      </c>
      <c r="AG5813">
        <v>-1.1099282736059899</v>
      </c>
      <c r="AH5813">
        <v>44.481895719990902</v>
      </c>
      <c r="AI5813">
        <v>91.429235069746397</v>
      </c>
      <c r="AJ5813">
        <v>90.782493583415004</v>
      </c>
      <c r="AK5813">
        <v>44.4998885563896</v>
      </c>
      <c r="AL5813">
        <v>81.046014076694604</v>
      </c>
      <c r="AM5813">
        <v>95.288824251664906</v>
      </c>
      <c r="AN5813">
        <v>0.99999996790055201</v>
      </c>
    </row>
    <row r="5814" spans="1:40" x14ac:dyDescent="0.25">
      <c r="A5814" t="str">
        <f>"20190304155533078"</f>
        <v>20190304155533078</v>
      </c>
      <c r="B5814" t="str">
        <f>"1551686133073847"</f>
        <v>1551686133073847</v>
      </c>
      <c r="C5814" t="s">
        <v>40</v>
      </c>
      <c r="D5814">
        <v>4.5745269999999998</v>
      </c>
      <c r="E5814">
        <v>0.52752159999999904</v>
      </c>
      <c r="F5814" t="s">
        <v>46</v>
      </c>
      <c r="G5814">
        <v>-188.7961</v>
      </c>
      <c r="H5814" s="1">
        <v>-2.46601E-6</v>
      </c>
      <c r="I5814">
        <v>84.883300000000006</v>
      </c>
      <c r="J5814">
        <v>-187.827</v>
      </c>
      <c r="K5814">
        <v>1.1099300000000001</v>
      </c>
      <c r="L5814">
        <v>42.644350000000003</v>
      </c>
      <c r="M5814">
        <v>-8.7895719999999903E-3</v>
      </c>
      <c r="N5814">
        <v>-1.207631E-2</v>
      </c>
      <c r="O5814">
        <v>0.99988840000000001</v>
      </c>
      <c r="P5814">
        <v>-9.9630789999999997E-2</v>
      </c>
      <c r="Q5814">
        <v>0.14378869999999999</v>
      </c>
      <c r="R5814">
        <v>0.98458040000000002</v>
      </c>
      <c r="S5814">
        <v>-6.9641110000000006E-2</v>
      </c>
      <c r="T5814">
        <v>-7.949138E-2</v>
      </c>
      <c r="U5814">
        <v>3.0515750000000001</v>
      </c>
      <c r="V5814">
        <v>-9.0983209999999995E-2</v>
      </c>
      <c r="W5814">
        <v>0.155671799999999</v>
      </c>
      <c r="X5814">
        <v>0.98360990000000004</v>
      </c>
      <c r="Y5814">
        <v>-1.4021169999999999E-2</v>
      </c>
      <c r="Z5814">
        <v>-1.3961380000000001E-2</v>
      </c>
      <c r="AA5814">
        <v>0.99980420000000003</v>
      </c>
      <c r="AB5814">
        <v>36</v>
      </c>
      <c r="AC5814">
        <v>-0.96909999999999696</v>
      </c>
      <c r="AD5814">
        <v>-1.1099324660099901</v>
      </c>
      <c r="AE5814">
        <v>42.238950000000003</v>
      </c>
      <c r="AF5814">
        <v>-0.59736091087693499</v>
      </c>
      <c r="AG5814">
        <v>-1.1099324660099901</v>
      </c>
      <c r="AH5814">
        <v>42.216701197655397</v>
      </c>
      <c r="AI5814">
        <v>91.505883600659899</v>
      </c>
      <c r="AJ5814">
        <v>90.810673835120497</v>
      </c>
      <c r="AK5814">
        <v>42.235514086477799</v>
      </c>
      <c r="AL5814">
        <v>81.044239884678703</v>
      </c>
      <c r="AM5814">
        <v>95.284780330973902</v>
      </c>
      <c r="AN5814">
        <v>1.0000000445975701</v>
      </c>
    </row>
    <row r="5815" spans="1:40" x14ac:dyDescent="0.25">
      <c r="A5815" t="str">
        <f>"20190304155533098"</f>
        <v>20190304155533098</v>
      </c>
      <c r="B5815" t="str">
        <f>"1551686133093366"</f>
        <v>1551686133093366</v>
      </c>
      <c r="C5815" t="s">
        <v>40</v>
      </c>
      <c r="D5815">
        <v>4.601801</v>
      </c>
      <c r="E5815">
        <v>0.52753739999999905</v>
      </c>
      <c r="F5815" t="s">
        <v>46</v>
      </c>
      <c r="G5815">
        <v>-188.8177</v>
      </c>
      <c r="H5815" s="1">
        <v>-2.8261910000000001E-6</v>
      </c>
      <c r="I5815">
        <v>85.731830000000002</v>
      </c>
      <c r="J5815">
        <v>-187.82990000000001</v>
      </c>
      <c r="K5815">
        <v>1.1099300000000001</v>
      </c>
      <c r="L5815">
        <v>42.97345</v>
      </c>
      <c r="M5815">
        <v>-8.7834790000000003E-3</v>
      </c>
      <c r="N5815">
        <v>-1.214732E-2</v>
      </c>
      <c r="O5815">
        <v>0.99988759999999999</v>
      </c>
      <c r="P5815">
        <v>-9.9489939999999999E-2</v>
      </c>
      <c r="Q5815">
        <v>0.14391679999999901</v>
      </c>
      <c r="R5815">
        <v>0.98457589999999995</v>
      </c>
      <c r="S5815">
        <v>-7.0159910000000006E-2</v>
      </c>
      <c r="T5815">
        <v>-7.8603030000000004E-2</v>
      </c>
      <c r="U5815">
        <v>3.051361</v>
      </c>
      <c r="V5815">
        <v>-9.0843820000000006E-2</v>
      </c>
      <c r="W5815">
        <v>0.1558725</v>
      </c>
      <c r="X5815">
        <v>0.98359099999999999</v>
      </c>
      <c r="Y5815">
        <v>-1.4198830000000001E-2</v>
      </c>
      <c r="Z5815">
        <v>-1.36013E-2</v>
      </c>
      <c r="AA5815">
        <v>0.99980670000000005</v>
      </c>
      <c r="AB5815">
        <v>36</v>
      </c>
      <c r="AC5815">
        <v>-0.98779999999999202</v>
      </c>
      <c r="AD5815">
        <v>-1.10993282619099</v>
      </c>
      <c r="AE5815">
        <v>42.758379999999903</v>
      </c>
      <c r="AF5815">
        <v>-0.61175483023603705</v>
      </c>
      <c r="AG5815">
        <v>-1.10993282619099</v>
      </c>
      <c r="AH5815">
        <v>42.736625395002598</v>
      </c>
      <c r="AI5815">
        <v>91.487568639667302</v>
      </c>
      <c r="AJ5815">
        <v>90.820106309049805</v>
      </c>
      <c r="AK5815">
        <v>42.755413049153901</v>
      </c>
      <c r="AL5815">
        <v>81.032598525130695</v>
      </c>
      <c r="AM5815">
        <v>95.276830391578898</v>
      </c>
      <c r="AN5815">
        <v>1.00000004558472</v>
      </c>
    </row>
    <row r="5816" spans="1:40" x14ac:dyDescent="0.25">
      <c r="A5816" t="str">
        <f>"20190304155533122"</f>
        <v>20190304155533122</v>
      </c>
      <c r="B5816" t="str">
        <f>"1551686133113863"</f>
        <v>1551686133113863</v>
      </c>
      <c r="C5816" t="s">
        <v>40</v>
      </c>
      <c r="D5816">
        <v>4.6198880000000004</v>
      </c>
      <c r="E5816">
        <v>0.52754990000000002</v>
      </c>
      <c r="F5816" t="s">
        <v>46</v>
      </c>
      <c r="G5816">
        <v>-188.82830000000001</v>
      </c>
      <c r="H5816" s="1">
        <v>-3.322148E-6</v>
      </c>
      <c r="I5816">
        <v>86.892309999999995</v>
      </c>
      <c r="J5816">
        <v>-187.83330000000001</v>
      </c>
      <c r="K5816">
        <v>1.1099270000000001</v>
      </c>
      <c r="L5816">
        <v>43.364690000000003</v>
      </c>
      <c r="M5816">
        <v>-8.7825400000000001E-3</v>
      </c>
      <c r="N5816">
        <v>-1.2249060000000001E-2</v>
      </c>
      <c r="O5816">
        <v>0.99988639999999995</v>
      </c>
      <c r="P5816">
        <v>-0.1000042</v>
      </c>
      <c r="Q5816">
        <v>0.14379979999999901</v>
      </c>
      <c r="R5816">
        <v>0.98454090000000005</v>
      </c>
      <c r="S5816">
        <v>-6.9366460000000005E-2</v>
      </c>
      <c r="T5816">
        <v>-7.7112790000000001E-2</v>
      </c>
      <c r="U5816">
        <v>3.0512700000000001</v>
      </c>
      <c r="V5816">
        <v>-9.1354299999999999E-2</v>
      </c>
      <c r="W5816">
        <v>0.15585829999999901</v>
      </c>
      <c r="X5816">
        <v>0.98354589999999997</v>
      </c>
      <c r="Y5816">
        <v>-1.394083E-2</v>
      </c>
      <c r="Z5816">
        <v>-1.301253E-2</v>
      </c>
      <c r="AA5816">
        <v>0.99981810000000004</v>
      </c>
      <c r="AB5816">
        <v>36</v>
      </c>
      <c r="AC5816">
        <v>-0.99500000000000399</v>
      </c>
      <c r="AD5816">
        <v>-1.1099303221479999</v>
      </c>
      <c r="AE5816">
        <v>43.527619999999899</v>
      </c>
      <c r="AF5816">
        <v>-0.61225197954872002</v>
      </c>
      <c r="AG5816">
        <v>-1.1099303221479999</v>
      </c>
      <c r="AH5816">
        <v>43.5064062468591</v>
      </c>
      <c r="AI5816">
        <v>91.461261567399504</v>
      </c>
      <c r="AJ5816">
        <v>90.806252274329694</v>
      </c>
      <c r="AK5816">
        <v>43.524868550326801</v>
      </c>
      <c r="AL5816">
        <v>81.033421577213403</v>
      </c>
      <c r="AM5816">
        <v>95.306555696830998</v>
      </c>
      <c r="AN5816">
        <v>0.99999997760709403</v>
      </c>
    </row>
    <row r="5817" spans="1:40" x14ac:dyDescent="0.25">
      <c r="A5817" t="str">
        <f>"20190304155533145"</f>
        <v>20190304155533145</v>
      </c>
      <c r="B5817" t="str">
        <f>"1551686133133382"</f>
        <v>1551686133133382</v>
      </c>
      <c r="C5817" t="s">
        <v>40</v>
      </c>
      <c r="D5817">
        <v>4.5533869999999999</v>
      </c>
      <c r="E5817">
        <v>0.52749979999999996</v>
      </c>
      <c r="F5817" t="s">
        <v>46</v>
      </c>
      <c r="G5817">
        <v>-188.85560000000001</v>
      </c>
      <c r="H5817" s="1">
        <v>-3.558628E-6</v>
      </c>
      <c r="I5817">
        <v>87.454809999999995</v>
      </c>
      <c r="J5817">
        <v>-187.8366</v>
      </c>
      <c r="K5817">
        <v>1.109937</v>
      </c>
      <c r="L5817">
        <v>43.730350000000001</v>
      </c>
      <c r="M5817">
        <v>-8.7832039999999993E-3</v>
      </c>
      <c r="N5817">
        <v>-1.2357089999999999E-2</v>
      </c>
      <c r="O5817">
        <v>0.99988509999999997</v>
      </c>
      <c r="P5817">
        <v>-9.9891250000000001E-2</v>
      </c>
      <c r="Q5817">
        <v>0.14433699999999999</v>
      </c>
      <c r="R5817">
        <v>0.98447379999999995</v>
      </c>
      <c r="S5817">
        <v>-7.0739750000000004E-2</v>
      </c>
      <c r="T5817">
        <v>-7.6810000000000003E-2</v>
      </c>
      <c r="U5817">
        <v>3.0511469999999998</v>
      </c>
      <c r="V5817">
        <v>-9.1238449999999999E-2</v>
      </c>
      <c r="W5817">
        <v>0.15650220000000001</v>
      </c>
      <c r="X5817">
        <v>0.98345439999999995</v>
      </c>
      <c r="Y5817">
        <v>-1.4390760000000001E-2</v>
      </c>
      <c r="Z5817">
        <v>-1.280619E-2</v>
      </c>
      <c r="AA5817">
        <v>0.99981450000000005</v>
      </c>
      <c r="AB5817">
        <v>36</v>
      </c>
      <c r="AC5817">
        <v>-1.0189999999999999</v>
      </c>
      <c r="AD5817">
        <v>-1.109940558628</v>
      </c>
      <c r="AE5817">
        <v>43.724459999999901</v>
      </c>
      <c r="AF5817">
        <v>-0.63448188881404599</v>
      </c>
      <c r="AG5817">
        <v>-1.109940558628</v>
      </c>
      <c r="AH5817">
        <v>43.703576949890397</v>
      </c>
      <c r="AI5817">
        <v>91.454676016331604</v>
      </c>
      <c r="AJ5817">
        <v>90.831752987779595</v>
      </c>
      <c r="AK5817">
        <v>43.7222731971465</v>
      </c>
      <c r="AL5817">
        <v>80.996070449220895</v>
      </c>
      <c r="AM5817">
        <v>95.300354876089997</v>
      </c>
      <c r="AN5817">
        <v>0.99999997512130001</v>
      </c>
    </row>
    <row r="5818" spans="1:40" x14ac:dyDescent="0.25">
      <c r="A5818" t="str">
        <f>"20190304155533168"</f>
        <v>20190304155533168</v>
      </c>
      <c r="B5818" t="str">
        <f>"1551686133163638"</f>
        <v>1551686133163638</v>
      </c>
      <c r="C5818" t="s">
        <v>40</v>
      </c>
      <c r="D5818">
        <v>4.427219</v>
      </c>
      <c r="E5818">
        <v>0.56310119999999997</v>
      </c>
      <c r="F5818" t="s">
        <v>46</v>
      </c>
      <c r="G5818">
        <v>-188.8784</v>
      </c>
      <c r="H5818" s="1">
        <v>-4.1735080000000002E-6</v>
      </c>
      <c r="I5818">
        <v>88.897540000000006</v>
      </c>
      <c r="J5818">
        <v>-187.8398</v>
      </c>
      <c r="K5818">
        <v>1.109953</v>
      </c>
      <c r="L5818">
        <v>44.098939999999999</v>
      </c>
      <c r="M5818">
        <v>-8.7826620000000001E-3</v>
      </c>
      <c r="N5818">
        <v>-1.2467890000000001E-2</v>
      </c>
      <c r="O5818">
        <v>0.99988370000000004</v>
      </c>
      <c r="P5818">
        <v>-9.9307530000000005E-2</v>
      </c>
      <c r="Q5818">
        <v>0.14391370000000001</v>
      </c>
      <c r="R5818">
        <v>0.98459479999999999</v>
      </c>
      <c r="S5818">
        <v>-7.0373539999999998E-2</v>
      </c>
      <c r="T5818">
        <v>-7.4979069999999995E-2</v>
      </c>
      <c r="U5818">
        <v>3.0511469999999998</v>
      </c>
      <c r="V5818">
        <v>-9.0652540000000004E-2</v>
      </c>
      <c r="W5818">
        <v>0.15619040000000001</v>
      </c>
      <c r="X5818">
        <v>0.98355820000000005</v>
      </c>
      <c r="Y5818">
        <v>-1.4271600000000001E-2</v>
      </c>
      <c r="Z5818">
        <v>-1.209593E-2</v>
      </c>
      <c r="AA5818">
        <v>0.99982499999999996</v>
      </c>
      <c r="AB5818">
        <v>36</v>
      </c>
      <c r="AC5818">
        <v>-1.0386</v>
      </c>
      <c r="AD5818">
        <v>-1.1099571735079901</v>
      </c>
      <c r="AE5818">
        <v>44.7986</v>
      </c>
      <c r="AF5818">
        <v>-0.64468284466633796</v>
      </c>
      <c r="AG5818">
        <v>-1.1099571735079901</v>
      </c>
      <c r="AH5818">
        <v>44.778520430370897</v>
      </c>
      <c r="AI5818">
        <v>91.419793567364493</v>
      </c>
      <c r="AJ5818">
        <v>90.824838649674803</v>
      </c>
      <c r="AK5818">
        <v>44.796914099415098</v>
      </c>
      <c r="AL5818">
        <v>81.014158188384698</v>
      </c>
      <c r="AM5818">
        <v>95.265956684042806</v>
      </c>
      <c r="AN5818">
        <v>1.0000000284239201</v>
      </c>
    </row>
    <row r="5819" spans="1:40" x14ac:dyDescent="0.25">
      <c r="A5819" t="str">
        <f>"20190304155533189"</f>
        <v>20190304155533189</v>
      </c>
      <c r="B5819" t="str">
        <f>"1551686133184135"</f>
        <v>1551686133184135</v>
      </c>
      <c r="C5819" t="s">
        <v>40</v>
      </c>
      <c r="D5819">
        <v>4.4341119999999998</v>
      </c>
      <c r="E5819">
        <v>0.5657257</v>
      </c>
      <c r="F5819" t="s">
        <v>49</v>
      </c>
      <c r="G5819">
        <v>-168.9828</v>
      </c>
      <c r="H5819">
        <v>2.993814</v>
      </c>
      <c r="I5819">
        <v>316.52379999999999</v>
      </c>
      <c r="J5819">
        <v>-187.84299999999999</v>
      </c>
      <c r="K5819">
        <v>1.1099730000000001</v>
      </c>
      <c r="L5819">
        <v>44.458799999999997</v>
      </c>
      <c r="M5819">
        <v>-8.7808999999999995E-3</v>
      </c>
      <c r="N5819">
        <v>-1.258169E-2</v>
      </c>
      <c r="O5819">
        <v>0.9998823</v>
      </c>
      <c r="P5819">
        <v>-9.8883460000000006E-2</v>
      </c>
      <c r="Q5819">
        <v>0.14403299999999999</v>
      </c>
      <c r="R5819">
        <v>0.98462000000000005</v>
      </c>
      <c r="S5819">
        <v>0.21217349999999999</v>
      </c>
      <c r="T5819">
        <v>2.1196719999999999E-2</v>
      </c>
      <c r="U5819">
        <v>3.0652469999999998</v>
      </c>
      <c r="V5819">
        <v>-9.0229879999999998E-2</v>
      </c>
      <c r="W5819">
        <v>0.15642259999999999</v>
      </c>
      <c r="X5819">
        <v>0.98356010000000005</v>
      </c>
      <c r="Y5819">
        <v>7.7795909999999996E-2</v>
      </c>
      <c r="Z5819">
        <v>1.9480540000000001E-2</v>
      </c>
      <c r="AA5819">
        <v>0.99677899999999997</v>
      </c>
      <c r="AB5819">
        <v>36</v>
      </c>
      <c r="AC5819">
        <v>18.860199999999899</v>
      </c>
      <c r="AD5819">
        <v>1.8838409999999901</v>
      </c>
      <c r="AE5819">
        <v>272.065</v>
      </c>
      <c r="AF5819">
        <v>21.247623572552801</v>
      </c>
      <c r="AG5819">
        <v>1.8838409999999901</v>
      </c>
      <c r="AH5819">
        <v>271.87591407792701</v>
      </c>
      <c r="AI5819">
        <v>89.604208016669105</v>
      </c>
      <c r="AJ5819">
        <v>85.531308129821795</v>
      </c>
      <c r="AK5819">
        <v>272.71142810689599</v>
      </c>
      <c r="AL5819">
        <v>81.000687978597298</v>
      </c>
      <c r="AM5819">
        <v>95.241531598197</v>
      </c>
      <c r="AN5819">
        <v>0.99999996567379101</v>
      </c>
    </row>
    <row r="5820" spans="1:40" x14ac:dyDescent="0.25">
      <c r="A5820" t="str">
        <f>"20190304155533225"</f>
        <v>20190304155533225</v>
      </c>
      <c r="B5820" t="str">
        <f>"1551686133213415"</f>
        <v>1551686133213415</v>
      </c>
      <c r="C5820" t="s">
        <v>40</v>
      </c>
      <c r="D5820">
        <v>4.4325809999999999</v>
      </c>
      <c r="E5820">
        <v>0.57226279999999996</v>
      </c>
      <c r="F5820" t="s">
        <v>73</v>
      </c>
      <c r="G5820">
        <v>-168.35050000000001</v>
      </c>
      <c r="H5820">
        <v>2.5659709999999998</v>
      </c>
      <c r="I5820">
        <v>299.47230000000002</v>
      </c>
      <c r="J5820">
        <v>-187.84790000000001</v>
      </c>
      <c r="K5820">
        <v>1.1100019999999999</v>
      </c>
      <c r="L5820">
        <v>45.021270000000001</v>
      </c>
      <c r="M5820">
        <v>-8.7784850000000008E-3</v>
      </c>
      <c r="N5820">
        <v>-1.2775440000000001E-2</v>
      </c>
      <c r="O5820">
        <v>0.99987979999999999</v>
      </c>
      <c r="P5820">
        <v>-9.7079659999999998E-2</v>
      </c>
      <c r="Q5820">
        <v>0.14407059999999999</v>
      </c>
      <c r="R5820">
        <v>0.98479399999999995</v>
      </c>
      <c r="S5820">
        <v>0.23449710000000001</v>
      </c>
      <c r="T5820">
        <v>1.7516730000000001E-2</v>
      </c>
      <c r="U5820">
        <v>3.067841</v>
      </c>
      <c r="V5820">
        <v>-8.8425509999999999E-2</v>
      </c>
      <c r="W5820">
        <v>0.15665290000000001</v>
      </c>
      <c r="X5820">
        <v>0.98368730000000004</v>
      </c>
      <c r="Y5820">
        <v>8.4948739999999995E-2</v>
      </c>
      <c r="Z5820">
        <v>1.8469800000000001E-2</v>
      </c>
      <c r="AA5820">
        <v>0.99621420000000005</v>
      </c>
      <c r="AB5820">
        <v>36</v>
      </c>
      <c r="AC5820">
        <v>19.497399999999999</v>
      </c>
      <c r="AD5820">
        <v>1.4559689999999901</v>
      </c>
      <c r="AE5820">
        <v>254.45102999999901</v>
      </c>
      <c r="AF5820">
        <v>21.729818281144901</v>
      </c>
      <c r="AG5820">
        <v>1.4559689999999901</v>
      </c>
      <c r="AH5820">
        <v>254.261776104522</v>
      </c>
      <c r="AI5820">
        <v>89.673104658550301</v>
      </c>
      <c r="AJ5820">
        <v>85.115235329336201</v>
      </c>
      <c r="AK5820">
        <v>255.19278131657001</v>
      </c>
      <c r="AL5820">
        <v>80.987327943850104</v>
      </c>
      <c r="AM5820">
        <v>95.1366199894359</v>
      </c>
      <c r="AN5820">
        <v>0.99999995303922895</v>
      </c>
    </row>
    <row r="5821" spans="1:40" x14ac:dyDescent="0.25">
      <c r="A5821" t="str">
        <f>"20190304155533268"</f>
        <v>20190304155533268</v>
      </c>
      <c r="B5821" t="str">
        <f>"1551686133264166"</f>
        <v>1551686133264166</v>
      </c>
      <c r="C5821" t="s">
        <v>40</v>
      </c>
      <c r="D5821">
        <v>4.433738</v>
      </c>
      <c r="E5821">
        <v>0.57692739999999998</v>
      </c>
      <c r="F5821" t="s">
        <v>61</v>
      </c>
      <c r="G5821">
        <v>-168.35059999999999</v>
      </c>
      <c r="H5821">
        <v>4.3018539999999996</v>
      </c>
      <c r="I5821">
        <v>250.32650000000001</v>
      </c>
      <c r="J5821">
        <v>-187.85400000000001</v>
      </c>
      <c r="K5821">
        <v>1.1100300000000001</v>
      </c>
      <c r="L5821">
        <v>45.71716</v>
      </c>
      <c r="M5821">
        <v>-8.7789369999999901E-3</v>
      </c>
      <c r="N5821">
        <v>-1.301743E-2</v>
      </c>
      <c r="O5821">
        <v>0.99987669999999995</v>
      </c>
      <c r="P5821">
        <v>-9.2524889999999999E-2</v>
      </c>
      <c r="Q5821">
        <v>0.14465210000000001</v>
      </c>
      <c r="R5821">
        <v>0.9851472</v>
      </c>
      <c r="S5821">
        <v>0.29136659999999998</v>
      </c>
      <c r="T5821">
        <v>4.7699449999999997E-2</v>
      </c>
      <c r="U5821">
        <v>3.0680540000000001</v>
      </c>
      <c r="V5821">
        <v>-8.3866880000000005E-2</v>
      </c>
      <c r="W5821">
        <v>0.15747649999999999</v>
      </c>
      <c r="X5821">
        <v>0.98395500000000002</v>
      </c>
      <c r="Y5821">
        <v>0.1032425</v>
      </c>
      <c r="Z5821">
        <v>2.848798E-2</v>
      </c>
      <c r="AA5821">
        <v>0.99424820000000003</v>
      </c>
      <c r="AB5821">
        <v>36</v>
      </c>
      <c r="AC5821">
        <v>19.503399999999999</v>
      </c>
      <c r="AD5821">
        <v>3.191824</v>
      </c>
      <c r="AE5821">
        <v>204.60934</v>
      </c>
      <c r="AF5821">
        <v>21.293917903132499</v>
      </c>
      <c r="AG5821">
        <v>3.191824</v>
      </c>
      <c r="AH5821">
        <v>204.38093251177699</v>
      </c>
      <c r="AI5821">
        <v>89.110098716776605</v>
      </c>
      <c r="AJ5821">
        <v>84.051961785555093</v>
      </c>
      <c r="AK5821">
        <v>205.51200513472699</v>
      </c>
      <c r="AL5821">
        <v>80.939546254279406</v>
      </c>
      <c r="AM5821">
        <v>94.871800261557894</v>
      </c>
      <c r="AN5821">
        <v>0.99999997181909095</v>
      </c>
    </row>
    <row r="5822" spans="1:40" x14ac:dyDescent="0.25">
      <c r="A5822" t="str">
        <f>"20190304155533288"</f>
        <v>20190304155533288</v>
      </c>
      <c r="B5822" t="str">
        <f>"1551686133283686"</f>
        <v>1551686133283686</v>
      </c>
      <c r="C5822" t="s">
        <v>40</v>
      </c>
      <c r="D5822">
        <v>4.4106690000000004</v>
      </c>
      <c r="E5822">
        <v>0.57787630000000001</v>
      </c>
      <c r="F5822" t="s">
        <v>61</v>
      </c>
      <c r="G5822">
        <v>-168.19540000000001</v>
      </c>
      <c r="H5822">
        <v>5.0359740000000004</v>
      </c>
      <c r="I5822">
        <v>221.6901</v>
      </c>
      <c r="J5822">
        <v>-187.8569</v>
      </c>
      <c r="K5822">
        <v>1.1100449999999999</v>
      </c>
      <c r="L5822">
        <v>46.051569999999998</v>
      </c>
      <c r="M5822">
        <v>-8.7797459999999997E-3</v>
      </c>
      <c r="N5822">
        <v>-1.312256E-2</v>
      </c>
      <c r="O5822">
        <v>0.99987539999999997</v>
      </c>
      <c r="P5822">
        <v>-9.0350040000000006E-2</v>
      </c>
      <c r="Q5822">
        <v>0.14556329999999901</v>
      </c>
      <c r="R5822">
        <v>0.98521479999999995</v>
      </c>
      <c r="S5822">
        <v>0.34266659999999999</v>
      </c>
      <c r="T5822">
        <v>6.8433399999999894E-2</v>
      </c>
      <c r="U5822">
        <v>3.0673520000000001</v>
      </c>
      <c r="V5822">
        <v>-8.1690280000000004E-2</v>
      </c>
      <c r="W5822">
        <v>0.1584922</v>
      </c>
      <c r="X5822">
        <v>0.98397509999999999</v>
      </c>
      <c r="Y5822">
        <v>0.119683399999999</v>
      </c>
      <c r="Z5822">
        <v>3.5278179999999999E-2</v>
      </c>
      <c r="AA5822">
        <v>0.99218510000000004</v>
      </c>
      <c r="AB5822">
        <v>36</v>
      </c>
      <c r="AC5822">
        <v>19.661499999999901</v>
      </c>
      <c r="AD5822">
        <v>3.9259289999999898</v>
      </c>
      <c r="AE5822">
        <v>175.63853</v>
      </c>
      <c r="AF5822">
        <v>21.192479177674201</v>
      </c>
      <c r="AG5822">
        <v>3.9259289999999898</v>
      </c>
      <c r="AH5822">
        <v>175.37258506753599</v>
      </c>
      <c r="AI5822">
        <v>88.726837540433706</v>
      </c>
      <c r="AJ5822">
        <v>83.109639234583099</v>
      </c>
      <c r="AK5822">
        <v>176.69204194156401</v>
      </c>
      <c r="AL5822">
        <v>80.880611404449297</v>
      </c>
      <c r="AM5822">
        <v>94.745850947220305</v>
      </c>
      <c r="AN5822">
        <v>1.00000003836366</v>
      </c>
    </row>
    <row r="5823" spans="1:40" x14ac:dyDescent="0.25">
      <c r="A5823" t="str">
        <f>"20190304155533312"</f>
        <v>20190304155533312</v>
      </c>
      <c r="B5823" t="str">
        <f>"1551686133303206"</f>
        <v>1551686133303206</v>
      </c>
      <c r="C5823" t="s">
        <v>40</v>
      </c>
      <c r="D5823">
        <v>4.4577309999999999</v>
      </c>
      <c r="E5823">
        <v>0.57827859999999998</v>
      </c>
      <c r="F5823" t="s">
        <v>70</v>
      </c>
      <c r="G5823">
        <v>-168.97489999999999</v>
      </c>
      <c r="H5823">
        <v>5.1096629999999896</v>
      </c>
      <c r="I5823">
        <v>208.21379999999999</v>
      </c>
      <c r="J5823">
        <v>-187.8604</v>
      </c>
      <c r="K5823">
        <v>1.1100589999999999</v>
      </c>
      <c r="L5823">
        <v>46.440919999999998</v>
      </c>
      <c r="M5823">
        <v>-8.7805060000000004E-3</v>
      </c>
      <c r="N5823">
        <v>-1.3233079999999999E-2</v>
      </c>
      <c r="O5823">
        <v>0.99987389999999998</v>
      </c>
      <c r="P5823">
        <v>-8.7874229999999998E-2</v>
      </c>
      <c r="Q5823">
        <v>0.14615590000000001</v>
      </c>
      <c r="R5823">
        <v>0.98535099999999998</v>
      </c>
      <c r="S5823">
        <v>0.35707090000000002</v>
      </c>
      <c r="T5823">
        <v>7.5635910000000001E-2</v>
      </c>
      <c r="U5823">
        <v>3.066589</v>
      </c>
      <c r="V5823">
        <v>-7.9212519999999995E-2</v>
      </c>
      <c r="W5823">
        <v>0.15919459999999999</v>
      </c>
      <c r="X5823">
        <v>0.9840643</v>
      </c>
      <c r="Y5823">
        <v>0.1243026</v>
      </c>
      <c r="Z5823">
        <v>3.7710979999999998E-2</v>
      </c>
      <c r="AA5823">
        <v>0.99152750000000001</v>
      </c>
      <c r="AB5823">
        <v>36</v>
      </c>
      <c r="AC5823">
        <v>18.8855</v>
      </c>
      <c r="AD5823">
        <v>3.9996040000000002</v>
      </c>
      <c r="AE5823">
        <v>161.77287999999999</v>
      </c>
      <c r="AF5823">
        <v>20.293106469892201</v>
      </c>
      <c r="AG5823">
        <v>3.9996040000000002</v>
      </c>
      <c r="AH5823">
        <v>161.50341140673501</v>
      </c>
      <c r="AI5823">
        <v>88.592433392395506</v>
      </c>
      <c r="AJ5823">
        <v>82.838246453092694</v>
      </c>
      <c r="AK5823">
        <v>162.822476637498</v>
      </c>
      <c r="AL5823">
        <v>80.839849389441497</v>
      </c>
      <c r="AM5823">
        <v>94.602116482924799</v>
      </c>
      <c r="AN5823">
        <v>1.00000004526419</v>
      </c>
    </row>
    <row r="5824" spans="1:40" x14ac:dyDescent="0.25">
      <c r="A5824" t="str">
        <f>"20190304155533334"</f>
        <v>20190304155533334</v>
      </c>
      <c r="B5824" t="str">
        <f>"1551686133323702"</f>
        <v>1551686133323702</v>
      </c>
      <c r="C5824" t="s">
        <v>40</v>
      </c>
      <c r="D5824">
        <v>4.3984059999999996</v>
      </c>
      <c r="E5824">
        <v>0.57833639999999997</v>
      </c>
      <c r="F5824" t="s">
        <v>70</v>
      </c>
      <c r="G5824">
        <v>-168.4914</v>
      </c>
      <c r="H5824">
        <v>5.2140050000000002</v>
      </c>
      <c r="I5824">
        <v>208.21360000000001</v>
      </c>
      <c r="J5824">
        <v>-187.86349999999999</v>
      </c>
      <c r="K5824">
        <v>1.1100650000000001</v>
      </c>
      <c r="L5824">
        <v>46.804290000000002</v>
      </c>
      <c r="M5824">
        <v>-8.7808859999999999E-3</v>
      </c>
      <c r="N5824">
        <v>-1.3325180000000001E-2</v>
      </c>
      <c r="O5824">
        <v>0.99987269999999995</v>
      </c>
      <c r="P5824">
        <v>-8.5553569999999995E-2</v>
      </c>
      <c r="Q5824">
        <v>0.14591019999999999</v>
      </c>
      <c r="R5824">
        <v>0.98559160000000001</v>
      </c>
      <c r="S5824">
        <v>0.36706539999999999</v>
      </c>
      <c r="T5824">
        <v>7.77756E-2</v>
      </c>
      <c r="U5824">
        <v>3.0657960000000002</v>
      </c>
      <c r="V5824">
        <v>-7.6889600000000002E-2</v>
      </c>
      <c r="W5824">
        <v>0.15904299999999999</v>
      </c>
      <c r="X5824">
        <v>0.98427299999999995</v>
      </c>
      <c r="Y5824">
        <v>0.12751699999999999</v>
      </c>
      <c r="Z5824">
        <v>3.8491490000000003E-2</v>
      </c>
      <c r="AA5824">
        <v>0.9910892</v>
      </c>
      <c r="AB5824">
        <v>36</v>
      </c>
      <c r="AC5824">
        <v>19.3720999999999</v>
      </c>
      <c r="AD5824">
        <v>4.1039399999999997</v>
      </c>
      <c r="AE5824">
        <v>161.40931</v>
      </c>
      <c r="AF5824">
        <v>20.775555609803401</v>
      </c>
      <c r="AG5824">
        <v>4.1039399999999997</v>
      </c>
      <c r="AH5824">
        <v>161.13028091542799</v>
      </c>
      <c r="AI5824">
        <v>88.552982387929305</v>
      </c>
      <c r="AJ5824">
        <v>82.653023982634807</v>
      </c>
      <c r="AK5824">
        <v>162.51594833216899</v>
      </c>
      <c r="AL5824">
        <v>80.848647219767599</v>
      </c>
      <c r="AM5824">
        <v>94.466769784450904</v>
      </c>
      <c r="AN5824">
        <v>1.0000000124830799</v>
      </c>
    </row>
    <row r="5825" spans="1:40" x14ac:dyDescent="0.25">
      <c r="A5825" t="str">
        <f>"20190304155533367"</f>
        <v>20190304155533367</v>
      </c>
      <c r="B5825" t="str">
        <f>"1551686133363719"</f>
        <v>1551686133363719</v>
      </c>
      <c r="C5825" t="s">
        <v>40</v>
      </c>
      <c r="D5825">
        <v>4.5016369999999997</v>
      </c>
      <c r="E5825">
        <v>0.57881839999999996</v>
      </c>
      <c r="F5825" t="s">
        <v>70</v>
      </c>
      <c r="G5825">
        <v>-168.41239999999999</v>
      </c>
      <c r="H5825">
        <v>5.1565190000000003</v>
      </c>
      <c r="I5825">
        <v>205.8159</v>
      </c>
      <c r="J5825">
        <v>-187.8682</v>
      </c>
      <c r="K5825">
        <v>1.110074</v>
      </c>
      <c r="L5825">
        <v>47.332210000000003</v>
      </c>
      <c r="M5825">
        <v>-8.7810819999999904E-3</v>
      </c>
      <c r="N5825">
        <v>-1.3440509999999999E-2</v>
      </c>
      <c r="O5825">
        <v>0.99987110000000001</v>
      </c>
      <c r="P5825">
        <v>-8.3600690000000005E-2</v>
      </c>
      <c r="Q5825">
        <v>0.14574970000000001</v>
      </c>
      <c r="R5825">
        <v>0.98578290000000002</v>
      </c>
      <c r="S5825">
        <v>0.37490839999999998</v>
      </c>
      <c r="T5825">
        <v>7.7993510000000002E-2</v>
      </c>
      <c r="U5825">
        <v>3.0648499999999999</v>
      </c>
      <c r="V5825">
        <v>-7.493474E-2</v>
      </c>
      <c r="W5825">
        <v>0.15899829999999901</v>
      </c>
      <c r="X5825">
        <v>0.98443099999999994</v>
      </c>
      <c r="Y5825">
        <v>0.1300518</v>
      </c>
      <c r="Z5825">
        <v>3.8677080000000003E-2</v>
      </c>
      <c r="AA5825">
        <v>0.99075250000000004</v>
      </c>
      <c r="AB5825">
        <v>36</v>
      </c>
      <c r="AC5825">
        <v>19.4558</v>
      </c>
      <c r="AD5825">
        <v>4.0464449999999896</v>
      </c>
      <c r="AE5825">
        <v>158.48369</v>
      </c>
      <c r="AF5825">
        <v>20.833454169269899</v>
      </c>
      <c r="AG5825">
        <v>4.0464449999999896</v>
      </c>
      <c r="AH5825">
        <v>158.20511819221301</v>
      </c>
      <c r="AI5825">
        <v>88.547388947746597</v>
      </c>
      <c r="AJ5825">
        <v>82.498093594373699</v>
      </c>
      <c r="AK5825">
        <v>159.62226020193199</v>
      </c>
      <c r="AL5825">
        <v>80.851241551223197</v>
      </c>
      <c r="AM5825">
        <v>94.352951753280294</v>
      </c>
      <c r="AN5825">
        <v>1.00000003421137</v>
      </c>
    </row>
    <row r="5826" spans="1:40" x14ac:dyDescent="0.25">
      <c r="A5826" t="str">
        <f>"20190304155533391"</f>
        <v>20190304155533391</v>
      </c>
      <c r="B5826" t="str">
        <f>"1551686133383239"</f>
        <v>1551686133383239</v>
      </c>
      <c r="C5826" t="s">
        <v>40</v>
      </c>
      <c r="D5826">
        <v>4.5103419999999996</v>
      </c>
      <c r="E5826">
        <v>0.57862089999999999</v>
      </c>
      <c r="F5826" t="s">
        <v>70</v>
      </c>
      <c r="G5826">
        <v>-168.4136</v>
      </c>
      <c r="H5826">
        <v>5.0793400000000002</v>
      </c>
      <c r="I5826">
        <v>202.2209</v>
      </c>
      <c r="J5826">
        <v>-187.87139999999999</v>
      </c>
      <c r="K5826">
        <v>1.1100779999999999</v>
      </c>
      <c r="L5826">
        <v>47.704189999999997</v>
      </c>
      <c r="M5826">
        <v>-8.7812110000000006E-3</v>
      </c>
      <c r="N5826">
        <v>-1.350937E-2</v>
      </c>
      <c r="O5826">
        <v>0.99987020000000004</v>
      </c>
      <c r="P5826">
        <v>-8.2240670000000002E-2</v>
      </c>
      <c r="Q5826">
        <v>0.14572170000000001</v>
      </c>
      <c r="R5826">
        <v>0.98590149999999999</v>
      </c>
      <c r="S5826">
        <v>0.3848877</v>
      </c>
      <c r="T5826">
        <v>7.8528169999999994E-2</v>
      </c>
      <c r="U5826">
        <v>3.0643009999999999</v>
      </c>
      <c r="V5826">
        <v>-7.3573349999999996E-2</v>
      </c>
      <c r="W5826">
        <v>0.15903919999999999</v>
      </c>
      <c r="X5826">
        <v>0.98452709999999999</v>
      </c>
      <c r="Y5826">
        <v>0.1332496</v>
      </c>
      <c r="Z5826">
        <v>3.8912950000000002E-2</v>
      </c>
      <c r="AA5826">
        <v>0.99031829999999998</v>
      </c>
      <c r="AB5826">
        <v>36</v>
      </c>
      <c r="AC5826">
        <v>19.457799999999899</v>
      </c>
      <c r="AD5826">
        <v>3.9692620000000001</v>
      </c>
      <c r="AE5826">
        <v>154.51670999999999</v>
      </c>
      <c r="AF5826">
        <v>20.800505610036701</v>
      </c>
      <c r="AG5826">
        <v>3.9692620000000001</v>
      </c>
      <c r="AH5826">
        <v>154.239681051644</v>
      </c>
      <c r="AI5826">
        <v>88.539073311036702</v>
      </c>
      <c r="AJ5826">
        <v>82.319524258311802</v>
      </c>
      <c r="AK5826">
        <v>155.68652891426001</v>
      </c>
      <c r="AL5826">
        <v>80.848868168921896</v>
      </c>
      <c r="AM5826">
        <v>94.273748845282299</v>
      </c>
      <c r="AN5826">
        <v>1.0000000578006301</v>
      </c>
    </row>
    <row r="5827" spans="1:40" x14ac:dyDescent="0.25">
      <c r="A5827" t="str">
        <f>"20190304155533415"</f>
        <v>20190304155533415</v>
      </c>
      <c r="B5827" t="str">
        <f>"1551686133403735"</f>
        <v>1551686133403735</v>
      </c>
      <c r="C5827" t="s">
        <v>40</v>
      </c>
      <c r="D5827">
        <v>4.496105</v>
      </c>
      <c r="E5827">
        <v>0.57876939999999999</v>
      </c>
      <c r="F5827" t="s">
        <v>70</v>
      </c>
      <c r="G5827">
        <v>-168.41370000000001</v>
      </c>
      <c r="H5827">
        <v>4.9914969999999999</v>
      </c>
      <c r="I5827">
        <v>201.69409999999999</v>
      </c>
      <c r="J5827">
        <v>-187.8749</v>
      </c>
      <c r="K5827">
        <v>1.1100779999999999</v>
      </c>
      <c r="L5827">
        <v>48.101349999999996</v>
      </c>
      <c r="M5827">
        <v>-8.78144199999999E-3</v>
      </c>
      <c r="N5827">
        <v>-1.3573099999999999E-2</v>
      </c>
      <c r="O5827">
        <v>0.99986929999999996</v>
      </c>
      <c r="P5827">
        <v>-8.1283670000000002E-2</v>
      </c>
      <c r="Q5827">
        <v>0.1454696</v>
      </c>
      <c r="R5827">
        <v>0.98601799999999995</v>
      </c>
      <c r="S5827">
        <v>0.38713069999999999</v>
      </c>
      <c r="T5827">
        <v>7.7225329999999995E-2</v>
      </c>
      <c r="U5827">
        <v>3.0637819999999998</v>
      </c>
      <c r="V5827">
        <v>-7.2615499999999999E-2</v>
      </c>
      <c r="W5827">
        <v>0.158851399999999</v>
      </c>
      <c r="X5827">
        <v>0.98462850000000002</v>
      </c>
      <c r="Y5827">
        <v>0.13398560000000001</v>
      </c>
      <c r="Z5827">
        <v>3.855753E-2</v>
      </c>
      <c r="AA5827">
        <v>0.99023289999999997</v>
      </c>
      <c r="AB5827">
        <v>36</v>
      </c>
      <c r="AC5827">
        <v>19.461199999999899</v>
      </c>
      <c r="AD5827">
        <v>3.8814190000000002</v>
      </c>
      <c r="AE5827">
        <v>153.59275</v>
      </c>
      <c r="AF5827">
        <v>20.796268619236201</v>
      </c>
      <c r="AG5827">
        <v>3.8814190000000002</v>
      </c>
      <c r="AH5827">
        <v>153.319548413744</v>
      </c>
      <c r="AI5827">
        <v>88.562970329786594</v>
      </c>
      <c r="AJ5827">
        <v>82.275540466444298</v>
      </c>
      <c r="AK5827">
        <v>154.77220075883</v>
      </c>
      <c r="AL5827">
        <v>80.859766615527406</v>
      </c>
      <c r="AM5827">
        <v>94.217878305922397</v>
      </c>
      <c r="AN5827">
        <v>1.0000000305672201</v>
      </c>
    </row>
    <row r="5828" spans="1:40" x14ac:dyDescent="0.25">
      <c r="A5828" t="str">
        <f>"20190304155533438"</f>
        <v>20190304155533438</v>
      </c>
      <c r="B5828" t="str">
        <f>"1551686133433991"</f>
        <v>1551686133433991</v>
      </c>
      <c r="C5828" t="s">
        <v>40</v>
      </c>
      <c r="D5828">
        <v>4.4677069999999999</v>
      </c>
      <c r="E5828">
        <v>0.57861240000000003</v>
      </c>
      <c r="F5828" t="s">
        <v>70</v>
      </c>
      <c r="G5828">
        <v>-168.41409999999999</v>
      </c>
      <c r="H5828">
        <v>4.9096710000000003</v>
      </c>
      <c r="I5828">
        <v>200.4222</v>
      </c>
      <c r="J5828">
        <v>-187.87819999999999</v>
      </c>
      <c r="K5828">
        <v>1.1100810000000001</v>
      </c>
      <c r="L5828">
        <v>48.480069999999998</v>
      </c>
      <c r="M5828">
        <v>-8.7814680000000006E-3</v>
      </c>
      <c r="N5828">
        <v>-1.3628940000000001E-2</v>
      </c>
      <c r="O5828">
        <v>0.9998686</v>
      </c>
      <c r="P5828">
        <v>-8.0803319999999998E-2</v>
      </c>
      <c r="Q5828">
        <v>0.14548440000000001</v>
      </c>
      <c r="R5828">
        <v>0.98605529999999997</v>
      </c>
      <c r="S5828">
        <v>0.39140320000000001</v>
      </c>
      <c r="T5828">
        <v>7.6419589999999996E-2</v>
      </c>
      <c r="U5828">
        <v>3.0635379999999999</v>
      </c>
      <c r="V5828">
        <v>-7.2134820000000002E-2</v>
      </c>
      <c r="W5828">
        <v>0.15892200000000001</v>
      </c>
      <c r="X5828">
        <v>0.98465239999999998</v>
      </c>
      <c r="Y5828">
        <v>0.13535529999999901</v>
      </c>
      <c r="Z5828">
        <v>3.8350540000000002E-2</v>
      </c>
      <c r="AA5828">
        <v>0.99005460000000001</v>
      </c>
      <c r="AB5828">
        <v>36</v>
      </c>
      <c r="AC5828">
        <v>19.464099999999998</v>
      </c>
      <c r="AD5828">
        <v>3.7995899999999998</v>
      </c>
      <c r="AE5828">
        <v>151.94212999999999</v>
      </c>
      <c r="AF5828">
        <v>20.784960361186901</v>
      </c>
      <c r="AG5828">
        <v>3.7995899999999998</v>
      </c>
      <c r="AH5828">
        <v>151.672015668721</v>
      </c>
      <c r="AI5828">
        <v>88.578245446987196</v>
      </c>
      <c r="AJ5828">
        <v>82.196856128571497</v>
      </c>
      <c r="AK5828">
        <v>153.13670950623501</v>
      </c>
      <c r="AL5828">
        <v>80.855669127529694</v>
      </c>
      <c r="AM5828">
        <v>94.189956389885594</v>
      </c>
      <c r="AN5828">
        <v>0.99999999158309605</v>
      </c>
    </row>
    <row r="5829" spans="1:40" x14ac:dyDescent="0.25">
      <c r="A5829" t="str">
        <f>"20190304155533479"</f>
        <v>20190304155533479</v>
      </c>
      <c r="B5829" t="str">
        <f>"1551686133474006"</f>
        <v>1551686133474006</v>
      </c>
      <c r="C5829" t="s">
        <v>40</v>
      </c>
      <c r="D5829">
        <v>4.4332560000000001</v>
      </c>
      <c r="E5829">
        <v>0.57836219999999905</v>
      </c>
      <c r="F5829" t="s">
        <v>70</v>
      </c>
      <c r="G5829">
        <v>-168.41399999999999</v>
      </c>
      <c r="H5829">
        <v>4.8977810000000002</v>
      </c>
      <c r="I5829">
        <v>200.69540000000001</v>
      </c>
      <c r="J5829">
        <v>-187.88399999999999</v>
      </c>
      <c r="K5829">
        <v>1.1100840000000001</v>
      </c>
      <c r="L5829">
        <v>49.139400000000002</v>
      </c>
      <c r="M5829">
        <v>-8.7820109999999993E-3</v>
      </c>
      <c r="N5829">
        <v>-1.3721870000000001E-2</v>
      </c>
      <c r="O5829">
        <v>0.99986730000000001</v>
      </c>
      <c r="P5829">
        <v>-7.9580250000000005E-2</v>
      </c>
      <c r="Q5829">
        <v>0.14610229999999999</v>
      </c>
      <c r="R5829">
        <v>0.98606340000000003</v>
      </c>
      <c r="S5829">
        <v>0.39170840000000001</v>
      </c>
      <c r="T5829">
        <v>7.6226349999999998E-2</v>
      </c>
      <c r="U5829">
        <v>3.0632630000000001</v>
      </c>
      <c r="V5829">
        <v>-7.0910490000000007E-2</v>
      </c>
      <c r="W5829">
        <v>0.15963139999999901</v>
      </c>
      <c r="X5829">
        <v>0.98462660000000002</v>
      </c>
      <c r="Y5829">
        <v>0.1354638</v>
      </c>
      <c r="Z5829">
        <v>3.8382869999999999E-2</v>
      </c>
      <c r="AA5829">
        <v>0.99003850000000004</v>
      </c>
      <c r="AB5829">
        <v>36</v>
      </c>
      <c r="AC5829">
        <v>19.47</v>
      </c>
      <c r="AD5829">
        <v>3.7876970000000001</v>
      </c>
      <c r="AE5829">
        <v>151.55600000000001</v>
      </c>
      <c r="AF5829">
        <v>20.787567630438701</v>
      </c>
      <c r="AG5829">
        <v>3.7876970000000001</v>
      </c>
      <c r="AH5829">
        <v>151.28619301063301</v>
      </c>
      <c r="AI5829">
        <v>88.579150926386305</v>
      </c>
      <c r="AJ5829">
        <v>82.176232844203994</v>
      </c>
      <c r="AK5829">
        <v>152.75464579581299</v>
      </c>
      <c r="AL5829">
        <v>80.814498091666096</v>
      </c>
      <c r="AM5829">
        <v>94.119195534409101</v>
      </c>
      <c r="AN5829">
        <v>1.0000000114427801</v>
      </c>
    </row>
    <row r="5830" spans="1:40" x14ac:dyDescent="0.25">
      <c r="A5830" t="str">
        <f>"20190304155533502"</f>
        <v>20190304155533502</v>
      </c>
      <c r="B5830" t="str">
        <f>"1551686133493526"</f>
        <v>1551686133493526</v>
      </c>
      <c r="C5830" t="s">
        <v>40</v>
      </c>
      <c r="D5830">
        <v>4.4242689999999998</v>
      </c>
      <c r="E5830">
        <v>0.57823840000000004</v>
      </c>
      <c r="F5830" t="s">
        <v>70</v>
      </c>
      <c r="G5830">
        <v>-168.41399999999999</v>
      </c>
      <c r="H5830">
        <v>4.9152849999999999</v>
      </c>
      <c r="I5830">
        <v>200.65549999999999</v>
      </c>
      <c r="J5830">
        <v>-187.88720000000001</v>
      </c>
      <c r="K5830">
        <v>1.1100909999999999</v>
      </c>
      <c r="L5830">
        <v>49.497250000000001</v>
      </c>
      <c r="M5830">
        <v>-8.7821280000000002E-3</v>
      </c>
      <c r="N5830">
        <v>-1.377137E-2</v>
      </c>
      <c r="O5830">
        <v>0.99986660000000005</v>
      </c>
      <c r="P5830">
        <v>-7.881399E-2</v>
      </c>
      <c r="Q5830">
        <v>0.14672650000000001</v>
      </c>
      <c r="R5830">
        <v>0.98603229999999997</v>
      </c>
      <c r="S5830">
        <v>0.39356989999999997</v>
      </c>
      <c r="T5830">
        <v>7.6919669999999996E-2</v>
      </c>
      <c r="U5830">
        <v>3.0627749999999998</v>
      </c>
      <c r="V5830">
        <v>-7.0144479999999995E-2</v>
      </c>
      <c r="W5830">
        <v>0.1603031</v>
      </c>
      <c r="X5830">
        <v>0.98457240000000001</v>
      </c>
      <c r="Y5830">
        <v>0.13607469999999999</v>
      </c>
      <c r="Z5830">
        <v>3.8658390000000001E-2</v>
      </c>
      <c r="AA5830">
        <v>0.98994400000000005</v>
      </c>
      <c r="AB5830">
        <v>36</v>
      </c>
      <c r="AC5830">
        <v>19.473199999999899</v>
      </c>
      <c r="AD5830">
        <v>3.8051940000000002</v>
      </c>
      <c r="AE5830">
        <v>151.15824999999899</v>
      </c>
      <c r="AF5830">
        <v>20.787107976945698</v>
      </c>
      <c r="AG5830">
        <v>3.8051940000000002</v>
      </c>
      <c r="AH5830">
        <v>150.88732967347499</v>
      </c>
      <c r="AI5830">
        <v>88.568887976264094</v>
      </c>
      <c r="AJ5830">
        <v>82.155979519107106</v>
      </c>
      <c r="AK5830">
        <v>152.36000005058699</v>
      </c>
      <c r="AL5830">
        <v>80.775511003713802</v>
      </c>
      <c r="AM5830">
        <v>94.075072227168704</v>
      </c>
      <c r="AN5830">
        <v>1.00000007139291</v>
      </c>
    </row>
    <row r="5831" spans="1:40" x14ac:dyDescent="0.25">
      <c r="A5831" t="str">
        <f>"20190304155533524"</f>
        <v>20190304155533524</v>
      </c>
      <c r="B5831" t="str">
        <f>"1551686133514023"</f>
        <v>1551686133514023</v>
      </c>
      <c r="C5831" t="s">
        <v>40</v>
      </c>
      <c r="D5831">
        <v>4.3694949999999997</v>
      </c>
      <c r="E5831">
        <v>0.57807379999999997</v>
      </c>
      <c r="F5831" t="s">
        <v>70</v>
      </c>
      <c r="G5831">
        <v>-168.41409999999999</v>
      </c>
      <c r="H5831">
        <v>4.9593319999999999</v>
      </c>
      <c r="I5831">
        <v>200.4135</v>
      </c>
      <c r="J5831">
        <v>-187.8904</v>
      </c>
      <c r="K5831">
        <v>1.1101019999999999</v>
      </c>
      <c r="L5831">
        <v>49.863590000000002</v>
      </c>
      <c r="M5831">
        <v>-8.76785699999999E-3</v>
      </c>
      <c r="N5831">
        <v>-1.3832799999999999E-2</v>
      </c>
      <c r="O5831">
        <v>0.99986589999999997</v>
      </c>
      <c r="P5831">
        <v>-7.8022850000000005E-2</v>
      </c>
      <c r="Q5831">
        <v>0.14712310000000001</v>
      </c>
      <c r="R5831">
        <v>0.98603609999999997</v>
      </c>
      <c r="S5831">
        <v>0.39515689999999998</v>
      </c>
      <c r="T5831">
        <v>7.8111410000000006E-2</v>
      </c>
      <c r="U5831">
        <v>3.0624690000000001</v>
      </c>
      <c r="V5831">
        <v>-6.9365049999999998E-2</v>
      </c>
      <c r="W5831">
        <v>0.1607615</v>
      </c>
      <c r="X5831">
        <v>0.98455280000000001</v>
      </c>
      <c r="Y5831">
        <v>0.13657569999999999</v>
      </c>
      <c r="Z5831">
        <v>3.9105769999999998E-2</v>
      </c>
      <c r="AA5831">
        <v>0.98985749999999995</v>
      </c>
      <c r="AB5831">
        <v>36</v>
      </c>
      <c r="AC5831">
        <v>19.476299999999998</v>
      </c>
      <c r="AD5831">
        <v>3.8492299999999999</v>
      </c>
      <c r="AE5831">
        <v>150.54991000000001</v>
      </c>
      <c r="AF5831">
        <v>20.7823155514678</v>
      </c>
      <c r="AG5831">
        <v>3.8492299999999999</v>
      </c>
      <c r="AH5831">
        <v>150.27671953560201</v>
      </c>
      <c r="AI5831">
        <v>88.546557478093803</v>
      </c>
      <c r="AJ5831">
        <v>82.126299438686203</v>
      </c>
      <c r="AK5831">
        <v>151.75576972772899</v>
      </c>
      <c r="AL5831">
        <v>80.748900779120007</v>
      </c>
      <c r="AM5831">
        <v>94.030020911916907</v>
      </c>
      <c r="AN5831">
        <v>0.99999999301579601</v>
      </c>
    </row>
    <row r="5832" spans="1:40" x14ac:dyDescent="0.25">
      <c r="A5832" t="str">
        <f>"20190304155533546"</f>
        <v>20190304155533546</v>
      </c>
      <c r="B5832" t="str">
        <f>"1551686133543303"</f>
        <v>1551686133543303</v>
      </c>
      <c r="C5832" t="s">
        <v>40</v>
      </c>
      <c r="D5832">
        <v>4.4008659999999997</v>
      </c>
      <c r="E5832">
        <v>0.57778759999999996</v>
      </c>
      <c r="F5832" t="s">
        <v>70</v>
      </c>
      <c r="G5832">
        <v>-168.41419999999999</v>
      </c>
      <c r="H5832">
        <v>4.9641089999999997</v>
      </c>
      <c r="I5832">
        <v>200.28980000000001</v>
      </c>
      <c r="J5832">
        <v>-187.89330000000001</v>
      </c>
      <c r="K5832">
        <v>1.1101080000000001</v>
      </c>
      <c r="L5832">
        <v>50.20496</v>
      </c>
      <c r="M5832">
        <v>-8.7401340000000001E-3</v>
      </c>
      <c r="N5832">
        <v>-1.389573E-2</v>
      </c>
      <c r="O5832">
        <v>0.99986520000000001</v>
      </c>
      <c r="P5832">
        <v>-7.7525150000000001E-2</v>
      </c>
      <c r="Q5832">
        <v>0.14815929999999999</v>
      </c>
      <c r="R5832">
        <v>0.98592020000000002</v>
      </c>
      <c r="S5832">
        <v>0.39646910000000002</v>
      </c>
      <c r="T5832">
        <v>7.8455090000000005E-2</v>
      </c>
      <c r="U5832">
        <v>3.0621640000000001</v>
      </c>
      <c r="V5832">
        <v>-6.8891010000000003E-2</v>
      </c>
      <c r="W5832">
        <v>0.1618599</v>
      </c>
      <c r="X5832">
        <v>0.98440609999999995</v>
      </c>
      <c r="Y5832">
        <v>0.1369773</v>
      </c>
      <c r="Z5832">
        <v>3.9280879999999997E-2</v>
      </c>
      <c r="AA5832">
        <v>0.98979499999999998</v>
      </c>
      <c r="AB5832">
        <v>36</v>
      </c>
      <c r="AC5832">
        <v>19.479099999999999</v>
      </c>
      <c r="AD5832">
        <v>3.85400099999999</v>
      </c>
      <c r="AE5832">
        <v>150.08483999999899</v>
      </c>
      <c r="AF5832">
        <v>20.776770898518201</v>
      </c>
      <c r="AG5832">
        <v>3.85400099999999</v>
      </c>
      <c r="AH5832">
        <v>149.811690296363</v>
      </c>
      <c r="AI5832">
        <v>88.540319271617406</v>
      </c>
      <c r="AJ5832">
        <v>82.104247237876905</v>
      </c>
      <c r="AK5832">
        <v>151.29464657459201</v>
      </c>
      <c r="AL5832">
        <v>80.685131869724799</v>
      </c>
      <c r="AM5832">
        <v>94.003164153941398</v>
      </c>
      <c r="AN5832">
        <v>0.99999998410201996</v>
      </c>
    </row>
    <row r="5833" spans="1:40" x14ac:dyDescent="0.25">
      <c r="A5833" t="str">
        <f>"20190304155533569"</f>
        <v>20190304155533569</v>
      </c>
      <c r="B5833" t="str">
        <f>"1551686133563798"</f>
        <v>1551686133563798</v>
      </c>
      <c r="C5833" t="s">
        <v>40</v>
      </c>
      <c r="D5833">
        <v>4.5845880000000001</v>
      </c>
      <c r="E5833">
        <v>0.57769780000000004</v>
      </c>
      <c r="F5833" t="s">
        <v>70</v>
      </c>
      <c r="G5833">
        <v>-168.41399999999999</v>
      </c>
      <c r="H5833">
        <v>5.0068530000000004</v>
      </c>
      <c r="I5833">
        <v>201.03450000000001</v>
      </c>
      <c r="J5833">
        <v>-187.89660000000001</v>
      </c>
      <c r="K5833">
        <v>1.1101049999999999</v>
      </c>
      <c r="L5833">
        <v>50.578000000000003</v>
      </c>
      <c r="M5833">
        <v>-8.6863879999999997E-3</v>
      </c>
      <c r="N5833">
        <v>-1.3963959999999999E-2</v>
      </c>
      <c r="O5833">
        <v>0.9998648</v>
      </c>
      <c r="P5833">
        <v>-7.6542269999999996E-2</v>
      </c>
      <c r="Q5833">
        <v>0.14912239999999999</v>
      </c>
      <c r="R5833">
        <v>0.98585179999999994</v>
      </c>
      <c r="S5833">
        <v>0.39546199999999998</v>
      </c>
      <c r="T5833">
        <v>7.9110620000000006E-2</v>
      </c>
      <c r="U5833">
        <v>3.0620729999999998</v>
      </c>
      <c r="V5833">
        <v>-6.7955039999999994E-2</v>
      </c>
      <c r="W5833">
        <v>0.16289120000000001</v>
      </c>
      <c r="X5833">
        <v>0.98430099999999998</v>
      </c>
      <c r="Y5833">
        <v>0.13660630000000001</v>
      </c>
      <c r="Z5833">
        <v>3.9562859999999998E-2</v>
      </c>
      <c r="AA5833">
        <v>0.98983509999999997</v>
      </c>
      <c r="AB5833">
        <v>36</v>
      </c>
      <c r="AC5833">
        <v>19.482599999999898</v>
      </c>
      <c r="AD5833">
        <v>3.8967480000000001</v>
      </c>
      <c r="AE5833">
        <v>150.45650000000001</v>
      </c>
      <c r="AF5833">
        <v>20.775209897617501</v>
      </c>
      <c r="AG5833">
        <v>3.8967480000000001</v>
      </c>
      <c r="AH5833">
        <v>150.18249393751501</v>
      </c>
      <c r="AI5833">
        <v>88.527707983845801</v>
      </c>
      <c r="AJ5833">
        <v>82.124081381876394</v>
      </c>
      <c r="AK5833">
        <v>151.662702984475</v>
      </c>
      <c r="AL5833">
        <v>80.625247637484094</v>
      </c>
      <c r="AM5833">
        <v>93.949369766547903</v>
      </c>
      <c r="AN5833">
        <v>0.99999994454991903</v>
      </c>
    </row>
    <row r="5834" spans="1:40" x14ac:dyDescent="0.25">
      <c r="A5834" t="str">
        <f>"20190304155533593"</f>
        <v>20190304155533593</v>
      </c>
      <c r="B5834" t="str">
        <f>"1551686133583320"</f>
        <v>1551686133583320</v>
      </c>
      <c r="C5834" t="s">
        <v>40</v>
      </c>
      <c r="D5834">
        <v>4.6069149999999999</v>
      </c>
      <c r="E5834">
        <v>0.57160509999999998</v>
      </c>
      <c r="F5834" t="s">
        <v>70</v>
      </c>
      <c r="G5834">
        <v>-168.41409999999999</v>
      </c>
      <c r="H5834">
        <v>5.106312</v>
      </c>
      <c r="I5834">
        <v>200.60820000000001</v>
      </c>
      <c r="J5834">
        <v>-187.8997</v>
      </c>
      <c r="K5834">
        <v>1.1101030000000001</v>
      </c>
      <c r="L5834">
        <v>50.951929999999997</v>
      </c>
      <c r="M5834">
        <v>-8.6009199999999997E-3</v>
      </c>
      <c r="N5834">
        <v>-1.4031500000000001E-2</v>
      </c>
      <c r="O5834">
        <v>0.99986459999999999</v>
      </c>
      <c r="P5834">
        <v>-7.5768429999999998E-2</v>
      </c>
      <c r="Q5834">
        <v>0.1496556</v>
      </c>
      <c r="R5834">
        <v>0.98583080000000001</v>
      </c>
      <c r="S5834">
        <v>0.39756770000000002</v>
      </c>
      <c r="T5834">
        <v>8.1549049999999998E-2</v>
      </c>
      <c r="U5834">
        <v>3.0615839999999999</v>
      </c>
      <c r="V5834">
        <v>-6.7256410000000003E-2</v>
      </c>
      <c r="W5834">
        <v>0.1634948</v>
      </c>
      <c r="X5834">
        <v>0.98424900000000004</v>
      </c>
      <c r="Y5834">
        <v>0.13720769999999999</v>
      </c>
      <c r="Z5834">
        <v>4.0420409999999997E-2</v>
      </c>
      <c r="AA5834">
        <v>0.98971719999999996</v>
      </c>
      <c r="AB5834">
        <v>36</v>
      </c>
      <c r="AC5834">
        <v>19.485600000000002</v>
      </c>
      <c r="AD5834">
        <v>3.9962089999999901</v>
      </c>
      <c r="AE5834">
        <v>149.65627000000001</v>
      </c>
      <c r="AF5834">
        <v>20.757633356957701</v>
      </c>
      <c r="AG5834">
        <v>3.9962089999999901</v>
      </c>
      <c r="AH5834">
        <v>149.37838733234801</v>
      </c>
      <c r="AI5834">
        <v>88.482151852050904</v>
      </c>
      <c r="AJ5834">
        <v>82.088835315496198</v>
      </c>
      <c r="AK5834">
        <v>150.86666838956401</v>
      </c>
      <c r="AL5834">
        <v>80.590194829671901</v>
      </c>
      <c r="AM5834">
        <v>93.909099607209001</v>
      </c>
      <c r="AN5834">
        <v>1.0000000341570601</v>
      </c>
    </row>
    <row r="5835" spans="1:40" x14ac:dyDescent="0.25">
      <c r="A5835" t="str">
        <f>"20190304155533617"</f>
        <v>20190304155533617</v>
      </c>
      <c r="B5835" t="str">
        <f>"1551686133613575"</f>
        <v>1551686133613575</v>
      </c>
      <c r="C5835" t="s">
        <v>40</v>
      </c>
      <c r="D5835">
        <v>4.5993639999999996</v>
      </c>
      <c r="E5835">
        <v>0.57725599999999999</v>
      </c>
      <c r="F5835" t="s">
        <v>46</v>
      </c>
      <c r="G5835">
        <v>-181.0625</v>
      </c>
      <c r="H5835" s="1">
        <v>-2.5749180000000002E-6</v>
      </c>
      <c r="I5835">
        <v>110.2265</v>
      </c>
      <c r="J5835">
        <v>-187.90280000000001</v>
      </c>
      <c r="K5835">
        <v>1.110088</v>
      </c>
      <c r="L5835">
        <v>51.320369999999997</v>
      </c>
      <c r="M5835">
        <v>-8.4790479999999994E-3</v>
      </c>
      <c r="N5835">
        <v>-1.409497E-2</v>
      </c>
      <c r="O5835">
        <v>0.99986470000000005</v>
      </c>
      <c r="P5835">
        <v>-7.4936630000000004E-2</v>
      </c>
      <c r="Q5835">
        <v>0.14982599999999999</v>
      </c>
      <c r="R5835">
        <v>0.98586850000000004</v>
      </c>
      <c r="S5835">
        <v>0.35517880000000002</v>
      </c>
      <c r="T5835">
        <v>-5.7667139999999999E-2</v>
      </c>
      <c r="U5835">
        <v>3.0791629999999999</v>
      </c>
      <c r="V5835">
        <v>-6.6533309999999998E-2</v>
      </c>
      <c r="W5835">
        <v>0.16373190000000001</v>
      </c>
      <c r="X5835">
        <v>0.98425870000000004</v>
      </c>
      <c r="Y5835">
        <v>0.1229799</v>
      </c>
      <c r="Z5835">
        <v>-4.4899759999999997E-3</v>
      </c>
      <c r="AA5835">
        <v>0.99239900000000003</v>
      </c>
      <c r="AB5835">
        <v>36</v>
      </c>
      <c r="AC5835">
        <v>6.8403000000000098</v>
      </c>
      <c r="AD5835">
        <v>-1.1100905749179999</v>
      </c>
      <c r="AE5835">
        <v>58.906129999999997</v>
      </c>
      <c r="AF5835">
        <v>7.3370006156246204</v>
      </c>
      <c r="AG5835">
        <v>-1.1100905749179999</v>
      </c>
      <c r="AH5835">
        <v>58.825393923865697</v>
      </c>
      <c r="AI5835">
        <v>91.072786840751107</v>
      </c>
      <c r="AJ5835">
        <v>82.890494888934896</v>
      </c>
      <c r="AK5835">
        <v>59.291574860313602</v>
      </c>
      <c r="AL5835">
        <v>80.576424137146603</v>
      </c>
      <c r="AM5835">
        <v>93.867161567155307</v>
      </c>
      <c r="AN5835">
        <v>1.00000000247142</v>
      </c>
    </row>
    <row r="5836" spans="1:40" x14ac:dyDescent="0.25">
      <c r="A5836" t="str">
        <f>"20190304155533642"</f>
        <v>20190304155533642</v>
      </c>
      <c r="B5836" t="str">
        <f>"1551686133634071"</f>
        <v>1551686133634071</v>
      </c>
      <c r="C5836" t="s">
        <v>40</v>
      </c>
      <c r="D5836">
        <v>4.648441</v>
      </c>
      <c r="E5836">
        <v>0.57869859999999995</v>
      </c>
      <c r="F5836" t="s">
        <v>62</v>
      </c>
      <c r="G5836">
        <v>-177.74379999999999</v>
      </c>
      <c r="H5836">
        <v>7.9987760000000005E-2</v>
      </c>
      <c r="I5836">
        <v>129.15940000000001</v>
      </c>
      <c r="J5836">
        <v>-187.90610000000001</v>
      </c>
      <c r="K5836">
        <v>1.110063</v>
      </c>
      <c r="L5836">
        <v>51.728789999999996</v>
      </c>
      <c r="M5836">
        <v>-8.2965469999999996E-3</v>
      </c>
      <c r="N5836">
        <v>-1.415923E-2</v>
      </c>
      <c r="O5836">
        <v>0.99986540000000002</v>
      </c>
      <c r="P5836">
        <v>-7.3816599999999996E-2</v>
      </c>
      <c r="Q5836">
        <v>0.1494769</v>
      </c>
      <c r="R5836">
        <v>0.98600600000000005</v>
      </c>
      <c r="S5836">
        <v>0.401947</v>
      </c>
      <c r="T5836">
        <v>-4.0756460000000001E-2</v>
      </c>
      <c r="U5836">
        <v>3.079742</v>
      </c>
      <c r="V5836">
        <v>-6.5577969999999999E-2</v>
      </c>
      <c r="W5836">
        <v>0.1634534</v>
      </c>
      <c r="X5836">
        <v>0.9843691</v>
      </c>
      <c r="Y5836">
        <v>0.13761229999999999</v>
      </c>
      <c r="Z5836">
        <v>1.0536110000000001E-3</v>
      </c>
      <c r="AA5836">
        <v>0.99048559999999997</v>
      </c>
      <c r="AB5836">
        <v>36</v>
      </c>
      <c r="AC5836">
        <v>10.1623</v>
      </c>
      <c r="AD5836">
        <v>-1.0300752399999999</v>
      </c>
      <c r="AE5836">
        <v>77.430610000000001</v>
      </c>
      <c r="AF5836">
        <v>10.802541822514</v>
      </c>
      <c r="AG5836">
        <v>-1.0300752399999999</v>
      </c>
      <c r="AH5836">
        <v>77.330170309579401</v>
      </c>
      <c r="AI5836">
        <v>90.7558241261316</v>
      </c>
      <c r="AJ5836">
        <v>82.047599604760705</v>
      </c>
      <c r="AK5836">
        <v>78.087842875416797</v>
      </c>
      <c r="AL5836">
        <v>80.592598938821794</v>
      </c>
      <c r="AM5836">
        <v>93.811372322445393</v>
      </c>
      <c r="AN5836">
        <v>1.0000000045778401</v>
      </c>
    </row>
    <row r="5837" spans="1:40" x14ac:dyDescent="0.25">
      <c r="A5837" t="str">
        <f>"20190304155533681"</f>
        <v>20190304155533681</v>
      </c>
      <c r="B5837" t="str">
        <f>"1551686133674087"</f>
        <v>1551686133674087</v>
      </c>
      <c r="C5837" t="s">
        <v>40</v>
      </c>
      <c r="D5837">
        <v>4.6184710000000004</v>
      </c>
      <c r="E5837">
        <v>0.57995769999999902</v>
      </c>
      <c r="F5837" t="s">
        <v>62</v>
      </c>
      <c r="G5837">
        <v>-176.39189999999999</v>
      </c>
      <c r="H5837" s="1">
        <v>-5.7261339999999998E-6</v>
      </c>
      <c r="I5837">
        <v>136.80590000000001</v>
      </c>
      <c r="J5837">
        <v>-187.9109</v>
      </c>
      <c r="K5837">
        <v>1.1100139999999901</v>
      </c>
      <c r="L5837">
        <v>52.365810000000003</v>
      </c>
      <c r="M5837">
        <v>-7.9096679999999999E-3</v>
      </c>
      <c r="N5837">
        <v>-1.424344E-2</v>
      </c>
      <c r="O5837">
        <v>0.99986730000000001</v>
      </c>
      <c r="P5837">
        <v>-7.107977E-2</v>
      </c>
      <c r="Q5837">
        <v>0.14898129999999901</v>
      </c>
      <c r="R5837">
        <v>0.98628210000000005</v>
      </c>
      <c r="S5837">
        <v>0.41682429999999898</v>
      </c>
      <c r="T5837">
        <v>-4.0185449999999998E-2</v>
      </c>
      <c r="U5837">
        <v>3.0798649999999999</v>
      </c>
      <c r="V5837">
        <v>-6.3198509999999999E-2</v>
      </c>
      <c r="W5837">
        <v>0.16305159999999999</v>
      </c>
      <c r="X5837">
        <v>0.98459140000000001</v>
      </c>
      <c r="Y5837">
        <v>0.1419232</v>
      </c>
      <c r="Z5837">
        <v>1.3299830000000001E-3</v>
      </c>
      <c r="AA5837">
        <v>0.9898768</v>
      </c>
      <c r="AB5837">
        <v>36</v>
      </c>
      <c r="AC5837">
        <v>11.519</v>
      </c>
      <c r="AD5837">
        <v>-1.1100197261339999</v>
      </c>
      <c r="AE5837">
        <v>84.440089999999998</v>
      </c>
      <c r="AF5837">
        <v>12.184533291653199</v>
      </c>
      <c r="AG5837">
        <v>-1.1100197261339999</v>
      </c>
      <c r="AH5837">
        <v>84.332020301005599</v>
      </c>
      <c r="AI5837">
        <v>90.746362670069502</v>
      </c>
      <c r="AJ5837">
        <v>81.778633494272697</v>
      </c>
      <c r="AK5837">
        <v>85.2149320446659</v>
      </c>
      <c r="AL5837">
        <v>80.615933865443594</v>
      </c>
      <c r="AM5837">
        <v>93.672637451963993</v>
      </c>
      <c r="AN5837">
        <v>1.00000005044136</v>
      </c>
    </row>
    <row r="5838" spans="1:40" x14ac:dyDescent="0.25">
      <c r="A5838" t="str">
        <f>"20190304155533703"</f>
        <v>20190304155533703</v>
      </c>
      <c r="B5838" t="str">
        <f>"1551686133693607"</f>
        <v>1551686133693607</v>
      </c>
      <c r="C5838" t="s">
        <v>40</v>
      </c>
      <c r="D5838">
        <v>4.6082460000000003</v>
      </c>
      <c r="E5838">
        <v>0.58025389999999999</v>
      </c>
      <c r="F5838" t="s">
        <v>62</v>
      </c>
      <c r="G5838">
        <v>-177.48820000000001</v>
      </c>
      <c r="H5838">
        <v>7.9988290000000004E-2</v>
      </c>
      <c r="I5838">
        <v>126.15600000000001</v>
      </c>
      <c r="J5838">
        <v>-187.9134</v>
      </c>
      <c r="K5838">
        <v>1.109993</v>
      </c>
      <c r="L5838">
        <v>52.714019999999998</v>
      </c>
      <c r="M5838">
        <v>-7.6558340000000003E-3</v>
      </c>
      <c r="N5838">
        <v>-1.428194E-2</v>
      </c>
      <c r="O5838">
        <v>0.99986870000000005</v>
      </c>
      <c r="P5838">
        <v>-6.9325150000000002E-2</v>
      </c>
      <c r="Q5838">
        <v>0.14862500000000001</v>
      </c>
      <c r="R5838">
        <v>0.98646060000000002</v>
      </c>
      <c r="S5838">
        <v>0.43498229999999999</v>
      </c>
      <c r="T5838">
        <v>-4.2987110000000002E-2</v>
      </c>
      <c r="U5838">
        <v>3.0795590000000002</v>
      </c>
      <c r="V5838">
        <v>-6.1682870000000001E-2</v>
      </c>
      <c r="W5838">
        <v>0.16273879999999999</v>
      </c>
      <c r="X5838">
        <v>0.98473920000000004</v>
      </c>
      <c r="Y5838">
        <v>0.14740780000000001</v>
      </c>
      <c r="Z5838">
        <v>4.7755870000000002E-4</v>
      </c>
      <c r="AA5838">
        <v>0.9890757</v>
      </c>
      <c r="AB5838">
        <v>36</v>
      </c>
      <c r="AC5838">
        <v>10.425199999999901</v>
      </c>
      <c r="AD5838">
        <v>-1.03000471</v>
      </c>
      <c r="AE5838">
        <v>73.441980000000001</v>
      </c>
      <c r="AF5838">
        <v>10.9850933557089</v>
      </c>
      <c r="AG5838">
        <v>-1.03000471</v>
      </c>
      <c r="AH5838">
        <v>73.345863819441803</v>
      </c>
      <c r="AI5838">
        <v>90.795685066220202</v>
      </c>
      <c r="AJ5838">
        <v>81.482059204797196</v>
      </c>
      <c r="AK5838">
        <v>74.171078764949698</v>
      </c>
      <c r="AL5838">
        <v>80.634098058761396</v>
      </c>
      <c r="AM5838">
        <v>93.584255332570507</v>
      </c>
      <c r="AN5838">
        <v>0.99999999274675799</v>
      </c>
    </row>
    <row r="5839" spans="1:40" x14ac:dyDescent="0.25">
      <c r="A5839" t="str">
        <f>"20190304155533725"</f>
        <v>20190304155533725</v>
      </c>
      <c r="B5839" t="str">
        <f>"1551686133714103"</f>
        <v>1551686133714103</v>
      </c>
      <c r="C5839" t="s">
        <v>40</v>
      </c>
      <c r="D5839">
        <v>4.6945209999999999</v>
      </c>
      <c r="E5839">
        <v>0.57992880000000002</v>
      </c>
      <c r="F5839" t="s">
        <v>62</v>
      </c>
      <c r="G5839">
        <v>-178.01249999999999</v>
      </c>
      <c r="H5839">
        <v>7.9988359999999994E-2</v>
      </c>
      <c r="I5839">
        <v>121.5729</v>
      </c>
      <c r="J5839">
        <v>-187.91579999999999</v>
      </c>
      <c r="K5839">
        <v>1.109964</v>
      </c>
      <c r="L5839">
        <v>53.062899999999999</v>
      </c>
      <c r="M5839">
        <v>-7.3784929999999999E-3</v>
      </c>
      <c r="N5839">
        <v>-1.4315680000000001E-2</v>
      </c>
      <c r="O5839">
        <v>0.99987029999999999</v>
      </c>
      <c r="P5839">
        <v>-6.7438449999999997E-2</v>
      </c>
      <c r="Q5839">
        <v>0.14861379999999999</v>
      </c>
      <c r="R5839">
        <v>0.9865931</v>
      </c>
      <c r="S5839">
        <v>0.442749</v>
      </c>
      <c r="T5839">
        <v>-4.6059610000000001E-2</v>
      </c>
      <c r="U5839">
        <v>3.079224</v>
      </c>
      <c r="V5839">
        <v>-6.0060189999999999E-2</v>
      </c>
      <c r="W5839">
        <v>0.16276470000000001</v>
      </c>
      <c r="X5839">
        <v>0.98483520000000002</v>
      </c>
      <c r="Y5839">
        <v>0.14959149999999999</v>
      </c>
      <c r="Z5839">
        <v>-4.7252150000000001E-4</v>
      </c>
      <c r="AA5839">
        <v>0.98874779999999995</v>
      </c>
      <c r="AB5839">
        <v>36</v>
      </c>
      <c r="AC5839">
        <v>9.9032999999999998</v>
      </c>
      <c r="AD5839">
        <v>-1.02997564</v>
      </c>
      <c r="AE5839">
        <v>68.510000000000005</v>
      </c>
      <c r="AF5839">
        <v>10.406278843237001</v>
      </c>
      <c r="AG5839">
        <v>-1.02997564</v>
      </c>
      <c r="AH5839">
        <v>68.419908040543007</v>
      </c>
      <c r="AI5839">
        <v>90.852646591274606</v>
      </c>
      <c r="AJ5839">
        <v>81.351915839534797</v>
      </c>
      <c r="AK5839">
        <v>69.214415445473193</v>
      </c>
      <c r="AL5839">
        <v>80.632593854454001</v>
      </c>
      <c r="AM5839">
        <v>93.489861822316499</v>
      </c>
      <c r="AN5839">
        <v>0.99999997257398199</v>
      </c>
    </row>
    <row r="5840" spans="1:40" x14ac:dyDescent="0.25">
      <c r="A5840" t="str">
        <f>"20190304155533748"</f>
        <v>20190304155533748</v>
      </c>
      <c r="B5840" t="str">
        <f>"1551686133743383"</f>
        <v>1551686133743383</v>
      </c>
      <c r="C5840" t="s">
        <v>40</v>
      </c>
      <c r="D5840">
        <v>4.7315050000000003</v>
      </c>
      <c r="E5840">
        <v>0.57961949999999995</v>
      </c>
      <c r="F5840" t="s">
        <v>62</v>
      </c>
      <c r="G5840">
        <v>-178.2483</v>
      </c>
      <c r="H5840">
        <v>7.9988450000000003E-2</v>
      </c>
      <c r="I5840">
        <v>119.7341</v>
      </c>
      <c r="J5840">
        <v>-187.91820000000001</v>
      </c>
      <c r="K5840">
        <v>1.10995</v>
      </c>
      <c r="L5840">
        <v>53.420499999999997</v>
      </c>
      <c r="M5840">
        <v>-7.0708610000000003E-3</v>
      </c>
      <c r="N5840">
        <v>-1.434565E-2</v>
      </c>
      <c r="O5840">
        <v>0.99987210000000004</v>
      </c>
      <c r="P5840">
        <v>-6.5705769999999997E-2</v>
      </c>
      <c r="Q5840">
        <v>0.14898629999999999</v>
      </c>
      <c r="R5840">
        <v>0.98665389999999997</v>
      </c>
      <c r="S5840">
        <v>0.44638060000000002</v>
      </c>
      <c r="T5840">
        <v>-4.7557349999999998E-2</v>
      </c>
      <c r="U5840">
        <v>3.07843</v>
      </c>
      <c r="V5840">
        <v>-5.8621979999999997E-2</v>
      </c>
      <c r="W5840">
        <v>0.16316919999999999</v>
      </c>
      <c r="X5840">
        <v>0.98485489999999998</v>
      </c>
      <c r="Y5840">
        <v>0.15046479999999901</v>
      </c>
      <c r="Z5840">
        <v>-9.2550049999999995E-4</v>
      </c>
      <c r="AA5840">
        <v>0.98861489999999996</v>
      </c>
      <c r="AB5840">
        <v>35</v>
      </c>
      <c r="AC5840">
        <v>9.6699000000000108</v>
      </c>
      <c r="AD5840">
        <v>-1.0299615499999999</v>
      </c>
      <c r="AE5840">
        <v>66.313599999999994</v>
      </c>
      <c r="AF5840">
        <v>10.136206438535799</v>
      </c>
      <c r="AG5840">
        <v>-1.0299615499999999</v>
      </c>
      <c r="AH5840">
        <v>66.227916620638794</v>
      </c>
      <c r="AI5840">
        <v>90.880725270079594</v>
      </c>
      <c r="AJ5840">
        <v>81.298384486531901</v>
      </c>
      <c r="AK5840">
        <v>67.007017853873904</v>
      </c>
      <c r="AL5840">
        <v>80.609103461742194</v>
      </c>
      <c r="AM5840">
        <v>93.406424306944302</v>
      </c>
      <c r="AN5840">
        <v>0.99999994921088298</v>
      </c>
    </row>
    <row r="5841" spans="1:40" x14ac:dyDescent="0.25">
      <c r="A5841" t="str">
        <f>"20190304155533768"</f>
        <v>20190304155533768</v>
      </c>
      <c r="B5841" t="str">
        <f>"1551686133763879"</f>
        <v>1551686133763879</v>
      </c>
      <c r="C5841" t="s">
        <v>40</v>
      </c>
      <c r="D5841">
        <v>4.7363299999999997</v>
      </c>
      <c r="E5841">
        <v>0.57923979999999997</v>
      </c>
      <c r="F5841" t="s">
        <v>46</v>
      </c>
      <c r="G5841">
        <v>-178.9332</v>
      </c>
      <c r="H5841">
        <v>7.9985520000000004E-2</v>
      </c>
      <c r="I5841">
        <v>114.9855</v>
      </c>
      <c r="J5841">
        <v>-187.92019999999999</v>
      </c>
      <c r="K5841">
        <v>1.109937</v>
      </c>
      <c r="L5841">
        <v>53.748379999999997</v>
      </c>
      <c r="M5841">
        <v>-6.7719149999999999E-3</v>
      </c>
      <c r="N5841">
        <v>-1.437103E-2</v>
      </c>
      <c r="O5841">
        <v>0.99987380000000003</v>
      </c>
      <c r="P5841">
        <v>-6.4259129999999998E-2</v>
      </c>
      <c r="Q5841">
        <v>0.14924970000000001</v>
      </c>
      <c r="R5841">
        <v>0.98670930000000001</v>
      </c>
      <c r="S5841">
        <v>0.44924930000000002</v>
      </c>
      <c r="T5841">
        <v>-5.149865E-2</v>
      </c>
      <c r="U5841">
        <v>3.0782780000000001</v>
      </c>
      <c r="V5841">
        <v>-5.7462470000000002E-2</v>
      </c>
      <c r="W5841">
        <v>0.16345999999999999</v>
      </c>
      <c r="X5841">
        <v>0.9848751</v>
      </c>
      <c r="Y5841">
        <v>0.1510765</v>
      </c>
      <c r="Z5841">
        <v>-2.165372E-3</v>
      </c>
      <c r="AA5841">
        <v>0.9885197</v>
      </c>
      <c r="AB5841">
        <v>35</v>
      </c>
      <c r="AC5841">
        <v>8.9869999999999894</v>
      </c>
      <c r="AD5841">
        <v>-1.02995148</v>
      </c>
      <c r="AE5841">
        <v>61.237119999999997</v>
      </c>
      <c r="AF5841">
        <v>9.39892656629854</v>
      </c>
      <c r="AG5841">
        <v>-1.02995148</v>
      </c>
      <c r="AH5841">
        <v>61.157914411209397</v>
      </c>
      <c r="AI5841">
        <v>90.953624886607201</v>
      </c>
      <c r="AJ5841">
        <v>81.262974602605098</v>
      </c>
      <c r="AK5841">
        <v>61.884498186368504</v>
      </c>
      <c r="AL5841">
        <v>80.592215918573302</v>
      </c>
      <c r="AM5841">
        <v>93.339132801515007</v>
      </c>
      <c r="AN5841">
        <v>1.0000000348292499</v>
      </c>
    </row>
    <row r="5842" spans="1:40" x14ac:dyDescent="0.25">
      <c r="A5842" t="str">
        <f>"20190304155533815"</f>
        <v>20190304155533815</v>
      </c>
      <c r="B5842" t="str">
        <f>"1551686133803895"</f>
        <v>1551686133803895</v>
      </c>
      <c r="C5842" t="s">
        <v>40</v>
      </c>
      <c r="D5842">
        <v>4.7538400000000003</v>
      </c>
      <c r="E5842">
        <v>0.57903899999999997</v>
      </c>
      <c r="F5842" t="s">
        <v>46</v>
      </c>
      <c r="G5842">
        <v>-179.35299999999901</v>
      </c>
      <c r="H5842">
        <v>7.9986150000000006E-2</v>
      </c>
      <c r="I5842">
        <v>112.22669999999999</v>
      </c>
      <c r="J5842">
        <v>-187.92429999999999</v>
      </c>
      <c r="K5842">
        <v>1.1099239999999999</v>
      </c>
      <c r="L5842">
        <v>54.47739</v>
      </c>
      <c r="M5842">
        <v>-6.0639149999999996E-3</v>
      </c>
      <c r="N5842">
        <v>-1.4429020000000001E-2</v>
      </c>
      <c r="O5842">
        <v>0.99987749999999997</v>
      </c>
      <c r="P5842">
        <v>-6.169293E-2</v>
      </c>
      <c r="Q5842">
        <v>0.1494103</v>
      </c>
      <c r="R5842">
        <v>0.98684879999999997</v>
      </c>
      <c r="S5842">
        <v>0.45092769999999999</v>
      </c>
      <c r="T5842">
        <v>-5.4210899999999999E-2</v>
      </c>
      <c r="U5842">
        <v>3.0779719999999999</v>
      </c>
      <c r="V5842">
        <v>-5.5580379999999999E-2</v>
      </c>
      <c r="W5842">
        <v>0.16368199999999999</v>
      </c>
      <c r="X5842">
        <v>0.98494619999999999</v>
      </c>
      <c r="Y5842">
        <v>0.15091689999999999</v>
      </c>
      <c r="Z5842">
        <v>-2.9805610000000001E-3</v>
      </c>
      <c r="AA5842">
        <v>0.98854200000000003</v>
      </c>
      <c r="AB5842">
        <v>35</v>
      </c>
      <c r="AC5842">
        <v>8.5713000000000008</v>
      </c>
      <c r="AD5842">
        <v>-1.0299378499999901</v>
      </c>
      <c r="AE5842">
        <v>57.749310000000001</v>
      </c>
      <c r="AF5842">
        <v>8.9185901191951693</v>
      </c>
      <c r="AG5842">
        <v>-1.0299378499999901</v>
      </c>
      <c r="AH5842">
        <v>57.678316423819702</v>
      </c>
      <c r="AI5842">
        <v>91.010986256892096</v>
      </c>
      <c r="AJ5842">
        <v>81.210171990261301</v>
      </c>
      <c r="AK5842">
        <v>58.372855054171701</v>
      </c>
      <c r="AL5842">
        <v>80.579322237165698</v>
      </c>
      <c r="AM5842">
        <v>93.229767730415702</v>
      </c>
      <c r="AN5842">
        <v>0.99999999632969205</v>
      </c>
    </row>
    <row r="5843" spans="1:40" x14ac:dyDescent="0.25">
      <c r="A5843" t="str">
        <f>"20190304155533859"</f>
        <v>20190304155533859</v>
      </c>
      <c r="B5843" t="str">
        <f>"1551686133853671"</f>
        <v>1551686133853671</v>
      </c>
      <c r="C5843" t="s">
        <v>40</v>
      </c>
      <c r="D5843">
        <v>4.7474730000000003</v>
      </c>
      <c r="E5843">
        <v>0.57797980000000004</v>
      </c>
      <c r="F5843" t="s">
        <v>46</v>
      </c>
      <c r="G5843">
        <v>-179.47640000000001</v>
      </c>
      <c r="H5843">
        <v>7.9985870000000001E-2</v>
      </c>
      <c r="I5843">
        <v>111.3248</v>
      </c>
      <c r="J5843">
        <v>-187.92760000000001</v>
      </c>
      <c r="K5843">
        <v>1.1099060000000001</v>
      </c>
      <c r="L5843">
        <v>55.1682699999999</v>
      </c>
      <c r="M5843">
        <v>-5.3476950000000004E-3</v>
      </c>
      <c r="N5843">
        <v>-1.44768E-2</v>
      </c>
      <c r="O5843">
        <v>0.99988089999999996</v>
      </c>
      <c r="P5843">
        <v>-5.9942589999999997E-2</v>
      </c>
      <c r="Q5843">
        <v>0.149946</v>
      </c>
      <c r="R5843">
        <v>0.98687539999999996</v>
      </c>
      <c r="S5843">
        <v>0.4572601</v>
      </c>
      <c r="T5843">
        <v>-5.5747749999999999E-2</v>
      </c>
      <c r="U5843">
        <v>3.0769959999999998</v>
      </c>
      <c r="V5843">
        <v>-5.452622E-2</v>
      </c>
      <c r="W5843">
        <v>0.16426760000000001</v>
      </c>
      <c r="X5843">
        <v>0.98490759999999999</v>
      </c>
      <c r="Y5843">
        <v>0.1522435</v>
      </c>
      <c r="Z5843">
        <v>-3.4282869999999999E-3</v>
      </c>
      <c r="AA5843">
        <v>0.98833700000000002</v>
      </c>
      <c r="AB5843">
        <v>35</v>
      </c>
      <c r="AC5843">
        <v>8.4512</v>
      </c>
      <c r="AD5843">
        <v>-1.02992013</v>
      </c>
      <c r="AE5843">
        <v>56.156529999999997</v>
      </c>
      <c r="AF5843">
        <v>8.7485410972083493</v>
      </c>
      <c r="AG5843">
        <v>-1.02992013</v>
      </c>
      <c r="AH5843">
        <v>56.092078291068198</v>
      </c>
      <c r="AI5843">
        <v>91.039340712137999</v>
      </c>
      <c r="AJ5843">
        <v>81.135141961235604</v>
      </c>
      <c r="AK5843">
        <v>56.779564579301301</v>
      </c>
      <c r="AL5843">
        <v>80.545309167194105</v>
      </c>
      <c r="AM5843">
        <v>93.168760604834105</v>
      </c>
      <c r="AN5843">
        <v>0.99999996680750303</v>
      </c>
    </row>
    <row r="5844" spans="1:40" x14ac:dyDescent="0.25">
      <c r="A5844" t="str">
        <f>"20190304155533881"</f>
        <v>20190304155533881</v>
      </c>
      <c r="B5844" t="str">
        <f>"1551686133873191"</f>
        <v>1551686133873191</v>
      </c>
      <c r="C5844" t="s">
        <v>40</v>
      </c>
      <c r="D5844">
        <v>4.7277950000000004</v>
      </c>
      <c r="E5844">
        <v>0.57766459999999997</v>
      </c>
      <c r="F5844" t="s">
        <v>46</v>
      </c>
      <c r="G5844">
        <v>-179.2954</v>
      </c>
      <c r="H5844">
        <v>7.9986559999999998E-2</v>
      </c>
      <c r="I5844">
        <v>113.5913</v>
      </c>
      <c r="J5844">
        <v>-187.92910000000001</v>
      </c>
      <c r="K5844">
        <v>1.109904</v>
      </c>
      <c r="L5844">
        <v>55.514130000000002</v>
      </c>
      <c r="M5844">
        <v>-4.9758909999999996E-3</v>
      </c>
      <c r="N5844">
        <v>-1.449873E-2</v>
      </c>
      <c r="O5844">
        <v>0.99988250000000001</v>
      </c>
      <c r="P5844">
        <v>-5.9849769999999997E-2</v>
      </c>
      <c r="Q5844">
        <v>0.14982470000000001</v>
      </c>
      <c r="R5844">
        <v>0.98689950000000004</v>
      </c>
      <c r="S5844">
        <v>0.45445249999999998</v>
      </c>
      <c r="T5844">
        <v>-5.4221270000000002E-2</v>
      </c>
      <c r="U5844">
        <v>3.075745</v>
      </c>
      <c r="V5844">
        <v>-5.4796230000000001E-2</v>
      </c>
      <c r="W5844">
        <v>0.16416929999999999</v>
      </c>
      <c r="X5844">
        <v>0.98490909999999998</v>
      </c>
      <c r="Y5844">
        <v>0.15105250000000001</v>
      </c>
      <c r="Z5844">
        <v>-2.9262559999999999E-3</v>
      </c>
      <c r="AA5844">
        <v>0.98852139999999999</v>
      </c>
      <c r="AB5844">
        <v>35</v>
      </c>
      <c r="AC5844">
        <v>8.6336999999999993</v>
      </c>
      <c r="AD5844">
        <v>-1.02991744</v>
      </c>
      <c r="AE5844">
        <v>58.077169999999903</v>
      </c>
      <c r="AF5844">
        <v>8.9198646691033705</v>
      </c>
      <c r="AG5844">
        <v>-1.02991744</v>
      </c>
      <c r="AH5844">
        <v>58.015635685695301</v>
      </c>
      <c r="AI5844">
        <v>91.005222140598207</v>
      </c>
      <c r="AJ5844">
        <v>81.259257577226606</v>
      </c>
      <c r="AK5844">
        <v>58.706376993165399</v>
      </c>
      <c r="AL5844">
        <v>80.551019751404198</v>
      </c>
      <c r="AM5844">
        <v>93.184415029732094</v>
      </c>
      <c r="AN5844">
        <v>1.00000006057375</v>
      </c>
    </row>
    <row r="5845" spans="1:40" x14ac:dyDescent="0.25">
      <c r="A5845" t="str">
        <f>"20190304155533905"</f>
        <v>20190304155533905</v>
      </c>
      <c r="B5845" t="str">
        <f>"1551686133893687"</f>
        <v>1551686133893687</v>
      </c>
      <c r="C5845" t="s">
        <v>40</v>
      </c>
      <c r="D5845">
        <v>4.7679280000000004</v>
      </c>
      <c r="E5845">
        <v>0.57744629999999997</v>
      </c>
      <c r="F5845" t="s">
        <v>46</v>
      </c>
      <c r="G5845">
        <v>-179.6643</v>
      </c>
      <c r="H5845">
        <v>7.9985959999999995E-2</v>
      </c>
      <c r="I5845">
        <v>111.6922</v>
      </c>
      <c r="J5845">
        <v>-187.9306</v>
      </c>
      <c r="K5845">
        <v>1.1098980000000001</v>
      </c>
      <c r="L5845">
        <v>55.890590000000003</v>
      </c>
      <c r="M5845">
        <v>-4.5588219999999997E-3</v>
      </c>
      <c r="N5845">
        <v>-1.4520170000000001E-2</v>
      </c>
      <c r="O5845">
        <v>0.9998842</v>
      </c>
      <c r="P5845">
        <v>-5.9633720000000001E-2</v>
      </c>
      <c r="Q5845">
        <v>0.14991309999999999</v>
      </c>
      <c r="R5845">
        <v>0.98689910000000003</v>
      </c>
      <c r="S5845">
        <v>0.45251459999999999</v>
      </c>
      <c r="T5845">
        <v>-5.638957E-2</v>
      </c>
      <c r="U5845">
        <v>3.0758359999999998</v>
      </c>
      <c r="V5845">
        <v>-5.4987769999999998E-2</v>
      </c>
      <c r="W5845">
        <v>0.16427990000000001</v>
      </c>
      <c r="X5845">
        <v>0.98487990000000003</v>
      </c>
      <c r="Y5845">
        <v>0.1500254</v>
      </c>
      <c r="Z5845">
        <v>-3.6039470000000001E-3</v>
      </c>
      <c r="AA5845">
        <v>0.98867559999999999</v>
      </c>
      <c r="AB5845">
        <v>35</v>
      </c>
      <c r="AC5845">
        <v>8.2662999999999993</v>
      </c>
      <c r="AD5845">
        <v>-1.0299120399999999</v>
      </c>
      <c r="AE5845">
        <v>55.801609999999997</v>
      </c>
      <c r="AF5845">
        <v>8.5177912392151391</v>
      </c>
      <c r="AG5845">
        <v>-1.0299120399999999</v>
      </c>
      <c r="AH5845">
        <v>55.744759837281798</v>
      </c>
      <c r="AI5845">
        <v>91.046306225639995</v>
      </c>
      <c r="AJ5845">
        <v>81.312409323438899</v>
      </c>
      <c r="AK5845">
        <v>56.401167857777601</v>
      </c>
      <c r="AL5845">
        <v>80.544594838682301</v>
      </c>
      <c r="AM5845">
        <v>93.195617656735493</v>
      </c>
      <c r="AN5845">
        <v>0.99999997890879599</v>
      </c>
    </row>
    <row r="5846" spans="1:40" x14ac:dyDescent="0.25">
      <c r="A5846" t="str">
        <f>"20190304155533926"</f>
        <v>20190304155533926</v>
      </c>
      <c r="B5846" t="str">
        <f>"1551686133923552"</f>
        <v>1551686133923552</v>
      </c>
      <c r="C5846" t="s">
        <v>40</v>
      </c>
      <c r="D5846">
        <v>4.7548079999999997</v>
      </c>
      <c r="E5846">
        <v>0.57624750000000002</v>
      </c>
      <c r="F5846" t="s">
        <v>46</v>
      </c>
      <c r="G5846">
        <v>-179.81960000000001</v>
      </c>
      <c r="H5846">
        <v>7.9985799999999996E-2</v>
      </c>
      <c r="I5846">
        <v>111.1123</v>
      </c>
      <c r="J5846">
        <v>-187.93170000000001</v>
      </c>
      <c r="K5846">
        <v>1.10989</v>
      </c>
      <c r="L5846">
        <v>56.221310000000003</v>
      </c>
      <c r="M5846">
        <v>-4.1824790000000002E-3</v>
      </c>
      <c r="N5846">
        <v>-1.4536739999999999E-2</v>
      </c>
      <c r="O5846">
        <v>0.99988560000000004</v>
      </c>
      <c r="P5846">
        <v>-6.0011040000000002E-2</v>
      </c>
      <c r="Q5846">
        <v>0.15043619999999999</v>
      </c>
      <c r="R5846">
        <v>0.98679669999999997</v>
      </c>
      <c r="S5846">
        <v>0.45178220000000002</v>
      </c>
      <c r="T5846">
        <v>-5.7365890000000003E-2</v>
      </c>
      <c r="U5846">
        <v>3.0758359999999998</v>
      </c>
      <c r="V5846">
        <v>-5.5732179999999999E-2</v>
      </c>
      <c r="W5846">
        <v>0.16481989999999999</v>
      </c>
      <c r="X5846">
        <v>0.98474790000000001</v>
      </c>
      <c r="Y5846">
        <v>0.14942239999999901</v>
      </c>
      <c r="Z5846">
        <v>-3.9028040000000002E-3</v>
      </c>
      <c r="AA5846">
        <v>0.98876580000000003</v>
      </c>
      <c r="AB5846">
        <v>35</v>
      </c>
      <c r="AC5846">
        <v>8.1120999999999892</v>
      </c>
      <c r="AD5846">
        <v>-1.0299042</v>
      </c>
      <c r="AE5846">
        <v>54.890990000000002</v>
      </c>
      <c r="AF5846">
        <v>8.3387608731347793</v>
      </c>
      <c r="AG5846">
        <v>-1.0299042</v>
      </c>
      <c r="AH5846">
        <v>54.837685100208198</v>
      </c>
      <c r="AI5846">
        <v>91.063718020305004</v>
      </c>
      <c r="AJ5846">
        <v>81.353691836283502</v>
      </c>
      <c r="AK5846">
        <v>55.477629209530001</v>
      </c>
      <c r="AL5846">
        <v>80.513228231142804</v>
      </c>
      <c r="AM5846">
        <v>93.239220821747196</v>
      </c>
      <c r="AN5846">
        <v>1.0000000509389799</v>
      </c>
    </row>
    <row r="5847" spans="1:40" x14ac:dyDescent="0.25">
      <c r="A5847" t="str">
        <f>"20190304155533947"</f>
        <v>20190304155533947</v>
      </c>
      <c r="B5847" t="str">
        <f>"1551686133944048"</f>
        <v>1551686133944048</v>
      </c>
      <c r="C5847" t="s">
        <v>40</v>
      </c>
      <c r="D5847">
        <v>4.7542289999999996</v>
      </c>
      <c r="E5847">
        <v>0.5167235</v>
      </c>
      <c r="F5847" t="s">
        <v>62</v>
      </c>
      <c r="G5847">
        <v>-178.53110000000001</v>
      </c>
      <c r="H5847">
        <v>7.9988439999999994E-2</v>
      </c>
      <c r="I5847">
        <v>121.765</v>
      </c>
      <c r="J5847">
        <v>-187.93270000000001</v>
      </c>
      <c r="K5847">
        <v>1.109882</v>
      </c>
      <c r="L5847">
        <v>56.561100000000003</v>
      </c>
      <c r="M5847">
        <v>-3.7875029999999998E-3</v>
      </c>
      <c r="N5847">
        <v>-1.455158E-2</v>
      </c>
      <c r="O5847">
        <v>0.99988690000000002</v>
      </c>
      <c r="P5847">
        <v>-6.0355979999999997E-2</v>
      </c>
      <c r="Q5847">
        <v>0.15062429999999999</v>
      </c>
      <c r="R5847">
        <v>0.98674689999999998</v>
      </c>
      <c r="S5847">
        <v>0.44093320000000003</v>
      </c>
      <c r="T5847">
        <v>-4.8307299999999997E-2</v>
      </c>
      <c r="U5847">
        <v>3.0743100000000001</v>
      </c>
      <c r="V5847">
        <v>-5.646321E-2</v>
      </c>
      <c r="W5847">
        <v>0.16502349999999999</v>
      </c>
      <c r="X5847">
        <v>0.98467210000000005</v>
      </c>
      <c r="Y5847">
        <v>0.14568900000000001</v>
      </c>
      <c r="Z5847">
        <v>-9.923836000000001E-4</v>
      </c>
      <c r="AA5847">
        <v>0.98932989999999998</v>
      </c>
      <c r="AB5847">
        <v>35</v>
      </c>
      <c r="AC5847">
        <v>9.4016000000000002</v>
      </c>
      <c r="AD5847">
        <v>-1.0298935600000001</v>
      </c>
      <c r="AE5847">
        <v>65.203900000000004</v>
      </c>
      <c r="AF5847">
        <v>9.6461611597183605</v>
      </c>
      <c r="AG5847">
        <v>-1.0298935600000001</v>
      </c>
      <c r="AH5847">
        <v>65.151896738302696</v>
      </c>
      <c r="AI5847">
        <v>90.8958677726704</v>
      </c>
      <c r="AJ5847">
        <v>81.578169875099704</v>
      </c>
      <c r="AK5847">
        <v>65.870165890656807</v>
      </c>
      <c r="AL5847">
        <v>80.501400338416502</v>
      </c>
      <c r="AM5847">
        <v>93.281868964435503</v>
      </c>
      <c r="AN5847">
        <v>0.99999999707708198</v>
      </c>
    </row>
    <row r="5848" spans="1:40" x14ac:dyDescent="0.25">
      <c r="A5848" t="str">
        <f>"20190304155533971"</f>
        <v>20190304155533971</v>
      </c>
      <c r="B5848" t="str">
        <f>"1551686133963568"</f>
        <v>1551686133963568</v>
      </c>
      <c r="C5848" t="s">
        <v>40</v>
      </c>
      <c r="D5848">
        <v>4.6830980000000002</v>
      </c>
      <c r="E5848">
        <v>0.51491390000000004</v>
      </c>
      <c r="F5848" t="s">
        <v>46</v>
      </c>
      <c r="G5848">
        <v>-188.1994</v>
      </c>
      <c r="H5848" s="1">
        <v>-1.3634890000000001E-6</v>
      </c>
      <c r="I5848">
        <v>82.066590000000005</v>
      </c>
      <c r="J5848">
        <v>-187.93369999999999</v>
      </c>
      <c r="K5848">
        <v>1.109874</v>
      </c>
      <c r="L5848">
        <v>56.925170000000001</v>
      </c>
      <c r="M5848">
        <v>-3.3540919999999999E-3</v>
      </c>
      <c r="N5848">
        <v>-1.4565150000000001E-2</v>
      </c>
      <c r="O5848">
        <v>0.99988829999999995</v>
      </c>
      <c r="P5848">
        <v>-6.0913059999999998E-2</v>
      </c>
      <c r="Q5848">
        <v>0.1505647</v>
      </c>
      <c r="R5848">
        <v>0.98672179999999998</v>
      </c>
      <c r="S5848">
        <v>-3.1982419999999998E-2</v>
      </c>
      <c r="T5848">
        <v>-0.13309879999999999</v>
      </c>
      <c r="U5848">
        <v>3.0586549999999999</v>
      </c>
      <c r="V5848">
        <v>-5.7444460000000003E-2</v>
      </c>
      <c r="W5848">
        <v>0.16497879999999901</v>
      </c>
      <c r="X5848">
        <v>0.98462280000000002</v>
      </c>
      <c r="Y5848">
        <v>-7.0940999999999999E-3</v>
      </c>
      <c r="Z5848">
        <v>-2.8916509999999999E-2</v>
      </c>
      <c r="AA5848">
        <v>0.99955669999999996</v>
      </c>
      <c r="AB5848">
        <v>35</v>
      </c>
      <c r="AC5848">
        <v>-0.26570000000000898</v>
      </c>
      <c r="AD5848">
        <v>-1.109875363489</v>
      </c>
      <c r="AE5848">
        <v>25.14142</v>
      </c>
      <c r="AF5848">
        <v>-0.18101020902982601</v>
      </c>
      <c r="AG5848">
        <v>-1.109875363489</v>
      </c>
      <c r="AH5848">
        <v>25.093273342779199</v>
      </c>
      <c r="AI5848">
        <v>92.532475657219905</v>
      </c>
      <c r="AJ5848">
        <v>90.413295667118405</v>
      </c>
      <c r="AK5848">
        <v>25.118458453370302</v>
      </c>
      <c r="AL5848">
        <v>80.503996738362005</v>
      </c>
      <c r="AM5848">
        <v>93.338942028657897</v>
      </c>
      <c r="AN5848">
        <v>0.99999996435698502</v>
      </c>
    </row>
    <row r="5849" spans="1:40" x14ac:dyDescent="0.25">
      <c r="A5849" t="str">
        <f>"20190304155533992"</f>
        <v>20190304155533992</v>
      </c>
      <c r="B5849" t="str">
        <f>"1551686133984065"</f>
        <v>1551686133984065</v>
      </c>
      <c r="C5849" t="s">
        <v>40</v>
      </c>
      <c r="D5849">
        <v>4.6579600000000001</v>
      </c>
      <c r="E5849">
        <v>0.51442299999999996</v>
      </c>
      <c r="F5849" t="s">
        <v>46</v>
      </c>
      <c r="G5849">
        <v>-188.32689999999999</v>
      </c>
      <c r="H5849" s="1">
        <v>-1.3515399999999999E-6</v>
      </c>
      <c r="I5849">
        <v>82.091430000000003</v>
      </c>
      <c r="J5849">
        <v>-187.93440000000001</v>
      </c>
      <c r="K5849">
        <v>1.109864</v>
      </c>
      <c r="L5849">
        <v>57.255159999999997</v>
      </c>
      <c r="M5849">
        <v>-2.9525279999999998E-3</v>
      </c>
      <c r="N5849">
        <v>-1.4575579999999999E-2</v>
      </c>
      <c r="O5849">
        <v>0.99988940000000004</v>
      </c>
      <c r="P5849">
        <v>-6.1248379999999998E-2</v>
      </c>
      <c r="Q5849">
        <v>0.15055829999999901</v>
      </c>
      <c r="R5849">
        <v>0.98670199999999997</v>
      </c>
      <c r="S5849">
        <v>-4.7775270000000002E-2</v>
      </c>
      <c r="T5849">
        <v>-0.1348637</v>
      </c>
      <c r="U5849">
        <v>3.058014</v>
      </c>
      <c r="V5849">
        <v>-5.8172590000000003E-2</v>
      </c>
      <c r="W5849">
        <v>0.16498399999999999</v>
      </c>
      <c r="X5849">
        <v>0.98457919999999999</v>
      </c>
      <c r="Y5849">
        <v>-1.265631E-2</v>
      </c>
      <c r="Z5849">
        <v>-2.9488400000000001E-2</v>
      </c>
      <c r="AA5849">
        <v>0.99948499999999996</v>
      </c>
      <c r="AB5849">
        <v>35</v>
      </c>
      <c r="AC5849">
        <v>-0.39249999999998397</v>
      </c>
      <c r="AD5849">
        <v>-1.1098653515400001</v>
      </c>
      <c r="AE5849">
        <v>24.836269999999999</v>
      </c>
      <c r="AF5849">
        <v>-0.31852479458383298</v>
      </c>
      <c r="AG5849">
        <v>-1.1098653515400001</v>
      </c>
      <c r="AH5849">
        <v>24.787832935434601</v>
      </c>
      <c r="AI5849">
        <v>92.563472084775896</v>
      </c>
      <c r="AJ5849">
        <v>90.736212884668106</v>
      </c>
      <c r="AK5849">
        <v>24.814711781085201</v>
      </c>
      <c r="AL5849">
        <v>80.503694866135703</v>
      </c>
      <c r="AM5849">
        <v>93.381316170205196</v>
      </c>
      <c r="AN5849">
        <v>0.999999985777973</v>
      </c>
    </row>
    <row r="5850" spans="1:40" x14ac:dyDescent="0.25">
      <c r="A5850" t="str">
        <f>"20190304155534016"</f>
        <v>20190304155534016</v>
      </c>
      <c r="B5850" t="str">
        <f>"1551686134003584"</f>
        <v>1551686134003584</v>
      </c>
      <c r="C5850" t="s">
        <v>40</v>
      </c>
      <c r="D5850">
        <v>4.8724339999999904</v>
      </c>
      <c r="E5850">
        <v>0.5143084</v>
      </c>
      <c r="F5850" t="s">
        <v>46</v>
      </c>
      <c r="G5850">
        <v>-188.3613</v>
      </c>
      <c r="H5850" s="1">
        <v>-1.418675E-6</v>
      </c>
      <c r="I5850">
        <v>82.262159999999994</v>
      </c>
      <c r="J5850">
        <v>-187.935</v>
      </c>
      <c r="K5850">
        <v>1.109864</v>
      </c>
      <c r="L5850">
        <v>57.619509999999998</v>
      </c>
      <c r="M5850">
        <v>-2.500988E-3</v>
      </c>
      <c r="N5850">
        <v>-1.4585219999999999E-2</v>
      </c>
      <c r="O5850">
        <v>0.99989050000000002</v>
      </c>
      <c r="P5850">
        <v>-6.1409600000000002E-2</v>
      </c>
      <c r="Q5850">
        <v>0.15056359999999999</v>
      </c>
      <c r="R5850">
        <v>0.98669119999999999</v>
      </c>
      <c r="S5850">
        <v>-5.2200320000000001E-2</v>
      </c>
      <c r="T5850">
        <v>-0.135716</v>
      </c>
      <c r="U5850">
        <v>3.0578919999999998</v>
      </c>
      <c r="V5850">
        <v>-5.8776179999999997E-2</v>
      </c>
      <c r="W5850">
        <v>0.16500000000000001</v>
      </c>
      <c r="X5850">
        <v>0.98454070000000005</v>
      </c>
      <c r="Y5850">
        <v>-1.4553440000000001E-2</v>
      </c>
      <c r="Z5850">
        <v>-2.9757490000000001E-2</v>
      </c>
      <c r="AA5850">
        <v>0.99945119999999998</v>
      </c>
      <c r="AB5850">
        <v>35</v>
      </c>
      <c r="AC5850">
        <v>-0.42629999999999701</v>
      </c>
      <c r="AD5850">
        <v>-1.1098654186750001</v>
      </c>
      <c r="AE5850">
        <v>24.64265</v>
      </c>
      <c r="AF5850">
        <v>-0.363923156366803</v>
      </c>
      <c r="AG5850">
        <v>-1.1098654186750001</v>
      </c>
      <c r="AH5850">
        <v>24.5937667238789</v>
      </c>
      <c r="AI5850">
        <v>92.583603519887305</v>
      </c>
      <c r="AJ5850">
        <v>90.847765187053199</v>
      </c>
      <c r="AK5850">
        <v>24.621486611898298</v>
      </c>
      <c r="AL5850">
        <v>80.502765671866896</v>
      </c>
      <c r="AM5850">
        <v>93.4164508016827</v>
      </c>
      <c r="AN5850">
        <v>1.00000001464594</v>
      </c>
    </row>
    <row r="5851" spans="1:40" x14ac:dyDescent="0.25">
      <c r="A5851" t="str">
        <f>"20190304155534039"</f>
        <v>20190304155534039</v>
      </c>
      <c r="B5851" t="str">
        <f>"1551686134033840"</f>
        <v>1551686134033840</v>
      </c>
      <c r="C5851" t="s">
        <v>40</v>
      </c>
      <c r="D5851">
        <v>4.6859219999999997</v>
      </c>
      <c r="E5851">
        <v>0.51448300000000002</v>
      </c>
      <c r="F5851" t="s">
        <v>46</v>
      </c>
      <c r="G5851">
        <v>-188.38319999999999</v>
      </c>
      <c r="H5851" s="1">
        <v>-1.6325719999999999E-6</v>
      </c>
      <c r="I5851">
        <v>82.769819999999996</v>
      </c>
      <c r="J5851">
        <v>-187.93549999999999</v>
      </c>
      <c r="K5851">
        <v>1.1098570000000001</v>
      </c>
      <c r="L5851">
        <v>57.999180000000003</v>
      </c>
      <c r="M5851">
        <v>-2.0229340000000001E-3</v>
      </c>
      <c r="N5851">
        <v>-1.4593450000000001E-2</v>
      </c>
      <c r="O5851">
        <v>0.99989150000000004</v>
      </c>
      <c r="P5851">
        <v>-6.1052250000000002E-2</v>
      </c>
      <c r="Q5851">
        <v>0.15010960000000001</v>
      </c>
      <c r="R5851">
        <v>0.98678250000000001</v>
      </c>
      <c r="S5851">
        <v>-5.4489139999999998E-2</v>
      </c>
      <c r="T5851">
        <v>-0.13493179999999999</v>
      </c>
      <c r="U5851">
        <v>3.0576479999999999</v>
      </c>
      <c r="V5851">
        <v>-5.888811E-2</v>
      </c>
      <c r="W5851">
        <v>0.16455600000000001</v>
      </c>
      <c r="X5851">
        <v>0.98460829999999999</v>
      </c>
      <c r="Y5851">
        <v>-1.57804E-2</v>
      </c>
      <c r="Z5851">
        <v>-2.9496310000000001E-2</v>
      </c>
      <c r="AA5851">
        <v>0.99944029999999995</v>
      </c>
      <c r="AB5851">
        <v>35</v>
      </c>
      <c r="AC5851">
        <v>-0.44769999999999699</v>
      </c>
      <c r="AD5851">
        <v>-1.1098586325719999</v>
      </c>
      <c r="AE5851">
        <v>24.77064</v>
      </c>
      <c r="AF5851">
        <v>-0.39678807730037802</v>
      </c>
      <c r="AG5851">
        <v>-1.1098586325719999</v>
      </c>
      <c r="AH5851">
        <v>24.721881491075699</v>
      </c>
      <c r="AI5851">
        <v>92.570167387736106</v>
      </c>
      <c r="AJ5851">
        <v>90.919522664398897</v>
      </c>
      <c r="AK5851">
        <v>24.749962654949002</v>
      </c>
      <c r="AL5851">
        <v>80.528557372620995</v>
      </c>
      <c r="AM5851">
        <v>93.422706991420995</v>
      </c>
      <c r="AN5851">
        <v>0.99999999553213104</v>
      </c>
    </row>
    <row r="5852" spans="1:40" x14ac:dyDescent="0.25">
      <c r="A5852" t="str">
        <f>"20190304155534063"</f>
        <v>20190304155534063</v>
      </c>
      <c r="B5852" t="str">
        <f>"1551686134053360"</f>
        <v>1551686134053360</v>
      </c>
      <c r="C5852" t="s">
        <v>40</v>
      </c>
      <c r="D5852">
        <v>4.7789970000000004</v>
      </c>
      <c r="E5852">
        <v>0.51432290000000003</v>
      </c>
      <c r="F5852" t="s">
        <v>46</v>
      </c>
      <c r="G5852">
        <v>-188.35380000000001</v>
      </c>
      <c r="H5852" s="1">
        <v>-1.6888320000000001E-6</v>
      </c>
      <c r="I5852">
        <v>82.888809999999907</v>
      </c>
      <c r="J5852">
        <v>-187.9358</v>
      </c>
      <c r="K5852">
        <v>1.10985</v>
      </c>
      <c r="L5852">
        <v>58.346679999999999</v>
      </c>
      <c r="M5852">
        <v>-1.5798779999999901E-3</v>
      </c>
      <c r="N5852">
        <v>-1.459943E-2</v>
      </c>
      <c r="O5852">
        <v>0.99989220000000001</v>
      </c>
      <c r="P5852">
        <v>-6.1063369999999999E-2</v>
      </c>
      <c r="Q5852">
        <v>0.14981720000000001</v>
      </c>
      <c r="R5852">
        <v>0.98682619999999999</v>
      </c>
      <c r="S5852">
        <v>-5.1391600000000003E-2</v>
      </c>
      <c r="T5852">
        <v>-0.1363482</v>
      </c>
      <c r="U5852">
        <v>3.0577390000000002</v>
      </c>
      <c r="V5852">
        <v>-5.9335110000000003E-2</v>
      </c>
      <c r="W5852">
        <v>0.164270899999999</v>
      </c>
      <c r="X5852">
        <v>0.98462910000000003</v>
      </c>
      <c r="Y5852">
        <v>-1.521073E-2</v>
      </c>
      <c r="Z5852">
        <v>-2.9951640000000002E-2</v>
      </c>
      <c r="AA5852">
        <v>0.99943559999999998</v>
      </c>
      <c r="AB5852">
        <v>35</v>
      </c>
      <c r="AC5852">
        <v>-0.41800000000000598</v>
      </c>
      <c r="AD5852">
        <v>-1.109851688832</v>
      </c>
      <c r="AE5852">
        <v>24.542129999999901</v>
      </c>
      <c r="AF5852">
        <v>-0.37844805178302698</v>
      </c>
      <c r="AG5852">
        <v>-1.109851688832</v>
      </c>
      <c r="AH5852">
        <v>24.492685415384098</v>
      </c>
      <c r="AI5852">
        <v>92.594193841900207</v>
      </c>
      <c r="AJ5852">
        <v>90.885233708869194</v>
      </c>
      <c r="AK5852">
        <v>24.5207388256567</v>
      </c>
      <c r="AL5852">
        <v>80.545118035019698</v>
      </c>
      <c r="AM5852">
        <v>93.448552475105402</v>
      </c>
      <c r="AN5852">
        <v>1.00000002421616</v>
      </c>
    </row>
    <row r="5853" spans="1:40" x14ac:dyDescent="0.25">
      <c r="A5853" t="str">
        <f>"20190304155534083"</f>
        <v>20190304155534083</v>
      </c>
      <c r="B5853" t="str">
        <f>"1551686134073856"</f>
        <v>1551686134073856</v>
      </c>
      <c r="C5853" t="s">
        <v>40</v>
      </c>
      <c r="D5853">
        <v>4.7723579999999997</v>
      </c>
      <c r="E5853">
        <v>0.51449929999999999</v>
      </c>
      <c r="F5853" t="s">
        <v>46</v>
      </c>
      <c r="G5853">
        <v>-188.3553</v>
      </c>
      <c r="H5853" s="1">
        <v>-1.6234570000000001E-6</v>
      </c>
      <c r="I5853">
        <v>82.737030000000004</v>
      </c>
      <c r="J5853">
        <v>-187.9359</v>
      </c>
      <c r="K5853">
        <v>1.1098410000000001</v>
      </c>
      <c r="L5853">
        <v>58.686709999999998</v>
      </c>
      <c r="M5853">
        <v>-1.142847E-3</v>
      </c>
      <c r="N5853">
        <v>-1.4604260000000001E-2</v>
      </c>
      <c r="O5853">
        <v>0.99989269999999997</v>
      </c>
      <c r="P5853">
        <v>-6.08316E-2</v>
      </c>
      <c r="Q5853">
        <v>0.1500766</v>
      </c>
      <c r="R5853">
        <v>0.98680109999999999</v>
      </c>
      <c r="S5853">
        <v>-5.2597049999999999E-2</v>
      </c>
      <c r="T5853">
        <v>-0.13914679999999999</v>
      </c>
      <c r="U5853">
        <v>3.057922</v>
      </c>
      <c r="V5853">
        <v>-5.9532939999999999E-2</v>
      </c>
      <c r="W5853">
        <v>0.16453480000000001</v>
      </c>
      <c r="X5853">
        <v>0.98457309999999998</v>
      </c>
      <c r="Y5853">
        <v>-1.6039669999999999E-2</v>
      </c>
      <c r="Z5853">
        <v>-3.0856479999999999E-2</v>
      </c>
      <c r="AA5853">
        <v>0.99939509999999998</v>
      </c>
      <c r="AB5853">
        <v>35</v>
      </c>
      <c r="AC5853">
        <v>-0.419399999999996</v>
      </c>
      <c r="AD5853">
        <v>-1.109842623457</v>
      </c>
      <c r="AE5853">
        <v>24.050319999999999</v>
      </c>
      <c r="AF5853">
        <v>-0.39107840352844703</v>
      </c>
      <c r="AG5853">
        <v>-1.109842623457</v>
      </c>
      <c r="AH5853">
        <v>23.999691441468901</v>
      </c>
      <c r="AI5853">
        <v>92.647350899311704</v>
      </c>
      <c r="AJ5853">
        <v>90.933560295253301</v>
      </c>
      <c r="AK5853">
        <v>24.028522265263501</v>
      </c>
      <c r="AL5853">
        <v>80.529789160787701</v>
      </c>
      <c r="AM5853">
        <v>93.460218773019307</v>
      </c>
      <c r="AN5853">
        <v>1.00000003029984</v>
      </c>
    </row>
    <row r="5854" spans="1:40" x14ac:dyDescent="0.25">
      <c r="A5854" t="str">
        <f>"20190304155534128"</f>
        <v>20190304155534128</v>
      </c>
      <c r="B5854" t="str">
        <f>"1551686134123209"</f>
        <v>1551686134123209</v>
      </c>
      <c r="C5854" t="s">
        <v>40</v>
      </c>
      <c r="D5854">
        <v>4.7288379999999997</v>
      </c>
      <c r="E5854">
        <v>0.51404859999999997</v>
      </c>
      <c r="F5854" t="s">
        <v>46</v>
      </c>
      <c r="G5854">
        <v>-188.32640000000001</v>
      </c>
      <c r="H5854" s="1">
        <v>-1.536499E-6</v>
      </c>
      <c r="I5854">
        <v>82.522359999999907</v>
      </c>
      <c r="J5854">
        <v>-187.93559999999999</v>
      </c>
      <c r="K5854">
        <v>1.1098330000000001</v>
      </c>
      <c r="L5854">
        <v>59.35324</v>
      </c>
      <c r="M5854">
        <v>-2.8240010000000001E-4</v>
      </c>
      <c r="N5854">
        <v>-1.4610150000000001E-2</v>
      </c>
      <c r="O5854">
        <v>0.99989320000000004</v>
      </c>
      <c r="P5854">
        <v>-6.0714740000000003E-2</v>
      </c>
      <c r="Q5854">
        <v>0.14910190000000001</v>
      </c>
      <c r="R5854">
        <v>0.9869561</v>
      </c>
      <c r="S5854">
        <v>-5.0109859999999999E-2</v>
      </c>
      <c r="T5854">
        <v>-0.14242079999999999</v>
      </c>
      <c r="U5854">
        <v>3.058716</v>
      </c>
      <c r="V5854">
        <v>-6.0264789999999999E-2</v>
      </c>
      <c r="W5854">
        <v>0.1635691</v>
      </c>
      <c r="X5854">
        <v>0.98468940000000005</v>
      </c>
      <c r="Y5854">
        <v>-1.6082530000000001E-2</v>
      </c>
      <c r="Z5854">
        <v>-3.1906490000000003E-2</v>
      </c>
      <c r="AA5854">
        <v>0.99936150000000001</v>
      </c>
      <c r="AB5854">
        <v>35</v>
      </c>
      <c r="AC5854">
        <v>-0.39080000000001203</v>
      </c>
      <c r="AD5854">
        <v>-1.1098345364990001</v>
      </c>
      <c r="AE5854">
        <v>23.1691199999999</v>
      </c>
      <c r="AF5854">
        <v>-0.38337689701828997</v>
      </c>
      <c r="AG5854">
        <v>-1.1098345364990001</v>
      </c>
      <c r="AH5854">
        <v>23.116203267921101</v>
      </c>
      <c r="AI5854">
        <v>92.748345803291301</v>
      </c>
      <c r="AJ5854">
        <v>90.950150173941097</v>
      </c>
      <c r="AK5854">
        <v>23.146005358752902</v>
      </c>
      <c r="AL5854">
        <v>80.585878910157902</v>
      </c>
      <c r="AM5854">
        <v>93.502237991715702</v>
      </c>
      <c r="AN5854">
        <v>0.99999995493045601</v>
      </c>
    </row>
    <row r="5855" spans="1:40" x14ac:dyDescent="0.25">
      <c r="A5855" t="str">
        <f>"20190304155534149"</f>
        <v>20190304155534149</v>
      </c>
      <c r="B5855" t="str">
        <f>"1551686134143705"</f>
        <v>1551686134143705</v>
      </c>
      <c r="C5855" t="s">
        <v>40</v>
      </c>
      <c r="D5855">
        <v>4.7470530000000002</v>
      </c>
      <c r="E5855">
        <v>0.51376499999999903</v>
      </c>
      <c r="F5855" t="s">
        <v>46</v>
      </c>
      <c r="G5855">
        <v>-188.3168</v>
      </c>
      <c r="H5855" s="1">
        <v>-1.1286629999999999E-6</v>
      </c>
      <c r="I5855">
        <v>81.567750000000004</v>
      </c>
      <c r="J5855">
        <v>-187.93520000000001</v>
      </c>
      <c r="K5855">
        <v>1.109829</v>
      </c>
      <c r="L5855">
        <v>59.708530000000003</v>
      </c>
      <c r="M5855">
        <v>1.772268E-4</v>
      </c>
      <c r="N5855">
        <v>-1.4611799999999999E-2</v>
      </c>
      <c r="O5855">
        <v>0.99989320000000004</v>
      </c>
      <c r="P5855">
        <v>-6.029462E-2</v>
      </c>
      <c r="Q5855">
        <v>0.14866579999999999</v>
      </c>
      <c r="R5855">
        <v>0.98704760000000002</v>
      </c>
      <c r="S5855">
        <v>-5.2505490000000002E-2</v>
      </c>
      <c r="T5855">
        <v>-0.15285279999999901</v>
      </c>
      <c r="U5855">
        <v>3.0595089999999998</v>
      </c>
      <c r="V5855">
        <v>-6.0298289999999997E-2</v>
      </c>
      <c r="W5855">
        <v>0.1631359</v>
      </c>
      <c r="X5855">
        <v>0.9847593</v>
      </c>
      <c r="Y5855">
        <v>-1.7317240000000001E-2</v>
      </c>
      <c r="Z5855">
        <v>-3.5291309999999999E-2</v>
      </c>
      <c r="AA5855">
        <v>0.99922699999999998</v>
      </c>
      <c r="AB5855">
        <v>35</v>
      </c>
      <c r="AC5855">
        <v>-0.381599999999991</v>
      </c>
      <c r="AD5855">
        <v>-1.1098301286629999</v>
      </c>
      <c r="AE5855">
        <v>21.859220000000001</v>
      </c>
      <c r="AF5855">
        <v>-0.38448363997000501</v>
      </c>
      <c r="AG5855">
        <v>-1.1098301286629999</v>
      </c>
      <c r="AH5855">
        <v>21.802966170669201</v>
      </c>
      <c r="AI5855">
        <v>92.913543347737999</v>
      </c>
      <c r="AJ5855">
        <v>91.010275693727294</v>
      </c>
      <c r="AK5855">
        <v>21.8345800148122</v>
      </c>
      <c r="AL5855">
        <v>80.611038205228098</v>
      </c>
      <c r="AM5855">
        <v>93.503931853210702</v>
      </c>
      <c r="AN5855">
        <v>1.0000000422911099</v>
      </c>
    </row>
    <row r="5856" spans="1:40" x14ac:dyDescent="0.25">
      <c r="A5856" t="str">
        <f>"20190304155534171"</f>
        <v>20190304155534171</v>
      </c>
      <c r="B5856" t="str">
        <f>"1551686134163226"</f>
        <v>1551686134163226</v>
      </c>
      <c r="C5856" t="s">
        <v>40</v>
      </c>
      <c r="D5856">
        <v>4.713076</v>
      </c>
      <c r="E5856">
        <v>0.51354549999999999</v>
      </c>
      <c r="F5856" t="s">
        <v>46</v>
      </c>
      <c r="G5856">
        <v>-188.31569999999999</v>
      </c>
      <c r="H5856" s="1">
        <v>-1.173605E-6</v>
      </c>
      <c r="I5856">
        <v>81.672039999999996</v>
      </c>
      <c r="J5856">
        <v>-187.9348</v>
      </c>
      <c r="K5856">
        <v>1.1098319999999999</v>
      </c>
      <c r="L5856">
        <v>60.031370000000003</v>
      </c>
      <c r="M5856">
        <v>5.9505780000000002E-4</v>
      </c>
      <c r="N5856">
        <v>-1.461264E-2</v>
      </c>
      <c r="O5856">
        <v>0.99989309999999998</v>
      </c>
      <c r="P5856">
        <v>-6.0030710000000001E-2</v>
      </c>
      <c r="Q5856">
        <v>0.14847399999999999</v>
      </c>
      <c r="R5856">
        <v>0.98709259999999999</v>
      </c>
      <c r="S5856">
        <v>-5.2993770000000003E-2</v>
      </c>
      <c r="T5856">
        <v>-0.15459439999999999</v>
      </c>
      <c r="U5856">
        <v>3.059418</v>
      </c>
      <c r="V5856">
        <v>-6.0446720000000002E-2</v>
      </c>
      <c r="W5856">
        <v>0.16294529999999999</v>
      </c>
      <c r="X5856">
        <v>0.98478169999999998</v>
      </c>
      <c r="Y5856">
        <v>-1.7894299999999998E-2</v>
      </c>
      <c r="Z5856">
        <v>-3.5858969999999997E-2</v>
      </c>
      <c r="AA5856">
        <v>0.99919659999999999</v>
      </c>
      <c r="AB5856">
        <v>35</v>
      </c>
      <c r="AC5856">
        <v>-0.38089999999999602</v>
      </c>
      <c r="AD5856">
        <v>-1.109833173605</v>
      </c>
      <c r="AE5856">
        <v>21.64067</v>
      </c>
      <c r="AF5856">
        <v>-0.39274611072903198</v>
      </c>
      <c r="AG5856">
        <v>-1.109833173605</v>
      </c>
      <c r="AH5856">
        <v>21.583689578044002</v>
      </c>
      <c r="AI5856">
        <v>92.943069813034796</v>
      </c>
      <c r="AJ5856">
        <v>91.042463632263704</v>
      </c>
      <c r="AK5856">
        <v>21.615772828702902</v>
      </c>
      <c r="AL5856">
        <v>80.622106360371902</v>
      </c>
      <c r="AM5856">
        <v>93.512455850999402</v>
      </c>
      <c r="AN5856">
        <v>0.99999998670286905</v>
      </c>
    </row>
    <row r="5857" spans="1:40" x14ac:dyDescent="0.25">
      <c r="A5857" t="str">
        <f>"20190304155534193"</f>
        <v>20190304155534193</v>
      </c>
      <c r="B5857" t="str">
        <f>"1551686134183721"</f>
        <v>1551686134183721</v>
      </c>
      <c r="C5857" t="s">
        <v>40</v>
      </c>
      <c r="D5857">
        <v>4.7076440000000002</v>
      </c>
      <c r="E5857">
        <v>0.51335719999999996</v>
      </c>
      <c r="F5857" t="s">
        <v>46</v>
      </c>
      <c r="G5857">
        <v>-188.31780000000001</v>
      </c>
      <c r="H5857" s="1">
        <v>-1.218283E-6</v>
      </c>
      <c r="I5857">
        <v>81.777059999999906</v>
      </c>
      <c r="J5857">
        <v>-187.9341</v>
      </c>
      <c r="K5857">
        <v>1.1098330000000001</v>
      </c>
      <c r="L5857">
        <v>60.373260000000002</v>
      </c>
      <c r="M5857">
        <v>1.0375899999999999E-3</v>
      </c>
      <c r="N5857">
        <v>-1.4612969999999999E-2</v>
      </c>
      <c r="O5857">
        <v>0.99989269999999997</v>
      </c>
      <c r="P5857">
        <v>-5.9720959999999997E-2</v>
      </c>
      <c r="Q5857">
        <v>0.14887410000000001</v>
      </c>
      <c r="R5857">
        <v>0.98705109999999996</v>
      </c>
      <c r="S5857">
        <v>-5.3894039999999997E-2</v>
      </c>
      <c r="T5857">
        <v>-0.156144899999999</v>
      </c>
      <c r="U5857">
        <v>3.0594480000000002</v>
      </c>
      <c r="V5857">
        <v>-6.0573219999999997E-2</v>
      </c>
      <c r="W5857">
        <v>0.16334470000000001</v>
      </c>
      <c r="X5857">
        <v>0.98470780000000002</v>
      </c>
      <c r="Y5857">
        <v>-1.8629819999999998E-2</v>
      </c>
      <c r="Z5857">
        <v>-3.6362640000000002E-2</v>
      </c>
      <c r="AA5857">
        <v>0.99916499999999997</v>
      </c>
      <c r="AB5857">
        <v>35</v>
      </c>
      <c r="AC5857">
        <v>-0.38370000000000398</v>
      </c>
      <c r="AD5857">
        <v>-1.1098342182829899</v>
      </c>
      <c r="AE5857">
        <v>21.4038</v>
      </c>
      <c r="AF5857">
        <v>-0.40482245682544199</v>
      </c>
      <c r="AG5857">
        <v>-1.1098342182829899</v>
      </c>
      <c r="AH5857">
        <v>21.346016756093601</v>
      </c>
      <c r="AI5857">
        <v>92.975740647258405</v>
      </c>
      <c r="AJ5857">
        <v>91.086471464262203</v>
      </c>
      <c r="AK5857">
        <v>21.378682011879299</v>
      </c>
      <c r="AL5857">
        <v>80.598912063716796</v>
      </c>
      <c r="AM5857">
        <v>93.520051577404303</v>
      </c>
      <c r="AN5857">
        <v>1.0000000286900399</v>
      </c>
    </row>
    <row r="5858" spans="1:40" x14ac:dyDescent="0.25">
      <c r="A5858" t="str">
        <f>"20190304155534216"</f>
        <v>20190304155534216</v>
      </c>
      <c r="B5858" t="str">
        <f>"1551686134213507"</f>
        <v>1551686134213507</v>
      </c>
      <c r="C5858" t="s">
        <v>40</v>
      </c>
      <c r="D5858">
        <v>4.7158369999999996</v>
      </c>
      <c r="E5858">
        <v>0.5130479</v>
      </c>
      <c r="F5858" t="s">
        <v>46</v>
      </c>
      <c r="G5858">
        <v>-188.3201</v>
      </c>
      <c r="H5858" s="1">
        <v>-1.3871499999999999E-6</v>
      </c>
      <c r="I5858">
        <v>82.171619999999905</v>
      </c>
      <c r="J5858">
        <v>-187.9333</v>
      </c>
      <c r="K5858">
        <v>1.109839</v>
      </c>
      <c r="L5858">
        <v>60.733580000000003</v>
      </c>
      <c r="M5858">
        <v>1.504144E-3</v>
      </c>
      <c r="N5858">
        <v>-1.4612689999999999E-2</v>
      </c>
      <c r="O5858">
        <v>0.99989209999999995</v>
      </c>
      <c r="P5858">
        <v>-5.9523279999999998E-2</v>
      </c>
      <c r="Q5858">
        <v>0.14932379999999901</v>
      </c>
      <c r="R5858">
        <v>0.98699519999999996</v>
      </c>
      <c r="S5858">
        <v>-5.41687E-2</v>
      </c>
      <c r="T5858">
        <v>-0.15577389999999999</v>
      </c>
      <c r="U5858">
        <v>3.0595699999999999</v>
      </c>
      <c r="V5858">
        <v>-6.0836260000000003E-2</v>
      </c>
      <c r="W5858">
        <v>0.1637931</v>
      </c>
      <c r="X5858">
        <v>0.98461710000000002</v>
      </c>
      <c r="Y5858">
        <v>-1.9185130000000002E-2</v>
      </c>
      <c r="Z5858">
        <v>-3.6239639999999997E-2</v>
      </c>
      <c r="AA5858">
        <v>0.99915900000000002</v>
      </c>
      <c r="AB5858">
        <v>35</v>
      </c>
      <c r="AC5858">
        <v>-0.38679999999999298</v>
      </c>
      <c r="AD5858">
        <v>-1.10984038715</v>
      </c>
      <c r="AE5858">
        <v>21.438039999999901</v>
      </c>
      <c r="AF5858">
        <v>-0.41792917759680998</v>
      </c>
      <c r="AG5858">
        <v>-1.10984038715</v>
      </c>
      <c r="AH5858">
        <v>21.380151595455199</v>
      </c>
      <c r="AI5858">
        <v>92.970981414201106</v>
      </c>
      <c r="AJ5858">
        <v>91.119848411163304</v>
      </c>
      <c r="AK5858">
        <v>21.413016899238698</v>
      </c>
      <c r="AL5858">
        <v>80.572869928852199</v>
      </c>
      <c r="AM5858">
        <v>93.535623597879507</v>
      </c>
      <c r="AN5858">
        <v>1.0000000318754001</v>
      </c>
    </row>
    <row r="5859" spans="1:40" x14ac:dyDescent="0.25">
      <c r="A5859" t="str">
        <f>"20190304155534251"</f>
        <v>20190304155534251</v>
      </c>
      <c r="B5859" t="str">
        <f>"1551686134243763"</f>
        <v>1551686134243763</v>
      </c>
      <c r="C5859" t="s">
        <v>40</v>
      </c>
      <c r="D5859">
        <v>4.7172609999999997</v>
      </c>
      <c r="E5859">
        <v>0.5129764</v>
      </c>
      <c r="F5859" t="s">
        <v>46</v>
      </c>
      <c r="G5859">
        <v>-188.33519999999999</v>
      </c>
      <c r="H5859" s="1">
        <v>-1.5798060000000001E-6</v>
      </c>
      <c r="I5859">
        <v>82.626949999999994</v>
      </c>
      <c r="J5859">
        <v>-187.93170000000001</v>
      </c>
      <c r="K5859">
        <v>1.1098509999999999</v>
      </c>
      <c r="L5859">
        <v>61.268799999999999</v>
      </c>
      <c r="M5859">
        <v>2.197152E-3</v>
      </c>
      <c r="N5859">
        <v>-1.461134E-2</v>
      </c>
      <c r="O5859">
        <v>0.99989090000000003</v>
      </c>
      <c r="P5859">
        <v>-5.9521619999999997E-2</v>
      </c>
      <c r="Q5859">
        <v>0.14973819999999999</v>
      </c>
      <c r="R5859">
        <v>0.98693249999999999</v>
      </c>
      <c r="S5859">
        <v>-5.6167599999999901E-2</v>
      </c>
      <c r="T5859">
        <v>-0.15510179999999901</v>
      </c>
      <c r="U5859">
        <v>3.059631</v>
      </c>
      <c r="V5859">
        <v>-6.1517910000000002E-2</v>
      </c>
      <c r="W5859">
        <v>0.1642055</v>
      </c>
      <c r="X5859">
        <v>0.98450599999999999</v>
      </c>
      <c r="Y5859">
        <v>-2.0529809999999999E-2</v>
      </c>
      <c r="Z5859">
        <v>-3.6019879999999997E-2</v>
      </c>
      <c r="AA5859">
        <v>0.99914020000000003</v>
      </c>
      <c r="AB5859">
        <v>35</v>
      </c>
      <c r="AC5859">
        <v>-0.40349999999997899</v>
      </c>
      <c r="AD5859">
        <v>-1.1098525798059999</v>
      </c>
      <c r="AE5859">
        <v>21.358149999999899</v>
      </c>
      <c r="AF5859">
        <v>-0.44921856698709101</v>
      </c>
      <c r="AG5859">
        <v>-1.1098525798059999</v>
      </c>
      <c r="AH5859">
        <v>21.2997178334182</v>
      </c>
      <c r="AI5859">
        <v>92.982119890898304</v>
      </c>
      <c r="AJ5859">
        <v>91.208209095770798</v>
      </c>
      <c r="AK5859">
        <v>21.333343616345299</v>
      </c>
      <c r="AL5859">
        <v>80.5489163579917</v>
      </c>
      <c r="AM5859">
        <v>93.575539301465895</v>
      </c>
      <c r="AN5859">
        <v>0.99999998175850802</v>
      </c>
    </row>
    <row r="5860" spans="1:40" x14ac:dyDescent="0.25">
      <c r="A5860" t="str">
        <f>"20190304155534274"</f>
        <v>20190304155534274</v>
      </c>
      <c r="B5860" t="str">
        <f>"1551686134263283"</f>
        <v>1551686134263283</v>
      </c>
      <c r="C5860" t="s">
        <v>40</v>
      </c>
      <c r="D5860">
        <v>4.7110830000000004</v>
      </c>
      <c r="E5860">
        <v>0.51328399999999996</v>
      </c>
      <c r="F5860" t="s">
        <v>46</v>
      </c>
      <c r="G5860">
        <v>-188.3398</v>
      </c>
      <c r="H5860" s="1">
        <v>-1.918863E-6</v>
      </c>
      <c r="I5860">
        <v>83.419240000000002</v>
      </c>
      <c r="J5860">
        <v>-187.93039999999999</v>
      </c>
      <c r="K5860">
        <v>1.109856</v>
      </c>
      <c r="L5860">
        <v>61.615419999999901</v>
      </c>
      <c r="M5860">
        <v>2.6461969999999999E-3</v>
      </c>
      <c r="N5860">
        <v>-1.460992E-2</v>
      </c>
      <c r="O5860">
        <v>0.99988980000000005</v>
      </c>
      <c r="P5860">
        <v>-5.9596290000000003E-2</v>
      </c>
      <c r="Q5860">
        <v>0.14985589999999999</v>
      </c>
      <c r="R5860">
        <v>0.98690999999999995</v>
      </c>
      <c r="S5860">
        <v>-5.6381229999999997E-2</v>
      </c>
      <c r="T5860">
        <v>-0.15330050000000001</v>
      </c>
      <c r="U5860">
        <v>3.0595699999999999</v>
      </c>
      <c r="V5860">
        <v>-6.2035899999999998E-2</v>
      </c>
      <c r="W5860">
        <v>0.16432179999999999</v>
      </c>
      <c r="X5860">
        <v>0.9844541</v>
      </c>
      <c r="Y5860">
        <v>-2.1049140000000001E-2</v>
      </c>
      <c r="Z5860">
        <v>-3.5435109999999999E-2</v>
      </c>
      <c r="AA5860">
        <v>0.99915030000000005</v>
      </c>
      <c r="AB5860">
        <v>34</v>
      </c>
      <c r="AC5860">
        <v>-0.40940000000000498</v>
      </c>
      <c r="AD5860">
        <v>-1.109857918863</v>
      </c>
      <c r="AE5860">
        <v>21.803820000000002</v>
      </c>
      <c r="AF5860">
        <v>-0.46589521112256999</v>
      </c>
      <c r="AG5860">
        <v>-1.109857918863</v>
      </c>
      <c r="AH5860">
        <v>21.746334996781801</v>
      </c>
      <c r="AI5860">
        <v>92.920974879746595</v>
      </c>
      <c r="AJ5860">
        <v>91.227321585156602</v>
      </c>
      <c r="AK5860">
        <v>21.779621868619898</v>
      </c>
      <c r="AL5860">
        <v>80.542161185933296</v>
      </c>
      <c r="AM5860">
        <v>93.605756369985798</v>
      </c>
      <c r="AN5860">
        <v>0.99999999092543002</v>
      </c>
    </row>
    <row r="5861" spans="1:40" x14ac:dyDescent="0.25">
      <c r="A5861" t="str">
        <f>"20190304155534294"</f>
        <v>20190304155534294</v>
      </c>
      <c r="B5861" t="str">
        <f>"1551686134283779"</f>
        <v>1551686134283779</v>
      </c>
      <c r="C5861" t="s">
        <v>40</v>
      </c>
      <c r="D5861">
        <v>4.7045769999999996</v>
      </c>
      <c r="E5861">
        <v>0.51330629999999999</v>
      </c>
      <c r="F5861" t="s">
        <v>46</v>
      </c>
      <c r="G5861">
        <v>-188.32490000000001</v>
      </c>
      <c r="H5861" s="1">
        <v>-2.0706729999999998E-6</v>
      </c>
      <c r="I5861">
        <v>83.766940000000005</v>
      </c>
      <c r="J5861">
        <v>-187.92920000000001</v>
      </c>
      <c r="K5861">
        <v>1.109858</v>
      </c>
      <c r="L5861">
        <v>61.935029999999998</v>
      </c>
      <c r="M5861">
        <v>3.0603050000000001E-3</v>
      </c>
      <c r="N5861">
        <v>-1.4608299999999999E-2</v>
      </c>
      <c r="O5861">
        <v>0.99988860000000002</v>
      </c>
      <c r="P5861">
        <v>-5.9393849999999998E-2</v>
      </c>
      <c r="Q5861">
        <v>0.1500898</v>
      </c>
      <c r="R5861">
        <v>0.98688670000000001</v>
      </c>
      <c r="S5861">
        <v>-5.4489139999999998E-2</v>
      </c>
      <c r="T5861">
        <v>-0.15330450000000001</v>
      </c>
      <c r="U5861">
        <v>3.0597840000000001</v>
      </c>
      <c r="V5861">
        <v>-6.2241900000000003E-2</v>
      </c>
      <c r="W5861">
        <v>0.1645527</v>
      </c>
      <c r="X5861">
        <v>0.98440249999999996</v>
      </c>
      <c r="Y5861">
        <v>-2.0844370000000001E-2</v>
      </c>
      <c r="Z5861">
        <v>-3.5434790000000001E-2</v>
      </c>
      <c r="AA5861">
        <v>0.9991546</v>
      </c>
      <c r="AB5861">
        <v>34</v>
      </c>
      <c r="AC5861">
        <v>-0.39570000000000499</v>
      </c>
      <c r="AD5861">
        <v>-1.109860070673</v>
      </c>
      <c r="AE5861">
        <v>21.831910000000001</v>
      </c>
      <c r="AF5861">
        <v>-0.46132574052657299</v>
      </c>
      <c r="AG5861">
        <v>-1.109860070673</v>
      </c>
      <c r="AH5861">
        <v>21.774342396281799</v>
      </c>
      <c r="AI5861">
        <v>92.917244619355202</v>
      </c>
      <c r="AJ5861">
        <v>91.213725016688599</v>
      </c>
      <c r="AK5861">
        <v>21.807489484254301</v>
      </c>
      <c r="AL5861">
        <v>80.528748756571204</v>
      </c>
      <c r="AM5861">
        <v>93.617887234836999</v>
      </c>
      <c r="AN5861">
        <v>0.99999996359957399</v>
      </c>
    </row>
    <row r="5862" spans="1:40" x14ac:dyDescent="0.25">
      <c r="A5862" t="str">
        <f>"20190304155534316"</f>
        <v>20190304155534316</v>
      </c>
      <c r="B5862" t="str">
        <f>"1551686134314035"</f>
        <v>1551686134314035</v>
      </c>
      <c r="C5862" t="s">
        <v>40</v>
      </c>
      <c r="D5862">
        <v>4.6711349999999996</v>
      </c>
      <c r="E5862">
        <v>0.51361469999999998</v>
      </c>
      <c r="F5862" t="s">
        <v>46</v>
      </c>
      <c r="G5862">
        <v>-188.3194</v>
      </c>
      <c r="H5862" s="1">
        <v>-2.2946119999999999E-6</v>
      </c>
      <c r="I5862">
        <v>84.286670000000001</v>
      </c>
      <c r="J5862">
        <v>-187.92769999999999</v>
      </c>
      <c r="K5862">
        <v>1.1098619999999999</v>
      </c>
      <c r="L5862">
        <v>62.2774</v>
      </c>
      <c r="M5862">
        <v>3.5038869999999998E-3</v>
      </c>
      <c r="N5862">
        <v>-1.4606350000000001E-2</v>
      </c>
      <c r="O5862">
        <v>0.99988719999999998</v>
      </c>
      <c r="P5862">
        <v>-5.9546729999999999E-2</v>
      </c>
      <c r="Q5862">
        <v>0.14980209999999999</v>
      </c>
      <c r="R5862">
        <v>0.9869213</v>
      </c>
      <c r="S5862">
        <v>-5.342102E-2</v>
      </c>
      <c r="T5862">
        <v>-0.1519306</v>
      </c>
      <c r="U5862">
        <v>3.0597530000000002</v>
      </c>
      <c r="V5862">
        <v>-6.2833109999999998E-2</v>
      </c>
      <c r="W5862">
        <v>0.16426389999999999</v>
      </c>
      <c r="X5862">
        <v>0.98441319999999999</v>
      </c>
      <c r="Y5862">
        <v>-2.0939699999999999E-2</v>
      </c>
      <c r="Z5862">
        <v>-3.4989640000000002E-2</v>
      </c>
      <c r="AA5862">
        <v>0.99916830000000001</v>
      </c>
      <c r="AB5862">
        <v>34</v>
      </c>
      <c r="AC5862">
        <v>-0.39170000000001398</v>
      </c>
      <c r="AD5862">
        <v>-1.1098642946120001</v>
      </c>
      <c r="AE5862">
        <v>22.009270000000001</v>
      </c>
      <c r="AF5862">
        <v>-0.46763504590815103</v>
      </c>
      <c r="AG5862">
        <v>-1.1098642946120001</v>
      </c>
      <c r="AH5862">
        <v>21.951958388091999</v>
      </c>
      <c r="AI5862">
        <v>92.893684993556903</v>
      </c>
      <c r="AJ5862">
        <v>91.220367773948198</v>
      </c>
      <c r="AK5862">
        <v>21.984971193093202</v>
      </c>
      <c r="AL5862">
        <v>80.545524287395097</v>
      </c>
      <c r="AM5862">
        <v>93.6521198830456</v>
      </c>
      <c r="AN5862">
        <v>0.99999998844486004</v>
      </c>
    </row>
    <row r="5863" spans="1:40" x14ac:dyDescent="0.25">
      <c r="A5863" t="str">
        <f>"20190304155534338"</f>
        <v>20190304155534338</v>
      </c>
      <c r="B5863" t="str">
        <f>"1551686134333555"</f>
        <v>1551686134333555</v>
      </c>
      <c r="C5863" t="s">
        <v>40</v>
      </c>
      <c r="D5863">
        <v>4.6906150000000002</v>
      </c>
      <c r="E5863">
        <v>0.51360909999999904</v>
      </c>
      <c r="F5863" t="s">
        <v>46</v>
      </c>
      <c r="G5863">
        <v>-188.29820000000001</v>
      </c>
      <c r="H5863" s="1">
        <v>-2.4308629999999999E-6</v>
      </c>
      <c r="I5863">
        <v>84.595500000000001</v>
      </c>
      <c r="J5863">
        <v>-187.92609999999999</v>
      </c>
      <c r="K5863">
        <v>1.1098669999999999</v>
      </c>
      <c r="L5863">
        <v>62.60324</v>
      </c>
      <c r="M5863">
        <v>3.9260900000000001E-3</v>
      </c>
      <c r="N5863">
        <v>-1.4604260000000001E-2</v>
      </c>
      <c r="O5863">
        <v>0.99988560000000004</v>
      </c>
      <c r="P5863">
        <v>-5.9480730000000002E-2</v>
      </c>
      <c r="Q5863">
        <v>0.14949089999999901</v>
      </c>
      <c r="R5863">
        <v>0.98697239999999997</v>
      </c>
      <c r="S5863">
        <v>-5.0796510000000003E-2</v>
      </c>
      <c r="T5863">
        <v>-0.15216109999999999</v>
      </c>
      <c r="U5863">
        <v>3.0597840000000001</v>
      </c>
      <c r="V5863">
        <v>-6.3184729999999995E-2</v>
      </c>
      <c r="W5863">
        <v>0.16395109999999999</v>
      </c>
      <c r="X5863">
        <v>0.98444279999999995</v>
      </c>
      <c r="Y5863">
        <v>-2.050505E-2</v>
      </c>
      <c r="Z5863">
        <v>-3.5066779999999999E-2</v>
      </c>
      <c r="AA5863">
        <v>0.99917460000000002</v>
      </c>
      <c r="AB5863">
        <v>34</v>
      </c>
      <c r="AC5863">
        <v>-0.37210000000001697</v>
      </c>
      <c r="AD5863">
        <v>-1.1098694308629999</v>
      </c>
      <c r="AE5863">
        <v>21.992260000000002</v>
      </c>
      <c r="AF5863">
        <v>-0.45728563034172898</v>
      </c>
      <c r="AG5863">
        <v>-1.1098694308629999</v>
      </c>
      <c r="AH5863">
        <v>21.9347807158058</v>
      </c>
      <c r="AI5863">
        <v>92.895988352524796</v>
      </c>
      <c r="AJ5863">
        <v>91.194301517340605</v>
      </c>
      <c r="AK5863">
        <v>21.967601720528499</v>
      </c>
      <c r="AL5863">
        <v>80.563692359654098</v>
      </c>
      <c r="AM5863">
        <v>93.672391590958597</v>
      </c>
      <c r="AN5863">
        <v>0.99999994988411001</v>
      </c>
    </row>
    <row r="5864" spans="1:40" x14ac:dyDescent="0.25">
      <c r="A5864" t="str">
        <f>"20190304155534362"</f>
        <v>20190304155534362</v>
      </c>
      <c r="B5864" t="str">
        <f>"1551686134354050"</f>
        <v>1551686134354050</v>
      </c>
      <c r="C5864" t="s">
        <v>40</v>
      </c>
      <c r="D5864">
        <v>4.7011379999999896</v>
      </c>
      <c r="E5864">
        <v>0.51359960000000004</v>
      </c>
      <c r="F5864" t="s">
        <v>46</v>
      </c>
      <c r="G5864">
        <v>-188.29390000000001</v>
      </c>
      <c r="H5864" s="1">
        <v>-2.5748829999999999E-6</v>
      </c>
      <c r="I5864">
        <v>84.929429999999996</v>
      </c>
      <c r="J5864">
        <v>-187.92420000000001</v>
      </c>
      <c r="K5864">
        <v>1.109866</v>
      </c>
      <c r="L5864">
        <v>62.970519999999901</v>
      </c>
      <c r="M5864">
        <v>4.4020129999999998E-3</v>
      </c>
      <c r="N5864">
        <v>-1.4601690000000001E-2</v>
      </c>
      <c r="O5864">
        <v>0.99988370000000004</v>
      </c>
      <c r="P5864">
        <v>-5.9216280000000003E-2</v>
      </c>
      <c r="Q5864">
        <v>0.1494085</v>
      </c>
      <c r="R5864">
        <v>0.98700080000000001</v>
      </c>
      <c r="S5864">
        <v>-5.0399779999999998E-2</v>
      </c>
      <c r="T5864">
        <v>-0.1520975</v>
      </c>
      <c r="U5864">
        <v>3.0596009999999998</v>
      </c>
      <c r="V5864">
        <v>-6.3390779999999994E-2</v>
      </c>
      <c r="W5864">
        <v>0.1638664</v>
      </c>
      <c r="X5864">
        <v>0.98444370000000003</v>
      </c>
      <c r="Y5864">
        <v>-2.0852240000000001E-2</v>
      </c>
      <c r="Z5864">
        <v>-3.5051249999999999E-2</v>
      </c>
      <c r="AA5864">
        <v>0.99916799999999995</v>
      </c>
      <c r="AB5864">
        <v>34</v>
      </c>
      <c r="AC5864">
        <v>-0.36969999999999398</v>
      </c>
      <c r="AD5864">
        <v>-1.1098685748829999</v>
      </c>
      <c r="AE5864">
        <v>21.958909999999999</v>
      </c>
      <c r="AF5864">
        <v>-0.46518211713995</v>
      </c>
      <c r="AG5864">
        <v>-1.1098685748829999</v>
      </c>
      <c r="AH5864">
        <v>21.901136983320299</v>
      </c>
      <c r="AI5864">
        <v>92.900403331539906</v>
      </c>
      <c r="AJ5864">
        <v>91.216784545726398</v>
      </c>
      <c r="AK5864">
        <v>21.934174336358801</v>
      </c>
      <c r="AL5864">
        <v>80.568612258771196</v>
      </c>
      <c r="AM5864">
        <v>93.684331235214401</v>
      </c>
      <c r="AN5864">
        <v>0.99999999325382904</v>
      </c>
    </row>
    <row r="5865" spans="1:40" x14ac:dyDescent="0.25">
      <c r="A5865" t="str">
        <f>"20190304155534384"</f>
        <v>20190304155534384</v>
      </c>
      <c r="B5865" t="str">
        <f>"1551686134373571"</f>
        <v>1551686134373571</v>
      </c>
      <c r="C5865" t="s">
        <v>40</v>
      </c>
      <c r="D5865">
        <v>4.6843130000000004</v>
      </c>
      <c r="E5865">
        <v>0.51361120000000005</v>
      </c>
      <c r="F5865" t="s">
        <v>46</v>
      </c>
      <c r="G5865">
        <v>-188.28899999999999</v>
      </c>
      <c r="H5865" s="1">
        <v>-2.777259E-6</v>
      </c>
      <c r="I5865">
        <v>85.399180000000001</v>
      </c>
      <c r="J5865">
        <v>-187.9222</v>
      </c>
      <c r="K5865">
        <v>1.109869</v>
      </c>
      <c r="L5865">
        <v>63.3084699999999</v>
      </c>
      <c r="M5865">
        <v>4.8399940000000002E-3</v>
      </c>
      <c r="N5865">
        <v>-1.459919E-2</v>
      </c>
      <c r="O5865">
        <v>0.99988169999999998</v>
      </c>
      <c r="P5865">
        <v>-5.9380000000000002E-2</v>
      </c>
      <c r="Q5865">
        <v>0.14910760000000001</v>
      </c>
      <c r="R5865">
        <v>0.98703649999999998</v>
      </c>
      <c r="S5865">
        <v>-4.977417E-2</v>
      </c>
      <c r="T5865">
        <v>-0.151395</v>
      </c>
      <c r="U5865">
        <v>3.0594480000000002</v>
      </c>
      <c r="V5865">
        <v>-6.3987359999999993E-2</v>
      </c>
      <c r="W5865">
        <v>0.16356399999999999</v>
      </c>
      <c r="X5865">
        <v>0.98445539999999998</v>
      </c>
      <c r="Y5865">
        <v>-2.1086799999999999E-2</v>
      </c>
      <c r="Z5865">
        <v>-3.4827099999999903E-2</v>
      </c>
      <c r="AA5865">
        <v>0.99917080000000003</v>
      </c>
      <c r="AB5865">
        <v>34</v>
      </c>
      <c r="AC5865">
        <v>-0.36680000000001201</v>
      </c>
      <c r="AD5865">
        <v>-1.1098717772589901</v>
      </c>
      <c r="AE5865">
        <v>22.090710000000001</v>
      </c>
      <c r="AF5865">
        <v>-0.472533556610993</v>
      </c>
      <c r="AG5865">
        <v>-1.1098717772589901</v>
      </c>
      <c r="AH5865">
        <v>22.033074821888999</v>
      </c>
      <c r="AI5865">
        <v>92.883060235658704</v>
      </c>
      <c r="AJ5865">
        <v>91.228608756182197</v>
      </c>
      <c r="AK5865">
        <v>22.066071001223499</v>
      </c>
      <c r="AL5865">
        <v>80.586175530776401</v>
      </c>
      <c r="AM5865">
        <v>93.718864094593897</v>
      </c>
      <c r="AN5865">
        <v>0.99999999946246398</v>
      </c>
    </row>
    <row r="5866" spans="1:40" x14ac:dyDescent="0.25">
      <c r="A5866" t="str">
        <f>"20190304155534406"</f>
        <v>20190304155534406</v>
      </c>
      <c r="B5866" t="str">
        <f>"1551686134403827"</f>
        <v>1551686134403827</v>
      </c>
      <c r="C5866" t="s">
        <v>40</v>
      </c>
      <c r="D5866">
        <v>4.6650780000000003</v>
      </c>
      <c r="E5866">
        <v>0.5139186</v>
      </c>
      <c r="F5866" t="s">
        <v>46</v>
      </c>
      <c r="G5866">
        <v>-188.28829999999999</v>
      </c>
      <c r="H5866" s="1">
        <v>-2.9174330000000001E-6</v>
      </c>
      <c r="I5866">
        <v>85.725619999999907</v>
      </c>
      <c r="J5866">
        <v>-187.92009999999999</v>
      </c>
      <c r="K5866">
        <v>1.1098680000000001</v>
      </c>
      <c r="L5866">
        <v>63.651919999999997</v>
      </c>
      <c r="M5866">
        <v>5.2852990000000002E-3</v>
      </c>
      <c r="N5866">
        <v>-1.45965E-2</v>
      </c>
      <c r="O5866">
        <v>0.99987950000000003</v>
      </c>
      <c r="P5866">
        <v>-5.9365090000000002E-2</v>
      </c>
      <c r="Q5866">
        <v>0.14876410000000001</v>
      </c>
      <c r="R5866">
        <v>0.9870892</v>
      </c>
      <c r="S5866">
        <v>-4.995728E-2</v>
      </c>
      <c r="T5866">
        <v>-0.15146409999999999</v>
      </c>
      <c r="U5866">
        <v>3.0592649999999999</v>
      </c>
      <c r="V5866">
        <v>-6.4412639999999993E-2</v>
      </c>
      <c r="W5866">
        <v>0.16321820000000001</v>
      </c>
      <c r="X5866">
        <v>0.9844851</v>
      </c>
      <c r="Y5866">
        <v>-2.159256E-2</v>
      </c>
      <c r="Z5866">
        <v>-3.485477E-2</v>
      </c>
      <c r="AA5866">
        <v>0.99915909999999997</v>
      </c>
      <c r="AB5866">
        <v>34</v>
      </c>
      <c r="AC5866">
        <v>-0.36820000000000103</v>
      </c>
      <c r="AD5866">
        <v>-1.1098709174329999</v>
      </c>
      <c r="AE5866">
        <v>22.073699999999899</v>
      </c>
      <c r="AF5866">
        <v>-0.48365101139203998</v>
      </c>
      <c r="AG5866">
        <v>-1.1098709174329999</v>
      </c>
      <c r="AH5866">
        <v>22.015802647205302</v>
      </c>
      <c r="AI5866">
        <v>92.885283435009001</v>
      </c>
      <c r="AJ5866">
        <v>91.258491709875003</v>
      </c>
      <c r="AK5866">
        <v>22.049065693468201</v>
      </c>
      <c r="AL5866">
        <v>80.606258685767898</v>
      </c>
      <c r="AM5866">
        <v>93.743398164053801</v>
      </c>
      <c r="AN5866">
        <v>1.0000000405625</v>
      </c>
    </row>
    <row r="5867" spans="1:40" x14ac:dyDescent="0.25">
      <c r="A5867" t="str">
        <f>"20190304155534440"</f>
        <v>20190304155534440</v>
      </c>
      <c r="B5867" t="str">
        <f>"1551686134434083"</f>
        <v>1551686134434083</v>
      </c>
      <c r="C5867" t="s">
        <v>40</v>
      </c>
      <c r="D5867">
        <v>4.6730830000000001</v>
      </c>
      <c r="E5867">
        <v>0.51399799999999995</v>
      </c>
      <c r="F5867" t="s">
        <v>46</v>
      </c>
      <c r="G5867">
        <v>-188.26589999999999</v>
      </c>
      <c r="H5867" s="1">
        <v>-3.1166099999999998E-6</v>
      </c>
      <c r="I5867">
        <v>86.180629999999994</v>
      </c>
      <c r="J5867">
        <v>-187.91659999999999</v>
      </c>
      <c r="K5867">
        <v>1.109864</v>
      </c>
      <c r="L5867">
        <v>64.169889999999995</v>
      </c>
      <c r="M5867">
        <v>5.9572640000000003E-3</v>
      </c>
      <c r="N5867">
        <v>-1.4592290000000001E-2</v>
      </c>
      <c r="O5867">
        <v>0.99987579999999998</v>
      </c>
      <c r="P5867">
        <v>-5.9714719999999999E-2</v>
      </c>
      <c r="Q5867">
        <v>0.14840709999999999</v>
      </c>
      <c r="R5867">
        <v>0.98712180000000005</v>
      </c>
      <c r="S5867">
        <v>-4.695129E-2</v>
      </c>
      <c r="T5867">
        <v>-0.15070629999999999</v>
      </c>
      <c r="U5867">
        <v>3.059113</v>
      </c>
      <c r="V5867">
        <v>-6.5426780000000004E-2</v>
      </c>
      <c r="W5867">
        <v>0.1628578</v>
      </c>
      <c r="X5867">
        <v>0.98447790000000002</v>
      </c>
      <c r="Y5867">
        <v>-2.1284009999999999E-2</v>
      </c>
      <c r="Z5867">
        <v>-3.461475E-2</v>
      </c>
      <c r="AA5867">
        <v>0.99917409999999995</v>
      </c>
      <c r="AB5867">
        <v>34</v>
      </c>
      <c r="AC5867">
        <v>-0.349299999999999</v>
      </c>
      <c r="AD5867">
        <v>-1.10986711661</v>
      </c>
      <c r="AE5867">
        <v>22.010739999999998</v>
      </c>
      <c r="AF5867">
        <v>-0.47921342332199002</v>
      </c>
      <c r="AG5867">
        <v>-1.10986711661</v>
      </c>
      <c r="AH5867">
        <v>21.952466650565398</v>
      </c>
      <c r="AI5867">
        <v>92.893592643536493</v>
      </c>
      <c r="AJ5867">
        <v>91.2505449601084</v>
      </c>
      <c r="AK5867">
        <v>21.9857281563702</v>
      </c>
      <c r="AL5867">
        <v>80.627188034520003</v>
      </c>
      <c r="AM5867">
        <v>93.802191999824501</v>
      </c>
      <c r="AN5867">
        <v>1.0000000310752</v>
      </c>
    </row>
    <row r="5868" spans="1:40" x14ac:dyDescent="0.25">
      <c r="A5868" t="str">
        <f>"20190304155534465"</f>
        <v>20190304155534465</v>
      </c>
      <c r="B5868" t="str">
        <f>"1551686134453603"</f>
        <v>1551686134453603</v>
      </c>
      <c r="C5868" t="s">
        <v>40</v>
      </c>
      <c r="D5868">
        <v>4.6663430000000004</v>
      </c>
      <c r="E5868">
        <v>0.51398540000000004</v>
      </c>
      <c r="F5868" t="s">
        <v>46</v>
      </c>
      <c r="G5868">
        <v>-188.26130000000001</v>
      </c>
      <c r="H5868" s="1">
        <v>-3.3021079999999999E-6</v>
      </c>
      <c r="I5868">
        <v>86.611140000000006</v>
      </c>
      <c r="J5868">
        <v>-187.91399999999999</v>
      </c>
      <c r="K5868">
        <v>1.1098650000000001</v>
      </c>
      <c r="L5868">
        <v>64.526609999999906</v>
      </c>
      <c r="M5868">
        <v>6.4179469999999898E-3</v>
      </c>
      <c r="N5868">
        <v>-1.458927E-2</v>
      </c>
      <c r="O5868">
        <v>0.99987300000000001</v>
      </c>
      <c r="P5868">
        <v>-5.9523140000000002E-2</v>
      </c>
      <c r="Q5868">
        <v>0.1482108</v>
      </c>
      <c r="R5868">
        <v>0.98716289999999995</v>
      </c>
      <c r="S5868">
        <v>-4.6981809999999999E-2</v>
      </c>
      <c r="T5868">
        <v>-0.15129029999999999</v>
      </c>
      <c r="U5868">
        <v>3.0590519999999999</v>
      </c>
      <c r="V5868">
        <v>-6.5690899999999997E-2</v>
      </c>
      <c r="W5868">
        <v>0.16265929999999901</v>
      </c>
      <c r="X5868">
        <v>0.98449310000000001</v>
      </c>
      <c r="Y5868">
        <v>-2.1754570000000001E-2</v>
      </c>
      <c r="Z5868">
        <v>-3.4808520000000003E-2</v>
      </c>
      <c r="AA5868">
        <v>0.99915719999999997</v>
      </c>
      <c r="AB5868">
        <v>34</v>
      </c>
      <c r="AC5868">
        <v>-0.34729999999998901</v>
      </c>
      <c r="AD5868">
        <v>-1.10986830210799</v>
      </c>
      <c r="AE5868">
        <v>22.084530000000001</v>
      </c>
      <c r="AF5868">
        <v>-0.48781354866057502</v>
      </c>
      <c r="AG5868">
        <v>-1.10986830210799</v>
      </c>
      <c r="AH5868">
        <v>22.026229927912901</v>
      </c>
      <c r="AI5868">
        <v>92.883901720397802</v>
      </c>
      <c r="AJ5868">
        <v>91.268718673905397</v>
      </c>
      <c r="AK5868">
        <v>22.059568775104498</v>
      </c>
      <c r="AL5868">
        <v>80.638714682692097</v>
      </c>
      <c r="AM5868">
        <v>93.817436929118301</v>
      </c>
      <c r="AN5868">
        <v>1.0000000030834499</v>
      </c>
    </row>
    <row r="5869" spans="1:40" x14ac:dyDescent="0.25">
      <c r="A5869" t="str">
        <f>"20190304155534485"</f>
        <v>20190304155534485</v>
      </c>
      <c r="B5869" t="str">
        <f>"1551686134474099"</f>
        <v>1551686134474099</v>
      </c>
      <c r="C5869" t="s">
        <v>40</v>
      </c>
      <c r="D5869">
        <v>4.6502179999999997</v>
      </c>
      <c r="E5869">
        <v>0.51398500000000003</v>
      </c>
      <c r="F5869" t="s">
        <v>46</v>
      </c>
      <c r="G5869">
        <v>-188.25319999999999</v>
      </c>
      <c r="H5869" s="1">
        <v>-3.463516E-6</v>
      </c>
      <c r="I5869">
        <v>86.984049999999996</v>
      </c>
      <c r="J5869">
        <v>-187.91149999999999</v>
      </c>
      <c r="K5869">
        <v>1.109869</v>
      </c>
      <c r="L5869">
        <v>64.850890000000007</v>
      </c>
      <c r="M5869">
        <v>6.8307979999999999E-3</v>
      </c>
      <c r="N5869">
        <v>-1.4586440000000001E-2</v>
      </c>
      <c r="O5869">
        <v>0.99987029999999999</v>
      </c>
      <c r="P5869">
        <v>-5.9149090000000001E-2</v>
      </c>
      <c r="Q5869">
        <v>0.1481391</v>
      </c>
      <c r="R5869">
        <v>0.98719610000000002</v>
      </c>
      <c r="S5869">
        <v>-4.6203609999999999E-2</v>
      </c>
      <c r="T5869">
        <v>-0.15117529999999901</v>
      </c>
      <c r="U5869">
        <v>3.058929</v>
      </c>
      <c r="V5869">
        <v>-6.5726480000000004E-2</v>
      </c>
      <c r="W5869">
        <v>0.16258399999999901</v>
      </c>
      <c r="X5869">
        <v>0.98450309999999996</v>
      </c>
      <c r="Y5869">
        <v>-2.1913809999999999E-2</v>
      </c>
      <c r="Z5869">
        <v>-3.4775599999999997E-2</v>
      </c>
      <c r="AA5869">
        <v>0.99915489999999996</v>
      </c>
      <c r="AB5869">
        <v>34</v>
      </c>
      <c r="AC5869">
        <v>-0.341700000000003</v>
      </c>
      <c r="AD5869">
        <v>-1.109872463516</v>
      </c>
      <c r="AE5869">
        <v>22.133159999999901</v>
      </c>
      <c r="AF5869">
        <v>-0.49165925011824402</v>
      </c>
      <c r="AG5869">
        <v>-1.109872463516</v>
      </c>
      <c r="AH5869">
        <v>22.074814314165799</v>
      </c>
      <c r="AI5869">
        <v>92.877568000005994</v>
      </c>
      <c r="AJ5869">
        <v>91.275903976853698</v>
      </c>
      <c r="AK5869">
        <v>22.1081652949401</v>
      </c>
      <c r="AL5869">
        <v>80.643086670244401</v>
      </c>
      <c r="AM5869">
        <v>93.819459758176805</v>
      </c>
      <c r="AN5869">
        <v>0.999999940569398</v>
      </c>
    </row>
    <row r="5870" spans="1:40" x14ac:dyDescent="0.25">
      <c r="A5870" t="str">
        <f>"20190304155534507"</f>
        <v>20190304155534507</v>
      </c>
      <c r="B5870" t="str">
        <f>"1551686134503379"</f>
        <v>1551686134503379</v>
      </c>
      <c r="C5870" t="s">
        <v>40</v>
      </c>
      <c r="D5870">
        <v>4.657457</v>
      </c>
      <c r="E5870">
        <v>0.51404830000000001</v>
      </c>
      <c r="F5870" t="s">
        <v>46</v>
      </c>
      <c r="G5870">
        <v>-188.24270000000001</v>
      </c>
      <c r="H5870" s="1">
        <v>-3.6302410000000001E-6</v>
      </c>
      <c r="I5870">
        <v>87.368319999999997</v>
      </c>
      <c r="J5870">
        <v>-187.90889999999999</v>
      </c>
      <c r="K5870">
        <v>1.1098749999999999</v>
      </c>
      <c r="L5870">
        <v>65.174040000000005</v>
      </c>
      <c r="M5870">
        <v>7.2363469999999997E-3</v>
      </c>
      <c r="N5870">
        <v>-1.4583530000000001E-2</v>
      </c>
      <c r="O5870">
        <v>0.99986750000000002</v>
      </c>
      <c r="P5870">
        <v>-5.9380559999999999E-2</v>
      </c>
      <c r="Q5870">
        <v>0.148394</v>
      </c>
      <c r="R5870">
        <v>0.98714389999999996</v>
      </c>
      <c r="S5870">
        <v>-4.4982910000000001E-2</v>
      </c>
      <c r="T5870">
        <v>-0.1507685</v>
      </c>
      <c r="U5870">
        <v>3.0588380000000002</v>
      </c>
      <c r="V5870">
        <v>-6.6359799999999997E-2</v>
      </c>
      <c r="W5870">
        <v>0.1628348</v>
      </c>
      <c r="X5870">
        <v>0.98441920000000005</v>
      </c>
      <c r="Y5870">
        <v>-2.1921199999999998E-2</v>
      </c>
      <c r="Z5870">
        <v>-3.464735E-2</v>
      </c>
      <c r="AA5870">
        <v>0.99915920000000003</v>
      </c>
      <c r="AB5870">
        <v>34</v>
      </c>
      <c r="AC5870">
        <v>-0.33380000000002402</v>
      </c>
      <c r="AD5870">
        <v>-1.109878630241</v>
      </c>
      <c r="AE5870">
        <v>22.1942799999999</v>
      </c>
      <c r="AF5870">
        <v>-0.493180807403448</v>
      </c>
      <c r="AG5870">
        <v>-1.109878630241</v>
      </c>
      <c r="AH5870">
        <v>22.135939270302199</v>
      </c>
      <c r="AI5870">
        <v>92.869650799207093</v>
      </c>
      <c r="AJ5870">
        <v>91.276318316206002</v>
      </c>
      <c r="AK5870">
        <v>22.169232401262001</v>
      </c>
      <c r="AL5870">
        <v>80.628523166525795</v>
      </c>
      <c r="AM5870">
        <v>93.856480040830306</v>
      </c>
      <c r="AN5870">
        <v>0.99999997823785902</v>
      </c>
    </row>
    <row r="5871" spans="1:40" x14ac:dyDescent="0.25">
      <c r="A5871" t="str">
        <f>"20190304155534529"</f>
        <v>20190304155534529</v>
      </c>
      <c r="B5871" t="str">
        <f>"1551686134523875"</f>
        <v>1551686134523875</v>
      </c>
      <c r="C5871" t="s">
        <v>40</v>
      </c>
      <c r="D5871">
        <v>4.6670499999999997</v>
      </c>
      <c r="E5871">
        <v>0.51406759999999996</v>
      </c>
      <c r="F5871" t="s">
        <v>46</v>
      </c>
      <c r="G5871">
        <v>-188.24449999999999</v>
      </c>
      <c r="H5871" s="1">
        <v>-3.8653610000000003E-6</v>
      </c>
      <c r="I5871">
        <v>87.917140000000003</v>
      </c>
      <c r="J5871">
        <v>-187.9059</v>
      </c>
      <c r="K5871">
        <v>1.1098840000000001</v>
      </c>
      <c r="L5871">
        <v>65.519319999999993</v>
      </c>
      <c r="M5871">
        <v>7.6609369999999996E-3</v>
      </c>
      <c r="N5871">
        <v>-1.4580320000000001E-2</v>
      </c>
      <c r="O5871">
        <v>0.99986430000000004</v>
      </c>
      <c r="P5871">
        <v>-5.886719E-2</v>
      </c>
      <c r="Q5871">
        <v>0.14866750000000001</v>
      </c>
      <c r="R5871">
        <v>0.98713360000000006</v>
      </c>
      <c r="S5871">
        <v>-4.5135500000000002E-2</v>
      </c>
      <c r="T5871">
        <v>-0.14927199999999999</v>
      </c>
      <c r="U5871">
        <v>3.0588069999999998</v>
      </c>
      <c r="V5871">
        <v>-6.6268110000000005E-2</v>
      </c>
      <c r="W5871">
        <v>0.16310250000000001</v>
      </c>
      <c r="X5871">
        <v>0.98438110000000001</v>
      </c>
      <c r="Y5871">
        <v>-2.2395829999999999E-2</v>
      </c>
      <c r="Z5871">
        <v>-3.41628E-2</v>
      </c>
      <c r="AA5871">
        <v>0.99916530000000003</v>
      </c>
      <c r="AB5871">
        <v>34</v>
      </c>
      <c r="AC5871">
        <v>-0.33859999999998502</v>
      </c>
      <c r="AD5871">
        <v>-1.109887865361</v>
      </c>
      <c r="AE5871">
        <v>22.397819999999999</v>
      </c>
      <c r="AF5871">
        <v>-0.50894714645327499</v>
      </c>
      <c r="AG5871">
        <v>-1.109887865361</v>
      </c>
      <c r="AH5871">
        <v>22.339724802689599</v>
      </c>
      <c r="AI5871">
        <v>92.843508170751306</v>
      </c>
      <c r="AJ5871">
        <v>91.305095755860293</v>
      </c>
      <c r="AK5871">
        <v>22.373068241335702</v>
      </c>
      <c r="AL5871">
        <v>80.612977642380002</v>
      </c>
      <c r="AM5871">
        <v>93.851316158625593</v>
      </c>
      <c r="AN5871">
        <v>1.0000000189732099</v>
      </c>
    </row>
    <row r="5872" spans="1:40" x14ac:dyDescent="0.25">
      <c r="A5872" t="str">
        <f>"20190304155534553"</f>
        <v>20190304155534553</v>
      </c>
      <c r="B5872" t="str">
        <f>"1551686134543395"</f>
        <v>1551686134543395</v>
      </c>
      <c r="C5872" t="s">
        <v>40</v>
      </c>
      <c r="D5872">
        <v>4.6724209999999999</v>
      </c>
      <c r="E5872">
        <v>0.51411249999999997</v>
      </c>
      <c r="F5872" t="s">
        <v>46</v>
      </c>
      <c r="G5872">
        <v>-188.2296</v>
      </c>
      <c r="H5872" s="1">
        <v>-4.0838660000000003E-6</v>
      </c>
      <c r="I5872">
        <v>88.420319999999904</v>
      </c>
      <c r="J5872">
        <v>-187.90280000000001</v>
      </c>
      <c r="K5872">
        <v>1.1098939999999999</v>
      </c>
      <c r="L5872">
        <v>65.878079999999997</v>
      </c>
      <c r="M5872">
        <v>8.0888219999999903E-3</v>
      </c>
      <c r="N5872">
        <v>-1.457687E-2</v>
      </c>
      <c r="O5872">
        <v>0.99986109999999995</v>
      </c>
      <c r="P5872">
        <v>-5.8582830000000002E-2</v>
      </c>
      <c r="Q5872">
        <v>0.14862919999999999</v>
      </c>
      <c r="R5872">
        <v>0.98715620000000004</v>
      </c>
      <c r="S5872">
        <v>-4.322815E-2</v>
      </c>
      <c r="T5872">
        <v>-0.1482453</v>
      </c>
      <c r="U5872">
        <v>3.0588380000000002</v>
      </c>
      <c r="V5872">
        <v>-6.6410330000000004E-2</v>
      </c>
      <c r="W5872">
        <v>0.1630597</v>
      </c>
      <c r="X5872">
        <v>0.98437859999999999</v>
      </c>
      <c r="Y5872">
        <v>-2.2200919999999999E-2</v>
      </c>
      <c r="Z5872">
        <v>-3.3831269999999997E-2</v>
      </c>
      <c r="AA5872">
        <v>0.99918099999999999</v>
      </c>
      <c r="AB5872">
        <v>34</v>
      </c>
      <c r="AC5872">
        <v>-0.32679999999999099</v>
      </c>
      <c r="AD5872">
        <v>-1.109898083866</v>
      </c>
      <c r="AE5872">
        <v>22.5422399999999</v>
      </c>
      <c r="AF5872">
        <v>-0.50791779065633502</v>
      </c>
      <c r="AG5872">
        <v>-1.109898083866</v>
      </c>
      <c r="AH5872">
        <v>22.4843630712788</v>
      </c>
      <c r="AI5872">
        <v>92.825284345313705</v>
      </c>
      <c r="AJ5872">
        <v>91.2940814464243</v>
      </c>
      <c r="AK5872">
        <v>22.5174695949549</v>
      </c>
      <c r="AL5872">
        <v>80.615463119012105</v>
      </c>
      <c r="AM5872">
        <v>93.859566403028396</v>
      </c>
      <c r="AN5872">
        <v>1.00000001291637</v>
      </c>
    </row>
    <row r="5873" spans="1:40" x14ac:dyDescent="0.25">
      <c r="A5873" t="str">
        <f>"20190304155534574"</f>
        <v>20190304155534574</v>
      </c>
      <c r="B5873" t="str">
        <f>"1551686134563891"</f>
        <v>1551686134563891</v>
      </c>
      <c r="C5873" t="s">
        <v>40</v>
      </c>
      <c r="D5873">
        <v>4.7172169999999998</v>
      </c>
      <c r="E5873">
        <v>0.51417930000000001</v>
      </c>
      <c r="F5873" t="s">
        <v>46</v>
      </c>
      <c r="G5873">
        <v>-188.21469999999999</v>
      </c>
      <c r="H5873" s="1">
        <v>-4.2690119999999996E-6</v>
      </c>
      <c r="I5873">
        <v>88.845759999999999</v>
      </c>
      <c r="J5873">
        <v>-187.8998</v>
      </c>
      <c r="K5873">
        <v>1.109909</v>
      </c>
      <c r="L5873">
        <v>66.196690000000004</v>
      </c>
      <c r="M5873">
        <v>8.4532970000000002E-3</v>
      </c>
      <c r="N5873">
        <v>-1.457372E-2</v>
      </c>
      <c r="O5873">
        <v>0.99985809999999997</v>
      </c>
      <c r="P5873">
        <v>-5.7884100000000001E-2</v>
      </c>
      <c r="Q5873">
        <v>0.14813460000000001</v>
      </c>
      <c r="R5873">
        <v>0.98727180000000003</v>
      </c>
      <c r="S5873">
        <v>-4.1549679999999999E-2</v>
      </c>
      <c r="T5873">
        <v>-0.1478149</v>
      </c>
      <c r="U5873">
        <v>3.0588069999999998</v>
      </c>
      <c r="V5873">
        <v>-6.6077399999999994E-2</v>
      </c>
      <c r="W5873">
        <v>0.16256139999999999</v>
      </c>
      <c r="X5873">
        <v>0.98448340000000001</v>
      </c>
      <c r="Y5873">
        <v>-2.2017490000000001E-2</v>
      </c>
      <c r="Z5873">
        <v>-3.3694670000000003E-2</v>
      </c>
      <c r="AA5873">
        <v>0.99918960000000001</v>
      </c>
      <c r="AB5873">
        <v>34</v>
      </c>
      <c r="AC5873">
        <v>-0.31489999999999402</v>
      </c>
      <c r="AD5873">
        <v>-1.1099132690119999</v>
      </c>
      <c r="AE5873">
        <v>22.649069999999899</v>
      </c>
      <c r="AF5873">
        <v>-0.50515550868346804</v>
      </c>
      <c r="AG5873">
        <v>-1.1099132690119999</v>
      </c>
      <c r="AH5873">
        <v>22.591356355700299</v>
      </c>
      <c r="AI5873">
        <v>92.811978115470296</v>
      </c>
      <c r="AJ5873">
        <v>91.280952582295697</v>
      </c>
      <c r="AK5873">
        <v>22.624245214877799</v>
      </c>
      <c r="AL5873">
        <v>80.644399557794898</v>
      </c>
      <c r="AM5873">
        <v>93.839867984762904</v>
      </c>
      <c r="AN5873">
        <v>0.99999999821814001</v>
      </c>
    </row>
    <row r="5874" spans="1:40" x14ac:dyDescent="0.25">
      <c r="A5874" t="str">
        <f>"20190304155534598"</f>
        <v>20190304155534598</v>
      </c>
      <c r="B5874" t="str">
        <f>"1551686134594148"</f>
        <v>1551686134594148</v>
      </c>
      <c r="C5874" t="s">
        <v>40</v>
      </c>
      <c r="D5874">
        <v>4.5395690000000002</v>
      </c>
      <c r="E5874">
        <v>0.56471629999999995</v>
      </c>
      <c r="F5874" t="s">
        <v>46</v>
      </c>
      <c r="G5874">
        <v>-188.1874</v>
      </c>
      <c r="H5874" s="1">
        <v>-4.3152389999999998E-6</v>
      </c>
      <c r="I5874">
        <v>88.942229999999995</v>
      </c>
      <c r="J5874">
        <v>-187.8964</v>
      </c>
      <c r="K5874">
        <v>1.1099289999999999</v>
      </c>
      <c r="L5874">
        <v>66.54871</v>
      </c>
      <c r="M5874">
        <v>8.8335440000000005E-3</v>
      </c>
      <c r="N5874">
        <v>-1.457021E-2</v>
      </c>
      <c r="O5874">
        <v>0.99985480000000004</v>
      </c>
      <c r="P5874">
        <v>-5.7332340000000002E-2</v>
      </c>
      <c r="Q5874">
        <v>0.14743909999999999</v>
      </c>
      <c r="R5874">
        <v>0.98740810000000001</v>
      </c>
      <c r="S5874">
        <v>-3.8681029999999998E-2</v>
      </c>
      <c r="T5874">
        <v>-0.14926049999999999</v>
      </c>
      <c r="U5874">
        <v>3.0588069999999998</v>
      </c>
      <c r="V5874">
        <v>-6.5909510000000004E-2</v>
      </c>
      <c r="W5874">
        <v>0.16186130000000001</v>
      </c>
      <c r="X5874">
        <v>0.98460999999999999</v>
      </c>
      <c r="Y5874">
        <v>-2.1460770000000001E-2</v>
      </c>
      <c r="Z5874">
        <v>-3.4169690000000003E-2</v>
      </c>
      <c r="AA5874">
        <v>0.99918560000000001</v>
      </c>
      <c r="AB5874">
        <v>34</v>
      </c>
      <c r="AC5874">
        <v>-0.29099999999999598</v>
      </c>
      <c r="AD5874">
        <v>-1.1099333152390001</v>
      </c>
      <c r="AE5874">
        <v>22.393519999999999</v>
      </c>
      <c r="AF5874">
        <v>-0.487626053855861</v>
      </c>
      <c r="AG5874">
        <v>-1.1099333152390001</v>
      </c>
      <c r="AH5874">
        <v>22.335213996412499</v>
      </c>
      <c r="AI5874">
        <v>92.844257920035801</v>
      </c>
      <c r="AJ5874">
        <v>91.250692165913406</v>
      </c>
      <c r="AK5874">
        <v>22.3680914563183</v>
      </c>
      <c r="AL5874">
        <v>80.685050714594198</v>
      </c>
      <c r="AM5874">
        <v>93.829649683815305</v>
      </c>
      <c r="AN5874">
        <v>0.99999999802306505</v>
      </c>
    </row>
    <row r="5875" spans="1:40" x14ac:dyDescent="0.25">
      <c r="A5875" t="str">
        <f>"20190304155534620"</f>
        <v>20190304155534620</v>
      </c>
      <c r="B5875" t="str">
        <f>"1551686134613668"</f>
        <v>1551686134613668</v>
      </c>
      <c r="C5875" t="s">
        <v>40</v>
      </c>
      <c r="D5875">
        <v>4.5223329999999997</v>
      </c>
      <c r="E5875">
        <v>0.56603309999999996</v>
      </c>
      <c r="F5875" t="s">
        <v>62</v>
      </c>
      <c r="G5875">
        <v>-177.21379999999999</v>
      </c>
      <c r="H5875">
        <v>7.9984749999999993E-2</v>
      </c>
      <c r="I5875">
        <v>157.1147</v>
      </c>
      <c r="J5875">
        <v>-187.8931</v>
      </c>
      <c r="K5875">
        <v>1.1099540000000001</v>
      </c>
      <c r="L5875">
        <v>66.884059999999906</v>
      </c>
      <c r="M5875">
        <v>9.1644320000000001E-3</v>
      </c>
      <c r="N5875">
        <v>-1.456676E-2</v>
      </c>
      <c r="O5875">
        <v>0.99985190000000002</v>
      </c>
      <c r="P5875">
        <v>-5.6603769999999998E-2</v>
      </c>
      <c r="Q5875">
        <v>0.14716989999999999</v>
      </c>
      <c r="R5875">
        <v>0.98749030000000004</v>
      </c>
      <c r="S5875">
        <v>0.3614655</v>
      </c>
      <c r="T5875">
        <v>-3.484988E-2</v>
      </c>
      <c r="U5875">
        <v>3.0644529999999999</v>
      </c>
      <c r="V5875">
        <v>-6.5517679999999995E-2</v>
      </c>
      <c r="W5875">
        <v>0.16158510000000001</v>
      </c>
      <c r="X5875">
        <v>0.98468149999999999</v>
      </c>
      <c r="Y5875">
        <v>0.1080141</v>
      </c>
      <c r="Z5875">
        <v>3.2607500000000002E-3</v>
      </c>
      <c r="AA5875">
        <v>0.99414400000000003</v>
      </c>
      <c r="AB5875">
        <v>34</v>
      </c>
      <c r="AC5875">
        <v>10.6793</v>
      </c>
      <c r="AD5875">
        <v>-1.0299692499999999</v>
      </c>
      <c r="AE5875">
        <v>90.230639999999994</v>
      </c>
      <c r="AF5875">
        <v>9.8505853365341398</v>
      </c>
      <c r="AG5875">
        <v>-1.0299692499999999</v>
      </c>
      <c r="AH5875">
        <v>90.313125000710698</v>
      </c>
      <c r="AI5875">
        <v>90.649545158906093</v>
      </c>
      <c r="AJ5875">
        <v>83.775271596437705</v>
      </c>
      <c r="AK5875">
        <v>90.854583899340398</v>
      </c>
      <c r="AL5875">
        <v>80.701086772374197</v>
      </c>
      <c r="AM5875">
        <v>93.806674064235196</v>
      </c>
      <c r="AN5875">
        <v>0.99999998368842102</v>
      </c>
    </row>
    <row r="5876" spans="1:40" x14ac:dyDescent="0.25">
      <c r="A5876" t="str">
        <f>"20190304155534643"</f>
        <v>20190304155534643</v>
      </c>
      <c r="B5876" t="str">
        <f>"1551686134634163"</f>
        <v>1551686134634163</v>
      </c>
      <c r="C5876" t="s">
        <v>40</v>
      </c>
      <c r="D5876">
        <v>4.53911</v>
      </c>
      <c r="E5876">
        <v>0.56677690000000003</v>
      </c>
      <c r="F5876" t="s">
        <v>47</v>
      </c>
      <c r="G5876">
        <v>-169.89429999999999</v>
      </c>
      <c r="H5876">
        <v>-0.05</v>
      </c>
      <c r="I5876">
        <v>214.32550000000001</v>
      </c>
      <c r="J5876">
        <v>-187.8895</v>
      </c>
      <c r="K5876">
        <v>1.1099859999999999</v>
      </c>
      <c r="L5876">
        <v>67.236509999999996</v>
      </c>
      <c r="M5876">
        <v>9.4656800000000006E-3</v>
      </c>
      <c r="N5876">
        <v>-1.4563120000000001E-2</v>
      </c>
      <c r="O5876">
        <v>0.99984910000000005</v>
      </c>
      <c r="P5876">
        <v>-5.6016339999999998E-2</v>
      </c>
      <c r="Q5876">
        <v>0.14662130000000001</v>
      </c>
      <c r="R5876">
        <v>0.98760539999999997</v>
      </c>
      <c r="S5876">
        <v>0.37391659999999999</v>
      </c>
      <c r="T5876">
        <v>-2.4097440000000001E-2</v>
      </c>
      <c r="U5876">
        <v>3.0630190000000002</v>
      </c>
      <c r="V5876">
        <v>-6.5241960000000002E-2</v>
      </c>
      <c r="W5876">
        <v>0.16102929999999999</v>
      </c>
      <c r="X5876">
        <v>0.98479090000000002</v>
      </c>
      <c r="Y5876">
        <v>0.1117517</v>
      </c>
      <c r="Z5876">
        <v>6.7423099999999996E-3</v>
      </c>
      <c r="AA5876">
        <v>0.99371330000000002</v>
      </c>
      <c r="AB5876">
        <v>34</v>
      </c>
      <c r="AC5876">
        <v>17.995200000000001</v>
      </c>
      <c r="AD5876">
        <v>-1.159986</v>
      </c>
      <c r="AE5876">
        <v>147.08899</v>
      </c>
      <c r="AF5876">
        <v>16.600931347430901</v>
      </c>
      <c r="AG5876">
        <v>-1.159986</v>
      </c>
      <c r="AH5876">
        <v>147.24373125179801</v>
      </c>
      <c r="AI5876">
        <v>90.448525209989697</v>
      </c>
      <c r="AJ5876">
        <v>83.567375880503505</v>
      </c>
      <c r="AK5876">
        <v>148.18114887553699</v>
      </c>
      <c r="AL5876">
        <v>80.733354794508998</v>
      </c>
      <c r="AM5876">
        <v>93.790281249609805</v>
      </c>
      <c r="AN5876">
        <v>1.0000000327629699</v>
      </c>
    </row>
    <row r="5877" spans="1:40" x14ac:dyDescent="0.25">
      <c r="A5877" t="str">
        <f>"20190304155534667"</f>
        <v>20190304155534667</v>
      </c>
      <c r="B5877" t="str">
        <f>"1551686134663443"</f>
        <v>1551686134663443</v>
      </c>
      <c r="C5877" t="s">
        <v>40</v>
      </c>
      <c r="D5877">
        <v>4.5239849999999997</v>
      </c>
      <c r="E5877">
        <v>0.56755480000000003</v>
      </c>
      <c r="F5877" t="s">
        <v>61</v>
      </c>
      <c r="G5877">
        <v>-168.35059999999999</v>
      </c>
      <c r="H5877">
        <v>0.14291099999999901</v>
      </c>
      <c r="I5877">
        <v>224.1772</v>
      </c>
      <c r="J5877">
        <v>-187.88589999999999</v>
      </c>
      <c r="K5877">
        <v>1.110025</v>
      </c>
      <c r="L5877">
        <v>67.585750000000004</v>
      </c>
      <c r="M5877">
        <v>9.7087909999999996E-3</v>
      </c>
      <c r="N5877">
        <v>-1.455941E-2</v>
      </c>
      <c r="O5877">
        <v>0.99984689999999998</v>
      </c>
      <c r="P5877">
        <v>-5.5568300000000001E-2</v>
      </c>
      <c r="Q5877">
        <v>0.14627109999999999</v>
      </c>
      <c r="R5877">
        <v>0.98768259999999997</v>
      </c>
      <c r="S5877">
        <v>0.3812256</v>
      </c>
      <c r="T5877">
        <v>-1.8867490000000001E-2</v>
      </c>
      <c r="U5877">
        <v>3.0620729999999998</v>
      </c>
      <c r="V5877">
        <v>-6.5051399999999995E-2</v>
      </c>
      <c r="W5877">
        <v>0.1606697</v>
      </c>
      <c r="X5877">
        <v>0.98486220000000002</v>
      </c>
      <c r="Y5877">
        <v>0.1138827</v>
      </c>
      <c r="Z5877">
        <v>8.43355199999999E-3</v>
      </c>
      <c r="AA5877">
        <v>0.99345839999999996</v>
      </c>
      <c r="AB5877">
        <v>34</v>
      </c>
      <c r="AC5877">
        <v>19.535299999999999</v>
      </c>
      <c r="AD5877">
        <v>-0.96711399999999903</v>
      </c>
      <c r="AE5877">
        <v>156.59145000000001</v>
      </c>
      <c r="AF5877">
        <v>18.013227746969601</v>
      </c>
      <c r="AG5877">
        <v>-0.96711399999999903</v>
      </c>
      <c r="AH5877">
        <v>156.76786428261499</v>
      </c>
      <c r="AI5877">
        <v>90.351147526375101</v>
      </c>
      <c r="AJ5877">
        <v>83.445241974507894</v>
      </c>
      <c r="AK5877">
        <v>157.80232873784101</v>
      </c>
      <c r="AL5877">
        <v>80.754229824124806</v>
      </c>
      <c r="AM5877">
        <v>93.778969842164202</v>
      </c>
      <c r="AN5877">
        <v>0.99999999506444504</v>
      </c>
    </row>
    <row r="5878" spans="1:40" x14ac:dyDescent="0.25">
      <c r="A5878" t="str">
        <f>"20190304155534707"</f>
        <v>20190304155534707</v>
      </c>
      <c r="B5878" t="str">
        <f>"1551686134703459"</f>
        <v>1551686134703459</v>
      </c>
      <c r="C5878" t="s">
        <v>40</v>
      </c>
      <c r="D5878">
        <v>4.5689769999999896</v>
      </c>
      <c r="E5878">
        <v>0.56778240000000002</v>
      </c>
      <c r="F5878" t="s">
        <v>61</v>
      </c>
      <c r="G5878">
        <v>-168.35059999999999</v>
      </c>
      <c r="H5878">
        <v>6.6124920000000004E-2</v>
      </c>
      <c r="I5878">
        <v>221.71539999999999</v>
      </c>
      <c r="J5878">
        <v>-187.87960000000001</v>
      </c>
      <c r="K5878">
        <v>1.110096</v>
      </c>
      <c r="L5878">
        <v>68.194580000000002</v>
      </c>
      <c r="M5878">
        <v>1.000882E-2</v>
      </c>
      <c r="N5878">
        <v>-1.4552789999999999E-2</v>
      </c>
      <c r="O5878">
        <v>0.99984399999999996</v>
      </c>
      <c r="P5878">
        <v>-5.4958710000000001E-2</v>
      </c>
      <c r="Q5878">
        <v>0.14588110000000001</v>
      </c>
      <c r="R5878">
        <v>0.98777440000000005</v>
      </c>
      <c r="S5878">
        <v>0.38813779999999998</v>
      </c>
      <c r="T5878">
        <v>-2.0739560000000001E-2</v>
      </c>
      <c r="U5878">
        <v>3.0623170000000002</v>
      </c>
      <c r="V5878">
        <v>-6.4768809999999996E-2</v>
      </c>
      <c r="W5878">
        <v>0.16026209999999999</v>
      </c>
      <c r="X5878">
        <v>0.98494720000000002</v>
      </c>
      <c r="Y5878">
        <v>0.1157821</v>
      </c>
      <c r="Z5878">
        <v>7.8217930000000005E-3</v>
      </c>
      <c r="AA5878">
        <v>0.99324389999999996</v>
      </c>
      <c r="AB5878">
        <v>34</v>
      </c>
      <c r="AC5878">
        <v>19.529</v>
      </c>
      <c r="AD5878">
        <v>-1.0439710799999999</v>
      </c>
      <c r="AE5878">
        <v>153.52081999999999</v>
      </c>
      <c r="AF5878">
        <v>17.990477915188599</v>
      </c>
      <c r="AG5878">
        <v>-1.0439710799999999</v>
      </c>
      <c r="AH5878">
        <v>153.70161715610899</v>
      </c>
      <c r="AI5878">
        <v>90.386519401448197</v>
      </c>
      <c r="AJ5878">
        <v>83.324016447167494</v>
      </c>
      <c r="AK5878">
        <v>154.754432206757</v>
      </c>
      <c r="AL5878">
        <v>80.777889892531405</v>
      </c>
      <c r="AM5878">
        <v>93.762277089243497</v>
      </c>
      <c r="AN5878">
        <v>0.99999996311653205</v>
      </c>
    </row>
    <row r="5879" spans="1:40" x14ac:dyDescent="0.25">
      <c r="A5879" t="str">
        <f>"20190304155534752"</f>
        <v>20190304155534752</v>
      </c>
      <c r="B5879" t="str">
        <f>"1551686134743477"</f>
        <v>1551686134743477</v>
      </c>
      <c r="C5879" t="s">
        <v>40</v>
      </c>
      <c r="D5879">
        <v>4.6126379999999996</v>
      </c>
      <c r="E5879">
        <v>0.56817600000000001</v>
      </c>
      <c r="F5879" t="s">
        <v>47</v>
      </c>
      <c r="G5879">
        <v>-168.66409999999999</v>
      </c>
      <c r="H5879">
        <v>-0.05</v>
      </c>
      <c r="I5879">
        <v>218.4931</v>
      </c>
      <c r="J5879">
        <v>-187.87270000000001</v>
      </c>
      <c r="K5879">
        <v>1.1101829999999999</v>
      </c>
      <c r="L5879">
        <v>68.864689999999996</v>
      </c>
      <c r="M5879">
        <v>1.014543E-2</v>
      </c>
      <c r="N5879">
        <v>-1.454565E-2</v>
      </c>
      <c r="O5879">
        <v>0.99984280000000003</v>
      </c>
      <c r="P5879">
        <v>-5.3874859999999997E-2</v>
      </c>
      <c r="Q5879">
        <v>0.1462832</v>
      </c>
      <c r="R5879">
        <v>0.98777459999999995</v>
      </c>
      <c r="S5879">
        <v>0.39152530000000002</v>
      </c>
      <c r="T5879">
        <v>-2.363753E-2</v>
      </c>
      <c r="U5879">
        <v>3.062408</v>
      </c>
      <c r="V5879">
        <v>-6.3851740000000004E-2</v>
      </c>
      <c r="W5879">
        <v>0.160643799999999</v>
      </c>
      <c r="X5879">
        <v>0.98494490000000001</v>
      </c>
      <c r="Y5879">
        <v>0.1167237</v>
      </c>
      <c r="Z5879">
        <v>6.876409E-3</v>
      </c>
      <c r="AA5879">
        <v>0.99314060000000004</v>
      </c>
      <c r="AB5879">
        <v>34</v>
      </c>
      <c r="AC5879">
        <v>19.208600000000001</v>
      </c>
      <c r="AD5879">
        <v>-1.160183</v>
      </c>
      <c r="AE5879">
        <v>149.62841</v>
      </c>
      <c r="AF5879">
        <v>17.688359923205098</v>
      </c>
      <c r="AG5879">
        <v>-1.160183</v>
      </c>
      <c r="AH5879">
        <v>149.806747197666</v>
      </c>
      <c r="AI5879">
        <v>90.440659080094406</v>
      </c>
      <c r="AJ5879">
        <v>83.266006970048593</v>
      </c>
      <c r="AK5879">
        <v>150.85186643628899</v>
      </c>
      <c r="AL5879">
        <v>80.7557330399612</v>
      </c>
      <c r="AM5879">
        <v>93.709164928179803</v>
      </c>
      <c r="AN5879">
        <v>0.99999996560773796</v>
      </c>
    </row>
    <row r="5880" spans="1:40" x14ac:dyDescent="0.25">
      <c r="A5880" t="str">
        <f>"20190304155534773"</f>
        <v>20190304155534773</v>
      </c>
      <c r="B5880" t="str">
        <f>"1551686134763972"</f>
        <v>1551686134763972</v>
      </c>
      <c r="C5880" t="s">
        <v>40</v>
      </c>
      <c r="D5880">
        <v>4.5666989999999998</v>
      </c>
      <c r="E5880">
        <v>0.56827669999999997</v>
      </c>
      <c r="F5880" t="s">
        <v>47</v>
      </c>
      <c r="G5880">
        <v>-167.62099999999899</v>
      </c>
      <c r="H5880">
        <v>-0.05</v>
      </c>
      <c r="I5880">
        <v>224.8134</v>
      </c>
      <c r="J5880">
        <v>-187.86930000000001</v>
      </c>
      <c r="K5880">
        <v>1.110214</v>
      </c>
      <c r="L5880">
        <v>69.193759999999997</v>
      </c>
      <c r="M5880">
        <v>1.0156770000000001E-2</v>
      </c>
      <c r="N5880">
        <v>-1.4542019999999999E-2</v>
      </c>
      <c r="O5880">
        <v>0.99984260000000003</v>
      </c>
      <c r="P5880">
        <v>-5.3150030000000001E-2</v>
      </c>
      <c r="Q5880">
        <v>0.14552509999999999</v>
      </c>
      <c r="R5880">
        <v>0.98792590000000002</v>
      </c>
      <c r="S5880">
        <v>0.39765929999999999</v>
      </c>
      <c r="T5880">
        <v>-2.2781249999999999E-2</v>
      </c>
      <c r="U5880">
        <v>3.062195</v>
      </c>
      <c r="V5880">
        <v>-6.3153310000000004E-2</v>
      </c>
      <c r="W5880">
        <v>0.15987950000000001</v>
      </c>
      <c r="X5880">
        <v>0.9851143</v>
      </c>
      <c r="Y5880">
        <v>0.11867750000000001</v>
      </c>
      <c r="Z5880">
        <v>7.1513949999999996E-3</v>
      </c>
      <c r="AA5880">
        <v>0.99290710000000004</v>
      </c>
      <c r="AB5880">
        <v>33</v>
      </c>
      <c r="AC5880">
        <v>20.2483</v>
      </c>
      <c r="AD5880">
        <v>-1.1602139999999901</v>
      </c>
      <c r="AE5880">
        <v>155.61964</v>
      </c>
      <c r="AF5880">
        <v>18.66547496466</v>
      </c>
      <c r="AG5880">
        <v>-1.1602139999999901</v>
      </c>
      <c r="AH5880">
        <v>155.80877407457399</v>
      </c>
      <c r="AI5880">
        <v>90.423610477997002</v>
      </c>
      <c r="AJ5880">
        <v>83.168674214287407</v>
      </c>
      <c r="AK5880">
        <v>156.92711725767401</v>
      </c>
      <c r="AL5880">
        <v>80.800097860959895</v>
      </c>
      <c r="AM5880">
        <v>93.668075207671293</v>
      </c>
      <c r="AN5880">
        <v>0.99999998957434799</v>
      </c>
    </row>
    <row r="5881" spans="1:40" x14ac:dyDescent="0.25">
      <c r="A5881" t="str">
        <f>"20190304155534796"</f>
        <v>20190304155534796</v>
      </c>
      <c r="B5881" t="str">
        <f>"1551686134793252"</f>
        <v>1551686134793252</v>
      </c>
      <c r="C5881" t="s">
        <v>40</v>
      </c>
      <c r="D5881">
        <v>4.5234439999999996</v>
      </c>
      <c r="E5881">
        <v>0.56833730000000005</v>
      </c>
      <c r="F5881" t="s">
        <v>70</v>
      </c>
      <c r="G5881">
        <v>-169.39189999999999</v>
      </c>
      <c r="H5881">
        <v>-4.059219E-2</v>
      </c>
      <c r="I5881">
        <v>210.21709999999999</v>
      </c>
      <c r="J5881">
        <v>-187.86590000000001</v>
      </c>
      <c r="K5881">
        <v>1.11025</v>
      </c>
      <c r="L5881">
        <v>69.53049</v>
      </c>
      <c r="M5881">
        <v>1.0125230000000001E-2</v>
      </c>
      <c r="N5881">
        <v>-1.4538229999999999E-2</v>
      </c>
      <c r="O5881">
        <v>0.99984309999999998</v>
      </c>
      <c r="P5881">
        <v>-5.2579929999999997E-2</v>
      </c>
      <c r="Q5881">
        <v>0.14504729999999999</v>
      </c>
      <c r="R5881">
        <v>0.98802659999999998</v>
      </c>
      <c r="S5881">
        <v>0.40118409999999999</v>
      </c>
      <c r="T5881">
        <v>-2.4985790000000001E-2</v>
      </c>
      <c r="U5881">
        <v>3.0619200000000002</v>
      </c>
      <c r="V5881">
        <v>-6.2566399999999994E-2</v>
      </c>
      <c r="W5881">
        <v>0.15939420000000001</v>
      </c>
      <c r="X5881">
        <v>0.98523039999999995</v>
      </c>
      <c r="Y5881">
        <v>0.1198438</v>
      </c>
      <c r="Z5881">
        <v>6.4337309999999998E-3</v>
      </c>
      <c r="AA5881">
        <v>0.99277190000000004</v>
      </c>
      <c r="AB5881">
        <v>33</v>
      </c>
      <c r="AC5881">
        <v>18.474</v>
      </c>
      <c r="AD5881">
        <v>-1.1508421900000001</v>
      </c>
      <c r="AE5881">
        <v>140.68660999999901</v>
      </c>
      <c r="AF5881">
        <v>17.047296632741201</v>
      </c>
      <c r="AG5881">
        <v>-1.1508421900000001</v>
      </c>
      <c r="AH5881">
        <v>140.857204191553</v>
      </c>
      <c r="AI5881">
        <v>90.464721003289</v>
      </c>
      <c r="AJ5881">
        <v>83.099317686893798</v>
      </c>
      <c r="AK5881">
        <v>141.88969917824099</v>
      </c>
      <c r="AL5881">
        <v>80.828264847020293</v>
      </c>
      <c r="AM5881">
        <v>93.633650941977905</v>
      </c>
      <c r="AN5881">
        <v>1.00000000324337</v>
      </c>
    </row>
    <row r="5882" spans="1:40" x14ac:dyDescent="0.25">
      <c r="A5882" t="str">
        <f>"20190304155534820"</f>
        <v>20190304155534820</v>
      </c>
      <c r="B5882" t="str">
        <f>"1551686134813747"</f>
        <v>1551686134813747</v>
      </c>
      <c r="C5882" t="s">
        <v>40</v>
      </c>
      <c r="D5882">
        <v>4.5815619999999999</v>
      </c>
      <c r="E5882">
        <v>0.5682334</v>
      </c>
      <c r="F5882" t="s">
        <v>47</v>
      </c>
      <c r="G5882">
        <v>-170.2396</v>
      </c>
      <c r="H5882">
        <v>-0.05</v>
      </c>
      <c r="I5882">
        <v>203.292</v>
      </c>
      <c r="J5882">
        <v>-187.86240000000001</v>
      </c>
      <c r="K5882">
        <v>1.1102920000000001</v>
      </c>
      <c r="L5882">
        <v>69.878910000000005</v>
      </c>
      <c r="M5882">
        <v>1.003483E-2</v>
      </c>
      <c r="N5882">
        <v>-1.453434E-2</v>
      </c>
      <c r="O5882">
        <v>0.99984399999999996</v>
      </c>
      <c r="P5882">
        <v>-5.2922339999999998E-2</v>
      </c>
      <c r="Q5882">
        <v>0.14534229999999901</v>
      </c>
      <c r="R5882">
        <v>0.98796499999999998</v>
      </c>
      <c r="S5882">
        <v>0.40345760000000003</v>
      </c>
      <c r="T5882">
        <v>-2.6557560000000001E-2</v>
      </c>
      <c r="U5882">
        <v>3.0617369999999999</v>
      </c>
      <c r="V5882">
        <v>-6.2835959999999996E-2</v>
      </c>
      <c r="W5882">
        <v>0.1596775</v>
      </c>
      <c r="X5882">
        <v>0.98516740000000003</v>
      </c>
      <c r="Y5882">
        <v>0.1206657</v>
      </c>
      <c r="Z5882">
        <v>5.9209830000000003E-3</v>
      </c>
      <c r="AA5882">
        <v>0.99267550000000004</v>
      </c>
      <c r="AB5882">
        <v>33</v>
      </c>
      <c r="AC5882">
        <v>17.622800000000002</v>
      </c>
      <c r="AD5882">
        <v>-1.1602920000000001</v>
      </c>
      <c r="AE5882">
        <v>133.41308999999899</v>
      </c>
      <c r="AF5882">
        <v>16.281782978497802</v>
      </c>
      <c r="AG5882">
        <v>-1.1602920000000001</v>
      </c>
      <c r="AH5882">
        <v>133.57330179118</v>
      </c>
      <c r="AI5882">
        <v>90.494033995747799</v>
      </c>
      <c r="AJ5882">
        <v>83.050273400117305</v>
      </c>
      <c r="AK5882">
        <v>134.56697100656501</v>
      </c>
      <c r="AL5882">
        <v>80.811822644100602</v>
      </c>
      <c r="AM5882">
        <v>93.649496622045902</v>
      </c>
      <c r="AN5882">
        <v>1.00000003394906</v>
      </c>
    </row>
    <row r="5883" spans="1:40" x14ac:dyDescent="0.25">
      <c r="A5883" t="str">
        <f>"20190304155534842"</f>
        <v>20190304155534842</v>
      </c>
      <c r="B5883" t="str">
        <f>"1551686134833268"</f>
        <v>1551686134833268</v>
      </c>
      <c r="C5883" t="s">
        <v>40</v>
      </c>
      <c r="D5883">
        <v>4.5829750000000002</v>
      </c>
      <c r="E5883">
        <v>0.56840869999999999</v>
      </c>
      <c r="F5883" t="s">
        <v>47</v>
      </c>
      <c r="G5883">
        <v>-169.76320000000001</v>
      </c>
      <c r="H5883">
        <v>-0.05</v>
      </c>
      <c r="I5883">
        <v>207.9383</v>
      </c>
      <c r="J5883">
        <v>-187.85929999999999</v>
      </c>
      <c r="K5883">
        <v>1.110341</v>
      </c>
      <c r="L5883">
        <v>70.198700000000002</v>
      </c>
      <c r="M5883">
        <v>9.8992149999999994E-3</v>
      </c>
      <c r="N5883">
        <v>-1.453087E-2</v>
      </c>
      <c r="O5883">
        <v>0.9998454</v>
      </c>
      <c r="P5883">
        <v>-5.3068499999999998E-2</v>
      </c>
      <c r="Q5883">
        <v>0.14588190000000001</v>
      </c>
      <c r="R5883">
        <v>0.98787760000000002</v>
      </c>
      <c r="S5883">
        <v>0.40139770000000002</v>
      </c>
      <c r="T5883">
        <v>-2.5732519999999998E-2</v>
      </c>
      <c r="U5883">
        <v>3.0618289999999999</v>
      </c>
      <c r="V5883">
        <v>-6.2865729999999995E-2</v>
      </c>
      <c r="W5883">
        <v>0.16020519999999999</v>
      </c>
      <c r="X5883">
        <v>0.98507979999999995</v>
      </c>
      <c r="Y5883">
        <v>0.1201402</v>
      </c>
      <c r="Z5883">
        <v>6.1845709999999998E-3</v>
      </c>
      <c r="AA5883">
        <v>0.99273769999999995</v>
      </c>
      <c r="AB5883">
        <v>33</v>
      </c>
      <c r="AC5883">
        <v>18.0960999999999</v>
      </c>
      <c r="AD5883">
        <v>-1.1603410000000001</v>
      </c>
      <c r="AE5883">
        <v>137.7396</v>
      </c>
      <c r="AF5883">
        <v>16.730388068257302</v>
      </c>
      <c r="AG5883">
        <v>-1.1603410000000001</v>
      </c>
      <c r="AH5883">
        <v>137.90238525036099</v>
      </c>
      <c r="AI5883">
        <v>90.478578922181498</v>
      </c>
      <c r="AJ5883">
        <v>83.082652514703597</v>
      </c>
      <c r="AK5883">
        <v>138.91839379250601</v>
      </c>
      <c r="AL5883">
        <v>80.781193126605601</v>
      </c>
      <c r="AM5883">
        <v>93.651544792921598</v>
      </c>
      <c r="AN5883">
        <v>1.00000000924175</v>
      </c>
    </row>
    <row r="5884" spans="1:40" x14ac:dyDescent="0.25">
      <c r="A5884" t="str">
        <f>"20190304155534866"</f>
        <v>20190304155534866</v>
      </c>
      <c r="B5884" t="str">
        <f>"1551686134863525"</f>
        <v>1551686134863525</v>
      </c>
      <c r="C5884" t="s">
        <v>40</v>
      </c>
      <c r="D5884">
        <v>4.5329009999999998</v>
      </c>
      <c r="E5884">
        <v>0.56852279999999999</v>
      </c>
      <c r="F5884" t="s">
        <v>47</v>
      </c>
      <c r="G5884">
        <v>-168.52799999999999</v>
      </c>
      <c r="H5884">
        <v>-0.05</v>
      </c>
      <c r="I5884">
        <v>217.3837</v>
      </c>
      <c r="J5884">
        <v>-187.85589999999999</v>
      </c>
      <c r="K5884">
        <v>1.110395</v>
      </c>
      <c r="L5884">
        <v>70.568079999999995</v>
      </c>
      <c r="M5884">
        <v>9.6840079999999992E-3</v>
      </c>
      <c r="N5884">
        <v>-1.452695E-2</v>
      </c>
      <c r="O5884">
        <v>0.99984759999999995</v>
      </c>
      <c r="P5884">
        <v>-5.367425E-2</v>
      </c>
      <c r="Q5884">
        <v>0.1460187</v>
      </c>
      <c r="R5884">
        <v>0.9878247</v>
      </c>
      <c r="S5884">
        <v>0.40216059999999998</v>
      </c>
      <c r="T5884">
        <v>-2.4139290000000001E-2</v>
      </c>
      <c r="U5884">
        <v>3.0619809999999998</v>
      </c>
      <c r="V5884">
        <v>-6.3280160000000002E-2</v>
      </c>
      <c r="W5884">
        <v>0.160329</v>
      </c>
      <c r="X5884">
        <v>0.98503309999999999</v>
      </c>
      <c r="Y5884">
        <v>0.1205905</v>
      </c>
      <c r="Z5884">
        <v>6.6977190000000004E-3</v>
      </c>
      <c r="AA5884">
        <v>0.99267969999999905</v>
      </c>
      <c r="AB5884">
        <v>33</v>
      </c>
      <c r="AC5884">
        <v>19.3279</v>
      </c>
      <c r="AD5884">
        <v>-1.1603950000000001</v>
      </c>
      <c r="AE5884">
        <v>146.81562</v>
      </c>
      <c r="AF5884">
        <v>17.9039804492377</v>
      </c>
      <c r="AG5884">
        <v>-1.1603950000000001</v>
      </c>
      <c r="AH5884">
        <v>146.98689973390299</v>
      </c>
      <c r="AI5884">
        <v>90.448996385953706</v>
      </c>
      <c r="AJ5884">
        <v>83.055205050986601</v>
      </c>
      <c r="AK5884">
        <v>148.0778434671</v>
      </c>
      <c r="AL5884">
        <v>80.774006816861103</v>
      </c>
      <c r="AM5884">
        <v>93.675724891834193</v>
      </c>
      <c r="AN5884">
        <v>0.99999998749311703</v>
      </c>
    </row>
    <row r="5885" spans="1:40" x14ac:dyDescent="0.25">
      <c r="A5885" t="str">
        <f>"20190304155534888"</f>
        <v>20190304155534888</v>
      </c>
      <c r="B5885" t="str">
        <f>"1551686134884019"</f>
        <v>1551686134884019</v>
      </c>
      <c r="C5885" t="s">
        <v>40</v>
      </c>
      <c r="D5885">
        <v>4.514856</v>
      </c>
      <c r="E5885">
        <v>0.56848430000000005</v>
      </c>
      <c r="F5885" t="s">
        <v>47</v>
      </c>
      <c r="G5885">
        <v>-168.6807</v>
      </c>
      <c r="H5885">
        <v>-0.05</v>
      </c>
      <c r="I5885">
        <v>216.97649999999999</v>
      </c>
      <c r="J5885">
        <v>-187.85290000000001</v>
      </c>
      <c r="K5885">
        <v>1.1104339999999999</v>
      </c>
      <c r="L5885">
        <v>70.894710000000003</v>
      </c>
      <c r="M5885">
        <v>9.4560740000000001E-3</v>
      </c>
      <c r="N5885">
        <v>-1.452349E-2</v>
      </c>
      <c r="O5885">
        <v>0.99984980000000001</v>
      </c>
      <c r="P5885">
        <v>-5.4178320000000002E-2</v>
      </c>
      <c r="Q5885">
        <v>0.14584250000000001</v>
      </c>
      <c r="R5885">
        <v>0.98782320000000001</v>
      </c>
      <c r="S5885">
        <v>0.40107730000000003</v>
      </c>
      <c r="T5885">
        <v>-2.427137E-2</v>
      </c>
      <c r="U5885">
        <v>3.0623469999999999</v>
      </c>
      <c r="V5885">
        <v>-6.3574720000000001E-2</v>
      </c>
      <c r="W5885">
        <v>0.16014300000000001</v>
      </c>
      <c r="X5885">
        <v>0.98504440000000004</v>
      </c>
      <c r="Y5885">
        <v>0.12045640000000001</v>
      </c>
      <c r="Z5885">
        <v>6.6523859999999997E-3</v>
      </c>
      <c r="AA5885">
        <v>0.99269629999999998</v>
      </c>
      <c r="AB5885">
        <v>33</v>
      </c>
      <c r="AC5885">
        <v>19.1722</v>
      </c>
      <c r="AD5885">
        <v>-1.160434</v>
      </c>
      <c r="AE5885">
        <v>146.08178999999899</v>
      </c>
      <c r="AF5885">
        <v>17.7887331796836</v>
      </c>
      <c r="AG5885">
        <v>-1.160434</v>
      </c>
      <c r="AH5885">
        <v>146.24749786152199</v>
      </c>
      <c r="AI5885">
        <v>90.451290826291498</v>
      </c>
      <c r="AJ5885">
        <v>83.064927105260907</v>
      </c>
      <c r="AK5885">
        <v>147.32995712332999</v>
      </c>
      <c r="AL5885">
        <v>80.784803431804605</v>
      </c>
      <c r="AM5885">
        <v>93.692745380857502</v>
      </c>
      <c r="AN5885">
        <v>0.99999999772171899</v>
      </c>
    </row>
    <row r="5886" spans="1:40" x14ac:dyDescent="0.25">
      <c r="A5886" t="str">
        <f>"20190304155534909"</f>
        <v>20190304155534909</v>
      </c>
      <c r="B5886" t="str">
        <f>"1551686134903540"</f>
        <v>1551686134903540</v>
      </c>
      <c r="C5886" t="s">
        <v>40</v>
      </c>
      <c r="D5886">
        <v>4.6259240000000004</v>
      </c>
      <c r="E5886">
        <v>0.56869829999999999</v>
      </c>
      <c r="F5886" t="s">
        <v>47</v>
      </c>
      <c r="G5886">
        <v>-169.43099999999899</v>
      </c>
      <c r="H5886">
        <v>-0.05</v>
      </c>
      <c r="I5886">
        <v>212.2655</v>
      </c>
      <c r="J5886">
        <v>-187.8502</v>
      </c>
      <c r="K5886">
        <v>1.110471</v>
      </c>
      <c r="L5886">
        <v>71.203190000000006</v>
      </c>
      <c r="M5886">
        <v>9.2119550000000008E-3</v>
      </c>
      <c r="N5886">
        <v>-1.452026E-2</v>
      </c>
      <c r="O5886">
        <v>0.99985210000000002</v>
      </c>
      <c r="P5886">
        <v>-5.4749140000000002E-2</v>
      </c>
      <c r="Q5886">
        <v>0.1460552</v>
      </c>
      <c r="R5886">
        <v>0.98776030000000004</v>
      </c>
      <c r="S5886">
        <v>0.3990784</v>
      </c>
      <c r="T5886">
        <v>-2.5138850000000001E-2</v>
      </c>
      <c r="U5886">
        <v>3.0625610000000001</v>
      </c>
      <c r="V5886">
        <v>-6.3915449999999999E-2</v>
      </c>
      <c r="W5886">
        <v>0.1603473</v>
      </c>
      <c r="X5886">
        <v>0.98498909999999995</v>
      </c>
      <c r="Y5886">
        <v>0.1200528</v>
      </c>
      <c r="Z5886">
        <v>6.3684149999999997E-3</v>
      </c>
      <c r="AA5886">
        <v>0.99274709999999999</v>
      </c>
      <c r="AB5886">
        <v>33</v>
      </c>
      <c r="AC5886">
        <v>18.4192</v>
      </c>
      <c r="AD5886">
        <v>-1.16047099999999</v>
      </c>
      <c r="AE5886">
        <v>141.06231</v>
      </c>
      <c r="AF5886">
        <v>17.117682510307699</v>
      </c>
      <c r="AG5886">
        <v>-1.16047099999999</v>
      </c>
      <c r="AH5886">
        <v>141.21662104577101</v>
      </c>
      <c r="AI5886">
        <v>90.4674057876137</v>
      </c>
      <c r="AJ5886">
        <v>83.088566426809194</v>
      </c>
      <c r="AK5886">
        <v>142.255037896907</v>
      </c>
      <c r="AL5886">
        <v>80.772944530510401</v>
      </c>
      <c r="AM5886">
        <v>93.712689369323002</v>
      </c>
      <c r="AN5886">
        <v>0.999999984242401</v>
      </c>
    </row>
    <row r="5887" spans="1:40" x14ac:dyDescent="0.25">
      <c r="A5887" t="str">
        <f>"20190304155534931"</f>
        <v>20190304155534931</v>
      </c>
      <c r="B5887" t="str">
        <f>"1551686134924036"</f>
        <v>1551686134924036</v>
      </c>
      <c r="C5887" t="s">
        <v>40</v>
      </c>
      <c r="D5887">
        <v>4.6003970000000001</v>
      </c>
      <c r="E5887">
        <v>0.56898749999999998</v>
      </c>
      <c r="F5887" t="s">
        <v>47</v>
      </c>
      <c r="G5887">
        <v>-168.4769</v>
      </c>
      <c r="H5887">
        <v>-0.05</v>
      </c>
      <c r="I5887">
        <v>219.8227</v>
      </c>
      <c r="J5887">
        <v>-187.8475</v>
      </c>
      <c r="K5887">
        <v>1.1104940000000001</v>
      </c>
      <c r="L5887">
        <v>71.526430000000005</v>
      </c>
      <c r="M5887">
        <v>8.9329170000000003E-3</v>
      </c>
      <c r="N5887">
        <v>-1.451678E-2</v>
      </c>
      <c r="O5887">
        <v>0.99985469999999999</v>
      </c>
      <c r="P5887">
        <v>-5.4768249999999997E-2</v>
      </c>
      <c r="Q5887">
        <v>0.1466568</v>
      </c>
      <c r="R5887">
        <v>0.9876701</v>
      </c>
      <c r="S5887">
        <v>0.39926149999999999</v>
      </c>
      <c r="T5887">
        <v>-2.3915889999999999E-2</v>
      </c>
      <c r="U5887">
        <v>3.0628660000000001</v>
      </c>
      <c r="V5887">
        <v>-6.366687E-2</v>
      </c>
      <c r="W5887">
        <v>0.16094079999999999</v>
      </c>
      <c r="X5887">
        <v>0.98490840000000002</v>
      </c>
      <c r="Y5887">
        <v>0.1203755</v>
      </c>
      <c r="Z5887">
        <v>6.7622630000000001E-3</v>
      </c>
      <c r="AA5887">
        <v>0.99270539999999996</v>
      </c>
      <c r="AB5887">
        <v>33</v>
      </c>
      <c r="AC5887">
        <v>19.3706</v>
      </c>
      <c r="AD5887">
        <v>-1.1604939999999999</v>
      </c>
      <c r="AE5887">
        <v>148.29626999999999</v>
      </c>
      <c r="AF5887">
        <v>18.043882611407899</v>
      </c>
      <c r="AG5887">
        <v>-1.1604939999999999</v>
      </c>
      <c r="AH5887">
        <v>148.454467400543</v>
      </c>
      <c r="AI5887">
        <v>90.444609826517194</v>
      </c>
      <c r="AJ5887">
        <v>83.069983187127704</v>
      </c>
      <c r="AK5887">
        <v>149.55152067831699</v>
      </c>
      <c r="AL5887">
        <v>80.738492026104396</v>
      </c>
      <c r="AM5887">
        <v>93.698592310988502</v>
      </c>
      <c r="AN5887">
        <v>0.99999998391539802</v>
      </c>
    </row>
    <row r="5888" spans="1:40" x14ac:dyDescent="0.25">
      <c r="A5888" t="str">
        <f>"20190304155534953"</f>
        <v>20190304155534953</v>
      </c>
      <c r="B5888" t="str">
        <f>"1551686134943556"</f>
        <v>1551686134943556</v>
      </c>
      <c r="C5888" t="s">
        <v>40</v>
      </c>
      <c r="D5888">
        <v>4.6114980000000001</v>
      </c>
      <c r="E5888">
        <v>0.56907030000000003</v>
      </c>
      <c r="F5888" t="s">
        <v>61</v>
      </c>
      <c r="G5888">
        <v>-168.15119999999999</v>
      </c>
      <c r="H5888">
        <v>6.0916900000000003E-2</v>
      </c>
      <c r="I5888">
        <v>221.6901</v>
      </c>
      <c r="J5888">
        <v>-187.8449</v>
      </c>
      <c r="K5888">
        <v>1.1105160000000001</v>
      </c>
      <c r="L5888">
        <v>71.850399999999993</v>
      </c>
      <c r="M5888">
        <v>8.6393689999999992E-3</v>
      </c>
      <c r="N5888">
        <v>-1.451324E-2</v>
      </c>
      <c r="O5888">
        <v>0.99985740000000001</v>
      </c>
      <c r="P5888">
        <v>-5.484501E-2</v>
      </c>
      <c r="Q5888">
        <v>0.14708669999999999</v>
      </c>
      <c r="R5888">
        <v>0.98760190000000003</v>
      </c>
      <c r="S5888">
        <v>0.40174870000000001</v>
      </c>
      <c r="T5888">
        <v>-2.140713E-2</v>
      </c>
      <c r="U5888">
        <v>3.062897</v>
      </c>
      <c r="V5888">
        <v>-6.3459070000000006E-2</v>
      </c>
      <c r="W5888">
        <v>0.16136439999999999</v>
      </c>
      <c r="X5888">
        <v>0.98485259999999997</v>
      </c>
      <c r="Y5888">
        <v>0.121458</v>
      </c>
      <c r="Z5888">
        <v>7.5723769999999999E-3</v>
      </c>
      <c r="AA5888">
        <v>0.99256770000000005</v>
      </c>
      <c r="AB5888">
        <v>33</v>
      </c>
      <c r="AC5888">
        <v>19.6937</v>
      </c>
      <c r="AD5888">
        <v>-1.0495991</v>
      </c>
      <c r="AE5888">
        <v>149.83969999999999</v>
      </c>
      <c r="AF5888">
        <v>18.397420735220798</v>
      </c>
      <c r="AG5888">
        <v>-1.0495991</v>
      </c>
      <c r="AH5888">
        <v>149.997030867055</v>
      </c>
      <c r="AI5888">
        <v>90.397936807736102</v>
      </c>
      <c r="AJ5888">
        <v>83.007488175950996</v>
      </c>
      <c r="AK5888">
        <v>151.12470352960699</v>
      </c>
      <c r="AL5888">
        <v>80.713901036980502</v>
      </c>
      <c r="AM5888">
        <v>93.686762250775899</v>
      </c>
      <c r="AN5888">
        <v>1.0000000834396801</v>
      </c>
    </row>
    <row r="5889" spans="1:40" x14ac:dyDescent="0.25">
      <c r="A5889" t="str">
        <f>"20190304155534976"</f>
        <v>20190304155534976</v>
      </c>
      <c r="B5889" t="str">
        <f>"1551686134973812"</f>
        <v>1551686134973812</v>
      </c>
      <c r="C5889" t="s">
        <v>40</v>
      </c>
      <c r="D5889">
        <v>4.6268260000000003</v>
      </c>
      <c r="E5889">
        <v>0.56918389999999996</v>
      </c>
      <c r="F5889" t="s">
        <v>61</v>
      </c>
      <c r="G5889">
        <v>-168.1756</v>
      </c>
      <c r="H5889">
        <v>0.14408779999999999</v>
      </c>
      <c r="I5889">
        <v>221.6901</v>
      </c>
      <c r="J5889">
        <v>-187.84219999999999</v>
      </c>
      <c r="K5889">
        <v>1.11053</v>
      </c>
      <c r="L5889">
        <v>72.20026</v>
      </c>
      <c r="M5889">
        <v>8.3163779999999993E-3</v>
      </c>
      <c r="N5889">
        <v>-1.4509380000000001E-2</v>
      </c>
      <c r="O5889">
        <v>0.99986019999999998</v>
      </c>
      <c r="P5889">
        <v>-5.4994300000000003E-2</v>
      </c>
      <c r="Q5889">
        <v>0.14742439999999901</v>
      </c>
      <c r="R5889">
        <v>0.98754319999999896</v>
      </c>
      <c r="S5889">
        <v>0.40206910000000001</v>
      </c>
      <c r="T5889">
        <v>-1.9753929999999999E-2</v>
      </c>
      <c r="U5889">
        <v>3.0629270000000002</v>
      </c>
      <c r="V5889">
        <v>-6.3294030000000001E-2</v>
      </c>
      <c r="W5889">
        <v>0.16169610000000001</v>
      </c>
      <c r="X5889">
        <v>0.98480869999999998</v>
      </c>
      <c r="Y5889">
        <v>0.1218793</v>
      </c>
      <c r="Z5889">
        <v>8.1044540000000005E-3</v>
      </c>
      <c r="AA5889">
        <v>0.9925119</v>
      </c>
      <c r="AB5889">
        <v>33</v>
      </c>
      <c r="AC5889">
        <v>19.666599999999899</v>
      </c>
      <c r="AD5889">
        <v>-0.96644219999999903</v>
      </c>
      <c r="AE5889">
        <v>149.48983999999999</v>
      </c>
      <c r="AF5889">
        <v>18.421818070298301</v>
      </c>
      <c r="AG5889">
        <v>-0.96644219999999903</v>
      </c>
      <c r="AH5889">
        <v>149.64209344910799</v>
      </c>
      <c r="AI5889">
        <v>90.3672591328273</v>
      </c>
      <c r="AJ5889">
        <v>82.981865239543893</v>
      </c>
      <c r="AK5889">
        <v>150.77484380152001</v>
      </c>
      <c r="AL5889">
        <v>80.694642057382495</v>
      </c>
      <c r="AM5889">
        <v>93.677363783381693</v>
      </c>
      <c r="AN5889">
        <v>0.99999996929226997</v>
      </c>
    </row>
    <row r="5890" spans="1:40" x14ac:dyDescent="0.25">
      <c r="A5890" t="str">
        <f>"20190304155534997"</f>
        <v>20190304155534997</v>
      </c>
      <c r="B5890" t="str">
        <f>"1551686134994308"</f>
        <v>1551686134994308</v>
      </c>
      <c r="C5890" t="s">
        <v>40</v>
      </c>
      <c r="D5890">
        <v>4.7381869999999999</v>
      </c>
      <c r="E5890">
        <v>0.54228199999999904</v>
      </c>
      <c r="F5890" t="s">
        <v>61</v>
      </c>
      <c r="G5890">
        <v>-168.1909</v>
      </c>
      <c r="H5890">
        <v>0.22159190000000001</v>
      </c>
      <c r="I5890">
        <v>221.6901</v>
      </c>
      <c r="J5890">
        <v>-187.84</v>
      </c>
      <c r="K5890">
        <v>1.1105389999999999</v>
      </c>
      <c r="L5890">
        <v>72.502409999999998</v>
      </c>
      <c r="M5890">
        <v>8.0375669999999903E-3</v>
      </c>
      <c r="N5890">
        <v>-1.4506089999999999E-2</v>
      </c>
      <c r="O5890">
        <v>0.99986249999999999</v>
      </c>
      <c r="P5890">
        <v>-5.4893339999999999E-2</v>
      </c>
      <c r="Q5890">
        <v>0.14799789999999999</v>
      </c>
      <c r="R5890">
        <v>0.98746310000000004</v>
      </c>
      <c r="S5890">
        <v>0.40264889999999998</v>
      </c>
      <c r="T5890">
        <v>-1.8212800000000001E-2</v>
      </c>
      <c r="U5890">
        <v>3.0629879999999998</v>
      </c>
      <c r="V5890">
        <v>-6.2920390000000007E-2</v>
      </c>
      <c r="W5890">
        <v>0.16226450000000001</v>
      </c>
      <c r="X5890">
        <v>0.98473920000000004</v>
      </c>
      <c r="Y5890">
        <v>0.122338</v>
      </c>
      <c r="Z5890">
        <v>8.6008300000000003E-3</v>
      </c>
      <c r="AA5890">
        <v>0.99245130000000004</v>
      </c>
      <c r="AB5890">
        <v>33</v>
      </c>
      <c r="AC5890">
        <v>19.649100000000001</v>
      </c>
      <c r="AD5890">
        <v>-0.88894709999999999</v>
      </c>
      <c r="AE5890">
        <v>149.18769</v>
      </c>
      <c r="AF5890">
        <v>18.4485891158564</v>
      </c>
      <c r="AG5890">
        <v>-0.88894709999999999</v>
      </c>
      <c r="AH5890">
        <v>149.33560582399099</v>
      </c>
      <c r="AI5890">
        <v>90.338486344577106</v>
      </c>
      <c r="AJ5890">
        <v>82.957488607388299</v>
      </c>
      <c r="AK5890">
        <v>150.47346554834999</v>
      </c>
      <c r="AL5890">
        <v>80.661639756465206</v>
      </c>
      <c r="AM5890">
        <v>93.655971765856705</v>
      </c>
      <c r="AN5890">
        <v>1.0000000177273201</v>
      </c>
    </row>
    <row r="5891" spans="1:40" x14ac:dyDescent="0.25">
      <c r="A5891" t="str">
        <f>"20190304155535021"</f>
        <v>20190304155535021</v>
      </c>
      <c r="B5891" t="str">
        <f>"1551686135013827"</f>
        <v>1551686135013827</v>
      </c>
      <c r="C5891" t="s">
        <v>40</v>
      </c>
      <c r="D5891">
        <v>4.7278529999999996</v>
      </c>
      <c r="E5891">
        <v>0.5353308</v>
      </c>
      <c r="F5891" t="s">
        <v>46</v>
      </c>
      <c r="G5891">
        <v>-185.40940000000001</v>
      </c>
      <c r="H5891" s="1">
        <v>-1.890854E-6</v>
      </c>
      <c r="I5891">
        <v>111.6151</v>
      </c>
      <c r="J5891">
        <v>-187.8374</v>
      </c>
      <c r="K5891">
        <v>1.1105510000000001</v>
      </c>
      <c r="L5891">
        <v>72.854550000000003</v>
      </c>
      <c r="M5891">
        <v>7.7146599999999999E-3</v>
      </c>
      <c r="N5891">
        <v>-1.4502309999999999E-2</v>
      </c>
      <c r="O5891">
        <v>0.99986509999999995</v>
      </c>
      <c r="P5891">
        <v>-5.5068470000000001E-2</v>
      </c>
      <c r="Q5891">
        <v>0.14754500000000001</v>
      </c>
      <c r="R5891">
        <v>0.98752110000000004</v>
      </c>
      <c r="S5891">
        <v>0.19026180000000001</v>
      </c>
      <c r="T5891">
        <v>-8.6932060000000005E-2</v>
      </c>
      <c r="U5891">
        <v>3.0617070000000002</v>
      </c>
      <c r="V5891">
        <v>-6.2779599999999894E-2</v>
      </c>
      <c r="W5891">
        <v>0.16180810000000001</v>
      </c>
      <c r="X5891">
        <v>0.98482329999999996</v>
      </c>
      <c r="Y5891">
        <v>5.4297520000000002E-2</v>
      </c>
      <c r="Z5891">
        <v>-1.383641E-2</v>
      </c>
      <c r="AA5891">
        <v>0.99842889999999995</v>
      </c>
      <c r="AB5891">
        <v>33</v>
      </c>
      <c r="AC5891">
        <v>2.4279999999999902</v>
      </c>
      <c r="AD5891">
        <v>-1.1105528908540001</v>
      </c>
      <c r="AE5891">
        <v>38.760550000000002</v>
      </c>
      <c r="AF5891">
        <v>2.1271324528003301</v>
      </c>
      <c r="AG5891">
        <v>-1.1105528908540001</v>
      </c>
      <c r="AH5891">
        <v>38.746446218869103</v>
      </c>
      <c r="AI5891">
        <v>91.639298367288006</v>
      </c>
      <c r="AJ5891">
        <v>86.857686177252305</v>
      </c>
      <c r="AK5891">
        <v>38.820678958344502</v>
      </c>
      <c r="AL5891">
        <v>80.688139922720296</v>
      </c>
      <c r="AM5891">
        <v>93.647502647105398</v>
      </c>
      <c r="AN5891">
        <v>1.00000003581232</v>
      </c>
    </row>
    <row r="5892" spans="1:40" x14ac:dyDescent="0.25">
      <c r="A5892" t="str">
        <f>"20190304155535041"</f>
        <v>20190304155535041</v>
      </c>
      <c r="B5892" t="str">
        <f>"1551686135033348"</f>
        <v>1551686135033348</v>
      </c>
      <c r="C5892" t="s">
        <v>40</v>
      </c>
      <c r="D5892">
        <v>4.704752</v>
      </c>
      <c r="E5892">
        <v>0.53332829999999998</v>
      </c>
      <c r="F5892" t="s">
        <v>46</v>
      </c>
      <c r="G5892">
        <v>-186.26689999999999</v>
      </c>
      <c r="H5892" s="1">
        <v>-4.5263719999999996E-6</v>
      </c>
      <c r="I5892">
        <v>108.6403</v>
      </c>
      <c r="J5892">
        <v>-187.8355</v>
      </c>
      <c r="K5892">
        <v>1.1105529999999999</v>
      </c>
      <c r="L5892">
        <v>73.140010000000004</v>
      </c>
      <c r="M5892">
        <v>7.4549600000000001E-3</v>
      </c>
      <c r="N5892">
        <v>-1.449917E-2</v>
      </c>
      <c r="O5892">
        <v>0.99986710000000001</v>
      </c>
      <c r="P5892">
        <v>-5.5741609999999997E-2</v>
      </c>
      <c r="Q5892">
        <v>0.14744939999999901</v>
      </c>
      <c r="R5892">
        <v>0.98749759999999998</v>
      </c>
      <c r="S5892">
        <v>0.13427729999999999</v>
      </c>
      <c r="T5892">
        <v>-9.4949130000000007E-2</v>
      </c>
      <c r="U5892">
        <v>3.0595699999999999</v>
      </c>
      <c r="V5892">
        <v>-6.3197169999999997E-2</v>
      </c>
      <c r="W5892">
        <v>0.16170880000000001</v>
      </c>
      <c r="X5892">
        <v>0.98481289999999999</v>
      </c>
      <c r="Y5892">
        <v>3.6377689999999997E-2</v>
      </c>
      <c r="Z5892">
        <v>-1.6499E-2</v>
      </c>
      <c r="AA5892">
        <v>0.99920189999999998</v>
      </c>
      <c r="AB5892">
        <v>33</v>
      </c>
      <c r="AC5892">
        <v>1.5686</v>
      </c>
      <c r="AD5892">
        <v>-1.110557526372</v>
      </c>
      <c r="AE5892">
        <v>35.5002899999999</v>
      </c>
      <c r="AF5892">
        <v>1.3026030576085601</v>
      </c>
      <c r="AG5892">
        <v>-1.110557526372</v>
      </c>
      <c r="AH5892">
        <v>35.476347817474597</v>
      </c>
      <c r="AI5892">
        <v>91.791804492748696</v>
      </c>
      <c r="AJ5892">
        <v>87.897186448902801</v>
      </c>
      <c r="AK5892">
        <v>35.517620517308202</v>
      </c>
      <c r="AL5892">
        <v>80.693905296519404</v>
      </c>
      <c r="AM5892">
        <v>93.671736037132007</v>
      </c>
      <c r="AN5892">
        <v>1.0000000331499199</v>
      </c>
    </row>
    <row r="5893" spans="1:40" x14ac:dyDescent="0.25">
      <c r="A5893" t="str">
        <f>"20190304155535088"</f>
        <v>20190304155535088</v>
      </c>
      <c r="B5893" t="str">
        <f>"1551686135084100"</f>
        <v>1551686135084100</v>
      </c>
      <c r="C5893" t="s">
        <v>40</v>
      </c>
      <c r="D5893">
        <v>4.6739819999999996</v>
      </c>
      <c r="E5893">
        <v>0.53173539999999997</v>
      </c>
      <c r="F5893" t="s">
        <v>46</v>
      </c>
      <c r="G5893">
        <v>-186.58250000000001</v>
      </c>
      <c r="H5893" s="1">
        <v>-3.2974899999999999E-6</v>
      </c>
      <c r="I5893">
        <v>105.9062</v>
      </c>
      <c r="J5893">
        <v>-187.8312</v>
      </c>
      <c r="K5893">
        <v>1.110555</v>
      </c>
      <c r="L5893">
        <v>73.826750000000004</v>
      </c>
      <c r="M5893">
        <v>6.8322169999999998E-3</v>
      </c>
      <c r="N5893">
        <v>-1.449166E-2</v>
      </c>
      <c r="O5893">
        <v>0.99987170000000003</v>
      </c>
      <c r="P5893">
        <v>-5.5885980000000002E-2</v>
      </c>
      <c r="Q5893">
        <v>0.1474039</v>
      </c>
      <c r="R5893">
        <v>0.98749629999999999</v>
      </c>
      <c r="S5893">
        <v>0.1170197</v>
      </c>
      <c r="T5893">
        <v>-0.10371569999999999</v>
      </c>
      <c r="U5893">
        <v>3.0600589999999999</v>
      </c>
      <c r="V5893">
        <v>-6.2728110000000004E-2</v>
      </c>
      <c r="W5893">
        <v>0.16165560000000001</v>
      </c>
      <c r="X5893">
        <v>0.98485160000000005</v>
      </c>
      <c r="Y5893">
        <v>3.1366060000000001E-2</v>
      </c>
      <c r="Z5893">
        <v>-1.9367019999999999E-2</v>
      </c>
      <c r="AA5893">
        <v>0.99932030000000005</v>
      </c>
      <c r="AB5893">
        <v>33</v>
      </c>
      <c r="AC5893">
        <v>1.2486999999999799</v>
      </c>
      <c r="AD5893">
        <v>-1.1105582974899999</v>
      </c>
      <c r="AE5893">
        <v>32.079449999999902</v>
      </c>
      <c r="AF5893">
        <v>1.0282436196898599</v>
      </c>
      <c r="AG5893">
        <v>-1.1105582974899999</v>
      </c>
      <c r="AH5893">
        <v>32.048881730939698</v>
      </c>
      <c r="AI5893">
        <v>91.983600215755104</v>
      </c>
      <c r="AJ5893">
        <v>88.162375269198705</v>
      </c>
      <c r="AK5893">
        <v>32.084598250209098</v>
      </c>
      <c r="AL5893">
        <v>80.696993867220002</v>
      </c>
      <c r="AM5893">
        <v>93.644414693773001</v>
      </c>
      <c r="AN5893">
        <v>1.0000000114090399</v>
      </c>
    </row>
    <row r="5894" spans="1:40" x14ac:dyDescent="0.25">
      <c r="A5894" t="str">
        <f>"20190304155535108"</f>
        <v>20190304155535108</v>
      </c>
      <c r="B5894" t="str">
        <f>"1551686135103620"</f>
        <v>1551686135103620</v>
      </c>
      <c r="C5894" t="s">
        <v>40</v>
      </c>
      <c r="D5894">
        <v>4.6645490000000001</v>
      </c>
      <c r="E5894">
        <v>0.53125330000000004</v>
      </c>
      <c r="F5894" t="s">
        <v>46</v>
      </c>
      <c r="G5894">
        <v>-186.74950000000001</v>
      </c>
      <c r="H5894" s="1">
        <v>-3.183429E-6</v>
      </c>
      <c r="I5894">
        <v>105.7094</v>
      </c>
      <c r="J5894">
        <v>-187.82929999999999</v>
      </c>
      <c r="K5894">
        <v>1.1105560000000001</v>
      </c>
      <c r="L5894">
        <v>74.135649999999998</v>
      </c>
      <c r="M5894">
        <v>6.5527900000000002E-3</v>
      </c>
      <c r="N5894">
        <v>-1.4488289999999999E-2</v>
      </c>
      <c r="O5894">
        <v>0.99987360000000003</v>
      </c>
      <c r="P5894">
        <v>-5.6094669999999999E-2</v>
      </c>
      <c r="Q5894">
        <v>0.14684829999999999</v>
      </c>
      <c r="R5894">
        <v>0.98756719999999998</v>
      </c>
      <c r="S5894">
        <v>0.10380549999999999</v>
      </c>
      <c r="T5894">
        <v>-0.10658049999999999</v>
      </c>
      <c r="U5894">
        <v>3.0597840000000001</v>
      </c>
      <c r="V5894">
        <v>-6.2661099999999997E-2</v>
      </c>
      <c r="W5894">
        <v>0.16109849999999901</v>
      </c>
      <c r="X5894">
        <v>0.98494709999999996</v>
      </c>
      <c r="Y5894">
        <v>2.7339080000000002E-2</v>
      </c>
      <c r="Z5894">
        <v>-2.0312400000000001E-2</v>
      </c>
      <c r="AA5894">
        <v>0.99941979999999997</v>
      </c>
      <c r="AB5894">
        <v>33</v>
      </c>
      <c r="AC5894">
        <v>1.0797999999999699</v>
      </c>
      <c r="AD5894">
        <v>-1.1105591834289901</v>
      </c>
      <c r="AE5894">
        <v>31.57375</v>
      </c>
      <c r="AF5894">
        <v>0.87178166098833598</v>
      </c>
      <c r="AG5894">
        <v>-1.1105591834289901</v>
      </c>
      <c r="AH5894">
        <v>31.541172063619602</v>
      </c>
      <c r="AI5894">
        <v>92.015772201797304</v>
      </c>
      <c r="AJ5894">
        <v>88.416777407925693</v>
      </c>
      <c r="AK5894">
        <v>31.5727553455696</v>
      </c>
      <c r="AL5894">
        <v>80.729336842552399</v>
      </c>
      <c r="AM5894">
        <v>93.640179947819206</v>
      </c>
      <c r="AN5894">
        <v>0.999999964976934</v>
      </c>
    </row>
    <row r="5895" spans="1:40" x14ac:dyDescent="0.25">
      <c r="A5895" t="str">
        <f>"20190304155535132"</f>
        <v>20190304155535132</v>
      </c>
      <c r="B5895" t="str">
        <f>"1551686135124121"</f>
        <v>1551686135124121</v>
      </c>
      <c r="C5895" t="s">
        <v>40</v>
      </c>
      <c r="D5895">
        <v>4.6576019999999998</v>
      </c>
      <c r="E5895">
        <v>0.53108009999999894</v>
      </c>
      <c r="F5895" t="s">
        <v>46</v>
      </c>
      <c r="G5895">
        <v>-186.8272</v>
      </c>
      <c r="H5895" s="1">
        <v>-2.8085260000000002E-6</v>
      </c>
      <c r="I5895">
        <v>104.8676</v>
      </c>
      <c r="J5895">
        <v>-187.82740000000001</v>
      </c>
      <c r="K5895">
        <v>1.110554</v>
      </c>
      <c r="L5895">
        <v>74.485690000000005</v>
      </c>
      <c r="M5895">
        <v>6.236414E-3</v>
      </c>
      <c r="N5895">
        <v>-1.4484479999999999E-2</v>
      </c>
      <c r="O5895">
        <v>0.99987570000000003</v>
      </c>
      <c r="P5895">
        <v>-5.6544259999999999E-2</v>
      </c>
      <c r="Q5895">
        <v>0.14646809999999999</v>
      </c>
      <c r="R5895">
        <v>0.98759799999999998</v>
      </c>
      <c r="S5895">
        <v>9.977722E-2</v>
      </c>
      <c r="T5895">
        <v>-0.11057450000000001</v>
      </c>
      <c r="U5895">
        <v>3.0598749999999999</v>
      </c>
      <c r="V5895">
        <v>-6.279846E-2</v>
      </c>
      <c r="W5895">
        <v>0.16071489999999999</v>
      </c>
      <c r="X5895">
        <v>0.98500100000000002</v>
      </c>
      <c r="Y5895">
        <v>2.633928E-2</v>
      </c>
      <c r="Z5895">
        <v>-2.1619099999999999E-2</v>
      </c>
      <c r="AA5895">
        <v>0.99941930000000001</v>
      </c>
      <c r="AB5895">
        <v>33</v>
      </c>
      <c r="AC5895">
        <v>1.0002</v>
      </c>
      <c r="AD5895">
        <v>-1.110556808526</v>
      </c>
      <c r="AE5895">
        <v>30.381909999999898</v>
      </c>
      <c r="AF5895">
        <v>0.80960593345548604</v>
      </c>
      <c r="AG5895">
        <v>-1.110556808526</v>
      </c>
      <c r="AH5895">
        <v>30.347053403403201</v>
      </c>
      <c r="AI5895">
        <v>92.095071105769307</v>
      </c>
      <c r="AJ5895">
        <v>88.471812002514696</v>
      </c>
      <c r="AK5895">
        <v>30.378157423738799</v>
      </c>
      <c r="AL5895">
        <v>80.751605515871205</v>
      </c>
      <c r="AM5895">
        <v>93.647939005361096</v>
      </c>
      <c r="AN5895">
        <v>0.99999994783068902</v>
      </c>
    </row>
    <row r="5896" spans="1:40" x14ac:dyDescent="0.25">
      <c r="A5896" t="str">
        <f>"20190304155535153"</f>
        <v>20190304155535153</v>
      </c>
      <c r="B5896" t="str">
        <f>"1551686135143640"</f>
        <v>1551686135143640</v>
      </c>
      <c r="C5896" t="s">
        <v>40</v>
      </c>
      <c r="D5896">
        <v>4.6455729999999997</v>
      </c>
      <c r="E5896">
        <v>0.53105239999999998</v>
      </c>
      <c r="F5896" t="s">
        <v>46</v>
      </c>
      <c r="G5896">
        <v>-186.8784</v>
      </c>
      <c r="H5896" s="1">
        <v>-2.6204380000000001E-6</v>
      </c>
      <c r="I5896">
        <v>104.4504</v>
      </c>
      <c r="J5896">
        <v>-187.82579999999999</v>
      </c>
      <c r="K5896">
        <v>1.110554</v>
      </c>
      <c r="L5896">
        <v>74.791469999999904</v>
      </c>
      <c r="M5896">
        <v>5.9602359999999998E-3</v>
      </c>
      <c r="N5896">
        <v>-1.448114E-2</v>
      </c>
      <c r="O5896">
        <v>0.99987740000000003</v>
      </c>
      <c r="P5896">
        <v>-5.6949569999999998E-2</v>
      </c>
      <c r="Q5896">
        <v>0.14600270000000001</v>
      </c>
      <c r="R5896">
        <v>0.98764370000000001</v>
      </c>
      <c r="S5896">
        <v>9.6908569999999999E-2</v>
      </c>
      <c r="T5896">
        <v>-0.1134114</v>
      </c>
      <c r="U5896">
        <v>3.060028</v>
      </c>
      <c r="V5896">
        <v>-6.2931059999999997E-2</v>
      </c>
      <c r="W5896">
        <v>0.16024749999999999</v>
      </c>
      <c r="X5896">
        <v>0.98506870000000002</v>
      </c>
      <c r="Y5896">
        <v>2.5677249999999999E-2</v>
      </c>
      <c r="Z5896">
        <v>-2.2546699999999999E-2</v>
      </c>
      <c r="AA5896">
        <v>0.99941599999999997</v>
      </c>
      <c r="AB5896">
        <v>33</v>
      </c>
      <c r="AC5896">
        <v>0.94739999999998703</v>
      </c>
      <c r="AD5896">
        <v>-1.110556620438</v>
      </c>
      <c r="AE5896">
        <v>29.658930000000002</v>
      </c>
      <c r="AF5896">
        <v>0.76951259924891802</v>
      </c>
      <c r="AG5896">
        <v>-1.110556620438</v>
      </c>
      <c r="AH5896">
        <v>29.622559757389599</v>
      </c>
      <c r="AI5896">
        <v>92.146303133673499</v>
      </c>
      <c r="AJ5896">
        <v>88.511947952297604</v>
      </c>
      <c r="AK5896">
        <v>29.653356171396801</v>
      </c>
      <c r="AL5896">
        <v>80.778737350241201</v>
      </c>
      <c r="AM5896">
        <v>93.655370269032503</v>
      </c>
      <c r="AN5896">
        <v>0.99999996164433103</v>
      </c>
    </row>
    <row r="5897" spans="1:40" x14ac:dyDescent="0.25">
      <c r="A5897" t="str">
        <f>"20190304155535175"</f>
        <v>20190304155535175</v>
      </c>
      <c r="B5897" t="str">
        <f>"1551686135173896"</f>
        <v>1551686135173896</v>
      </c>
      <c r="C5897" t="s">
        <v>40</v>
      </c>
      <c r="D5897">
        <v>4.8130759999999997</v>
      </c>
      <c r="E5897">
        <v>0.53056230000000004</v>
      </c>
      <c r="F5897" t="s">
        <v>46</v>
      </c>
      <c r="G5897">
        <v>-186.91409999999999</v>
      </c>
      <c r="H5897" s="1">
        <v>-2.430161E-6</v>
      </c>
      <c r="I5897">
        <v>104.02160000000001</v>
      </c>
      <c r="J5897">
        <v>-187.82409999999999</v>
      </c>
      <c r="K5897">
        <v>1.110554</v>
      </c>
      <c r="L5897">
        <v>75.120699999999999</v>
      </c>
      <c r="M5897">
        <v>5.6627739999999998E-3</v>
      </c>
      <c r="N5897">
        <v>-1.4477530000000001E-2</v>
      </c>
      <c r="O5897">
        <v>0.99987919999999997</v>
      </c>
      <c r="P5897">
        <v>-5.7614930000000002E-2</v>
      </c>
      <c r="Q5897">
        <v>0.14551320000000001</v>
      </c>
      <c r="R5897">
        <v>0.98767729999999998</v>
      </c>
      <c r="S5897">
        <v>9.5443730000000004E-2</v>
      </c>
      <c r="T5897">
        <v>-0.1162696</v>
      </c>
      <c r="U5897">
        <v>3.0602420000000001</v>
      </c>
      <c r="V5897">
        <v>-6.3302570000000002E-2</v>
      </c>
      <c r="W5897">
        <v>0.1597547</v>
      </c>
      <c r="X5897">
        <v>0.98512489999999997</v>
      </c>
      <c r="Y5897">
        <v>2.5493749999999999E-2</v>
      </c>
      <c r="Z5897">
        <v>-2.3480109999999998E-2</v>
      </c>
      <c r="AA5897">
        <v>0.99939920000000004</v>
      </c>
      <c r="AB5897">
        <v>33</v>
      </c>
      <c r="AC5897">
        <v>0.90999999999999603</v>
      </c>
      <c r="AD5897">
        <v>-1.110556430161</v>
      </c>
      <c r="AE5897">
        <v>28.9009</v>
      </c>
      <c r="AF5897">
        <v>0.74520971789954005</v>
      </c>
      <c r="AG5897">
        <v>-1.110556430161</v>
      </c>
      <c r="AH5897">
        <v>28.8630136916838</v>
      </c>
      <c r="AI5897">
        <v>92.202737999899</v>
      </c>
      <c r="AJ5897">
        <v>88.5210176456944</v>
      </c>
      <c r="AK5897">
        <v>28.8939826343574</v>
      </c>
      <c r="AL5897">
        <v>80.807340871759607</v>
      </c>
      <c r="AM5897">
        <v>93.676681332656599</v>
      </c>
      <c r="AN5897">
        <v>0.99999992407034899</v>
      </c>
    </row>
    <row r="5898" spans="1:40" x14ac:dyDescent="0.25">
      <c r="A5898" t="str">
        <f>"20190304155535198"</f>
        <v>20190304155535198</v>
      </c>
      <c r="B5898" t="str">
        <f>"1551686135193416"</f>
        <v>1551686135193416</v>
      </c>
      <c r="C5898" t="s">
        <v>40</v>
      </c>
      <c r="D5898">
        <v>4.6953459999999998</v>
      </c>
      <c r="E5898">
        <v>0.53035719999999997</v>
      </c>
      <c r="F5898" t="s">
        <v>46</v>
      </c>
      <c r="G5898">
        <v>-186.99340000000001</v>
      </c>
      <c r="H5898" s="1">
        <v>-2.2295309999999998E-6</v>
      </c>
      <c r="I5898">
        <v>103.58669999999999</v>
      </c>
      <c r="J5898">
        <v>-187.82259999999999</v>
      </c>
      <c r="K5898">
        <v>1.110552</v>
      </c>
      <c r="L5898">
        <v>75.447719999999904</v>
      </c>
      <c r="M5898">
        <v>5.367279E-3</v>
      </c>
      <c r="N5898">
        <v>-1.4473949999999999E-2</v>
      </c>
      <c r="O5898">
        <v>0.99988089999999996</v>
      </c>
      <c r="P5898">
        <v>-5.8096639999999998E-2</v>
      </c>
      <c r="Q5898">
        <v>0.1446577</v>
      </c>
      <c r="R5898">
        <v>0.98777470000000001</v>
      </c>
      <c r="S5898">
        <v>8.9309689999999997E-2</v>
      </c>
      <c r="T5898">
        <v>-0.11938940000000001</v>
      </c>
      <c r="U5898">
        <v>3.0602109999999998</v>
      </c>
      <c r="V5898">
        <v>-6.3492320000000005E-2</v>
      </c>
      <c r="W5898">
        <v>0.15889700000000001</v>
      </c>
      <c r="X5898">
        <v>0.98525149999999995</v>
      </c>
      <c r="Y5898">
        <v>2.3787800000000001E-2</v>
      </c>
      <c r="Z5898">
        <v>-2.4503259999999999E-2</v>
      </c>
      <c r="AA5898">
        <v>0.99941670000000005</v>
      </c>
      <c r="AB5898">
        <v>33</v>
      </c>
      <c r="AC5898">
        <v>0.82919999999998595</v>
      </c>
      <c r="AD5898">
        <v>-1.110554229531</v>
      </c>
      <c r="AE5898">
        <v>28.13898</v>
      </c>
      <c r="AF5898">
        <v>0.67708874849733902</v>
      </c>
      <c r="AG5898">
        <v>-1.110554229531</v>
      </c>
      <c r="AH5898">
        <v>28.099295432223801</v>
      </c>
      <c r="AI5898">
        <v>92.262638037697499</v>
      </c>
      <c r="AJ5898">
        <v>88.619651444480397</v>
      </c>
      <c r="AK5898">
        <v>28.1293829235102</v>
      </c>
      <c r="AL5898">
        <v>80.857120263622903</v>
      </c>
      <c r="AM5898">
        <v>93.687199310819693</v>
      </c>
      <c r="AN5898">
        <v>1.00000002478011</v>
      </c>
    </row>
    <row r="5899" spans="1:40" x14ac:dyDescent="0.25">
      <c r="A5899" t="str">
        <f>"20190304155535221"</f>
        <v>20190304155535221</v>
      </c>
      <c r="B5899" t="str">
        <f>"1551686135213912"</f>
        <v>1551686135213912</v>
      </c>
      <c r="C5899" t="s">
        <v>40</v>
      </c>
      <c r="D5899">
        <v>4.6589080000000003</v>
      </c>
      <c r="E5899">
        <v>0.53015979999999996</v>
      </c>
      <c r="F5899" t="s">
        <v>46</v>
      </c>
      <c r="G5899">
        <v>-187.05289999999999</v>
      </c>
      <c r="H5899" s="1">
        <v>-1.882969E-6</v>
      </c>
      <c r="I5899">
        <v>102.8034</v>
      </c>
      <c r="J5899">
        <v>-187.8211</v>
      </c>
      <c r="K5899">
        <v>1.110547</v>
      </c>
      <c r="L5899">
        <v>75.777339999999995</v>
      </c>
      <c r="M5899">
        <v>5.0695239999999997E-3</v>
      </c>
      <c r="N5899">
        <v>-1.447033E-2</v>
      </c>
      <c r="O5899">
        <v>0.99988250000000001</v>
      </c>
      <c r="P5899">
        <v>-5.8878199999999901E-2</v>
      </c>
      <c r="Q5899">
        <v>0.14367650000000001</v>
      </c>
      <c r="R5899">
        <v>0.98787159999999996</v>
      </c>
      <c r="S5899">
        <v>8.6105349999999997E-2</v>
      </c>
      <c r="T5899">
        <v>-0.1242422</v>
      </c>
      <c r="U5899">
        <v>3.0603940000000001</v>
      </c>
      <c r="V5899">
        <v>-6.3979389999999997E-2</v>
      </c>
      <c r="W5899">
        <v>0.15791350000000001</v>
      </c>
      <c r="X5899">
        <v>0.98537810000000003</v>
      </c>
      <c r="Y5899">
        <v>2.303709E-2</v>
      </c>
      <c r="Z5899">
        <v>-2.6087570000000001E-2</v>
      </c>
      <c r="AA5899">
        <v>0.99939420000000001</v>
      </c>
      <c r="AB5899">
        <v>33</v>
      </c>
      <c r="AC5899">
        <v>0.76820000000000699</v>
      </c>
      <c r="AD5899">
        <v>-1.110548882969</v>
      </c>
      <c r="AE5899">
        <v>27.026059999999902</v>
      </c>
      <c r="AF5899">
        <v>0.63010343502022204</v>
      </c>
      <c r="AG5899">
        <v>-1.110548882969</v>
      </c>
      <c r="AH5899">
        <v>26.984080692667799</v>
      </c>
      <c r="AI5899">
        <v>92.356076709073804</v>
      </c>
      <c r="AJ5899">
        <v>88.662333237867998</v>
      </c>
      <c r="AK5899">
        <v>27.0142732641227</v>
      </c>
      <c r="AL5899">
        <v>80.914191168358997</v>
      </c>
      <c r="AM5899">
        <v>93.714930061251806</v>
      </c>
      <c r="AN5899">
        <v>1.0000000178933099</v>
      </c>
    </row>
    <row r="5900" spans="1:40" x14ac:dyDescent="0.25">
      <c r="A5900" t="str">
        <f>"20190304155535243"</f>
        <v>20190304155535243</v>
      </c>
      <c r="B5900" t="str">
        <f>"1551686135233433"</f>
        <v>1551686135233433</v>
      </c>
      <c r="C5900" t="s">
        <v>40</v>
      </c>
      <c r="D5900">
        <v>4.6357200000000001</v>
      </c>
      <c r="E5900">
        <v>0.53011419999999998</v>
      </c>
      <c r="F5900" t="s">
        <v>46</v>
      </c>
      <c r="G5900">
        <v>-187.1113</v>
      </c>
      <c r="H5900" s="1">
        <v>-1.695388E-6</v>
      </c>
      <c r="I5900">
        <v>102.3715</v>
      </c>
      <c r="J5900">
        <v>-187.81979999999999</v>
      </c>
      <c r="K5900">
        <v>1.110549</v>
      </c>
      <c r="L5900">
        <v>76.091160000000002</v>
      </c>
      <c r="M5900">
        <v>4.7855759999999997E-3</v>
      </c>
      <c r="N5900">
        <v>-1.4466909999999999E-2</v>
      </c>
      <c r="O5900">
        <v>0.99988390000000005</v>
      </c>
      <c r="P5900">
        <v>-5.9680219999999999E-2</v>
      </c>
      <c r="Q5900">
        <v>0.14288890000000001</v>
      </c>
      <c r="R5900">
        <v>0.98793770000000003</v>
      </c>
      <c r="S5900">
        <v>8.1680299999999997E-2</v>
      </c>
      <c r="T5900">
        <v>-0.12779569999999901</v>
      </c>
      <c r="U5900">
        <v>3.0603030000000002</v>
      </c>
      <c r="V5900">
        <v>-6.4501169999999997E-2</v>
      </c>
      <c r="W5900">
        <v>0.15712429999999999</v>
      </c>
      <c r="X5900">
        <v>0.98547019999999996</v>
      </c>
      <c r="Y5900">
        <v>2.1877290000000001E-2</v>
      </c>
      <c r="Z5900">
        <v>-2.7251919999999999E-2</v>
      </c>
      <c r="AA5900">
        <v>0.99938919999999998</v>
      </c>
      <c r="AB5900">
        <v>33</v>
      </c>
      <c r="AC5900">
        <v>0.70849999999998603</v>
      </c>
      <c r="AD5900">
        <v>-1.110550695388</v>
      </c>
      <c r="AE5900">
        <v>26.280339999999899</v>
      </c>
      <c r="AF5900">
        <v>0.58167420201456299</v>
      </c>
      <c r="AG5900">
        <v>-1.110550695388</v>
      </c>
      <c r="AH5900">
        <v>26.236612564354601</v>
      </c>
      <c r="AI5900">
        <v>92.423190220661894</v>
      </c>
      <c r="AJ5900">
        <v>88.729942063022705</v>
      </c>
      <c r="AK5900">
        <v>26.266547290734</v>
      </c>
      <c r="AL5900">
        <v>80.959980297155795</v>
      </c>
      <c r="AM5900">
        <v>93.744792052376496</v>
      </c>
      <c r="AN5900">
        <v>0.99999998083494901</v>
      </c>
    </row>
    <row r="5901" spans="1:40" x14ac:dyDescent="0.25">
      <c r="A5901" t="str">
        <f>"20190304155535267"</f>
        <v>20190304155535267</v>
      </c>
      <c r="B5901" t="str">
        <f>"1551686135263688"</f>
        <v>1551686135263688</v>
      </c>
      <c r="C5901" t="s">
        <v>40</v>
      </c>
      <c r="D5901">
        <v>4.6561640000000004</v>
      </c>
      <c r="E5901">
        <v>0.52979900000000002</v>
      </c>
      <c r="F5901" t="s">
        <v>46</v>
      </c>
      <c r="G5901">
        <v>-187.14959999999999</v>
      </c>
      <c r="H5901" s="1">
        <v>-1.6227510000000001E-6</v>
      </c>
      <c r="I5901">
        <v>102.1879</v>
      </c>
      <c r="J5901">
        <v>-187.8185</v>
      </c>
      <c r="K5901">
        <v>1.110547</v>
      </c>
      <c r="L5901">
        <v>76.449370000000002</v>
      </c>
      <c r="M5901">
        <v>4.4614540000000001E-3</v>
      </c>
      <c r="N5901">
        <v>-1.446304E-2</v>
      </c>
      <c r="O5901">
        <v>0.99988540000000004</v>
      </c>
      <c r="P5901">
        <v>-6.060194E-2</v>
      </c>
      <c r="Q5901">
        <v>0.143047799999999</v>
      </c>
      <c r="R5901">
        <v>0.98785869999999998</v>
      </c>
      <c r="S5901">
        <v>7.8598020000000005E-2</v>
      </c>
      <c r="T5901">
        <v>-0.1302276</v>
      </c>
      <c r="U5901">
        <v>3.0602109999999998</v>
      </c>
      <c r="V5901">
        <v>-6.5101969999999995E-2</v>
      </c>
      <c r="W5901">
        <v>0.157277799999999</v>
      </c>
      <c r="X5901">
        <v>0.98540620000000001</v>
      </c>
      <c r="Y5901">
        <v>2.1195840000000001E-2</v>
      </c>
      <c r="Z5901">
        <v>-2.805063E-2</v>
      </c>
      <c r="AA5901">
        <v>0.99938179999999999</v>
      </c>
      <c r="AB5901">
        <v>32</v>
      </c>
      <c r="AC5901">
        <v>0.66890000000000704</v>
      </c>
      <c r="AD5901">
        <v>-1.110548622751</v>
      </c>
      <c r="AE5901">
        <v>25.738530000000001</v>
      </c>
      <c r="AF5901">
        <v>0.55302119601969202</v>
      </c>
      <c r="AG5901">
        <v>-1.110548622751</v>
      </c>
      <c r="AH5901">
        <v>25.693457364273399</v>
      </c>
      <c r="AI5901">
        <v>92.474383305973205</v>
      </c>
      <c r="AJ5901">
        <v>88.766966689160796</v>
      </c>
      <c r="AK5901">
        <v>25.7233921172243</v>
      </c>
      <c r="AL5901">
        <v>80.951074623032397</v>
      </c>
      <c r="AM5901">
        <v>93.779817267173897</v>
      </c>
      <c r="AN5901">
        <v>0.99999997593458001</v>
      </c>
    </row>
    <row r="5902" spans="1:40" x14ac:dyDescent="0.25">
      <c r="A5902" t="str">
        <f>"20190304155535290"</f>
        <v>20190304155535290</v>
      </c>
      <c r="B5902" t="str">
        <f>"1551686135284183"</f>
        <v>1551686135284183</v>
      </c>
      <c r="C5902" t="s">
        <v>40</v>
      </c>
      <c r="D5902">
        <v>4.656771</v>
      </c>
      <c r="E5902">
        <v>0.52968899999999997</v>
      </c>
      <c r="F5902" t="s">
        <v>46</v>
      </c>
      <c r="G5902">
        <v>-187.1944</v>
      </c>
      <c r="H5902" s="1">
        <v>-1.8179209999999999E-6</v>
      </c>
      <c r="I5902">
        <v>102.7103</v>
      </c>
      <c r="J5902">
        <v>-187.81739999999999</v>
      </c>
      <c r="K5902">
        <v>1.110547</v>
      </c>
      <c r="L5902">
        <v>76.770139999999998</v>
      </c>
      <c r="M5902">
        <v>4.1709989999999999E-3</v>
      </c>
      <c r="N5902">
        <v>-1.445954E-2</v>
      </c>
      <c r="O5902">
        <v>0.99988679999999996</v>
      </c>
      <c r="P5902">
        <v>-6.1371969999999998E-2</v>
      </c>
      <c r="Q5902">
        <v>0.142731</v>
      </c>
      <c r="R5902">
        <v>0.98785690000000004</v>
      </c>
      <c r="S5902">
        <v>7.2723389999999999E-2</v>
      </c>
      <c r="T5902">
        <v>-0.1294081</v>
      </c>
      <c r="U5902">
        <v>3.0600890000000001</v>
      </c>
      <c r="V5902">
        <v>-6.5584610000000002E-2</v>
      </c>
      <c r="W5902">
        <v>0.1569576</v>
      </c>
      <c r="X5902">
        <v>0.98542529999999995</v>
      </c>
      <c r="Y5902">
        <v>1.9570750000000001E-2</v>
      </c>
      <c r="Z5902">
        <v>-2.7790369999999998E-2</v>
      </c>
      <c r="AA5902">
        <v>0.99942220000000004</v>
      </c>
      <c r="AB5902">
        <v>32</v>
      </c>
      <c r="AC5902">
        <v>0.62299999999999001</v>
      </c>
      <c r="AD5902">
        <v>-1.1105488179209999</v>
      </c>
      <c r="AE5902">
        <v>25.940159999999999</v>
      </c>
      <c r="AF5902">
        <v>0.51384562472389494</v>
      </c>
      <c r="AG5902">
        <v>-1.1105488179209999</v>
      </c>
      <c r="AH5902">
        <v>25.895098305140898</v>
      </c>
      <c r="AI5902">
        <v>92.455224979649998</v>
      </c>
      <c r="AJ5902">
        <v>88.863208706819805</v>
      </c>
      <c r="AK5902">
        <v>25.923994141257399</v>
      </c>
      <c r="AL5902">
        <v>80.969651910618794</v>
      </c>
      <c r="AM5902">
        <v>93.807683601433297</v>
      </c>
      <c r="AN5902">
        <v>1.0000000255733501</v>
      </c>
    </row>
    <row r="5903" spans="1:40" x14ac:dyDescent="0.25">
      <c r="A5903" t="str">
        <f>"20190304155535332"</f>
        <v>20190304155535332</v>
      </c>
      <c r="B5903" t="str">
        <f>"1551686135324200"</f>
        <v>1551686135324200</v>
      </c>
      <c r="C5903" t="s">
        <v>40</v>
      </c>
      <c r="D5903">
        <v>4.6859950000000001</v>
      </c>
      <c r="E5903">
        <v>0.52955750000000001</v>
      </c>
      <c r="F5903" t="s">
        <v>46</v>
      </c>
      <c r="G5903">
        <v>-187.2253</v>
      </c>
      <c r="H5903" s="1">
        <v>-1.9153429999999998E-6</v>
      </c>
      <c r="I5903">
        <v>102.9502</v>
      </c>
      <c r="J5903">
        <v>-187.81549999999999</v>
      </c>
      <c r="K5903">
        <v>1.110544</v>
      </c>
      <c r="L5903">
        <v>77.394739999999999</v>
      </c>
      <c r="M5903">
        <v>3.6050689999999998E-3</v>
      </c>
      <c r="N5903">
        <v>-1.445281E-2</v>
      </c>
      <c r="O5903">
        <v>0.99988909999999998</v>
      </c>
      <c r="P5903">
        <v>-6.2397790000000002E-2</v>
      </c>
      <c r="Q5903">
        <v>0.14338519999999999</v>
      </c>
      <c r="R5903">
        <v>0.98769799999999996</v>
      </c>
      <c r="S5903">
        <v>6.9198609999999994E-2</v>
      </c>
      <c r="T5903">
        <v>-0.12980149999999999</v>
      </c>
      <c r="U5903">
        <v>3.0599370000000001</v>
      </c>
      <c r="V5903">
        <v>-6.6050899999999996E-2</v>
      </c>
      <c r="W5903">
        <v>0.1576032</v>
      </c>
      <c r="X5903">
        <v>0.98529109999999998</v>
      </c>
      <c r="Y5903">
        <v>1.8987319999999999E-2</v>
      </c>
      <c r="Z5903">
        <v>-2.792826E-2</v>
      </c>
      <c r="AA5903">
        <v>0.99942960000000003</v>
      </c>
      <c r="AB5903">
        <v>32</v>
      </c>
      <c r="AC5903">
        <v>0.59019999999998096</v>
      </c>
      <c r="AD5903">
        <v>-1.110545915343</v>
      </c>
      <c r="AE5903">
        <v>25.55546</v>
      </c>
      <c r="AF5903">
        <v>0.497119063550506</v>
      </c>
      <c r="AG5903">
        <v>-1.110545915343</v>
      </c>
      <c r="AH5903">
        <v>25.509274507872401</v>
      </c>
      <c r="AI5903">
        <v>92.492324289963193</v>
      </c>
      <c r="AJ5903">
        <v>88.883573917561606</v>
      </c>
      <c r="AK5903">
        <v>25.538275695736001</v>
      </c>
      <c r="AL5903">
        <v>80.932195530715603</v>
      </c>
      <c r="AM5903">
        <v>93.835195520974807</v>
      </c>
      <c r="AN5903">
        <v>1.0000000208901201</v>
      </c>
    </row>
    <row r="5904" spans="1:40" x14ac:dyDescent="0.25">
      <c r="A5904" t="str">
        <f>"20190304155535355"</f>
        <v>20190304155535355</v>
      </c>
      <c r="B5904" t="str">
        <f>"1551686135343720"</f>
        <v>1551686135343720</v>
      </c>
      <c r="C5904" t="s">
        <v>40</v>
      </c>
      <c r="D5904">
        <v>4.6622709999999996</v>
      </c>
      <c r="E5904">
        <v>0.52955959999999902</v>
      </c>
      <c r="F5904" t="s">
        <v>46</v>
      </c>
      <c r="G5904">
        <v>-187.2406</v>
      </c>
      <c r="H5904" s="1">
        <v>-2.4692719999999999E-6</v>
      </c>
      <c r="I5904">
        <v>104.24769999999999</v>
      </c>
      <c r="J5904">
        <v>-187.81460000000001</v>
      </c>
      <c r="K5904">
        <v>1.1105449999999999</v>
      </c>
      <c r="L5904">
        <v>77.710719999999995</v>
      </c>
      <c r="M5904">
        <v>3.3186119999999999E-3</v>
      </c>
      <c r="N5904">
        <v>-1.4449439999999999E-2</v>
      </c>
      <c r="O5904">
        <v>0.9998901</v>
      </c>
      <c r="P5904">
        <v>-6.2436909999999998E-2</v>
      </c>
      <c r="Q5904">
        <v>0.14298449999999999</v>
      </c>
      <c r="R5904">
        <v>0.98775360000000001</v>
      </c>
      <c r="S5904">
        <v>6.5505980000000005E-2</v>
      </c>
      <c r="T5904">
        <v>-0.12654589999999999</v>
      </c>
      <c r="U5904">
        <v>3.0598749999999999</v>
      </c>
      <c r="V5904">
        <v>-6.5807110000000002E-2</v>
      </c>
      <c r="W5904">
        <v>0.1572006</v>
      </c>
      <c r="X5904">
        <v>0.98537169999999996</v>
      </c>
      <c r="Y5904">
        <v>1.806982E-2</v>
      </c>
      <c r="Z5904">
        <v>-2.6871900000000001E-2</v>
      </c>
      <c r="AA5904">
        <v>0.99947549999999996</v>
      </c>
      <c r="AB5904">
        <v>32</v>
      </c>
      <c r="AC5904">
        <v>0.57400000000001195</v>
      </c>
      <c r="AD5904">
        <v>-1.1105474692720001</v>
      </c>
      <c r="AE5904">
        <v>26.53698</v>
      </c>
      <c r="AF5904">
        <v>0.485072572593576</v>
      </c>
      <c r="AG5904">
        <v>-1.1105474692720001</v>
      </c>
      <c r="AH5904">
        <v>26.4923634000315</v>
      </c>
      <c r="AI5904">
        <v>92.400005072301198</v>
      </c>
      <c r="AJ5904">
        <v>88.9510371149359</v>
      </c>
      <c r="AK5904">
        <v>26.5200665459482</v>
      </c>
      <c r="AL5904">
        <v>80.955553753858794</v>
      </c>
      <c r="AM5904">
        <v>93.820770425723296</v>
      </c>
      <c r="AN5904">
        <v>0.99999999576390097</v>
      </c>
    </row>
    <row r="5905" spans="1:40" x14ac:dyDescent="0.25">
      <c r="A5905" t="str">
        <f>"20190304155535377"</f>
        <v>20190304155535377</v>
      </c>
      <c r="B5905" t="str">
        <f>"1551686135373977"</f>
        <v>1551686135373977</v>
      </c>
      <c r="C5905" t="s">
        <v>40</v>
      </c>
      <c r="D5905">
        <v>4.6755599999999999</v>
      </c>
      <c r="E5905">
        <v>0.52949609999999903</v>
      </c>
      <c r="F5905" t="s">
        <v>46</v>
      </c>
      <c r="G5905">
        <v>-187.24109999999999</v>
      </c>
      <c r="H5905" s="1">
        <v>-2.5650769999999998E-6</v>
      </c>
      <c r="I5905">
        <v>104.4713</v>
      </c>
      <c r="J5905">
        <v>-187.81379999999999</v>
      </c>
      <c r="K5905">
        <v>1.110549</v>
      </c>
      <c r="L5905">
        <v>78.041049999999998</v>
      </c>
      <c r="M5905">
        <v>3.01914E-3</v>
      </c>
      <c r="N5905">
        <v>-1.4445960000000001E-2</v>
      </c>
      <c r="O5905">
        <v>0.99989110000000003</v>
      </c>
      <c r="P5905">
        <v>-6.2247629999999998E-2</v>
      </c>
      <c r="Q5905">
        <v>0.14299000000000001</v>
      </c>
      <c r="R5905">
        <v>0.98776470000000005</v>
      </c>
      <c r="S5905">
        <v>6.5567020000000004E-2</v>
      </c>
      <c r="T5905">
        <v>-0.1269767</v>
      </c>
      <c r="U5905">
        <v>3.059723</v>
      </c>
      <c r="V5905">
        <v>-6.5321710000000005E-2</v>
      </c>
      <c r="W5905">
        <v>0.15720339999999999</v>
      </c>
      <c r="X5905">
        <v>0.98540349999999999</v>
      </c>
      <c r="Y5905">
        <v>1.839004E-2</v>
      </c>
      <c r="Z5905">
        <v>-2.701779E-2</v>
      </c>
      <c r="AA5905">
        <v>0.99946579999999996</v>
      </c>
      <c r="AB5905">
        <v>32</v>
      </c>
      <c r="AC5905">
        <v>0.57269999999999699</v>
      </c>
      <c r="AD5905">
        <v>-1.1105515650769999</v>
      </c>
      <c r="AE5905">
        <v>26.430250000000001</v>
      </c>
      <c r="AF5905">
        <v>0.49202416194905801</v>
      </c>
      <c r="AG5905">
        <v>-1.1105515650769999</v>
      </c>
      <c r="AH5905">
        <v>26.385296606956999</v>
      </c>
      <c r="AI5905">
        <v>92.409726264041694</v>
      </c>
      <c r="AJ5905">
        <v>88.931691337762999</v>
      </c>
      <c r="AK5905">
        <v>26.413240800623701</v>
      </c>
      <c r="AL5905">
        <v>80.955390854652194</v>
      </c>
      <c r="AM5905">
        <v>93.792548551563002</v>
      </c>
      <c r="AN5905">
        <v>0.99999994629056499</v>
      </c>
    </row>
    <row r="5906" spans="1:40" x14ac:dyDescent="0.25">
      <c r="A5906" t="str">
        <f>"20190304155535399"</f>
        <v>20190304155535399</v>
      </c>
      <c r="B5906" t="str">
        <f>"1551686135393496"</f>
        <v>1551686135393496</v>
      </c>
      <c r="C5906" t="s">
        <v>40</v>
      </c>
      <c r="D5906">
        <v>4.680199</v>
      </c>
      <c r="E5906">
        <v>0.52953640000000002</v>
      </c>
      <c r="F5906" t="s">
        <v>46</v>
      </c>
      <c r="G5906">
        <v>-187.23849999999999</v>
      </c>
      <c r="H5906" s="1">
        <v>-2.7706460000000002E-6</v>
      </c>
      <c r="I5906">
        <v>104.9494</v>
      </c>
      <c r="J5906">
        <v>-187.81319999999999</v>
      </c>
      <c r="K5906">
        <v>1.1105499999999999</v>
      </c>
      <c r="L5906">
        <v>78.353880000000004</v>
      </c>
      <c r="M5906">
        <v>2.735534E-3</v>
      </c>
      <c r="N5906">
        <v>-1.4442719999999999E-2</v>
      </c>
      <c r="O5906">
        <v>0.99989189999999994</v>
      </c>
      <c r="P5906">
        <v>-6.1482479999999999E-2</v>
      </c>
      <c r="Q5906">
        <v>0.1437832</v>
      </c>
      <c r="R5906">
        <v>0.98769750000000001</v>
      </c>
      <c r="S5906">
        <v>6.5414429999999996E-2</v>
      </c>
      <c r="T5906">
        <v>-0.1262723</v>
      </c>
      <c r="U5906">
        <v>3.0595400000000001</v>
      </c>
      <c r="V5906">
        <v>-6.4276440000000004E-2</v>
      </c>
      <c r="W5906">
        <v>0.15799349999999901</v>
      </c>
      <c r="X5906">
        <v>0.9853459</v>
      </c>
      <c r="Y5906">
        <v>1.8625160000000002E-2</v>
      </c>
      <c r="Z5906">
        <v>-2.679374E-2</v>
      </c>
      <c r="AA5906">
        <v>0.99946740000000001</v>
      </c>
      <c r="AB5906">
        <v>32</v>
      </c>
      <c r="AC5906">
        <v>0.57470000000000698</v>
      </c>
      <c r="AD5906">
        <v>-1.1105527706460001</v>
      </c>
      <c r="AE5906">
        <v>26.59552</v>
      </c>
      <c r="AF5906">
        <v>0.50106403013456402</v>
      </c>
      <c r="AG5906">
        <v>-1.1105527706460001</v>
      </c>
      <c r="AH5906">
        <v>26.550718966301101</v>
      </c>
      <c r="AI5906">
        <v>92.394722705609496</v>
      </c>
      <c r="AJ5906">
        <v>88.918844844454895</v>
      </c>
      <c r="AK5906">
        <v>26.578658172416901</v>
      </c>
      <c r="AL5906">
        <v>80.909548837947796</v>
      </c>
      <c r="AM5906">
        <v>93.732251097442003</v>
      </c>
      <c r="AN5906">
        <v>0.99999997471406599</v>
      </c>
    </row>
    <row r="5907" spans="1:40" x14ac:dyDescent="0.25">
      <c r="A5907" t="str">
        <f>"20190304155535421"</f>
        <v>20190304155535421</v>
      </c>
      <c r="B5907" t="str">
        <f>"1551686135413992"</f>
        <v>1551686135413992</v>
      </c>
      <c r="C5907" t="s">
        <v>40</v>
      </c>
      <c r="D5907">
        <v>4.6716240000000004</v>
      </c>
      <c r="E5907">
        <v>0.52950269999999899</v>
      </c>
      <c r="F5907" t="s">
        <v>46</v>
      </c>
      <c r="G5907">
        <v>-187.2029</v>
      </c>
      <c r="H5907" s="1">
        <v>-3.1953900000000001E-6</v>
      </c>
      <c r="I5907">
        <v>105.9248</v>
      </c>
      <c r="J5907">
        <v>-187.8126</v>
      </c>
      <c r="K5907">
        <v>1.1105590000000001</v>
      </c>
      <c r="L5907">
        <v>78.670169999999999</v>
      </c>
      <c r="M5907">
        <v>2.4485319999999998E-3</v>
      </c>
      <c r="N5907">
        <v>-1.443959E-2</v>
      </c>
      <c r="O5907">
        <v>0.99989280000000003</v>
      </c>
      <c r="P5907">
        <v>-6.0904840000000002E-2</v>
      </c>
      <c r="Q5907">
        <v>0.144665299999999</v>
      </c>
      <c r="R5907">
        <v>0.98760440000000005</v>
      </c>
      <c r="S5907">
        <v>6.7718509999999996E-2</v>
      </c>
      <c r="T5907">
        <v>-0.1232369</v>
      </c>
      <c r="U5907">
        <v>3.0595089999999998</v>
      </c>
      <c r="V5907">
        <v>-6.3415529999999998E-2</v>
      </c>
      <c r="W5907">
        <v>0.15887209999999999</v>
      </c>
      <c r="X5907">
        <v>0.98526040000000004</v>
      </c>
      <c r="Y5907">
        <v>1.966497E-2</v>
      </c>
      <c r="Z5907">
        <v>-2.5806630000000001E-2</v>
      </c>
      <c r="AA5907">
        <v>0.99947350000000001</v>
      </c>
      <c r="AB5907">
        <v>32</v>
      </c>
      <c r="AC5907">
        <v>0.60970000000000302</v>
      </c>
      <c r="AD5907">
        <v>-1.11056219539</v>
      </c>
      <c r="AE5907">
        <v>27.254629999999999</v>
      </c>
      <c r="AF5907">
        <v>0.54205781671263398</v>
      </c>
      <c r="AG5907">
        <v>-1.11056219539</v>
      </c>
      <c r="AH5907">
        <v>27.2108837395498</v>
      </c>
      <c r="AI5907">
        <v>92.336661753358996</v>
      </c>
      <c r="AJ5907">
        <v>88.858783190867896</v>
      </c>
      <c r="AK5907">
        <v>27.2389311272265</v>
      </c>
      <c r="AL5907">
        <v>80.858564730478307</v>
      </c>
      <c r="AM5907">
        <v>93.682718977801599</v>
      </c>
      <c r="AN5907">
        <v>0.99999996470587404</v>
      </c>
    </row>
    <row r="5908" spans="1:40" x14ac:dyDescent="0.25">
      <c r="A5908" t="str">
        <f>"20190304155535445"</f>
        <v>20190304155535445</v>
      </c>
      <c r="B5908" t="str">
        <f>"1551686135433512"</f>
        <v>1551686135433512</v>
      </c>
      <c r="C5908" t="s">
        <v>40</v>
      </c>
      <c r="D5908">
        <v>4.7553479999999997</v>
      </c>
      <c r="E5908">
        <v>0.52957339999999997</v>
      </c>
      <c r="F5908" t="s">
        <v>46</v>
      </c>
      <c r="G5908">
        <v>-187.1722</v>
      </c>
      <c r="H5908" s="1">
        <v>-3.6768690000000001E-6</v>
      </c>
      <c r="I5908">
        <v>107.03440000000001</v>
      </c>
      <c r="J5908">
        <v>-187.81209999999999</v>
      </c>
      <c r="K5908">
        <v>1.1105659999999999</v>
      </c>
      <c r="L5908">
        <v>79.001980000000003</v>
      </c>
      <c r="M5908">
        <v>2.1474350000000001E-3</v>
      </c>
      <c r="N5908">
        <v>-1.443608E-2</v>
      </c>
      <c r="O5908">
        <v>0.99989349999999999</v>
      </c>
      <c r="P5908">
        <v>-5.985E-2</v>
      </c>
      <c r="Q5908">
        <v>0.1455872</v>
      </c>
      <c r="R5908">
        <v>0.98753349999999995</v>
      </c>
      <c r="S5908">
        <v>6.9076540000000006E-2</v>
      </c>
      <c r="T5908">
        <v>-0.11978850000000001</v>
      </c>
      <c r="U5908">
        <v>3.0594480000000002</v>
      </c>
      <c r="V5908">
        <v>-6.2063430000000003E-2</v>
      </c>
      <c r="W5908">
        <v>0.1597905</v>
      </c>
      <c r="X5908">
        <v>0.98519800000000002</v>
      </c>
      <c r="Y5908">
        <v>2.0410419999999999E-2</v>
      </c>
      <c r="Z5908">
        <v>-2.4685729999999999E-2</v>
      </c>
      <c r="AA5908">
        <v>0.99948689999999996</v>
      </c>
      <c r="AB5908">
        <v>32</v>
      </c>
      <c r="AC5908">
        <v>0.63989999999998204</v>
      </c>
      <c r="AD5908">
        <v>-1.1105696768690001</v>
      </c>
      <c r="AE5908">
        <v>28.032419999999998</v>
      </c>
      <c r="AF5908">
        <v>0.57878650012794697</v>
      </c>
      <c r="AG5908">
        <v>-1.1105696768690001</v>
      </c>
      <c r="AH5908">
        <v>27.989821569974499</v>
      </c>
      <c r="AI5908">
        <v>92.271683528142404</v>
      </c>
      <c r="AJ5908">
        <v>88.815380150071604</v>
      </c>
      <c r="AK5908">
        <v>28.017824154257902</v>
      </c>
      <c r="AL5908">
        <v>80.805263566298606</v>
      </c>
      <c r="AM5908">
        <v>93.604635648094998</v>
      </c>
      <c r="AN5908">
        <v>0.99999998621880704</v>
      </c>
    </row>
    <row r="5909" spans="1:40" x14ac:dyDescent="0.25">
      <c r="A5909" t="str">
        <f>"20190304155535467"</f>
        <v>20190304155535467</v>
      </c>
      <c r="B5909" t="str">
        <f>"1551686135463767"</f>
        <v>1551686135463767</v>
      </c>
      <c r="C5909" t="s">
        <v>40</v>
      </c>
      <c r="D5909">
        <v>4.6985859999999997</v>
      </c>
      <c r="E5909">
        <v>0.52954780000000001</v>
      </c>
      <c r="F5909" t="s">
        <v>46</v>
      </c>
      <c r="G5909">
        <v>-187.1123</v>
      </c>
      <c r="H5909" s="1">
        <v>-4.2527199999999997E-6</v>
      </c>
      <c r="I5909">
        <v>108.3519</v>
      </c>
      <c r="J5909">
        <v>-187.81180000000001</v>
      </c>
      <c r="K5909">
        <v>1.110573</v>
      </c>
      <c r="L5909">
        <v>79.320679999999996</v>
      </c>
      <c r="M5909">
        <v>1.858054E-3</v>
      </c>
      <c r="N5909">
        <v>-1.4432530000000001E-2</v>
      </c>
      <c r="O5909">
        <v>0.99989410000000001</v>
      </c>
      <c r="P5909">
        <v>-5.9446440000000003E-2</v>
      </c>
      <c r="Q5909">
        <v>0.14663590000000001</v>
      </c>
      <c r="R5909">
        <v>0.98740269999999997</v>
      </c>
      <c r="S5909">
        <v>7.295227E-2</v>
      </c>
      <c r="T5909">
        <v>-0.1157627</v>
      </c>
      <c r="U5909">
        <v>3.0593569999999999</v>
      </c>
      <c r="V5909">
        <v>-6.1374060000000001E-2</v>
      </c>
      <c r="W5909">
        <v>0.16083449999999999</v>
      </c>
      <c r="X5909">
        <v>0.98507129999999998</v>
      </c>
      <c r="Y5909">
        <v>2.1966289999999999E-2</v>
      </c>
      <c r="Z5909">
        <v>-2.3376000000000001E-2</v>
      </c>
      <c r="AA5909">
        <v>0.99948539999999997</v>
      </c>
      <c r="AB5909">
        <v>32</v>
      </c>
      <c r="AC5909">
        <v>0.69950000000000001</v>
      </c>
      <c r="AD5909">
        <v>-1.11057725272</v>
      </c>
      <c r="AE5909">
        <v>29.031219999999902</v>
      </c>
      <c r="AF5909">
        <v>0.64460881623683397</v>
      </c>
      <c r="AG5909">
        <v>-1.11057725272</v>
      </c>
      <c r="AH5909">
        <v>28.990069884530001</v>
      </c>
      <c r="AI5909">
        <v>92.193323017555699</v>
      </c>
      <c r="AJ5909">
        <v>88.7262093632838</v>
      </c>
      <c r="AK5909">
        <v>29.0184950379954</v>
      </c>
      <c r="AL5909">
        <v>80.744663004125897</v>
      </c>
      <c r="AM5909">
        <v>93.565158259476803</v>
      </c>
      <c r="AN5909">
        <v>0.99999998885741104</v>
      </c>
    </row>
    <row r="5910" spans="1:40" x14ac:dyDescent="0.25">
      <c r="A5910" t="str">
        <f>"20190304155535490"</f>
        <v>20190304155535490</v>
      </c>
      <c r="B5910" t="str">
        <f>"1551686135484264"</f>
        <v>1551686135484264</v>
      </c>
      <c r="C5910" t="s">
        <v>40</v>
      </c>
      <c r="D5910">
        <v>4.7335379999999896</v>
      </c>
      <c r="E5910">
        <v>0.52946280000000001</v>
      </c>
      <c r="F5910" t="s">
        <v>46</v>
      </c>
      <c r="G5910">
        <v>-187.08699999999999</v>
      </c>
      <c r="H5910" s="1">
        <v>-7.6900819999999996E-7</v>
      </c>
      <c r="I5910">
        <v>109.63030000000001</v>
      </c>
      <c r="J5910">
        <v>-187.8115</v>
      </c>
      <c r="K5910">
        <v>1.1105700000000001</v>
      </c>
      <c r="L5910">
        <v>79.654049999999998</v>
      </c>
      <c r="M5910">
        <v>1.5553819999999999E-3</v>
      </c>
      <c r="N5910">
        <v>-1.4428710000000001E-2</v>
      </c>
      <c r="O5910">
        <v>0.99989470000000003</v>
      </c>
      <c r="P5910">
        <v>-5.8840690000000001E-2</v>
      </c>
      <c r="Q5910">
        <v>0.14768999999999999</v>
      </c>
      <c r="R5910">
        <v>0.98728190000000005</v>
      </c>
      <c r="S5910">
        <v>7.3150629999999994E-2</v>
      </c>
      <c r="T5910">
        <v>-0.1120968</v>
      </c>
      <c r="U5910">
        <v>3.059326</v>
      </c>
      <c r="V5910">
        <v>-6.0470110000000001E-2</v>
      </c>
      <c r="W5910">
        <v>0.1618839</v>
      </c>
      <c r="X5910">
        <v>0.98495529999999998</v>
      </c>
      <c r="Y5910">
        <v>2.2334630000000001E-2</v>
      </c>
      <c r="Z5910">
        <v>-2.2183999999999999E-2</v>
      </c>
      <c r="AA5910">
        <v>0.99950439999999996</v>
      </c>
      <c r="AB5910">
        <v>32</v>
      </c>
      <c r="AC5910">
        <v>0.72449999999997705</v>
      </c>
      <c r="AD5910">
        <v>-1.1105707690082001</v>
      </c>
      <c r="AE5910">
        <v>29.97625</v>
      </c>
      <c r="AF5910">
        <v>0.67694113625692398</v>
      </c>
      <c r="AG5910">
        <v>-1.1105707690082001</v>
      </c>
      <c r="AH5910">
        <v>29.936274761577099</v>
      </c>
      <c r="AI5910">
        <v>92.124032197230804</v>
      </c>
      <c r="AJ5910">
        <v>88.704606316144506</v>
      </c>
      <c r="AK5910">
        <v>29.9645150692544</v>
      </c>
      <c r="AL5910">
        <v>80.683738422080495</v>
      </c>
      <c r="AM5910">
        <v>93.513193835506996</v>
      </c>
      <c r="AN5910">
        <v>0.99999998714035598</v>
      </c>
    </row>
    <row r="5911" spans="1:40" x14ac:dyDescent="0.25">
      <c r="A5911" t="str">
        <f>"20190304155535514"</f>
        <v>20190304155535514</v>
      </c>
      <c r="B5911" t="str">
        <f>"1551686135503784"</f>
        <v>1551686135503784</v>
      </c>
      <c r="C5911" t="s">
        <v>40</v>
      </c>
      <c r="D5911">
        <v>4.7010050000000003</v>
      </c>
      <c r="E5911">
        <v>0.51449219999999996</v>
      </c>
      <c r="F5911" t="s">
        <v>46</v>
      </c>
      <c r="G5911">
        <v>-187.05760000000001</v>
      </c>
      <c r="H5911" s="1">
        <v>-1.16644E-6</v>
      </c>
      <c r="I5911">
        <v>110.77509999999999</v>
      </c>
      <c r="J5911">
        <v>-187.81129999999999</v>
      </c>
      <c r="K5911">
        <v>1.1105750000000001</v>
      </c>
      <c r="L5911">
        <v>79.989559999999997</v>
      </c>
      <c r="M5911">
        <v>1.250641E-3</v>
      </c>
      <c r="N5911">
        <v>-1.4424899999999999E-2</v>
      </c>
      <c r="O5911">
        <v>0.99989519999999998</v>
      </c>
      <c r="P5911">
        <v>-5.8023529999999997E-2</v>
      </c>
      <c r="Q5911">
        <v>0.14821379999999901</v>
      </c>
      <c r="R5911">
        <v>0.98725169999999995</v>
      </c>
      <c r="S5911">
        <v>7.4111940000000001E-2</v>
      </c>
      <c r="T5911">
        <v>-0.10917590000000001</v>
      </c>
      <c r="U5911">
        <v>3.0593870000000001</v>
      </c>
      <c r="V5911">
        <v>-5.9351349999999997E-2</v>
      </c>
      <c r="W5911">
        <v>0.1624042</v>
      </c>
      <c r="X5911">
        <v>0.98493770000000003</v>
      </c>
      <c r="Y5911">
        <v>2.295316E-2</v>
      </c>
      <c r="Z5911">
        <v>-2.1233680000000001E-2</v>
      </c>
      <c r="AA5911">
        <v>0.99951100000000004</v>
      </c>
      <c r="AB5911">
        <v>32</v>
      </c>
      <c r="AC5911">
        <v>0.75369999999998005</v>
      </c>
      <c r="AD5911">
        <v>-1.11057616644</v>
      </c>
      <c r="AE5911">
        <v>30.785540000000001</v>
      </c>
      <c r="AF5911">
        <v>0.71426477565226898</v>
      </c>
      <c r="AG5911">
        <v>-1.11057616644</v>
      </c>
      <c r="AH5911">
        <v>30.746469843345601</v>
      </c>
      <c r="AI5911">
        <v>92.068092223604296</v>
      </c>
      <c r="AJ5911">
        <v>88.669213154744</v>
      </c>
      <c r="AK5911">
        <v>30.7748105017555</v>
      </c>
      <c r="AL5911">
        <v>80.653527677132899</v>
      </c>
      <c r="AM5911">
        <v>93.448415879398993</v>
      </c>
      <c r="AN5911">
        <v>0.99999998990287597</v>
      </c>
    </row>
    <row r="5912" spans="1:40" x14ac:dyDescent="0.25">
      <c r="A5912" t="str">
        <f>"20190304155535533"</f>
        <v>20190304155535533</v>
      </c>
      <c r="B5912" t="str">
        <f>"1551686135524052"</f>
        <v>1551686135524052</v>
      </c>
      <c r="C5912" t="s">
        <v>40</v>
      </c>
      <c r="D5912">
        <v>4.7460490000000002</v>
      </c>
      <c r="E5912">
        <v>0.51251729999999995</v>
      </c>
      <c r="F5912" t="s">
        <v>46</v>
      </c>
      <c r="G5912">
        <v>-188.99299999999999</v>
      </c>
      <c r="H5912" s="1">
        <v>-7.6617019999999997E-7</v>
      </c>
      <c r="I5912">
        <v>160.8742</v>
      </c>
      <c r="J5912">
        <v>-187.81120000000001</v>
      </c>
      <c r="K5912">
        <v>1.1105799999999999</v>
      </c>
      <c r="L5912">
        <v>80.280029999999996</v>
      </c>
      <c r="M5912">
        <v>9.8689539999999992E-4</v>
      </c>
      <c r="N5912">
        <v>-1.442162E-2</v>
      </c>
      <c r="O5912">
        <v>0.99989550000000005</v>
      </c>
      <c r="P5912">
        <v>-5.7465059999999998E-2</v>
      </c>
      <c r="Q5912">
        <v>0.1493352</v>
      </c>
      <c r="R5912">
        <v>0.98711539999999998</v>
      </c>
      <c r="S5912">
        <v>-4.4448849999999998E-2</v>
      </c>
      <c r="T5912">
        <v>-4.1773560000000001E-2</v>
      </c>
      <c r="U5912">
        <v>3.0424190000000002</v>
      </c>
      <c r="V5912">
        <v>-5.8533059999999998E-2</v>
      </c>
      <c r="W5912">
        <v>0.16352069999999999</v>
      </c>
      <c r="X5912">
        <v>0.98480190000000001</v>
      </c>
      <c r="Y5912">
        <v>-1.5591870000000001E-2</v>
      </c>
      <c r="Z5912">
        <v>6.9429069999999999E-4</v>
      </c>
      <c r="AA5912">
        <v>0.99987820000000005</v>
      </c>
      <c r="AB5912">
        <v>32</v>
      </c>
      <c r="AC5912">
        <v>-1.18179999999998</v>
      </c>
      <c r="AD5912">
        <v>-1.1105807661702001</v>
      </c>
      <c r="AE5912">
        <v>80.594169999999906</v>
      </c>
      <c r="AF5912">
        <v>-1.26110629884709</v>
      </c>
      <c r="AG5912">
        <v>-1.1105807661702001</v>
      </c>
      <c r="AH5912">
        <v>80.577667024660997</v>
      </c>
      <c r="AI5912">
        <v>90.7895459620309</v>
      </c>
      <c r="AJ5912">
        <v>90.896652538038097</v>
      </c>
      <c r="AK5912">
        <v>80.595187212837502</v>
      </c>
      <c r="AL5912">
        <v>80.588689924522498</v>
      </c>
      <c r="AM5912">
        <v>93.401452074979304</v>
      </c>
      <c r="AN5912">
        <v>0.99999996034253102</v>
      </c>
    </row>
    <row r="5913" spans="1:40" x14ac:dyDescent="0.25">
      <c r="A5913" t="str">
        <f>"20190304155535556"</f>
        <v>20190304155535556</v>
      </c>
      <c r="B5913" t="str">
        <f>"1551686135553332"</f>
        <v>1551686135553332</v>
      </c>
      <c r="C5913" t="s">
        <v>40</v>
      </c>
      <c r="D5913">
        <v>4.7178069999999996</v>
      </c>
      <c r="E5913">
        <v>0.51121559999999999</v>
      </c>
      <c r="F5913" t="s">
        <v>62</v>
      </c>
      <c r="G5913">
        <v>-189.29679999999999</v>
      </c>
      <c r="H5913" s="1">
        <v>-1.3813429999999999E-5</v>
      </c>
      <c r="I5913">
        <v>156.90280000000001</v>
      </c>
      <c r="J5913">
        <v>-187.81120000000001</v>
      </c>
      <c r="K5913">
        <v>1.1105780000000001</v>
      </c>
      <c r="L5913">
        <v>80.602450000000005</v>
      </c>
      <c r="M5913">
        <v>6.9408830000000003E-4</v>
      </c>
      <c r="N5913">
        <v>-1.4418E-2</v>
      </c>
      <c r="O5913">
        <v>0.9998958</v>
      </c>
      <c r="P5913">
        <v>-5.7464649999999999E-2</v>
      </c>
      <c r="Q5913">
        <v>0.1494201</v>
      </c>
      <c r="R5913">
        <v>0.98710260000000005</v>
      </c>
      <c r="S5913">
        <v>-5.8990479999999998E-2</v>
      </c>
      <c r="T5913">
        <v>-4.4097299999999999E-2</v>
      </c>
      <c r="U5913">
        <v>3.042389</v>
      </c>
      <c r="V5913">
        <v>-5.8243450000000002E-2</v>
      </c>
      <c r="W5913">
        <v>0.163603</v>
      </c>
      <c r="X5913">
        <v>0.9848055</v>
      </c>
      <c r="Y5913">
        <v>-2.007573E-2</v>
      </c>
      <c r="Z5913" s="1">
        <v>-7.1865580000000004E-5</v>
      </c>
      <c r="AA5913">
        <v>0.99979850000000003</v>
      </c>
      <c r="AB5913">
        <v>32</v>
      </c>
      <c r="AC5913">
        <v>-1.4855999999999701</v>
      </c>
      <c r="AD5913">
        <v>-1.1105918134299999</v>
      </c>
      <c r="AE5913">
        <v>76.300349999999995</v>
      </c>
      <c r="AF5913">
        <v>-1.538238555553</v>
      </c>
      <c r="AG5913">
        <v>-1.1105918134299999</v>
      </c>
      <c r="AH5913">
        <v>76.283144892591693</v>
      </c>
      <c r="AI5913">
        <v>90.833929934314298</v>
      </c>
      <c r="AJ5913">
        <v>91.155204525903201</v>
      </c>
      <c r="AK5913">
        <v>76.306734871399001</v>
      </c>
      <c r="AL5913">
        <v>80.583911030311995</v>
      </c>
      <c r="AM5913">
        <v>93.384649242181894</v>
      </c>
      <c r="AN5913">
        <v>1.0000000569535701</v>
      </c>
    </row>
    <row r="5914" spans="1:40" x14ac:dyDescent="0.25">
      <c r="A5914" t="str">
        <f>"20190304155535603"</f>
        <v>20190304155535603</v>
      </c>
      <c r="B5914" t="str">
        <f>"1551686135593348"</f>
        <v>1551686135593348</v>
      </c>
      <c r="C5914" t="s">
        <v>40</v>
      </c>
      <c r="D5914">
        <v>4.7281559999999896</v>
      </c>
      <c r="E5914">
        <v>0.51238279999999903</v>
      </c>
      <c r="F5914" t="s">
        <v>62</v>
      </c>
      <c r="G5914">
        <v>-189.58539999999999</v>
      </c>
      <c r="H5914" s="1">
        <v>-1.4311369999999999E-5</v>
      </c>
      <c r="I5914">
        <v>158.06360000000001</v>
      </c>
      <c r="J5914">
        <v>-187.81139999999999</v>
      </c>
      <c r="K5914">
        <v>1.110574</v>
      </c>
      <c r="L5914">
        <v>81.245999999999995</v>
      </c>
      <c r="M5914">
        <v>1.097118E-4</v>
      </c>
      <c r="N5914">
        <v>-1.4410869999999999E-2</v>
      </c>
      <c r="O5914">
        <v>0.99989620000000001</v>
      </c>
      <c r="P5914">
        <v>-5.6915239999999999E-2</v>
      </c>
      <c r="Q5914">
        <v>0.1501507</v>
      </c>
      <c r="R5914">
        <v>0.98702350000000005</v>
      </c>
      <c r="S5914">
        <v>-6.9671629999999998E-2</v>
      </c>
      <c r="T5914">
        <v>-4.361081E-2</v>
      </c>
      <c r="U5914">
        <v>3.0417480000000001</v>
      </c>
      <c r="V5914">
        <v>-5.7116939999999998E-2</v>
      </c>
      <c r="W5914">
        <v>0.16432639999999901</v>
      </c>
      <c r="X5914">
        <v>0.98475100000000004</v>
      </c>
      <c r="Y5914">
        <v>-2.3004050000000002E-2</v>
      </c>
      <c r="Z5914" s="1">
        <v>7.8723830000000002E-5</v>
      </c>
      <c r="AA5914">
        <v>0.99973540000000005</v>
      </c>
      <c r="AB5914">
        <v>32</v>
      </c>
      <c r="AC5914">
        <v>-1.774</v>
      </c>
      <c r="AD5914">
        <v>-1.1105883113699999</v>
      </c>
      <c r="AE5914">
        <v>76.817599999999999</v>
      </c>
      <c r="AF5914">
        <v>-1.78205637712825</v>
      </c>
      <c r="AG5914">
        <v>-1.1105883113699999</v>
      </c>
      <c r="AH5914">
        <v>76.801360540167394</v>
      </c>
      <c r="AI5914">
        <v>90.828246642777103</v>
      </c>
      <c r="AJ5914">
        <v>91.329221125029505</v>
      </c>
      <c r="AK5914">
        <v>76.830059951489005</v>
      </c>
      <c r="AL5914">
        <v>80.541894283029904</v>
      </c>
      <c r="AM5914">
        <v>93.319516489644798</v>
      </c>
      <c r="AN5914">
        <v>1.0000000212864599</v>
      </c>
    </row>
    <row r="5915" spans="1:40" x14ac:dyDescent="0.25">
      <c r="A5915" t="str">
        <f>"20190304155535623"</f>
        <v>20190304155535623</v>
      </c>
      <c r="B5915" t="str">
        <f>"1551686135613844"</f>
        <v>1551686135613844</v>
      </c>
      <c r="C5915" t="s">
        <v>40</v>
      </c>
      <c r="D5915">
        <v>4.7570079999999999</v>
      </c>
      <c r="E5915">
        <v>0.51225120000000002</v>
      </c>
      <c r="F5915" t="s">
        <v>62</v>
      </c>
      <c r="G5915">
        <v>-189.23</v>
      </c>
      <c r="H5915" s="1">
        <v>-1.305327E-5</v>
      </c>
      <c r="I5915">
        <v>155.1309</v>
      </c>
      <c r="J5915">
        <v>-187.8117</v>
      </c>
      <c r="K5915">
        <v>1.110581</v>
      </c>
      <c r="L5915">
        <v>81.556640000000002</v>
      </c>
      <c r="M5915">
        <v>-1.7265369999999901E-4</v>
      </c>
      <c r="N5915">
        <v>-1.440747E-2</v>
      </c>
      <c r="O5915">
        <v>0.99989620000000001</v>
      </c>
      <c r="P5915">
        <v>-5.6680229999999998E-2</v>
      </c>
      <c r="Q5915">
        <v>0.15038170000000001</v>
      </c>
      <c r="R5915">
        <v>0.98700189999999999</v>
      </c>
      <c r="S5915">
        <v>-5.8425900000000003E-2</v>
      </c>
      <c r="T5915">
        <v>-4.5740719999999999E-2</v>
      </c>
      <c r="U5915">
        <v>3.0430299999999999</v>
      </c>
      <c r="V5915">
        <v>-5.6603390000000003E-2</v>
      </c>
      <c r="W5915">
        <v>0.1645546</v>
      </c>
      <c r="X5915">
        <v>0.98474249999999997</v>
      </c>
      <c r="Y5915">
        <v>-1.90197E-2</v>
      </c>
      <c r="Z5915">
        <v>-6.1948549999999998E-4</v>
      </c>
      <c r="AA5915">
        <v>0.99981889999999995</v>
      </c>
      <c r="AB5915">
        <v>32</v>
      </c>
      <c r="AC5915">
        <v>-1.4182999999999799</v>
      </c>
      <c r="AD5915">
        <v>-1.11059405327</v>
      </c>
      <c r="AE5915">
        <v>73.574259999999995</v>
      </c>
      <c r="AF5915">
        <v>-1.4052757117492201</v>
      </c>
      <c r="AG5915">
        <v>-1.11059405327</v>
      </c>
      <c r="AH5915">
        <v>73.557749516029602</v>
      </c>
      <c r="AI5915">
        <v>90.864843086680096</v>
      </c>
      <c r="AJ5915">
        <v>91.0944676047434</v>
      </c>
      <c r="AK5915">
        <v>73.579553768965894</v>
      </c>
      <c r="AL5915">
        <v>80.528638505972097</v>
      </c>
      <c r="AM5915">
        <v>93.289764226002703</v>
      </c>
      <c r="AN5915">
        <v>0.99999997572345001</v>
      </c>
    </row>
    <row r="5916" spans="1:40" x14ac:dyDescent="0.25">
      <c r="A5916" t="str">
        <f>"20190304155535648"</f>
        <v>20190304155535648</v>
      </c>
      <c r="B5916" t="str">
        <f>"1551686135643437"</f>
        <v>1551686135643437</v>
      </c>
      <c r="C5916" t="s">
        <v>40</v>
      </c>
      <c r="D5916">
        <v>4.6930230000000002</v>
      </c>
      <c r="E5916">
        <v>0.51205249999999902</v>
      </c>
      <c r="F5916" t="s">
        <v>62</v>
      </c>
      <c r="G5916">
        <v>-189.1848</v>
      </c>
      <c r="H5916" s="1">
        <v>-1.215106E-5</v>
      </c>
      <c r="I5916">
        <v>153.04159999999999</v>
      </c>
      <c r="J5916">
        <v>-187.81209999999999</v>
      </c>
      <c r="K5916">
        <v>1.1105860000000001</v>
      </c>
      <c r="L5916">
        <v>81.893709999999999</v>
      </c>
      <c r="M5916">
        <v>-4.7941059999999998E-4</v>
      </c>
      <c r="N5916">
        <v>-1.440378E-2</v>
      </c>
      <c r="O5916">
        <v>0.99989620000000001</v>
      </c>
      <c r="P5916">
        <v>-5.6860769999999998E-2</v>
      </c>
      <c r="Q5916">
        <v>0.15110479999999901</v>
      </c>
      <c r="R5916">
        <v>0.98688109999999996</v>
      </c>
      <c r="S5916">
        <v>-5.8456420000000002E-2</v>
      </c>
      <c r="T5916">
        <v>-4.7281860000000002E-2</v>
      </c>
      <c r="U5916">
        <v>3.0433650000000001</v>
      </c>
      <c r="V5916">
        <v>-5.6481009999999998E-2</v>
      </c>
      <c r="W5916">
        <v>0.16527269999999999</v>
      </c>
      <c r="X5916">
        <v>0.98462930000000004</v>
      </c>
      <c r="Y5916">
        <v>-1.8720859999999999E-2</v>
      </c>
      <c r="Z5916">
        <v>-1.1277870000000001E-3</v>
      </c>
      <c r="AA5916">
        <v>0.99982409999999999</v>
      </c>
      <c r="AB5916">
        <v>32</v>
      </c>
      <c r="AC5916">
        <v>-1.3727</v>
      </c>
      <c r="AD5916">
        <v>-1.11059815106</v>
      </c>
      <c r="AE5916">
        <v>71.147889999999904</v>
      </c>
      <c r="AF5916">
        <v>-1.3382612890061101</v>
      </c>
      <c r="AG5916">
        <v>-1.11059815106</v>
      </c>
      <c r="AH5916">
        <v>71.131214371421095</v>
      </c>
      <c r="AI5916">
        <v>90.894349424942206</v>
      </c>
      <c r="AJ5916">
        <v>91.077834525435804</v>
      </c>
      <c r="AK5916">
        <v>71.152470297831897</v>
      </c>
      <c r="AL5916">
        <v>80.486923608457005</v>
      </c>
      <c r="AM5916">
        <v>93.283043698951403</v>
      </c>
      <c r="AN5916">
        <v>1.0000000141371901</v>
      </c>
    </row>
    <row r="5917" spans="1:40" x14ac:dyDescent="0.25">
      <c r="A5917" t="str">
        <f>"20190304155535669"</f>
        <v>20190304155535669</v>
      </c>
      <c r="B5917" t="str">
        <f>"1551686135663933"</f>
        <v>1551686135663933</v>
      </c>
      <c r="C5917" t="s">
        <v>40</v>
      </c>
      <c r="D5917">
        <v>4.6954589999999996</v>
      </c>
      <c r="E5917">
        <v>0.51190259999999999</v>
      </c>
      <c r="F5917" t="s">
        <v>62</v>
      </c>
      <c r="G5917">
        <v>-189.2551</v>
      </c>
      <c r="H5917" s="1">
        <v>-1.25918699999999E-5</v>
      </c>
      <c r="I5917">
        <v>154.06790000000001</v>
      </c>
      <c r="J5917">
        <v>-187.8125</v>
      </c>
      <c r="K5917">
        <v>1.1105910000000001</v>
      </c>
      <c r="L5917">
        <v>82.200739999999996</v>
      </c>
      <c r="M5917">
        <v>-7.5876920000000003E-4</v>
      </c>
      <c r="N5917">
        <v>-1.440044E-2</v>
      </c>
      <c r="O5917">
        <v>0.99989600000000001</v>
      </c>
      <c r="P5917">
        <v>-5.6635659999999997E-2</v>
      </c>
      <c r="Q5917">
        <v>0.152199799999999</v>
      </c>
      <c r="R5917">
        <v>0.98672570000000004</v>
      </c>
      <c r="S5917">
        <v>-6.0852049999999998E-2</v>
      </c>
      <c r="T5917">
        <v>-4.6833399999999997E-2</v>
      </c>
      <c r="U5917">
        <v>3.0435490000000001</v>
      </c>
      <c r="V5917">
        <v>-5.59809E-2</v>
      </c>
      <c r="W5917">
        <v>0.16636219999999999</v>
      </c>
      <c r="X5917">
        <v>0.98447439999999997</v>
      </c>
      <c r="Y5917">
        <v>-1.9226960000000001E-2</v>
      </c>
      <c r="Z5917">
        <v>-9.8275149999999998E-4</v>
      </c>
      <c r="AA5917">
        <v>0.99981469999999995</v>
      </c>
      <c r="AB5917">
        <v>32</v>
      </c>
      <c r="AC5917">
        <v>-1.4425999999999899</v>
      </c>
      <c r="AD5917">
        <v>-1.1106035918699999</v>
      </c>
      <c r="AE5917">
        <v>71.867159999999998</v>
      </c>
      <c r="AF5917">
        <v>-1.38773206669134</v>
      </c>
      <c r="AG5917">
        <v>-1.1106035918699999</v>
      </c>
      <c r="AH5917">
        <v>71.851081991201099</v>
      </c>
      <c r="AI5917">
        <v>90.885386377163201</v>
      </c>
      <c r="AJ5917">
        <v>91.106473330941</v>
      </c>
      <c r="AK5917">
        <v>71.873063270835303</v>
      </c>
      <c r="AL5917">
        <v>80.423623841547098</v>
      </c>
      <c r="AM5917">
        <v>93.254547699071196</v>
      </c>
      <c r="AN5917">
        <v>1.0000000435045</v>
      </c>
    </row>
    <row r="5918" spans="1:40" x14ac:dyDescent="0.25">
      <c r="A5918" t="str">
        <f>"20190304155535692"</f>
        <v>20190304155535692</v>
      </c>
      <c r="B5918" t="str">
        <f>"1551686135683454"</f>
        <v>1551686135683454</v>
      </c>
      <c r="C5918" t="s">
        <v>40</v>
      </c>
      <c r="D5918">
        <v>4.727608</v>
      </c>
      <c r="E5918">
        <v>0.51246009999999997</v>
      </c>
      <c r="F5918" t="s">
        <v>46</v>
      </c>
      <c r="G5918">
        <v>-189.38249999999999</v>
      </c>
      <c r="H5918" s="1">
        <v>-2.8685229999999998E-7</v>
      </c>
      <c r="I5918">
        <v>159.96360000000001</v>
      </c>
      <c r="J5918">
        <v>-187.81309999999999</v>
      </c>
      <c r="K5918">
        <v>1.1105969999999901</v>
      </c>
      <c r="L5918">
        <v>82.518129999999999</v>
      </c>
      <c r="M5918">
        <v>-1.04744E-3</v>
      </c>
      <c r="N5918">
        <v>-1.439703E-2</v>
      </c>
      <c r="O5918">
        <v>0.9998958</v>
      </c>
      <c r="P5918">
        <v>-5.7041309999999998E-2</v>
      </c>
      <c r="Q5918">
        <v>0.15374470000000001</v>
      </c>
      <c r="R5918">
        <v>0.98646279999999997</v>
      </c>
      <c r="S5918">
        <v>-6.1447139999999997E-2</v>
      </c>
      <c r="T5918">
        <v>-4.3467279999999997E-2</v>
      </c>
      <c r="U5918">
        <v>3.0435490000000001</v>
      </c>
      <c r="V5918">
        <v>-5.6102199999999901E-2</v>
      </c>
      <c r="W5918">
        <v>0.16789999999999999</v>
      </c>
      <c r="X5918">
        <v>0.98420629999999998</v>
      </c>
      <c r="Y5918">
        <v>-1.9133899999999999E-2</v>
      </c>
      <c r="Z5918">
        <v>1.193384E-4</v>
      </c>
      <c r="AA5918">
        <v>0.99981690000000001</v>
      </c>
      <c r="AB5918">
        <v>32</v>
      </c>
      <c r="AC5918">
        <v>-1.5693999999999999</v>
      </c>
      <c r="AD5918">
        <v>-1.11059728685229</v>
      </c>
      <c r="AE5918">
        <v>77.44547</v>
      </c>
      <c r="AF5918">
        <v>-1.4879653776250401</v>
      </c>
      <c r="AG5918">
        <v>-1.11059728685229</v>
      </c>
      <c r="AH5918">
        <v>77.4311546257522</v>
      </c>
      <c r="AI5918">
        <v>90.821587010729601</v>
      </c>
      <c r="AJ5918">
        <v>91.100895947620302</v>
      </c>
      <c r="AK5918">
        <v>77.453412926582601</v>
      </c>
      <c r="AL5918">
        <v>80.334256544437295</v>
      </c>
      <c r="AM5918">
        <v>93.262471022716994</v>
      </c>
      <c r="AN5918">
        <v>0.99999995390226304</v>
      </c>
    </row>
    <row r="5919" spans="1:40" x14ac:dyDescent="0.25">
      <c r="A5919" t="str">
        <f>"20190304155535735"</f>
        <v>20190304155535735</v>
      </c>
      <c r="B5919" t="str">
        <f>"1551686135723469"</f>
        <v>1551686135723469</v>
      </c>
      <c r="C5919" t="s">
        <v>40</v>
      </c>
      <c r="D5919">
        <v>4.6967239999999997</v>
      </c>
      <c r="E5919">
        <v>0.51230559999999903</v>
      </c>
      <c r="F5919" t="s">
        <v>46</v>
      </c>
      <c r="G5919">
        <v>-189.32320000000001</v>
      </c>
      <c r="H5919" s="1">
        <v>-1.219496E-6</v>
      </c>
      <c r="I5919">
        <v>161.9571</v>
      </c>
      <c r="J5919">
        <v>-187.81440000000001</v>
      </c>
      <c r="K5919">
        <v>1.1106100000000001</v>
      </c>
      <c r="L5919">
        <v>83.125699999999995</v>
      </c>
      <c r="M5919">
        <v>-1.6004229999999999E-3</v>
      </c>
      <c r="N5919">
        <v>-1.439066E-2</v>
      </c>
      <c r="O5919">
        <v>0.99989519999999998</v>
      </c>
      <c r="P5919">
        <v>-5.7819120000000002E-2</v>
      </c>
      <c r="Q5919">
        <v>0.15746569999999999</v>
      </c>
      <c r="R5919">
        <v>0.9858304</v>
      </c>
      <c r="S5919">
        <v>-5.7876589999999999E-2</v>
      </c>
      <c r="T5919">
        <v>-4.2563200000000002E-2</v>
      </c>
      <c r="U5919">
        <v>3.0444640000000001</v>
      </c>
      <c r="V5919">
        <v>-5.6337430000000001E-2</v>
      </c>
      <c r="W5919">
        <v>0.1716058</v>
      </c>
      <c r="X5919">
        <v>0.98355349999999997</v>
      </c>
      <c r="Y5919">
        <v>-1.7403120000000001E-2</v>
      </c>
      <c r="Z5919">
        <v>4.1367260000000001E-4</v>
      </c>
      <c r="AA5919">
        <v>0.99984850000000003</v>
      </c>
      <c r="AB5919">
        <v>32</v>
      </c>
      <c r="AC5919">
        <v>-1.5087999999999999</v>
      </c>
      <c r="AD5919">
        <v>-1.1106112194960001</v>
      </c>
      <c r="AE5919">
        <v>78.831400000000002</v>
      </c>
      <c r="AF5919">
        <v>-1.38234714652626</v>
      </c>
      <c r="AG5919">
        <v>-1.1106112194960001</v>
      </c>
      <c r="AH5919">
        <v>78.818075586799495</v>
      </c>
      <c r="AI5919">
        <v>90.807166903916894</v>
      </c>
      <c r="AJ5919">
        <v>91.004776345835594</v>
      </c>
      <c r="AK5919">
        <v>78.8380198896498</v>
      </c>
      <c r="AL5919">
        <v>80.118802924188103</v>
      </c>
      <c r="AM5919">
        <v>93.278290122119799</v>
      </c>
      <c r="AN5919">
        <v>0.99999997198744695</v>
      </c>
    </row>
    <row r="5920" spans="1:40" x14ac:dyDescent="0.25">
      <c r="A5920" t="str">
        <f>"20190304155535757"</f>
        <v>20190304155535757</v>
      </c>
      <c r="B5920" t="str">
        <f>"1551686135753725"</f>
        <v>1551686135753725</v>
      </c>
      <c r="C5920" t="s">
        <v>40</v>
      </c>
      <c r="D5920">
        <v>4.6399330000000001</v>
      </c>
      <c r="E5920">
        <v>0.5119553</v>
      </c>
      <c r="F5920" t="s">
        <v>46</v>
      </c>
      <c r="G5920">
        <v>-189.90620000000001</v>
      </c>
      <c r="H5920" s="1">
        <v>-2.9598879999999999E-6</v>
      </c>
      <c r="I5920">
        <v>186.49359999999999</v>
      </c>
      <c r="J5920">
        <v>-187.8152</v>
      </c>
      <c r="K5920">
        <v>1.1106149999999999</v>
      </c>
      <c r="L5920">
        <v>83.446039999999996</v>
      </c>
      <c r="M5920">
        <v>-1.892089E-3</v>
      </c>
      <c r="N5920">
        <v>-1.438729E-2</v>
      </c>
      <c r="O5920">
        <v>0.99989470000000003</v>
      </c>
      <c r="P5920">
        <v>-5.7905989999999997E-2</v>
      </c>
      <c r="Q5920">
        <v>0.15923770000000001</v>
      </c>
      <c r="R5920">
        <v>0.98554059999999999</v>
      </c>
      <c r="S5920">
        <v>-6.1614990000000001E-2</v>
      </c>
      <c r="T5920">
        <v>-3.271317E-2</v>
      </c>
      <c r="U5920">
        <v>3.044708</v>
      </c>
      <c r="V5920">
        <v>-5.6138300000000002E-2</v>
      </c>
      <c r="W5920">
        <v>0.17337089999999999</v>
      </c>
      <c r="X5920">
        <v>0.98325530000000005</v>
      </c>
      <c r="Y5920">
        <v>-1.833723E-2</v>
      </c>
      <c r="Z5920">
        <v>3.6456800000000001E-3</v>
      </c>
      <c r="AA5920">
        <v>0.99982519999999997</v>
      </c>
      <c r="AB5920">
        <v>32</v>
      </c>
      <c r="AC5920">
        <v>-2.0910000000000002</v>
      </c>
      <c r="AD5920">
        <v>-1.1106179598879999</v>
      </c>
      <c r="AE5920">
        <v>103.04756</v>
      </c>
      <c r="AF5920">
        <v>-1.8957807957257899</v>
      </c>
      <c r="AG5920">
        <v>-1.1106179598879999</v>
      </c>
      <c r="AH5920">
        <v>103.03936822019401</v>
      </c>
      <c r="AI5920">
        <v>90.617438678521196</v>
      </c>
      <c r="AJ5920">
        <v>91.054043581034406</v>
      </c>
      <c r="AK5920">
        <v>103.062790862149</v>
      </c>
      <c r="AL5920">
        <v>80.016131331727195</v>
      </c>
      <c r="AM5920">
        <v>93.267716414944701</v>
      </c>
      <c r="AN5920">
        <v>0.99999998133589396</v>
      </c>
    </row>
    <row r="5921" spans="1:40" x14ac:dyDescent="0.25">
      <c r="A5921" t="str">
        <f>"20190304155535781"</f>
        <v>20190304155535781</v>
      </c>
      <c r="B5921" t="str">
        <f>"1551686135774221"</f>
        <v>1551686135774221</v>
      </c>
      <c r="C5921" t="s">
        <v>40</v>
      </c>
      <c r="D5921">
        <v>4.6490720000000003</v>
      </c>
      <c r="E5921">
        <v>0.511791</v>
      </c>
      <c r="F5921" t="s">
        <v>51</v>
      </c>
      <c r="G5921">
        <v>-190.52260000000001</v>
      </c>
      <c r="H5921" s="1">
        <v>4.1931779999999998E-6</v>
      </c>
      <c r="I5921">
        <v>210.94120000000001</v>
      </c>
      <c r="J5921">
        <v>-187.81620000000001</v>
      </c>
      <c r="K5921">
        <v>1.1106240000000001</v>
      </c>
      <c r="L5921">
        <v>83.772669999999906</v>
      </c>
      <c r="M5921">
        <v>-2.1893390000000002E-3</v>
      </c>
      <c r="N5921">
        <v>-1.438389E-2</v>
      </c>
      <c r="O5921">
        <v>0.99989410000000001</v>
      </c>
      <c r="P5921">
        <v>-5.80057E-2</v>
      </c>
      <c r="Q5921">
        <v>0.16089679999999901</v>
      </c>
      <c r="R5921">
        <v>0.98526530000000001</v>
      </c>
      <c r="S5921">
        <v>-6.4651490000000006E-2</v>
      </c>
      <c r="T5921">
        <v>-2.652061E-2</v>
      </c>
      <c r="U5921">
        <v>3.044495</v>
      </c>
      <c r="V5921">
        <v>-5.5945880000000003E-2</v>
      </c>
      <c r="W5921">
        <v>0.17502279999999901</v>
      </c>
      <c r="X5921">
        <v>0.9829736</v>
      </c>
      <c r="Y5921">
        <v>-1.903813E-2</v>
      </c>
      <c r="Z5921">
        <v>5.6750419999999999E-3</v>
      </c>
      <c r="AA5921">
        <v>0.99980259999999999</v>
      </c>
      <c r="AB5921">
        <v>32</v>
      </c>
      <c r="AC5921">
        <v>-2.7063999999999999</v>
      </c>
      <c r="AD5921">
        <v>-1.1106198068219999</v>
      </c>
      <c r="AE5921">
        <v>127.16853</v>
      </c>
      <c r="AF5921">
        <v>-2.4277645810143098</v>
      </c>
      <c r="AG5921">
        <v>-1.1106198068219999</v>
      </c>
      <c r="AH5921">
        <v>127.164456165377</v>
      </c>
      <c r="AI5921">
        <v>90.500301883286298</v>
      </c>
      <c r="AJ5921">
        <v>91.093731471192697</v>
      </c>
      <c r="AK5921">
        <v>127.192477879206</v>
      </c>
      <c r="AL5921">
        <v>79.920015174228098</v>
      </c>
      <c r="AM5921">
        <v>93.257471364561496</v>
      </c>
      <c r="AN5921">
        <v>1.0000000101528801</v>
      </c>
    </row>
    <row r="5922" spans="1:40" x14ac:dyDescent="0.25">
      <c r="A5922" t="str">
        <f>"20190304155535802"</f>
        <v>20190304155535802</v>
      </c>
      <c r="B5922" t="str">
        <f>"1551686135793742"</f>
        <v>1551686135793742</v>
      </c>
      <c r="C5922" t="s">
        <v>40</v>
      </c>
      <c r="D5922">
        <v>4.668857</v>
      </c>
      <c r="E5922">
        <v>0.51180119999999996</v>
      </c>
      <c r="F5922" t="s">
        <v>46</v>
      </c>
      <c r="G5922">
        <v>-191.19829999999999</v>
      </c>
      <c r="H5922" s="1">
        <v>-4.6464070000000001E-6</v>
      </c>
      <c r="I5922">
        <v>238.8321</v>
      </c>
      <c r="J5922">
        <v>-187.81710000000001</v>
      </c>
      <c r="K5922">
        <v>1.1106290000000001</v>
      </c>
      <c r="L5922">
        <v>84.068479999999994</v>
      </c>
      <c r="M5922">
        <v>-2.458947E-3</v>
      </c>
      <c r="N5922">
        <v>-1.4380799999999999E-2</v>
      </c>
      <c r="O5922">
        <v>0.99989349999999999</v>
      </c>
      <c r="P5922">
        <v>-5.7439320000000002E-2</v>
      </c>
      <c r="Q5922">
        <v>0.16290379999999999</v>
      </c>
      <c r="R5922">
        <v>0.98496850000000002</v>
      </c>
      <c r="S5922">
        <v>-6.640625E-2</v>
      </c>
      <c r="T5922">
        <v>-2.1806720000000002E-2</v>
      </c>
      <c r="U5922">
        <v>3.0445250000000001</v>
      </c>
      <c r="V5922">
        <v>-5.5115419999999998E-2</v>
      </c>
      <c r="W5922">
        <v>0.17702329999999999</v>
      </c>
      <c r="X5922">
        <v>0.98266220000000004</v>
      </c>
      <c r="Y5922">
        <v>-1.9344259999999999E-2</v>
      </c>
      <c r="Z5922">
        <v>7.2199259999999998E-3</v>
      </c>
      <c r="AA5922">
        <v>0.99978679999999998</v>
      </c>
      <c r="AB5922">
        <v>32</v>
      </c>
      <c r="AC5922">
        <v>-3.38119999999997</v>
      </c>
      <c r="AD5922">
        <v>-1.1106336464069999</v>
      </c>
      <c r="AE5922">
        <v>154.76362</v>
      </c>
      <c r="AF5922">
        <v>-3.00044040628838</v>
      </c>
      <c r="AG5922">
        <v>-1.1106336464069999</v>
      </c>
      <c r="AH5922">
        <v>154.76350061494099</v>
      </c>
      <c r="AI5922">
        <v>90.411089002650002</v>
      </c>
      <c r="AJ5922">
        <v>91.110669101196294</v>
      </c>
      <c r="AK5922">
        <v>154.79656737899299</v>
      </c>
      <c r="AL5922">
        <v>79.803576561458499</v>
      </c>
      <c r="AM5922">
        <v>93.210234182041404</v>
      </c>
      <c r="AN5922">
        <v>0.99999997878675295</v>
      </c>
    </row>
    <row r="5923" spans="1:40" x14ac:dyDescent="0.25">
      <c r="A5923" t="str">
        <f>"20190304155535824"</f>
        <v>20190304155535824</v>
      </c>
      <c r="B5923" t="str">
        <f>"1551686135814238"</f>
        <v>1551686135814238</v>
      </c>
      <c r="C5923" t="s">
        <v>40</v>
      </c>
      <c r="D5923">
        <v>4.8508050000000003</v>
      </c>
      <c r="E5923">
        <v>0.51194300000000004</v>
      </c>
      <c r="F5923" t="s">
        <v>51</v>
      </c>
      <c r="G5923">
        <v>-192.22149999999999</v>
      </c>
      <c r="H5923" s="1">
        <v>2.6603479999999998E-6</v>
      </c>
      <c r="I5923">
        <v>290.95460000000003</v>
      </c>
      <c r="J5923">
        <v>-187.81819999999999</v>
      </c>
      <c r="K5923">
        <v>1.1106290000000001</v>
      </c>
      <c r="L5923">
        <v>84.401669999999996</v>
      </c>
      <c r="M5923">
        <v>-2.7624559999999999E-3</v>
      </c>
      <c r="N5923">
        <v>-1.4377239999999999E-2</v>
      </c>
      <c r="O5923">
        <v>0.99989280000000003</v>
      </c>
      <c r="P5923">
        <v>-5.7060769999999997E-2</v>
      </c>
      <c r="Q5923">
        <v>0.164501799999999</v>
      </c>
      <c r="R5923">
        <v>0.98472490000000001</v>
      </c>
      <c r="S5923">
        <v>-6.4819340000000003E-2</v>
      </c>
      <c r="T5923">
        <v>-1.6344899999999999E-2</v>
      </c>
      <c r="U5923">
        <v>3.044708</v>
      </c>
      <c r="V5923">
        <v>-5.4439750000000002E-2</v>
      </c>
      <c r="W5923">
        <v>0.17861450000000001</v>
      </c>
      <c r="X5923">
        <v>0.9824119</v>
      </c>
      <c r="Y5923">
        <v>-1.8518670000000001E-2</v>
      </c>
      <c r="Z5923">
        <v>9.0100400000000004E-3</v>
      </c>
      <c r="AA5923">
        <v>0.99978789999999995</v>
      </c>
      <c r="AB5923">
        <v>31</v>
      </c>
      <c r="AC5923">
        <v>-4.4032999999999998</v>
      </c>
      <c r="AD5923">
        <v>-1.110626339652</v>
      </c>
      <c r="AE5923">
        <v>206.55293</v>
      </c>
      <c r="AF5923">
        <v>-3.8325200639797701</v>
      </c>
      <c r="AG5923">
        <v>-1.110626339652</v>
      </c>
      <c r="AH5923">
        <v>206.55833766187101</v>
      </c>
      <c r="AI5923">
        <v>90.308012928705693</v>
      </c>
      <c r="AJ5923">
        <v>91.062954098444393</v>
      </c>
      <c r="AK5923">
        <v>206.59687451300599</v>
      </c>
      <c r="AL5923">
        <v>79.710931083973605</v>
      </c>
      <c r="AM5923">
        <v>93.171766394487094</v>
      </c>
      <c r="AN5923">
        <v>0.99999998362596099</v>
      </c>
    </row>
    <row r="5924" spans="1:40" x14ac:dyDescent="0.25">
      <c r="A5924" t="str">
        <f>"20190304155535868"</f>
        <v>20190304155535868</v>
      </c>
      <c r="B5924" t="str">
        <f>"1551686135864013"</f>
        <v>1551686135864013</v>
      </c>
      <c r="C5924" t="s">
        <v>40</v>
      </c>
      <c r="D5924">
        <v>4.8012280000000001</v>
      </c>
      <c r="E5924">
        <v>0.57509980000000005</v>
      </c>
      <c r="F5924" t="s">
        <v>45</v>
      </c>
      <c r="G5924">
        <v>-193.9237</v>
      </c>
      <c r="H5924">
        <v>4.6759530000000001E-2</v>
      </c>
      <c r="I5924">
        <v>379.6</v>
      </c>
      <c r="J5924">
        <v>-187.82060000000001</v>
      </c>
      <c r="K5924">
        <v>1.1106320000000001</v>
      </c>
      <c r="L5924">
        <v>85.001739999999998</v>
      </c>
      <c r="M5924">
        <v>-3.305657E-3</v>
      </c>
      <c r="N5924">
        <v>-1.4370880000000001E-2</v>
      </c>
      <c r="O5924">
        <v>0.99989130000000004</v>
      </c>
      <c r="P5924">
        <v>-5.5995580000000003E-2</v>
      </c>
      <c r="Q5924">
        <v>0.16564300000000001</v>
      </c>
      <c r="R5924">
        <v>0.98459479999999999</v>
      </c>
      <c r="S5924">
        <v>-6.2973020000000005E-2</v>
      </c>
      <c r="T5924">
        <v>-1.097298E-2</v>
      </c>
      <c r="U5924">
        <v>3.0447389999999999</v>
      </c>
      <c r="V5924">
        <v>-5.2839120000000003E-2</v>
      </c>
      <c r="W5924">
        <v>0.17974879999999999</v>
      </c>
      <c r="X5924">
        <v>0.98229239999999995</v>
      </c>
      <c r="Y5924">
        <v>-1.73692999999999E-2</v>
      </c>
      <c r="Z5924">
        <v>1.076746E-2</v>
      </c>
      <c r="AA5924">
        <v>0.99979110000000004</v>
      </c>
      <c r="AB5924">
        <v>31</v>
      </c>
      <c r="AC5924">
        <v>-6.10309999999998</v>
      </c>
      <c r="AD5924">
        <v>-1.06387247</v>
      </c>
      <c r="AE5924">
        <v>294.59825999999998</v>
      </c>
      <c r="AF5924">
        <v>-5.1290584411318498</v>
      </c>
      <c r="AG5924">
        <v>-1.06387247</v>
      </c>
      <c r="AH5924">
        <v>294.61298644007798</v>
      </c>
      <c r="AI5924">
        <v>90.2068676706796</v>
      </c>
      <c r="AJ5924">
        <v>90.997388881181394</v>
      </c>
      <c r="AK5924">
        <v>294.65955074333903</v>
      </c>
      <c r="AL5924">
        <v>79.644871342931395</v>
      </c>
      <c r="AM5924">
        <v>93.079066481089598</v>
      </c>
      <c r="AN5924">
        <v>0.99999998140078605</v>
      </c>
    </row>
    <row r="5925" spans="1:40" x14ac:dyDescent="0.25">
      <c r="A5925" t="str">
        <f>"20190304155535893"</f>
        <v>20190304155535893</v>
      </c>
      <c r="B5925" t="str">
        <f>"1551686135883533"</f>
        <v>1551686135883533</v>
      </c>
      <c r="C5925" t="s">
        <v>40</v>
      </c>
      <c r="D5925">
        <v>4.8217429999999997</v>
      </c>
      <c r="E5925">
        <v>0.58026460000000002</v>
      </c>
      <c r="F5925" t="s">
        <v>61</v>
      </c>
      <c r="G5925">
        <v>-168.10499999999999</v>
      </c>
      <c r="H5925">
        <v>0.64415840000000002</v>
      </c>
      <c r="I5925">
        <v>221.6901</v>
      </c>
      <c r="J5925">
        <v>-187.822</v>
      </c>
      <c r="K5925">
        <v>1.1106309999999999</v>
      </c>
      <c r="L5925">
        <v>85.342469999999906</v>
      </c>
      <c r="M5925">
        <v>-3.6053700000000001E-3</v>
      </c>
      <c r="N5925">
        <v>-1.436728E-2</v>
      </c>
      <c r="O5925">
        <v>0.99989030000000001</v>
      </c>
      <c r="P5925">
        <v>-5.5201989999999999E-2</v>
      </c>
      <c r="Q5925">
        <v>0.16577910000000001</v>
      </c>
      <c r="R5925">
        <v>0.98461670000000001</v>
      </c>
      <c r="S5925">
        <v>0.44337460000000001</v>
      </c>
      <c r="T5925">
        <v>-1.048899E-2</v>
      </c>
      <c r="U5925">
        <v>3.0739139999999998</v>
      </c>
      <c r="V5925">
        <v>-5.174832E-2</v>
      </c>
      <c r="W5925">
        <v>0.1798835</v>
      </c>
      <c r="X5925">
        <v>0.98232589999999997</v>
      </c>
      <c r="Y5925">
        <v>0.14630109999999999</v>
      </c>
      <c r="Z5925">
        <v>1.099488E-2</v>
      </c>
      <c r="AA5925">
        <v>0.98917900000000003</v>
      </c>
      <c r="AB5925">
        <v>31</v>
      </c>
      <c r="AC5925">
        <v>19.716999999999999</v>
      </c>
      <c r="AD5925">
        <v>-0.46647259999999902</v>
      </c>
      <c r="AE5925">
        <v>136.34763000000001</v>
      </c>
      <c r="AF5925">
        <v>20.2082745317879</v>
      </c>
      <c r="AG5925">
        <v>-0.46647259999999902</v>
      </c>
      <c r="AH5925">
        <v>136.27408686237999</v>
      </c>
      <c r="AI5925">
        <v>90.194003889056603</v>
      </c>
      <c r="AJ5925">
        <v>81.564999936016804</v>
      </c>
      <c r="AK5925">
        <v>137.76508522268699</v>
      </c>
      <c r="AL5925">
        <v>79.637026626828302</v>
      </c>
      <c r="AM5925">
        <v>93.015518766806494</v>
      </c>
      <c r="AN5925">
        <v>1.00000006800293</v>
      </c>
    </row>
    <row r="5926" spans="1:40" x14ac:dyDescent="0.25">
      <c r="A5926" t="str">
        <f>"20190304155535914"</f>
        <v>20190304155535914</v>
      </c>
      <c r="B5926" t="str">
        <f>"1551686135904029"</f>
        <v>1551686135904029</v>
      </c>
      <c r="C5926" t="s">
        <v>40</v>
      </c>
      <c r="D5926">
        <v>4.8638700000000004</v>
      </c>
      <c r="E5926">
        <v>0.58388039999999997</v>
      </c>
      <c r="F5926" t="s">
        <v>70</v>
      </c>
      <c r="G5926">
        <v>-168.41069999999999</v>
      </c>
      <c r="H5926">
        <v>2.1446209999999999</v>
      </c>
      <c r="I5926">
        <v>208.03100000000001</v>
      </c>
      <c r="J5926">
        <v>-187.82329999999999</v>
      </c>
      <c r="K5926">
        <v>1.1106259999999999</v>
      </c>
      <c r="L5926">
        <v>85.644589999999994</v>
      </c>
      <c r="M5926">
        <v>-3.8610649999999999E-3</v>
      </c>
      <c r="N5926">
        <v>-1.436401E-2</v>
      </c>
      <c r="O5926">
        <v>0.99988940000000004</v>
      </c>
      <c r="P5926">
        <v>-5.428061E-2</v>
      </c>
      <c r="Q5926">
        <v>0.1651533</v>
      </c>
      <c r="R5926">
        <v>0.98477309999999996</v>
      </c>
      <c r="S5926">
        <v>0.48568729999999899</v>
      </c>
      <c r="T5926">
        <v>2.587211E-2</v>
      </c>
      <c r="U5926">
        <v>3.069763</v>
      </c>
      <c r="V5926">
        <v>-5.0570940000000002E-2</v>
      </c>
      <c r="W5926">
        <v>0.17925820000000001</v>
      </c>
      <c r="X5926">
        <v>0.98250139999999997</v>
      </c>
      <c r="Y5926">
        <v>0.1600384</v>
      </c>
      <c r="Z5926">
        <v>2.268858E-2</v>
      </c>
      <c r="AA5926">
        <v>0.98685</v>
      </c>
      <c r="AB5926">
        <v>31</v>
      </c>
      <c r="AC5926">
        <v>19.412600000000001</v>
      </c>
      <c r="AD5926">
        <v>1.03399499999999</v>
      </c>
      <c r="AE5926">
        <v>122.386409999999</v>
      </c>
      <c r="AF5926">
        <v>19.883661455313302</v>
      </c>
      <c r="AG5926">
        <v>1.03399499999999</v>
      </c>
      <c r="AH5926">
        <v>122.302020958619</v>
      </c>
      <c r="AI5926">
        <v>89.521885049439604</v>
      </c>
      <c r="AJ5926">
        <v>80.765739864266394</v>
      </c>
      <c r="AK5926">
        <v>123.912119944306</v>
      </c>
      <c r="AL5926">
        <v>79.673444555200405</v>
      </c>
      <c r="AM5926">
        <v>92.946506414588896</v>
      </c>
      <c r="AN5926">
        <v>0.99999996162084104</v>
      </c>
    </row>
    <row r="5927" spans="1:40" x14ac:dyDescent="0.25">
      <c r="A5927" t="str">
        <f>"20190304155535937"</f>
        <v>20190304155535937</v>
      </c>
      <c r="B5927" t="str">
        <f>"1551686135934285"</f>
        <v>1551686135934285</v>
      </c>
      <c r="C5927" t="s">
        <v>40</v>
      </c>
      <c r="D5927">
        <v>4.7657360000000004</v>
      </c>
      <c r="E5927">
        <v>0.58183319999999905</v>
      </c>
      <c r="F5927" t="s">
        <v>70</v>
      </c>
      <c r="G5927">
        <v>-168.41319999999999</v>
      </c>
      <c r="H5927">
        <v>2.555526</v>
      </c>
      <c r="I5927">
        <v>200.8998</v>
      </c>
      <c r="J5927">
        <v>-187.82480000000001</v>
      </c>
      <c r="K5927">
        <v>1.1106119999999999</v>
      </c>
      <c r="L5927">
        <v>85.957210000000003</v>
      </c>
      <c r="M5927">
        <v>-4.1074479999999997E-3</v>
      </c>
      <c r="N5927">
        <v>-1.4360629999999999E-2</v>
      </c>
      <c r="O5927">
        <v>0.99988840000000001</v>
      </c>
      <c r="P5927">
        <v>-5.34368E-2</v>
      </c>
      <c r="Q5927">
        <v>0.1647304</v>
      </c>
      <c r="R5927">
        <v>0.98489000000000004</v>
      </c>
      <c r="S5927">
        <v>0.51675420000000005</v>
      </c>
      <c r="T5927">
        <v>3.8468240000000001E-2</v>
      </c>
      <c r="U5927">
        <v>3.0684200000000001</v>
      </c>
      <c r="V5927">
        <v>-4.9478040000000001E-2</v>
      </c>
      <c r="W5927">
        <v>0.17883599999999999</v>
      </c>
      <c r="X5927">
        <v>0.98263400000000001</v>
      </c>
      <c r="Y5927">
        <v>0.17005960000000001</v>
      </c>
      <c r="Z5927">
        <v>2.6720529999999999E-2</v>
      </c>
      <c r="AA5927">
        <v>0.98507140000000004</v>
      </c>
      <c r="AB5927">
        <v>31</v>
      </c>
      <c r="AC5927">
        <v>19.4116</v>
      </c>
      <c r="AD5927">
        <v>1.44491399999999</v>
      </c>
      <c r="AE5927">
        <v>114.94259</v>
      </c>
      <c r="AF5927">
        <v>19.8805511589192</v>
      </c>
      <c r="AG5927">
        <v>1.44491399999999</v>
      </c>
      <c r="AH5927">
        <v>114.844234967464</v>
      </c>
      <c r="AI5927">
        <v>89.289733060481794</v>
      </c>
      <c r="AJ5927">
        <v>80.178924403268297</v>
      </c>
      <c r="AK5927">
        <v>116.56123882368399</v>
      </c>
      <c r="AL5927">
        <v>79.698032397561605</v>
      </c>
      <c r="AM5927">
        <v>92.882549029058197</v>
      </c>
      <c r="AN5927">
        <v>0.99999998464712003</v>
      </c>
    </row>
    <row r="5928" spans="1:40" x14ac:dyDescent="0.25">
      <c r="A5928" t="str">
        <f>"20190304155535958"</f>
        <v>20190304155535958</v>
      </c>
      <c r="B5928" t="str">
        <f>"1551686135953806"</f>
        <v>1551686135953806</v>
      </c>
      <c r="C5928" t="s">
        <v>40</v>
      </c>
      <c r="D5928">
        <v>4.2987129999999896</v>
      </c>
      <c r="E5928">
        <v>0.58725590000000005</v>
      </c>
      <c r="F5928" t="s">
        <v>70</v>
      </c>
      <c r="G5928">
        <v>-168.41149999999999</v>
      </c>
      <c r="H5928">
        <v>0.98411749999999998</v>
      </c>
      <c r="I5928">
        <v>204.36750000000001</v>
      </c>
      <c r="J5928">
        <v>-187.82640000000001</v>
      </c>
      <c r="K5928">
        <v>1.1105929999999999</v>
      </c>
      <c r="L5928">
        <v>86.265109999999893</v>
      </c>
      <c r="M5928">
        <v>-4.3283690000000003E-3</v>
      </c>
      <c r="N5928">
        <v>-1.435731E-2</v>
      </c>
      <c r="O5928">
        <v>0.99988759999999999</v>
      </c>
      <c r="P5928">
        <v>-5.2824530000000001E-2</v>
      </c>
      <c r="Q5928">
        <v>0.16405420000000001</v>
      </c>
      <c r="R5928">
        <v>0.98503600000000002</v>
      </c>
      <c r="S5928">
        <v>0.50396730000000001</v>
      </c>
      <c r="T5928">
        <v>-3.282905E-3</v>
      </c>
      <c r="U5928">
        <v>3.0739139999999998</v>
      </c>
      <c r="V5928">
        <v>-4.8639729999999999E-2</v>
      </c>
      <c r="W5928">
        <v>0.17816129999999999</v>
      </c>
      <c r="X5928">
        <v>0.98279839999999996</v>
      </c>
      <c r="Y5928">
        <v>0.16602749999999999</v>
      </c>
      <c r="Z5928">
        <v>1.330894E-2</v>
      </c>
      <c r="AA5928">
        <v>0.98603130000000005</v>
      </c>
      <c r="AB5928">
        <v>31</v>
      </c>
      <c r="AC5928">
        <v>19.414899999999999</v>
      </c>
      <c r="AD5928">
        <v>-0.12647549999999899</v>
      </c>
      <c r="AE5928">
        <v>118.10239</v>
      </c>
      <c r="AF5928">
        <v>19.9259392424898</v>
      </c>
      <c r="AG5928">
        <v>-0.12647549999999899</v>
      </c>
      <c r="AH5928">
        <v>118.01710816223201</v>
      </c>
      <c r="AI5928">
        <v>90.060545285926807</v>
      </c>
      <c r="AJ5928">
        <v>80.416596023017902</v>
      </c>
      <c r="AK5928">
        <v>119.68749671424899</v>
      </c>
      <c r="AL5928">
        <v>79.737320816582397</v>
      </c>
      <c r="AM5928">
        <v>92.833316828225193</v>
      </c>
      <c r="AN5928">
        <v>0.99999998359736098</v>
      </c>
    </row>
    <row r="5929" spans="1:40" x14ac:dyDescent="0.25">
      <c r="A5929" t="str">
        <f>"20190304155535980"</f>
        <v>20190304155535980</v>
      </c>
      <c r="B5929" t="str">
        <f>"1551686135974302"</f>
        <v>1551686135974302</v>
      </c>
      <c r="C5929" t="s">
        <v>40</v>
      </c>
      <c r="D5929">
        <v>4.266578</v>
      </c>
      <c r="E5929">
        <v>0.58912279999999995</v>
      </c>
      <c r="F5929" t="s">
        <v>70</v>
      </c>
      <c r="G5929">
        <v>-168.4151</v>
      </c>
      <c r="H5929">
        <v>2.4634900000000002</v>
      </c>
      <c r="I5929">
        <v>194.9008</v>
      </c>
      <c r="J5929">
        <v>-187.8279</v>
      </c>
      <c r="K5929">
        <v>1.110568</v>
      </c>
      <c r="L5929">
        <v>86.565460000000002</v>
      </c>
      <c r="M5929">
        <v>-4.5195280000000001E-3</v>
      </c>
      <c r="N5929">
        <v>-1.435404E-2</v>
      </c>
      <c r="O5929">
        <v>0.99988679999999996</v>
      </c>
      <c r="P5929">
        <v>-5.1776679999999999E-2</v>
      </c>
      <c r="Q5929">
        <v>0.16387660000000001</v>
      </c>
      <c r="R5929">
        <v>0.98512109999999997</v>
      </c>
      <c r="S5929">
        <v>0.5483093</v>
      </c>
      <c r="T5929">
        <v>3.8216229999999997E-2</v>
      </c>
      <c r="U5929">
        <v>3.0686339999999999</v>
      </c>
      <c r="V5929">
        <v>-4.7394659999999998E-2</v>
      </c>
      <c r="W5929">
        <v>0.17798439999999999</v>
      </c>
      <c r="X5929">
        <v>0.98289130000000002</v>
      </c>
      <c r="Y5929">
        <v>0.18027879999999999</v>
      </c>
      <c r="Z5929">
        <v>2.6611030000000001E-2</v>
      </c>
      <c r="AA5929">
        <v>0.98325549999999995</v>
      </c>
      <c r="AB5929">
        <v>31</v>
      </c>
      <c r="AC5929">
        <v>19.412800000000001</v>
      </c>
      <c r="AD5929">
        <v>1.352922</v>
      </c>
      <c r="AE5929">
        <v>108.33533999999899</v>
      </c>
      <c r="AF5929">
        <v>19.899269843209598</v>
      </c>
      <c r="AG5929">
        <v>1.352922</v>
      </c>
      <c r="AH5929">
        <v>108.230133466457</v>
      </c>
      <c r="AI5929">
        <v>89.295621562075297</v>
      </c>
      <c r="AJ5929">
        <v>79.581910708861997</v>
      </c>
      <c r="AK5929">
        <v>110.05259255646</v>
      </c>
      <c r="AL5929">
        <v>79.747621277614499</v>
      </c>
      <c r="AM5929">
        <v>92.760643294738998</v>
      </c>
      <c r="AN5929">
        <v>1.0000000040277801</v>
      </c>
    </row>
    <row r="5930" spans="1:40" x14ac:dyDescent="0.25">
      <c r="A5930" t="str">
        <f>"20190304155536002"</f>
        <v>20190304155536002</v>
      </c>
      <c r="B5930" t="str">
        <f>"1551686135993821"</f>
        <v>1551686135993821</v>
      </c>
      <c r="C5930" t="s">
        <v>40</v>
      </c>
      <c r="D5930">
        <v>4.3134649999999999</v>
      </c>
      <c r="E5930">
        <v>0.59287219999999996</v>
      </c>
      <c r="F5930" t="s">
        <v>70</v>
      </c>
      <c r="G5930">
        <v>-168.41630000000001</v>
      </c>
      <c r="H5930">
        <v>2.6928730000000001</v>
      </c>
      <c r="I5930">
        <v>191.73840000000001</v>
      </c>
      <c r="J5930">
        <v>-187.82939999999999</v>
      </c>
      <c r="K5930">
        <v>1.11054599999999</v>
      </c>
      <c r="L5930">
        <v>86.871669999999995</v>
      </c>
      <c r="M5930">
        <v>-4.6878359999999999E-3</v>
      </c>
      <c r="N5930">
        <v>-1.4350740000000001E-2</v>
      </c>
      <c r="O5930">
        <v>0.99988600000000005</v>
      </c>
      <c r="P5930">
        <v>-5.0873349999999998E-2</v>
      </c>
      <c r="Q5930">
        <v>0.1633242</v>
      </c>
      <c r="R5930">
        <v>0.98526000000000002</v>
      </c>
      <c r="S5930">
        <v>0.56614690000000001</v>
      </c>
      <c r="T5930">
        <v>4.6149490000000001E-2</v>
      </c>
      <c r="U5930">
        <v>3.0674130000000002</v>
      </c>
      <c r="V5930">
        <v>-4.6315250000000002E-2</v>
      </c>
      <c r="W5930">
        <v>0.17743399999999901</v>
      </c>
      <c r="X5930">
        <v>0.98304219999999998</v>
      </c>
      <c r="Y5930">
        <v>0.18603449999999999</v>
      </c>
      <c r="Z5930">
        <v>2.914071E-2</v>
      </c>
      <c r="AA5930">
        <v>0.98211099999999996</v>
      </c>
      <c r="AB5930">
        <v>31</v>
      </c>
      <c r="AC5930">
        <v>19.413099999999901</v>
      </c>
      <c r="AD5930">
        <v>1.582327</v>
      </c>
      <c r="AE5930">
        <v>104.86673</v>
      </c>
      <c r="AF5930">
        <v>19.900154662932799</v>
      </c>
      <c r="AG5930">
        <v>1.582327</v>
      </c>
      <c r="AH5930">
        <v>104.751503532938</v>
      </c>
      <c r="AI5930">
        <v>89.149786706952995</v>
      </c>
      <c r="AJ5930">
        <v>79.243421856185606</v>
      </c>
      <c r="AK5930">
        <v>106.636754483408</v>
      </c>
      <c r="AL5930">
        <v>79.779666353848299</v>
      </c>
      <c r="AM5930">
        <v>92.697450293819003</v>
      </c>
      <c r="AN5930">
        <v>0.99999994685969895</v>
      </c>
    </row>
    <row r="5931" spans="1:40" x14ac:dyDescent="0.25">
      <c r="A5931" t="str">
        <f>"20190304155536026"</f>
        <v>20190304155536026</v>
      </c>
      <c r="B5931" t="str">
        <f>"1551686136024078"</f>
        <v>1551686136024078</v>
      </c>
      <c r="C5931" t="s">
        <v>40</v>
      </c>
      <c r="D5931">
        <v>4.7516829999999999</v>
      </c>
      <c r="E5931">
        <v>0.59399190000000002</v>
      </c>
      <c r="F5931" t="s">
        <v>70</v>
      </c>
      <c r="G5931">
        <v>-168.78720000000001</v>
      </c>
      <c r="H5931">
        <v>3.4386580000000002</v>
      </c>
      <c r="I5931">
        <v>184.38239999999999</v>
      </c>
      <c r="J5931">
        <v>-187.83109999999999</v>
      </c>
      <c r="K5931">
        <v>1.1105290000000001</v>
      </c>
      <c r="L5931">
        <v>87.1965</v>
      </c>
      <c r="M5931">
        <v>-4.8378400000000004E-3</v>
      </c>
      <c r="N5931">
        <v>-1.4347199999999999E-2</v>
      </c>
      <c r="O5931">
        <v>0.99988540000000004</v>
      </c>
      <c r="P5931">
        <v>-5.0300659999999997E-2</v>
      </c>
      <c r="Q5931">
        <v>0.162736299999999</v>
      </c>
      <c r="R5931">
        <v>0.9853866</v>
      </c>
      <c r="S5931">
        <v>0.59828190000000003</v>
      </c>
      <c r="T5931">
        <v>7.3147299999999998E-2</v>
      </c>
      <c r="U5931">
        <v>3.06366</v>
      </c>
      <c r="V5931">
        <v>-4.5584659999999999E-2</v>
      </c>
      <c r="W5931">
        <v>0.1768468</v>
      </c>
      <c r="X5931">
        <v>0.98318220000000001</v>
      </c>
      <c r="Y5931">
        <v>0.1962854</v>
      </c>
      <c r="Z5931">
        <v>3.7762770000000001E-2</v>
      </c>
      <c r="AA5931">
        <v>0.97981940000000001</v>
      </c>
      <c r="AB5931">
        <v>31</v>
      </c>
      <c r="AC5931">
        <v>19.043899999999901</v>
      </c>
      <c r="AD5931">
        <v>2.3281290000000001</v>
      </c>
      <c r="AE5931">
        <v>97.185900000000004</v>
      </c>
      <c r="AF5931">
        <v>19.5031170722444</v>
      </c>
      <c r="AG5931">
        <v>2.3281290000000001</v>
      </c>
      <c r="AH5931">
        <v>97.038993816156605</v>
      </c>
      <c r="AI5931">
        <v>88.652575551724993</v>
      </c>
      <c r="AJ5931">
        <v>78.635962553687506</v>
      </c>
      <c r="AK5931">
        <v>99.0068587574942</v>
      </c>
      <c r="AL5931">
        <v>79.813851545809499</v>
      </c>
      <c r="AM5931">
        <v>92.654583799440303</v>
      </c>
      <c r="AN5931">
        <v>0.99999999514719695</v>
      </c>
    </row>
    <row r="5932" spans="1:40" x14ac:dyDescent="0.25">
      <c r="A5932" t="str">
        <f>"20190304155536048"</f>
        <v>20190304155536048</v>
      </c>
      <c r="B5932" t="str">
        <f>"1551686136043598"</f>
        <v>1551686136043598</v>
      </c>
      <c r="C5932" t="s">
        <v>40</v>
      </c>
      <c r="D5932">
        <v>4.2661699999999998</v>
      </c>
      <c r="E5932">
        <v>0.59504029999999997</v>
      </c>
      <c r="F5932" t="s">
        <v>70</v>
      </c>
      <c r="G5932">
        <v>-168.5153</v>
      </c>
      <c r="H5932">
        <v>3.241323</v>
      </c>
      <c r="I5932">
        <v>184.38229999999999</v>
      </c>
      <c r="J5932">
        <v>-187.83269999999999</v>
      </c>
      <c r="K5932">
        <v>1.1105100000000001</v>
      </c>
      <c r="L5932">
        <v>87.503630000000001</v>
      </c>
      <c r="M5932">
        <v>-4.9601740000000004E-3</v>
      </c>
      <c r="N5932">
        <v>-1.434382E-2</v>
      </c>
      <c r="O5932">
        <v>0.99988480000000002</v>
      </c>
      <c r="P5932">
        <v>-5.0040059999999997E-2</v>
      </c>
      <c r="Q5932">
        <v>0.1627178</v>
      </c>
      <c r="R5932">
        <v>0.98540289999999997</v>
      </c>
      <c r="S5932">
        <v>0.60906979999999999</v>
      </c>
      <c r="T5932">
        <v>6.7189689999999996E-2</v>
      </c>
      <c r="U5932">
        <v>3.0644840000000002</v>
      </c>
      <c r="V5932">
        <v>-4.5196170000000001E-2</v>
      </c>
      <c r="W5932">
        <v>0.1768276</v>
      </c>
      <c r="X5932">
        <v>0.98320359999999996</v>
      </c>
      <c r="Y5932">
        <v>0.19968630000000001</v>
      </c>
      <c r="Z5932">
        <v>3.5833959999999998E-2</v>
      </c>
      <c r="AA5932">
        <v>0.97920439999999997</v>
      </c>
      <c r="AB5932">
        <v>31</v>
      </c>
      <c r="AC5932">
        <v>19.3173999999999</v>
      </c>
      <c r="AD5932">
        <v>2.1308129999999998</v>
      </c>
      <c r="AE5932">
        <v>96.87867</v>
      </c>
      <c r="AF5932">
        <v>19.788539886888898</v>
      </c>
      <c r="AG5932">
        <v>2.1308129999999998</v>
      </c>
      <c r="AH5932">
        <v>96.736642169839698</v>
      </c>
      <c r="AI5932">
        <v>88.763745276177502</v>
      </c>
      <c r="AJ5932">
        <v>78.4390167738012</v>
      </c>
      <c r="AK5932">
        <v>98.762870620449107</v>
      </c>
      <c r="AL5932">
        <v>79.814969356148197</v>
      </c>
      <c r="AM5932">
        <v>92.631935158899694</v>
      </c>
      <c r="AN5932">
        <v>1.00000000647869</v>
      </c>
    </row>
    <row r="5933" spans="1:40" x14ac:dyDescent="0.25">
      <c r="A5933" t="str">
        <f>"20190304155536069"</f>
        <v>20190304155536069</v>
      </c>
      <c r="B5933" t="str">
        <f>"1551686136064093"</f>
        <v>1551686136064093</v>
      </c>
      <c r="C5933" t="s">
        <v>40</v>
      </c>
      <c r="D5933">
        <v>4.2633890000000001</v>
      </c>
      <c r="E5933">
        <v>0.59718839999999995</v>
      </c>
      <c r="F5933" t="s">
        <v>70</v>
      </c>
      <c r="G5933">
        <v>-168.41919999999999</v>
      </c>
      <c r="H5933">
        <v>3.3593609999999998</v>
      </c>
      <c r="I5933">
        <v>183.69450000000001</v>
      </c>
      <c r="J5933">
        <v>-187.83439999999999</v>
      </c>
      <c r="K5933">
        <v>1.1104989999999999</v>
      </c>
      <c r="L5933">
        <v>87.80444</v>
      </c>
      <c r="M5933">
        <v>-5.0632409999999996E-3</v>
      </c>
      <c r="N5933">
        <v>-1.434057E-2</v>
      </c>
      <c r="O5933">
        <v>0.99988440000000001</v>
      </c>
      <c r="P5933">
        <v>-4.9289430000000002E-2</v>
      </c>
      <c r="Q5933">
        <v>0.1625636</v>
      </c>
      <c r="R5933">
        <v>0.98546619999999996</v>
      </c>
      <c r="S5933">
        <v>0.61839290000000002</v>
      </c>
      <c r="T5933">
        <v>7.1634890000000007E-2</v>
      </c>
      <c r="U5933">
        <v>3.0640260000000001</v>
      </c>
      <c r="V5933">
        <v>-4.4337580000000001E-2</v>
      </c>
      <c r="W5933">
        <v>0.17667269999999999</v>
      </c>
      <c r="X5933">
        <v>0.98327050000000005</v>
      </c>
      <c r="Y5933">
        <v>0.20267089999999999</v>
      </c>
      <c r="Z5933">
        <v>3.7240759999999998E-2</v>
      </c>
      <c r="AA5933">
        <v>0.97853849999999998</v>
      </c>
      <c r="AB5933">
        <v>31</v>
      </c>
      <c r="AC5933">
        <v>19.415199999999999</v>
      </c>
      <c r="AD5933">
        <v>2.2488619999999999</v>
      </c>
      <c r="AE5933">
        <v>95.890059999999906</v>
      </c>
      <c r="AF5933">
        <v>19.890006394113701</v>
      </c>
      <c r="AG5933">
        <v>2.2488619999999999</v>
      </c>
      <c r="AH5933">
        <v>95.739931552083206</v>
      </c>
      <c r="AI5933">
        <v>88.682531420068699</v>
      </c>
      <c r="AJ5933">
        <v>78.2637266138466</v>
      </c>
      <c r="AK5933">
        <v>97.810041551215505</v>
      </c>
      <c r="AL5933">
        <v>79.823986064878696</v>
      </c>
      <c r="AM5933">
        <v>92.581829263079598</v>
      </c>
      <c r="AN5933">
        <v>0.99999997004789698</v>
      </c>
    </row>
    <row r="5934" spans="1:40" x14ac:dyDescent="0.25">
      <c r="A5934" t="str">
        <f>"20190304155536094"</f>
        <v>20190304155536094</v>
      </c>
      <c r="B5934" t="str">
        <f>"1551686136083613"</f>
        <v>1551686136083613</v>
      </c>
      <c r="C5934" t="s">
        <v>40</v>
      </c>
      <c r="D5934">
        <v>4.2806249999999997</v>
      </c>
      <c r="E5934">
        <v>0.59884399999999904</v>
      </c>
      <c r="F5934" t="s">
        <v>70</v>
      </c>
      <c r="G5934">
        <v>-168.42019999999999</v>
      </c>
      <c r="H5934">
        <v>3.8682150000000002</v>
      </c>
      <c r="I5934">
        <v>181.0729</v>
      </c>
      <c r="J5934">
        <v>-187.83609999999999</v>
      </c>
      <c r="K5934">
        <v>1.1104940000000001</v>
      </c>
      <c r="L5934">
        <v>88.135499999999993</v>
      </c>
      <c r="M5934">
        <v>-5.1622539999999998E-3</v>
      </c>
      <c r="N5934">
        <v>-1.4336979999999999E-2</v>
      </c>
      <c r="O5934">
        <v>0.99988390000000005</v>
      </c>
      <c r="P5934">
        <v>-4.8873729999999997E-2</v>
      </c>
      <c r="Q5934">
        <v>0.1627914</v>
      </c>
      <c r="R5934">
        <v>0.98544929999999997</v>
      </c>
      <c r="S5934">
        <v>0.63719179999999997</v>
      </c>
      <c r="T5934">
        <v>9.0511919999999996E-2</v>
      </c>
      <c r="U5934">
        <v>3.0611570000000001</v>
      </c>
      <c r="V5934">
        <v>-4.3818610000000001E-2</v>
      </c>
      <c r="W5934">
        <v>0.17689849999999999</v>
      </c>
      <c r="X5934">
        <v>0.98325320000000005</v>
      </c>
      <c r="Y5934">
        <v>0.20866850000000001</v>
      </c>
      <c r="Z5934">
        <v>4.3254729999999998E-2</v>
      </c>
      <c r="AA5934">
        <v>0.97702940000000005</v>
      </c>
      <c r="AB5934">
        <v>31</v>
      </c>
      <c r="AC5934">
        <v>19.415899999999901</v>
      </c>
      <c r="AD5934">
        <v>2.7577210000000001</v>
      </c>
      <c r="AE5934">
        <v>92.937399999999997</v>
      </c>
      <c r="AF5934">
        <v>19.878686188313701</v>
      </c>
      <c r="AG5934">
        <v>2.7577210000000001</v>
      </c>
      <c r="AH5934">
        <v>92.757665469107394</v>
      </c>
      <c r="AI5934">
        <v>88.3348628885485</v>
      </c>
      <c r="AJ5934">
        <v>77.904036036647497</v>
      </c>
      <c r="AK5934">
        <v>94.903907680169496</v>
      </c>
      <c r="AL5934">
        <v>79.810841979923893</v>
      </c>
      <c r="AM5934">
        <v>92.551694045730997</v>
      </c>
      <c r="AN5934">
        <v>1.0000000025974101</v>
      </c>
    </row>
    <row r="5935" spans="1:40" x14ac:dyDescent="0.25">
      <c r="A5935" t="str">
        <f>"20190304155536115"</f>
        <v>20190304155536115</v>
      </c>
      <c r="B5935" t="str">
        <f>"1551686136113869"</f>
        <v>1551686136113869</v>
      </c>
      <c r="C5935" t="s">
        <v>40</v>
      </c>
      <c r="D5935">
        <v>4.3323609999999997</v>
      </c>
      <c r="E5935">
        <v>0.60129880000000002</v>
      </c>
      <c r="F5935" t="s">
        <v>70</v>
      </c>
      <c r="G5935">
        <v>-169.4051</v>
      </c>
      <c r="H5935">
        <v>4.1864379999999999</v>
      </c>
      <c r="I5935">
        <v>174.6771</v>
      </c>
      <c r="J5935">
        <v>-187.83779999999999</v>
      </c>
      <c r="K5935">
        <v>1.1104810000000001</v>
      </c>
      <c r="L5935">
        <v>88.441220000000001</v>
      </c>
      <c r="M5935">
        <v>-5.2450969999999998E-3</v>
      </c>
      <c r="N5935">
        <v>-1.4333759999999999E-2</v>
      </c>
      <c r="O5935">
        <v>0.99988350000000004</v>
      </c>
      <c r="P5935">
        <v>-4.8927230000000002E-2</v>
      </c>
      <c r="Q5935">
        <v>0.1632654</v>
      </c>
      <c r="R5935">
        <v>0.98536829999999997</v>
      </c>
      <c r="S5935">
        <v>0.65141300000000002</v>
      </c>
      <c r="T5935">
        <v>0.1087147</v>
      </c>
      <c r="U5935">
        <v>3.0586549999999999</v>
      </c>
      <c r="V5935">
        <v>-4.3787189999999997E-2</v>
      </c>
      <c r="W5935">
        <v>0.1773692</v>
      </c>
      <c r="X5935">
        <v>0.98316979999999998</v>
      </c>
      <c r="Y5935">
        <v>0.21320990000000001</v>
      </c>
      <c r="Z5935">
        <v>4.9051940000000002E-2</v>
      </c>
      <c r="AA5935">
        <v>0.97577429999999998</v>
      </c>
      <c r="AB5935">
        <v>31</v>
      </c>
      <c r="AC5935">
        <v>18.432699999999901</v>
      </c>
      <c r="AD5935">
        <v>3.0759569999999998</v>
      </c>
      <c r="AE5935">
        <v>86.235879999999995</v>
      </c>
      <c r="AF5935">
        <v>18.861859261262602</v>
      </c>
      <c r="AG5935">
        <v>3.0759569999999998</v>
      </c>
      <c r="AH5935">
        <v>86.033325812594896</v>
      </c>
      <c r="AI5935">
        <v>87.999836724770802</v>
      </c>
      <c r="AJ5935">
        <v>77.634177951411004</v>
      </c>
      <c r="AK5935">
        <v>88.130382937064496</v>
      </c>
      <c r="AL5935">
        <v>79.783439543171895</v>
      </c>
      <c r="AM5935">
        <v>92.550082790848805</v>
      </c>
      <c r="AN5935">
        <v>1.0000000033743801</v>
      </c>
    </row>
    <row r="5936" spans="1:40" x14ac:dyDescent="0.25">
      <c r="A5936" t="str">
        <f>"20190304155536137"</f>
        <v>20190304155536137</v>
      </c>
      <c r="B5936" t="str">
        <f>"1551686136133390"</f>
        <v>1551686136133390</v>
      </c>
      <c r="C5936" t="s">
        <v>40</v>
      </c>
      <c r="D5936">
        <v>4.2839830000000001</v>
      </c>
      <c r="E5936">
        <v>0.60264740000000006</v>
      </c>
      <c r="F5936" t="s">
        <v>70</v>
      </c>
      <c r="G5936">
        <v>-169.35390000000001</v>
      </c>
      <c r="H5936">
        <v>4.751296</v>
      </c>
      <c r="I5936">
        <v>172.6902</v>
      </c>
      <c r="J5936">
        <v>-187.83949999999999</v>
      </c>
      <c r="K5936">
        <v>1.110474</v>
      </c>
      <c r="L5936">
        <v>88.734279999999998</v>
      </c>
      <c r="M5936">
        <v>-5.320076E-3</v>
      </c>
      <c r="N5936">
        <v>-1.4330610000000001E-2</v>
      </c>
      <c r="O5936">
        <v>0.99988319999999997</v>
      </c>
      <c r="P5936">
        <v>-4.8939429999999999E-2</v>
      </c>
      <c r="Q5936">
        <v>0.16299829999999901</v>
      </c>
      <c r="R5936">
        <v>0.98541179999999995</v>
      </c>
      <c r="S5936">
        <v>0.67047119999999905</v>
      </c>
      <c r="T5936">
        <v>0.1320646</v>
      </c>
      <c r="U5936">
        <v>3.0559690000000002</v>
      </c>
      <c r="V5936">
        <v>-4.3722289999999997E-2</v>
      </c>
      <c r="W5936">
        <v>0.17710029999999999</v>
      </c>
      <c r="X5936">
        <v>0.98322120000000002</v>
      </c>
      <c r="Y5936">
        <v>0.21919540000000001</v>
      </c>
      <c r="Z5936">
        <v>5.6469949999999998E-2</v>
      </c>
      <c r="AA5936">
        <v>0.97404550000000001</v>
      </c>
      <c r="AB5936">
        <v>31</v>
      </c>
      <c r="AC5936">
        <v>18.485599999999899</v>
      </c>
      <c r="AD5936">
        <v>3.640822</v>
      </c>
      <c r="AE5936">
        <v>83.955919999999907</v>
      </c>
      <c r="AF5936">
        <v>18.898139554916</v>
      </c>
      <c r="AG5936">
        <v>3.640822</v>
      </c>
      <c r="AH5936">
        <v>83.706237636507396</v>
      </c>
      <c r="AI5936">
        <v>87.570546885733506</v>
      </c>
      <c r="AJ5936">
        <v>77.277773325562904</v>
      </c>
      <c r="AK5936">
        <v>85.890217619541602</v>
      </c>
      <c r="AL5936">
        <v>79.799094606794398</v>
      </c>
      <c r="AM5936">
        <v>92.546175177930806</v>
      </c>
      <c r="AN5936">
        <v>1.00000004151618</v>
      </c>
    </row>
    <row r="5937" spans="1:40" x14ac:dyDescent="0.25">
      <c r="A5937" t="str">
        <f>"20190304155536182"</f>
        <v>20190304155536182</v>
      </c>
      <c r="B5937" t="str">
        <f>"1551686136173406"</f>
        <v>1551686136173406</v>
      </c>
      <c r="C5937" t="s">
        <v>40</v>
      </c>
      <c r="D5937">
        <v>4.7933240000000001</v>
      </c>
      <c r="E5937">
        <v>0.60200159999999903</v>
      </c>
      <c r="F5937" t="s">
        <v>70</v>
      </c>
      <c r="G5937">
        <v>-169.1224</v>
      </c>
      <c r="H5937">
        <v>5.0427119999999999</v>
      </c>
      <c r="I5937">
        <v>172.6901</v>
      </c>
      <c r="J5937">
        <v>-187.84289999999999</v>
      </c>
      <c r="K5937">
        <v>1.110468</v>
      </c>
      <c r="L5937">
        <v>89.349669999999904</v>
      </c>
      <c r="M5937">
        <v>-5.4712140000000003E-3</v>
      </c>
      <c r="N5937">
        <v>-1.4323489999999999E-2</v>
      </c>
      <c r="O5937">
        <v>0.99988250000000001</v>
      </c>
      <c r="P5937">
        <v>-4.8743290000000002E-2</v>
      </c>
      <c r="Q5937">
        <v>0.16314879999999901</v>
      </c>
      <c r="R5937">
        <v>0.98539670000000001</v>
      </c>
      <c r="S5937">
        <v>0.68098449999999999</v>
      </c>
      <c r="T5937">
        <v>0.143068</v>
      </c>
      <c r="U5937">
        <v>3.0545650000000002</v>
      </c>
      <c r="V5937">
        <v>-4.3373740000000001E-2</v>
      </c>
      <c r="W5937">
        <v>0.1772444</v>
      </c>
      <c r="X5937">
        <v>0.98321060000000005</v>
      </c>
      <c r="Y5937">
        <v>0.2225934</v>
      </c>
      <c r="Z5937">
        <v>5.9950950000000003E-2</v>
      </c>
      <c r="AA5937">
        <v>0.97306630000000005</v>
      </c>
      <c r="AB5937">
        <v>31</v>
      </c>
      <c r="AC5937">
        <v>18.720499999999902</v>
      </c>
      <c r="AD5937">
        <v>3.9322439999999999</v>
      </c>
      <c r="AE5937">
        <v>83.340429999999998</v>
      </c>
      <c r="AF5937">
        <v>19.135685701924402</v>
      </c>
      <c r="AG5937">
        <v>3.9322439999999999</v>
      </c>
      <c r="AH5937">
        <v>83.060717982281702</v>
      </c>
      <c r="AI5937">
        <v>87.358626765119695</v>
      </c>
      <c r="AJ5937">
        <v>77.026455536246701</v>
      </c>
      <c r="AK5937">
        <v>85.327134499469196</v>
      </c>
      <c r="AL5937">
        <v>79.790704844887799</v>
      </c>
      <c r="AM5937">
        <v>92.525930899141002</v>
      </c>
      <c r="AN5937">
        <v>0.99999997130265295</v>
      </c>
    </row>
    <row r="5938" spans="1:40" x14ac:dyDescent="0.25">
      <c r="A5938" t="str">
        <f>"20190304155536204"</f>
        <v>20190304155536204</v>
      </c>
      <c r="B5938" t="str">
        <f>"1551686136193902"</f>
        <v>1551686136193902</v>
      </c>
      <c r="C5938" t="s">
        <v>40</v>
      </c>
      <c r="D5938">
        <v>4.7037449999999996</v>
      </c>
      <c r="E5938">
        <v>0.60088439999999999</v>
      </c>
      <c r="F5938" t="s">
        <v>70</v>
      </c>
      <c r="G5938">
        <v>-169.4059</v>
      </c>
      <c r="H5938">
        <v>4.7062339999999896</v>
      </c>
      <c r="I5938">
        <v>172.69550000000001</v>
      </c>
      <c r="J5938">
        <v>-187.84469999999999</v>
      </c>
      <c r="K5938">
        <v>1.11046</v>
      </c>
      <c r="L5938">
        <v>89.657349999999994</v>
      </c>
      <c r="M5938">
        <v>-5.5438220000000003E-3</v>
      </c>
      <c r="N5938">
        <v>-1.4319989999999999E-2</v>
      </c>
      <c r="O5938">
        <v>0.9998821</v>
      </c>
      <c r="P5938">
        <v>-4.8527830000000001E-2</v>
      </c>
      <c r="Q5938">
        <v>0.16274569999999999</v>
      </c>
      <c r="R5938">
        <v>0.98547390000000001</v>
      </c>
      <c r="S5938">
        <v>0.67604059999999999</v>
      </c>
      <c r="T5938">
        <v>0.1318493</v>
      </c>
      <c r="U5938">
        <v>3.0560909999999999</v>
      </c>
      <c r="V5938">
        <v>-4.3085310000000002E-2</v>
      </c>
      <c r="W5938">
        <v>0.17683940000000001</v>
      </c>
      <c r="X5938">
        <v>0.98329619999999995</v>
      </c>
      <c r="Y5938">
        <v>0.22109960000000001</v>
      </c>
      <c r="Z5938">
        <v>5.6372220000000001E-2</v>
      </c>
      <c r="AA5938">
        <v>0.97362070000000001</v>
      </c>
      <c r="AB5938">
        <v>31</v>
      </c>
      <c r="AC5938">
        <v>18.438799999999901</v>
      </c>
      <c r="AD5938">
        <v>3.595774</v>
      </c>
      <c r="AE5938">
        <v>83.038150000000002</v>
      </c>
      <c r="AF5938">
        <v>18.865200230787199</v>
      </c>
      <c r="AG5938">
        <v>3.595774</v>
      </c>
      <c r="AH5938">
        <v>82.786701171764705</v>
      </c>
      <c r="AI5938">
        <v>87.5750543288096</v>
      </c>
      <c r="AJ5938">
        <v>77.162806511826304</v>
      </c>
      <c r="AK5938">
        <v>84.985076697675794</v>
      </c>
      <c r="AL5938">
        <v>79.814282035655694</v>
      </c>
      <c r="AM5938">
        <v>92.508937157720993</v>
      </c>
      <c r="AN5938">
        <v>0.999999967132297</v>
      </c>
    </row>
    <row r="5939" spans="1:40" x14ac:dyDescent="0.25">
      <c r="A5939" t="str">
        <f>"20190304155536226"</f>
        <v>20190304155536226</v>
      </c>
      <c r="B5939" t="str">
        <f>"1551686136224157"</f>
        <v>1551686136224157</v>
      </c>
      <c r="C5939" t="s">
        <v>40</v>
      </c>
      <c r="D5939">
        <v>4.7683369999999998</v>
      </c>
      <c r="E5939">
        <v>0.59976940000000001</v>
      </c>
      <c r="F5939" t="s">
        <v>70</v>
      </c>
      <c r="G5939">
        <v>-169.40530000000001</v>
      </c>
      <c r="H5939">
        <v>4.3466490000000002</v>
      </c>
      <c r="I5939">
        <v>174.03270000000001</v>
      </c>
      <c r="J5939">
        <v>-187.84639999999999</v>
      </c>
      <c r="K5939">
        <v>1.1104480000000001</v>
      </c>
      <c r="L5939">
        <v>89.954589999999996</v>
      </c>
      <c r="M5939">
        <v>-5.612143E-3</v>
      </c>
      <c r="N5939">
        <v>-1.431661E-2</v>
      </c>
      <c r="O5939">
        <v>0.99988169999999998</v>
      </c>
      <c r="P5939">
        <v>-4.802849E-2</v>
      </c>
      <c r="Q5939">
        <v>0.1616746</v>
      </c>
      <c r="R5939">
        <v>0.98567470000000001</v>
      </c>
      <c r="S5939">
        <v>0.66824340000000004</v>
      </c>
      <c r="T5939">
        <v>0.117281</v>
      </c>
      <c r="U5939">
        <v>3.0577700000000001</v>
      </c>
      <c r="V5939">
        <v>-4.2516419999999999E-2</v>
      </c>
      <c r="W5939">
        <v>0.1757678</v>
      </c>
      <c r="X5939">
        <v>0.98351310000000003</v>
      </c>
      <c r="Y5939">
        <v>0.21873049999999999</v>
      </c>
      <c r="Z5939">
        <v>5.1731920000000001E-2</v>
      </c>
      <c r="AA5939">
        <v>0.97441299999999997</v>
      </c>
      <c r="AB5939">
        <v>31</v>
      </c>
      <c r="AC5939">
        <v>18.441099999999899</v>
      </c>
      <c r="AD5939">
        <v>3.2362009999999999</v>
      </c>
      <c r="AE5939">
        <v>84.078109999999995</v>
      </c>
      <c r="AF5939">
        <v>18.8860206802939</v>
      </c>
      <c r="AG5939">
        <v>3.2362009999999999</v>
      </c>
      <c r="AH5939">
        <v>83.8547512487375</v>
      </c>
      <c r="AI5939">
        <v>87.843841177707105</v>
      </c>
      <c r="AJ5939">
        <v>77.307454469313001</v>
      </c>
      <c r="AK5939">
        <v>86.016126866050797</v>
      </c>
      <c r="AL5939">
        <v>79.876657505068707</v>
      </c>
      <c r="AM5939">
        <v>92.475305805798698</v>
      </c>
      <c r="AN5939">
        <v>0.99999999167903297</v>
      </c>
    </row>
    <row r="5940" spans="1:40" x14ac:dyDescent="0.25">
      <c r="A5940" t="str">
        <f>"20190304155536248"</f>
        <v>20190304155536248</v>
      </c>
      <c r="B5940" t="str">
        <f>"1551686136243678"</f>
        <v>1551686136243678</v>
      </c>
      <c r="C5940" t="s">
        <v>40</v>
      </c>
      <c r="D5940">
        <v>4.726216</v>
      </c>
      <c r="E5940">
        <v>0.59927900000000001</v>
      </c>
      <c r="F5940" t="s">
        <v>70</v>
      </c>
      <c r="G5940">
        <v>-168.42060000000001</v>
      </c>
      <c r="H5940">
        <v>3.9424299999999999</v>
      </c>
      <c r="I5940">
        <v>179.81620000000001</v>
      </c>
      <c r="J5940">
        <v>-187.84809999999999</v>
      </c>
      <c r="K5940">
        <v>1.1104480000000001</v>
      </c>
      <c r="L5940">
        <v>90.255889999999994</v>
      </c>
      <c r="M5940">
        <v>-5.6750009999999998E-3</v>
      </c>
      <c r="N5940">
        <v>-1.431322E-2</v>
      </c>
      <c r="O5940">
        <v>0.99988140000000003</v>
      </c>
      <c r="P5940">
        <v>-4.7635700000000003E-2</v>
      </c>
      <c r="Q5940">
        <v>0.16041129999999901</v>
      </c>
      <c r="R5940">
        <v>0.98590009999999995</v>
      </c>
      <c r="S5940">
        <v>0.66149899999999995</v>
      </c>
      <c r="T5940">
        <v>9.6437809999999999E-2</v>
      </c>
      <c r="U5940">
        <v>3.060028</v>
      </c>
      <c r="V5940">
        <v>-4.2058430000000001E-2</v>
      </c>
      <c r="W5940">
        <v>0.17450539999999901</v>
      </c>
      <c r="X5940">
        <v>0.98375760000000001</v>
      </c>
      <c r="Y5940">
        <v>0.21664800000000001</v>
      </c>
      <c r="Z5940">
        <v>4.5081469999999998E-2</v>
      </c>
      <c r="AA5940">
        <v>0.97520830000000003</v>
      </c>
      <c r="AB5940">
        <v>31</v>
      </c>
      <c r="AC5940">
        <v>19.427499999999899</v>
      </c>
      <c r="AD5940">
        <v>2.831982</v>
      </c>
      <c r="AE5940">
        <v>89.560310000000001</v>
      </c>
      <c r="AF5940">
        <v>19.9164748143377</v>
      </c>
      <c r="AG5940">
        <v>2.831982</v>
      </c>
      <c r="AH5940">
        <v>89.363267720220605</v>
      </c>
      <c r="AI5940">
        <v>88.228305091706304</v>
      </c>
      <c r="AJ5940">
        <v>77.435777894834501</v>
      </c>
      <c r="AK5940">
        <v>91.599561727741403</v>
      </c>
      <c r="AL5940">
        <v>79.950123575897393</v>
      </c>
      <c r="AM5940">
        <v>92.448066416913704</v>
      </c>
      <c r="AN5940">
        <v>1.0000000308604899</v>
      </c>
    </row>
    <row r="5941" spans="1:40" x14ac:dyDescent="0.25">
      <c r="A5941" t="str">
        <f>"20190304155536271"</f>
        <v>20190304155536271</v>
      </c>
      <c r="B5941" t="str">
        <f>"1551686136264174"</f>
        <v>1551686136264174</v>
      </c>
      <c r="C5941" t="s">
        <v>40</v>
      </c>
      <c r="D5941">
        <v>4.7047569999999999</v>
      </c>
      <c r="E5941">
        <v>0.59974099999999997</v>
      </c>
      <c r="F5941" t="s">
        <v>70</v>
      </c>
      <c r="G5941">
        <v>-168.4203</v>
      </c>
      <c r="H5941">
        <v>3.5221499999999999</v>
      </c>
      <c r="I5941">
        <v>180.5498</v>
      </c>
      <c r="J5941">
        <v>-187.85</v>
      </c>
      <c r="K5941">
        <v>1.110436</v>
      </c>
      <c r="L5941">
        <v>90.568299999999994</v>
      </c>
      <c r="M5941">
        <v>-5.7264380000000004E-3</v>
      </c>
      <c r="N5941">
        <v>-1.430968E-2</v>
      </c>
      <c r="O5941">
        <v>0.99988120000000003</v>
      </c>
      <c r="P5941">
        <v>-4.7579040000000003E-2</v>
      </c>
      <c r="Q5941">
        <v>0.16004749999999901</v>
      </c>
      <c r="R5941">
        <v>0.98596200000000001</v>
      </c>
      <c r="S5941">
        <v>0.65870669999999898</v>
      </c>
      <c r="T5941">
        <v>8.1770060000000006E-2</v>
      </c>
      <c r="U5941">
        <v>3.0614319999999999</v>
      </c>
      <c r="V5941">
        <v>-4.1946249999999997E-2</v>
      </c>
      <c r="W5941">
        <v>0.17414009999999999</v>
      </c>
      <c r="X5941">
        <v>0.98382709999999995</v>
      </c>
      <c r="Y5941">
        <v>0.2157907</v>
      </c>
      <c r="Z5941">
        <v>4.0397330000000002E-2</v>
      </c>
      <c r="AA5941">
        <v>0.97560360000000002</v>
      </c>
      <c r="AB5941">
        <v>31</v>
      </c>
      <c r="AC5941">
        <v>19.4297</v>
      </c>
      <c r="AD5941">
        <v>2.4117139999999999</v>
      </c>
      <c r="AE5941">
        <v>89.981499999999997</v>
      </c>
      <c r="AF5941">
        <v>19.9310276972008</v>
      </c>
      <c r="AG5941">
        <v>2.4117139999999999</v>
      </c>
      <c r="AH5941">
        <v>89.807109717970505</v>
      </c>
      <c r="AI5941">
        <v>88.498248701826498</v>
      </c>
      <c r="AJ5941">
        <v>77.487065872745106</v>
      </c>
      <c r="AK5941">
        <v>92.023796842881794</v>
      </c>
      <c r="AL5941">
        <v>79.971378991306807</v>
      </c>
      <c r="AM5941">
        <v>92.441372476122496</v>
      </c>
      <c r="AN5941">
        <v>1.00000001250574</v>
      </c>
    </row>
    <row r="5942" spans="1:40" x14ac:dyDescent="0.25">
      <c r="A5942" t="str">
        <f>"20190304155536295"</f>
        <v>20190304155536295</v>
      </c>
      <c r="B5942" t="str">
        <f>"1551686136283694"</f>
        <v>1551686136283694</v>
      </c>
      <c r="C5942" t="s">
        <v>40</v>
      </c>
      <c r="D5942">
        <v>4.2989829999999998</v>
      </c>
      <c r="E5942">
        <v>0.60099630000000004</v>
      </c>
      <c r="F5942" t="s">
        <v>70</v>
      </c>
      <c r="G5942">
        <v>-168.4203</v>
      </c>
      <c r="H5942">
        <v>3.5180340000000001</v>
      </c>
      <c r="I5942">
        <v>180.3355</v>
      </c>
      <c r="J5942">
        <v>-187.852</v>
      </c>
      <c r="K5942">
        <v>1.1104229999999999</v>
      </c>
      <c r="L5942">
        <v>90.905060000000006</v>
      </c>
      <c r="M5942">
        <v>-5.7642930000000002E-3</v>
      </c>
      <c r="N5942">
        <v>-1.430589E-2</v>
      </c>
      <c r="O5942">
        <v>0.99988100000000002</v>
      </c>
      <c r="P5942">
        <v>-4.7218839999999998E-2</v>
      </c>
      <c r="Q5942">
        <v>0.15971640000000001</v>
      </c>
      <c r="R5942">
        <v>0.98603300000000005</v>
      </c>
      <c r="S5942">
        <v>0.66261289999999995</v>
      </c>
      <c r="T5942">
        <v>8.2107540000000007E-2</v>
      </c>
      <c r="U5942">
        <v>3.06134</v>
      </c>
      <c r="V5942">
        <v>-4.1542000000000003E-2</v>
      </c>
      <c r="W5942">
        <v>0.17380760000000001</v>
      </c>
      <c r="X5942">
        <v>0.98390310000000003</v>
      </c>
      <c r="Y5942">
        <v>0.2170224</v>
      </c>
      <c r="Z5942">
        <v>4.0494839999999997E-2</v>
      </c>
      <c r="AA5942">
        <v>0.97532640000000004</v>
      </c>
      <c r="AB5942">
        <v>31</v>
      </c>
      <c r="AC5942">
        <v>19.431699999999999</v>
      </c>
      <c r="AD5942">
        <v>2.4076110000000002</v>
      </c>
      <c r="AE5942">
        <v>89.430440000000004</v>
      </c>
      <c r="AF5942">
        <v>19.933137469027301</v>
      </c>
      <c r="AG5942">
        <v>2.4076110000000002</v>
      </c>
      <c r="AH5942">
        <v>89.255159161772099</v>
      </c>
      <c r="AI5942">
        <v>88.491982144994296</v>
      </c>
      <c r="AJ5942">
        <v>77.410855197976502</v>
      </c>
      <c r="AK5942">
        <v>91.485572617105802</v>
      </c>
      <c r="AL5942">
        <v>79.990725386709997</v>
      </c>
      <c r="AM5942">
        <v>92.417685671277994</v>
      </c>
      <c r="AN5942">
        <v>1.0000000648856799</v>
      </c>
    </row>
    <row r="5943" spans="1:40" x14ac:dyDescent="0.25">
      <c r="A5943" t="str">
        <f>"20190304155536316"</f>
        <v>20190304155536316</v>
      </c>
      <c r="B5943" t="str">
        <f>"1551686136313949"</f>
        <v>1551686136313949</v>
      </c>
      <c r="C5943" t="s">
        <v>40</v>
      </c>
      <c r="D5943">
        <v>4.2564289999999998</v>
      </c>
      <c r="E5943">
        <v>0.60114069999999997</v>
      </c>
      <c r="F5943" t="s">
        <v>70</v>
      </c>
      <c r="G5943">
        <v>-168.42080000000001</v>
      </c>
      <c r="H5943">
        <v>3.759916</v>
      </c>
      <c r="I5943">
        <v>179.21680000000001</v>
      </c>
      <c r="J5943">
        <v>-187.8537</v>
      </c>
      <c r="K5943">
        <v>1.110409</v>
      </c>
      <c r="L5943">
        <v>91.199680000000001</v>
      </c>
      <c r="M5943">
        <v>-5.7777389999999996E-3</v>
      </c>
      <c r="N5943">
        <v>-1.4302759999999999E-2</v>
      </c>
      <c r="O5943">
        <v>0.99988100000000002</v>
      </c>
      <c r="P5943">
        <v>-4.6806059999999997E-2</v>
      </c>
      <c r="Q5943">
        <v>0.1594237</v>
      </c>
      <c r="R5943">
        <v>0.98609999999999998</v>
      </c>
      <c r="S5943">
        <v>0.67326350000000001</v>
      </c>
      <c r="T5943">
        <v>9.1802239999999993E-2</v>
      </c>
      <c r="U5943">
        <v>3.0598749999999999</v>
      </c>
      <c r="V5943">
        <v>-4.1109229999999997E-2</v>
      </c>
      <c r="W5943">
        <v>0.17351459999999999</v>
      </c>
      <c r="X5943">
        <v>0.98397290000000004</v>
      </c>
      <c r="Y5943">
        <v>0.2203485</v>
      </c>
      <c r="Z5943">
        <v>4.3571699999999998E-2</v>
      </c>
      <c r="AA5943">
        <v>0.97444750000000002</v>
      </c>
      <c r="AB5943">
        <v>31</v>
      </c>
      <c r="AC5943">
        <v>19.432899999999901</v>
      </c>
      <c r="AD5943">
        <v>2.6495069999999998</v>
      </c>
      <c r="AE5943">
        <v>88.017119999999906</v>
      </c>
      <c r="AF5943">
        <v>19.9239527948301</v>
      </c>
      <c r="AG5943">
        <v>2.6495069999999998</v>
      </c>
      <c r="AH5943">
        <v>87.827475888502207</v>
      </c>
      <c r="AI5943">
        <v>88.314863152711993</v>
      </c>
      <c r="AJ5943">
        <v>77.218587056211703</v>
      </c>
      <c r="AK5943">
        <v>90.097998331034603</v>
      </c>
      <c r="AL5943">
        <v>80.0077711737123</v>
      </c>
      <c r="AM5943">
        <v>92.392358969665594</v>
      </c>
      <c r="AN5943">
        <v>0.999999976569381</v>
      </c>
    </row>
    <row r="5944" spans="1:40" x14ac:dyDescent="0.25">
      <c r="A5944" t="str">
        <f>"20190304155536337"</f>
        <v>20190304155536337</v>
      </c>
      <c r="B5944" t="str">
        <f>"1551686136333470"</f>
        <v>1551686136333470</v>
      </c>
      <c r="C5944" t="s">
        <v>40</v>
      </c>
      <c r="D5944">
        <v>4.6487400000000001</v>
      </c>
      <c r="E5944">
        <v>0.60101419999999905</v>
      </c>
      <c r="F5944" t="s">
        <v>70</v>
      </c>
      <c r="G5944">
        <v>-169.4049</v>
      </c>
      <c r="H5944">
        <v>3.5695169999999998</v>
      </c>
      <c r="I5944">
        <v>174.69030000000001</v>
      </c>
      <c r="J5944">
        <v>-187.8553</v>
      </c>
      <c r="K5944">
        <v>1.1103829999999999</v>
      </c>
      <c r="L5944">
        <v>91.479100000000003</v>
      </c>
      <c r="M5944">
        <v>-5.7563559999999998E-3</v>
      </c>
      <c r="N5944">
        <v>-1.42998E-2</v>
      </c>
      <c r="O5944">
        <v>0.99988120000000003</v>
      </c>
      <c r="P5944">
        <v>-4.6691820000000002E-2</v>
      </c>
      <c r="Q5944">
        <v>0.15925139999999999</v>
      </c>
      <c r="R5944">
        <v>0.98613329999999999</v>
      </c>
      <c r="S5944">
        <v>0.67611690000000002</v>
      </c>
      <c r="T5944">
        <v>9.0123060000000005E-2</v>
      </c>
      <c r="U5944">
        <v>3.0597840000000001</v>
      </c>
      <c r="V5944">
        <v>-4.1006809999999998E-2</v>
      </c>
      <c r="W5944">
        <v>0.17334179999999999</v>
      </c>
      <c r="X5944">
        <v>0.98400770000000004</v>
      </c>
      <c r="Y5944">
        <v>0.2212046</v>
      </c>
      <c r="Z5944">
        <v>4.3029299999999999E-2</v>
      </c>
      <c r="AA5944">
        <v>0.97427770000000002</v>
      </c>
      <c r="AB5944">
        <v>31</v>
      </c>
      <c r="AC5944">
        <v>18.450399999999998</v>
      </c>
      <c r="AD5944">
        <v>2.4591340000000002</v>
      </c>
      <c r="AE5944">
        <v>83.211200000000005</v>
      </c>
      <c r="AF5944">
        <v>18.913392089321899</v>
      </c>
      <c r="AG5944">
        <v>2.4591340000000002</v>
      </c>
      <c r="AH5944">
        <v>83.034481215750901</v>
      </c>
      <c r="AI5944">
        <v>88.345975096619398</v>
      </c>
      <c r="AJ5944">
        <v>77.168232451016706</v>
      </c>
      <c r="AK5944">
        <v>85.196765262087695</v>
      </c>
      <c r="AL5944">
        <v>80.017824922317203</v>
      </c>
      <c r="AM5944">
        <v>92.386321219906804</v>
      </c>
      <c r="AN5944">
        <v>1.00000004587645</v>
      </c>
    </row>
    <row r="5945" spans="1:40" x14ac:dyDescent="0.25">
      <c r="A5945" t="str">
        <f>"20190304155536360"</f>
        <v>20190304155536360</v>
      </c>
      <c r="B5945" t="str">
        <f>"1551686136353965"</f>
        <v>1551686136353965</v>
      </c>
      <c r="C5945" t="s">
        <v>40</v>
      </c>
      <c r="D5945">
        <v>4.7404409999999997</v>
      </c>
      <c r="E5945">
        <v>0.60148649999999904</v>
      </c>
      <c r="F5945" t="s">
        <v>70</v>
      </c>
      <c r="G5945">
        <v>-168.42060000000001</v>
      </c>
      <c r="H5945">
        <v>3.5129999999999999</v>
      </c>
      <c r="I5945">
        <v>179.4556</v>
      </c>
      <c r="J5945">
        <v>-187.8571</v>
      </c>
      <c r="K5945">
        <v>1.1103430000000001</v>
      </c>
      <c r="L5945">
        <v>91.796539999999993</v>
      </c>
      <c r="M5945">
        <v>-5.6730189999999996E-3</v>
      </c>
      <c r="N5945">
        <v>-1.4296440000000001E-2</v>
      </c>
      <c r="O5945">
        <v>0.99988169999999998</v>
      </c>
      <c r="P5945">
        <v>-4.6767290000000003E-2</v>
      </c>
      <c r="Q5945">
        <v>0.15826950000000001</v>
      </c>
      <c r="R5945">
        <v>0.98628780000000005</v>
      </c>
      <c r="S5945">
        <v>0.67613219999999996</v>
      </c>
      <c r="T5945">
        <v>8.3588239999999994E-2</v>
      </c>
      <c r="U5945">
        <v>3.0606990000000001</v>
      </c>
      <c r="V5945">
        <v>-4.1147240000000002E-2</v>
      </c>
      <c r="W5945">
        <v>0.17236299999999999</v>
      </c>
      <c r="X5945">
        <v>0.98417370000000004</v>
      </c>
      <c r="Y5945">
        <v>0.22108220000000001</v>
      </c>
      <c r="Z5945">
        <v>4.0937870000000001E-2</v>
      </c>
      <c r="AA5945">
        <v>0.97439560000000003</v>
      </c>
      <c r="AB5945">
        <v>31</v>
      </c>
      <c r="AC5945">
        <v>19.436499999999899</v>
      </c>
      <c r="AD5945">
        <v>2.402657</v>
      </c>
      <c r="AE5945">
        <v>87.659059999999997</v>
      </c>
      <c r="AF5945">
        <v>19.9192662112542</v>
      </c>
      <c r="AG5945">
        <v>2.402657</v>
      </c>
      <c r="AH5945">
        <v>87.484730288456902</v>
      </c>
      <c r="AI5945">
        <v>88.466078583788004</v>
      </c>
      <c r="AJ5945">
        <v>77.173084487695803</v>
      </c>
      <c r="AK5945">
        <v>89.755935517928407</v>
      </c>
      <c r="AL5945">
        <v>80.074762473375898</v>
      </c>
      <c r="AM5945">
        <v>92.394080401810001</v>
      </c>
      <c r="AN5945">
        <v>0.99999998545015301</v>
      </c>
    </row>
    <row r="5946" spans="1:40" x14ac:dyDescent="0.25">
      <c r="A5946" t="str">
        <f>"20190304155536383"</f>
        <v>20190304155536383</v>
      </c>
      <c r="B5946" t="str">
        <f>"1551686136373486"</f>
        <v>1551686136373486</v>
      </c>
      <c r="C5946" t="s">
        <v>40</v>
      </c>
      <c r="D5946">
        <v>4.6135519999999897</v>
      </c>
      <c r="E5946">
        <v>0.60189399999999904</v>
      </c>
      <c r="F5946" t="s">
        <v>70</v>
      </c>
      <c r="G5946">
        <v>-168.42060000000001</v>
      </c>
      <c r="H5946">
        <v>3.2438120000000001</v>
      </c>
      <c r="I5946">
        <v>179.3262</v>
      </c>
      <c r="J5946">
        <v>-187.8586</v>
      </c>
      <c r="K5946">
        <v>1.1102890000000001</v>
      </c>
      <c r="L5946">
        <v>92.096040000000002</v>
      </c>
      <c r="M5946">
        <v>-5.5141189999999996E-3</v>
      </c>
      <c r="N5946">
        <v>-1.429337E-2</v>
      </c>
      <c r="O5946">
        <v>0.99988259999999995</v>
      </c>
      <c r="P5946">
        <v>-4.7076239999999998E-2</v>
      </c>
      <c r="Q5946">
        <v>0.1569207</v>
      </c>
      <c r="R5946">
        <v>0.98648860000000005</v>
      </c>
      <c r="S5946">
        <v>0.67993159999999997</v>
      </c>
      <c r="T5946">
        <v>7.4634549999999994E-2</v>
      </c>
      <c r="U5946">
        <v>3.0619809999999998</v>
      </c>
      <c r="V5946">
        <v>-4.158887E-2</v>
      </c>
      <c r="W5946">
        <v>0.17101949999999999</v>
      </c>
      <c r="X5946">
        <v>0.98438950000000003</v>
      </c>
      <c r="Y5946">
        <v>0.22201399999999999</v>
      </c>
      <c r="Z5946">
        <v>3.8068690000000002E-2</v>
      </c>
      <c r="AA5946">
        <v>0.97430000000000005</v>
      </c>
      <c r="AB5946">
        <v>30</v>
      </c>
      <c r="AC5946">
        <v>19.437999999999899</v>
      </c>
      <c r="AD5946">
        <v>2.1335229999999998</v>
      </c>
      <c r="AE5946">
        <v>87.230159999999998</v>
      </c>
      <c r="AF5946">
        <v>19.9074054275866</v>
      </c>
      <c r="AG5946">
        <v>2.1335229999999998</v>
      </c>
      <c r="AH5946">
        <v>87.072015037985295</v>
      </c>
      <c r="AI5946">
        <v>88.631657846520298</v>
      </c>
      <c r="AJ5946">
        <v>77.121727520738702</v>
      </c>
      <c r="AK5946">
        <v>89.344236042539194</v>
      </c>
      <c r="AL5946">
        <v>80.152899735450006</v>
      </c>
      <c r="AM5946">
        <v>92.4192156610209</v>
      </c>
      <c r="AN5946">
        <v>0.99999999559918795</v>
      </c>
    </row>
    <row r="5947" spans="1:40" x14ac:dyDescent="0.25">
      <c r="A5947" t="str">
        <f>"20190304155536405"</f>
        <v>20190304155536405</v>
      </c>
      <c r="B5947" t="str">
        <f>"1551686136403741"</f>
        <v>1551686136403741</v>
      </c>
      <c r="C5947" t="s">
        <v>40</v>
      </c>
      <c r="D5947">
        <v>4.6564389999999998</v>
      </c>
      <c r="E5947">
        <v>0.60256480000000001</v>
      </c>
      <c r="F5947" t="s">
        <v>70</v>
      </c>
      <c r="G5947">
        <v>-168.4205</v>
      </c>
      <c r="H5947">
        <v>2.989109</v>
      </c>
      <c r="I5947">
        <v>179.24350000000001</v>
      </c>
      <c r="J5947">
        <v>-187.86009999999999</v>
      </c>
      <c r="K5947">
        <v>1.110209</v>
      </c>
      <c r="L5947">
        <v>92.40558</v>
      </c>
      <c r="M5947">
        <v>-5.2570789999999996E-3</v>
      </c>
      <c r="N5947">
        <v>-1.42904E-2</v>
      </c>
      <c r="O5947">
        <v>0.99988410000000005</v>
      </c>
      <c r="P5947">
        <v>-4.7268159999999997E-2</v>
      </c>
      <c r="Q5947">
        <v>0.1557453</v>
      </c>
      <c r="R5947">
        <v>0.98666569999999998</v>
      </c>
      <c r="S5947">
        <v>0.68324280000000004</v>
      </c>
      <c r="T5947">
        <v>6.6040989999999994E-2</v>
      </c>
      <c r="U5947">
        <v>3.063202</v>
      </c>
      <c r="V5947">
        <v>-4.2004439999999997E-2</v>
      </c>
      <c r="W5947">
        <v>0.16985149999999999</v>
      </c>
      <c r="X5947">
        <v>0.98457410000000001</v>
      </c>
      <c r="Y5947">
        <v>0.22270229999999999</v>
      </c>
      <c r="Z5947">
        <v>3.531832E-2</v>
      </c>
      <c r="AA5947">
        <v>0.97424659999999996</v>
      </c>
      <c r="AB5947">
        <v>30</v>
      </c>
      <c r="AC5947">
        <v>19.439599999999899</v>
      </c>
      <c r="AD5947">
        <v>1.8789</v>
      </c>
      <c r="AE5947">
        <v>86.837919999999997</v>
      </c>
      <c r="AF5947">
        <v>19.887025845537401</v>
      </c>
      <c r="AG5947">
        <v>1.8789</v>
      </c>
      <c r="AH5947">
        <v>86.695863738641705</v>
      </c>
      <c r="AI5947">
        <v>88.789881982181598</v>
      </c>
      <c r="AJ5947">
        <v>77.080521200914205</v>
      </c>
      <c r="AK5947">
        <v>88.967392069118205</v>
      </c>
      <c r="AL5947">
        <v>80.220815244941704</v>
      </c>
      <c r="AM5947">
        <v>92.442902570626799</v>
      </c>
      <c r="AN5947">
        <v>1.00000003171138</v>
      </c>
    </row>
    <row r="5948" spans="1:40" x14ac:dyDescent="0.25">
      <c r="A5948" t="str">
        <f>"20190304155536429"</f>
        <v>20190304155536429</v>
      </c>
      <c r="B5948" t="str">
        <f>"1551686136424238"</f>
        <v>1551686136424238</v>
      </c>
      <c r="C5948" t="s">
        <v>40</v>
      </c>
      <c r="D5948">
        <v>4.5854559999999998</v>
      </c>
      <c r="E5948">
        <v>0.60294959999999997</v>
      </c>
      <c r="F5948" t="s">
        <v>70</v>
      </c>
      <c r="G5948">
        <v>-169.40459999999999</v>
      </c>
      <c r="H5948">
        <v>2.6250429999999998</v>
      </c>
      <c r="I5948">
        <v>174.5188</v>
      </c>
      <c r="J5948">
        <v>-187.8614</v>
      </c>
      <c r="K5948">
        <v>1.110133</v>
      </c>
      <c r="L5948">
        <v>92.723569999999995</v>
      </c>
      <c r="M5948">
        <v>-4.9072489999999998E-3</v>
      </c>
      <c r="N5948">
        <v>-1.428744E-2</v>
      </c>
      <c r="O5948">
        <v>0.99988589999999999</v>
      </c>
      <c r="P5948">
        <v>-4.6913320000000001E-2</v>
      </c>
      <c r="Q5948">
        <v>0.15434229999999999</v>
      </c>
      <c r="R5948">
        <v>0.98690299999999997</v>
      </c>
      <c r="S5948">
        <v>0.68879699999999999</v>
      </c>
      <c r="T5948">
        <v>5.6537990000000003E-2</v>
      </c>
      <c r="U5948">
        <v>3.0646360000000001</v>
      </c>
      <c r="V5948">
        <v>-4.1965339999999997E-2</v>
      </c>
      <c r="W5948">
        <v>0.1684561</v>
      </c>
      <c r="X5948">
        <v>0.98481540000000001</v>
      </c>
      <c r="Y5948">
        <v>0.22396340000000001</v>
      </c>
      <c r="Z5948">
        <v>3.2277420000000001E-2</v>
      </c>
      <c r="AA5948">
        <v>0.97406289999999995</v>
      </c>
      <c r="AB5948">
        <v>30</v>
      </c>
      <c r="AC5948">
        <v>18.456800000000001</v>
      </c>
      <c r="AD5948">
        <v>1.51491</v>
      </c>
      <c r="AE5948">
        <v>81.795230000000004</v>
      </c>
      <c r="AF5948">
        <v>18.851855015819901</v>
      </c>
      <c r="AG5948">
        <v>1.51491</v>
      </c>
      <c r="AH5948">
        <v>81.677004236663606</v>
      </c>
      <c r="AI5948">
        <v>88.964638820101698</v>
      </c>
      <c r="AJ5948">
        <v>77.003174975894694</v>
      </c>
      <c r="AK5948">
        <v>83.838060634305904</v>
      </c>
      <c r="AL5948">
        <v>80.301934034450994</v>
      </c>
      <c r="AM5948">
        <v>92.440034054170496</v>
      </c>
      <c r="AN5948">
        <v>0.99999995973284195</v>
      </c>
    </row>
    <row r="5949" spans="1:40" x14ac:dyDescent="0.25">
      <c r="A5949" t="str">
        <f>"20190304155536447"</f>
        <v>20190304155536447</v>
      </c>
      <c r="B5949" t="str">
        <f>"1551686136443758"</f>
        <v>1551686136443758</v>
      </c>
      <c r="C5949" t="s">
        <v>40</v>
      </c>
      <c r="D5949">
        <v>4.6096969999999997</v>
      </c>
      <c r="E5949">
        <v>0.60319440000000002</v>
      </c>
      <c r="F5949" t="s">
        <v>70</v>
      </c>
      <c r="G5949">
        <v>-169.40459999999999</v>
      </c>
      <c r="H5949">
        <v>2.3633999999999999</v>
      </c>
      <c r="I5949">
        <v>174.3091</v>
      </c>
      <c r="J5949">
        <v>-187.8623</v>
      </c>
      <c r="K5949">
        <v>1.1100699999999999</v>
      </c>
      <c r="L5949">
        <v>92.980500000000006</v>
      </c>
      <c r="M5949">
        <v>-4.5585670000000003E-3</v>
      </c>
      <c r="N5949">
        <v>-1.428508E-2</v>
      </c>
      <c r="O5949">
        <v>0.99988759999999999</v>
      </c>
      <c r="P5949">
        <v>-4.5755629999999999E-2</v>
      </c>
      <c r="Q5949">
        <v>0.15428710000000001</v>
      </c>
      <c r="R5949">
        <v>0.98696600000000001</v>
      </c>
      <c r="S5949">
        <v>0.69348140000000003</v>
      </c>
      <c r="T5949">
        <v>4.7090409999999999E-2</v>
      </c>
      <c r="U5949">
        <v>3.0654300000000001</v>
      </c>
      <c r="V5949">
        <v>-4.112888E-2</v>
      </c>
      <c r="W5949">
        <v>0.168404</v>
      </c>
      <c r="X5949">
        <v>0.98485959999999995</v>
      </c>
      <c r="Y5949">
        <v>0.2250017</v>
      </c>
      <c r="Z5949">
        <v>2.9262750000000001E-2</v>
      </c>
      <c r="AA5949">
        <v>0.97391890000000003</v>
      </c>
      <c r="AB5949">
        <v>30</v>
      </c>
      <c r="AC5949">
        <v>18.457699999999999</v>
      </c>
      <c r="AD5949">
        <v>1.2533299999999901</v>
      </c>
      <c r="AE5949">
        <v>81.328599999999994</v>
      </c>
      <c r="AF5949">
        <v>18.8240363491763</v>
      </c>
      <c r="AG5949">
        <v>1.2533299999999901</v>
      </c>
      <c r="AH5949">
        <v>81.225260323533604</v>
      </c>
      <c r="AI5949">
        <v>89.138800042396298</v>
      </c>
      <c r="AJ5949">
        <v>76.951986940545794</v>
      </c>
      <c r="AK5949">
        <v>83.387397700071105</v>
      </c>
      <c r="AL5949">
        <v>80.304962429950393</v>
      </c>
      <c r="AM5949">
        <v>92.391348733915194</v>
      </c>
      <c r="AN5949">
        <v>0.999999961849106</v>
      </c>
    </row>
    <row r="5950" spans="1:40" x14ac:dyDescent="0.25">
      <c r="A5950" t="str">
        <f>"20190304155536471"</f>
        <v>20190304155536471</v>
      </c>
      <c r="B5950" t="str">
        <f>"1551686136464254"</f>
        <v>1551686136464254</v>
      </c>
      <c r="C5950" t="s">
        <v>40</v>
      </c>
      <c r="D5950">
        <v>4.5667</v>
      </c>
      <c r="E5950">
        <v>0.60342430000000002</v>
      </c>
      <c r="F5950" t="s">
        <v>70</v>
      </c>
      <c r="G5950">
        <v>-169.40469999999999</v>
      </c>
      <c r="H5950">
        <v>2.2222010000000001</v>
      </c>
      <c r="I5950">
        <v>173.87979999999999</v>
      </c>
      <c r="J5950">
        <v>-187.86320000000001</v>
      </c>
      <c r="K5950">
        <v>1.110015</v>
      </c>
      <c r="L5950">
        <v>93.293580000000006</v>
      </c>
      <c r="M5950">
        <v>-4.0462850000000002E-3</v>
      </c>
      <c r="N5950">
        <v>-1.428224E-2</v>
      </c>
      <c r="O5950">
        <v>0.99988980000000005</v>
      </c>
      <c r="P5950">
        <v>-4.451161E-2</v>
      </c>
      <c r="Q5950">
        <v>0.15414949999999999</v>
      </c>
      <c r="R5950">
        <v>0.98704440000000004</v>
      </c>
      <c r="S5950">
        <v>0.69940190000000002</v>
      </c>
      <c r="T5950">
        <v>4.2142390000000002E-2</v>
      </c>
      <c r="U5950">
        <v>3.0654599999999999</v>
      </c>
      <c r="V5950">
        <v>-4.0364789999999998E-2</v>
      </c>
      <c r="W5950">
        <v>0.16827</v>
      </c>
      <c r="X5950">
        <v>0.98491419999999996</v>
      </c>
      <c r="Y5950">
        <v>0.22629630000000001</v>
      </c>
      <c r="Z5950">
        <v>2.768164E-2</v>
      </c>
      <c r="AA5950">
        <v>0.97366509999999995</v>
      </c>
      <c r="AB5950">
        <v>30</v>
      </c>
      <c r="AC5950">
        <v>18.458500000000001</v>
      </c>
      <c r="AD5950">
        <v>1.1121859999999899</v>
      </c>
      <c r="AE5950">
        <v>80.586219999999898</v>
      </c>
      <c r="AF5950">
        <v>18.781057987419199</v>
      </c>
      <c r="AG5950">
        <v>1.1121859999999899</v>
      </c>
      <c r="AH5950">
        <v>80.496296144843697</v>
      </c>
      <c r="AI5950">
        <v>89.229118212935802</v>
      </c>
      <c r="AJ5950">
        <v>76.866930240843303</v>
      </c>
      <c r="AK5950">
        <v>82.665705040625994</v>
      </c>
      <c r="AL5950">
        <v>80.312752030410707</v>
      </c>
      <c r="AM5950">
        <v>92.346842579278402</v>
      </c>
      <c r="AN5950">
        <v>1.00000004526669</v>
      </c>
    </row>
    <row r="5951" spans="1:40" x14ac:dyDescent="0.25">
      <c r="A5951" t="str">
        <f>"20190304155536495"</f>
        <v>20190304155536495</v>
      </c>
      <c r="B5951" t="str">
        <f>"1551686136483774"</f>
        <v>1551686136483774</v>
      </c>
      <c r="C5951" t="s">
        <v>40</v>
      </c>
      <c r="D5951">
        <v>4.549785</v>
      </c>
      <c r="E5951">
        <v>0.60370859999999904</v>
      </c>
      <c r="F5951" t="s">
        <v>70</v>
      </c>
      <c r="G5951">
        <v>-169.40479999999999</v>
      </c>
      <c r="H5951">
        <v>2.102112</v>
      </c>
      <c r="I5951">
        <v>173.48310000000001</v>
      </c>
      <c r="J5951">
        <v>-187.8639</v>
      </c>
      <c r="K5951">
        <v>1.109952</v>
      </c>
      <c r="L5951">
        <v>93.615719999999996</v>
      </c>
      <c r="M5951">
        <v>-3.430729E-3</v>
      </c>
      <c r="N5951">
        <v>-1.427934E-2</v>
      </c>
      <c r="O5951">
        <v>0.99989220000000001</v>
      </c>
      <c r="P5951">
        <v>-4.3544569999999998E-2</v>
      </c>
      <c r="Q5951">
        <v>0.1541284</v>
      </c>
      <c r="R5951">
        <v>0.98709080000000005</v>
      </c>
      <c r="S5951">
        <v>0.70558169999999898</v>
      </c>
      <c r="T5951">
        <v>3.7924529999999998E-2</v>
      </c>
      <c r="U5951">
        <v>3.065277</v>
      </c>
      <c r="V5951">
        <v>-3.9979340000000002E-2</v>
      </c>
      <c r="W5951">
        <v>0.16825209999999999</v>
      </c>
      <c r="X5951">
        <v>0.98493299999999995</v>
      </c>
      <c r="Y5951">
        <v>0.22758010000000001</v>
      </c>
      <c r="Z5951">
        <v>2.633392E-2</v>
      </c>
      <c r="AA5951">
        <v>0.97340320000000002</v>
      </c>
      <c r="AB5951">
        <v>30</v>
      </c>
      <c r="AC5951">
        <v>18.459099999999999</v>
      </c>
      <c r="AD5951">
        <v>0.99216000000000004</v>
      </c>
      <c r="AE5951">
        <v>79.867379999999997</v>
      </c>
      <c r="AF5951">
        <v>18.730278710760398</v>
      </c>
      <c r="AG5951">
        <v>0.99216000000000004</v>
      </c>
      <c r="AH5951">
        <v>79.7918861156829</v>
      </c>
      <c r="AI5951">
        <v>89.306451104306205</v>
      </c>
      <c r="AJ5951">
        <v>76.789613612309097</v>
      </c>
      <c r="AK5951">
        <v>81.966778709099501</v>
      </c>
      <c r="AL5951">
        <v>80.313792657947701</v>
      </c>
      <c r="AM5951">
        <v>92.324412574999499</v>
      </c>
      <c r="AN5951">
        <v>1.00000006563512</v>
      </c>
    </row>
    <row r="5952" spans="1:40" x14ac:dyDescent="0.25">
      <c r="A5952" t="str">
        <f>"20190304155536517"</f>
        <v>20190304155536517</v>
      </c>
      <c r="B5952" t="str">
        <f>"1551686136514030"</f>
        <v>1551686136514030</v>
      </c>
      <c r="C5952" t="s">
        <v>40</v>
      </c>
      <c r="D5952">
        <v>4.6332909999999998</v>
      </c>
      <c r="E5952">
        <v>0.60439019999999899</v>
      </c>
      <c r="F5952" t="s">
        <v>70</v>
      </c>
      <c r="G5952">
        <v>-169.40479999999999</v>
      </c>
      <c r="H5952">
        <v>1.987088</v>
      </c>
      <c r="I5952">
        <v>173.203</v>
      </c>
      <c r="J5952">
        <v>-187.86429999999999</v>
      </c>
      <c r="K5952">
        <v>1.109883</v>
      </c>
      <c r="L5952">
        <v>93.919920000000005</v>
      </c>
      <c r="M5952">
        <v>-2.7802550000000001E-3</v>
      </c>
      <c r="N5952">
        <v>-1.427666E-2</v>
      </c>
      <c r="O5952">
        <v>0.99989419999999996</v>
      </c>
      <c r="P5952">
        <v>-4.197741E-2</v>
      </c>
      <c r="Q5952">
        <v>0.1533368</v>
      </c>
      <c r="R5952">
        <v>0.98728199999999999</v>
      </c>
      <c r="S5952">
        <v>0.71095280000000005</v>
      </c>
      <c r="T5952">
        <v>3.3784149999999999E-2</v>
      </c>
      <c r="U5952">
        <v>3.0653079999999999</v>
      </c>
      <c r="V5952">
        <v>-3.903123E-2</v>
      </c>
      <c r="W5952">
        <v>0.16746469999999999</v>
      </c>
      <c r="X5952">
        <v>0.98510520000000001</v>
      </c>
      <c r="Y5952">
        <v>0.2285692</v>
      </c>
      <c r="Z5952">
        <v>2.501163E-2</v>
      </c>
      <c r="AA5952">
        <v>0.97320629999999997</v>
      </c>
      <c r="AB5952">
        <v>30</v>
      </c>
      <c r="AC5952">
        <v>18.459499999999899</v>
      </c>
      <c r="AD5952">
        <v>0.87720500000000001</v>
      </c>
      <c r="AE5952">
        <v>79.283079999999998</v>
      </c>
      <c r="AF5952">
        <v>18.6777094013034</v>
      </c>
      <c r="AG5952">
        <v>0.87720500000000001</v>
      </c>
      <c r="AH5952">
        <v>79.222246729404901</v>
      </c>
      <c r="AI5952">
        <v>89.382533669592405</v>
      </c>
      <c r="AJ5952">
        <v>76.7340032034774</v>
      </c>
      <c r="AK5952">
        <v>81.398960029881593</v>
      </c>
      <c r="AL5952">
        <v>80.359556627662002</v>
      </c>
      <c r="AM5952">
        <v>92.268951188979699</v>
      </c>
      <c r="AN5952">
        <v>1.00000005886421</v>
      </c>
    </row>
    <row r="5953" spans="1:40" x14ac:dyDescent="0.25">
      <c r="A5953" t="str">
        <f>"20190304155536538"</f>
        <v>20190304155536538</v>
      </c>
      <c r="B5953" t="str">
        <f>"1551686136533550"</f>
        <v>1551686136533550</v>
      </c>
      <c r="C5953" t="s">
        <v>40</v>
      </c>
      <c r="D5953">
        <v>4.6534279999999999</v>
      </c>
      <c r="E5953">
        <v>0.60491649999999997</v>
      </c>
      <c r="F5953" t="s">
        <v>70</v>
      </c>
      <c r="G5953">
        <v>-169.33799999999999</v>
      </c>
      <c r="H5953">
        <v>1.769102</v>
      </c>
      <c r="I5953">
        <v>172.69120000000001</v>
      </c>
      <c r="J5953">
        <v>-187.86439999999999</v>
      </c>
      <c r="K5953">
        <v>1.1098399999999999</v>
      </c>
      <c r="L5953">
        <v>94.201809999999995</v>
      </c>
      <c r="M5953">
        <v>-2.1262159999999998E-3</v>
      </c>
      <c r="N5953">
        <v>-1.4274210000000001E-2</v>
      </c>
      <c r="O5953">
        <v>0.99989589999999995</v>
      </c>
      <c r="P5953">
        <v>-4.0698100000000001E-2</v>
      </c>
      <c r="Q5953">
        <v>0.1519741</v>
      </c>
      <c r="R5953">
        <v>0.98754620000000004</v>
      </c>
      <c r="S5953">
        <v>0.72093200000000002</v>
      </c>
      <c r="T5953">
        <v>2.5654079999999999E-2</v>
      </c>
      <c r="U5953">
        <v>3.0653079999999999</v>
      </c>
      <c r="V5953">
        <v>-3.8379719999999999E-2</v>
      </c>
      <c r="W5953">
        <v>0.16610649999999999</v>
      </c>
      <c r="X5953">
        <v>0.98536069999999998</v>
      </c>
      <c r="Y5953">
        <v>0.23094590000000001</v>
      </c>
      <c r="Z5953">
        <v>2.2420989999999998E-2</v>
      </c>
      <c r="AA5953">
        <v>0.97270820000000002</v>
      </c>
      <c r="AB5953">
        <v>30</v>
      </c>
      <c r="AC5953">
        <v>18.526399999999899</v>
      </c>
      <c r="AD5953">
        <v>0.65926200000000001</v>
      </c>
      <c r="AE5953">
        <v>78.48939</v>
      </c>
      <c r="AF5953">
        <v>18.692011388498798</v>
      </c>
      <c r="AG5953">
        <v>0.65926200000000001</v>
      </c>
      <c r="AH5953">
        <v>78.444575237175201</v>
      </c>
      <c r="AI5953">
        <v>89.531600914860306</v>
      </c>
      <c r="AJ5953">
        <v>76.597320012898805</v>
      </c>
      <c r="AK5953">
        <v>80.643519890151396</v>
      </c>
      <c r="AL5953">
        <v>80.438481064164705</v>
      </c>
      <c r="AM5953">
        <v>92.230538478475907</v>
      </c>
      <c r="AN5953">
        <v>1.000000040677</v>
      </c>
    </row>
    <row r="5954" spans="1:40" x14ac:dyDescent="0.25">
      <c r="A5954" t="str">
        <f>"20190304155536562"</f>
        <v>20190304155536562</v>
      </c>
      <c r="B5954" t="str">
        <f>"1551686136554046"</f>
        <v>1551686136554046</v>
      </c>
      <c r="C5954" t="s">
        <v>40</v>
      </c>
      <c r="D5954">
        <v>4.6820449999999996</v>
      </c>
      <c r="E5954">
        <v>0.60547090000000003</v>
      </c>
      <c r="F5954" t="s">
        <v>70</v>
      </c>
      <c r="G5954">
        <v>-169.2021</v>
      </c>
      <c r="H5954">
        <v>1.5652980000000001</v>
      </c>
      <c r="I5954">
        <v>172.69130000000001</v>
      </c>
      <c r="J5954">
        <v>-187.86429999999999</v>
      </c>
      <c r="K5954">
        <v>1.1097939999999999</v>
      </c>
      <c r="L5954">
        <v>94.516509999999997</v>
      </c>
      <c r="M5954">
        <v>-1.352537E-3</v>
      </c>
      <c r="N5954">
        <v>-1.42714E-2</v>
      </c>
      <c r="O5954">
        <v>0.99989720000000004</v>
      </c>
      <c r="P5954">
        <v>-3.897635E-2</v>
      </c>
      <c r="Q5954">
        <v>0.15113289999999999</v>
      </c>
      <c r="R5954">
        <v>0.98774470000000003</v>
      </c>
      <c r="S5954">
        <v>0.7287903</v>
      </c>
      <c r="T5954">
        <v>1.7787580000000001E-2</v>
      </c>
      <c r="U5954">
        <v>3.0651250000000001</v>
      </c>
      <c r="V5954">
        <v>-3.7405389999999997E-2</v>
      </c>
      <c r="W5954">
        <v>0.16526849999999901</v>
      </c>
      <c r="X5954">
        <v>0.98553900000000005</v>
      </c>
      <c r="Y5954">
        <v>0.23257549999999999</v>
      </c>
      <c r="Z5954">
        <v>1.991768E-2</v>
      </c>
      <c r="AA5954">
        <v>0.97237439999999997</v>
      </c>
      <c r="AB5954">
        <v>30</v>
      </c>
      <c r="AC5954">
        <v>18.662199999999899</v>
      </c>
      <c r="AD5954">
        <v>0.45550399999999902</v>
      </c>
      <c r="AE5954">
        <v>78.174790000000002</v>
      </c>
      <c r="AF5954">
        <v>18.767325183157901</v>
      </c>
      <c r="AG5954">
        <v>0.45550399999999902</v>
      </c>
      <c r="AH5954">
        <v>78.146964483965604</v>
      </c>
      <c r="AI5954">
        <v>89.675270205664503</v>
      </c>
      <c r="AJ5954">
        <v>76.495910794772399</v>
      </c>
      <c r="AK5954">
        <v>80.370193706887406</v>
      </c>
      <c r="AL5954">
        <v>80.487167282270505</v>
      </c>
      <c r="AM5954">
        <v>92.173574835290296</v>
      </c>
      <c r="AN5954">
        <v>0.99999998040714999</v>
      </c>
    </row>
    <row r="5955" spans="1:40" x14ac:dyDescent="0.25">
      <c r="A5955" t="str">
        <f>"20190304155536583"</f>
        <v>20190304155536583</v>
      </c>
      <c r="B5955" t="str">
        <f>"1551686136573567"</f>
        <v>1551686136573567</v>
      </c>
      <c r="C5955" t="s">
        <v>40</v>
      </c>
      <c r="D5955">
        <v>4.6354579999999999</v>
      </c>
      <c r="E5955">
        <v>0.60599360000000002</v>
      </c>
      <c r="F5955" t="s">
        <v>70</v>
      </c>
      <c r="G5955">
        <v>-169.0308</v>
      </c>
      <c r="H5955">
        <v>1.4089529999999999</v>
      </c>
      <c r="I5955">
        <v>172.69120000000001</v>
      </c>
      <c r="J5955">
        <v>-187.8639</v>
      </c>
      <c r="K5955">
        <v>1.1097669999999999</v>
      </c>
      <c r="L5955">
        <v>94.805049999999994</v>
      </c>
      <c r="M5955">
        <v>-6.1120330000000004E-4</v>
      </c>
      <c r="N5955">
        <v>-1.4268680000000001E-2</v>
      </c>
      <c r="O5955">
        <v>0.99989799999999995</v>
      </c>
      <c r="P5955">
        <v>-3.7522189999999997E-2</v>
      </c>
      <c r="Q5955">
        <v>0.15012220000000001</v>
      </c>
      <c r="R5955">
        <v>0.98795520000000003</v>
      </c>
      <c r="S5955">
        <v>0.73829650000000002</v>
      </c>
      <c r="T5955">
        <v>1.172864E-2</v>
      </c>
      <c r="U5955">
        <v>3.0645449999999999</v>
      </c>
      <c r="V5955">
        <v>-3.6673839999999999E-2</v>
      </c>
      <c r="W5955">
        <v>0.16425919999999999</v>
      </c>
      <c r="X5955">
        <v>0.98573520000000003</v>
      </c>
      <c r="Y5955">
        <v>0.2347534</v>
      </c>
      <c r="Z5955">
        <v>1.7989689999999999E-2</v>
      </c>
      <c r="AA5955">
        <v>0.97188850000000004</v>
      </c>
      <c r="AB5955">
        <v>30</v>
      </c>
      <c r="AC5955">
        <v>18.833100000000002</v>
      </c>
      <c r="AD5955">
        <v>0.29918600000000001</v>
      </c>
      <c r="AE5955">
        <v>77.886150000000001</v>
      </c>
      <c r="AF5955">
        <v>18.880442394422801</v>
      </c>
      <c r="AG5955">
        <v>0.29918600000000001</v>
      </c>
      <c r="AH5955">
        <v>77.873537813827994</v>
      </c>
      <c r="AI5955">
        <v>89.786071474793701</v>
      </c>
      <c r="AJ5955">
        <v>76.371609075779503</v>
      </c>
      <c r="AK5955">
        <v>80.130197234958899</v>
      </c>
      <c r="AL5955">
        <v>80.545797109022104</v>
      </c>
      <c r="AM5955">
        <v>92.130681292532998</v>
      </c>
      <c r="AN5955">
        <v>0.99999996992201201</v>
      </c>
    </row>
    <row r="5956" spans="1:40" x14ac:dyDescent="0.25">
      <c r="A5956" t="str">
        <f>"20190304155536607"</f>
        <v>20190304155536607</v>
      </c>
      <c r="B5956" t="str">
        <f>"1551686136603821"</f>
        <v>1551686136603821</v>
      </c>
      <c r="C5956" t="s">
        <v>40</v>
      </c>
      <c r="D5956">
        <v>4.6760140000000003</v>
      </c>
      <c r="E5956">
        <v>0.60677119999999996</v>
      </c>
      <c r="F5956" t="s">
        <v>70</v>
      </c>
      <c r="G5956">
        <v>-168.87799999999999</v>
      </c>
      <c r="H5956">
        <v>1.260286</v>
      </c>
      <c r="I5956">
        <v>172.69120000000001</v>
      </c>
      <c r="J5956">
        <v>-187.86320000000001</v>
      </c>
      <c r="K5956">
        <v>1.1097490000000001</v>
      </c>
      <c r="L5956">
        <v>95.120670000000004</v>
      </c>
      <c r="M5956">
        <v>2.191273E-4</v>
      </c>
      <c r="N5956">
        <v>-1.426557E-2</v>
      </c>
      <c r="O5956">
        <v>0.99989819999999996</v>
      </c>
      <c r="P5956">
        <v>-3.4830149999999997E-2</v>
      </c>
      <c r="Q5956">
        <v>0.14827290000000001</v>
      </c>
      <c r="R5956">
        <v>0.98833289999999996</v>
      </c>
      <c r="S5956">
        <v>0.74690249999999903</v>
      </c>
      <c r="T5956">
        <v>5.9226749999999996E-3</v>
      </c>
      <c r="U5956">
        <v>3.0640260000000001</v>
      </c>
      <c r="V5956">
        <v>-3.4797380000000003E-2</v>
      </c>
      <c r="W5956">
        <v>0.16241040000000001</v>
      </c>
      <c r="X5956">
        <v>0.98610960000000003</v>
      </c>
      <c r="Y5956">
        <v>0.2365659</v>
      </c>
      <c r="Z5956">
        <v>1.6142989999999999E-2</v>
      </c>
      <c r="AA5956">
        <v>0.97148129999999999</v>
      </c>
      <c r="AB5956">
        <v>30</v>
      </c>
      <c r="AC5956">
        <v>18.985199999999999</v>
      </c>
      <c r="AD5956">
        <v>0.150537</v>
      </c>
      <c r="AE5956">
        <v>77.570530000000005</v>
      </c>
      <c r="AF5956">
        <v>18.9681325943662</v>
      </c>
      <c r="AG5956">
        <v>0.150537</v>
      </c>
      <c r="AH5956">
        <v>77.5744130939337</v>
      </c>
      <c r="AI5956">
        <v>89.891996599314396</v>
      </c>
      <c r="AJ5956">
        <v>76.259899748254298</v>
      </c>
      <c r="AK5956">
        <v>79.859891575020896</v>
      </c>
      <c r="AL5956">
        <v>80.653168413845194</v>
      </c>
      <c r="AM5956">
        <v>92.020988424314197</v>
      </c>
      <c r="AN5956">
        <v>1.0000000694475899</v>
      </c>
    </row>
    <row r="5957" spans="1:40" x14ac:dyDescent="0.25">
      <c r="A5957" t="str">
        <f>"20190304155536629"</f>
        <v>20190304155536629</v>
      </c>
      <c r="B5957" t="str">
        <f>"1551686136623342"</f>
        <v>1551686136623342</v>
      </c>
      <c r="C5957" t="s">
        <v>40</v>
      </c>
      <c r="D5957">
        <v>4.6198329999999999</v>
      </c>
      <c r="E5957">
        <v>0.60713700000000004</v>
      </c>
      <c r="F5957" t="s">
        <v>70</v>
      </c>
      <c r="G5957">
        <v>-168.5763</v>
      </c>
      <c r="H5957">
        <v>1.0429740000000001</v>
      </c>
      <c r="I5957">
        <v>172.69120000000001</v>
      </c>
      <c r="J5957">
        <v>-187.8623</v>
      </c>
      <c r="K5957">
        <v>1.109729</v>
      </c>
      <c r="L5957">
        <v>95.414730000000006</v>
      </c>
      <c r="M5957">
        <v>1.0021489999999999E-3</v>
      </c>
      <c r="N5957">
        <v>-1.426266E-2</v>
      </c>
      <c r="O5957">
        <v>0.99989779999999995</v>
      </c>
      <c r="P5957">
        <v>-3.231916E-2</v>
      </c>
      <c r="Q5957">
        <v>0.14736369999999999</v>
      </c>
      <c r="R5957">
        <v>0.98855420000000005</v>
      </c>
      <c r="S5957">
        <v>0.76148990000000005</v>
      </c>
      <c r="T5957">
        <v>-2.6351209999999998E-3</v>
      </c>
      <c r="U5957">
        <v>3.0626530000000001</v>
      </c>
      <c r="V5957">
        <v>-3.3057839999999998E-2</v>
      </c>
      <c r="W5957">
        <v>0.16149939999999999</v>
      </c>
      <c r="X5957">
        <v>0.9863189</v>
      </c>
      <c r="Y5957">
        <v>0.24027080000000001</v>
      </c>
      <c r="Z5957">
        <v>1.3425879999999999E-2</v>
      </c>
      <c r="AA5957">
        <v>0.97061310000000001</v>
      </c>
      <c r="AB5957">
        <v>30</v>
      </c>
      <c r="AC5957">
        <v>19.285999999999898</v>
      </c>
      <c r="AD5957">
        <v>-6.6755000000000106E-2</v>
      </c>
      <c r="AE5957">
        <v>77.276469999999904</v>
      </c>
      <c r="AF5957">
        <v>19.208526406333601</v>
      </c>
      <c r="AG5957">
        <v>-6.6755000000000106E-2</v>
      </c>
      <c r="AH5957">
        <v>77.295706300592201</v>
      </c>
      <c r="AI5957">
        <v>90.048021823965996</v>
      </c>
      <c r="AJ5957">
        <v>76.044293832962694</v>
      </c>
      <c r="AK5957">
        <v>79.646708377937699</v>
      </c>
      <c r="AL5957">
        <v>80.706061818583095</v>
      </c>
      <c r="AM5957">
        <v>91.919628585221005</v>
      </c>
      <c r="AN5957">
        <v>0.999999924741515</v>
      </c>
    </row>
    <row r="5958" spans="1:40" x14ac:dyDescent="0.25">
      <c r="A5958" t="str">
        <f>"20190304155536652"</f>
        <v>20190304155536652</v>
      </c>
      <c r="B5958" t="str">
        <f>"1551686136643838"</f>
        <v>1551686136643838</v>
      </c>
      <c r="C5958" t="s">
        <v>40</v>
      </c>
      <c r="D5958">
        <v>4.6761369999999998</v>
      </c>
      <c r="E5958">
        <v>0.60742629999999997</v>
      </c>
      <c r="F5958" t="s">
        <v>70</v>
      </c>
      <c r="G5958">
        <v>-168.35980000000001</v>
      </c>
      <c r="H5958">
        <v>0.93333529999999998</v>
      </c>
      <c r="I5958">
        <v>172.69120000000001</v>
      </c>
      <c r="J5958">
        <v>-187.86099999999999</v>
      </c>
      <c r="K5958">
        <v>1.109715</v>
      </c>
      <c r="L5958">
        <v>95.730440000000002</v>
      </c>
      <c r="M5958">
        <v>1.8455019999999999E-3</v>
      </c>
      <c r="N5958">
        <v>-1.4259539999999999E-2</v>
      </c>
      <c r="O5958">
        <v>0.99989660000000002</v>
      </c>
      <c r="P5958">
        <v>-3.0386199999999999E-2</v>
      </c>
      <c r="Q5958">
        <v>0.14564379999999999</v>
      </c>
      <c r="R5958">
        <v>0.98887029999999998</v>
      </c>
      <c r="S5958">
        <v>0.77252200000000004</v>
      </c>
      <c r="T5958">
        <v>-6.9859029999999999E-3</v>
      </c>
      <c r="U5958">
        <v>3.061035</v>
      </c>
      <c r="V5958">
        <v>-3.1959290000000001E-2</v>
      </c>
      <c r="W5958">
        <v>0.1597797</v>
      </c>
      <c r="X5958">
        <v>0.98663520000000005</v>
      </c>
      <c r="Y5958">
        <v>0.24286450000000001</v>
      </c>
      <c r="Z5958">
        <v>1.2043119999999999E-2</v>
      </c>
      <c r="AA5958">
        <v>0.9699854</v>
      </c>
      <c r="AB5958">
        <v>30</v>
      </c>
      <c r="AC5958">
        <v>19.501199999999901</v>
      </c>
      <c r="AD5958">
        <v>-0.176379699999999</v>
      </c>
      <c r="AE5958">
        <v>76.960759999999993</v>
      </c>
      <c r="AF5958">
        <v>19.3590255550391</v>
      </c>
      <c r="AG5958">
        <v>-0.176379699999999</v>
      </c>
      <c r="AH5958">
        <v>76.996242061807294</v>
      </c>
      <c r="AI5958">
        <v>90.127288805008504</v>
      </c>
      <c r="AJ5958">
        <v>75.886766833290906</v>
      </c>
      <c r="AK5958">
        <v>79.392847737561695</v>
      </c>
      <c r="AL5958">
        <v>80.805890387647096</v>
      </c>
      <c r="AM5958">
        <v>91.855287946876601</v>
      </c>
      <c r="AN5958">
        <v>0.99999998331421602</v>
      </c>
    </row>
    <row r="5959" spans="1:40" x14ac:dyDescent="0.25">
      <c r="A5959" t="str">
        <f>"20190304155536674"</f>
        <v>20190304155536674</v>
      </c>
      <c r="B5959" t="str">
        <f>"1551686136663358"</f>
        <v>1551686136663358</v>
      </c>
      <c r="C5959" t="s">
        <v>40</v>
      </c>
      <c r="D5959">
        <v>4.6739769999999998</v>
      </c>
      <c r="E5959">
        <v>0.60787429999999998</v>
      </c>
      <c r="F5959" t="s">
        <v>70</v>
      </c>
      <c r="G5959">
        <v>-168.21039999999999</v>
      </c>
      <c r="H5959">
        <v>0.80384919999999904</v>
      </c>
      <c r="I5959">
        <v>172.69120000000001</v>
      </c>
      <c r="J5959">
        <v>-187.8597</v>
      </c>
      <c r="K5959">
        <v>1.1097049999999999</v>
      </c>
      <c r="L5959">
        <v>96.015469999999993</v>
      </c>
      <c r="M5959">
        <v>2.605249E-3</v>
      </c>
      <c r="N5959">
        <v>-1.4256710000000001E-2</v>
      </c>
      <c r="O5959">
        <v>0.99989499999999998</v>
      </c>
      <c r="P5959">
        <v>-2.8012260000000001E-2</v>
      </c>
      <c r="Q5959">
        <v>0.144372</v>
      </c>
      <c r="R5959">
        <v>0.98912690000000003</v>
      </c>
      <c r="S5959">
        <v>0.78120419999999902</v>
      </c>
      <c r="T5959">
        <v>-1.2158270000000001E-2</v>
      </c>
      <c r="U5959">
        <v>3.0595400000000001</v>
      </c>
      <c r="V5959">
        <v>-3.0338690000000001E-2</v>
      </c>
      <c r="W5959">
        <v>0.15850629999999999</v>
      </c>
      <c r="X5959">
        <v>0.98689170000000004</v>
      </c>
      <c r="Y5959">
        <v>0.24482680000000001</v>
      </c>
      <c r="Z5959">
        <v>1.040073E-2</v>
      </c>
      <c r="AA5959">
        <v>0.96951100000000001</v>
      </c>
      <c r="AB5959">
        <v>30</v>
      </c>
      <c r="AC5959">
        <v>19.6493</v>
      </c>
      <c r="AD5959">
        <v>-0.30585580000000001</v>
      </c>
      <c r="AE5959">
        <v>76.675730000000001</v>
      </c>
      <c r="AF5959">
        <v>19.449163236570101</v>
      </c>
      <c r="AG5959">
        <v>-0.30585580000000001</v>
      </c>
      <c r="AH5959">
        <v>76.725520653623505</v>
      </c>
      <c r="AI5959">
        <v>90.221398175639493</v>
      </c>
      <c r="AJ5959">
        <v>75.775704118984294</v>
      </c>
      <c r="AK5959">
        <v>79.152820656896097</v>
      </c>
      <c r="AL5959">
        <v>80.879792427837998</v>
      </c>
      <c r="AM5959">
        <v>91.760812880062105</v>
      </c>
      <c r="AN5959">
        <v>0.99999995538974695</v>
      </c>
    </row>
    <row r="5960" spans="1:40" x14ac:dyDescent="0.25">
      <c r="A5960" t="str">
        <f>"20190304155536697"</f>
        <v>20190304155536697</v>
      </c>
      <c r="B5960" t="str">
        <f>"1551686136693613"</f>
        <v>1551686136693613</v>
      </c>
      <c r="C5960" t="s">
        <v>40</v>
      </c>
      <c r="D5960">
        <v>4.7226319999999999</v>
      </c>
      <c r="E5960">
        <v>0.60853829999999998</v>
      </c>
      <c r="F5960" t="s">
        <v>70</v>
      </c>
      <c r="G5960">
        <v>-168.02500000000001</v>
      </c>
      <c r="H5960">
        <v>0.67858980000000002</v>
      </c>
      <c r="I5960">
        <v>172.56139999999999</v>
      </c>
      <c r="J5960">
        <v>-187.858</v>
      </c>
      <c r="K5960">
        <v>1.1097030000000001</v>
      </c>
      <c r="L5960">
        <v>96.325159999999997</v>
      </c>
      <c r="M5960">
        <v>3.4279950000000001E-3</v>
      </c>
      <c r="N5960">
        <v>-1.425362E-2</v>
      </c>
      <c r="O5960">
        <v>0.99989249999999996</v>
      </c>
      <c r="P5960">
        <v>-2.575587E-2</v>
      </c>
      <c r="Q5960">
        <v>0.1433683</v>
      </c>
      <c r="R5960">
        <v>0.98933419999999905</v>
      </c>
      <c r="S5960">
        <v>0.79237369999999996</v>
      </c>
      <c r="T5960">
        <v>-1.7221210000000001E-2</v>
      </c>
      <c r="U5960">
        <v>3.057922</v>
      </c>
      <c r="V5960">
        <v>-2.889773E-2</v>
      </c>
      <c r="W5960">
        <v>0.1575001</v>
      </c>
      <c r="X5960">
        <v>0.98709610000000003</v>
      </c>
      <c r="Y5960">
        <v>0.2474732</v>
      </c>
      <c r="Z5960">
        <v>8.7938280000000001E-3</v>
      </c>
      <c r="AA5960">
        <v>0.96885480000000002</v>
      </c>
      <c r="AB5960">
        <v>30</v>
      </c>
      <c r="AC5960">
        <v>19.832999999999998</v>
      </c>
      <c r="AD5960">
        <v>-0.43111319999999997</v>
      </c>
      <c r="AE5960">
        <v>76.236239999999995</v>
      </c>
      <c r="AF5960">
        <v>19.570933255961499</v>
      </c>
      <c r="AG5960">
        <v>-0.43111319999999997</v>
      </c>
      <c r="AH5960">
        <v>76.301500963909206</v>
      </c>
      <c r="AI5960">
        <v>90.313574549379595</v>
      </c>
      <c r="AJ5960">
        <v>75.614063841925301</v>
      </c>
      <c r="AK5960">
        <v>78.772624283097002</v>
      </c>
      <c r="AL5960">
        <v>80.938177568176101</v>
      </c>
      <c r="AM5960">
        <v>91.6768835333542</v>
      </c>
      <c r="AN5960">
        <v>1.0000000354671801</v>
      </c>
    </row>
    <row r="5961" spans="1:40" x14ac:dyDescent="0.25">
      <c r="A5961" t="str">
        <f>"20190304155536739"</f>
        <v>20190304155536739</v>
      </c>
      <c r="B5961" t="str">
        <f>"1551686136733630"</f>
        <v>1551686136733630</v>
      </c>
      <c r="C5961" t="s">
        <v>40</v>
      </c>
      <c r="D5961">
        <v>4.7489790000000003</v>
      </c>
      <c r="E5961">
        <v>0.60912489999999997</v>
      </c>
      <c r="F5961" t="s">
        <v>70</v>
      </c>
      <c r="G5961">
        <v>-167.8347</v>
      </c>
      <c r="H5961">
        <v>0.55701069999999997</v>
      </c>
      <c r="I5961">
        <v>172.37139999999999</v>
      </c>
      <c r="J5961">
        <v>-187.85419999999999</v>
      </c>
      <c r="K5961">
        <v>1.109702</v>
      </c>
      <c r="L5961">
        <v>96.89349</v>
      </c>
      <c r="M5961">
        <v>4.9416879999999996E-3</v>
      </c>
      <c r="N5961">
        <v>-1.424778E-2</v>
      </c>
      <c r="O5961">
        <v>0.99988630000000001</v>
      </c>
      <c r="P5961">
        <v>-2.222584E-2</v>
      </c>
      <c r="Q5961">
        <v>0.14269560000000001</v>
      </c>
      <c r="R5961">
        <v>0.98951699999999998</v>
      </c>
      <c r="S5961">
        <v>0.80479429999999996</v>
      </c>
      <c r="T5961">
        <v>-2.221298E-2</v>
      </c>
      <c r="U5961">
        <v>3.0565190000000002</v>
      </c>
      <c r="V5961">
        <v>-2.6865839999999998E-2</v>
      </c>
      <c r="W5961">
        <v>0.1568206</v>
      </c>
      <c r="X5961">
        <v>0.98726170000000002</v>
      </c>
      <c r="Y5961">
        <v>0.2497994</v>
      </c>
      <c r="Z5961">
        <v>7.2069559999999996E-3</v>
      </c>
      <c r="AA5961">
        <v>0.96827079999999999</v>
      </c>
      <c r="AB5961">
        <v>30</v>
      </c>
      <c r="AC5961">
        <v>20.019499999999901</v>
      </c>
      <c r="AD5961">
        <v>-0.5526913</v>
      </c>
      <c r="AE5961">
        <v>75.477909999999994</v>
      </c>
      <c r="AF5961">
        <v>19.645245227741601</v>
      </c>
      <c r="AG5961">
        <v>-0.5526913</v>
      </c>
      <c r="AH5961">
        <v>75.572142544184103</v>
      </c>
      <c r="AI5961">
        <v>90.4055429958335</v>
      </c>
      <c r="AJ5961">
        <v>75.428277771787194</v>
      </c>
      <c r="AK5961">
        <v>78.085785239374204</v>
      </c>
      <c r="AL5961">
        <v>80.977600253923299</v>
      </c>
      <c r="AM5961">
        <v>91.558775604925302</v>
      </c>
      <c r="AN5961">
        <v>1.0000000691150699</v>
      </c>
    </row>
    <row r="5962" spans="1:40" x14ac:dyDescent="0.25">
      <c r="A5962" t="str">
        <f>"20190304155536762"</f>
        <v>20190304155536762</v>
      </c>
      <c r="B5962" t="str">
        <f>"1551686136754126"</f>
        <v>1551686136754126</v>
      </c>
      <c r="C5962" t="s">
        <v>40</v>
      </c>
      <c r="D5962">
        <v>4.748043</v>
      </c>
      <c r="E5962">
        <v>0.60938669999999995</v>
      </c>
      <c r="F5962" t="s">
        <v>70</v>
      </c>
      <c r="G5962">
        <v>-167.62809999999999</v>
      </c>
      <c r="H5962">
        <v>0.44481470000000001</v>
      </c>
      <c r="I5962">
        <v>172.1651</v>
      </c>
      <c r="J5962">
        <v>-187.8518</v>
      </c>
      <c r="K5962">
        <v>1.1096919999999999</v>
      </c>
      <c r="L5962">
        <v>97.198700000000002</v>
      </c>
      <c r="M5962">
        <v>5.7654539999999997E-3</v>
      </c>
      <c r="N5962">
        <v>-1.424456E-2</v>
      </c>
      <c r="O5962">
        <v>0.99988189999999999</v>
      </c>
      <c r="P5962">
        <v>-2.0454219999999999E-2</v>
      </c>
      <c r="Q5962">
        <v>0.1425824</v>
      </c>
      <c r="R5962">
        <v>0.9895716</v>
      </c>
      <c r="S5962">
        <v>0.82066349999999999</v>
      </c>
      <c r="T5962">
        <v>-2.6976110000000001E-2</v>
      </c>
      <c r="U5962">
        <v>3.0541079999999998</v>
      </c>
      <c r="V5962">
        <v>-2.5907840000000001E-2</v>
      </c>
      <c r="W5962">
        <v>0.156703799999999</v>
      </c>
      <c r="X5962">
        <v>0.98730580000000001</v>
      </c>
      <c r="Y5962">
        <v>0.25388529999999998</v>
      </c>
      <c r="Z5962">
        <v>5.6979719999999999E-3</v>
      </c>
      <c r="AA5962">
        <v>0.96721760000000001</v>
      </c>
      <c r="AB5962">
        <v>30</v>
      </c>
      <c r="AC5962">
        <v>20.223700000000001</v>
      </c>
      <c r="AD5962">
        <v>-0.66487729999999901</v>
      </c>
      <c r="AE5962">
        <v>74.966399999999993</v>
      </c>
      <c r="AF5962">
        <v>19.789653572664299</v>
      </c>
      <c r="AG5962">
        <v>-0.66487729999999901</v>
      </c>
      <c r="AH5962">
        <v>75.076259601196895</v>
      </c>
      <c r="AI5962">
        <v>90.490641402975896</v>
      </c>
      <c r="AJ5962">
        <v>75.233069583475398</v>
      </c>
      <c r="AK5962">
        <v>77.643526491629899</v>
      </c>
      <c r="AL5962">
        <v>80.984375728136101</v>
      </c>
      <c r="AM5962">
        <v>91.503150608161206</v>
      </c>
      <c r="AN5962">
        <v>1.0000000199107699</v>
      </c>
    </row>
    <row r="5963" spans="1:40" x14ac:dyDescent="0.25">
      <c r="A5963" t="str">
        <f>"20190304155536783"</f>
        <v>20190304155536783</v>
      </c>
      <c r="B5963" t="str">
        <f>"1551686136773646"</f>
        <v>1551686136773646</v>
      </c>
      <c r="C5963" t="s">
        <v>40</v>
      </c>
      <c r="D5963">
        <v>4.7746490000000001</v>
      </c>
      <c r="E5963">
        <v>0.60963230000000002</v>
      </c>
      <c r="F5963" t="s">
        <v>70</v>
      </c>
      <c r="G5963">
        <v>-167.52799999999999</v>
      </c>
      <c r="H5963">
        <v>0.41915419999999998</v>
      </c>
      <c r="I5963">
        <v>172.0651</v>
      </c>
      <c r="J5963">
        <v>-187.8494</v>
      </c>
      <c r="K5963">
        <v>1.109685</v>
      </c>
      <c r="L5963">
        <v>97.476470000000006</v>
      </c>
      <c r="M5963">
        <v>6.5333830000000002E-3</v>
      </c>
      <c r="N5963">
        <v>-1.4239659999999999E-2</v>
      </c>
      <c r="O5963">
        <v>0.99987729999999997</v>
      </c>
      <c r="P5963">
        <v>-1.9609740000000001E-2</v>
      </c>
      <c r="Q5963">
        <v>0.1420612</v>
      </c>
      <c r="R5963">
        <v>0.98966359999999998</v>
      </c>
      <c r="S5963">
        <v>0.82873539999999901</v>
      </c>
      <c r="T5963">
        <v>-2.8156400000000002E-2</v>
      </c>
      <c r="U5963">
        <v>3.0527950000000001</v>
      </c>
      <c r="V5963">
        <v>-2.5820559999999999E-2</v>
      </c>
      <c r="W5963">
        <v>0.1561796</v>
      </c>
      <c r="X5963">
        <v>0.98739109999999997</v>
      </c>
      <c r="Y5963">
        <v>0.255629299999999</v>
      </c>
      <c r="Z5963">
        <v>5.319509E-3</v>
      </c>
      <c r="AA5963">
        <v>0.96676019999999896</v>
      </c>
      <c r="AB5963">
        <v>30</v>
      </c>
      <c r="AC5963">
        <v>20.321400000000001</v>
      </c>
      <c r="AD5963">
        <v>-0.6905308</v>
      </c>
      <c r="AE5963">
        <v>74.588629999999995</v>
      </c>
      <c r="AF5963">
        <v>19.832018402369499</v>
      </c>
      <c r="AG5963">
        <v>-0.6905308</v>
      </c>
      <c r="AH5963">
        <v>74.7138576026869</v>
      </c>
      <c r="AI5963">
        <v>90.511809236430096</v>
      </c>
      <c r="AJ5963">
        <v>75.134239611728702</v>
      </c>
      <c r="AK5963">
        <v>77.304245061783305</v>
      </c>
      <c r="AL5963">
        <v>81.014784201291306</v>
      </c>
      <c r="AM5963">
        <v>91.4979596492513</v>
      </c>
      <c r="AN5963">
        <v>0.99999997656704098</v>
      </c>
    </row>
    <row r="5964" spans="1:40" x14ac:dyDescent="0.25">
      <c r="A5964" t="str">
        <f>"20190304155536807"</f>
        <v>20190304155536807</v>
      </c>
      <c r="B5964" t="str">
        <f>"1551686136803902"</f>
        <v>1551686136803902</v>
      </c>
      <c r="C5964" t="s">
        <v>40</v>
      </c>
      <c r="D5964">
        <v>4.7978239999999897</v>
      </c>
      <c r="E5964">
        <v>0.60999579999999998</v>
      </c>
      <c r="F5964" t="s">
        <v>70</v>
      </c>
      <c r="G5964">
        <v>-167.4847</v>
      </c>
      <c r="H5964">
        <v>0.36632629999999999</v>
      </c>
      <c r="I5964">
        <v>172.02189999999999</v>
      </c>
      <c r="J5964">
        <v>-187.84620000000001</v>
      </c>
      <c r="K5964">
        <v>1.1096680000000001</v>
      </c>
      <c r="L5964">
        <v>97.798400000000001</v>
      </c>
      <c r="M5964">
        <v>7.4481969999999897E-3</v>
      </c>
      <c r="N5964">
        <v>-1.423257E-2</v>
      </c>
      <c r="O5964">
        <v>0.99987099999999995</v>
      </c>
      <c r="P5964">
        <v>-1.8154170000000001E-2</v>
      </c>
      <c r="Q5964">
        <v>0.14168789999999901</v>
      </c>
      <c r="R5964">
        <v>0.98974490000000004</v>
      </c>
      <c r="S5964">
        <v>0.83381649999999996</v>
      </c>
      <c r="T5964">
        <v>-3.0434969999999999E-2</v>
      </c>
      <c r="U5964">
        <v>3.052216</v>
      </c>
      <c r="V5964">
        <v>-2.5265579999999999E-2</v>
      </c>
      <c r="W5964">
        <v>0.15580039999999901</v>
      </c>
      <c r="X5964">
        <v>0.98746540000000005</v>
      </c>
      <c r="Y5964">
        <v>0.25628909999999999</v>
      </c>
      <c r="Z5964">
        <v>4.5910109999999999E-3</v>
      </c>
      <c r="AA5964">
        <v>0.96658929999999998</v>
      </c>
      <c r="AB5964">
        <v>30</v>
      </c>
      <c r="AC5964">
        <v>20.361499999999999</v>
      </c>
      <c r="AD5964">
        <v>-0.74334169999999999</v>
      </c>
      <c r="AE5964">
        <v>74.223499999999902</v>
      </c>
      <c r="AF5964">
        <v>19.8062003623414</v>
      </c>
      <c r="AG5964">
        <v>-0.74334169999999999</v>
      </c>
      <c r="AH5964">
        <v>74.366175796171106</v>
      </c>
      <c r="AI5964">
        <v>90.553402250536706</v>
      </c>
      <c r="AJ5964">
        <v>75.086408552811804</v>
      </c>
      <c r="AK5964">
        <v>76.962109068185001</v>
      </c>
      <c r="AL5964">
        <v>81.036780369403701</v>
      </c>
      <c r="AM5964">
        <v>91.465666876058506</v>
      </c>
      <c r="AN5964">
        <v>1.0000000151850199</v>
      </c>
    </row>
    <row r="5965" spans="1:40" x14ac:dyDescent="0.25">
      <c r="A5965" t="str">
        <f>"20190304155536829"</f>
        <v>20190304155536829</v>
      </c>
      <c r="B5965" t="str">
        <f>"1551686136823423"</f>
        <v>1551686136823423</v>
      </c>
      <c r="C5965" t="s">
        <v>40</v>
      </c>
      <c r="D5965">
        <v>4.7638619999999996</v>
      </c>
      <c r="E5965">
        <v>0.61026800000000003</v>
      </c>
      <c r="F5965" t="s">
        <v>70</v>
      </c>
      <c r="G5965">
        <v>-167.405</v>
      </c>
      <c r="H5965">
        <v>0.29940990000000001</v>
      </c>
      <c r="I5965">
        <v>171.94229999999999</v>
      </c>
      <c r="J5965">
        <v>-187.8432</v>
      </c>
      <c r="K5965">
        <v>1.1096509999999999</v>
      </c>
      <c r="L5965">
        <v>98.086759999999998</v>
      </c>
      <c r="M5965">
        <v>8.2962450000000007E-3</v>
      </c>
      <c r="N5965">
        <v>-1.422608E-2</v>
      </c>
      <c r="O5965">
        <v>0.99986439999999999</v>
      </c>
      <c r="P5965">
        <v>-1.7513239999999999E-2</v>
      </c>
      <c r="Q5965">
        <v>0.1417369</v>
      </c>
      <c r="R5965">
        <v>0.9897494</v>
      </c>
      <c r="S5965">
        <v>0.84123230000000004</v>
      </c>
      <c r="T5965">
        <v>-3.3343789999999998E-2</v>
      </c>
      <c r="U5965">
        <v>3.0512999999999999</v>
      </c>
      <c r="V5965">
        <v>-2.545704E-2</v>
      </c>
      <c r="W5965">
        <v>0.15584419999999999</v>
      </c>
      <c r="X5965">
        <v>0.98745360000000004</v>
      </c>
      <c r="Y5965">
        <v>0.25772640000000002</v>
      </c>
      <c r="Z5965">
        <v>3.665111E-3</v>
      </c>
      <c r="AA5965">
        <v>0.96621100000000004</v>
      </c>
      <c r="AB5965">
        <v>30</v>
      </c>
      <c r="AC5965">
        <v>20.438199999999899</v>
      </c>
      <c r="AD5965">
        <v>-0.81024109999999905</v>
      </c>
      <c r="AE5965">
        <v>73.855539999999905</v>
      </c>
      <c r="AF5965">
        <v>19.822494808936401</v>
      </c>
      <c r="AG5965">
        <v>-0.81024109999999905</v>
      </c>
      <c r="AH5965">
        <v>74.014300958274205</v>
      </c>
      <c r="AI5965">
        <v>90.605846910904802</v>
      </c>
      <c r="AJ5965">
        <v>75.006917584301704</v>
      </c>
      <c r="AK5965">
        <v>76.627048340859602</v>
      </c>
      <c r="AL5965">
        <v>81.0342400404557</v>
      </c>
      <c r="AM5965">
        <v>91.476786290484696</v>
      </c>
      <c r="AN5965">
        <v>1.0000000438560701</v>
      </c>
    </row>
    <row r="5966" spans="1:40" x14ac:dyDescent="0.25">
      <c r="A5966" t="str">
        <f>"20190304155536851"</f>
        <v>20190304155536851</v>
      </c>
      <c r="B5966" t="str">
        <f>"1551686136843918"</f>
        <v>1551686136843918</v>
      </c>
      <c r="C5966" t="s">
        <v>40</v>
      </c>
      <c r="D5966">
        <v>4.7607530000000002</v>
      </c>
      <c r="E5966">
        <v>0.61056259999999996</v>
      </c>
      <c r="F5966" t="s">
        <v>70</v>
      </c>
      <c r="G5966">
        <v>-167.3802</v>
      </c>
      <c r="H5966">
        <v>0.28448959999999901</v>
      </c>
      <c r="I5966">
        <v>171.91759999999999</v>
      </c>
      <c r="J5966">
        <v>-187.8398</v>
      </c>
      <c r="K5966">
        <v>1.1096250000000001</v>
      </c>
      <c r="L5966">
        <v>98.377409999999998</v>
      </c>
      <c r="M5966">
        <v>9.1885879999999993E-3</v>
      </c>
      <c r="N5966">
        <v>-1.421765E-2</v>
      </c>
      <c r="O5966">
        <v>0.99985670000000004</v>
      </c>
      <c r="P5966">
        <v>-1.667772E-2</v>
      </c>
      <c r="Q5966">
        <v>0.14183270000000001</v>
      </c>
      <c r="R5966">
        <v>0.98975009999999997</v>
      </c>
      <c r="S5966">
        <v>0.84559629999999997</v>
      </c>
      <c r="T5966">
        <v>-3.4097080000000002E-2</v>
      </c>
      <c r="U5966">
        <v>3.0509339999999998</v>
      </c>
      <c r="V5966">
        <v>-2.5494820000000001E-2</v>
      </c>
      <c r="W5966">
        <v>0.15593319999999999</v>
      </c>
      <c r="X5966">
        <v>0.9874385</v>
      </c>
      <c r="Y5966">
        <v>0.2581774</v>
      </c>
      <c r="Z5966">
        <v>3.4182209999999999E-3</v>
      </c>
      <c r="AA5966">
        <v>0.96609149999999999</v>
      </c>
      <c r="AB5966">
        <v>30</v>
      </c>
      <c r="AC5966">
        <v>20.459599999999899</v>
      </c>
      <c r="AD5966">
        <v>-0.82513539999999996</v>
      </c>
      <c r="AE5966">
        <v>73.540189999999996</v>
      </c>
      <c r="AF5966">
        <v>19.780625947214102</v>
      </c>
      <c r="AG5966">
        <v>-0.82513539999999996</v>
      </c>
      <c r="AH5966">
        <v>73.716484969830901</v>
      </c>
      <c r="AI5966">
        <v>90.619395872036506</v>
      </c>
      <c r="AJ5966">
        <v>74.979440721185696</v>
      </c>
      <c r="AK5966">
        <v>76.328724393895399</v>
      </c>
      <c r="AL5966">
        <v>81.0290769355245</v>
      </c>
      <c r="AM5966">
        <v>91.478999576918994</v>
      </c>
      <c r="AN5966">
        <v>0.99999996999565999</v>
      </c>
    </row>
    <row r="5967" spans="1:40" x14ac:dyDescent="0.25">
      <c r="A5967" t="str">
        <f>"20190304155536874"</f>
        <v>20190304155536874</v>
      </c>
      <c r="B5967" t="str">
        <f>"1551686136863439"</f>
        <v>1551686136863439</v>
      </c>
      <c r="C5967" t="s">
        <v>40</v>
      </c>
      <c r="D5967">
        <v>4.7445300000000001</v>
      </c>
      <c r="E5967">
        <v>0.61086240000000003</v>
      </c>
      <c r="F5967" t="s">
        <v>70</v>
      </c>
      <c r="G5967">
        <v>-167.33070000000001</v>
      </c>
      <c r="H5967">
        <v>0.30177019999999999</v>
      </c>
      <c r="I5967">
        <v>171.86799999999999</v>
      </c>
      <c r="J5967">
        <v>-187.83609999999999</v>
      </c>
      <c r="K5967">
        <v>1.1095870000000001</v>
      </c>
      <c r="L5967">
        <v>98.673190000000005</v>
      </c>
      <c r="M5967">
        <v>1.014545E-2</v>
      </c>
      <c r="N5967">
        <v>-1.420429E-2</v>
      </c>
      <c r="O5967">
        <v>0.99984770000000001</v>
      </c>
      <c r="P5967">
        <v>-1.5955489999999999E-2</v>
      </c>
      <c r="Q5967">
        <v>0.14213580000000001</v>
      </c>
      <c r="R5967">
        <v>0.9897186</v>
      </c>
      <c r="S5967">
        <v>0.85122679999999995</v>
      </c>
      <c r="T5967">
        <v>-3.3528330000000002E-2</v>
      </c>
      <c r="U5967">
        <v>3.0502009999999999</v>
      </c>
      <c r="V5967">
        <v>-2.5706909999999999E-2</v>
      </c>
      <c r="W5967">
        <v>0.156224799999999</v>
      </c>
      <c r="X5967">
        <v>0.98738689999999996</v>
      </c>
      <c r="Y5967">
        <v>0.25896789999999997</v>
      </c>
      <c r="Z5967">
        <v>3.5841459999999999E-3</v>
      </c>
      <c r="AA5967">
        <v>0.9658793</v>
      </c>
      <c r="AB5967">
        <v>30</v>
      </c>
      <c r="AC5967">
        <v>20.505399999999899</v>
      </c>
      <c r="AD5967">
        <v>-0.8078168</v>
      </c>
      <c r="AE5967">
        <v>73.194809999999904</v>
      </c>
      <c r="AF5967">
        <v>19.759443628210601</v>
      </c>
      <c r="AG5967">
        <v>-0.8078168</v>
      </c>
      <c r="AH5967">
        <v>73.390810819249097</v>
      </c>
      <c r="AI5967">
        <v>90.608949468986296</v>
      </c>
      <c r="AJ5967">
        <v>74.931235826632303</v>
      </c>
      <c r="AK5967">
        <v>76.008547500827802</v>
      </c>
      <c r="AL5967">
        <v>81.012162114173094</v>
      </c>
      <c r="AM5967">
        <v>91.491375658308698</v>
      </c>
      <c r="AN5967">
        <v>0.99999996182419804</v>
      </c>
    </row>
    <row r="5968" spans="1:40" x14ac:dyDescent="0.25">
      <c r="A5968" t="str">
        <f>"20190304155536897"</f>
        <v>20190304155536897</v>
      </c>
      <c r="B5968" t="str">
        <f>"1551686136893695"</f>
        <v>1551686136893695</v>
      </c>
      <c r="C5968" t="s">
        <v>40</v>
      </c>
      <c r="D5968">
        <v>4.7685779999999998</v>
      </c>
      <c r="E5968">
        <v>0.61120589999999997</v>
      </c>
      <c r="F5968" t="s">
        <v>70</v>
      </c>
      <c r="G5968">
        <v>-167.29490000000001</v>
      </c>
      <c r="H5968">
        <v>0.32050899999999999</v>
      </c>
      <c r="I5968">
        <v>171.83240000000001</v>
      </c>
      <c r="J5968">
        <v>-187.83170000000001</v>
      </c>
      <c r="K5968">
        <v>1.1095429999999999</v>
      </c>
      <c r="L5968">
        <v>98.986019999999996</v>
      </c>
      <c r="M5968">
        <v>1.1217599999999999E-2</v>
      </c>
      <c r="N5968">
        <v>-1.41879E-2</v>
      </c>
      <c r="O5968">
        <v>0.99983639999999996</v>
      </c>
      <c r="P5968">
        <v>-1.5130289999999999E-2</v>
      </c>
      <c r="Q5968">
        <v>0.14184840000000001</v>
      </c>
      <c r="R5968">
        <v>0.98977269999999995</v>
      </c>
      <c r="S5968">
        <v>0.85627749999999903</v>
      </c>
      <c r="T5968">
        <v>-3.2892110000000002E-2</v>
      </c>
      <c r="U5968">
        <v>3.0497130000000001</v>
      </c>
      <c r="V5968">
        <v>-2.592802E-2</v>
      </c>
      <c r="W5968">
        <v>0.155924799999999</v>
      </c>
      <c r="X5968">
        <v>0.98742859999999999</v>
      </c>
      <c r="Y5968">
        <v>0.25945570000000001</v>
      </c>
      <c r="Z5968">
        <v>3.7682570000000001E-3</v>
      </c>
      <c r="AA5968">
        <v>0.96574769999999999</v>
      </c>
      <c r="AB5968">
        <v>30</v>
      </c>
      <c r="AC5968">
        <v>20.536799999999999</v>
      </c>
      <c r="AD5968">
        <v>-0.78903400000000001</v>
      </c>
      <c r="AE5968">
        <v>72.846379999999996</v>
      </c>
      <c r="AF5968">
        <v>19.716120945249699</v>
      </c>
      <c r="AG5968">
        <v>-0.78903400000000001</v>
      </c>
      <c r="AH5968">
        <v>73.064251600018096</v>
      </c>
      <c r="AI5968">
        <v>90.597358215171994</v>
      </c>
      <c r="AJ5968">
        <v>74.898631008710794</v>
      </c>
      <c r="AK5968">
        <v>75.681786855567907</v>
      </c>
      <c r="AL5968">
        <v>81.029564657400798</v>
      </c>
      <c r="AM5968">
        <v>91.504133900084796</v>
      </c>
      <c r="AN5968">
        <v>1.00000002278705</v>
      </c>
    </row>
    <row r="5969" spans="1:40" x14ac:dyDescent="0.25">
      <c r="A5969" t="str">
        <f>"20190304155536920"</f>
        <v>20190304155536920</v>
      </c>
      <c r="B5969" t="str">
        <f>"1551686136914190"</f>
        <v>1551686136914190</v>
      </c>
      <c r="C5969" t="s">
        <v>40</v>
      </c>
      <c r="D5969">
        <v>4.7913579999999998</v>
      </c>
      <c r="E5969">
        <v>0.61141919999999905</v>
      </c>
      <c r="F5969" t="s">
        <v>70</v>
      </c>
      <c r="G5969">
        <v>-167.2621</v>
      </c>
      <c r="H5969">
        <v>0.27106859999999999</v>
      </c>
      <c r="I5969">
        <v>171.7996</v>
      </c>
      <c r="J5969">
        <v>-187.82730000000001</v>
      </c>
      <c r="K5969">
        <v>1.1094919999999999</v>
      </c>
      <c r="L5969">
        <v>99.277590000000004</v>
      </c>
      <c r="M5969">
        <v>1.2280549999999999E-2</v>
      </c>
      <c r="N5969">
        <v>-1.417323E-2</v>
      </c>
      <c r="O5969">
        <v>0.99982420000000005</v>
      </c>
      <c r="P5969">
        <v>-1.404422E-2</v>
      </c>
      <c r="Q5969">
        <v>0.140902799999999</v>
      </c>
      <c r="R5969">
        <v>0.98992380000000002</v>
      </c>
      <c r="S5969">
        <v>0.86138919999999997</v>
      </c>
      <c r="T5969">
        <v>-3.511119E-2</v>
      </c>
      <c r="U5969">
        <v>3.049194</v>
      </c>
      <c r="V5969">
        <v>-2.5880179999999999E-2</v>
      </c>
      <c r="W5969">
        <v>0.15497</v>
      </c>
      <c r="X5969">
        <v>0.98758009999999996</v>
      </c>
      <c r="Y5969">
        <v>0.25997110000000001</v>
      </c>
      <c r="Z5969">
        <v>3.051593E-3</v>
      </c>
      <c r="AA5969">
        <v>0.96561160000000001</v>
      </c>
      <c r="AB5969">
        <v>30</v>
      </c>
      <c r="AC5969">
        <v>20.565200000000001</v>
      </c>
      <c r="AD5969">
        <v>-0.83842339999999904</v>
      </c>
      <c r="AE5969">
        <v>72.522009999999995</v>
      </c>
      <c r="AF5969">
        <v>19.670515912456398</v>
      </c>
      <c r="AG5969">
        <v>-0.83842339999999904</v>
      </c>
      <c r="AH5969">
        <v>72.760116426942901</v>
      </c>
      <c r="AI5969">
        <v>90.637319347089701</v>
      </c>
      <c r="AJ5969">
        <v>74.871868808319405</v>
      </c>
      <c r="AK5969">
        <v>75.376831271433502</v>
      </c>
      <c r="AL5969">
        <v>81.084943367651306</v>
      </c>
      <c r="AM5969">
        <v>91.501129670686794</v>
      </c>
      <c r="AN5969">
        <v>0.99999996926641999</v>
      </c>
    </row>
    <row r="5970" spans="1:40" x14ac:dyDescent="0.25">
      <c r="A5970" t="str">
        <f>"20190304155536962"</f>
        <v>20190304155536962</v>
      </c>
      <c r="B5970" t="str">
        <f>"1551686136954207"</f>
        <v>1551686136954207</v>
      </c>
      <c r="C5970" t="s">
        <v>40</v>
      </c>
      <c r="D5970">
        <v>4.8537739999999996</v>
      </c>
      <c r="E5970">
        <v>0.6118017</v>
      </c>
      <c r="F5970" t="s">
        <v>70</v>
      </c>
      <c r="G5970">
        <v>-167.2116</v>
      </c>
      <c r="H5970">
        <v>0.20666979999999999</v>
      </c>
      <c r="I5970">
        <v>171.7492</v>
      </c>
      <c r="J5970">
        <v>-187.81780000000001</v>
      </c>
      <c r="K5970">
        <v>1.109386</v>
      </c>
      <c r="L5970">
        <v>99.83887</v>
      </c>
      <c r="M5970">
        <v>1.453455E-2</v>
      </c>
      <c r="N5970">
        <v>-1.414788E-2</v>
      </c>
      <c r="O5970">
        <v>0.99979419999999997</v>
      </c>
      <c r="P5970">
        <v>-1.2083379999999999E-2</v>
      </c>
      <c r="Q5970">
        <v>0.13870550000000001</v>
      </c>
      <c r="R5970">
        <v>0.99025989999999997</v>
      </c>
      <c r="S5970">
        <v>0.86712649999999902</v>
      </c>
      <c r="T5970">
        <v>-3.7972449999999998E-2</v>
      </c>
      <c r="U5970">
        <v>3.0482480000000001</v>
      </c>
      <c r="V5970">
        <v>-2.6122380000000001E-2</v>
      </c>
      <c r="W5970">
        <v>0.1527588</v>
      </c>
      <c r="X5970">
        <v>0.98791819999999997</v>
      </c>
      <c r="Y5970">
        <v>0.25955410000000001</v>
      </c>
      <c r="Z5970">
        <v>2.116677E-3</v>
      </c>
      <c r="AA5970">
        <v>0.96572630000000004</v>
      </c>
      <c r="AB5970">
        <v>29</v>
      </c>
      <c r="AC5970">
        <v>20.606200000000001</v>
      </c>
      <c r="AD5970">
        <v>-0.90271619999999997</v>
      </c>
      <c r="AE5970">
        <v>71.910330000000002</v>
      </c>
      <c r="AF5970">
        <v>19.555886006772099</v>
      </c>
      <c r="AG5970">
        <v>-0.90271619999999997</v>
      </c>
      <c r="AH5970">
        <v>72.191751083566203</v>
      </c>
      <c r="AI5970">
        <v>90.691493947813797</v>
      </c>
      <c r="AJ5970">
        <v>74.843008736102405</v>
      </c>
      <c r="AK5970">
        <v>74.799040759619302</v>
      </c>
      <c r="AL5970">
        <v>81.213162937018296</v>
      </c>
      <c r="AM5970">
        <v>91.514653191024195</v>
      </c>
      <c r="AN5970">
        <v>0.99999999980277199</v>
      </c>
    </row>
    <row r="5971" spans="1:40" x14ac:dyDescent="0.25">
      <c r="A5971" t="str">
        <f>"20190304155537007"</f>
        <v>20190304155537007</v>
      </c>
      <c r="B5971" t="str">
        <f>"1551686137003984"</f>
        <v>1551686137003984</v>
      </c>
      <c r="C5971" t="s">
        <v>40</v>
      </c>
      <c r="D5971">
        <v>4.8577599999999999</v>
      </c>
      <c r="E5971">
        <v>0.61213109999999904</v>
      </c>
      <c r="F5971" t="s">
        <v>70</v>
      </c>
      <c r="G5971">
        <v>-167.12960000000001</v>
      </c>
      <c r="H5971">
        <v>6.1503410000000001E-2</v>
      </c>
      <c r="I5971">
        <v>171.66739999999999</v>
      </c>
      <c r="J5971">
        <v>-187.8057</v>
      </c>
      <c r="K5971">
        <v>1.1092679999999999</v>
      </c>
      <c r="L5971">
        <v>100.4384</v>
      </c>
      <c r="M5971">
        <v>1.7226080000000001E-2</v>
      </c>
      <c r="N5971">
        <v>-1.4124380000000001E-2</v>
      </c>
      <c r="O5971">
        <v>0.99975190000000003</v>
      </c>
      <c r="P5971">
        <v>-9.1509469999999996E-3</v>
      </c>
      <c r="Q5971">
        <v>0.1365835</v>
      </c>
      <c r="R5971">
        <v>0.99058630000000003</v>
      </c>
      <c r="S5971">
        <v>0.87744140000000004</v>
      </c>
      <c r="T5971">
        <v>-4.4442179999999998E-2</v>
      </c>
      <c r="U5971">
        <v>3.0464479999999998</v>
      </c>
      <c r="V5971">
        <v>-2.5828500000000001E-2</v>
      </c>
      <c r="W5971">
        <v>0.15062420000000001</v>
      </c>
      <c r="X5971">
        <v>0.98825370000000001</v>
      </c>
      <c r="Y5971">
        <v>0.2601234</v>
      </c>
      <c r="Z5971" s="1">
        <v>4.3162170000000003E-5</v>
      </c>
      <c r="AA5971">
        <v>0.96557539999999997</v>
      </c>
      <c r="AB5971">
        <v>29</v>
      </c>
      <c r="AC5971">
        <v>20.676099999999899</v>
      </c>
      <c r="AD5971">
        <v>-1.0477645900000001</v>
      </c>
      <c r="AE5971">
        <v>71.2289999999999</v>
      </c>
      <c r="AF5971">
        <v>19.4420327559707</v>
      </c>
      <c r="AG5971">
        <v>-1.0477645900000001</v>
      </c>
      <c r="AH5971">
        <v>71.560351804096996</v>
      </c>
      <c r="AI5971">
        <v>90.809506731084099</v>
      </c>
      <c r="AJ5971">
        <v>74.800361268145295</v>
      </c>
      <c r="AK5971">
        <v>74.161812266465205</v>
      </c>
      <c r="AL5971">
        <v>81.336899012267494</v>
      </c>
      <c r="AM5971">
        <v>91.497112767539505</v>
      </c>
      <c r="AN5971">
        <v>1.0000000683007799</v>
      </c>
    </row>
    <row r="5972" spans="1:40" x14ac:dyDescent="0.25">
      <c r="A5972" t="str">
        <f>"20190304155537197"</f>
        <v>20190304155537197</v>
      </c>
      <c r="B5972" t="str">
        <f>"1551686137194303"</f>
        <v>1551686137194303</v>
      </c>
      <c r="C5972" t="s">
        <v>40</v>
      </c>
      <c r="D5972">
        <v>5.1698449999999996</v>
      </c>
      <c r="E5972">
        <v>0.61221369999999997</v>
      </c>
      <c r="F5972" t="s">
        <v>47</v>
      </c>
      <c r="G5972">
        <v>-168.07669999999999</v>
      </c>
      <c r="H5972">
        <v>-0.05</v>
      </c>
      <c r="I5972">
        <v>167.93940000000001</v>
      </c>
      <c r="J5972">
        <v>-187.73429999999999</v>
      </c>
      <c r="K5972">
        <v>1.1089260000000001</v>
      </c>
      <c r="L5972">
        <v>102.9072</v>
      </c>
      <c r="M5972">
        <v>3.0841179999999999E-2</v>
      </c>
      <c r="N5972">
        <v>-1.386925E-2</v>
      </c>
      <c r="O5972">
        <v>0.99942810000000004</v>
      </c>
      <c r="P5972">
        <v>9.6541100000000005E-3</v>
      </c>
      <c r="Q5972">
        <v>0.1361076</v>
      </c>
      <c r="R5972">
        <v>0.99064700000000006</v>
      </c>
      <c r="S5972">
        <v>0.889679</v>
      </c>
      <c r="T5972">
        <v>-5.2276969999999999E-2</v>
      </c>
      <c r="U5972">
        <v>3.0439449999999999</v>
      </c>
      <c r="V5972">
        <v>-2.0408369999999999E-2</v>
      </c>
      <c r="W5972">
        <v>0.14990059999999999</v>
      </c>
      <c r="X5972">
        <v>0.98849039999999999</v>
      </c>
      <c r="Y5972">
        <v>0.25074920000000001</v>
      </c>
      <c r="Z5972">
        <v>-2.7313609999999999E-3</v>
      </c>
      <c r="AA5972">
        <v>0.96804820000000003</v>
      </c>
      <c r="AB5972">
        <v>29</v>
      </c>
      <c r="AC5972">
        <v>19.657599999999999</v>
      </c>
      <c r="AD5972">
        <v>-1.1589259999999999</v>
      </c>
      <c r="AE5972">
        <v>65.032200000000003</v>
      </c>
      <c r="AF5972">
        <v>17.637252065240499</v>
      </c>
      <c r="AG5972">
        <v>-1.1589259999999999</v>
      </c>
      <c r="AH5972">
        <v>65.588494168501995</v>
      </c>
      <c r="AI5972">
        <v>90.977570484259005</v>
      </c>
      <c r="AJ5972">
        <v>74.948771913075504</v>
      </c>
      <c r="AK5972">
        <v>67.928391245324903</v>
      </c>
      <c r="AL5972">
        <v>81.378833607187701</v>
      </c>
      <c r="AM5972">
        <v>91.182760467333793</v>
      </c>
      <c r="AN5972">
        <v>0.99999998116928801</v>
      </c>
    </row>
    <row r="5973" spans="1:40" x14ac:dyDescent="0.25">
      <c r="A5973" t="str">
        <f>"20190304155537477"</f>
        <v>20190304155537477</v>
      </c>
      <c r="B5973" t="str">
        <f>"1551686137473478"</f>
        <v>1551686137473478</v>
      </c>
      <c r="C5973" t="s">
        <v>40</v>
      </c>
      <c r="D5973">
        <v>5.1374029999999999</v>
      </c>
      <c r="E5973">
        <v>0.61233839999999995</v>
      </c>
      <c r="F5973" t="s">
        <v>47</v>
      </c>
      <c r="G5973">
        <v>-166.61840000000001</v>
      </c>
      <c r="H5973">
        <v>-0.05</v>
      </c>
      <c r="I5973">
        <v>170.2235</v>
      </c>
      <c r="J5973">
        <v>-187.5607</v>
      </c>
      <c r="K5973">
        <v>1.1086389999999999</v>
      </c>
      <c r="L5973">
        <v>106.52589999999999</v>
      </c>
      <c r="M5973">
        <v>5.3698950000000002E-2</v>
      </c>
      <c r="N5973">
        <v>-1.303729E-2</v>
      </c>
      <c r="O5973">
        <v>0.99847200000000003</v>
      </c>
      <c r="P5973">
        <v>4.3292280000000002E-2</v>
      </c>
      <c r="Q5973">
        <v>0.1407099</v>
      </c>
      <c r="R5973">
        <v>0.98910390000000004</v>
      </c>
      <c r="S5973">
        <v>0.94927980000000001</v>
      </c>
      <c r="T5973">
        <v>-5.2100180000000003E-2</v>
      </c>
      <c r="U5973">
        <v>3.0262449999999999</v>
      </c>
      <c r="V5973">
        <v>-9.3025799999999995E-3</v>
      </c>
      <c r="W5973">
        <v>0.15364140000000001</v>
      </c>
      <c r="X5973">
        <v>0.98808289999999999</v>
      </c>
      <c r="Y5973">
        <v>0.24758069999999999</v>
      </c>
      <c r="Z5973">
        <v>-3.5819300000000001E-3</v>
      </c>
      <c r="AA5973">
        <v>0.96886059999999996</v>
      </c>
      <c r="AB5973">
        <v>29</v>
      </c>
      <c r="AC5973">
        <v>20.9422999999999</v>
      </c>
      <c r="AD5973">
        <v>-1.158639</v>
      </c>
      <c r="AE5973">
        <v>63.697600000000001</v>
      </c>
      <c r="AF5973">
        <v>17.486072376242898</v>
      </c>
      <c r="AG5973">
        <v>-1.158639</v>
      </c>
      <c r="AH5973">
        <v>64.711032763168802</v>
      </c>
      <c r="AI5973">
        <v>90.990252083800399</v>
      </c>
      <c r="AJ5973">
        <v>74.878794842226696</v>
      </c>
      <c r="AK5973">
        <v>67.041949052480902</v>
      </c>
      <c r="AL5973">
        <v>81.161989746375198</v>
      </c>
      <c r="AM5973">
        <v>90.539411040754104</v>
      </c>
      <c r="AN5973">
        <v>1.0000000175305099</v>
      </c>
    </row>
    <row r="5974" spans="1:40" x14ac:dyDescent="0.25">
      <c r="A5974" t="str">
        <f>"20190304155537499"</f>
        <v>20190304155537499</v>
      </c>
      <c r="B5974" t="str">
        <f>"1551686137493974"</f>
        <v>1551686137493974</v>
      </c>
      <c r="C5974" t="s">
        <v>40</v>
      </c>
      <c r="D5974">
        <v>4.9627179999999997</v>
      </c>
      <c r="E5974">
        <v>0.61228850000000001</v>
      </c>
      <c r="F5974" t="s">
        <v>70</v>
      </c>
      <c r="G5974">
        <v>-165.24250000000001</v>
      </c>
      <c r="H5974">
        <v>0.39492129999999998</v>
      </c>
      <c r="I5974">
        <v>169.78200000000001</v>
      </c>
      <c r="J5974">
        <v>-187.54220000000001</v>
      </c>
      <c r="K5974">
        <v>1.1085969999999901</v>
      </c>
      <c r="L5974">
        <v>106.8257</v>
      </c>
      <c r="M5974">
        <v>5.5839010000000001E-2</v>
      </c>
      <c r="N5974">
        <v>-1.299019E-2</v>
      </c>
      <c r="O5974">
        <v>0.99835529999999995</v>
      </c>
      <c r="P5974">
        <v>4.6565309999999999E-2</v>
      </c>
      <c r="Q5974">
        <v>0.14185529999999999</v>
      </c>
      <c r="R5974">
        <v>0.98879150000000005</v>
      </c>
      <c r="S5974">
        <v>1.0555270000000001</v>
      </c>
      <c r="T5974">
        <v>-3.3753400000000003E-2</v>
      </c>
      <c r="U5974">
        <v>2.9916689999999999</v>
      </c>
      <c r="V5974">
        <v>-8.1204580000000005E-3</v>
      </c>
      <c r="W5974">
        <v>0.15473439999999999</v>
      </c>
      <c r="X5974">
        <v>0.98792270000000004</v>
      </c>
      <c r="Y5974">
        <v>0.27949649999999998</v>
      </c>
      <c r="Z5974">
        <v>2.1593860000000001E-3</v>
      </c>
      <c r="AA5974">
        <v>0.96014429999999995</v>
      </c>
      <c r="AB5974">
        <v>29</v>
      </c>
      <c r="AC5974">
        <v>22.299700000000001</v>
      </c>
      <c r="AD5974">
        <v>-0.71367569999999902</v>
      </c>
      <c r="AE5974">
        <v>62.956299999999999</v>
      </c>
      <c r="AF5974">
        <v>18.747047231786901</v>
      </c>
      <c r="AG5974">
        <v>-0.71367569999999902</v>
      </c>
      <c r="AH5974">
        <v>64.096037773802095</v>
      </c>
      <c r="AI5974">
        <v>90.612282103922496</v>
      </c>
      <c r="AJ5974">
        <v>73.696661534815604</v>
      </c>
      <c r="AK5974">
        <v>66.785201738231507</v>
      </c>
      <c r="AL5974">
        <v>81.098607065775099</v>
      </c>
      <c r="AM5974">
        <v>90.470945240036002</v>
      </c>
      <c r="AN5974">
        <v>0.99999996877838904</v>
      </c>
    </row>
    <row r="5975" spans="1:40" x14ac:dyDescent="0.25">
      <c r="A5975" t="str">
        <f>"20190304155537611"</f>
        <v>20190304155537611</v>
      </c>
      <c r="B5975" t="str">
        <f>"1551686137604263"</f>
        <v>1551686137604263</v>
      </c>
      <c r="C5975" t="s">
        <v>40</v>
      </c>
      <c r="D5975">
        <v>4.9985900000000001</v>
      </c>
      <c r="E5975">
        <v>0.57841290000000001</v>
      </c>
      <c r="F5975" t="s">
        <v>70</v>
      </c>
      <c r="G5975">
        <v>-165.1361</v>
      </c>
      <c r="H5975">
        <v>0.4571133</v>
      </c>
      <c r="I5975">
        <v>169.67570000000001</v>
      </c>
      <c r="J5975">
        <v>-187.4434</v>
      </c>
      <c r="K5975">
        <v>1.1084689999999999</v>
      </c>
      <c r="L5975">
        <v>108.2688</v>
      </c>
      <c r="M5975">
        <v>6.6758079999999997E-2</v>
      </c>
      <c r="N5975">
        <v>-1.2832299999999901E-2</v>
      </c>
      <c r="O5975">
        <v>0.99768670000000004</v>
      </c>
      <c r="P5975">
        <v>6.2074400000000002E-2</v>
      </c>
      <c r="Q5975">
        <v>0.14440799999999901</v>
      </c>
      <c r="R5975">
        <v>0.98756929999999998</v>
      </c>
      <c r="S5975">
        <v>1.065323</v>
      </c>
      <c r="T5975">
        <v>-3.097391E-2</v>
      </c>
      <c r="U5975">
        <v>2.9882659999999999</v>
      </c>
      <c r="V5975">
        <v>-3.331077E-3</v>
      </c>
      <c r="W5975">
        <v>0.1571092</v>
      </c>
      <c r="X5975">
        <v>0.9875756</v>
      </c>
      <c r="Y5975">
        <v>0.27212520000000001</v>
      </c>
      <c r="Z5975">
        <v>2.8535169999999999E-3</v>
      </c>
      <c r="AA5975">
        <v>0.96225760000000005</v>
      </c>
      <c r="AB5975">
        <v>29</v>
      </c>
      <c r="AC5975">
        <v>22.307300000000001</v>
      </c>
      <c r="AD5975">
        <v>-0.65135569999999998</v>
      </c>
      <c r="AE5975">
        <v>61.4069</v>
      </c>
      <c r="AF5975">
        <v>18.155979662399101</v>
      </c>
      <c r="AG5975">
        <v>-0.65135569999999998</v>
      </c>
      <c r="AH5975">
        <v>62.752968068422597</v>
      </c>
      <c r="AI5975">
        <v>90.571262739713404</v>
      </c>
      <c r="AJ5975">
        <v>73.863541083264394</v>
      </c>
      <c r="AK5975">
        <v>65.329923183376195</v>
      </c>
      <c r="AL5975">
        <v>80.960856347759801</v>
      </c>
      <c r="AM5975">
        <v>90.193257032215499</v>
      </c>
      <c r="AN5975">
        <v>0.99999998125698897</v>
      </c>
    </row>
    <row r="5976" spans="1:40" x14ac:dyDescent="0.25">
      <c r="A5976" t="str">
        <f>"20190304155537655"</f>
        <v>20190304155537655</v>
      </c>
      <c r="B5976" t="str">
        <f>"1551686137644278"</f>
        <v>1551686137644278</v>
      </c>
      <c r="C5976" t="s">
        <v>40</v>
      </c>
      <c r="D5976">
        <v>4.5900369999999997</v>
      </c>
      <c r="E5976">
        <v>0.58421999999999996</v>
      </c>
      <c r="F5976" t="s">
        <v>62</v>
      </c>
      <c r="G5976">
        <v>-182.61760000000001</v>
      </c>
      <c r="H5976" s="1">
        <v>-3.9339090000000002E-6</v>
      </c>
      <c r="I5976">
        <v>125.27419999999999</v>
      </c>
      <c r="J5976">
        <v>-187.40010000000001</v>
      </c>
      <c r="K5976">
        <v>1.1084510000000001</v>
      </c>
      <c r="L5976">
        <v>108.83450000000001</v>
      </c>
      <c r="M5976">
        <v>7.1205290000000004E-2</v>
      </c>
      <c r="N5976">
        <v>-1.279395E-2</v>
      </c>
      <c r="O5976">
        <v>0.99737960000000003</v>
      </c>
      <c r="P5976">
        <v>6.8052000000000001E-2</v>
      </c>
      <c r="Q5976">
        <v>0.14690429999999999</v>
      </c>
      <c r="R5976">
        <v>0.98680699999999999</v>
      </c>
      <c r="S5976">
        <v>0.85493469999999905</v>
      </c>
      <c r="T5976">
        <v>-0.19637950000000001</v>
      </c>
      <c r="U5976">
        <v>3.0127259999999998</v>
      </c>
      <c r="V5976">
        <v>-1.7043339999999901E-3</v>
      </c>
      <c r="W5976">
        <v>0.15955610000000001</v>
      </c>
      <c r="X5976">
        <v>0.98718740000000005</v>
      </c>
      <c r="Y5976">
        <v>0.20335539999999999</v>
      </c>
      <c r="Z5976">
        <v>-5.0236410000000002E-2</v>
      </c>
      <c r="AA5976">
        <v>0.9778154</v>
      </c>
      <c r="AB5976">
        <v>29</v>
      </c>
      <c r="AC5976">
        <v>4.78249999999999</v>
      </c>
      <c r="AD5976">
        <v>-1.108454933909</v>
      </c>
      <c r="AE5976">
        <v>16.439699999999899</v>
      </c>
      <c r="AF5976">
        <v>3.58464410278247</v>
      </c>
      <c r="AG5976">
        <v>-1.108454933909</v>
      </c>
      <c r="AH5976">
        <v>16.668664861634699</v>
      </c>
      <c r="AI5976">
        <v>93.719733582905405</v>
      </c>
      <c r="AJ5976">
        <v>77.863224849396602</v>
      </c>
      <c r="AK5976">
        <v>17.085746514379</v>
      </c>
      <c r="AL5976">
        <v>80.818868450584503</v>
      </c>
      <c r="AM5976">
        <v>90.098918450599797</v>
      </c>
      <c r="AN5976">
        <v>1.0000000082601701</v>
      </c>
    </row>
    <row r="5977" spans="1:40" x14ac:dyDescent="0.25">
      <c r="A5977" t="str">
        <f>"20190304155537675"</f>
        <v>20190304155537675</v>
      </c>
      <c r="B5977" t="str">
        <f>"1551686137663798"</f>
        <v>1551686137663798</v>
      </c>
      <c r="C5977" t="s">
        <v>40</v>
      </c>
      <c r="D5977">
        <v>4.8561550000000002</v>
      </c>
      <c r="E5977">
        <v>0.58364419999999995</v>
      </c>
      <c r="F5977" t="s">
        <v>62</v>
      </c>
      <c r="G5977">
        <v>-180.33529999999999</v>
      </c>
      <c r="H5977" s="1">
        <v>-6.209877E-6</v>
      </c>
      <c r="I5977">
        <v>131.9357</v>
      </c>
      <c r="J5977">
        <v>-187.37889999999999</v>
      </c>
      <c r="K5977">
        <v>1.1084320000000001</v>
      </c>
      <c r="L5977">
        <v>109.09950000000001</v>
      </c>
      <c r="M5977">
        <v>7.3306869999999996E-2</v>
      </c>
      <c r="N5977">
        <v>-1.277909E-2</v>
      </c>
      <c r="O5977">
        <v>0.99722750000000004</v>
      </c>
      <c r="P5977">
        <v>7.1553829999999999E-2</v>
      </c>
      <c r="Q5977">
        <v>0.147167299999999</v>
      </c>
      <c r="R5977">
        <v>0.98652010000000001</v>
      </c>
      <c r="S5977">
        <v>0.91693119999999995</v>
      </c>
      <c r="T5977">
        <v>-0.14386570000000001</v>
      </c>
      <c r="U5977">
        <v>2.998291</v>
      </c>
      <c r="V5977">
        <v>-2.6954380000000002E-4</v>
      </c>
      <c r="W5977">
        <v>0.159798</v>
      </c>
      <c r="X5977">
        <v>0.98714970000000002</v>
      </c>
      <c r="Y5977">
        <v>0.2213087</v>
      </c>
      <c r="Z5977">
        <v>-3.3460150000000001E-2</v>
      </c>
      <c r="AA5977">
        <v>0.97462959999999998</v>
      </c>
      <c r="AB5977">
        <v>29</v>
      </c>
      <c r="AC5977">
        <v>7.0435999999999899</v>
      </c>
      <c r="AD5977">
        <v>-1.10843820987699</v>
      </c>
      <c r="AE5977">
        <v>22.836199999999899</v>
      </c>
      <c r="AF5977">
        <v>5.33897256279384</v>
      </c>
      <c r="AG5977">
        <v>-1.10843820987699</v>
      </c>
      <c r="AH5977">
        <v>23.2411346488833</v>
      </c>
      <c r="AI5977">
        <v>92.661320722763705</v>
      </c>
      <c r="AJ5977">
        <v>77.062428457426194</v>
      </c>
      <c r="AK5977">
        <v>23.872234982483398</v>
      </c>
      <c r="AL5977">
        <v>80.804828399166098</v>
      </c>
      <c r="AM5977">
        <v>90.015644761630398</v>
      </c>
      <c r="AN5977">
        <v>1.0000000018339701</v>
      </c>
    </row>
    <row r="5978" spans="1:40" x14ac:dyDescent="0.25">
      <c r="A5978" t="str">
        <f>"20190304155537699"</f>
        <v>20190304155537699</v>
      </c>
      <c r="B5978" t="str">
        <f>"1551686137694054"</f>
        <v>1551686137694054</v>
      </c>
      <c r="C5978" t="s">
        <v>40</v>
      </c>
      <c r="D5978">
        <v>4.9464249999999996</v>
      </c>
      <c r="E5978">
        <v>0.5828738</v>
      </c>
      <c r="F5978" t="s">
        <v>62</v>
      </c>
      <c r="G5978">
        <v>-180.52549999999999</v>
      </c>
      <c r="H5978" s="1">
        <v>-5.9774590000000003E-6</v>
      </c>
      <c r="I5978">
        <v>131.31880000000001</v>
      </c>
      <c r="J5978">
        <v>-187.35409999999999</v>
      </c>
      <c r="K5978">
        <v>1.1084179999999999</v>
      </c>
      <c r="L5978">
        <v>109.4007</v>
      </c>
      <c r="M5978">
        <v>7.5707549999999998E-2</v>
      </c>
      <c r="N5978">
        <v>-1.276417E-2</v>
      </c>
      <c r="O5978">
        <v>0.99704839999999995</v>
      </c>
      <c r="P5978">
        <v>7.5706960000000004E-2</v>
      </c>
      <c r="Q5978">
        <v>0.14827409999999999</v>
      </c>
      <c r="R5978">
        <v>0.98604420000000004</v>
      </c>
      <c r="S5978">
        <v>0.92416379999999998</v>
      </c>
      <c r="T5978">
        <v>-0.14947149999999901</v>
      </c>
      <c r="U5978">
        <v>2.9962460000000002</v>
      </c>
      <c r="V5978">
        <v>1.5355499999999999E-3</v>
      </c>
      <c r="W5978">
        <v>0.16087960000000001</v>
      </c>
      <c r="X5978">
        <v>0.98697290000000004</v>
      </c>
      <c r="Y5978">
        <v>0.221276</v>
      </c>
      <c r="Z5978">
        <v>-3.5275140000000003E-2</v>
      </c>
      <c r="AA5978">
        <v>0.97457300000000002</v>
      </c>
      <c r="AB5978">
        <v>29</v>
      </c>
      <c r="AC5978">
        <v>6.82859999999999</v>
      </c>
      <c r="AD5978">
        <v>-1.1084239774589999</v>
      </c>
      <c r="AE5978">
        <v>21.918099999999999</v>
      </c>
      <c r="AF5978">
        <v>5.1375219387372901</v>
      </c>
      <c r="AG5978">
        <v>-1.1084239774589999</v>
      </c>
      <c r="AH5978">
        <v>22.3201727613808</v>
      </c>
      <c r="AI5978">
        <v>92.770653525847194</v>
      </c>
      <c r="AJ5978">
        <v>77.037770941184306</v>
      </c>
      <c r="AK5978">
        <v>22.930609400595898</v>
      </c>
      <c r="AL5978">
        <v>80.742045483156403</v>
      </c>
      <c r="AM5978">
        <v>89.910858278637804</v>
      </c>
      <c r="AN5978">
        <v>1.0000000544721801</v>
      </c>
    </row>
    <row r="5979" spans="1:40" x14ac:dyDescent="0.25">
      <c r="A5979" t="str">
        <f>"20190304155537723"</f>
        <v>20190304155537723</v>
      </c>
      <c r="B5979" t="str">
        <f>"1551686137713574"</f>
        <v>1551686137713574</v>
      </c>
      <c r="C5979" t="s">
        <v>40</v>
      </c>
      <c r="D5979">
        <v>4.8654769999999896</v>
      </c>
      <c r="E5979">
        <v>0.58206000000000002</v>
      </c>
      <c r="F5979" t="s">
        <v>62</v>
      </c>
      <c r="G5979">
        <v>-180.5822</v>
      </c>
      <c r="H5979" s="1">
        <v>-5.916153E-6</v>
      </c>
      <c r="I5979">
        <v>131.15780000000001</v>
      </c>
      <c r="J5979">
        <v>-187.32939999999999</v>
      </c>
      <c r="K5979">
        <v>1.1084050000000001</v>
      </c>
      <c r="L5979">
        <v>109.69280000000001</v>
      </c>
      <c r="M5979">
        <v>7.8053830000000005E-2</v>
      </c>
      <c r="N5979">
        <v>-1.2751699999999999E-2</v>
      </c>
      <c r="O5979">
        <v>0.99686759999999996</v>
      </c>
      <c r="P5979">
        <v>7.9464670000000001E-2</v>
      </c>
      <c r="Q5979">
        <v>0.1487646</v>
      </c>
      <c r="R5979">
        <v>0.98567459999999996</v>
      </c>
      <c r="S5979">
        <v>0.93183899999999997</v>
      </c>
      <c r="T5979">
        <v>-0.15252289999999999</v>
      </c>
      <c r="U5979">
        <v>2.9938509999999998</v>
      </c>
      <c r="V5979">
        <v>2.9900980000000001E-3</v>
      </c>
      <c r="W5979">
        <v>0.16135070000000001</v>
      </c>
      <c r="X5979">
        <v>0.98689260000000001</v>
      </c>
      <c r="Y5979">
        <v>0.2214682</v>
      </c>
      <c r="Z5979">
        <v>-3.6273609999999998E-2</v>
      </c>
      <c r="AA5979">
        <v>0.97449269999999999</v>
      </c>
      <c r="AB5979">
        <v>29</v>
      </c>
      <c r="AC5979">
        <v>6.7471999999999897</v>
      </c>
      <c r="AD5979">
        <v>-1.10841091615299</v>
      </c>
      <c r="AE5979">
        <v>21.465</v>
      </c>
      <c r="AF5979">
        <v>5.03882246475988</v>
      </c>
      <c r="AG5979">
        <v>-1.10841091615299</v>
      </c>
      <c r="AH5979">
        <v>21.873110588957001</v>
      </c>
      <c r="AI5979">
        <v>92.827039810616995</v>
      </c>
      <c r="AJ5979">
        <v>77.027316757250304</v>
      </c>
      <c r="AK5979">
        <v>22.473345844069598</v>
      </c>
      <c r="AL5979">
        <v>80.714695597321295</v>
      </c>
      <c r="AM5979">
        <v>89.826405151372796</v>
      </c>
      <c r="AN5979">
        <v>0.99999999650564897</v>
      </c>
    </row>
    <row r="5980" spans="1:40" x14ac:dyDescent="0.25">
      <c r="A5980" t="str">
        <f>"20190304155537744"</f>
        <v>20190304155537744</v>
      </c>
      <c r="B5980" t="str">
        <f>"1551686137734070"</f>
        <v>1551686137734070</v>
      </c>
      <c r="C5980" t="s">
        <v>40</v>
      </c>
      <c r="D5980">
        <v>4.9246379999999998</v>
      </c>
      <c r="E5980">
        <v>0.58126319999999998</v>
      </c>
      <c r="F5980" t="s">
        <v>62</v>
      </c>
      <c r="G5980">
        <v>-180.8434</v>
      </c>
      <c r="H5980" s="1">
        <v>-5.6312079999999998E-6</v>
      </c>
      <c r="I5980">
        <v>130.3998</v>
      </c>
      <c r="J5980">
        <v>-187.30359999999999</v>
      </c>
      <c r="K5980">
        <v>1.1083879999999999</v>
      </c>
      <c r="L5980">
        <v>109.9884</v>
      </c>
      <c r="M5980">
        <v>8.0449350000000003E-2</v>
      </c>
      <c r="N5980">
        <v>-1.274103E-2</v>
      </c>
      <c r="O5980">
        <v>0.99667729999999999</v>
      </c>
      <c r="P5980">
        <v>8.3804020000000007E-2</v>
      </c>
      <c r="Q5980">
        <v>0.14848049999999999</v>
      </c>
      <c r="R5980">
        <v>0.98535799999999996</v>
      </c>
      <c r="S5980">
        <v>0.93724059999999998</v>
      </c>
      <c r="T5980">
        <v>-0.16016920000000001</v>
      </c>
      <c r="U5980">
        <v>2.9922330000000001</v>
      </c>
      <c r="V5980">
        <v>4.9684919999999997E-3</v>
      </c>
      <c r="W5980">
        <v>0.16104769999999999</v>
      </c>
      <c r="X5980">
        <v>0.98693410000000004</v>
      </c>
      <c r="Y5980">
        <v>0.2208463</v>
      </c>
      <c r="Z5980">
        <v>-3.8736079999999999E-2</v>
      </c>
      <c r="AA5980">
        <v>0.97453909999999999</v>
      </c>
      <c r="AB5980">
        <v>29</v>
      </c>
      <c r="AC5980">
        <v>6.46019999999998</v>
      </c>
      <c r="AD5980">
        <v>-1.1083936312079901</v>
      </c>
      <c r="AE5980">
        <v>20.4114</v>
      </c>
      <c r="AF5980">
        <v>4.7842169434352098</v>
      </c>
      <c r="AG5980">
        <v>-1.1083936312079901</v>
      </c>
      <c r="AH5980">
        <v>20.809216051387601</v>
      </c>
      <c r="AI5980">
        <v>92.971573010894303</v>
      </c>
      <c r="AJ5980">
        <v>77.052211365760598</v>
      </c>
      <c r="AK5980">
        <v>21.380849863297801</v>
      </c>
      <c r="AL5980">
        <v>80.732286142014203</v>
      </c>
      <c r="AM5980">
        <v>89.711560055255006</v>
      </c>
      <c r="AN5980">
        <v>0.999999982665426</v>
      </c>
    </row>
    <row r="5981" spans="1:40" x14ac:dyDescent="0.25">
      <c r="A5981" t="str">
        <f>"20190304155537766"</f>
        <v>20190304155537766</v>
      </c>
      <c r="B5981" t="str">
        <f>"1551686137764326"</f>
        <v>1551686137764326</v>
      </c>
      <c r="C5981" t="s">
        <v>40</v>
      </c>
      <c r="D5981">
        <v>4.9542440000000001</v>
      </c>
      <c r="E5981">
        <v>0.58119509999999996</v>
      </c>
      <c r="F5981" t="s">
        <v>62</v>
      </c>
      <c r="G5981">
        <v>-181.01509999999999</v>
      </c>
      <c r="H5981" s="1">
        <v>-5.4586489999999996E-6</v>
      </c>
      <c r="I5981">
        <v>129.89150000000001</v>
      </c>
      <c r="J5981">
        <v>-187.27869999999999</v>
      </c>
      <c r="K5981">
        <v>1.1083719999999999</v>
      </c>
      <c r="L5981">
        <v>110.2655</v>
      </c>
      <c r="M5981">
        <v>8.2711110000000004E-2</v>
      </c>
      <c r="N5981">
        <v>-1.273229E-2</v>
      </c>
      <c r="O5981">
        <v>0.99649219999999905</v>
      </c>
      <c r="P5981">
        <v>8.7457119999999999E-2</v>
      </c>
      <c r="Q5981">
        <v>0.1482842</v>
      </c>
      <c r="R5981">
        <v>0.98507009999999995</v>
      </c>
      <c r="S5981">
        <v>0.94448849999999995</v>
      </c>
      <c r="T5981">
        <v>-0.16647429999999999</v>
      </c>
      <c r="U5981">
        <v>2.9893339999999999</v>
      </c>
      <c r="V5981">
        <v>6.3928450000000003E-3</v>
      </c>
      <c r="W5981">
        <v>0.1608368</v>
      </c>
      <c r="X5981">
        <v>0.98696030000000001</v>
      </c>
      <c r="Y5981">
        <v>0.2210251</v>
      </c>
      <c r="Z5981">
        <v>-4.0779820000000001E-2</v>
      </c>
      <c r="AA5981">
        <v>0.97441520000000004</v>
      </c>
      <c r="AB5981">
        <v>29</v>
      </c>
      <c r="AC5981">
        <v>6.2635999999999896</v>
      </c>
      <c r="AD5981">
        <v>-1.1083774586489901</v>
      </c>
      <c r="AE5981">
        <v>19.626000000000001</v>
      </c>
      <c r="AF5981">
        <v>4.6053841158739797</v>
      </c>
      <c r="AG5981">
        <v>-1.1083774586489901</v>
      </c>
      <c r="AH5981">
        <v>20.018906661401999</v>
      </c>
      <c r="AI5981">
        <v>93.088520996536303</v>
      </c>
      <c r="AJ5981">
        <v>77.044420505599106</v>
      </c>
      <c r="AK5981">
        <v>20.571696268502301</v>
      </c>
      <c r="AL5981">
        <v>80.7445294891412</v>
      </c>
      <c r="AM5981">
        <v>89.628882828235305</v>
      </c>
      <c r="AN5981">
        <v>0.99999998923876199</v>
      </c>
    </row>
    <row r="5982" spans="1:40" x14ac:dyDescent="0.25">
      <c r="A5982" t="str">
        <f>"20190304155537787"</f>
        <v>20190304155537787</v>
      </c>
      <c r="B5982" t="str">
        <f>"1551686137783846"</f>
        <v>1551686137783846</v>
      </c>
      <c r="C5982" t="s">
        <v>40</v>
      </c>
      <c r="D5982">
        <v>4.970129</v>
      </c>
      <c r="E5982">
        <v>0.58034770000000002</v>
      </c>
      <c r="F5982" t="s">
        <v>62</v>
      </c>
      <c r="G5982">
        <v>-181.262</v>
      </c>
      <c r="H5982" s="1">
        <v>-5.1255189999999998E-6</v>
      </c>
      <c r="I5982">
        <v>129.06960000000001</v>
      </c>
      <c r="J5982">
        <v>-187.25380000000001</v>
      </c>
      <c r="K5982">
        <v>1.1083480000000001</v>
      </c>
      <c r="L5982">
        <v>110.5365</v>
      </c>
      <c r="M5982">
        <v>8.4944969999999995E-2</v>
      </c>
      <c r="N5982">
        <v>-1.272481E-2</v>
      </c>
      <c r="O5982">
        <v>0.99630439999999998</v>
      </c>
      <c r="P5982">
        <v>9.167401E-2</v>
      </c>
      <c r="Q5982">
        <v>0.14880299999999999</v>
      </c>
      <c r="R5982">
        <v>0.98460829999999999</v>
      </c>
      <c r="S5982">
        <v>0.95577999999999996</v>
      </c>
      <c r="T5982">
        <v>-0.17607159999999999</v>
      </c>
      <c r="U5982">
        <v>2.9871370000000002</v>
      </c>
      <c r="V5982">
        <v>8.4247939999999993E-3</v>
      </c>
      <c r="W5982">
        <v>0.16133749999999999</v>
      </c>
      <c r="X5982">
        <v>0.9868633</v>
      </c>
      <c r="Y5982">
        <v>0.22234519999999999</v>
      </c>
      <c r="Z5982">
        <v>-4.3843880000000002E-2</v>
      </c>
      <c r="AA5982">
        <v>0.97398169999999995</v>
      </c>
      <c r="AB5982">
        <v>29</v>
      </c>
      <c r="AC5982">
        <v>5.9918000000000102</v>
      </c>
      <c r="AD5982">
        <v>-1.10835312551899</v>
      </c>
      <c r="AE5982">
        <v>18.533100000000001</v>
      </c>
      <c r="AF5982">
        <v>4.3815312591978</v>
      </c>
      <c r="AG5982">
        <v>-1.10835312551899</v>
      </c>
      <c r="AH5982">
        <v>18.9138741512187</v>
      </c>
      <c r="AI5982">
        <v>93.267366751659694</v>
      </c>
      <c r="AJ5982">
        <v>76.957099273338798</v>
      </c>
      <c r="AK5982">
        <v>19.4463595110836</v>
      </c>
      <c r="AL5982">
        <v>80.715461688899396</v>
      </c>
      <c r="AM5982">
        <v>89.510881179221997</v>
      </c>
      <c r="AN5982">
        <v>0.99999996947353997</v>
      </c>
    </row>
    <row r="5983" spans="1:40" x14ac:dyDescent="0.25">
      <c r="A5983" t="str">
        <f>"20190304155537810"</f>
        <v>20190304155537810</v>
      </c>
      <c r="B5983" t="str">
        <f>"1551686137804342"</f>
        <v>1551686137804342</v>
      </c>
      <c r="C5983" t="s">
        <v>40</v>
      </c>
      <c r="D5983">
        <v>4.9879709999999999</v>
      </c>
      <c r="E5983">
        <v>0.57932510000000004</v>
      </c>
      <c r="F5983" t="s">
        <v>62</v>
      </c>
      <c r="G5983">
        <v>-181.42869999999999</v>
      </c>
      <c r="H5983" s="1">
        <v>-4.9641880000000004E-6</v>
      </c>
      <c r="I5983">
        <v>128.6037</v>
      </c>
      <c r="J5983">
        <v>-187.227</v>
      </c>
      <c r="K5983">
        <v>1.1083350000000001</v>
      </c>
      <c r="L5983">
        <v>110.82</v>
      </c>
      <c r="M5983">
        <v>8.7316270000000001E-2</v>
      </c>
      <c r="N5983">
        <v>-1.2718220000000001E-2</v>
      </c>
      <c r="O5983">
        <v>0.99609950000000003</v>
      </c>
      <c r="P5983">
        <v>9.5786239999999995E-2</v>
      </c>
      <c r="Q5983">
        <v>0.1499172</v>
      </c>
      <c r="R5983">
        <v>0.98404769999999997</v>
      </c>
      <c r="S5983">
        <v>0.96238710000000005</v>
      </c>
      <c r="T5983">
        <v>-0.18311630000000001</v>
      </c>
      <c r="U5983">
        <v>2.9849700000000001</v>
      </c>
      <c r="V5983">
        <v>1.023015E-2</v>
      </c>
      <c r="W5983">
        <v>0.16243389999999999</v>
      </c>
      <c r="X5983">
        <v>0.98666640000000005</v>
      </c>
      <c r="Y5983">
        <v>0.2221496</v>
      </c>
      <c r="Z5983">
        <v>-4.6110159999999997E-2</v>
      </c>
      <c r="AA5983">
        <v>0.9739217</v>
      </c>
      <c r="AB5983">
        <v>29</v>
      </c>
      <c r="AC5983">
        <v>5.79830000000001</v>
      </c>
      <c r="AD5983">
        <v>-1.1083399641880001</v>
      </c>
      <c r="AE5983">
        <v>17.7837</v>
      </c>
      <c r="AF5983">
        <v>4.2084430488169504</v>
      </c>
      <c r="AG5983">
        <v>-1.1083399641880001</v>
      </c>
      <c r="AH5983">
        <v>18.158340211051001</v>
      </c>
      <c r="AI5983">
        <v>93.402882593378493</v>
      </c>
      <c r="AJ5983">
        <v>76.951300261471602</v>
      </c>
      <c r="AK5983">
        <v>18.672566229407899</v>
      </c>
      <c r="AL5983">
        <v>80.651803248475403</v>
      </c>
      <c r="AM5983">
        <v>89.405955836832504</v>
      </c>
      <c r="AN5983">
        <v>1.0000000063635901</v>
      </c>
    </row>
    <row r="5984" spans="1:40" x14ac:dyDescent="0.25">
      <c r="A5984" t="str">
        <f>"20190304155537833"</f>
        <v>20190304155537833</v>
      </c>
      <c r="B5984" t="str">
        <f>"1551686137823862"</f>
        <v>1551686137823862</v>
      </c>
      <c r="C5984" t="s">
        <v>40</v>
      </c>
      <c r="D5984">
        <v>4.9512679999999998</v>
      </c>
      <c r="E5984">
        <v>0.57805759999999995</v>
      </c>
      <c r="F5984" t="s">
        <v>62</v>
      </c>
      <c r="G5984">
        <v>-181.43819999999999</v>
      </c>
      <c r="H5984" s="1">
        <v>-4.980624E-6</v>
      </c>
      <c r="I5984">
        <v>128.6721</v>
      </c>
      <c r="J5984">
        <v>-187.19730000000001</v>
      </c>
      <c r="K5984">
        <v>1.108306</v>
      </c>
      <c r="L5984">
        <v>111.1259</v>
      </c>
      <c r="M5984">
        <v>8.9924950000000003E-2</v>
      </c>
      <c r="N5984">
        <v>-1.2712569999999999E-2</v>
      </c>
      <c r="O5984">
        <v>0.99586739999999996</v>
      </c>
      <c r="P5984">
        <v>9.9746150000000006E-2</v>
      </c>
      <c r="Q5984">
        <v>0.1504086</v>
      </c>
      <c r="R5984">
        <v>0.98357919999999999</v>
      </c>
      <c r="S5984">
        <v>0.96717830000000005</v>
      </c>
      <c r="T5984">
        <v>-0.1851795</v>
      </c>
      <c r="U5984">
        <v>2.9826969999999999</v>
      </c>
      <c r="V5984">
        <v>1.164192E-2</v>
      </c>
      <c r="W5984">
        <v>0.16291140000000001</v>
      </c>
      <c r="X5984">
        <v>0.986572</v>
      </c>
      <c r="Y5984">
        <v>0.22121879999999999</v>
      </c>
      <c r="Z5984">
        <v>-4.6794769999999999E-2</v>
      </c>
      <c r="AA5984">
        <v>0.97410079999999999</v>
      </c>
      <c r="AB5984">
        <v>29</v>
      </c>
      <c r="AC5984">
        <v>5.7591000000000099</v>
      </c>
      <c r="AD5984">
        <v>-1.1083109806239999</v>
      </c>
      <c r="AE5984">
        <v>17.546199999999999</v>
      </c>
      <c r="AF5984">
        <v>4.1428728988262504</v>
      </c>
      <c r="AG5984">
        <v>-1.1083109806239999</v>
      </c>
      <c r="AH5984">
        <v>17.928454323147498</v>
      </c>
      <c r="AI5984">
        <v>93.446839072383696</v>
      </c>
      <c r="AJ5984">
        <v>76.988583024621704</v>
      </c>
      <c r="AK5984">
        <v>18.4342405187409</v>
      </c>
      <c r="AL5984">
        <v>80.624074975012306</v>
      </c>
      <c r="AM5984">
        <v>89.323919670509696</v>
      </c>
      <c r="AN5984">
        <v>0.99999998486762298</v>
      </c>
    </row>
    <row r="5985" spans="1:40" x14ac:dyDescent="0.25">
      <c r="A5985" t="str">
        <f>"20190304155537856"</f>
        <v>20190304155537856</v>
      </c>
      <c r="B5985" t="str">
        <f>"1551686137844358"</f>
        <v>1551686137844358</v>
      </c>
      <c r="C5985" t="s">
        <v>40</v>
      </c>
      <c r="D5985">
        <v>4.9305760000000003</v>
      </c>
      <c r="E5985">
        <v>0.57728649999999904</v>
      </c>
      <c r="F5985" t="s">
        <v>62</v>
      </c>
      <c r="G5985">
        <v>-181.4717</v>
      </c>
      <c r="H5985" s="1">
        <v>-4.9876329999999998E-6</v>
      </c>
      <c r="I5985">
        <v>128.71709999999999</v>
      </c>
      <c r="J5985">
        <v>-187.16909999999999</v>
      </c>
      <c r="K5985">
        <v>1.1082730000000001</v>
      </c>
      <c r="L5985">
        <v>111.4087</v>
      </c>
      <c r="M5985">
        <v>9.23953E-2</v>
      </c>
      <c r="N5985">
        <v>-1.2708540000000001E-2</v>
      </c>
      <c r="O5985">
        <v>0.99564129999999995</v>
      </c>
      <c r="P5985">
        <v>0.1032704</v>
      </c>
      <c r="Q5985">
        <v>0.15064069999999999</v>
      </c>
      <c r="R5985">
        <v>0.9831799</v>
      </c>
      <c r="S5985">
        <v>0.97006230000000004</v>
      </c>
      <c r="T5985">
        <v>-0.18777679999999999</v>
      </c>
      <c r="U5985">
        <v>2.9804080000000002</v>
      </c>
      <c r="V5985">
        <v>1.275245E-2</v>
      </c>
      <c r="W5985">
        <v>0.16313259999999999</v>
      </c>
      <c r="X5985">
        <v>0.98652169999999895</v>
      </c>
      <c r="Y5985">
        <v>0.2198582</v>
      </c>
      <c r="Z5985">
        <v>-4.7657560000000002E-2</v>
      </c>
      <c r="AA5985">
        <v>0.97436699999999998</v>
      </c>
      <c r="AB5985">
        <v>29</v>
      </c>
      <c r="AC5985">
        <v>5.6973999999999796</v>
      </c>
      <c r="AD5985">
        <v>-1.108277987633</v>
      </c>
      <c r="AE5985">
        <v>17.308399999999899</v>
      </c>
      <c r="AF5985">
        <v>4.0586671709039104</v>
      </c>
      <c r="AG5985">
        <v>-1.108277987633</v>
      </c>
      <c r="AH5985">
        <v>17.695346899411899</v>
      </c>
      <c r="AI5985">
        <v>93.493336255547405</v>
      </c>
      <c r="AJ5985">
        <v>77.0818753391397</v>
      </c>
      <c r="AK5985">
        <v>18.188632746651699</v>
      </c>
      <c r="AL5985">
        <v>80.611229138762596</v>
      </c>
      <c r="AM5985">
        <v>89.259397061499598</v>
      </c>
      <c r="AN5985">
        <v>0.99999996736732499</v>
      </c>
    </row>
    <row r="5986" spans="1:40" x14ac:dyDescent="0.25">
      <c r="A5986" t="str">
        <f>"20190304155537877"</f>
        <v>20190304155537877</v>
      </c>
      <c r="B5986" t="str">
        <f>"1551686137873638"</f>
        <v>1551686137873638</v>
      </c>
      <c r="C5986" t="s">
        <v>40</v>
      </c>
      <c r="D5986">
        <v>4.9059619999999997</v>
      </c>
      <c r="E5986">
        <v>0.57647599999999999</v>
      </c>
      <c r="F5986" t="s">
        <v>62</v>
      </c>
      <c r="G5986">
        <v>-181.4709</v>
      </c>
      <c r="H5986" s="1">
        <v>-5.0111250000000002E-6</v>
      </c>
      <c r="I5986">
        <v>128.80709999999999</v>
      </c>
      <c r="J5986">
        <v>-187.14060000000001</v>
      </c>
      <c r="K5986">
        <v>1.108223</v>
      </c>
      <c r="L5986">
        <v>111.6862</v>
      </c>
      <c r="M5986">
        <v>9.488626E-2</v>
      </c>
      <c r="N5986">
        <v>-1.270548E-2</v>
      </c>
      <c r="O5986">
        <v>0.99540700000000004</v>
      </c>
      <c r="P5986">
        <v>0.10687720000000001</v>
      </c>
      <c r="Q5986">
        <v>0.1515196</v>
      </c>
      <c r="R5986">
        <v>0.98265919999999896</v>
      </c>
      <c r="S5986">
        <v>0.97531129999999999</v>
      </c>
      <c r="T5986">
        <v>-0.18969610000000001</v>
      </c>
      <c r="U5986">
        <v>2.977951</v>
      </c>
      <c r="V5986">
        <v>1.394279E-2</v>
      </c>
      <c r="W5986">
        <v>0.1639996</v>
      </c>
      <c r="X5986">
        <v>0.98636190000000001</v>
      </c>
      <c r="Y5986">
        <v>0.2191958</v>
      </c>
      <c r="Z5986">
        <v>-4.8294080000000003E-2</v>
      </c>
      <c r="AA5986">
        <v>0.97448489999999999</v>
      </c>
      <c r="AB5986">
        <v>29</v>
      </c>
      <c r="AC5986">
        <v>5.6696999999999997</v>
      </c>
      <c r="AD5986">
        <v>-1.108228011125</v>
      </c>
      <c r="AE5986">
        <v>17.120899999999899</v>
      </c>
      <c r="AF5986">
        <v>4.0043258033841704</v>
      </c>
      <c r="AG5986">
        <v>-1.108228011125</v>
      </c>
      <c r="AH5986">
        <v>17.515524357075499</v>
      </c>
      <c r="AI5986">
        <v>93.529524268259195</v>
      </c>
      <c r="AJ5986">
        <v>77.122581804461703</v>
      </c>
      <c r="AK5986">
        <v>18.001566264289199</v>
      </c>
      <c r="AL5986">
        <v>80.560876185937701</v>
      </c>
      <c r="AM5986">
        <v>89.1901453007237</v>
      </c>
      <c r="AN5986">
        <v>1.00000003398237</v>
      </c>
    </row>
    <row r="5987" spans="1:40" x14ac:dyDescent="0.25">
      <c r="A5987" t="str">
        <f>"20190304155537899"</f>
        <v>20190304155537899</v>
      </c>
      <c r="B5987" t="str">
        <f>"1551686137894134"</f>
        <v>1551686137894134</v>
      </c>
      <c r="C5987" t="s">
        <v>40</v>
      </c>
      <c r="D5987">
        <v>4.917052</v>
      </c>
      <c r="E5987">
        <v>0.57627019999999995</v>
      </c>
      <c r="F5987" t="s">
        <v>62</v>
      </c>
      <c r="G5987">
        <v>-181.42580000000001</v>
      </c>
      <c r="H5987" s="1">
        <v>-5.0978630000000004E-6</v>
      </c>
      <c r="I5987">
        <v>129.0266</v>
      </c>
      <c r="J5987">
        <v>-187.11060000000001</v>
      </c>
      <c r="K5987">
        <v>1.108166</v>
      </c>
      <c r="L5987">
        <v>111.9716</v>
      </c>
      <c r="M5987">
        <v>9.7531450000000006E-2</v>
      </c>
      <c r="N5987">
        <v>-1.270335E-2</v>
      </c>
      <c r="O5987">
        <v>0.99515129999999996</v>
      </c>
      <c r="P5987">
        <v>0.111017</v>
      </c>
      <c r="Q5987">
        <v>0.152424799999999</v>
      </c>
      <c r="R5987">
        <v>0.98206000000000004</v>
      </c>
      <c r="S5987">
        <v>0.98065190000000002</v>
      </c>
      <c r="T5987">
        <v>-0.1901706</v>
      </c>
      <c r="U5987">
        <v>2.9756010000000002</v>
      </c>
      <c r="V5987">
        <v>1.552306E-2</v>
      </c>
      <c r="W5987">
        <v>0.16489039999999999</v>
      </c>
      <c r="X5987">
        <v>0.98618969999999995</v>
      </c>
      <c r="Y5987">
        <v>0.2184065</v>
      </c>
      <c r="Z5987">
        <v>-4.8465130000000002E-2</v>
      </c>
      <c r="AA5987">
        <v>0.97465369999999996</v>
      </c>
      <c r="AB5987">
        <v>29</v>
      </c>
      <c r="AC5987">
        <v>5.6847999999999903</v>
      </c>
      <c r="AD5987">
        <v>-1.1081710978629999</v>
      </c>
      <c r="AE5987">
        <v>17.055</v>
      </c>
      <c r="AF5987">
        <v>3.9790404003814901</v>
      </c>
      <c r="AG5987">
        <v>-1.1081710978629999</v>
      </c>
      <c r="AH5987">
        <v>17.461817069691001</v>
      </c>
      <c r="AI5987">
        <v>93.540741770880103</v>
      </c>
      <c r="AJ5987">
        <v>77.163147378014301</v>
      </c>
      <c r="AK5987">
        <v>17.943685827202799</v>
      </c>
      <c r="AL5987">
        <v>80.509132039930194</v>
      </c>
      <c r="AM5987">
        <v>89.098213679831204</v>
      </c>
      <c r="AN5987">
        <v>0.99999996689500603</v>
      </c>
    </row>
    <row r="5988" spans="1:40" x14ac:dyDescent="0.25">
      <c r="A5988" t="str">
        <f>"20190304155537923"</f>
        <v>20190304155537923</v>
      </c>
      <c r="B5988" t="str">
        <f>"1551686137913654"</f>
        <v>1551686137913654</v>
      </c>
      <c r="C5988" t="s">
        <v>40</v>
      </c>
      <c r="D5988">
        <v>4.5252829999999999</v>
      </c>
      <c r="E5988">
        <v>0.57611780000000001</v>
      </c>
      <c r="F5988" t="s">
        <v>62</v>
      </c>
      <c r="G5988">
        <v>-181.29859999999999</v>
      </c>
      <c r="H5988" s="1">
        <v>-5.2613349999999998E-6</v>
      </c>
      <c r="I5988">
        <v>129.3964</v>
      </c>
      <c r="J5988">
        <v>-187.07839999999999</v>
      </c>
      <c r="K5988">
        <v>1.1080920000000001</v>
      </c>
      <c r="L5988">
        <v>112.2684</v>
      </c>
      <c r="M5988">
        <v>0.1003875</v>
      </c>
      <c r="N5988">
        <v>-1.270232E-2</v>
      </c>
      <c r="O5988">
        <v>0.99486730000000001</v>
      </c>
      <c r="P5988">
        <v>0.1157846</v>
      </c>
      <c r="Q5988">
        <v>0.15263470000000001</v>
      </c>
      <c r="R5988">
        <v>0.98147669999999998</v>
      </c>
      <c r="S5988">
        <v>0.99131769999999997</v>
      </c>
      <c r="T5988">
        <v>-0.18901599999999999</v>
      </c>
      <c r="U5988">
        <v>2.9720759999999999</v>
      </c>
      <c r="V5988">
        <v>1.7518579999999999E-2</v>
      </c>
      <c r="W5988">
        <v>0.1650856</v>
      </c>
      <c r="X5988">
        <v>0.98612370000000005</v>
      </c>
      <c r="Y5988">
        <v>0.21910579999999999</v>
      </c>
      <c r="Z5988">
        <v>-4.8109150000000003E-2</v>
      </c>
      <c r="AA5988">
        <v>0.97451430000000006</v>
      </c>
      <c r="AB5988">
        <v>29</v>
      </c>
      <c r="AC5988">
        <v>5.7797999999999901</v>
      </c>
      <c r="AD5988">
        <v>-1.108097261335</v>
      </c>
      <c r="AE5988">
        <v>17.128</v>
      </c>
      <c r="AF5988">
        <v>4.0159320822870503</v>
      </c>
      <c r="AG5988">
        <v>-1.108097261335</v>
      </c>
      <c r="AH5988">
        <v>17.555761874492902</v>
      </c>
      <c r="AI5988">
        <v>93.5209359556587</v>
      </c>
      <c r="AJ5988">
        <v>77.115115540099296</v>
      </c>
      <c r="AK5988">
        <v>18.043291413265401</v>
      </c>
      <c r="AL5988">
        <v>80.497793335307406</v>
      </c>
      <c r="AM5988">
        <v>88.982242162910794</v>
      </c>
      <c r="AN5988">
        <v>1.0000000538371301</v>
      </c>
    </row>
    <row r="5989" spans="1:40" x14ac:dyDescent="0.25">
      <c r="A5989" t="str">
        <f>"20190304155537946"</f>
        <v>20190304155537946</v>
      </c>
      <c r="B5989" t="str">
        <f>"1551686137943910"</f>
        <v>1551686137943910</v>
      </c>
      <c r="C5989" t="s">
        <v>40</v>
      </c>
      <c r="D5989">
        <v>4.9888899999999996</v>
      </c>
      <c r="E5989">
        <v>0.61102800000000002</v>
      </c>
      <c r="F5989" t="s">
        <v>62</v>
      </c>
      <c r="G5989">
        <v>-181.19239999999999</v>
      </c>
      <c r="H5989" s="1">
        <v>-5.3724639999999997E-6</v>
      </c>
      <c r="I5989">
        <v>129.65430000000001</v>
      </c>
      <c r="J5989">
        <v>-187.0444</v>
      </c>
      <c r="K5989">
        <v>1.1080190000000001</v>
      </c>
      <c r="L5989">
        <v>112.5716</v>
      </c>
      <c r="M5989">
        <v>0.1034254</v>
      </c>
      <c r="N5989">
        <v>-1.270222E-2</v>
      </c>
      <c r="O5989">
        <v>0.99455610000000005</v>
      </c>
      <c r="P5989">
        <v>0.12051630000000001</v>
      </c>
      <c r="Q5989">
        <v>0.15303599999999901</v>
      </c>
      <c r="R5989">
        <v>0.98084439999999995</v>
      </c>
      <c r="S5989">
        <v>1.0046539999999999</v>
      </c>
      <c r="T5989">
        <v>-0.18913669999999999</v>
      </c>
      <c r="U5989">
        <v>2.967514</v>
      </c>
      <c r="V5989">
        <v>1.9306380000000001E-2</v>
      </c>
      <c r="W5989">
        <v>0.1654726</v>
      </c>
      <c r="X5989">
        <v>0.98602540000000005</v>
      </c>
      <c r="Y5989">
        <v>0.2205086</v>
      </c>
      <c r="Z5989">
        <v>-4.8164619999999998E-2</v>
      </c>
      <c r="AA5989">
        <v>0.97419509999999998</v>
      </c>
      <c r="AB5989">
        <v>29</v>
      </c>
      <c r="AC5989">
        <v>5.8520000000000003</v>
      </c>
      <c r="AD5989">
        <v>-1.108024372464</v>
      </c>
      <c r="AE5989">
        <v>17.082699999999999</v>
      </c>
      <c r="AF5989">
        <v>4.0384783382136398</v>
      </c>
      <c r="AG5989">
        <v>-1.108024372464</v>
      </c>
      <c r="AH5989">
        <v>17.5303621959387</v>
      </c>
      <c r="AI5989">
        <v>93.524552874056099</v>
      </c>
      <c r="AJ5989">
        <v>77.027075472887304</v>
      </c>
      <c r="AK5989">
        <v>18.023612956868298</v>
      </c>
      <c r="AL5989">
        <v>80.475310178376802</v>
      </c>
      <c r="AM5989">
        <v>88.878291812972193</v>
      </c>
      <c r="AN5989">
        <v>1.00000000355231</v>
      </c>
    </row>
    <row r="5990" spans="1:40" x14ac:dyDescent="0.25">
      <c r="A5990" t="str">
        <f>"20190304155537966"</f>
        <v>20190304155537966</v>
      </c>
      <c r="B5990" t="str">
        <f>"1551686137964406"</f>
        <v>1551686137964406</v>
      </c>
      <c r="C5990" t="s">
        <v>40</v>
      </c>
      <c r="D5990">
        <v>4.941827</v>
      </c>
      <c r="E5990">
        <v>0.61797849999999999</v>
      </c>
      <c r="F5990" t="s">
        <v>62</v>
      </c>
      <c r="G5990">
        <v>-172.0146</v>
      </c>
      <c r="H5990" s="1">
        <v>-6.7630350000000002E-6</v>
      </c>
      <c r="I5990">
        <v>146.5761</v>
      </c>
      <c r="J5990">
        <v>-187.0155</v>
      </c>
      <c r="K5990">
        <v>1.107953</v>
      </c>
      <c r="L5990">
        <v>112.82250000000001</v>
      </c>
      <c r="M5990">
        <v>0.10601140000000001</v>
      </c>
      <c r="N5990">
        <v>-1.27025E-2</v>
      </c>
      <c r="O5990">
        <v>0.99428380000000005</v>
      </c>
      <c r="P5990">
        <v>0.12532019999999999</v>
      </c>
      <c r="Q5990">
        <v>0.1536825</v>
      </c>
      <c r="R5990">
        <v>0.98014109999999999</v>
      </c>
      <c r="S5990">
        <v>1.2884519999999999</v>
      </c>
      <c r="T5990">
        <v>-9.498703E-2</v>
      </c>
      <c r="U5990">
        <v>2.9150849999999999</v>
      </c>
      <c r="V5990">
        <v>2.16166E-2</v>
      </c>
      <c r="W5990">
        <v>0.16610220000000001</v>
      </c>
      <c r="X5990">
        <v>0.98587159999999996</v>
      </c>
      <c r="Y5990">
        <v>0.30487629999999999</v>
      </c>
      <c r="Z5990">
        <v>-1.7698289999999998E-2</v>
      </c>
      <c r="AA5990">
        <v>0.9522275</v>
      </c>
      <c r="AB5990">
        <v>29</v>
      </c>
      <c r="AC5990">
        <v>15.0009</v>
      </c>
      <c r="AD5990">
        <v>-1.107959763035</v>
      </c>
      <c r="AE5990">
        <v>33.753599999999899</v>
      </c>
      <c r="AF5990">
        <v>11.3276077874929</v>
      </c>
      <c r="AG5990">
        <v>-1.107959763035</v>
      </c>
      <c r="AH5990">
        <v>35.122157899469698</v>
      </c>
      <c r="AI5990">
        <v>91.7196760988395</v>
      </c>
      <c r="AJ5990">
        <v>72.124436755829393</v>
      </c>
      <c r="AK5990">
        <v>36.920295889104899</v>
      </c>
      <c r="AL5990">
        <v>80.438730658612698</v>
      </c>
      <c r="AM5990">
        <v>88.743911963909298</v>
      </c>
      <c r="AN5990">
        <v>1.00000001496347</v>
      </c>
    </row>
    <row r="5991" spans="1:40" x14ac:dyDescent="0.25">
      <c r="A5991" t="str">
        <f>"20190304155537988"</f>
        <v>20190304155537988</v>
      </c>
      <c r="B5991" t="str">
        <f>"1551686137983927"</f>
        <v>1551686137983927</v>
      </c>
      <c r="C5991" t="s">
        <v>40</v>
      </c>
      <c r="D5991">
        <v>4.9842440000000003</v>
      </c>
      <c r="E5991">
        <v>0.62051679999999998</v>
      </c>
      <c r="F5991" t="s">
        <v>62</v>
      </c>
      <c r="G5991">
        <v>-177.63679999999999</v>
      </c>
      <c r="H5991" s="1">
        <v>-5.0736099999999999E-6</v>
      </c>
      <c r="I5991">
        <v>132.84389999999999</v>
      </c>
      <c r="J5991">
        <v>-186.98179999999999</v>
      </c>
      <c r="K5991">
        <v>1.1078870000000001</v>
      </c>
      <c r="L5991">
        <v>113.1079</v>
      </c>
      <c r="M5991">
        <v>0.10904510000000001</v>
      </c>
      <c r="N5991">
        <v>-1.270305E-2</v>
      </c>
      <c r="O5991">
        <v>0.99395560000000005</v>
      </c>
      <c r="P5991">
        <v>0.1307468</v>
      </c>
      <c r="Q5991">
        <v>0.153938299999999</v>
      </c>
      <c r="R5991">
        <v>0.97939180000000003</v>
      </c>
      <c r="S5991">
        <v>1.3639220000000001</v>
      </c>
      <c r="T5991">
        <v>-0.16112760000000001</v>
      </c>
      <c r="U5991">
        <v>2.911667</v>
      </c>
      <c r="V5991">
        <v>2.4106269999999999E-2</v>
      </c>
      <c r="W5991">
        <v>0.16633970000000001</v>
      </c>
      <c r="X5991">
        <v>0.98577380000000003</v>
      </c>
      <c r="Y5991">
        <v>0.32248070000000001</v>
      </c>
      <c r="Z5991">
        <v>-3.8271100000000002E-2</v>
      </c>
      <c r="AA5991">
        <v>0.94580200000000003</v>
      </c>
      <c r="AB5991">
        <v>29</v>
      </c>
      <c r="AC5991">
        <v>9.3450000000000006</v>
      </c>
      <c r="AD5991">
        <v>-1.10789207361</v>
      </c>
      <c r="AE5991">
        <v>19.735999999999901</v>
      </c>
      <c r="AF5991">
        <v>7.1186530381152604</v>
      </c>
      <c r="AG5991">
        <v>-1.10789207361</v>
      </c>
      <c r="AH5991">
        <v>20.584413916875601</v>
      </c>
      <c r="AI5991">
        <v>92.9119014140595</v>
      </c>
      <c r="AJ5991">
        <v>70.9232155702787</v>
      </c>
      <c r="AK5991">
        <v>21.8087308714904</v>
      </c>
      <c r="AL5991">
        <v>80.424930757439896</v>
      </c>
      <c r="AM5991">
        <v>88.599159046323095</v>
      </c>
      <c r="AN5991">
        <v>0.99999999640792103</v>
      </c>
    </row>
    <row r="5992" spans="1:40" x14ac:dyDescent="0.25">
      <c r="A5992" t="str">
        <f>"20190304155538012"</f>
        <v>20190304155538012</v>
      </c>
      <c r="B5992" t="str">
        <f>"1551686138003446"</f>
        <v>1551686138003446</v>
      </c>
      <c r="C5992" t="s">
        <v>40</v>
      </c>
      <c r="D5992">
        <v>4.9995329999999996</v>
      </c>
      <c r="E5992">
        <v>0.62100469999999997</v>
      </c>
      <c r="F5992" t="s">
        <v>62</v>
      </c>
      <c r="G5992">
        <v>-178.0728</v>
      </c>
      <c r="H5992" s="1">
        <v>-4.884247E-6</v>
      </c>
      <c r="I5992">
        <v>131.56129999999999</v>
      </c>
      <c r="J5992">
        <v>-186.94550000000001</v>
      </c>
      <c r="K5992">
        <v>1.107812</v>
      </c>
      <c r="L5992">
        <v>113.4057</v>
      </c>
      <c r="M5992">
        <v>0.11231679999999999</v>
      </c>
      <c r="N5992">
        <v>-1.270405E-2</v>
      </c>
      <c r="O5992">
        <v>0.99359120000000001</v>
      </c>
      <c r="P5992">
        <v>0.1363771</v>
      </c>
      <c r="Q5992">
        <v>0.15300059999999999</v>
      </c>
      <c r="R5992">
        <v>0.97877069999999999</v>
      </c>
      <c r="S5992">
        <v>1.401718</v>
      </c>
      <c r="T5992">
        <v>-0.1743122</v>
      </c>
      <c r="U5992">
        <v>2.903397</v>
      </c>
      <c r="V5992">
        <v>2.6542039999999999E-2</v>
      </c>
      <c r="W5992">
        <v>0.16538610000000001</v>
      </c>
      <c r="X5992">
        <v>0.98587170000000002</v>
      </c>
      <c r="Y5992">
        <v>0.33034200000000002</v>
      </c>
      <c r="Z5992">
        <v>-4.2310720000000003E-2</v>
      </c>
      <c r="AA5992">
        <v>0.94291250000000004</v>
      </c>
      <c r="AB5992">
        <v>29</v>
      </c>
      <c r="AC5992">
        <v>8.8727</v>
      </c>
      <c r="AD5992">
        <v>-1.107816884247</v>
      </c>
      <c r="AE5992">
        <v>18.1556</v>
      </c>
      <c r="AF5992">
        <v>6.7568977026446904</v>
      </c>
      <c r="AG5992">
        <v>-1.107816884247</v>
      </c>
      <c r="AH5992">
        <v>18.980291215651501</v>
      </c>
      <c r="AI5992">
        <v>93.147314580411802</v>
      </c>
      <c r="AJ5992">
        <v>70.404500829519407</v>
      </c>
      <c r="AK5992">
        <v>20.177571197841502</v>
      </c>
      <c r="AL5992">
        <v>80.480335714037295</v>
      </c>
      <c r="AM5992">
        <v>88.457832179588195</v>
      </c>
      <c r="AN5992">
        <v>1.00000002541073</v>
      </c>
    </row>
    <row r="5993" spans="1:40" x14ac:dyDescent="0.25">
      <c r="A5993" t="str">
        <f>"20190304155538034"</f>
        <v>20190304155538034</v>
      </c>
      <c r="B5993" t="str">
        <f>"1551686138023942"</f>
        <v>1551686138023942</v>
      </c>
      <c r="C5993" t="s">
        <v>40</v>
      </c>
      <c r="D5993">
        <v>4.9470409999999996</v>
      </c>
      <c r="E5993">
        <v>0.62287950000000003</v>
      </c>
      <c r="F5993" t="s">
        <v>62</v>
      </c>
      <c r="G5993">
        <v>-178.4178</v>
      </c>
      <c r="H5993" s="1">
        <v>-4.8159199999999996E-6</v>
      </c>
      <c r="I5993">
        <v>130.761</v>
      </c>
      <c r="J5993">
        <v>-186.90989999999999</v>
      </c>
      <c r="K5993">
        <v>1.107734</v>
      </c>
      <c r="L5993">
        <v>113.68989999999999</v>
      </c>
      <c r="M5993">
        <v>0.1155399</v>
      </c>
      <c r="N5993">
        <v>-1.270577E-2</v>
      </c>
      <c r="O5993">
        <v>0.99322160000000004</v>
      </c>
      <c r="P5993">
        <v>0.1416277</v>
      </c>
      <c r="Q5993">
        <v>0.15271870000000001</v>
      </c>
      <c r="R5993">
        <v>0.97806879999999996</v>
      </c>
      <c r="S5993">
        <v>1.422836</v>
      </c>
      <c r="T5993">
        <v>-0.18483769999999999</v>
      </c>
      <c r="U5993">
        <v>2.8957060000000001</v>
      </c>
      <c r="V5993">
        <v>2.866076E-2</v>
      </c>
      <c r="W5993">
        <v>0.16508789999999901</v>
      </c>
      <c r="X5993">
        <v>0.98586229999999997</v>
      </c>
      <c r="Y5993">
        <v>0.33374169999999997</v>
      </c>
      <c r="Z5993">
        <v>-4.5597409999999998E-2</v>
      </c>
      <c r="AA5993">
        <v>0.94156119999999999</v>
      </c>
      <c r="AB5993">
        <v>29</v>
      </c>
      <c r="AC5993">
        <v>8.49209999999999</v>
      </c>
      <c r="AD5993">
        <v>-1.1077388159199999</v>
      </c>
      <c r="AE5993">
        <v>17.071100000000001</v>
      </c>
      <c r="AF5993">
        <v>6.4409248025467498</v>
      </c>
      <c r="AG5993">
        <v>-1.1077388159199999</v>
      </c>
      <c r="AH5993">
        <v>17.877664969083899</v>
      </c>
      <c r="AI5993">
        <v>93.336239322455398</v>
      </c>
      <c r="AJ5993">
        <v>70.187037111682898</v>
      </c>
      <c r="AK5993">
        <v>19.034797144786399</v>
      </c>
      <c r="AL5993">
        <v>80.497658862304604</v>
      </c>
      <c r="AM5993">
        <v>88.334779418952095</v>
      </c>
      <c r="AN5993">
        <v>0.999999964225738</v>
      </c>
    </row>
    <row r="5994" spans="1:40" x14ac:dyDescent="0.25">
      <c r="A5994" t="str">
        <f>"20190304155538056"</f>
        <v>20190304155538056</v>
      </c>
      <c r="B5994" t="str">
        <f>"1551686138054197"</f>
        <v>1551686138054197</v>
      </c>
      <c r="C5994" t="s">
        <v>40</v>
      </c>
      <c r="D5994">
        <v>4.9485650000000003</v>
      </c>
      <c r="E5994">
        <v>0.62528530000000004</v>
      </c>
      <c r="F5994" t="s">
        <v>62</v>
      </c>
      <c r="G5994">
        <v>-178.47649999999999</v>
      </c>
      <c r="H5994" s="1">
        <v>-4.7356559999999999E-6</v>
      </c>
      <c r="I5994">
        <v>130.44390000000001</v>
      </c>
      <c r="J5994">
        <v>-186.8742</v>
      </c>
      <c r="K5994">
        <v>1.1076520000000001</v>
      </c>
      <c r="L5994">
        <v>113.96729999999999</v>
      </c>
      <c r="M5994">
        <v>0.118782399999999</v>
      </c>
      <c r="N5994">
        <v>-1.270807E-2</v>
      </c>
      <c r="O5994">
        <v>0.99283900000000003</v>
      </c>
      <c r="P5994">
        <v>0.14711749999999901</v>
      </c>
      <c r="Q5994">
        <v>0.15207379999999901</v>
      </c>
      <c r="R5994">
        <v>0.97735870000000002</v>
      </c>
      <c r="S5994">
        <v>1.453049</v>
      </c>
      <c r="T5994">
        <v>-0.190861</v>
      </c>
      <c r="U5994">
        <v>2.886673</v>
      </c>
      <c r="V5994">
        <v>3.0996429999999998E-2</v>
      </c>
      <c r="W5994">
        <v>0.16442660000000001</v>
      </c>
      <c r="X5994">
        <v>0.98590219999999995</v>
      </c>
      <c r="Y5994">
        <v>0.33967389999999997</v>
      </c>
      <c r="Z5994">
        <v>-4.7429300000000001E-2</v>
      </c>
      <c r="AA5994">
        <v>0.93934660000000003</v>
      </c>
      <c r="AB5994">
        <v>29</v>
      </c>
      <c r="AC5994">
        <v>8.3977000000000093</v>
      </c>
      <c r="AD5994">
        <v>-1.1076567356559901</v>
      </c>
      <c r="AE5994">
        <v>16.476600000000001</v>
      </c>
      <c r="AF5994">
        <v>6.3581396936042101</v>
      </c>
      <c r="AG5994">
        <v>-1.1076567356559901</v>
      </c>
      <c r="AH5994">
        <v>17.295464927208702</v>
      </c>
      <c r="AI5994">
        <v>93.439916661654806</v>
      </c>
      <c r="AJ5994">
        <v>69.815618565174603</v>
      </c>
      <c r="AK5994">
        <v>18.460388697309099</v>
      </c>
      <c r="AL5994">
        <v>80.536074034015499</v>
      </c>
      <c r="AM5994">
        <v>88.199233338047094</v>
      </c>
      <c r="AN5994">
        <v>1.00000001671257</v>
      </c>
    </row>
    <row r="5995" spans="1:40" x14ac:dyDescent="0.25">
      <c r="A5995" t="str">
        <f>"20190304155538078"</f>
        <v>20190304155538078</v>
      </c>
      <c r="B5995" t="str">
        <f>"1551686138073718"</f>
        <v>1551686138073718</v>
      </c>
      <c r="C5995" t="s">
        <v>40</v>
      </c>
      <c r="D5995">
        <v>4.8809009999999997</v>
      </c>
      <c r="E5995">
        <v>0.62653749999999997</v>
      </c>
      <c r="F5995" t="s">
        <v>62</v>
      </c>
      <c r="G5995">
        <v>-178.10339999999999</v>
      </c>
      <c r="H5995" s="1">
        <v>-4.6609609999999999E-6</v>
      </c>
      <c r="I5995">
        <v>130.9178</v>
      </c>
      <c r="J5995">
        <v>-186.83690000000001</v>
      </c>
      <c r="K5995">
        <v>1.1075699999999999</v>
      </c>
      <c r="L5995">
        <v>114.2486</v>
      </c>
      <c r="M5995">
        <v>0.1221704</v>
      </c>
      <c r="N5995">
        <v>-1.2710890000000001E-2</v>
      </c>
      <c r="O5995">
        <v>0.99242779999999997</v>
      </c>
      <c r="P5995">
        <v>0.1520164</v>
      </c>
      <c r="Q5995">
        <v>0.15165609999999999</v>
      </c>
      <c r="R5995">
        <v>0.97667369999999998</v>
      </c>
      <c r="S5995">
        <v>1.4875179999999999</v>
      </c>
      <c r="T5995">
        <v>-0.1878589</v>
      </c>
      <c r="U5995">
        <v>2.8748170000000002</v>
      </c>
      <c r="V5995">
        <v>3.2599429999999999E-2</v>
      </c>
      <c r="W5995">
        <v>0.1639958</v>
      </c>
      <c r="X5995">
        <v>0.98592219999999997</v>
      </c>
      <c r="Y5995">
        <v>0.3469564</v>
      </c>
      <c r="Z5995">
        <v>-4.6454339999999997E-2</v>
      </c>
      <c r="AA5995">
        <v>0.93673010000000001</v>
      </c>
      <c r="AB5995">
        <v>29</v>
      </c>
      <c r="AC5995">
        <v>8.73350000000001</v>
      </c>
      <c r="AD5995">
        <v>-1.107574660961</v>
      </c>
      <c r="AE5995">
        <v>16.6692</v>
      </c>
      <c r="AF5995">
        <v>6.6085288940334896</v>
      </c>
      <c r="AG5995">
        <v>-1.107574660961</v>
      </c>
      <c r="AH5995">
        <v>17.550579559891599</v>
      </c>
      <c r="AI5995">
        <v>93.379932744745801</v>
      </c>
      <c r="AJ5995">
        <v>69.366540562405305</v>
      </c>
      <c r="AK5995">
        <v>18.786224172541001</v>
      </c>
      <c r="AL5995">
        <v>80.561096239707496</v>
      </c>
      <c r="AM5995">
        <v>88.106210089587606</v>
      </c>
      <c r="AN5995">
        <v>0.99999996485340104</v>
      </c>
    </row>
    <row r="5996" spans="1:40" x14ac:dyDescent="0.25">
      <c r="A5996" t="str">
        <f>"20190304155538100"</f>
        <v>20190304155538100</v>
      </c>
      <c r="B5996" t="str">
        <f>"1551686138094214"</f>
        <v>1551686138094214</v>
      </c>
      <c r="C5996" t="s">
        <v>40</v>
      </c>
      <c r="D5996">
        <v>4.9107500000000002</v>
      </c>
      <c r="E5996">
        <v>0.62715509999999997</v>
      </c>
      <c r="F5996" t="s">
        <v>62</v>
      </c>
      <c r="G5996">
        <v>-177.88339999999999</v>
      </c>
      <c r="H5996" s="1">
        <v>-4.6302899999999997E-6</v>
      </c>
      <c r="I5996">
        <v>131.23249999999999</v>
      </c>
      <c r="J5996">
        <v>-186.79929999999999</v>
      </c>
      <c r="K5996">
        <v>1.107486</v>
      </c>
      <c r="L5996">
        <v>114.52419999999999</v>
      </c>
      <c r="M5996">
        <v>0.12558859999999999</v>
      </c>
      <c r="N5996">
        <v>-1.271396E-2</v>
      </c>
      <c r="O5996">
        <v>0.99200089999999996</v>
      </c>
      <c r="P5996">
        <v>0.15703159999999999</v>
      </c>
      <c r="Q5996">
        <v>0.1513525</v>
      </c>
      <c r="R5996">
        <v>0.97592699999999999</v>
      </c>
      <c r="S5996">
        <v>1.510635</v>
      </c>
      <c r="T5996">
        <v>-0.18687090000000001</v>
      </c>
      <c r="U5996">
        <v>2.8655400000000002</v>
      </c>
      <c r="V5996">
        <v>3.429484E-2</v>
      </c>
      <c r="W5996">
        <v>0.16367779999999901</v>
      </c>
      <c r="X5996">
        <v>0.98591759999999995</v>
      </c>
      <c r="Y5996">
        <v>0.35089900000000002</v>
      </c>
      <c r="Z5996">
        <v>-4.6141559999999998E-2</v>
      </c>
      <c r="AA5996">
        <v>0.93527579999999999</v>
      </c>
      <c r="AB5996">
        <v>29</v>
      </c>
      <c r="AC5996">
        <v>8.9158999999999899</v>
      </c>
      <c r="AD5996">
        <v>-1.1074906302900001</v>
      </c>
      <c r="AE5996">
        <v>16.708299999999898</v>
      </c>
      <c r="AF5996">
        <v>6.7237606827965797</v>
      </c>
      <c r="AG5996">
        <v>-1.1074906302900001</v>
      </c>
      <c r="AH5996">
        <v>17.635505642092198</v>
      </c>
      <c r="AI5996">
        <v>93.358194310236101</v>
      </c>
      <c r="AJ5996">
        <v>69.130016368035896</v>
      </c>
      <c r="AK5996">
        <v>18.9062569660937</v>
      </c>
      <c r="AL5996">
        <v>80.579566547549305</v>
      </c>
      <c r="AM5996">
        <v>88.007787209830198</v>
      </c>
      <c r="AN5996">
        <v>1.0000000361266099</v>
      </c>
    </row>
    <row r="5997" spans="1:40" x14ac:dyDescent="0.25">
      <c r="A5997" t="str">
        <f>"20190304155538123"</f>
        <v>20190304155538123</v>
      </c>
      <c r="B5997" t="str">
        <f>"1551686138113734"</f>
        <v>1551686138113734</v>
      </c>
      <c r="C5997" t="s">
        <v>40</v>
      </c>
      <c r="D5997">
        <v>4.9671649999999996</v>
      </c>
      <c r="E5997">
        <v>0.62766279999999997</v>
      </c>
      <c r="F5997" t="s">
        <v>62</v>
      </c>
      <c r="G5997">
        <v>-177.77760000000001</v>
      </c>
      <c r="H5997" s="1">
        <v>-4.613132E-6</v>
      </c>
      <c r="I5997">
        <v>131.37739999999999</v>
      </c>
      <c r="J5997">
        <v>-186.75749999999999</v>
      </c>
      <c r="K5997">
        <v>1.107402</v>
      </c>
      <c r="L5997">
        <v>114.8212</v>
      </c>
      <c r="M5997">
        <v>0.12938749999999999</v>
      </c>
      <c r="N5997">
        <v>-1.271765E-2</v>
      </c>
      <c r="O5997">
        <v>0.99151250000000002</v>
      </c>
      <c r="P5997">
        <v>0.16247690000000001</v>
      </c>
      <c r="Q5997">
        <v>0.1508206</v>
      </c>
      <c r="R5997">
        <v>0.97511760000000003</v>
      </c>
      <c r="S5997">
        <v>1.529388</v>
      </c>
      <c r="T5997">
        <v>-0.18774750000000001</v>
      </c>
      <c r="U5997">
        <v>2.85704</v>
      </c>
      <c r="V5997">
        <v>3.6044930000000003E-2</v>
      </c>
      <c r="W5997">
        <v>0.1631312</v>
      </c>
      <c r="X5997">
        <v>0.98594579999999998</v>
      </c>
      <c r="Y5997">
        <v>0.35323569999999999</v>
      </c>
      <c r="Z5997">
        <v>-4.6426450000000001E-2</v>
      </c>
      <c r="AA5997">
        <v>0.93438169999999998</v>
      </c>
      <c r="AB5997">
        <v>29</v>
      </c>
      <c r="AC5997">
        <v>8.9798999999999793</v>
      </c>
      <c r="AD5997">
        <v>-1.107406613132</v>
      </c>
      <c r="AE5997">
        <v>16.556199999999901</v>
      </c>
      <c r="AF5997">
        <v>6.7387692115745299</v>
      </c>
      <c r="AG5997">
        <v>-1.107406613132</v>
      </c>
      <c r="AH5997">
        <v>17.518427816380299</v>
      </c>
      <c r="AI5997">
        <v>93.376497012681199</v>
      </c>
      <c r="AJ5997">
        <v>68.959889588919296</v>
      </c>
      <c r="AK5997">
        <v>18.802464547271502</v>
      </c>
      <c r="AL5997">
        <v>80.611311442365206</v>
      </c>
      <c r="AM5997">
        <v>87.906271303977306</v>
      </c>
      <c r="AN5997">
        <v>1.0000000729648799</v>
      </c>
    </row>
    <row r="5998" spans="1:40" x14ac:dyDescent="0.25">
      <c r="A5998" t="str">
        <f>"20190304155538146"</f>
        <v>20190304155538146</v>
      </c>
      <c r="B5998" t="str">
        <f>"1551686138143990"</f>
        <v>1551686138143990</v>
      </c>
      <c r="C5998" t="s">
        <v>40</v>
      </c>
      <c r="D5998">
        <v>4.8981180000000002</v>
      </c>
      <c r="E5998">
        <v>0.62762030000000002</v>
      </c>
      <c r="F5998" t="s">
        <v>62</v>
      </c>
      <c r="G5998">
        <v>-177.7912</v>
      </c>
      <c r="H5998" s="1">
        <v>-4.5960279999999996E-6</v>
      </c>
      <c r="I5998">
        <v>131.30789999999999</v>
      </c>
      <c r="J5998">
        <v>-186.7148</v>
      </c>
      <c r="K5998">
        <v>1.107321</v>
      </c>
      <c r="L5998">
        <v>115.1151</v>
      </c>
      <c r="M5998">
        <v>0.13326459999999901</v>
      </c>
      <c r="N5998">
        <v>-1.2721710000000001E-2</v>
      </c>
      <c r="O5998">
        <v>0.99099890000000002</v>
      </c>
      <c r="P5998">
        <v>0.16799620000000001</v>
      </c>
      <c r="Q5998">
        <v>0.1510621</v>
      </c>
      <c r="R5998">
        <v>0.97414449999999997</v>
      </c>
      <c r="S5998">
        <v>1.5489040000000001</v>
      </c>
      <c r="T5998">
        <v>-0.19130240000000001</v>
      </c>
      <c r="U5998">
        <v>2.8480530000000002</v>
      </c>
      <c r="V5998">
        <v>3.7814430000000003E-2</v>
      </c>
      <c r="W5998">
        <v>0.163356</v>
      </c>
      <c r="X5998">
        <v>0.9858422</v>
      </c>
      <c r="Y5998">
        <v>0.35572910000000002</v>
      </c>
      <c r="Z5998">
        <v>-4.7546560000000002E-2</v>
      </c>
      <c r="AA5998">
        <v>0.93337890000000001</v>
      </c>
      <c r="AB5998">
        <v>29</v>
      </c>
      <c r="AC5998">
        <v>8.9235999999999898</v>
      </c>
      <c r="AD5998">
        <v>-1.107325596028</v>
      </c>
      <c r="AE5998">
        <v>16.192799999999899</v>
      </c>
      <c r="AF5998">
        <v>6.6619948743841899</v>
      </c>
      <c r="AG5998">
        <v>-1.107325596028</v>
      </c>
      <c r="AH5998">
        <v>17.176030540385501</v>
      </c>
      <c r="AI5998">
        <v>93.439703571215901</v>
      </c>
      <c r="AJ5998">
        <v>68.800430042402397</v>
      </c>
      <c r="AK5998">
        <v>18.456011779531199</v>
      </c>
      <c r="AL5998">
        <v>80.598255331234697</v>
      </c>
      <c r="AM5998">
        <v>87.803354729000105</v>
      </c>
      <c r="AN5998">
        <v>0.999999978576532</v>
      </c>
    </row>
    <row r="5999" spans="1:40" x14ac:dyDescent="0.25">
      <c r="A5999" t="str">
        <f>"20190304155538167"</f>
        <v>20190304155538167</v>
      </c>
      <c r="B5999" t="str">
        <f>"1551686138163510"</f>
        <v>1551686138163510</v>
      </c>
      <c r="C5999" t="s">
        <v>40</v>
      </c>
      <c r="D5999">
        <v>4.9030940000000003</v>
      </c>
      <c r="E5999">
        <v>0.62750830000000002</v>
      </c>
      <c r="F5999" t="s">
        <v>62</v>
      </c>
      <c r="G5999">
        <v>-177.7431</v>
      </c>
      <c r="H5999" s="1">
        <v>-4.5988940000000004E-6</v>
      </c>
      <c r="I5999">
        <v>131.40199999999999</v>
      </c>
      <c r="J5999">
        <v>-186.67429999999999</v>
      </c>
      <c r="K5999">
        <v>1.107254</v>
      </c>
      <c r="L5999">
        <v>115.38679999999999</v>
      </c>
      <c r="M5999">
        <v>0.13692750000000001</v>
      </c>
      <c r="N5999">
        <v>-1.272536E-2</v>
      </c>
      <c r="O5999">
        <v>0.99049929999999997</v>
      </c>
      <c r="P5999">
        <v>0.1733808</v>
      </c>
      <c r="Q5999">
        <v>0.15123420000000001</v>
      </c>
      <c r="R5999">
        <v>0.97317390000000004</v>
      </c>
      <c r="S5999">
        <v>1.564316</v>
      </c>
      <c r="T5999">
        <v>-0.19307369999999999</v>
      </c>
      <c r="U5999">
        <v>2.8397830000000002</v>
      </c>
      <c r="V5999">
        <v>3.9656490000000003E-2</v>
      </c>
      <c r="W5999">
        <v>0.16351079999999901</v>
      </c>
      <c r="X5999">
        <v>0.98574419999999996</v>
      </c>
      <c r="Y5999">
        <v>0.3572939</v>
      </c>
      <c r="Z5999">
        <v>-4.8126660000000002E-2</v>
      </c>
      <c r="AA5999">
        <v>0.9327512</v>
      </c>
      <c r="AB5999">
        <v>29</v>
      </c>
      <c r="AC5999">
        <v>8.9311999999999898</v>
      </c>
      <c r="AD5999">
        <v>-1.107258598894</v>
      </c>
      <c r="AE5999">
        <v>16.0152</v>
      </c>
      <c r="AF5999">
        <v>6.6297919561913004</v>
      </c>
      <c r="AG5999">
        <v>-1.107258598894</v>
      </c>
      <c r="AH5999">
        <v>17.025279019315601</v>
      </c>
      <c r="AI5999">
        <v>93.468074385524602</v>
      </c>
      <c r="AJ5999">
        <v>68.723628019548997</v>
      </c>
      <c r="AK5999">
        <v>18.304105787302301</v>
      </c>
      <c r="AL5999">
        <v>80.589265489972306</v>
      </c>
      <c r="AM5999">
        <v>87.696233051921993</v>
      </c>
      <c r="AN5999">
        <v>1.00000002337469</v>
      </c>
    </row>
    <row r="6000" spans="1:40" x14ac:dyDescent="0.25">
      <c r="A6000" t="str">
        <f>"20190304155538189"</f>
        <v>20190304155538189</v>
      </c>
      <c r="B6000" t="str">
        <f>"1551686138184006"</f>
        <v>1551686138184006</v>
      </c>
      <c r="C6000" t="s">
        <v>40</v>
      </c>
      <c r="D6000">
        <v>4.8773720000000003</v>
      </c>
      <c r="E6000">
        <v>0.62747200000000003</v>
      </c>
      <c r="F6000" t="s">
        <v>62</v>
      </c>
      <c r="G6000">
        <v>-177.6865</v>
      </c>
      <c r="H6000" s="1">
        <v>-4.6011769999999997E-6</v>
      </c>
      <c r="I6000">
        <v>131.50980000000001</v>
      </c>
      <c r="J6000">
        <v>-186.63149999999999</v>
      </c>
      <c r="K6000">
        <v>1.1071899999999999</v>
      </c>
      <c r="L6000">
        <v>115.6658</v>
      </c>
      <c r="M6000">
        <v>0.1407735</v>
      </c>
      <c r="N6000">
        <v>-1.272887E-2</v>
      </c>
      <c r="O6000">
        <v>0.98995999999999995</v>
      </c>
      <c r="P6000">
        <v>0.17940309999999901</v>
      </c>
      <c r="Q6000">
        <v>0.1505058</v>
      </c>
      <c r="R6000">
        <v>0.97219469999999997</v>
      </c>
      <c r="S6000">
        <v>1.5785370000000001</v>
      </c>
      <c r="T6000">
        <v>-0.1944679</v>
      </c>
      <c r="U6000">
        <v>2.83168</v>
      </c>
      <c r="V6000">
        <v>4.193968E-2</v>
      </c>
      <c r="W6000">
        <v>0.1627642</v>
      </c>
      <c r="X6000">
        <v>0.98577329999999996</v>
      </c>
      <c r="Y6000">
        <v>0.35836319999999999</v>
      </c>
      <c r="Z6000">
        <v>-4.8594039999999998E-2</v>
      </c>
      <c r="AA6000">
        <v>0.9323167</v>
      </c>
      <c r="AB6000">
        <v>29</v>
      </c>
      <c r="AC6000">
        <v>8.9449999999999896</v>
      </c>
      <c r="AD6000">
        <v>-1.107194601177</v>
      </c>
      <c r="AE6000">
        <v>15.843999999999999</v>
      </c>
      <c r="AF6000">
        <v>6.6008702052333197</v>
      </c>
      <c r="AG6000">
        <v>-1.107194601177</v>
      </c>
      <c r="AH6000">
        <v>16.8829992993948</v>
      </c>
      <c r="AI6000">
        <v>93.495174849597603</v>
      </c>
      <c r="AJ6000">
        <v>68.645627643228906</v>
      </c>
      <c r="AK6000">
        <v>18.161305919304901</v>
      </c>
      <c r="AL6000">
        <v>80.632623718470199</v>
      </c>
      <c r="AM6000">
        <v>87.563822856401003</v>
      </c>
      <c r="AN6000">
        <v>1.00000006027651</v>
      </c>
    </row>
    <row r="6001" spans="1:40" x14ac:dyDescent="0.25">
      <c r="A6001" t="str">
        <f>"20190304155538212"</f>
        <v>20190304155538212</v>
      </c>
      <c r="B6001" t="str">
        <f>"1551686138203526"</f>
        <v>1551686138203526</v>
      </c>
      <c r="C6001" t="s">
        <v>40</v>
      </c>
      <c r="D6001">
        <v>4.867718</v>
      </c>
      <c r="E6001">
        <v>0.6270964</v>
      </c>
      <c r="F6001" t="s">
        <v>62</v>
      </c>
      <c r="G6001">
        <v>-177.80289999999999</v>
      </c>
      <c r="H6001" s="1">
        <v>-4.5921819999999998E-6</v>
      </c>
      <c r="I6001">
        <v>131.27670000000001</v>
      </c>
      <c r="J6001">
        <v>-186.58670000000001</v>
      </c>
      <c r="K6001">
        <v>1.1071260000000001</v>
      </c>
      <c r="L6001">
        <v>115.9503</v>
      </c>
      <c r="M6001">
        <v>0.14478369999999999</v>
      </c>
      <c r="N6001">
        <v>-1.273263E-2</v>
      </c>
      <c r="O6001">
        <v>0.98938139999999997</v>
      </c>
      <c r="P6001">
        <v>0.1858969</v>
      </c>
      <c r="Q6001">
        <v>0.14959210000000001</v>
      </c>
      <c r="R6001">
        <v>0.97111510000000001</v>
      </c>
      <c r="S6001">
        <v>1.596115</v>
      </c>
      <c r="T6001">
        <v>-0.20016919999999999</v>
      </c>
      <c r="U6001">
        <v>2.8222809999999998</v>
      </c>
      <c r="V6001">
        <v>4.4537170000000001E-2</v>
      </c>
      <c r="W6001">
        <v>0.161828799999999</v>
      </c>
      <c r="X6001">
        <v>0.9858133</v>
      </c>
      <c r="Y6001">
        <v>0.36026269999999999</v>
      </c>
      <c r="Z6001">
        <v>-5.039946E-2</v>
      </c>
      <c r="AA6001">
        <v>0.93148850000000005</v>
      </c>
      <c r="AB6001">
        <v>29</v>
      </c>
      <c r="AC6001">
        <v>8.78380000000001</v>
      </c>
      <c r="AD6001">
        <v>-1.1071305921820001</v>
      </c>
      <c r="AE6001">
        <v>15.3264</v>
      </c>
      <c r="AF6001">
        <v>6.4467175776138204</v>
      </c>
      <c r="AG6001">
        <v>-1.1071305921820001</v>
      </c>
      <c r="AH6001">
        <v>16.3724281734921</v>
      </c>
      <c r="AI6001">
        <v>93.600288121467401</v>
      </c>
      <c r="AJ6001">
        <v>68.507735809929699</v>
      </c>
      <c r="AK6001">
        <v>17.6307206310411</v>
      </c>
      <c r="AL6001">
        <v>80.686937641426894</v>
      </c>
      <c r="AM6001">
        <v>87.413244602295507</v>
      </c>
      <c r="AN6001">
        <v>0.99999999123896899</v>
      </c>
    </row>
    <row r="6002" spans="1:40" x14ac:dyDescent="0.25">
      <c r="A6002" t="str">
        <f>"20190304155538234"</f>
        <v>20190304155538234</v>
      </c>
      <c r="B6002" t="str">
        <f>"1551686138224022"</f>
        <v>1551686138224022</v>
      </c>
      <c r="C6002" t="s">
        <v>40</v>
      </c>
      <c r="D6002">
        <v>4.8926730000000003</v>
      </c>
      <c r="E6002">
        <v>0.62662989999999996</v>
      </c>
      <c r="F6002" t="s">
        <v>62</v>
      </c>
      <c r="G6002">
        <v>-177.85</v>
      </c>
      <c r="H6002" s="1">
        <v>-4.5939150000000004E-6</v>
      </c>
      <c r="I6002">
        <v>131.19669999999999</v>
      </c>
      <c r="J6002">
        <v>-186.54060000000001</v>
      </c>
      <c r="K6002">
        <v>1.107056</v>
      </c>
      <c r="L6002">
        <v>116.2343</v>
      </c>
      <c r="M6002">
        <v>0.14888090000000001</v>
      </c>
      <c r="N6002">
        <v>-1.2736890000000001E-2</v>
      </c>
      <c r="O6002">
        <v>0.98877309999999996</v>
      </c>
      <c r="P6002">
        <v>0.1921986</v>
      </c>
      <c r="Q6002">
        <v>0.14919270000000001</v>
      </c>
      <c r="R6002">
        <v>0.96994910000000001</v>
      </c>
      <c r="S6002">
        <v>1.6114809999999999</v>
      </c>
      <c r="T6002">
        <v>-0.20420959999999999</v>
      </c>
      <c r="U6002">
        <v>2.812195</v>
      </c>
      <c r="V6002">
        <v>4.6873900000000003E-2</v>
      </c>
      <c r="W6002">
        <v>0.16140760000000001</v>
      </c>
      <c r="X6002">
        <v>0.98577400000000004</v>
      </c>
      <c r="Y6002">
        <v>0.36163299999999998</v>
      </c>
      <c r="Z6002">
        <v>-5.1714450000000002E-2</v>
      </c>
      <c r="AA6002">
        <v>0.93088519999999997</v>
      </c>
      <c r="AB6002">
        <v>29</v>
      </c>
      <c r="AC6002">
        <v>8.6906000000000105</v>
      </c>
      <c r="AD6002">
        <v>-1.107060593915</v>
      </c>
      <c r="AE6002">
        <v>14.962399999999899</v>
      </c>
      <c r="AF6002">
        <v>6.3399798469690802</v>
      </c>
      <c r="AG6002">
        <v>-1.107060593915</v>
      </c>
      <c r="AH6002">
        <v>16.023994516360801</v>
      </c>
      <c r="AI6002">
        <v>93.675749643085595</v>
      </c>
      <c r="AJ6002">
        <v>68.413504277972294</v>
      </c>
      <c r="AK6002">
        <v>17.268159365691901</v>
      </c>
      <c r="AL6002">
        <v>80.711391989192194</v>
      </c>
      <c r="AM6002">
        <v>87.277616123196097</v>
      </c>
      <c r="AN6002">
        <v>0.99999997745748403</v>
      </c>
    </row>
    <row r="6003" spans="1:40" x14ac:dyDescent="0.25">
      <c r="A6003" t="str">
        <f>"20190304155538256"</f>
        <v>20190304155538256</v>
      </c>
      <c r="B6003" t="str">
        <f>"1551686138254278"</f>
        <v>1551686138254278</v>
      </c>
      <c r="C6003" t="s">
        <v>40</v>
      </c>
      <c r="D6003">
        <v>4.8733309999999896</v>
      </c>
      <c r="E6003">
        <v>0.6264615</v>
      </c>
      <c r="F6003" t="s">
        <v>62</v>
      </c>
      <c r="G6003">
        <v>-177.8587</v>
      </c>
      <c r="H6003" s="1">
        <v>-4.6051439999999997E-6</v>
      </c>
      <c r="I6003">
        <v>131.2106</v>
      </c>
      <c r="J6003">
        <v>-186.49549999999999</v>
      </c>
      <c r="K6003">
        <v>1.1069789999999999</v>
      </c>
      <c r="L6003">
        <v>116.5051</v>
      </c>
      <c r="M6003">
        <v>0.15287539999999999</v>
      </c>
      <c r="N6003">
        <v>-1.2741489999999999E-2</v>
      </c>
      <c r="O6003">
        <v>0.98816340000000003</v>
      </c>
      <c r="P6003">
        <v>0.1986916</v>
      </c>
      <c r="Q6003">
        <v>0.148715299999999</v>
      </c>
      <c r="R6003">
        <v>0.9687133</v>
      </c>
      <c r="S6003">
        <v>1.6248320000000001</v>
      </c>
      <c r="T6003">
        <v>-0.20718800000000001</v>
      </c>
      <c r="U6003">
        <v>2.802826</v>
      </c>
      <c r="V6003">
        <v>4.9511720000000002E-2</v>
      </c>
      <c r="W6003">
        <v>0.16090550000000001</v>
      </c>
      <c r="X6003">
        <v>0.98572709999999997</v>
      </c>
      <c r="Y6003">
        <v>0.36250500000000002</v>
      </c>
      <c r="Z6003">
        <v>-5.2700329999999997E-2</v>
      </c>
      <c r="AA6003">
        <v>0.93049059999999995</v>
      </c>
      <c r="AB6003">
        <v>29</v>
      </c>
      <c r="AC6003">
        <v>8.6367999999999903</v>
      </c>
      <c r="AD6003">
        <v>-1.1069836051440001</v>
      </c>
      <c r="AE6003">
        <v>14.705500000000001</v>
      </c>
      <c r="AF6003">
        <v>6.2605928110093396</v>
      </c>
      <c r="AG6003">
        <v>-1.1069836051440001</v>
      </c>
      <c r="AH6003">
        <v>15.7865638808859</v>
      </c>
      <c r="AI6003">
        <v>93.729445301908996</v>
      </c>
      <c r="AJ6003">
        <v>68.367847126754597</v>
      </c>
      <c r="AK6003">
        <v>17.018696607337802</v>
      </c>
      <c r="AL6003">
        <v>80.740540986465803</v>
      </c>
      <c r="AM6003">
        <v>87.124528159812897</v>
      </c>
      <c r="AN6003">
        <v>0.99999995301100797</v>
      </c>
    </row>
    <row r="6004" spans="1:40" x14ac:dyDescent="0.25">
      <c r="A6004" t="str">
        <f>"20190304155538277"</f>
        <v>20190304155538277</v>
      </c>
      <c r="B6004" t="str">
        <f>"1551686138273798"</f>
        <v>1551686138273798</v>
      </c>
      <c r="C6004" t="s">
        <v>40</v>
      </c>
      <c r="D6004">
        <v>4.8036459999999996</v>
      </c>
      <c r="E6004">
        <v>0.62612939999999995</v>
      </c>
      <c r="F6004" t="s">
        <v>62</v>
      </c>
      <c r="G6004">
        <v>-177.76439999999999</v>
      </c>
      <c r="H6004" s="1">
        <v>-4.5969409999999996E-6</v>
      </c>
      <c r="I6004">
        <v>131.35849999999999</v>
      </c>
      <c r="J6004">
        <v>-186.44839999999999</v>
      </c>
      <c r="K6004">
        <v>1.106894</v>
      </c>
      <c r="L6004">
        <v>116.7807</v>
      </c>
      <c r="M6004">
        <v>0.15703719999999999</v>
      </c>
      <c r="N6004">
        <v>-1.274662E-2</v>
      </c>
      <c r="O6004">
        <v>0.98751040000000001</v>
      </c>
      <c r="P6004">
        <v>0.205377</v>
      </c>
      <c r="Q6004">
        <v>0.1479829</v>
      </c>
      <c r="R6004">
        <v>0.96743029999999997</v>
      </c>
      <c r="S6004">
        <v>1.6413120000000001</v>
      </c>
      <c r="T6004">
        <v>-0.20809459999999999</v>
      </c>
      <c r="U6004">
        <v>2.7922060000000002</v>
      </c>
      <c r="V6004">
        <v>5.2178469999999998E-2</v>
      </c>
      <c r="W6004">
        <v>0.16014729999999999</v>
      </c>
      <c r="X6004">
        <v>0.98571310000000001</v>
      </c>
      <c r="Y6004">
        <v>0.36419469999999998</v>
      </c>
      <c r="Z6004">
        <v>-5.3033740000000003E-2</v>
      </c>
      <c r="AA6004">
        <v>0.92981170000000002</v>
      </c>
      <c r="AB6004">
        <v>29</v>
      </c>
      <c r="AC6004">
        <v>8.6839999999999904</v>
      </c>
      <c r="AD6004">
        <v>-1.1068985969409999</v>
      </c>
      <c r="AE6004">
        <v>14.5777999999999</v>
      </c>
      <c r="AF6004">
        <v>6.2601550340829402</v>
      </c>
      <c r="AG6004">
        <v>-1.1068985969409999</v>
      </c>
      <c r="AH6004">
        <v>15.693937423947601</v>
      </c>
      <c r="AI6004">
        <v>93.748137268634807</v>
      </c>
      <c r="AJ6004">
        <v>68.253436568671205</v>
      </c>
      <c r="AK6004">
        <v>16.932644135558</v>
      </c>
      <c r="AL6004">
        <v>80.784554166232098</v>
      </c>
      <c r="AM6004">
        <v>86.969890712720996</v>
      </c>
      <c r="AN6004">
        <v>1.0000000329702099</v>
      </c>
    </row>
    <row r="6005" spans="1:40" x14ac:dyDescent="0.25">
      <c r="A6005" t="str">
        <f>"20190304155538300"</f>
        <v>20190304155538300</v>
      </c>
      <c r="B6005" t="str">
        <f>"1551686138294294"</f>
        <v>1551686138294294</v>
      </c>
      <c r="C6005" t="s">
        <v>40</v>
      </c>
      <c r="D6005">
        <v>4.8865230000000004</v>
      </c>
      <c r="E6005">
        <v>0.62586589999999998</v>
      </c>
      <c r="F6005" t="s">
        <v>62</v>
      </c>
      <c r="G6005">
        <v>-177.8646</v>
      </c>
      <c r="H6005" s="1">
        <v>-4.6016850000000001E-6</v>
      </c>
      <c r="I6005">
        <v>131.1909</v>
      </c>
      <c r="J6005">
        <v>-186.3982</v>
      </c>
      <c r="K6005">
        <v>1.1068039999999999</v>
      </c>
      <c r="L6005">
        <v>117.06619999999999</v>
      </c>
      <c r="M6005">
        <v>0.16145370000000001</v>
      </c>
      <c r="N6005">
        <v>-1.2752350000000001E-2</v>
      </c>
      <c r="O6005">
        <v>0.98679790000000001</v>
      </c>
      <c r="P6005">
        <v>0.21232609999999999</v>
      </c>
      <c r="Q6005">
        <v>0.14637359999999999</v>
      </c>
      <c r="R6005">
        <v>0.96617410000000004</v>
      </c>
      <c r="S6005">
        <v>1.6571039999999999</v>
      </c>
      <c r="T6005">
        <v>-0.21368789999999999</v>
      </c>
      <c r="U6005">
        <v>2.7819060000000002</v>
      </c>
      <c r="V6005">
        <v>5.483942E-2</v>
      </c>
      <c r="W6005">
        <v>0.158513299999999</v>
      </c>
      <c r="X6005">
        <v>0.98583279999999995</v>
      </c>
      <c r="Y6005">
        <v>0.36538300000000001</v>
      </c>
      <c r="Z6005">
        <v>-5.4828450000000001E-2</v>
      </c>
      <c r="AA6005">
        <v>0.92924110000000004</v>
      </c>
      <c r="AB6005">
        <v>28</v>
      </c>
      <c r="AC6005">
        <v>8.5335999999999999</v>
      </c>
      <c r="AD6005">
        <v>-1.1068086016850001</v>
      </c>
      <c r="AE6005">
        <v>14.124700000000001</v>
      </c>
      <c r="AF6005">
        <v>6.1134525164265598</v>
      </c>
      <c r="AG6005">
        <v>-1.1068086016850001</v>
      </c>
      <c r="AH6005">
        <v>15.2486576421809</v>
      </c>
      <c r="AI6005">
        <v>93.854262271163506</v>
      </c>
      <c r="AJ6005">
        <v>68.153290690412604</v>
      </c>
      <c r="AK6005">
        <v>16.465748900059399</v>
      </c>
      <c r="AL6005">
        <v>80.879387266068093</v>
      </c>
      <c r="AM6005">
        <v>86.816060124027601</v>
      </c>
      <c r="AN6005">
        <v>1.00000006890933</v>
      </c>
    </row>
    <row r="6006" spans="1:40" x14ac:dyDescent="0.25">
      <c r="A6006" t="str">
        <f>"20190304155538324"</f>
        <v>20190304155538324</v>
      </c>
      <c r="B6006" t="str">
        <f>"1551686138313814"</f>
        <v>1551686138313814</v>
      </c>
      <c r="C6006" t="s">
        <v>40</v>
      </c>
      <c r="D6006">
        <v>4.9046960000000004</v>
      </c>
      <c r="E6006">
        <v>0.6257355</v>
      </c>
      <c r="F6006" t="s">
        <v>62</v>
      </c>
      <c r="G6006">
        <v>-177.947</v>
      </c>
      <c r="H6006" s="1">
        <v>-4.6046699999999997E-6</v>
      </c>
      <c r="I6006">
        <v>131.05070000000001</v>
      </c>
      <c r="J6006">
        <v>-186.34399999999999</v>
      </c>
      <c r="K6006">
        <v>1.1067100000000001</v>
      </c>
      <c r="L6006">
        <v>117.36490000000001</v>
      </c>
      <c r="M6006">
        <v>0.16620480000000001</v>
      </c>
      <c r="N6006">
        <v>-1.275886E-2</v>
      </c>
      <c r="O6006">
        <v>0.98600869999999996</v>
      </c>
      <c r="P6006">
        <v>0.2192277</v>
      </c>
      <c r="Q6006">
        <v>0.144281399999999</v>
      </c>
      <c r="R6006">
        <v>0.96494669999999905</v>
      </c>
      <c r="S6006">
        <v>1.6741790000000001</v>
      </c>
      <c r="T6006">
        <v>-0.21925800000000001</v>
      </c>
      <c r="U6006">
        <v>2.7703250000000001</v>
      </c>
      <c r="V6006">
        <v>5.7107570000000003E-2</v>
      </c>
      <c r="W6006">
        <v>0.1563986</v>
      </c>
      <c r="X6006">
        <v>0.98604170000000002</v>
      </c>
      <c r="Y6006">
        <v>0.36675659999999999</v>
      </c>
      <c r="Z6006">
        <v>-5.6625969999999998E-2</v>
      </c>
      <c r="AA6006">
        <v>0.92859199999999997</v>
      </c>
      <c r="AB6006">
        <v>28</v>
      </c>
      <c r="AC6006">
        <v>8.3970000000000198</v>
      </c>
      <c r="AD6006">
        <v>-1.10671460467</v>
      </c>
      <c r="AE6006">
        <v>13.6858</v>
      </c>
      <c r="AF6006">
        <v>5.9769626959454101</v>
      </c>
      <c r="AG6006">
        <v>-1.10671460467</v>
      </c>
      <c r="AH6006">
        <v>14.8207408701599</v>
      </c>
      <c r="AI6006">
        <v>93.961624329659102</v>
      </c>
      <c r="AJ6006">
        <v>68.036584604627294</v>
      </c>
      <c r="AK6006">
        <v>16.0188407890628</v>
      </c>
      <c r="AL6006">
        <v>81.002080663826504</v>
      </c>
      <c r="AM6006">
        <v>86.685361604105495</v>
      </c>
      <c r="AN6006">
        <v>1.00000001538607</v>
      </c>
    </row>
    <row r="6007" spans="1:40" x14ac:dyDescent="0.25">
      <c r="A6007" t="str">
        <f>"20190304155538346"</f>
        <v>20190304155538346</v>
      </c>
      <c r="B6007" t="str">
        <f>"1551686138344071"</f>
        <v>1551686138344071</v>
      </c>
      <c r="C6007" t="s">
        <v>40</v>
      </c>
      <c r="D6007">
        <v>4.9247310000000004</v>
      </c>
      <c r="E6007">
        <v>0.62527330000000003</v>
      </c>
      <c r="F6007" t="s">
        <v>62</v>
      </c>
      <c r="G6007">
        <v>-178.02420000000001</v>
      </c>
      <c r="H6007" s="1">
        <v>-4.6092849999999999E-6</v>
      </c>
      <c r="I6007">
        <v>130.92400000000001</v>
      </c>
      <c r="J6007">
        <v>-186.292</v>
      </c>
      <c r="K6007">
        <v>1.106606</v>
      </c>
      <c r="L6007">
        <v>117.6437</v>
      </c>
      <c r="M6007">
        <v>0.1707592</v>
      </c>
      <c r="N6007">
        <v>-1.276532E-2</v>
      </c>
      <c r="O6007">
        <v>0.9852301</v>
      </c>
      <c r="P6007">
        <v>0.22641629999999999</v>
      </c>
      <c r="Q6007">
        <v>0.14226800000000001</v>
      </c>
      <c r="R6007">
        <v>0.96358469999999996</v>
      </c>
      <c r="S6007">
        <v>1.692383</v>
      </c>
      <c r="T6007">
        <v>-0.2251242</v>
      </c>
      <c r="U6007">
        <v>2.7581479999999998</v>
      </c>
      <c r="V6007">
        <v>5.9872170000000002E-2</v>
      </c>
      <c r="W6007">
        <v>0.15435839999999901</v>
      </c>
      <c r="X6007">
        <v>0.9861991</v>
      </c>
      <c r="Y6007">
        <v>0.36867440000000001</v>
      </c>
      <c r="Z6007">
        <v>-5.8515440000000002E-2</v>
      </c>
      <c r="AA6007">
        <v>0.92771499999999996</v>
      </c>
      <c r="AB6007">
        <v>28</v>
      </c>
      <c r="AC6007">
        <v>8.2677999999999905</v>
      </c>
      <c r="AD6007">
        <v>-1.1066106092850001</v>
      </c>
      <c r="AE6007">
        <v>13.2803</v>
      </c>
      <c r="AF6007">
        <v>5.8491619127489898</v>
      </c>
      <c r="AG6007">
        <v>-1.1066106092850001</v>
      </c>
      <c r="AH6007">
        <v>14.4249532852928</v>
      </c>
      <c r="AI6007">
        <v>94.066472872456998</v>
      </c>
      <c r="AJ6007">
        <v>67.927980090342302</v>
      </c>
      <c r="AK6007">
        <v>15.6050171228684</v>
      </c>
      <c r="AL6007">
        <v>81.120411897983004</v>
      </c>
      <c r="AM6007">
        <v>86.525835973591001</v>
      </c>
      <c r="AN6007">
        <v>0.99999992861593601</v>
      </c>
    </row>
    <row r="6008" spans="1:40" x14ac:dyDescent="0.25">
      <c r="A6008" t="str">
        <f>"20190304155540140"</f>
        <v>20190304155540140</v>
      </c>
      <c r="B6008" t="str">
        <f>"1551686140134096"</f>
        <v>1551686140134096</v>
      </c>
      <c r="C6008" t="s">
        <v>40</v>
      </c>
      <c r="D6008">
        <v>4.7815000000000003</v>
      </c>
      <c r="E6008">
        <v>0.60516639999999999</v>
      </c>
      <c r="F6008" t="s">
        <v>62</v>
      </c>
      <c r="G6008">
        <v>-178.0779</v>
      </c>
      <c r="H6008" s="1">
        <v>-4.6144030000000001E-6</v>
      </c>
      <c r="I6008">
        <v>130.8409</v>
      </c>
      <c r="J6008">
        <v>-173.94900000000001</v>
      </c>
      <c r="K6008">
        <v>1.1017709999999901</v>
      </c>
      <c r="L6008">
        <v>135.54239999999999</v>
      </c>
      <c r="M6008">
        <v>0.88205959999999894</v>
      </c>
      <c r="N6008">
        <v>-1.438819E-2</v>
      </c>
      <c r="O6008">
        <v>0.47091820000000001</v>
      </c>
      <c r="P6008">
        <v>0.93974279999999999</v>
      </c>
      <c r="Q6008">
        <v>0.1288222</v>
      </c>
      <c r="R6008">
        <v>0.31668380000000002</v>
      </c>
      <c r="S6008">
        <v>1.7090000000000001</v>
      </c>
      <c r="T6008">
        <v>-0.23023950000000001</v>
      </c>
      <c r="U6008">
        <v>2.7458040000000001</v>
      </c>
      <c r="V6008">
        <v>0.16610610000000001</v>
      </c>
      <c r="W6008">
        <v>0.13952249999999999</v>
      </c>
      <c r="X6008">
        <v>0.97618760000000004</v>
      </c>
      <c r="Y6008">
        <v>-0.49938339999999998</v>
      </c>
      <c r="Z6008">
        <v>-6.5306640000000003E-3</v>
      </c>
      <c r="AA6008">
        <v>0.86635649999999997</v>
      </c>
      <c r="AB6008">
        <v>27</v>
      </c>
      <c r="AC6008">
        <v>-4.1288999999999803</v>
      </c>
      <c r="AD6008">
        <v>-1.10177561440299</v>
      </c>
      <c r="AE6008">
        <v>-4.7014999999999798</v>
      </c>
      <c r="AF6008">
        <v>2.1366111007905899</v>
      </c>
      <c r="AG6008">
        <v>-1.10177561440299</v>
      </c>
      <c r="AH6008">
        <v>-5.6804410262629697</v>
      </c>
      <c r="AI6008">
        <v>100.289535920606</v>
      </c>
      <c r="AJ6008">
        <v>-69.386976843110006</v>
      </c>
      <c r="AK6008">
        <v>6.1681785604314499</v>
      </c>
      <c r="AL6008">
        <v>81.979783648155006</v>
      </c>
      <c r="AM6008">
        <v>80.343158146684701</v>
      </c>
      <c r="AN6008">
        <v>0.99999999742861001</v>
      </c>
    </row>
    <row r="6009" spans="1:40" x14ac:dyDescent="0.25">
      <c r="A6009" t="str">
        <f>"20190304155540163"</f>
        <v>20190304155540163</v>
      </c>
      <c r="B6009" t="str">
        <f>"1551686140153616"</f>
        <v>1551686140153616</v>
      </c>
      <c r="C6009" t="s">
        <v>40</v>
      </c>
      <c r="D6009">
        <v>4.749282</v>
      </c>
      <c r="E6009">
        <v>0.59406740000000002</v>
      </c>
      <c r="F6009" t="s">
        <v>46</v>
      </c>
      <c r="G6009">
        <v>-145.76730000000001</v>
      </c>
      <c r="H6009" s="1">
        <v>-2.289704E-6</v>
      </c>
      <c r="I6009">
        <v>136.84479999999999</v>
      </c>
      <c r="J6009">
        <v>-173.7039</v>
      </c>
      <c r="K6009">
        <v>1.1019139999999901</v>
      </c>
      <c r="L6009">
        <v>135.65969999999999</v>
      </c>
      <c r="M6009">
        <v>0.88717999999999997</v>
      </c>
      <c r="N6009">
        <v>-1.4454730000000001E-2</v>
      </c>
      <c r="O6009">
        <v>0.46119700000000002</v>
      </c>
      <c r="P6009">
        <v>0.9419381</v>
      </c>
      <c r="Q6009">
        <v>0.1293358</v>
      </c>
      <c r="R6009">
        <v>0.30987900000000002</v>
      </c>
      <c r="S6009">
        <v>3.1600799999999998</v>
      </c>
      <c r="T6009">
        <v>-0.12354469999999999</v>
      </c>
      <c r="U6009">
        <v>0.146041899999999</v>
      </c>
      <c r="V6009">
        <v>0.16236800000000001</v>
      </c>
      <c r="W6009">
        <v>0.140235</v>
      </c>
      <c r="X6009">
        <v>0.97671430000000004</v>
      </c>
      <c r="Y6009">
        <v>0.41924509999999998</v>
      </c>
      <c r="Z6009">
        <v>-2.17713E-2</v>
      </c>
      <c r="AA6009">
        <v>0.90761199999999997</v>
      </c>
      <c r="AB6009">
        <v>27</v>
      </c>
      <c r="AC6009">
        <v>27.936599999999999</v>
      </c>
      <c r="AD6009">
        <v>-1.10191628970399</v>
      </c>
      <c r="AE6009">
        <v>1.1851</v>
      </c>
      <c r="AF6009">
        <v>11.815765880371501</v>
      </c>
      <c r="AG6009">
        <v>-1.10191628970399</v>
      </c>
      <c r="AH6009">
        <v>25.294722068852298</v>
      </c>
      <c r="AI6009">
        <v>92.260246671409206</v>
      </c>
      <c r="AJ6009">
        <v>64.961603926772796</v>
      </c>
      <c r="AK6009">
        <v>27.9401057154362</v>
      </c>
      <c r="AL6009">
        <v>81.9385552806569</v>
      </c>
      <c r="AM6009">
        <v>80.561521168776807</v>
      </c>
      <c r="AN6009">
        <v>1.0000000232367401</v>
      </c>
    </row>
    <row r="6010" spans="1:40" x14ac:dyDescent="0.25">
      <c r="A6010" t="str">
        <f>"20190304155540185"</f>
        <v>20190304155540185</v>
      </c>
      <c r="B6010" t="str">
        <f>"1551686140174112"</f>
        <v>1551686140174112</v>
      </c>
      <c r="C6010" t="s">
        <v>40</v>
      </c>
      <c r="D6010">
        <v>4.850447</v>
      </c>
      <c r="E6010">
        <v>0.59455019999999903</v>
      </c>
      <c r="F6010" t="s">
        <v>46</v>
      </c>
      <c r="G6010">
        <v>-142.86689999999999</v>
      </c>
      <c r="H6010" s="1">
        <v>-3.381358E-6</v>
      </c>
      <c r="I6010">
        <v>137.70529999999999</v>
      </c>
      <c r="J6010">
        <v>-173.4571</v>
      </c>
      <c r="K6010">
        <v>1.1020449999999999</v>
      </c>
      <c r="L6010">
        <v>135.77459999999999</v>
      </c>
      <c r="M6010">
        <v>0.8921386</v>
      </c>
      <c r="N6010">
        <v>-1.451419E-2</v>
      </c>
      <c r="O6010">
        <v>0.4515285</v>
      </c>
      <c r="P6010">
        <v>0.94367900000000005</v>
      </c>
      <c r="Q6010">
        <v>0.1296369</v>
      </c>
      <c r="R6010">
        <v>0.30440810000000001</v>
      </c>
      <c r="S6010">
        <v>3.1319430000000001</v>
      </c>
      <c r="T6010">
        <v>-0.1119155</v>
      </c>
      <c r="U6010">
        <v>0.2077637</v>
      </c>
      <c r="V6010">
        <v>0.157357</v>
      </c>
      <c r="W6010">
        <v>0.14075190000000001</v>
      </c>
      <c r="X6010">
        <v>0.97745979999999999</v>
      </c>
      <c r="Y6010">
        <v>0.39110139999999999</v>
      </c>
      <c r="Z6010">
        <v>-1.8657489999999999E-2</v>
      </c>
      <c r="AA6010">
        <v>0.92015849999999999</v>
      </c>
      <c r="AB6010">
        <v>27</v>
      </c>
      <c r="AC6010">
        <v>30.590199999999999</v>
      </c>
      <c r="AD6010">
        <v>-1.102048381358</v>
      </c>
      <c r="AE6010">
        <v>1.9307000000000001</v>
      </c>
      <c r="AF6010">
        <v>12.0755586722864</v>
      </c>
      <c r="AG6010">
        <v>-1.102048381358</v>
      </c>
      <c r="AH6010">
        <v>28.129068630772998</v>
      </c>
      <c r="AI6010">
        <v>92.061822303329606</v>
      </c>
      <c r="AJ6010">
        <v>66.766583074851596</v>
      </c>
      <c r="AK6010">
        <v>30.631325957545901</v>
      </c>
      <c r="AL6010">
        <v>81.908642148135797</v>
      </c>
      <c r="AM6010">
        <v>80.854667685388193</v>
      </c>
      <c r="AN6010">
        <v>0.99999999170932496</v>
      </c>
    </row>
    <row r="6011" spans="1:40" x14ac:dyDescent="0.25">
      <c r="A6011" t="str">
        <f>"20190304155540218"</f>
        <v>20190304155540218</v>
      </c>
      <c r="B6011" t="str">
        <f>"1551686140214128"</f>
        <v>1551686140214128</v>
      </c>
      <c r="C6011" t="s">
        <v>40</v>
      </c>
      <c r="D6011">
        <v>4.7708339999999998</v>
      </c>
      <c r="E6011">
        <v>0.59409519999999905</v>
      </c>
      <c r="F6011" t="s">
        <v>46</v>
      </c>
      <c r="G6011">
        <v>-142.5249</v>
      </c>
      <c r="H6011" s="1">
        <v>-3.5446610000000001E-6</v>
      </c>
      <c r="I6011">
        <v>137.61170000000001</v>
      </c>
      <c r="J6011">
        <v>-173.08690000000001</v>
      </c>
      <c r="K6011">
        <v>1.1022259999999999</v>
      </c>
      <c r="L6011">
        <v>135.94110000000001</v>
      </c>
      <c r="M6011">
        <v>0.89925279999999996</v>
      </c>
      <c r="N6011">
        <v>-1.459096E-2</v>
      </c>
      <c r="O6011">
        <v>0.43718600000000002</v>
      </c>
      <c r="P6011">
        <v>0.94708930000000002</v>
      </c>
      <c r="Q6011">
        <v>0.1296725</v>
      </c>
      <c r="R6011">
        <v>0.29361079999999901</v>
      </c>
      <c r="S6011">
        <v>3.1343230000000002</v>
      </c>
      <c r="T6011">
        <v>-0.11166909999999999</v>
      </c>
      <c r="U6011">
        <v>0.18615719999999999</v>
      </c>
      <c r="V6011">
        <v>0.15280389999999999</v>
      </c>
      <c r="W6011">
        <v>0.14102200000000001</v>
      </c>
      <c r="X6011">
        <v>0.97814299999999998</v>
      </c>
      <c r="Y6011">
        <v>0.38272659999999997</v>
      </c>
      <c r="Z6011">
        <v>-1.8138669999999999E-2</v>
      </c>
      <c r="AA6011">
        <v>0.92368360000000005</v>
      </c>
      <c r="AB6011">
        <v>27</v>
      </c>
      <c r="AC6011">
        <v>30.562000000000001</v>
      </c>
      <c r="AD6011">
        <v>-1.102229544661</v>
      </c>
      <c r="AE6011">
        <v>1.6706000000000001</v>
      </c>
      <c r="AF6011">
        <v>11.844887951834099</v>
      </c>
      <c r="AG6011">
        <v>-1.102229544661</v>
      </c>
      <c r="AH6011">
        <v>28.179784887129902</v>
      </c>
      <c r="AI6011">
        <v>92.065093716530001</v>
      </c>
      <c r="AJ6011">
        <v>67.201387277485594</v>
      </c>
      <c r="AK6011">
        <v>30.587849823835999</v>
      </c>
      <c r="AL6011">
        <v>81.893010568421104</v>
      </c>
      <c r="AM6011">
        <v>81.121110224080297</v>
      </c>
      <c r="AN6011">
        <v>0.99999998239410404</v>
      </c>
    </row>
    <row r="6012" spans="1:40" x14ac:dyDescent="0.25">
      <c r="A6012" t="str">
        <f>"20190304155540240"</f>
        <v>20190304155540240</v>
      </c>
      <c r="B6012" t="str">
        <f>"1551686140233651"</f>
        <v>1551686140233651</v>
      </c>
      <c r="C6012" t="s">
        <v>40</v>
      </c>
      <c r="D6012">
        <v>4.7552430000000001</v>
      </c>
      <c r="E6012">
        <v>0.59283359999999996</v>
      </c>
      <c r="F6012" t="s">
        <v>46</v>
      </c>
      <c r="G6012">
        <v>-137.93209999999999</v>
      </c>
      <c r="H6012" s="1">
        <v>-1.213964E-6</v>
      </c>
      <c r="I6012">
        <v>137.6739</v>
      </c>
      <c r="J6012">
        <v>-172.83369999999999</v>
      </c>
      <c r="K6012">
        <v>1.10233799999999</v>
      </c>
      <c r="L6012">
        <v>136.05119999999999</v>
      </c>
      <c r="M6012">
        <v>0.90390769999999998</v>
      </c>
      <c r="N6012">
        <v>-1.4636079999999999E-2</v>
      </c>
      <c r="O6012">
        <v>0.4274772</v>
      </c>
      <c r="P6012">
        <v>0.94958819999999999</v>
      </c>
      <c r="Q6012">
        <v>0.1292364</v>
      </c>
      <c r="R6012">
        <v>0.2856223</v>
      </c>
      <c r="S6012">
        <v>3.1331790000000002</v>
      </c>
      <c r="T6012">
        <v>-9.8236080000000003E-2</v>
      </c>
      <c r="U6012">
        <v>0.15443419999999999</v>
      </c>
      <c r="V6012">
        <v>0.15048989999999901</v>
      </c>
      <c r="W6012">
        <v>0.14071700000000001</v>
      </c>
      <c r="X6012">
        <v>0.97854560000000002</v>
      </c>
      <c r="Y6012">
        <v>0.38218190000000002</v>
      </c>
      <c r="Z6012">
        <v>-1.5378380000000001E-2</v>
      </c>
      <c r="AA6012">
        <v>0.92395910000000003</v>
      </c>
      <c r="AB6012">
        <v>27</v>
      </c>
      <c r="AC6012">
        <v>34.901600000000002</v>
      </c>
      <c r="AD6012">
        <v>-1.10233921396399</v>
      </c>
      <c r="AE6012">
        <v>1.6227</v>
      </c>
      <c r="AF6012">
        <v>13.440928432918</v>
      </c>
      <c r="AG6012">
        <v>-1.10233921396399</v>
      </c>
      <c r="AH6012">
        <v>32.2128794294903</v>
      </c>
      <c r="AI6012">
        <v>91.808886941149694</v>
      </c>
      <c r="AJ6012">
        <v>67.351504280378705</v>
      </c>
      <c r="AK6012">
        <v>34.921960283184902</v>
      </c>
      <c r="AL6012">
        <v>81.910661839635395</v>
      </c>
      <c r="AM6012">
        <v>81.257016663098696</v>
      </c>
      <c r="AN6012">
        <v>0.99999998768518406</v>
      </c>
    </row>
    <row r="6013" spans="1:40" x14ac:dyDescent="0.25">
      <c r="A6013" t="str">
        <f>"20190304155540262"</f>
        <v>20190304155540262</v>
      </c>
      <c r="B6013" t="str">
        <f>"1551686140254144"</f>
        <v>1551686140254144</v>
      </c>
      <c r="C6013" t="s">
        <v>40</v>
      </c>
      <c r="D6013">
        <v>4.7270409999999998</v>
      </c>
      <c r="E6013">
        <v>0.59245570000000003</v>
      </c>
      <c r="F6013" t="s">
        <v>46</v>
      </c>
      <c r="G6013">
        <v>-139.93729999999999</v>
      </c>
      <c r="H6013" s="1">
        <v>-5.7042929999999996E-7</v>
      </c>
      <c r="I6013">
        <v>137.5001</v>
      </c>
      <c r="J6013">
        <v>-172.58760000000001</v>
      </c>
      <c r="K6013">
        <v>1.1024400000000001</v>
      </c>
      <c r="L6013">
        <v>136.1551</v>
      </c>
      <c r="M6013">
        <v>0.90827069999999999</v>
      </c>
      <c r="N6013">
        <v>-1.467252E-2</v>
      </c>
      <c r="O6013">
        <v>0.41812569999999999</v>
      </c>
      <c r="P6013">
        <v>0.9517949</v>
      </c>
      <c r="Q6013">
        <v>0.12876109999999999</v>
      </c>
      <c r="R6013">
        <v>0.27840110000000001</v>
      </c>
      <c r="S6013">
        <v>3.1320649999999999</v>
      </c>
      <c r="T6013">
        <v>-0.1049534</v>
      </c>
      <c r="U6013">
        <v>0.13795470000000001</v>
      </c>
      <c r="V6013">
        <v>0.1478052</v>
      </c>
      <c r="W6013">
        <v>0.14036860000000001</v>
      </c>
      <c r="X6013">
        <v>0.97900469999999895</v>
      </c>
      <c r="Y6013">
        <v>0.37743330000000003</v>
      </c>
      <c r="Z6013">
        <v>-1.643002E-2</v>
      </c>
      <c r="AA6013">
        <v>0.92589100000000002</v>
      </c>
      <c r="AB6013">
        <v>27</v>
      </c>
      <c r="AC6013">
        <v>32.650300000000001</v>
      </c>
      <c r="AD6013">
        <v>-1.1024405704293001</v>
      </c>
      <c r="AE6013">
        <v>1.34499999999999</v>
      </c>
      <c r="AF6013">
        <v>12.4175103877591</v>
      </c>
      <c r="AG6013">
        <v>-1.1024405704293001</v>
      </c>
      <c r="AH6013">
        <v>30.186585497338701</v>
      </c>
      <c r="AI6013">
        <v>91.934422880128494</v>
      </c>
      <c r="AJ6013">
        <v>67.639764636545394</v>
      </c>
      <c r="AK6013">
        <v>32.659453201631699</v>
      </c>
      <c r="AL6013">
        <v>81.930823594948393</v>
      </c>
      <c r="AM6013">
        <v>81.414610081337102</v>
      </c>
      <c r="AN6013">
        <v>0.99999996181754403</v>
      </c>
    </row>
    <row r="6014" spans="1:40" x14ac:dyDescent="0.25">
      <c r="A6014" t="str">
        <f>"20190304155540307"</f>
        <v>20190304155540307</v>
      </c>
      <c r="B6014" t="str">
        <f>"1551686140303920"</f>
        <v>1551686140303920</v>
      </c>
      <c r="C6014" t="s">
        <v>40</v>
      </c>
      <c r="D6014">
        <v>4.8210199999999999</v>
      </c>
      <c r="E6014">
        <v>0.57362669999999905</v>
      </c>
      <c r="F6014" t="s">
        <v>46</v>
      </c>
      <c r="G6014">
        <v>-140.26840000000001</v>
      </c>
      <c r="H6014" s="1">
        <v>-4.5564869999999998E-6</v>
      </c>
      <c r="I6014">
        <v>137.36490000000001</v>
      </c>
      <c r="J6014">
        <v>-172.0848</v>
      </c>
      <c r="K6014">
        <v>1.102643</v>
      </c>
      <c r="L6014">
        <v>136.35820000000001</v>
      </c>
      <c r="M6014">
        <v>0.91673550000000004</v>
      </c>
      <c r="N6014">
        <v>-1.472654E-2</v>
      </c>
      <c r="O6014">
        <v>0.3992232</v>
      </c>
      <c r="P6014">
        <v>0.95645060000000004</v>
      </c>
      <c r="Q6014">
        <v>0.13025619999999999</v>
      </c>
      <c r="R6014">
        <v>0.26122010000000001</v>
      </c>
      <c r="S6014">
        <v>3.1320800000000002</v>
      </c>
      <c r="T6014">
        <v>-0.1068385</v>
      </c>
      <c r="U6014">
        <v>0.11724850000000001</v>
      </c>
      <c r="V6014">
        <v>0.14503389999999999</v>
      </c>
      <c r="W6014">
        <v>0.14203399999999999</v>
      </c>
      <c r="X6014">
        <v>0.97917900000000002</v>
      </c>
      <c r="Y6014">
        <v>0.3643267</v>
      </c>
      <c r="Z6014">
        <v>-1.6168330000000002E-2</v>
      </c>
      <c r="AA6014">
        <v>0.93113080000000004</v>
      </c>
      <c r="AB6014">
        <v>27</v>
      </c>
      <c r="AC6014">
        <v>31.816399999999899</v>
      </c>
      <c r="AD6014">
        <v>-1.102647556487</v>
      </c>
      <c r="AE6014">
        <v>1.0066999999999899</v>
      </c>
      <c r="AF6014">
        <v>11.766126884660601</v>
      </c>
      <c r="AG6014">
        <v>-1.102647556487</v>
      </c>
      <c r="AH6014">
        <v>29.536887416770401</v>
      </c>
      <c r="AI6014">
        <v>91.986267732208503</v>
      </c>
      <c r="AJ6014">
        <v>68.279954718865895</v>
      </c>
      <c r="AK6014">
        <v>31.813287974849899</v>
      </c>
      <c r="AL6014">
        <v>81.834437814209096</v>
      </c>
      <c r="AM6014">
        <v>81.574728986660503</v>
      </c>
      <c r="AN6014">
        <v>1.0000000016731001</v>
      </c>
    </row>
    <row r="6015" spans="1:40" x14ac:dyDescent="0.25">
      <c r="A6015" t="str">
        <f>"20190304155540330"</f>
        <v>20190304155540330</v>
      </c>
      <c r="B6015" t="str">
        <f>"1551686140324416"</f>
        <v>1551686140324416</v>
      </c>
      <c r="C6015" t="s">
        <v>40</v>
      </c>
      <c r="D6015">
        <v>4.8657859999999999</v>
      </c>
      <c r="E6015">
        <v>0.57646140000000001</v>
      </c>
      <c r="F6015" t="s">
        <v>46</v>
      </c>
      <c r="G6015">
        <v>-152.8005</v>
      </c>
      <c r="H6015" s="1">
        <v>-3.4224309999999998E-6</v>
      </c>
      <c r="I6015">
        <v>137.6343</v>
      </c>
      <c r="J6015">
        <v>-171.82650000000001</v>
      </c>
      <c r="K6015">
        <v>1.1027290000000001</v>
      </c>
      <c r="L6015">
        <v>136.458</v>
      </c>
      <c r="M6015">
        <v>0.92087019999999997</v>
      </c>
      <c r="N6015">
        <v>-1.474721E-2</v>
      </c>
      <c r="O6015">
        <v>0.38959009999999999</v>
      </c>
      <c r="P6015">
        <v>0.95870390000000005</v>
      </c>
      <c r="Q6015">
        <v>0.1312904</v>
      </c>
      <c r="R6015">
        <v>0.25228909999999999</v>
      </c>
      <c r="S6015">
        <v>3.1046299999999998</v>
      </c>
      <c r="T6015">
        <v>-0.17751729999999999</v>
      </c>
      <c r="U6015">
        <v>0.2054443</v>
      </c>
      <c r="V6015">
        <v>0.1438344</v>
      </c>
      <c r="W6015">
        <v>0.14313890000000001</v>
      </c>
      <c r="X6015">
        <v>0.97919509999999998</v>
      </c>
      <c r="Y6015">
        <v>0.32699109999999998</v>
      </c>
      <c r="Z6015">
        <v>-2.757942E-2</v>
      </c>
      <c r="AA6015">
        <v>0.94462489999999999</v>
      </c>
      <c r="AB6015">
        <v>27</v>
      </c>
      <c r="AC6015">
        <v>19.026</v>
      </c>
      <c r="AD6015">
        <v>-1.102732422431</v>
      </c>
      <c r="AE6015">
        <v>1.1762999999999899</v>
      </c>
      <c r="AF6015">
        <v>6.3086984966653503</v>
      </c>
      <c r="AG6015">
        <v>-1.102732422431</v>
      </c>
      <c r="AH6015">
        <v>17.920736516229599</v>
      </c>
      <c r="AI6015">
        <v>93.321855789817207</v>
      </c>
      <c r="AJ6015">
        <v>70.606226836372798</v>
      </c>
      <c r="AK6015">
        <v>19.030724967836399</v>
      </c>
      <c r="AL6015">
        <v>81.770478683592401</v>
      </c>
      <c r="AM6015">
        <v>81.643557491314596</v>
      </c>
      <c r="AN6015">
        <v>1.00000006159028</v>
      </c>
    </row>
    <row r="6016" spans="1:40" x14ac:dyDescent="0.25">
      <c r="A6016" t="str">
        <f>"20190304155540352"</f>
        <v>20190304155540352</v>
      </c>
      <c r="B6016" t="str">
        <f>"1551686140343936"</f>
        <v>1551686140343936</v>
      </c>
      <c r="C6016" t="s">
        <v>40</v>
      </c>
      <c r="D6016">
        <v>4.910183</v>
      </c>
      <c r="E6016">
        <v>0.57321239999999996</v>
      </c>
      <c r="F6016" t="s">
        <v>46</v>
      </c>
      <c r="G6016">
        <v>-149.5677</v>
      </c>
      <c r="H6016" s="1">
        <v>-6.7752039999999996E-7</v>
      </c>
      <c r="I6016">
        <v>137.57040000000001</v>
      </c>
      <c r="J6016">
        <v>-171.5754</v>
      </c>
      <c r="K6016">
        <v>1.102792</v>
      </c>
      <c r="L6016">
        <v>136.5522</v>
      </c>
      <c r="M6016">
        <v>0.92475890000000005</v>
      </c>
      <c r="N6016">
        <v>-1.476367E-2</v>
      </c>
      <c r="O6016">
        <v>0.38026710000000002</v>
      </c>
      <c r="P6016">
        <v>0.96101859999999995</v>
      </c>
      <c r="Q6016">
        <v>0.12968759999999999</v>
      </c>
      <c r="R6016">
        <v>0.24418119999999999</v>
      </c>
      <c r="S6016">
        <v>3.109451</v>
      </c>
      <c r="T6016">
        <v>-0.15404570000000001</v>
      </c>
      <c r="U6016">
        <v>0.15539549999999999</v>
      </c>
      <c r="V6016">
        <v>0.14224100000000001</v>
      </c>
      <c r="W6016">
        <v>0.14161109999999999</v>
      </c>
      <c r="X6016">
        <v>0.97964980000000002</v>
      </c>
      <c r="Y6016">
        <v>0.33294010000000002</v>
      </c>
      <c r="Z6016">
        <v>-2.3370660000000001E-2</v>
      </c>
      <c r="AA6016">
        <v>0.94265829999999995</v>
      </c>
      <c r="AB6016">
        <v>27</v>
      </c>
      <c r="AC6016">
        <v>22.0077</v>
      </c>
      <c r="AD6016">
        <v>-1.10279267752039</v>
      </c>
      <c r="AE6016">
        <v>1.0182</v>
      </c>
      <c r="AF6016">
        <v>7.4094590490871601</v>
      </c>
      <c r="AG6016">
        <v>-1.10279267752039</v>
      </c>
      <c r="AH6016">
        <v>20.689425193433902</v>
      </c>
      <c r="AI6016">
        <v>92.872765646750196</v>
      </c>
      <c r="AJ6016">
        <v>70.296140555890801</v>
      </c>
      <c r="AK6016">
        <v>22.003830346655299</v>
      </c>
      <c r="AL6016">
        <v>81.858915344283503</v>
      </c>
      <c r="AM6016">
        <v>81.738627662033693</v>
      </c>
      <c r="AN6016">
        <v>0.999999968182124</v>
      </c>
    </row>
    <row r="6017" spans="1:40" x14ac:dyDescent="0.25">
      <c r="A6017" t="str">
        <f>"20190304155540375"</f>
        <v>20190304155540375</v>
      </c>
      <c r="B6017" t="str">
        <f>"1551686140364433"</f>
        <v>1551686140364433</v>
      </c>
      <c r="C6017" t="s">
        <v>40</v>
      </c>
      <c r="D6017">
        <v>4.9114449999999996</v>
      </c>
      <c r="E6017">
        <v>0.57289889999999999</v>
      </c>
      <c r="F6017" t="s">
        <v>46</v>
      </c>
      <c r="G6017">
        <v>-151.81200000000001</v>
      </c>
      <c r="H6017" s="1">
        <v>-3.8634659999999998E-6</v>
      </c>
      <c r="I6017">
        <v>137.5385</v>
      </c>
      <c r="J6017">
        <v>-171.3211</v>
      </c>
      <c r="K6017">
        <v>1.1028500000000001</v>
      </c>
      <c r="L6017">
        <v>136.6448</v>
      </c>
      <c r="M6017">
        <v>0.92856760000000005</v>
      </c>
      <c r="N6017">
        <v>-1.4776539999999999E-2</v>
      </c>
      <c r="O6017">
        <v>0.37086910000000001</v>
      </c>
      <c r="P6017">
        <v>0.96308760000000004</v>
      </c>
      <c r="Q6017">
        <v>0.12941259999999999</v>
      </c>
      <c r="R6017">
        <v>0.23604</v>
      </c>
      <c r="S6017">
        <v>3.1057130000000002</v>
      </c>
      <c r="T6017">
        <v>-0.173298799999999</v>
      </c>
      <c r="U6017">
        <v>0.1549835</v>
      </c>
      <c r="V6017">
        <v>0.14057979999999901</v>
      </c>
      <c r="W6017">
        <v>0.1414039</v>
      </c>
      <c r="X6017">
        <v>0.97991950000000005</v>
      </c>
      <c r="Y6017">
        <v>0.32324770000000003</v>
      </c>
      <c r="Z6017">
        <v>-2.6046050000000001E-2</v>
      </c>
      <c r="AA6017">
        <v>0.94595589999999996</v>
      </c>
      <c r="AB6017">
        <v>27</v>
      </c>
      <c r="AC6017">
        <v>19.509099999999901</v>
      </c>
      <c r="AD6017">
        <v>-1.1028538634659999</v>
      </c>
      <c r="AE6017">
        <v>0.89369999999999505</v>
      </c>
      <c r="AF6017">
        <v>6.3857966953873797</v>
      </c>
      <c r="AG6017">
        <v>-1.1028538634659999</v>
      </c>
      <c r="AH6017">
        <v>18.3903316070827</v>
      </c>
      <c r="AI6017">
        <v>93.242402721525195</v>
      </c>
      <c r="AJ6017">
        <v>70.851126070457795</v>
      </c>
      <c r="AK6017">
        <v>19.498691820156701</v>
      </c>
      <c r="AL6017">
        <v>81.870907843087494</v>
      </c>
      <c r="AM6017">
        <v>81.836018734255802</v>
      </c>
      <c r="AN6017">
        <v>0.99999998479174901</v>
      </c>
    </row>
    <row r="6018" spans="1:40" x14ac:dyDescent="0.25">
      <c r="A6018" t="str">
        <f>"20190304155540397"</f>
        <v>20190304155540397</v>
      </c>
      <c r="B6018" t="str">
        <f>"1551686140393712"</f>
        <v>1551686140393712</v>
      </c>
      <c r="C6018" t="s">
        <v>40</v>
      </c>
      <c r="D6018">
        <v>4.9777129999999996</v>
      </c>
      <c r="E6018">
        <v>0.57030119999999995</v>
      </c>
      <c r="F6018" t="s">
        <v>46</v>
      </c>
      <c r="G6018">
        <v>-151.91980000000001</v>
      </c>
      <c r="H6018" s="1">
        <v>-3.8280569999999997E-6</v>
      </c>
      <c r="I6018">
        <v>137.4776</v>
      </c>
      <c r="J6018">
        <v>-171.06610000000001</v>
      </c>
      <c r="K6018">
        <v>1.102911</v>
      </c>
      <c r="L6018">
        <v>136.7347</v>
      </c>
      <c r="M6018">
        <v>0.93226220000000004</v>
      </c>
      <c r="N6018">
        <v>-1.4785950000000001E-2</v>
      </c>
      <c r="O6018">
        <v>0.361481</v>
      </c>
      <c r="P6018">
        <v>0.96479440000000005</v>
      </c>
      <c r="Q6018">
        <v>0.12993289999999999</v>
      </c>
      <c r="R6018">
        <v>0.22866810000000001</v>
      </c>
      <c r="S6018">
        <v>3.106033</v>
      </c>
      <c r="T6018">
        <v>-0.17655979999999999</v>
      </c>
      <c r="U6018">
        <v>0.13333130000000001</v>
      </c>
      <c r="V6018">
        <v>0.1381454</v>
      </c>
      <c r="W6018">
        <v>0.14200099999999999</v>
      </c>
      <c r="X6018">
        <v>0.98017940000000003</v>
      </c>
      <c r="Y6018">
        <v>0.32026090000000002</v>
      </c>
      <c r="Z6018">
        <v>-2.614205E-2</v>
      </c>
      <c r="AA6018">
        <v>0.94696860000000005</v>
      </c>
      <c r="AB6018">
        <v>27</v>
      </c>
      <c r="AC6018">
        <v>19.1463</v>
      </c>
      <c r="AD6018">
        <v>-1.102914828057</v>
      </c>
      <c r="AE6018">
        <v>0.74289999999999101</v>
      </c>
      <c r="AF6018">
        <v>6.2085563874141201</v>
      </c>
      <c r="AG6018">
        <v>-1.102914828057</v>
      </c>
      <c r="AH6018">
        <v>18.060058896941399</v>
      </c>
      <c r="AI6018">
        <v>93.305274282158294</v>
      </c>
      <c r="AJ6018">
        <v>71.028425687298906</v>
      </c>
      <c r="AK6018">
        <v>19.129253014549299</v>
      </c>
      <c r="AL6018">
        <v>81.836348298854006</v>
      </c>
      <c r="AM6018">
        <v>81.977635896772895</v>
      </c>
      <c r="AN6018">
        <v>1.0000000458632501</v>
      </c>
    </row>
    <row r="6019" spans="1:40" x14ac:dyDescent="0.25">
      <c r="A6019" t="str">
        <f>"20190304155540419"</f>
        <v>20190304155540419</v>
      </c>
      <c r="B6019" t="str">
        <f>"1551686140414212"</f>
        <v>1551686140414212</v>
      </c>
      <c r="C6019" t="s">
        <v>40</v>
      </c>
      <c r="D6019">
        <v>4.9313229999999999</v>
      </c>
      <c r="E6019">
        <v>0.56956180000000001</v>
      </c>
      <c r="F6019" t="s">
        <v>46</v>
      </c>
      <c r="G6019">
        <v>-152.30690000000001</v>
      </c>
      <c r="H6019" s="1">
        <v>-3.6542149999999999E-6</v>
      </c>
      <c r="I6019">
        <v>137.52119999999999</v>
      </c>
      <c r="J6019">
        <v>-170.81460000000001</v>
      </c>
      <c r="K6019">
        <v>1.1029789999999999</v>
      </c>
      <c r="L6019">
        <v>136.82069999999999</v>
      </c>
      <c r="M6019">
        <v>0.93579020000000002</v>
      </c>
      <c r="N6019">
        <v>-1.4792599999999999E-2</v>
      </c>
      <c r="O6019">
        <v>0.35224709999999998</v>
      </c>
      <c r="P6019">
        <v>0.96640060000000005</v>
      </c>
      <c r="Q6019">
        <v>0.13054950000000001</v>
      </c>
      <c r="R6019">
        <v>0.2214206</v>
      </c>
      <c r="S6019">
        <v>3.1031949999999999</v>
      </c>
      <c r="T6019">
        <v>-0.18244730000000001</v>
      </c>
      <c r="U6019">
        <v>0.1301117</v>
      </c>
      <c r="V6019">
        <v>0.135770899999999</v>
      </c>
      <c r="W6019">
        <v>0.1426868</v>
      </c>
      <c r="X6019">
        <v>0.98041149999999999</v>
      </c>
      <c r="Y6019">
        <v>0.3117856</v>
      </c>
      <c r="Z6019">
        <v>-2.64643E-2</v>
      </c>
      <c r="AA6019">
        <v>0.94978390000000001</v>
      </c>
      <c r="AB6019">
        <v>27</v>
      </c>
      <c r="AC6019">
        <v>18.5077</v>
      </c>
      <c r="AD6019">
        <v>-1.1029826542150001</v>
      </c>
      <c r="AE6019">
        <v>0.70050000000000501</v>
      </c>
      <c r="AF6019">
        <v>5.8436787510350801</v>
      </c>
      <c r="AG6019">
        <v>-1.1029826542150001</v>
      </c>
      <c r="AH6019">
        <v>17.505908140123001</v>
      </c>
      <c r="AI6019">
        <v>93.420182487459101</v>
      </c>
      <c r="AJ6019">
        <v>71.540381881039707</v>
      </c>
      <c r="AK6019">
        <v>18.488428053547999</v>
      </c>
      <c r="AL6019">
        <v>81.796650118546296</v>
      </c>
      <c r="AM6019">
        <v>82.115621234473707</v>
      </c>
      <c r="AN6019">
        <v>0.99999998475664897</v>
      </c>
    </row>
    <row r="6020" spans="1:40" x14ac:dyDescent="0.25">
      <c r="A6020" t="str">
        <f>"20190304155540441"</f>
        <v>20190304155540441</v>
      </c>
      <c r="B6020" t="str">
        <f>"1551686140433728"</f>
        <v>1551686140433728</v>
      </c>
      <c r="C6020" t="s">
        <v>40</v>
      </c>
      <c r="D6020">
        <v>4.8773160000000004</v>
      </c>
      <c r="E6020">
        <v>0.56918009999999997</v>
      </c>
      <c r="F6020" t="s">
        <v>46</v>
      </c>
      <c r="G6020">
        <v>-151.82740000000001</v>
      </c>
      <c r="H6020" s="1">
        <v>-3.8628240000000003E-6</v>
      </c>
      <c r="I6020">
        <v>137.50479999999999</v>
      </c>
      <c r="J6020">
        <v>-170.56190000000001</v>
      </c>
      <c r="K6020">
        <v>1.1030260000000001</v>
      </c>
      <c r="L6020">
        <v>136.90430000000001</v>
      </c>
      <c r="M6020">
        <v>0.93922439999999996</v>
      </c>
      <c r="N6020">
        <v>-1.4797650000000001E-2</v>
      </c>
      <c r="O6020">
        <v>0.34298479999999998</v>
      </c>
      <c r="P6020">
        <v>0.968059</v>
      </c>
      <c r="Q6020">
        <v>0.1316483</v>
      </c>
      <c r="R6020">
        <v>0.2133794</v>
      </c>
      <c r="S6020">
        <v>3.103043</v>
      </c>
      <c r="T6020">
        <v>-0.18025859999999999</v>
      </c>
      <c r="U6020">
        <v>0.1118164</v>
      </c>
      <c r="V6020">
        <v>0.13418529999999901</v>
      </c>
      <c r="W6020">
        <v>0.14383309999999999</v>
      </c>
      <c r="X6020">
        <v>0.98046230000000001</v>
      </c>
      <c r="Y6020">
        <v>0.3080271</v>
      </c>
      <c r="Z6020">
        <v>-2.5619619999999999E-2</v>
      </c>
      <c r="AA6020">
        <v>0.95103260000000001</v>
      </c>
      <c r="AB6020">
        <v>27</v>
      </c>
      <c r="AC6020">
        <v>18.734500000000001</v>
      </c>
      <c r="AD6020">
        <v>-1.1030298628240001</v>
      </c>
      <c r="AE6020">
        <v>0.60049999999998205</v>
      </c>
      <c r="AF6020">
        <v>5.8420556424434897</v>
      </c>
      <c r="AG6020">
        <v>-1.1030298628240001</v>
      </c>
      <c r="AH6020">
        <v>17.742370425148401</v>
      </c>
      <c r="AI6020">
        <v>93.379419609813098</v>
      </c>
      <c r="AJ6020">
        <v>71.774762829866702</v>
      </c>
      <c r="AK6020">
        <v>18.711974703672201</v>
      </c>
      <c r="AL6020">
        <v>81.730287468434</v>
      </c>
      <c r="AM6020">
        <v>82.206959669029004</v>
      </c>
      <c r="AN6020">
        <v>0.99999998855649497</v>
      </c>
    </row>
    <row r="6021" spans="1:40" x14ac:dyDescent="0.25">
      <c r="A6021" t="str">
        <f>"20190304155540464"</f>
        <v>20190304155540464</v>
      </c>
      <c r="B6021" t="str">
        <f>"1551686140454224"</f>
        <v>1551686140454224</v>
      </c>
      <c r="C6021" t="s">
        <v>40</v>
      </c>
      <c r="D6021">
        <v>4.9464079999999999</v>
      </c>
      <c r="E6021">
        <v>0.56847409999999998</v>
      </c>
      <c r="F6021" t="s">
        <v>46</v>
      </c>
      <c r="G6021">
        <v>-150.80510000000001</v>
      </c>
      <c r="H6021" s="1">
        <v>-4.3080019999999997E-6</v>
      </c>
      <c r="I6021">
        <v>137.46780000000001</v>
      </c>
      <c r="J6021">
        <v>-170.2987</v>
      </c>
      <c r="K6021">
        <v>1.103073</v>
      </c>
      <c r="L6021">
        <v>136.98830000000001</v>
      </c>
      <c r="M6021">
        <v>0.94268730000000001</v>
      </c>
      <c r="N6021">
        <v>-1.480164E-2</v>
      </c>
      <c r="O6021">
        <v>0.33334899999999901</v>
      </c>
      <c r="P6021">
        <v>0.96985969999999999</v>
      </c>
      <c r="Q6021">
        <v>0.13243250000000001</v>
      </c>
      <c r="R6021">
        <v>0.2045332</v>
      </c>
      <c r="S6021">
        <v>3.103043</v>
      </c>
      <c r="T6021">
        <v>-0.17324349999999999</v>
      </c>
      <c r="U6021">
        <v>8.8500980000000007E-2</v>
      </c>
      <c r="V6021">
        <v>0.1330596</v>
      </c>
      <c r="W6021">
        <v>0.1446527</v>
      </c>
      <c r="X6021">
        <v>0.98049520000000001</v>
      </c>
      <c r="Y6021">
        <v>0.30551109999999998</v>
      </c>
      <c r="Z6021">
        <v>-2.407157E-2</v>
      </c>
      <c r="AA6021">
        <v>0.95188419999999896</v>
      </c>
      <c r="AB6021">
        <v>27</v>
      </c>
      <c r="AC6021">
        <v>19.493599999999901</v>
      </c>
      <c r="AD6021">
        <v>-1.103077308002</v>
      </c>
      <c r="AE6021">
        <v>0.47950000000000098</v>
      </c>
      <c r="AF6021">
        <v>6.0275272077792401</v>
      </c>
      <c r="AG6021">
        <v>-1.103077308002</v>
      </c>
      <c r="AH6021">
        <v>18.479105760861401</v>
      </c>
      <c r="AI6021">
        <v>93.248083420921205</v>
      </c>
      <c r="AJ6021">
        <v>71.934674570301198</v>
      </c>
      <c r="AK6021">
        <v>19.468569888644801</v>
      </c>
      <c r="AL6021">
        <v>81.682832072766402</v>
      </c>
      <c r="AM6021">
        <v>82.271799410731603</v>
      </c>
      <c r="AN6021">
        <v>1.00000004899624</v>
      </c>
    </row>
    <row r="6022" spans="1:40" x14ac:dyDescent="0.25">
      <c r="A6022" t="str">
        <f>"20190304155540486"</f>
        <v>20190304155540486</v>
      </c>
      <c r="B6022" t="str">
        <f>"1551686140473744"</f>
        <v>1551686140473744</v>
      </c>
      <c r="C6022" t="s">
        <v>40</v>
      </c>
      <c r="D6022">
        <v>4.8951589999999996</v>
      </c>
      <c r="E6022">
        <v>0.56777549999999999</v>
      </c>
      <c r="F6022" t="s">
        <v>46</v>
      </c>
      <c r="G6022">
        <v>-150.26079999999999</v>
      </c>
      <c r="H6022" s="1">
        <v>-4.5513989999999999E-6</v>
      </c>
      <c r="I6022">
        <v>137.4119</v>
      </c>
      <c r="J6022">
        <v>-170.04920000000001</v>
      </c>
      <c r="K6022">
        <v>1.103105</v>
      </c>
      <c r="L6022">
        <v>137.0652</v>
      </c>
      <c r="M6022">
        <v>0.94586959999999998</v>
      </c>
      <c r="N6022">
        <v>-1.4804609999999999E-2</v>
      </c>
      <c r="O6022">
        <v>0.32420900000000002</v>
      </c>
      <c r="P6022">
        <v>0.97147430000000001</v>
      </c>
      <c r="Q6022">
        <v>0.13265099999999999</v>
      </c>
      <c r="R6022">
        <v>0.196574</v>
      </c>
      <c r="S6022">
        <v>3.1027070000000001</v>
      </c>
      <c r="T6022">
        <v>-0.17080200000000001</v>
      </c>
      <c r="U6022">
        <v>6.5597530000000001E-2</v>
      </c>
      <c r="V6022">
        <v>0.13159089999999901</v>
      </c>
      <c r="W6022">
        <v>0.14491019999999999</v>
      </c>
      <c r="X6022">
        <v>0.98065530000000001</v>
      </c>
      <c r="Y6022">
        <v>0.30335030000000002</v>
      </c>
      <c r="Z6022">
        <v>-2.3291889999999999E-2</v>
      </c>
      <c r="AA6022">
        <v>0.95259439999999995</v>
      </c>
      <c r="AB6022">
        <v>26</v>
      </c>
      <c r="AC6022">
        <v>19.788399999999999</v>
      </c>
      <c r="AD6022">
        <v>-1.1031095513989999</v>
      </c>
      <c r="AE6022">
        <v>0.34669999999999801</v>
      </c>
      <c r="AF6022">
        <v>6.0694565178865503</v>
      </c>
      <c r="AG6022">
        <v>-1.1031095513989999</v>
      </c>
      <c r="AH6022">
        <v>18.773392490553199</v>
      </c>
      <c r="AI6022">
        <v>93.200067359290202</v>
      </c>
      <c r="AJ6022">
        <v>72.083928152649605</v>
      </c>
      <c r="AK6022">
        <v>19.760956927974501</v>
      </c>
      <c r="AL6022">
        <v>81.667920677849295</v>
      </c>
      <c r="AM6022">
        <v>82.3573216698545</v>
      </c>
      <c r="AN6022">
        <v>0.999999974222469</v>
      </c>
    </row>
    <row r="6023" spans="1:40" x14ac:dyDescent="0.25">
      <c r="A6023" t="str">
        <f>"20190304155540508"</f>
        <v>20190304155540508</v>
      </c>
      <c r="B6023" t="str">
        <f>"1551686140504004"</f>
        <v>1551686140504004</v>
      </c>
      <c r="C6023" t="s">
        <v>40</v>
      </c>
      <c r="D6023">
        <v>4.5365690000000001</v>
      </c>
      <c r="E6023">
        <v>0.56746509999999994</v>
      </c>
      <c r="F6023" t="s">
        <v>46</v>
      </c>
      <c r="G6023">
        <v>-149.87440000000001</v>
      </c>
      <c r="H6023" s="1">
        <v>-6.3060689999999998E-7</v>
      </c>
      <c r="I6023">
        <v>137.3545</v>
      </c>
      <c r="J6023">
        <v>-169.7912</v>
      </c>
      <c r="K6023">
        <v>1.1031340000000001</v>
      </c>
      <c r="L6023">
        <v>137.142</v>
      </c>
      <c r="M6023">
        <v>0.94905680000000003</v>
      </c>
      <c r="N6023">
        <v>-1.480691E-2</v>
      </c>
      <c r="O6023">
        <v>0.31475690000000001</v>
      </c>
      <c r="P6023">
        <v>0.97278889999999996</v>
      </c>
      <c r="Q6023">
        <v>0.134327799999999</v>
      </c>
      <c r="R6023">
        <v>0.18878059999999999</v>
      </c>
      <c r="S6023">
        <v>3.102249</v>
      </c>
      <c r="T6023">
        <v>-0.16962269999999999</v>
      </c>
      <c r="U6023">
        <v>4.4479369999999997E-2</v>
      </c>
      <c r="V6023">
        <v>0.12961420000000001</v>
      </c>
      <c r="W6023">
        <v>0.1466307</v>
      </c>
      <c r="X6023">
        <v>0.98066279999999995</v>
      </c>
      <c r="Y6023">
        <v>0.3003479</v>
      </c>
      <c r="Z6023">
        <v>-2.2671319999999998E-2</v>
      </c>
      <c r="AA6023">
        <v>0.95356019999999997</v>
      </c>
      <c r="AB6023">
        <v>26</v>
      </c>
      <c r="AC6023">
        <v>19.916799999999899</v>
      </c>
      <c r="AD6023">
        <v>-1.1031346306068901</v>
      </c>
      <c r="AE6023">
        <v>0.21250000000000499</v>
      </c>
      <c r="AF6023">
        <v>6.0493851930039204</v>
      </c>
      <c r="AG6023">
        <v>-1.1031346306068901</v>
      </c>
      <c r="AH6023">
        <v>18.913126600034701</v>
      </c>
      <c r="AI6023">
        <v>93.179734063661996</v>
      </c>
      <c r="AJ6023">
        <v>72.263065265861798</v>
      </c>
      <c r="AK6023">
        <v>19.887642520306901</v>
      </c>
      <c r="AL6023">
        <v>81.568278867287503</v>
      </c>
      <c r="AM6023">
        <v>82.470856542437105</v>
      </c>
      <c r="AN6023">
        <v>0.99999996516398404</v>
      </c>
    </row>
    <row r="6024" spans="1:40" x14ac:dyDescent="0.25">
      <c r="A6024" t="str">
        <f>"20190304155540531"</f>
        <v>20190304155540531</v>
      </c>
      <c r="B6024" t="str">
        <f>"1551686140524496"</f>
        <v>1551686140524496</v>
      </c>
      <c r="C6024" t="s">
        <v>40</v>
      </c>
      <c r="D6024">
        <v>4.8703799999999999</v>
      </c>
      <c r="E6024">
        <v>0.56716449999999996</v>
      </c>
      <c r="F6024" t="s">
        <v>46</v>
      </c>
      <c r="G6024">
        <v>-148.6326</v>
      </c>
      <c r="H6024" s="1">
        <v>-1.0713109999999999E-6</v>
      </c>
      <c r="I6024">
        <v>137.28630000000001</v>
      </c>
      <c r="J6024">
        <v>-169.53319999999999</v>
      </c>
      <c r="K6024">
        <v>1.1031569999999999</v>
      </c>
      <c r="L6024">
        <v>137.2159</v>
      </c>
      <c r="M6024">
        <v>0.95214860000000001</v>
      </c>
      <c r="N6024">
        <v>-1.480894E-2</v>
      </c>
      <c r="O6024">
        <v>0.30527659999999901</v>
      </c>
      <c r="P6024">
        <v>0.97384329999999997</v>
      </c>
      <c r="Q6024">
        <v>0.1372632</v>
      </c>
      <c r="R6024">
        <v>0.18107529999999999</v>
      </c>
      <c r="S6024">
        <v>3.1021269999999999</v>
      </c>
      <c r="T6024">
        <v>-0.16173399999999999</v>
      </c>
      <c r="U6024">
        <v>2.1163939999999999E-2</v>
      </c>
      <c r="V6024">
        <v>0.12751379999999901</v>
      </c>
      <c r="W6024">
        <v>0.149606399999999</v>
      </c>
      <c r="X6024">
        <v>0.98048869999999999</v>
      </c>
      <c r="Y6024">
        <v>0.2980873</v>
      </c>
      <c r="Z6024">
        <v>-2.1105539999999999E-2</v>
      </c>
      <c r="AA6024">
        <v>0.95430530000000002</v>
      </c>
      <c r="AB6024">
        <v>26</v>
      </c>
      <c r="AC6024">
        <v>20.900600000000001</v>
      </c>
      <c r="AD6024">
        <v>-1.1031580713110001</v>
      </c>
      <c r="AE6024">
        <v>7.0400000000006402E-2</v>
      </c>
      <c r="AF6024">
        <v>6.2965838904200799</v>
      </c>
      <c r="AG6024">
        <v>-1.1031580713110001</v>
      </c>
      <c r="AH6024">
        <v>19.868801810851799</v>
      </c>
      <c r="AI6024">
        <v>93.029718638470797</v>
      </c>
      <c r="AJ6024">
        <v>72.416170607681806</v>
      </c>
      <c r="AK6024">
        <v>20.8718281858179</v>
      </c>
      <c r="AL6024">
        <v>81.395882158804497</v>
      </c>
      <c r="AM6024">
        <v>82.5901991931228</v>
      </c>
      <c r="AN6024">
        <v>0.999999967469544</v>
      </c>
    </row>
    <row r="6025" spans="1:40" x14ac:dyDescent="0.25">
      <c r="A6025" t="str">
        <f>"20190304155540553"</f>
        <v>20190304155540553</v>
      </c>
      <c r="B6025" t="str">
        <f>"1551686140544016"</f>
        <v>1551686140544016</v>
      </c>
      <c r="C6025" t="s">
        <v>40</v>
      </c>
      <c r="D6025">
        <v>4.6231749999999998</v>
      </c>
      <c r="E6025">
        <v>0.56920859999999995</v>
      </c>
      <c r="F6025" t="s">
        <v>46</v>
      </c>
      <c r="G6025">
        <v>-146.67859999999999</v>
      </c>
      <c r="H6025" s="1">
        <v>-1.833796E-6</v>
      </c>
      <c r="I6025">
        <v>137.21119999999999</v>
      </c>
      <c r="J6025">
        <v>-169.26820000000001</v>
      </c>
      <c r="K6025">
        <v>1.103167</v>
      </c>
      <c r="L6025">
        <v>137.28899999999999</v>
      </c>
      <c r="M6025">
        <v>0.95522770000000001</v>
      </c>
      <c r="N6025">
        <v>-1.481172E-2</v>
      </c>
      <c r="O6025">
        <v>0.29550029999999999</v>
      </c>
      <c r="P6025">
        <v>0.97472769999999997</v>
      </c>
      <c r="Q6025">
        <v>0.14018510000000001</v>
      </c>
      <c r="R6025">
        <v>0.17393719999999999</v>
      </c>
      <c r="S6025">
        <v>3.101807</v>
      </c>
      <c r="T6025">
        <v>-0.14971950000000001</v>
      </c>
      <c r="U6025">
        <v>-6.408691E-4</v>
      </c>
      <c r="V6025">
        <v>0.12456639999999999</v>
      </c>
      <c r="W6025">
        <v>0.1525821</v>
      </c>
      <c r="X6025">
        <v>0.98040910000000003</v>
      </c>
      <c r="Y6025">
        <v>0.295126</v>
      </c>
      <c r="Z6025">
        <v>-1.8972900000000001E-2</v>
      </c>
      <c r="AA6025">
        <v>0.95526999999999995</v>
      </c>
      <c r="AB6025">
        <v>26</v>
      </c>
      <c r="AC6025">
        <v>22.589600000000001</v>
      </c>
      <c r="AD6025">
        <v>-1.1031688337959999</v>
      </c>
      <c r="AE6025">
        <v>-7.7799999999996303E-2</v>
      </c>
      <c r="AF6025">
        <v>6.7342314050029302</v>
      </c>
      <c r="AG6025">
        <v>-1.1031688337959999</v>
      </c>
      <c r="AH6025">
        <v>21.506299653733301</v>
      </c>
      <c r="AI6025">
        <v>92.802473170358795</v>
      </c>
      <c r="AJ6025">
        <v>72.613184185293903</v>
      </c>
      <c r="AK6025">
        <v>22.562973626899399</v>
      </c>
      <c r="AL6025">
        <v>81.223407586779601</v>
      </c>
      <c r="AM6025">
        <v>82.759051714837696</v>
      </c>
      <c r="AN6025">
        <v>1.0000000443060799</v>
      </c>
    </row>
    <row r="6026" spans="1:40" x14ac:dyDescent="0.25">
      <c r="A6026" t="str">
        <f>"20190304155540578"</f>
        <v>20190304155540578</v>
      </c>
      <c r="B6026" t="str">
        <f>"1551686140574272"</f>
        <v>1551686140574272</v>
      </c>
      <c r="C6026" t="s">
        <v>40</v>
      </c>
      <c r="D6026">
        <v>4.6400589999999999</v>
      </c>
      <c r="E6026">
        <v>0.5854395</v>
      </c>
      <c r="F6026" t="s">
        <v>46</v>
      </c>
      <c r="G6026">
        <v>-141.46369999999999</v>
      </c>
      <c r="H6026" s="1">
        <v>-4.1180740000000001E-6</v>
      </c>
      <c r="I6026">
        <v>136.94560000000001</v>
      </c>
      <c r="J6026">
        <v>-168.99430000000001</v>
      </c>
      <c r="K6026">
        <v>1.1031789999999999</v>
      </c>
      <c r="L6026">
        <v>137.36150000000001</v>
      </c>
      <c r="M6026">
        <v>0.95831319999999998</v>
      </c>
      <c r="N6026">
        <v>-1.48158E-2</v>
      </c>
      <c r="O6026">
        <v>0.28533570000000003</v>
      </c>
      <c r="P6026">
        <v>0.97566989999999998</v>
      </c>
      <c r="Q6026">
        <v>0.1423566</v>
      </c>
      <c r="R6026">
        <v>0.16674320000000001</v>
      </c>
      <c r="S6026">
        <v>3.102325</v>
      </c>
      <c r="T6026">
        <v>-0.12308760000000001</v>
      </c>
      <c r="U6026">
        <v>-3.8314819999999999E-2</v>
      </c>
      <c r="V6026">
        <v>0.1213277</v>
      </c>
      <c r="W6026">
        <v>0.15481120000000001</v>
      </c>
      <c r="X6026">
        <v>0.98046580000000005</v>
      </c>
      <c r="Y6026">
        <v>0.296778599999999</v>
      </c>
      <c r="Z6026">
        <v>-1.501621E-2</v>
      </c>
      <c r="AA6026">
        <v>0.95482829999999996</v>
      </c>
      <c r="AB6026">
        <v>26</v>
      </c>
      <c r="AC6026">
        <v>27.5306</v>
      </c>
      <c r="AD6026">
        <v>-1.1031831180739999</v>
      </c>
      <c r="AE6026">
        <v>-0.415899999999993</v>
      </c>
      <c r="AF6026">
        <v>8.2417002254491294</v>
      </c>
      <c r="AG6026">
        <v>-1.1031831180739999</v>
      </c>
      <c r="AH6026">
        <v>26.225047362928699</v>
      </c>
      <c r="AI6026">
        <v>92.2980986107723</v>
      </c>
      <c r="AJ6026">
        <v>72.5537212950765</v>
      </c>
      <c r="AK6026">
        <v>27.511738309056799</v>
      </c>
      <c r="AL6026">
        <v>81.094153824137706</v>
      </c>
      <c r="AM6026">
        <v>82.945796833082198</v>
      </c>
      <c r="AN6026">
        <v>1.00000005170118</v>
      </c>
    </row>
    <row r="6027" spans="1:40" x14ac:dyDescent="0.25">
      <c r="A6027" t="str">
        <f>"20190304155540600"</f>
        <v>20190304155540600</v>
      </c>
      <c r="B6027" t="str">
        <f>"1551686140593793"</f>
        <v>1551686140593793</v>
      </c>
      <c r="C6027" t="s">
        <v>40</v>
      </c>
      <c r="D6027">
        <v>4.6217610000000002</v>
      </c>
      <c r="E6027">
        <v>0.58389380000000002</v>
      </c>
      <c r="F6027" t="s">
        <v>43</v>
      </c>
      <c r="G6027">
        <v>0</v>
      </c>
      <c r="H6027">
        <v>0</v>
      </c>
      <c r="I6027">
        <v>0</v>
      </c>
      <c r="J6027">
        <v>-168.7379</v>
      </c>
      <c r="K6027">
        <v>1.103173</v>
      </c>
      <c r="L6027">
        <v>137.4265</v>
      </c>
      <c r="M6027">
        <v>0.96111239999999998</v>
      </c>
      <c r="N6027">
        <v>-1.482052E-2</v>
      </c>
      <c r="O6027">
        <v>0.27575949999999999</v>
      </c>
      <c r="P6027">
        <v>0.97641140000000004</v>
      </c>
      <c r="Q6027">
        <v>0.14454139999999999</v>
      </c>
      <c r="R6027">
        <v>0.1604014</v>
      </c>
      <c r="S6027">
        <v>3.0991360000000001</v>
      </c>
      <c r="T6027">
        <v>4.8983690000000003E-2</v>
      </c>
      <c r="U6027">
        <v>-0.18429570000000001</v>
      </c>
      <c r="V6027">
        <v>0.1178638</v>
      </c>
      <c r="W6027">
        <v>0.157057</v>
      </c>
      <c r="X6027">
        <v>0.98053109999999999</v>
      </c>
      <c r="Y6027">
        <v>0.33223180000000002</v>
      </c>
      <c r="Z6027">
        <v>8.5942239999999993E-3</v>
      </c>
      <c r="AA6027">
        <v>0.94315859999999996</v>
      </c>
      <c r="AB6027">
        <v>26</v>
      </c>
      <c r="AC6027">
        <v>3.0991360000000001</v>
      </c>
      <c r="AD6027">
        <v>4.8983690000000003E-2</v>
      </c>
      <c r="AE6027">
        <v>-0.18429570000000001</v>
      </c>
      <c r="AF6027">
        <v>1.0316016044799401</v>
      </c>
      <c r="AG6027">
        <v>4.8983690000000003E-2</v>
      </c>
      <c r="AH6027">
        <v>2.9273896168256499</v>
      </c>
      <c r="AI6027">
        <v>89.095853096691997</v>
      </c>
      <c r="AJ6027">
        <v>70.587725091916894</v>
      </c>
      <c r="AK6027">
        <v>3.1042247407283901</v>
      </c>
      <c r="AL6027">
        <v>80.963885021973994</v>
      </c>
      <c r="AM6027">
        <v>83.145702165147696</v>
      </c>
      <c r="AN6027">
        <v>1.00000000733332</v>
      </c>
    </row>
    <row r="6028" spans="1:40" x14ac:dyDescent="0.25">
      <c r="A6028" t="str">
        <f>"20190304155540625"</f>
        <v>20190304155540625</v>
      </c>
      <c r="B6028" t="str">
        <f>"1551686140614289"</f>
        <v>1551686140614289</v>
      </c>
      <c r="C6028" t="s">
        <v>40</v>
      </c>
      <c r="D6028">
        <v>4.6766569999999996</v>
      </c>
      <c r="E6028">
        <v>0.58263199999999904</v>
      </c>
      <c r="F6028" t="s">
        <v>43</v>
      </c>
      <c r="G6028">
        <v>0</v>
      </c>
      <c r="H6028">
        <v>0</v>
      </c>
      <c r="I6028">
        <v>0</v>
      </c>
      <c r="J6028">
        <v>-168.4573</v>
      </c>
      <c r="K6028">
        <v>1.103156</v>
      </c>
      <c r="L6028">
        <v>137.49430000000001</v>
      </c>
      <c r="M6028">
        <v>0.96407730000000003</v>
      </c>
      <c r="N6028">
        <v>-1.4826199999999999E-2</v>
      </c>
      <c r="O6028">
        <v>0.26520769999999999</v>
      </c>
      <c r="P6028">
        <v>0.97709820000000003</v>
      </c>
      <c r="Q6028">
        <v>0.14671909999999999</v>
      </c>
      <c r="R6028">
        <v>0.154118899999999</v>
      </c>
      <c r="S6028">
        <v>3.0965579999999999</v>
      </c>
      <c r="T6028">
        <v>5.1706309999999998E-2</v>
      </c>
      <c r="U6028">
        <v>-0.1932373</v>
      </c>
      <c r="V6028">
        <v>0.1133735</v>
      </c>
      <c r="W6028">
        <v>0.15931419999999999</v>
      </c>
      <c r="X6028">
        <v>0.98069640000000002</v>
      </c>
      <c r="Y6028">
        <v>0.32463769999999997</v>
      </c>
      <c r="Z6028">
        <v>8.6468129999999997E-3</v>
      </c>
      <c r="AA6028">
        <v>0.9457989</v>
      </c>
      <c r="AB6028">
        <v>26</v>
      </c>
      <c r="AC6028">
        <v>3.0965579999999999</v>
      </c>
      <c r="AD6028">
        <v>5.1706309999999998E-2</v>
      </c>
      <c r="AE6028">
        <v>-0.1932373</v>
      </c>
      <c r="AF6028">
        <v>1.0073576978843499</v>
      </c>
      <c r="AG6028">
        <v>5.1706309999999998E-2</v>
      </c>
      <c r="AH6028">
        <v>2.93358103890735</v>
      </c>
      <c r="AI6028">
        <v>89.044956052741995</v>
      </c>
      <c r="AJ6028">
        <v>71.048122998688697</v>
      </c>
      <c r="AK6028">
        <v>3.1021509933943299</v>
      </c>
      <c r="AL6028">
        <v>80.832907781306801</v>
      </c>
      <c r="AM6028">
        <v>83.405589109834906</v>
      </c>
      <c r="AN6028">
        <v>0.999999996898425</v>
      </c>
    </row>
    <row r="6029" spans="1:40" x14ac:dyDescent="0.25">
      <c r="A6029" t="str">
        <f>"20190304155540648"</f>
        <v>20190304155540648</v>
      </c>
      <c r="B6029" t="str">
        <f>"1551686140644544"</f>
        <v>1551686140644544</v>
      </c>
      <c r="C6029" t="s">
        <v>40</v>
      </c>
      <c r="D6029">
        <v>4.6120650000000003</v>
      </c>
      <c r="E6029">
        <v>0.57985399999999998</v>
      </c>
      <c r="F6029" t="s">
        <v>43</v>
      </c>
      <c r="G6029">
        <v>0</v>
      </c>
      <c r="H6029">
        <v>0</v>
      </c>
      <c r="I6029">
        <v>0</v>
      </c>
      <c r="J6029">
        <v>-168.18090000000001</v>
      </c>
      <c r="K6029">
        <v>1.1031470000000001</v>
      </c>
      <c r="L6029">
        <v>137.55779999999999</v>
      </c>
      <c r="M6029">
        <v>0.96689860000000005</v>
      </c>
      <c r="N6029">
        <v>-1.4831799999999999E-2</v>
      </c>
      <c r="O6029">
        <v>0.2547297</v>
      </c>
      <c r="P6029">
        <v>0.97760950000000002</v>
      </c>
      <c r="Q6029">
        <v>0.14889229999999901</v>
      </c>
      <c r="R6029">
        <v>0.14869849999999901</v>
      </c>
      <c r="S6029">
        <v>3.0947420000000001</v>
      </c>
      <c r="T6029">
        <v>5.1086310000000003E-2</v>
      </c>
      <c r="U6029">
        <v>-0.20338439999999999</v>
      </c>
      <c r="V6029">
        <v>0.1081208</v>
      </c>
      <c r="W6029">
        <v>0.16158220000000001</v>
      </c>
      <c r="X6029">
        <v>0.98091850000000003</v>
      </c>
      <c r="Y6029">
        <v>0.31749460000000002</v>
      </c>
      <c r="Z6029">
        <v>8.2315659999999992E-3</v>
      </c>
      <c r="AA6029">
        <v>0.94822439999999997</v>
      </c>
      <c r="AB6029">
        <v>26</v>
      </c>
      <c r="AC6029">
        <v>3.0947420000000001</v>
      </c>
      <c r="AD6029">
        <v>5.1086310000000003E-2</v>
      </c>
      <c r="AE6029">
        <v>-0.20338439999999999</v>
      </c>
      <c r="AF6029">
        <v>0.98481589314528095</v>
      </c>
      <c r="AG6029">
        <v>5.1086310000000003E-2</v>
      </c>
      <c r="AH6029">
        <v>2.9400192888386201</v>
      </c>
      <c r="AI6029">
        <v>89.056057814819695</v>
      </c>
      <c r="AJ6029">
        <v>71.480737466373398</v>
      </c>
      <c r="AK6029">
        <v>3.1009975126085001</v>
      </c>
      <c r="AL6029">
        <v>80.701255381980403</v>
      </c>
      <c r="AM6029">
        <v>83.710018737160595</v>
      </c>
      <c r="AN6029">
        <v>1.0000000091958601</v>
      </c>
    </row>
    <row r="6030" spans="1:40" x14ac:dyDescent="0.25">
      <c r="A6030" t="str">
        <f>"20190304155540670"</f>
        <v>20190304155540670</v>
      </c>
      <c r="B6030" t="str">
        <f>"1551686140664426"</f>
        <v>1551686140664426</v>
      </c>
      <c r="C6030" t="s">
        <v>40</v>
      </c>
      <c r="D6030">
        <v>4.7184489999999997</v>
      </c>
      <c r="E6030">
        <v>0.57854680000000003</v>
      </c>
      <c r="F6030" t="s">
        <v>43</v>
      </c>
      <c r="G6030">
        <v>0</v>
      </c>
      <c r="H6030">
        <v>0</v>
      </c>
      <c r="I6030">
        <v>0</v>
      </c>
      <c r="J6030">
        <v>-167.92859999999999</v>
      </c>
      <c r="K6030">
        <v>1.1031390000000001</v>
      </c>
      <c r="L6030">
        <v>137.6129</v>
      </c>
      <c r="M6030">
        <v>0.96938159999999896</v>
      </c>
      <c r="N6030">
        <v>-1.483657E-2</v>
      </c>
      <c r="O6030">
        <v>0.24511060000000001</v>
      </c>
      <c r="P6030">
        <v>0.97801329999999997</v>
      </c>
      <c r="Q6030">
        <v>0.15041199999999999</v>
      </c>
      <c r="R6030">
        <v>0.14445160000000001</v>
      </c>
      <c r="S6030">
        <v>3.0923919999999998</v>
      </c>
      <c r="T6030">
        <v>4.4181940000000003E-2</v>
      </c>
      <c r="U6030">
        <v>-0.19984440000000001</v>
      </c>
      <c r="V6030">
        <v>0.1025985</v>
      </c>
      <c r="W6030">
        <v>0.16320409999999999</v>
      </c>
      <c r="X6030">
        <v>0.98124310000000003</v>
      </c>
      <c r="Y6030">
        <v>0.30704740000000003</v>
      </c>
      <c r="Z6030">
        <v>7.0423839999999996E-3</v>
      </c>
      <c r="AA6030">
        <v>0.95166810000000002</v>
      </c>
      <c r="AB6030">
        <v>26</v>
      </c>
      <c r="AC6030">
        <v>3.0923919999999998</v>
      </c>
      <c r="AD6030">
        <v>4.4181940000000003E-2</v>
      </c>
      <c r="AE6030">
        <v>-0.19984440000000001</v>
      </c>
      <c r="AF6030">
        <v>0.95161485612490204</v>
      </c>
      <c r="AG6030">
        <v>4.4181940000000003E-2</v>
      </c>
      <c r="AH6030">
        <v>2.9484491404692501</v>
      </c>
      <c r="AI6030">
        <v>89.182991228279604</v>
      </c>
      <c r="AJ6030">
        <v>72.112464098051802</v>
      </c>
      <c r="AK6030">
        <v>3.09852791050099</v>
      </c>
      <c r="AL6030">
        <v>80.607077396880101</v>
      </c>
      <c r="AM6030">
        <v>84.030859508978693</v>
      </c>
      <c r="AN6030">
        <v>1.0000000258783299</v>
      </c>
    </row>
    <row r="6031" spans="1:40" x14ac:dyDescent="0.25">
      <c r="A6031" t="str">
        <f>"20190304155540690"</f>
        <v>20190304155540690</v>
      </c>
      <c r="B6031" t="str">
        <f>"1551686140683946"</f>
        <v>1551686140683946</v>
      </c>
      <c r="C6031" t="s">
        <v>40</v>
      </c>
      <c r="D6031">
        <v>4.72377</v>
      </c>
      <c r="E6031">
        <v>0.57007169999999996</v>
      </c>
      <c r="F6031" t="s">
        <v>43</v>
      </c>
      <c r="G6031">
        <v>0</v>
      </c>
      <c r="H6031">
        <v>0</v>
      </c>
      <c r="I6031">
        <v>0</v>
      </c>
      <c r="J6031">
        <v>-167.6816</v>
      </c>
      <c r="K6031">
        <v>1.1031390000000001</v>
      </c>
      <c r="L6031">
        <v>137.6643</v>
      </c>
      <c r="M6031">
        <v>0.97172590000000003</v>
      </c>
      <c r="N6031">
        <v>-1.4840549999999999E-2</v>
      </c>
      <c r="O6031">
        <v>0.23564479999999999</v>
      </c>
      <c r="P6031">
        <v>0.97832260000000004</v>
      </c>
      <c r="Q6031">
        <v>0.15195810000000001</v>
      </c>
      <c r="R6031">
        <v>0.14069010000000001</v>
      </c>
      <c r="S6031">
        <v>3.0912630000000001</v>
      </c>
      <c r="T6031">
        <v>4.102314E-2</v>
      </c>
      <c r="U6031">
        <v>-0.20379639999999999</v>
      </c>
      <c r="V6031">
        <v>9.6763340000000003E-2</v>
      </c>
      <c r="W6031">
        <v>0.1648588</v>
      </c>
      <c r="X6031">
        <v>0.98155919999999997</v>
      </c>
      <c r="Y6031">
        <v>0.29900159999999998</v>
      </c>
      <c r="Z6031">
        <v>6.37932E-3</v>
      </c>
      <c r="AA6031">
        <v>0.9542313</v>
      </c>
      <c r="AB6031">
        <v>26</v>
      </c>
      <c r="AC6031">
        <v>3.0912630000000001</v>
      </c>
      <c r="AD6031">
        <v>4.102314E-2</v>
      </c>
      <c r="AE6031">
        <v>-0.20379639999999999</v>
      </c>
      <c r="AF6031">
        <v>0.92641391580144095</v>
      </c>
      <c r="AG6031">
        <v>4.102314E-2</v>
      </c>
      <c r="AH6031">
        <v>2.9556441351210001</v>
      </c>
      <c r="AI6031">
        <v>89.241204781135394</v>
      </c>
      <c r="AJ6031">
        <v>72.596978274522797</v>
      </c>
      <c r="AK6031">
        <v>3.0977020345541901</v>
      </c>
      <c r="AL6031">
        <v>80.510968174125793</v>
      </c>
      <c r="AM6031">
        <v>84.369901257024907</v>
      </c>
      <c r="AN6031">
        <v>1.0000000155050099</v>
      </c>
    </row>
    <row r="6032" spans="1:40" x14ac:dyDescent="0.25">
      <c r="A6032" t="str">
        <f>"20190304155540711"</f>
        <v>20190304155540711</v>
      </c>
      <c r="B6032" t="str">
        <f>"1551686140704441"</f>
        <v>1551686140704441</v>
      </c>
      <c r="C6032" t="s">
        <v>40</v>
      </c>
      <c r="D6032">
        <v>4.620546</v>
      </c>
      <c r="E6032">
        <v>0.56965159999999904</v>
      </c>
      <c r="F6032" t="s">
        <v>67</v>
      </c>
      <c r="G6032">
        <v>14.737209999999999</v>
      </c>
      <c r="H6032">
        <v>-0.1</v>
      </c>
      <c r="I6032">
        <v>128.7646</v>
      </c>
      <c r="J6032">
        <v>-167.45089999999999</v>
      </c>
      <c r="K6032">
        <v>1.1031489999999999</v>
      </c>
      <c r="L6032">
        <v>137.71010000000001</v>
      </c>
      <c r="M6032">
        <v>0.97383660000000005</v>
      </c>
      <c r="N6032">
        <v>-1.484367E-2</v>
      </c>
      <c r="O6032">
        <v>0.2267641</v>
      </c>
      <c r="P6032">
        <v>0.97847320000000004</v>
      </c>
      <c r="Q6032">
        <v>0.1544681</v>
      </c>
      <c r="R6032">
        <v>0.13685720000000001</v>
      </c>
      <c r="S6032">
        <v>3.0913390000000001</v>
      </c>
      <c r="T6032">
        <v>-2.0388839999999998E-2</v>
      </c>
      <c r="U6032">
        <v>-0.15081789999999901</v>
      </c>
      <c r="V6032">
        <v>9.1592580000000007E-2</v>
      </c>
      <c r="W6032">
        <v>0.1674638</v>
      </c>
      <c r="X6032">
        <v>0.98161430000000005</v>
      </c>
      <c r="Y6032">
        <v>0.27395259999999999</v>
      </c>
      <c r="Z6032">
        <v>-1.042617E-3</v>
      </c>
      <c r="AA6032">
        <v>0.9617426</v>
      </c>
      <c r="AB6032">
        <v>26</v>
      </c>
      <c r="AC6032">
        <v>182.18810999999999</v>
      </c>
      <c r="AD6032">
        <v>-1.203149</v>
      </c>
      <c r="AE6032">
        <v>-8.9455000000000098</v>
      </c>
      <c r="AF6032">
        <v>50.028513210996799</v>
      </c>
      <c r="AG6032">
        <v>-1.203149</v>
      </c>
      <c r="AH6032">
        <v>175.40462455537201</v>
      </c>
      <c r="AI6032">
        <v>90.377930318665605</v>
      </c>
      <c r="AJ6032">
        <v>74.080909565222996</v>
      </c>
      <c r="AK6032">
        <v>182.403623914192</v>
      </c>
      <c r="AL6032">
        <v>80.3596081600285</v>
      </c>
      <c r="AM6032">
        <v>84.669273547150397</v>
      </c>
      <c r="AN6032">
        <v>0.99999997949299302</v>
      </c>
    </row>
    <row r="6033" spans="1:40" x14ac:dyDescent="0.25">
      <c r="A6033" t="str">
        <f>"20190304155540732"</f>
        <v>20190304155540732</v>
      </c>
      <c r="B6033" t="str">
        <f>"1551686140723961"</f>
        <v>1551686140723961</v>
      </c>
      <c r="C6033" t="s">
        <v>40</v>
      </c>
      <c r="D6033">
        <v>4.6965949999999896</v>
      </c>
      <c r="E6033">
        <v>0.56790200000000002</v>
      </c>
      <c r="F6033" t="s">
        <v>67</v>
      </c>
      <c r="G6033">
        <v>38.971679999999999</v>
      </c>
      <c r="H6033">
        <v>-0.1</v>
      </c>
      <c r="I6033">
        <v>127.0629</v>
      </c>
      <c r="J6033">
        <v>-167.20310000000001</v>
      </c>
      <c r="K6033">
        <v>1.1031569999999999</v>
      </c>
      <c r="L6033">
        <v>137.7567</v>
      </c>
      <c r="M6033">
        <v>0.97601649999999995</v>
      </c>
      <c r="N6033">
        <v>-1.484629E-2</v>
      </c>
      <c r="O6033">
        <v>0.21718960000000001</v>
      </c>
      <c r="P6033">
        <v>0.97875259999999997</v>
      </c>
      <c r="Q6033">
        <v>0.1573773</v>
      </c>
      <c r="R6033">
        <v>0.13143729999999901</v>
      </c>
      <c r="S6033">
        <v>3.0911409999999999</v>
      </c>
      <c r="T6033">
        <v>-1.801693E-2</v>
      </c>
      <c r="U6033">
        <v>-0.1594391</v>
      </c>
      <c r="V6033">
        <v>8.7329160000000003E-2</v>
      </c>
      <c r="W6033">
        <v>0.1704492</v>
      </c>
      <c r="X6033">
        <v>0.98148899999999994</v>
      </c>
      <c r="Y6033">
        <v>0.26718170000000002</v>
      </c>
      <c r="Z6033">
        <v>-7.8461990000000005E-4</v>
      </c>
      <c r="AA6033">
        <v>0.96364590000000006</v>
      </c>
      <c r="AB6033">
        <v>26</v>
      </c>
      <c r="AC6033">
        <v>206.17478</v>
      </c>
      <c r="AD6033">
        <v>-1.203157</v>
      </c>
      <c r="AE6033">
        <v>-10.6937999999999</v>
      </c>
      <c r="AF6033">
        <v>55.220555550406999</v>
      </c>
      <c r="AG6033">
        <v>-1.203157</v>
      </c>
      <c r="AH6033">
        <v>198.922579123502</v>
      </c>
      <c r="AI6033">
        <v>90.333914924899005</v>
      </c>
      <c r="AJ6033">
        <v>74.485439946443805</v>
      </c>
      <c r="AK6033">
        <v>206.44841928968199</v>
      </c>
      <c r="AL6033">
        <v>80.186062334413904</v>
      </c>
      <c r="AM6033">
        <v>84.915428927027406</v>
      </c>
      <c r="AN6033">
        <v>0.99999998454397199</v>
      </c>
    </row>
    <row r="6034" spans="1:40" x14ac:dyDescent="0.25">
      <c r="A6034" t="str">
        <f>"20190304155540754"</f>
        <v>20190304155540754</v>
      </c>
      <c r="B6034" t="str">
        <f>"1551686140744458"</f>
        <v>1551686140744458</v>
      </c>
      <c r="C6034" t="s">
        <v>40</v>
      </c>
      <c r="D6034">
        <v>4.7423000000000002</v>
      </c>
      <c r="E6034">
        <v>0.56717769999999901</v>
      </c>
      <c r="F6034" t="s">
        <v>67</v>
      </c>
      <c r="G6034">
        <v>122.1525</v>
      </c>
      <c r="H6034">
        <v>-0.1</v>
      </c>
      <c r="I6034">
        <v>122.52719999999999</v>
      </c>
      <c r="J6034">
        <v>-166.94319999999999</v>
      </c>
      <c r="K6034">
        <v>1.1031709999999999</v>
      </c>
      <c r="L6034">
        <v>137.80289999999999</v>
      </c>
      <c r="M6034">
        <v>0.9782014</v>
      </c>
      <c r="N6034">
        <v>-1.484798E-2</v>
      </c>
      <c r="O6034">
        <v>0.20712639999999999</v>
      </c>
      <c r="P6034">
        <v>0.97939989999999999</v>
      </c>
      <c r="Q6034">
        <v>0.15820580000000001</v>
      </c>
      <c r="R6034">
        <v>0.1254855</v>
      </c>
      <c r="S6034">
        <v>3.0890200000000001</v>
      </c>
      <c r="T6034">
        <v>-1.2844319999999999E-2</v>
      </c>
      <c r="U6034">
        <v>-0.16258239999999999</v>
      </c>
      <c r="V6034">
        <v>8.3161680000000002E-2</v>
      </c>
      <c r="W6034">
        <v>0.17135729999999999</v>
      </c>
      <c r="X6034">
        <v>0.98169289999999998</v>
      </c>
      <c r="Y6034">
        <v>0.25826080000000001</v>
      </c>
      <c r="Z6034">
        <v>-2.2630060000000001E-4</v>
      </c>
      <c r="AA6034">
        <v>0.96607520000000002</v>
      </c>
      <c r="AB6034">
        <v>26</v>
      </c>
      <c r="AC6034">
        <v>289.09570000000002</v>
      </c>
      <c r="AD6034">
        <v>-1.203171</v>
      </c>
      <c r="AE6034">
        <v>-15.275700000000001</v>
      </c>
      <c r="AF6034">
        <v>74.829027285307902</v>
      </c>
      <c r="AG6034">
        <v>-1.203171</v>
      </c>
      <c r="AH6034">
        <v>279.65584613702498</v>
      </c>
      <c r="AI6034">
        <v>90.238126605710207</v>
      </c>
      <c r="AJ6034">
        <v>75.019983489085604</v>
      </c>
      <c r="AK6034">
        <v>289.49649950135102</v>
      </c>
      <c r="AL6034">
        <v>80.133255972376901</v>
      </c>
      <c r="AM6034">
        <v>85.157890682501105</v>
      </c>
      <c r="AN6034">
        <v>1.0000000695970499</v>
      </c>
    </row>
    <row r="6035" spans="1:40" x14ac:dyDescent="0.25">
      <c r="A6035" t="str">
        <f>"20190304155540781"</f>
        <v>20190304155540781</v>
      </c>
      <c r="B6035" t="str">
        <f>"1551686140774245"</f>
        <v>1551686140774245</v>
      </c>
      <c r="C6035" t="s">
        <v>40</v>
      </c>
      <c r="D6035">
        <v>4.7635769999999997</v>
      </c>
      <c r="E6035">
        <v>0.56594069999999996</v>
      </c>
      <c r="F6035" t="s">
        <v>67</v>
      </c>
      <c r="G6035">
        <v>94.234889999999993</v>
      </c>
      <c r="H6035">
        <v>-0.1</v>
      </c>
      <c r="I6035">
        <v>122.9083</v>
      </c>
      <c r="J6035">
        <v>-166.64169999999999</v>
      </c>
      <c r="K6035">
        <v>1.1031869999999999</v>
      </c>
      <c r="L6035">
        <v>137.85319999999999</v>
      </c>
      <c r="M6035">
        <v>0.98060510000000001</v>
      </c>
      <c r="N6035">
        <v>-1.4848419999999999E-2</v>
      </c>
      <c r="O6035">
        <v>0.19543099999999999</v>
      </c>
      <c r="P6035">
        <v>0.98024549999999999</v>
      </c>
      <c r="Q6035">
        <v>0.15926940000000001</v>
      </c>
      <c r="R6035">
        <v>0.1172704</v>
      </c>
      <c r="S6035">
        <v>3.0879669999999999</v>
      </c>
      <c r="T6035">
        <v>-1.4225359999999999E-2</v>
      </c>
      <c r="U6035">
        <v>-0.1761017</v>
      </c>
      <c r="V6035">
        <v>7.9640559999999999E-2</v>
      </c>
      <c r="W6035">
        <v>0.17248749999999999</v>
      </c>
      <c r="X6035">
        <v>0.98178679999999996</v>
      </c>
      <c r="Y6035">
        <v>0.25095200000000001</v>
      </c>
      <c r="Z6035">
        <v>-4.2900609999999999E-4</v>
      </c>
      <c r="AA6035">
        <v>0.96799950000000001</v>
      </c>
      <c r="AB6035">
        <v>26</v>
      </c>
      <c r="AC6035">
        <v>260.87659000000002</v>
      </c>
      <c r="AD6035">
        <v>-1.203187</v>
      </c>
      <c r="AE6035">
        <v>-14.944899999999899</v>
      </c>
      <c r="AF6035">
        <v>65.644259546720207</v>
      </c>
      <c r="AG6035">
        <v>-1.203187</v>
      </c>
      <c r="AH6035">
        <v>252.91872451197301</v>
      </c>
      <c r="AI6035">
        <v>90.263824618953294</v>
      </c>
      <c r="AJ6035">
        <v>75.450105789065205</v>
      </c>
      <c r="AK6035">
        <v>261.30154549706998</v>
      </c>
      <c r="AL6035">
        <v>80.067520215081402</v>
      </c>
      <c r="AM6035">
        <v>85.362436351320596</v>
      </c>
      <c r="AN6035">
        <v>0.99999993855379898</v>
      </c>
    </row>
    <row r="6036" spans="1:40" x14ac:dyDescent="0.25">
      <c r="A6036" t="str">
        <f>"20190304155540801"</f>
        <v>20190304155540801</v>
      </c>
      <c r="B6036" t="str">
        <f>"1551686140793764"</f>
        <v>1551686140793764</v>
      </c>
      <c r="C6036" t="s">
        <v>40</v>
      </c>
      <c r="D6036">
        <v>4.7760680000000004</v>
      </c>
      <c r="E6036">
        <v>0.56505079999999996</v>
      </c>
      <c r="F6036" t="s">
        <v>67</v>
      </c>
      <c r="G6036">
        <v>-8.60430899999999</v>
      </c>
      <c r="H6036">
        <v>-0.1</v>
      </c>
      <c r="I6036">
        <v>127.9695</v>
      </c>
      <c r="J6036">
        <v>-166.4007</v>
      </c>
      <c r="K6036">
        <v>1.103205</v>
      </c>
      <c r="L6036">
        <v>137.89060000000001</v>
      </c>
      <c r="M6036">
        <v>0.98242350000000001</v>
      </c>
      <c r="N6036">
        <v>-1.4847590000000001E-2</v>
      </c>
      <c r="O6036">
        <v>0.1860744</v>
      </c>
      <c r="P6036">
        <v>0.98069649999999997</v>
      </c>
      <c r="Q6036">
        <v>0.16054599999999999</v>
      </c>
      <c r="R6036">
        <v>0.1116225</v>
      </c>
      <c r="S6036">
        <v>3.0873719999999998</v>
      </c>
      <c r="T6036">
        <v>-2.3505089999999999E-2</v>
      </c>
      <c r="U6036">
        <v>-0.1930847</v>
      </c>
      <c r="V6036">
        <v>7.590421E-2</v>
      </c>
      <c r="W6036">
        <v>0.1738335</v>
      </c>
      <c r="X6036">
        <v>0.98184539999999998</v>
      </c>
      <c r="Y6036">
        <v>0.24703430000000001</v>
      </c>
      <c r="Z6036">
        <v>-1.4180060000000001E-3</v>
      </c>
      <c r="AA6036">
        <v>0.96900569999999997</v>
      </c>
      <c r="AB6036">
        <v>26</v>
      </c>
      <c r="AC6036">
        <v>157.796391</v>
      </c>
      <c r="AD6036">
        <v>-1.2032049999999901</v>
      </c>
      <c r="AE6036">
        <v>-9.9211000000000098</v>
      </c>
      <c r="AF6036">
        <v>39.110635743954603</v>
      </c>
      <c r="AG6036">
        <v>-1.2032049999999901</v>
      </c>
      <c r="AH6036">
        <v>153.18483037329401</v>
      </c>
      <c r="AI6036">
        <v>90.436038936554496</v>
      </c>
      <c r="AJ6036">
        <v>75.677415132544496</v>
      </c>
      <c r="AK6036">
        <v>158.10338954957001</v>
      </c>
      <c r="AL6036">
        <v>79.989217448142298</v>
      </c>
      <c r="AM6036">
        <v>85.579387620962905</v>
      </c>
      <c r="AN6036">
        <v>0.99999996215956599</v>
      </c>
    </row>
    <row r="6037" spans="1:40" x14ac:dyDescent="0.25">
      <c r="A6037" t="str">
        <f>"20190304155540824"</f>
        <v>20190304155540824</v>
      </c>
      <c r="B6037" t="str">
        <f>"1551686140814259"</f>
        <v>1551686140814259</v>
      </c>
      <c r="C6037" t="s">
        <v>40</v>
      </c>
      <c r="D6037">
        <v>4.7401730000000004</v>
      </c>
      <c r="E6037">
        <v>0.56358039999999998</v>
      </c>
      <c r="F6037" t="s">
        <v>67</v>
      </c>
      <c r="G6037">
        <v>-17.692869999999999</v>
      </c>
      <c r="H6037">
        <v>-0.1</v>
      </c>
      <c r="I6037">
        <v>128.05879999999999</v>
      </c>
      <c r="J6037">
        <v>-166.14</v>
      </c>
      <c r="K6037">
        <v>1.1032379999999999</v>
      </c>
      <c r="L6037">
        <v>137.92830000000001</v>
      </c>
      <c r="M6037">
        <v>0.98428490000000002</v>
      </c>
      <c r="N6037">
        <v>-1.4845290000000001E-2</v>
      </c>
      <c r="O6037">
        <v>0.1759628</v>
      </c>
      <c r="P6037">
        <v>0.98111250000000005</v>
      </c>
      <c r="Q6037">
        <v>0.16259570000000001</v>
      </c>
      <c r="R6037">
        <v>0.1047906</v>
      </c>
      <c r="S6037">
        <v>3.0863800000000001</v>
      </c>
      <c r="T6037">
        <v>-2.4972080000000001E-2</v>
      </c>
      <c r="U6037">
        <v>-0.20405580000000001</v>
      </c>
      <c r="V6037">
        <v>7.2603020000000004E-2</v>
      </c>
      <c r="W6037">
        <v>0.1759415</v>
      </c>
      <c r="X6037">
        <v>0.98171960000000003</v>
      </c>
      <c r="Y6037">
        <v>0.24051410000000001</v>
      </c>
      <c r="Z6037">
        <v>-1.5619169999999999E-3</v>
      </c>
      <c r="AA6037">
        <v>0.97064439999999996</v>
      </c>
      <c r="AB6037">
        <v>26</v>
      </c>
      <c r="AC6037">
        <v>148.44712999999999</v>
      </c>
      <c r="AD6037">
        <v>-1.203238</v>
      </c>
      <c r="AE6037">
        <v>-9.8695000000000093</v>
      </c>
      <c r="AF6037">
        <v>35.837176812440497</v>
      </c>
      <c r="AG6037">
        <v>-1.203238</v>
      </c>
      <c r="AH6037">
        <v>144.384067383852</v>
      </c>
      <c r="AI6037">
        <v>90.463408048666395</v>
      </c>
      <c r="AJ6037">
        <v>76.060470385553202</v>
      </c>
      <c r="AK6037">
        <v>148.769990044617</v>
      </c>
      <c r="AL6037">
        <v>79.866547675924494</v>
      </c>
      <c r="AM6037">
        <v>85.770393549523206</v>
      </c>
      <c r="AN6037">
        <v>0.99999999147976504</v>
      </c>
    </row>
    <row r="6038" spans="1:40" x14ac:dyDescent="0.25">
      <c r="A6038" t="str">
        <f>"20190304155540845"</f>
        <v>20190304155540845</v>
      </c>
      <c r="B6038" t="str">
        <f>"1551686140833780"</f>
        <v>1551686140833780</v>
      </c>
      <c r="C6038" t="s">
        <v>40</v>
      </c>
      <c r="D6038">
        <v>4.764875</v>
      </c>
      <c r="E6038">
        <v>0.56237469999999901</v>
      </c>
      <c r="F6038" t="s">
        <v>67</v>
      </c>
      <c r="G6038">
        <v>-25.928650000000001</v>
      </c>
      <c r="H6038">
        <v>-0.1</v>
      </c>
      <c r="I6038">
        <v>128.2893</v>
      </c>
      <c r="J6038">
        <v>-165.89060000000001</v>
      </c>
      <c r="K6038">
        <v>1.103278</v>
      </c>
      <c r="L6038">
        <v>137.96180000000001</v>
      </c>
      <c r="M6038">
        <v>0.98596170000000005</v>
      </c>
      <c r="N6038">
        <v>-1.4841389999999999E-2</v>
      </c>
      <c r="O6038">
        <v>0.16631099999999999</v>
      </c>
      <c r="P6038">
        <v>0.98142280000000004</v>
      </c>
      <c r="Q6038">
        <v>0.1646203</v>
      </c>
      <c r="R6038">
        <v>9.8537529999999998E-2</v>
      </c>
      <c r="S6038">
        <v>3.0847929999999999</v>
      </c>
      <c r="T6038">
        <v>-2.6472450000000002E-2</v>
      </c>
      <c r="U6038">
        <v>-0.2120667</v>
      </c>
      <c r="V6038">
        <v>6.9195350000000003E-2</v>
      </c>
      <c r="W6038">
        <v>0.17802660000000001</v>
      </c>
      <c r="X6038">
        <v>0.98158979999999996</v>
      </c>
      <c r="Y6038">
        <v>0.23353979999999999</v>
      </c>
      <c r="Z6038">
        <v>-1.6879989999999999E-3</v>
      </c>
      <c r="AA6038">
        <v>0.97234580000000004</v>
      </c>
      <c r="AB6038">
        <v>26</v>
      </c>
      <c r="AC6038">
        <v>139.96195</v>
      </c>
      <c r="AD6038">
        <v>-1.2032780000000001</v>
      </c>
      <c r="AE6038">
        <v>-9.6725000000000101</v>
      </c>
      <c r="AF6038">
        <v>32.815125562611897</v>
      </c>
      <c r="AG6038">
        <v>-1.2032780000000001</v>
      </c>
      <c r="AH6038">
        <v>136.39346319365501</v>
      </c>
      <c r="AI6038">
        <v>90.491434123769594</v>
      </c>
      <c r="AJ6038">
        <v>76.472219329565505</v>
      </c>
      <c r="AK6038">
        <v>140.29061674108601</v>
      </c>
      <c r="AL6038">
        <v>79.745164124044607</v>
      </c>
      <c r="AM6038">
        <v>85.967710797317594</v>
      </c>
      <c r="AN6038">
        <v>1.0000000011166099</v>
      </c>
    </row>
    <row r="6039" spans="1:40" x14ac:dyDescent="0.25">
      <c r="A6039" t="str">
        <f>"20190304155540865"</f>
        <v>20190304155540865</v>
      </c>
      <c r="B6039" t="str">
        <f>"1551686140864036"</f>
        <v>1551686140864036</v>
      </c>
      <c r="C6039" t="s">
        <v>40</v>
      </c>
      <c r="D6039">
        <v>4.7358260000000003</v>
      </c>
      <c r="E6039">
        <v>0.5612241</v>
      </c>
      <c r="F6039" t="s">
        <v>67</v>
      </c>
      <c r="G6039">
        <v>-20.02026</v>
      </c>
      <c r="H6039">
        <v>-0.1</v>
      </c>
      <c r="I6039">
        <v>127.5617</v>
      </c>
      <c r="J6039">
        <v>-165.64490000000001</v>
      </c>
      <c r="K6039">
        <v>1.1033329999999999</v>
      </c>
      <c r="L6039">
        <v>137.99250000000001</v>
      </c>
      <c r="M6039">
        <v>0.98751500000000003</v>
      </c>
      <c r="N6039">
        <v>-1.483582E-2</v>
      </c>
      <c r="O6039">
        <v>0.1568253</v>
      </c>
      <c r="P6039">
        <v>0.98172429999999999</v>
      </c>
      <c r="Q6039">
        <v>0.1657689</v>
      </c>
      <c r="R6039">
        <v>9.3479699999999999E-2</v>
      </c>
      <c r="S6039">
        <v>3.0831300000000001</v>
      </c>
      <c r="T6039">
        <v>-2.5432590000000001E-2</v>
      </c>
      <c r="U6039">
        <v>-0.21981809999999999</v>
      </c>
      <c r="V6039">
        <v>6.4777399999999999E-2</v>
      </c>
      <c r="W6039">
        <v>0.17925439999999901</v>
      </c>
      <c r="X6039">
        <v>0.98166779999999998</v>
      </c>
      <c r="Y6039">
        <v>0.2266572</v>
      </c>
      <c r="Z6039">
        <v>-1.579202E-3</v>
      </c>
      <c r="AA6039">
        <v>0.97397330000000004</v>
      </c>
      <c r="AB6039">
        <v>26</v>
      </c>
      <c r="AC6039">
        <v>145.62464</v>
      </c>
      <c r="AD6039">
        <v>-1.203333</v>
      </c>
      <c r="AE6039">
        <v>-10.4308</v>
      </c>
      <c r="AF6039">
        <v>33.139593028096897</v>
      </c>
      <c r="AG6039">
        <v>-1.203333</v>
      </c>
      <c r="AH6039">
        <v>142.17668237850799</v>
      </c>
      <c r="AI6039">
        <v>90.472260932627506</v>
      </c>
      <c r="AJ6039">
        <v>76.879341880439497</v>
      </c>
      <c r="AK6039">
        <v>145.99277259006999</v>
      </c>
      <c r="AL6039">
        <v>79.673665852277693</v>
      </c>
      <c r="AM6039">
        <v>86.224691581484805</v>
      </c>
      <c r="AN6039">
        <v>0.99999996051347895</v>
      </c>
    </row>
    <row r="6040" spans="1:40" x14ac:dyDescent="0.25">
      <c r="A6040" t="str">
        <f>"20190304155540888"</f>
        <v>20190304155540888</v>
      </c>
      <c r="B6040" t="str">
        <f>"1551686140884533"</f>
        <v>1551686140884533</v>
      </c>
      <c r="C6040" t="s">
        <v>40</v>
      </c>
      <c r="D6040">
        <v>4.6773749999999996</v>
      </c>
      <c r="E6040">
        <v>0.56080410000000003</v>
      </c>
      <c r="F6040" t="s">
        <v>67</v>
      </c>
      <c r="G6040">
        <v>-3.3493040000000001</v>
      </c>
      <c r="H6040">
        <v>-0.1</v>
      </c>
      <c r="I6040">
        <v>126.1661</v>
      </c>
      <c r="J6040">
        <v>-165.39259999999999</v>
      </c>
      <c r="K6040">
        <v>1.103391</v>
      </c>
      <c r="L6040">
        <v>138.0215</v>
      </c>
      <c r="M6040">
        <v>0.98900659999999896</v>
      </c>
      <c r="N6040">
        <v>-1.482868E-2</v>
      </c>
      <c r="O6040">
        <v>0.1471266</v>
      </c>
      <c r="P6040">
        <v>0.98204000000000002</v>
      </c>
      <c r="Q6040">
        <v>0.16635939999999999</v>
      </c>
      <c r="R6040">
        <v>8.9007649999999994E-2</v>
      </c>
      <c r="S6040">
        <v>3.0811000000000002</v>
      </c>
      <c r="T6040">
        <v>-2.2844670000000001E-2</v>
      </c>
      <c r="U6040">
        <v>-0.22451779999999999</v>
      </c>
      <c r="V6040">
        <v>5.957407E-2</v>
      </c>
      <c r="W6040">
        <v>0.17993789999999901</v>
      </c>
      <c r="X6040">
        <v>0.98187230000000003</v>
      </c>
      <c r="Y6040">
        <v>0.21861739999999999</v>
      </c>
      <c r="Z6040">
        <v>-1.3384720000000001E-3</v>
      </c>
      <c r="AA6040">
        <v>0.97580979999999995</v>
      </c>
      <c r="AB6040">
        <v>26</v>
      </c>
      <c r="AC6040">
        <v>162.043296</v>
      </c>
      <c r="AD6040">
        <v>-1.2033909999999901</v>
      </c>
      <c r="AE6040">
        <v>-11.855399999999999</v>
      </c>
      <c r="AF6040">
        <v>35.567904604904697</v>
      </c>
      <c r="AG6040">
        <v>-1.2033909999999901</v>
      </c>
      <c r="AH6040">
        <v>158.526364962515</v>
      </c>
      <c r="AI6040">
        <v>90.424380077106406</v>
      </c>
      <c r="AJ6040">
        <v>77.3542038562112</v>
      </c>
      <c r="AK6040">
        <v>162.471943350571</v>
      </c>
      <c r="AL6040">
        <v>79.633856961189096</v>
      </c>
      <c r="AM6040">
        <v>86.527895265095395</v>
      </c>
      <c r="AN6040">
        <v>0.99999996559003101</v>
      </c>
    </row>
    <row r="6041" spans="1:40" x14ac:dyDescent="0.25">
      <c r="A6041" t="str">
        <f>"20190304155540912"</f>
        <v>20190304155540912</v>
      </c>
      <c r="B6041" t="str">
        <f>"1551686140904052"</f>
        <v>1551686140904052</v>
      </c>
      <c r="C6041" t="s">
        <v>40</v>
      </c>
      <c r="D6041">
        <v>4.7240909999999996</v>
      </c>
      <c r="E6041">
        <v>0.56078399999999995</v>
      </c>
      <c r="F6041" t="s">
        <v>67</v>
      </c>
      <c r="G6041">
        <v>3.0077509999999998</v>
      </c>
      <c r="H6041">
        <v>-0.1</v>
      </c>
      <c r="I6041">
        <v>125.2179</v>
      </c>
      <c r="J6041">
        <v>-165.10650000000001</v>
      </c>
      <c r="K6041">
        <v>1.10347</v>
      </c>
      <c r="L6041">
        <v>138.0514</v>
      </c>
      <c r="M6041">
        <v>0.9905697</v>
      </c>
      <c r="N6041">
        <v>-1.481816E-2</v>
      </c>
      <c r="O6041">
        <v>0.13620689999999999</v>
      </c>
      <c r="P6041">
        <v>0.98238709999999996</v>
      </c>
      <c r="Q6041">
        <v>0.16711189999999901</v>
      </c>
      <c r="R6041">
        <v>8.3602579999999996E-2</v>
      </c>
      <c r="S6041">
        <v>3.0798190000000001</v>
      </c>
      <c r="T6041">
        <v>-2.2008420000000001E-2</v>
      </c>
      <c r="U6041">
        <v>-0.23416139999999999</v>
      </c>
      <c r="V6041">
        <v>5.409315E-2</v>
      </c>
      <c r="W6041">
        <v>0.1807868</v>
      </c>
      <c r="X6041">
        <v>0.98203370000000001</v>
      </c>
      <c r="Y6041">
        <v>0.21091489999999999</v>
      </c>
      <c r="Z6041">
        <v>-1.2708159999999999E-3</v>
      </c>
      <c r="AA6041">
        <v>0.97750360000000003</v>
      </c>
      <c r="AB6041">
        <v>26</v>
      </c>
      <c r="AC6041">
        <v>168.114251</v>
      </c>
      <c r="AD6041">
        <v>-1.20347</v>
      </c>
      <c r="AE6041">
        <v>-12.833500000000001</v>
      </c>
      <c r="AF6041">
        <v>35.612889022604499</v>
      </c>
      <c r="AG6041">
        <v>-1.20347</v>
      </c>
      <c r="AH6041">
        <v>164.79055127125201</v>
      </c>
      <c r="AI6041">
        <v>90.408984050506007</v>
      </c>
      <c r="AJ6041">
        <v>77.805344350117693</v>
      </c>
      <c r="AK6041">
        <v>168.59908657184499</v>
      </c>
      <c r="AL6041">
        <v>79.584408627562695</v>
      </c>
      <c r="AM6041">
        <v>86.847175063274904</v>
      </c>
      <c r="AN6041">
        <v>1.0000000619334199</v>
      </c>
    </row>
    <row r="6042" spans="1:40" x14ac:dyDescent="0.25">
      <c r="A6042" t="str">
        <f>"20190304155540933"</f>
        <v>20190304155540933</v>
      </c>
      <c r="B6042" t="str">
        <f>"1551686140923572"</f>
        <v>1551686140923572</v>
      </c>
      <c r="C6042" t="s">
        <v>40</v>
      </c>
      <c r="D6042">
        <v>4.7909870000000003</v>
      </c>
      <c r="E6042">
        <v>0.56080540000000001</v>
      </c>
      <c r="F6042" t="s">
        <v>67</v>
      </c>
      <c r="G6042">
        <v>70.284819999999996</v>
      </c>
      <c r="H6042">
        <v>-0.1</v>
      </c>
      <c r="I6042">
        <v>118.97969999999999</v>
      </c>
      <c r="J6042">
        <v>-164.87209999999999</v>
      </c>
      <c r="K6042">
        <v>1.1035549999999901</v>
      </c>
      <c r="L6042">
        <v>138.0737</v>
      </c>
      <c r="M6042">
        <v>0.99174779999999996</v>
      </c>
      <c r="N6042">
        <v>-1.4806639999999999E-2</v>
      </c>
      <c r="O6042">
        <v>0.12734690000000001</v>
      </c>
      <c r="P6042">
        <v>0.98253140000000005</v>
      </c>
      <c r="Q6042">
        <v>0.168181</v>
      </c>
      <c r="R6042">
        <v>7.9671640000000002E-2</v>
      </c>
      <c r="S6042">
        <v>3.0776979999999998</v>
      </c>
      <c r="T6042">
        <v>-1.573515E-2</v>
      </c>
      <c r="U6042">
        <v>-0.2493591</v>
      </c>
      <c r="V6042">
        <v>4.9191310000000002E-2</v>
      </c>
      <c r="W6042">
        <v>0.18193799999999999</v>
      </c>
      <c r="X6042">
        <v>0.98207880000000003</v>
      </c>
      <c r="Y6042">
        <v>0.20702760000000001</v>
      </c>
      <c r="Z6042">
        <v>-8.2915649999999903E-4</v>
      </c>
      <c r="AA6042">
        <v>0.97833479999999995</v>
      </c>
      <c r="AB6042">
        <v>26</v>
      </c>
      <c r="AC6042">
        <v>235.15692000000001</v>
      </c>
      <c r="AD6042">
        <v>-1.2035549999999999</v>
      </c>
      <c r="AE6042">
        <v>-19.094000000000001</v>
      </c>
      <c r="AF6042">
        <v>48.887020296604703</v>
      </c>
      <c r="AG6042">
        <v>-1.2035549999999999</v>
      </c>
      <c r="AH6042">
        <v>230.80407303644699</v>
      </c>
      <c r="AI6042">
        <v>90.292288283875195</v>
      </c>
      <c r="AJ6042">
        <v>78.040834689392</v>
      </c>
      <c r="AK6042">
        <v>235.92776315714099</v>
      </c>
      <c r="AL6042">
        <v>79.517336731537</v>
      </c>
      <c r="AM6042">
        <v>87.132510226227794</v>
      </c>
      <c r="AN6042">
        <v>0.99999999511647797</v>
      </c>
    </row>
    <row r="6043" spans="1:40" x14ac:dyDescent="0.25">
      <c r="A6043" t="str">
        <f>"20190304155540956"</f>
        <v>20190304155540956</v>
      </c>
      <c r="B6043" t="str">
        <f>"1551686140953828"</f>
        <v>1551686140953828</v>
      </c>
      <c r="C6043" t="s">
        <v>40</v>
      </c>
      <c r="D6043">
        <v>4.7567909999999998</v>
      </c>
      <c r="E6043">
        <v>0.54102329999999998</v>
      </c>
      <c r="F6043" t="s">
        <v>67</v>
      </c>
      <c r="G6043">
        <v>148.42359999999999</v>
      </c>
      <c r="H6043">
        <v>-0.1</v>
      </c>
      <c r="I6043">
        <v>111.63379999999999</v>
      </c>
      <c r="J6043">
        <v>-164.59979999999999</v>
      </c>
      <c r="K6043">
        <v>1.1036760000000001</v>
      </c>
      <c r="L6043">
        <v>138.09710000000001</v>
      </c>
      <c r="M6043">
        <v>0.99300010000000005</v>
      </c>
      <c r="N6043">
        <v>-1.478954E-2</v>
      </c>
      <c r="O6043">
        <v>0.1171845</v>
      </c>
      <c r="P6043">
        <v>0.98273560000000004</v>
      </c>
      <c r="Q6043">
        <v>0.16936189999999901</v>
      </c>
      <c r="R6043">
        <v>7.4479779999999995E-2</v>
      </c>
      <c r="S6043">
        <v>3.0764309999999999</v>
      </c>
      <c r="T6043">
        <v>-1.181841E-2</v>
      </c>
      <c r="U6043">
        <v>-0.25962829999999998</v>
      </c>
      <c r="V6043">
        <v>4.4255099999999999E-2</v>
      </c>
      <c r="W6043">
        <v>0.18319679999999999</v>
      </c>
      <c r="X6043">
        <v>0.98207960000000005</v>
      </c>
      <c r="Y6043">
        <v>0.2002824</v>
      </c>
      <c r="Z6043">
        <v>-5.8595429999999996E-4</v>
      </c>
      <c r="AA6043">
        <v>0.97973809999999995</v>
      </c>
      <c r="AB6043">
        <v>26</v>
      </c>
      <c r="AC6043">
        <v>313.02339999999998</v>
      </c>
      <c r="AD6043">
        <v>-1.203676</v>
      </c>
      <c r="AE6043">
        <v>-26.4633</v>
      </c>
      <c r="AF6043">
        <v>62.965508160429103</v>
      </c>
      <c r="AG6043">
        <v>-1.203676</v>
      </c>
      <c r="AH6043">
        <v>307.76030018268301</v>
      </c>
      <c r="AI6043">
        <v>90.219539772889306</v>
      </c>
      <c r="AJ6043">
        <v>78.437271438610395</v>
      </c>
      <c r="AK6043">
        <v>314.13771887875703</v>
      </c>
      <c r="AL6043">
        <v>79.443979551938</v>
      </c>
      <c r="AM6043">
        <v>87.419846394153197</v>
      </c>
      <c r="AN6043">
        <v>0.99999996107120404</v>
      </c>
    </row>
    <row r="6044" spans="1:40" x14ac:dyDescent="0.25">
      <c r="A6044" t="str">
        <f>"20190304155540983"</f>
        <v>20190304155540983</v>
      </c>
      <c r="B6044" t="str">
        <f>"1551686140974324"</f>
        <v>1551686140974324</v>
      </c>
      <c r="C6044" t="s">
        <v>40</v>
      </c>
      <c r="D6044">
        <v>4.7399019999999998</v>
      </c>
      <c r="E6044">
        <v>0.54157469999999996</v>
      </c>
      <c r="F6044" t="s">
        <v>46</v>
      </c>
      <c r="G6044">
        <v>-113.6036</v>
      </c>
      <c r="H6044" s="1">
        <v>-3.3447980000000001E-6</v>
      </c>
      <c r="I6044">
        <v>136.12970000000001</v>
      </c>
      <c r="J6044">
        <v>-164.2962</v>
      </c>
      <c r="K6044">
        <v>1.1038349999999999</v>
      </c>
      <c r="L6044">
        <v>138.12020000000001</v>
      </c>
      <c r="M6044">
        <v>0.99425039999999998</v>
      </c>
      <c r="N6044">
        <v>-1.4765510000000001E-2</v>
      </c>
      <c r="O6044">
        <v>0.10605729999999999</v>
      </c>
      <c r="P6044">
        <v>0.98303969999999896</v>
      </c>
      <c r="Q6044">
        <v>0.1699155</v>
      </c>
      <c r="R6044">
        <v>6.9004689999999994E-2</v>
      </c>
      <c r="S6044">
        <v>3.0731660000000001</v>
      </c>
      <c r="T6044">
        <v>-6.6510559999999996E-2</v>
      </c>
      <c r="U6044">
        <v>-0.11856079999999999</v>
      </c>
      <c r="V6044">
        <v>3.8640279999999999E-2</v>
      </c>
      <c r="W6044">
        <v>0.18383569999999999</v>
      </c>
      <c r="X6044">
        <v>0.98219719999999999</v>
      </c>
      <c r="Y6044">
        <v>0.144264</v>
      </c>
      <c r="Z6044">
        <v>-3.3513620000000001E-3</v>
      </c>
      <c r="AA6044">
        <v>0.98953349999999995</v>
      </c>
      <c r="AB6044">
        <v>26</v>
      </c>
      <c r="AC6044">
        <v>50.692599999999999</v>
      </c>
      <c r="AD6044">
        <v>-1.103838344798</v>
      </c>
      <c r="AE6044">
        <v>-1.9904999999999899</v>
      </c>
      <c r="AF6044">
        <v>7.3526965791956602</v>
      </c>
      <c r="AG6044">
        <v>-1.103838344798</v>
      </c>
      <c r="AH6044">
        <v>50.171749514071898</v>
      </c>
      <c r="AI6044">
        <v>91.247056035186006</v>
      </c>
      <c r="AJ6044">
        <v>81.662622433349497</v>
      </c>
      <c r="AK6044">
        <v>50.719671286197602</v>
      </c>
      <c r="AL6044">
        <v>79.406741125100297</v>
      </c>
      <c r="AM6044">
        <v>87.747108352247096</v>
      </c>
      <c r="AN6044">
        <v>0.999999987760404</v>
      </c>
    </row>
    <row r="6045" spans="1:40" x14ac:dyDescent="0.25">
      <c r="A6045" t="str">
        <f>"20190304155541007"</f>
        <v>20190304155541007</v>
      </c>
      <c r="B6045" t="str">
        <f>"1551686141003604"</f>
        <v>1551686141003604</v>
      </c>
      <c r="C6045" t="s">
        <v>40</v>
      </c>
      <c r="D6045">
        <v>4.7069429999999999</v>
      </c>
      <c r="E6045">
        <v>0.54162219999999905</v>
      </c>
      <c r="F6045" t="s">
        <v>46</v>
      </c>
      <c r="G6045">
        <v>-115.4216</v>
      </c>
      <c r="H6045" s="1">
        <v>-2.6054609999999999E-6</v>
      </c>
      <c r="I6045">
        <v>135.90100000000001</v>
      </c>
      <c r="J6045">
        <v>-164.0171</v>
      </c>
      <c r="K6045">
        <v>1.1040099999999999</v>
      </c>
      <c r="L6045">
        <v>138.13839999999999</v>
      </c>
      <c r="M6045">
        <v>0.9952645</v>
      </c>
      <c r="N6045">
        <v>-1.473844E-2</v>
      </c>
      <c r="O6045">
        <v>9.6080550000000001E-2</v>
      </c>
      <c r="P6045">
        <v>0.98327209999999998</v>
      </c>
      <c r="Q6045">
        <v>0.1702736</v>
      </c>
      <c r="R6045">
        <v>6.4674969999999998E-2</v>
      </c>
      <c r="S6045">
        <v>3.073547</v>
      </c>
      <c r="T6045">
        <v>-6.9416279999999997E-2</v>
      </c>
      <c r="U6045">
        <v>-0.13955689999999901</v>
      </c>
      <c r="V6045">
        <v>3.3021460000000002E-2</v>
      </c>
      <c r="W6045">
        <v>0.18427350000000001</v>
      </c>
      <c r="X6045">
        <v>0.98232010000000003</v>
      </c>
      <c r="Y6045">
        <v>0.14107900000000001</v>
      </c>
      <c r="Z6045">
        <v>-3.3835990000000002E-3</v>
      </c>
      <c r="AA6045">
        <v>0.9899926</v>
      </c>
      <c r="AB6045">
        <v>26</v>
      </c>
      <c r="AC6045">
        <v>48.595500000000001</v>
      </c>
      <c r="AD6045">
        <v>-1.104012605461</v>
      </c>
      <c r="AE6045">
        <v>-2.2373999999999801</v>
      </c>
      <c r="AF6045">
        <v>6.8930856636207398</v>
      </c>
      <c r="AG6045">
        <v>-1.104012605461</v>
      </c>
      <c r="AH6045">
        <v>48.130843991409101</v>
      </c>
      <c r="AI6045">
        <v>91.300737879652004</v>
      </c>
      <c r="AJ6045">
        <v>81.849773713174699</v>
      </c>
      <c r="AK6045">
        <v>48.634469433976498</v>
      </c>
      <c r="AL6045">
        <v>79.381220741485393</v>
      </c>
      <c r="AM6045">
        <v>88.074682467253695</v>
      </c>
      <c r="AN6045">
        <v>0.99999995924339502</v>
      </c>
    </row>
    <row r="6046" spans="1:40" x14ac:dyDescent="0.25">
      <c r="A6046" t="str">
        <f>"20190304155541028"</f>
        <v>20190304155541028</v>
      </c>
      <c r="B6046" t="str">
        <f>"1551686141024100"</f>
        <v>1551686141024100</v>
      </c>
      <c r="C6046" t="s">
        <v>40</v>
      </c>
      <c r="D6046">
        <v>4.6400309999999996</v>
      </c>
      <c r="E6046">
        <v>0.54127789999999998</v>
      </c>
      <c r="F6046" t="s">
        <v>46</v>
      </c>
      <c r="G6046">
        <v>-111.13979999999999</v>
      </c>
      <c r="H6046" s="1">
        <v>-4.5124789999999996E-6</v>
      </c>
      <c r="I6046">
        <v>135.50550000000001</v>
      </c>
      <c r="J6046">
        <v>-163.76679999999999</v>
      </c>
      <c r="K6046">
        <v>1.1041650000000001</v>
      </c>
      <c r="L6046">
        <v>138.15260000000001</v>
      </c>
      <c r="M6046">
        <v>0.99607239999999997</v>
      </c>
      <c r="N6046">
        <v>-1.471273E-2</v>
      </c>
      <c r="O6046">
        <v>8.7311479999999997E-2</v>
      </c>
      <c r="P6046">
        <v>0.98355970000000004</v>
      </c>
      <c r="Q6046">
        <v>0.16969049999999999</v>
      </c>
      <c r="R6046">
        <v>6.1770850000000002E-2</v>
      </c>
      <c r="S6046">
        <v>3.0721889999999998</v>
      </c>
      <c r="T6046">
        <v>-6.4143660000000005E-2</v>
      </c>
      <c r="U6046">
        <v>-0.15296940000000001</v>
      </c>
      <c r="V6046">
        <v>2.7185190000000001E-2</v>
      </c>
      <c r="W6046">
        <v>0.18376960000000001</v>
      </c>
      <c r="X6046">
        <v>0.98259339999999995</v>
      </c>
      <c r="Y6046">
        <v>0.13670070000000001</v>
      </c>
      <c r="Z6046">
        <v>-2.969045E-3</v>
      </c>
      <c r="AA6046">
        <v>0.99060800000000004</v>
      </c>
      <c r="AB6046">
        <v>26</v>
      </c>
      <c r="AC6046">
        <v>52.627000000000002</v>
      </c>
      <c r="AD6046">
        <v>-1.1041695124789901</v>
      </c>
      <c r="AE6046">
        <v>-2.6470999999999898</v>
      </c>
      <c r="AF6046">
        <v>7.2292530690354804</v>
      </c>
      <c r="AG6046">
        <v>-1.1041695124789901</v>
      </c>
      <c r="AH6046">
        <v>52.171921489673998</v>
      </c>
      <c r="AI6046">
        <v>91.200958838513898</v>
      </c>
      <c r="AJ6046">
        <v>82.110989661774795</v>
      </c>
      <c r="AK6046">
        <v>52.681976824841698</v>
      </c>
      <c r="AL6046">
        <v>79.410594631262498</v>
      </c>
      <c r="AM6046">
        <v>88.415214865389402</v>
      </c>
      <c r="AN6046">
        <v>1.0000000450815201</v>
      </c>
    </row>
    <row r="6047" spans="1:40" x14ac:dyDescent="0.25">
      <c r="A6047" t="str">
        <f>"20190304155541048"</f>
        <v>20190304155541048</v>
      </c>
      <c r="B6047" t="str">
        <f>"1551686141043620"</f>
        <v>1551686141043620</v>
      </c>
      <c r="C6047" t="s">
        <v>40</v>
      </c>
      <c r="D6047">
        <v>4.6684799999999997</v>
      </c>
      <c r="E6047">
        <v>0.54070969999999996</v>
      </c>
      <c r="F6047" t="s">
        <v>46</v>
      </c>
      <c r="G6047">
        <v>-111.21850000000001</v>
      </c>
      <c r="H6047" s="1">
        <v>-4.4909789999999999E-6</v>
      </c>
      <c r="I6047">
        <v>135.43639999999999</v>
      </c>
      <c r="J6047">
        <v>-163.53720000000001</v>
      </c>
      <c r="K6047">
        <v>1.104311</v>
      </c>
      <c r="L6047">
        <v>138.16390000000001</v>
      </c>
      <c r="M6047">
        <v>0.99673140000000005</v>
      </c>
      <c r="N6047">
        <v>-1.468858E-2</v>
      </c>
      <c r="O6047">
        <v>7.9440769999999994E-2</v>
      </c>
      <c r="P6047">
        <v>0.98379030000000001</v>
      </c>
      <c r="Q6047">
        <v>0.16908199999999901</v>
      </c>
      <c r="R6047">
        <v>5.9732899999999998E-2</v>
      </c>
      <c r="S6047">
        <v>3.0712739999999998</v>
      </c>
      <c r="T6047">
        <v>-6.4535019999999998E-2</v>
      </c>
      <c r="U6047">
        <v>-0.15875239999999999</v>
      </c>
      <c r="V6047">
        <v>2.1377759999999999E-2</v>
      </c>
      <c r="W6047">
        <v>0.18323710000000001</v>
      </c>
      <c r="X6047">
        <v>0.9828363</v>
      </c>
      <c r="Y6047">
        <v>0.13075030000000001</v>
      </c>
      <c r="Z6047">
        <v>-2.834807E-3</v>
      </c>
      <c r="AA6047">
        <v>0.9914113</v>
      </c>
      <c r="AB6047">
        <v>26</v>
      </c>
      <c r="AC6047">
        <v>52.3187</v>
      </c>
      <c r="AD6047">
        <v>-1.1043154909790001</v>
      </c>
      <c r="AE6047">
        <v>-2.72750000000002</v>
      </c>
      <c r="AF6047">
        <v>6.8725106299479197</v>
      </c>
      <c r="AG6047">
        <v>-1.1043154909790001</v>
      </c>
      <c r="AH6047">
        <v>51.913551436644902</v>
      </c>
      <c r="AI6047">
        <v>91.208086547632703</v>
      </c>
      <c r="AJ6047">
        <v>82.458820025141705</v>
      </c>
      <c r="AK6047">
        <v>52.378122702398699</v>
      </c>
      <c r="AL6047">
        <v>79.441631381154394</v>
      </c>
      <c r="AM6047">
        <v>88.753950872059207</v>
      </c>
      <c r="AN6047">
        <v>1.0000000180183499</v>
      </c>
    </row>
    <row r="6048" spans="1:40" x14ac:dyDescent="0.25">
      <c r="A6048" t="str">
        <f>"20190304155541069"</f>
        <v>20190304155541069</v>
      </c>
      <c r="B6048" t="str">
        <f>"1551686141064116"</f>
        <v>1551686141064116</v>
      </c>
      <c r="C6048" t="s">
        <v>40</v>
      </c>
      <c r="D6048">
        <v>4.6518220000000001</v>
      </c>
      <c r="E6048">
        <v>0.54018339999999998</v>
      </c>
      <c r="F6048" t="s">
        <v>46</v>
      </c>
      <c r="G6048">
        <v>-112.21599999999999</v>
      </c>
      <c r="H6048" s="1">
        <v>-4.0520320000000004E-6</v>
      </c>
      <c r="I6048">
        <v>135.49870000000001</v>
      </c>
      <c r="J6048">
        <v>-163.28469999999999</v>
      </c>
      <c r="K6048">
        <v>1.104481</v>
      </c>
      <c r="L6048">
        <v>138.17439999999999</v>
      </c>
      <c r="M6048">
        <v>0.99736769999999997</v>
      </c>
      <c r="N6048">
        <v>-1.465992E-2</v>
      </c>
      <c r="O6048">
        <v>7.1012690000000003E-2</v>
      </c>
      <c r="P6048">
        <v>0.98428910000000003</v>
      </c>
      <c r="Q6048">
        <v>0.1669272</v>
      </c>
      <c r="R6048">
        <v>5.7536179999999999E-2</v>
      </c>
      <c r="S6048">
        <v>3.0704799999999999</v>
      </c>
      <c r="T6048">
        <v>-6.6069600000000006E-2</v>
      </c>
      <c r="U6048">
        <v>-0.15945429999999999</v>
      </c>
      <c r="V6048">
        <v>1.5165369999999999E-2</v>
      </c>
      <c r="W6048">
        <v>0.1811596</v>
      </c>
      <c r="X6048">
        <v>0.98333669999999995</v>
      </c>
      <c r="Y6048">
        <v>0.12260600000000001</v>
      </c>
      <c r="Z6048">
        <v>-2.7036109999999999E-3</v>
      </c>
      <c r="AA6048">
        <v>0.99245170000000005</v>
      </c>
      <c r="AB6048">
        <v>25</v>
      </c>
      <c r="AC6048">
        <v>51.0686999999999</v>
      </c>
      <c r="AD6048">
        <v>-1.104485052032</v>
      </c>
      <c r="AE6048">
        <v>-2.6756999999999702</v>
      </c>
      <c r="AF6048">
        <v>6.2929235134332302</v>
      </c>
      <c r="AG6048">
        <v>-1.104485052032</v>
      </c>
      <c r="AH6048">
        <v>50.726053812794099</v>
      </c>
      <c r="AI6048">
        <v>91.237848080224893</v>
      </c>
      <c r="AJ6048">
        <v>82.928186882207299</v>
      </c>
      <c r="AK6048">
        <v>51.126835507339599</v>
      </c>
      <c r="AL6048">
        <v>79.562688726736098</v>
      </c>
      <c r="AM6048">
        <v>89.116434060045705</v>
      </c>
      <c r="AN6048">
        <v>0.99999992734314003</v>
      </c>
    </row>
    <row r="6049" spans="1:40" x14ac:dyDescent="0.25">
      <c r="A6049" t="str">
        <f>"20190304155541093"</f>
        <v>20190304155541093</v>
      </c>
      <c r="B6049" t="str">
        <f>"1551686141084612"</f>
        <v>1551686141084612</v>
      </c>
      <c r="C6049" t="s">
        <v>40</v>
      </c>
      <c r="D6049">
        <v>4.6700010000000001</v>
      </c>
      <c r="E6049">
        <v>0.53992090000000004</v>
      </c>
      <c r="F6049" t="s">
        <v>46</v>
      </c>
      <c r="G6049">
        <v>-116.5564</v>
      </c>
      <c r="H6049" s="1">
        <v>-2.197862E-6</v>
      </c>
      <c r="I6049">
        <v>135.7079</v>
      </c>
      <c r="J6049">
        <v>-163.02789999999999</v>
      </c>
      <c r="K6049">
        <v>1.1046720000000001</v>
      </c>
      <c r="L6049">
        <v>138.1832</v>
      </c>
      <c r="M6049">
        <v>0.99792499999999995</v>
      </c>
      <c r="N6049">
        <v>-1.4627380000000001E-2</v>
      </c>
      <c r="O6049">
        <v>6.2701960000000001E-2</v>
      </c>
      <c r="P6049">
        <v>0.98451529999999998</v>
      </c>
      <c r="Q6049">
        <v>0.16602549999999999</v>
      </c>
      <c r="R6049">
        <v>5.6260200000000003E-2</v>
      </c>
      <c r="S6049">
        <v>3.0696720000000002</v>
      </c>
      <c r="T6049">
        <v>-7.2555659999999994E-2</v>
      </c>
      <c r="U6049">
        <v>-0.16203310000000001</v>
      </c>
      <c r="V6049">
        <v>8.1421289999999997E-3</v>
      </c>
      <c r="W6049">
        <v>0.18033469999999999</v>
      </c>
      <c r="X6049">
        <v>0.98357159999999999</v>
      </c>
      <c r="Y6049">
        <v>0.115175</v>
      </c>
      <c r="Z6049">
        <v>-2.7672830000000002E-3</v>
      </c>
      <c r="AA6049">
        <v>0.99334140000000004</v>
      </c>
      <c r="AB6049">
        <v>25</v>
      </c>
      <c r="AC6049">
        <v>46.471499999999899</v>
      </c>
      <c r="AD6049">
        <v>-1.1046741978619901</v>
      </c>
      <c r="AE6049">
        <v>-2.4752999999999998</v>
      </c>
      <c r="AF6049">
        <v>5.38156219034631</v>
      </c>
      <c r="AG6049">
        <v>-1.1046741978619901</v>
      </c>
      <c r="AH6049">
        <v>46.198784202644703</v>
      </c>
      <c r="AI6049">
        <v>91.360560764928593</v>
      </c>
      <c r="AJ6049">
        <v>83.355725670329903</v>
      </c>
      <c r="AK6049">
        <v>46.524285899888099</v>
      </c>
      <c r="AL6049">
        <v>79.610744215796899</v>
      </c>
      <c r="AM6049">
        <v>89.525709188670206</v>
      </c>
      <c r="AN6049">
        <v>0.99999999530765105</v>
      </c>
    </row>
    <row r="6050" spans="1:40" x14ac:dyDescent="0.25">
      <c r="A6050" t="str">
        <f>"20190304155541115"</f>
        <v>20190304155541115</v>
      </c>
      <c r="B6050" t="str">
        <f>"1551686141104132"</f>
        <v>1551686141104132</v>
      </c>
      <c r="C6050" t="s">
        <v>40</v>
      </c>
      <c r="D6050">
        <v>4.6609689999999997</v>
      </c>
      <c r="E6050">
        <v>0.53962809999999894</v>
      </c>
      <c r="F6050" t="s">
        <v>46</v>
      </c>
      <c r="G6050">
        <v>-118.069</v>
      </c>
      <c r="H6050" s="1">
        <v>-1.665361E-6</v>
      </c>
      <c r="I6050">
        <v>135.77459999999999</v>
      </c>
      <c r="J6050">
        <v>-162.76820000000001</v>
      </c>
      <c r="K6050">
        <v>1.104884</v>
      </c>
      <c r="L6050">
        <v>138.1902</v>
      </c>
      <c r="M6050">
        <v>0.99840320000000005</v>
      </c>
      <c r="N6050">
        <v>-1.459189E-2</v>
      </c>
      <c r="O6050">
        <v>5.457087E-2</v>
      </c>
      <c r="P6050">
        <v>0.98443340000000001</v>
      </c>
      <c r="Q6050">
        <v>0.1671985</v>
      </c>
      <c r="R6050">
        <v>5.4180440000000003E-2</v>
      </c>
      <c r="S6050">
        <v>3.0693049999999999</v>
      </c>
      <c r="T6050">
        <v>-7.5415019999999999E-2</v>
      </c>
      <c r="U6050">
        <v>-0.16442870000000001</v>
      </c>
      <c r="V6050">
        <v>2.104884E-3</v>
      </c>
      <c r="W6050">
        <v>0.18155589999999999</v>
      </c>
      <c r="X6050">
        <v>0.98337839999999999</v>
      </c>
      <c r="Y6050">
        <v>0.1078596</v>
      </c>
      <c r="Z6050">
        <v>-2.6556280000000002E-3</v>
      </c>
      <c r="AA6050">
        <v>0.99416260000000001</v>
      </c>
      <c r="AB6050">
        <v>25</v>
      </c>
      <c r="AC6050">
        <v>44.699199999999998</v>
      </c>
      <c r="AD6050">
        <v>-1.104885665361</v>
      </c>
      <c r="AE6050">
        <v>-2.4156000000000102</v>
      </c>
      <c r="AF6050">
        <v>4.8485800740472502</v>
      </c>
      <c r="AG6050">
        <v>-1.104885665361</v>
      </c>
      <c r="AH6050">
        <v>44.473650175314702</v>
      </c>
      <c r="AI6050">
        <v>91.414761382862906</v>
      </c>
      <c r="AJ6050">
        <v>83.778106107165598</v>
      </c>
      <c r="AK6050">
        <v>44.7508107299101</v>
      </c>
      <c r="AL6050">
        <v>79.539600572159202</v>
      </c>
      <c r="AM6050">
        <v>89.877360754126499</v>
      </c>
      <c r="AN6050">
        <v>1.0000000264740101</v>
      </c>
    </row>
    <row r="6051" spans="1:40" x14ac:dyDescent="0.25">
      <c r="A6051" t="str">
        <f>"20190304155541136"</f>
        <v>20190304155541136</v>
      </c>
      <c r="B6051" t="str">
        <f>"1551686141123653"</f>
        <v>1551686141123653</v>
      </c>
      <c r="C6051" t="s">
        <v>40</v>
      </c>
      <c r="D6051">
        <v>4.6312309999999997</v>
      </c>
      <c r="E6051">
        <v>0.53931700000000005</v>
      </c>
      <c r="F6051" t="s">
        <v>46</v>
      </c>
      <c r="G6051">
        <v>-115.6711</v>
      </c>
      <c r="H6051" s="1">
        <v>-2.5491610000000001E-6</v>
      </c>
      <c r="I6051">
        <v>135.61500000000001</v>
      </c>
      <c r="J6051">
        <v>-162.5274</v>
      </c>
      <c r="K6051">
        <v>1.105094</v>
      </c>
      <c r="L6051">
        <v>138.1951</v>
      </c>
      <c r="M6051">
        <v>0.99877490000000002</v>
      </c>
      <c r="N6051">
        <v>-1.4557830000000001E-2</v>
      </c>
      <c r="O6051">
        <v>4.7293349999999998E-2</v>
      </c>
      <c r="P6051">
        <v>0.98426349999999996</v>
      </c>
      <c r="Q6051">
        <v>0.1688086</v>
      </c>
      <c r="R6051">
        <v>5.2238409999999999E-2</v>
      </c>
      <c r="S6051">
        <v>3.0688780000000002</v>
      </c>
      <c r="T6051">
        <v>-7.1995020000000007E-2</v>
      </c>
      <c r="U6051">
        <v>-0.1678009</v>
      </c>
      <c r="V6051">
        <v>-3.2202530000000002E-3</v>
      </c>
      <c r="W6051">
        <v>0.18319779999999999</v>
      </c>
      <c r="X6051">
        <v>0.98307080000000002</v>
      </c>
      <c r="Y6051">
        <v>0.1017163</v>
      </c>
      <c r="Z6051">
        <v>-2.353815E-3</v>
      </c>
      <c r="AA6051">
        <v>0.99481059999999999</v>
      </c>
      <c r="AB6051">
        <v>25</v>
      </c>
      <c r="AC6051">
        <v>46.856299999999997</v>
      </c>
      <c r="AD6051">
        <v>-1.1050965491609901</v>
      </c>
      <c r="AE6051">
        <v>-2.5800999999999799</v>
      </c>
      <c r="AF6051">
        <v>4.7907819552163202</v>
      </c>
      <c r="AG6051">
        <v>-1.1050965491609901</v>
      </c>
      <c r="AH6051">
        <v>46.655950611314601</v>
      </c>
      <c r="AI6051">
        <v>91.349764130579203</v>
      </c>
      <c r="AJ6051">
        <v>84.137234179086406</v>
      </c>
      <c r="AK6051">
        <v>46.914289481679397</v>
      </c>
      <c r="AL6051">
        <v>79.443921694880601</v>
      </c>
      <c r="AM6051">
        <v>90.187683578774397</v>
      </c>
      <c r="AN6051">
        <v>1.00000000088343</v>
      </c>
    </row>
    <row r="6052" spans="1:40" x14ac:dyDescent="0.25">
      <c r="A6052" t="str">
        <f>"20190304155541157"</f>
        <v>20190304155541157</v>
      </c>
      <c r="B6052" t="str">
        <f>"1551686141153908"</f>
        <v>1551686141153908</v>
      </c>
      <c r="C6052" t="s">
        <v>40</v>
      </c>
      <c r="D6052">
        <v>4.6337469999999996</v>
      </c>
      <c r="E6052">
        <v>0.53880030000000001</v>
      </c>
      <c r="F6052" t="s">
        <v>46</v>
      </c>
      <c r="G6052">
        <v>-112.01009999999999</v>
      </c>
      <c r="H6052" s="1">
        <v>-4.1606130000000002E-6</v>
      </c>
      <c r="I6052">
        <v>135.3844</v>
      </c>
      <c r="J6052">
        <v>-162.27799999999999</v>
      </c>
      <c r="K6052">
        <v>1.1053329999999999</v>
      </c>
      <c r="L6052">
        <v>138.1987</v>
      </c>
      <c r="M6052">
        <v>0.9990926</v>
      </c>
      <c r="N6052">
        <v>-1.452179E-2</v>
      </c>
      <c r="O6052">
        <v>4.0040800000000001E-2</v>
      </c>
      <c r="P6052">
        <v>0.9842263</v>
      </c>
      <c r="Q6052">
        <v>0.1697226</v>
      </c>
      <c r="R6052">
        <v>4.9930950000000002E-2</v>
      </c>
      <c r="S6052">
        <v>3.068527</v>
      </c>
      <c r="T6052">
        <v>-6.7126039999999998E-2</v>
      </c>
      <c r="U6052">
        <v>-0.17073060000000001</v>
      </c>
      <c r="V6052">
        <v>-8.1623349999999997E-3</v>
      </c>
      <c r="W6052">
        <v>0.18413189999999999</v>
      </c>
      <c r="X6052">
        <v>0.98286770000000001</v>
      </c>
      <c r="Y6052">
        <v>9.545294E-2</v>
      </c>
      <c r="Z6052">
        <v>-2.031129E-3</v>
      </c>
      <c r="AA6052">
        <v>0.99543190000000004</v>
      </c>
      <c r="AB6052">
        <v>25</v>
      </c>
      <c r="AC6052">
        <v>50.267899999999997</v>
      </c>
      <c r="AD6052">
        <v>-1.10533716061299</v>
      </c>
      <c r="AE6052">
        <v>-2.8142999999999998</v>
      </c>
      <c r="AF6052">
        <v>4.8226970537084703</v>
      </c>
      <c r="AG6052">
        <v>-1.10533716061299</v>
      </c>
      <c r="AH6052">
        <v>50.090736400092801</v>
      </c>
      <c r="AI6052">
        <v>91.258306795977902</v>
      </c>
      <c r="AJ6052">
        <v>84.500557914698803</v>
      </c>
      <c r="AK6052">
        <v>50.334501589010102</v>
      </c>
      <c r="AL6052">
        <v>79.389476022738805</v>
      </c>
      <c r="AM6052">
        <v>90.475808286076798</v>
      </c>
      <c r="AN6052">
        <v>1.0000000480067699</v>
      </c>
    </row>
    <row r="6053" spans="1:40" x14ac:dyDescent="0.25">
      <c r="A6053" t="str">
        <f>"20190304155541187"</f>
        <v>20190304155541187</v>
      </c>
      <c r="B6053" t="str">
        <f>"1551686141174404"</f>
        <v>1551686141174404</v>
      </c>
      <c r="C6053" t="s">
        <v>40</v>
      </c>
      <c r="D6053">
        <v>4.6417849999999996</v>
      </c>
      <c r="E6053">
        <v>0.53871659999999999</v>
      </c>
      <c r="F6053" t="s">
        <v>46</v>
      </c>
      <c r="G6053">
        <v>-109.4128</v>
      </c>
      <c r="H6053" s="1">
        <v>-1.3829689999999999E-6</v>
      </c>
      <c r="I6053">
        <v>135.20679999999999</v>
      </c>
      <c r="J6053">
        <v>-161.95570000000001</v>
      </c>
      <c r="K6053">
        <v>1.1056459999999999</v>
      </c>
      <c r="L6053">
        <v>138.20099999999999</v>
      </c>
      <c r="M6053">
        <v>0.99941080000000004</v>
      </c>
      <c r="N6053">
        <v>-1.447381E-2</v>
      </c>
      <c r="O6053">
        <v>3.112388E-2</v>
      </c>
      <c r="P6053">
        <v>0.98440340000000004</v>
      </c>
      <c r="Q6053">
        <v>0.16970750000000001</v>
      </c>
      <c r="R6053">
        <v>4.6361779999999998E-2</v>
      </c>
      <c r="S6053">
        <v>3.0679319999999999</v>
      </c>
      <c r="T6053">
        <v>-6.4146040000000001E-2</v>
      </c>
      <c r="U6053">
        <v>-0.173629799999999</v>
      </c>
      <c r="V6053">
        <v>-1.351861E-2</v>
      </c>
      <c r="W6053">
        <v>0.18412490000000001</v>
      </c>
      <c r="X6053">
        <v>0.98280990000000001</v>
      </c>
      <c r="Y6053">
        <v>8.7521699999999994E-2</v>
      </c>
      <c r="Z6053">
        <v>-1.748332E-3</v>
      </c>
      <c r="AA6053">
        <v>0.99616110000000002</v>
      </c>
      <c r="AB6053">
        <v>25</v>
      </c>
      <c r="AC6053">
        <v>52.542900000000003</v>
      </c>
      <c r="AD6053">
        <v>-1.1056473829689999</v>
      </c>
      <c r="AE6053">
        <v>-2.9942000000000002</v>
      </c>
      <c r="AF6053">
        <v>4.6262173892086196</v>
      </c>
      <c r="AG6053">
        <v>-1.1056473829689999</v>
      </c>
      <c r="AH6053">
        <v>52.4011106002554</v>
      </c>
      <c r="AI6053">
        <v>91.204062191329598</v>
      </c>
      <c r="AJ6053">
        <v>84.954738912619703</v>
      </c>
      <c r="AK6053">
        <v>52.616544314577297</v>
      </c>
      <c r="AL6053">
        <v>79.389883721814897</v>
      </c>
      <c r="AM6053">
        <v>90.788057236822794</v>
      </c>
      <c r="AN6053">
        <v>1.00000001557717</v>
      </c>
    </row>
    <row r="6054" spans="1:40" x14ac:dyDescent="0.25">
      <c r="A6054" t="str">
        <f>"20190304155541211"</f>
        <v>20190304155541211</v>
      </c>
      <c r="B6054" t="str">
        <f>"1551686141203684"</f>
        <v>1551686141203684</v>
      </c>
      <c r="C6054" t="s">
        <v>40</v>
      </c>
      <c r="D6054">
        <v>4.6125210000000001</v>
      </c>
      <c r="E6054">
        <v>0.538267099999999</v>
      </c>
      <c r="F6054" t="s">
        <v>46</v>
      </c>
      <c r="G6054">
        <v>-109.4278</v>
      </c>
      <c r="H6054" s="1">
        <v>-1.4224919999999999E-6</v>
      </c>
      <c r="I6054">
        <v>135.03659999999999</v>
      </c>
      <c r="J6054">
        <v>-161.67789999999999</v>
      </c>
      <c r="K6054">
        <v>1.1059129999999999</v>
      </c>
      <c r="L6054">
        <v>138.2011</v>
      </c>
      <c r="M6054">
        <v>0.99961180000000005</v>
      </c>
      <c r="N6054">
        <v>-1.443244E-2</v>
      </c>
      <c r="O6054">
        <v>2.383395E-2</v>
      </c>
      <c r="P6054">
        <v>0.9843461</v>
      </c>
      <c r="Q6054">
        <v>0.1705111</v>
      </c>
      <c r="R6054">
        <v>4.4598039999999999E-2</v>
      </c>
      <c r="S6054">
        <v>3.067383</v>
      </c>
      <c r="T6054">
        <v>-6.4564590000000005E-2</v>
      </c>
      <c r="U6054">
        <v>-0.1847839</v>
      </c>
      <c r="V6054">
        <v>-1.9046779999999999E-2</v>
      </c>
      <c r="W6054">
        <v>0.18493660000000001</v>
      </c>
      <c r="X6054">
        <v>0.98256589999999999</v>
      </c>
      <c r="Y6054">
        <v>8.3876989999999998E-2</v>
      </c>
      <c r="Z6054">
        <v>-1.6454039999999901E-3</v>
      </c>
      <c r="AA6054">
        <v>0.99647470000000005</v>
      </c>
      <c r="AB6054">
        <v>25</v>
      </c>
      <c r="AC6054">
        <v>52.250099999999897</v>
      </c>
      <c r="AD6054">
        <v>-1.1059144224919999</v>
      </c>
      <c r="AE6054">
        <v>-3.1644999999999999</v>
      </c>
      <c r="AF6054">
        <v>4.4070896825943597</v>
      </c>
      <c r="AG6054">
        <v>-1.1059144224919999</v>
      </c>
      <c r="AH6054">
        <v>52.1365525723389</v>
      </c>
      <c r="AI6054">
        <v>91.210852161519696</v>
      </c>
      <c r="AJ6054">
        <v>85.168288290470301</v>
      </c>
      <c r="AK6054">
        <v>52.334172395372399</v>
      </c>
      <c r="AL6054">
        <v>79.342564334136796</v>
      </c>
      <c r="AM6054">
        <v>91.110524440396603</v>
      </c>
      <c r="AN6054">
        <v>1.0000000368453601</v>
      </c>
    </row>
    <row r="6055" spans="1:40" x14ac:dyDescent="0.25">
      <c r="A6055" t="str">
        <f>"20190304155541231"</f>
        <v>20190304155541231</v>
      </c>
      <c r="B6055" t="str">
        <f>"1551686141224180"</f>
        <v>1551686141224180</v>
      </c>
      <c r="C6055" t="s">
        <v>40</v>
      </c>
      <c r="D6055">
        <v>4.5906979999999997</v>
      </c>
      <c r="E6055">
        <v>0.52987769999999901</v>
      </c>
      <c r="F6055" t="s">
        <v>46</v>
      </c>
      <c r="G6055">
        <v>-106.7176</v>
      </c>
      <c r="H6055" s="1">
        <v>-2.5129180000000002E-6</v>
      </c>
      <c r="I6055">
        <v>134.85</v>
      </c>
      <c r="J6055">
        <v>-161.43260000000001</v>
      </c>
      <c r="K6055">
        <v>1.106117</v>
      </c>
      <c r="L6055">
        <v>138.19990000000001</v>
      </c>
      <c r="M6055">
        <v>0.99974050000000003</v>
      </c>
      <c r="N6055">
        <v>-1.439766E-2</v>
      </c>
      <c r="O6055">
        <v>1.765562E-2</v>
      </c>
      <c r="P6055">
        <v>0.98399729999999996</v>
      </c>
      <c r="Q6055">
        <v>0.1728693</v>
      </c>
      <c r="R6055">
        <v>4.3193580000000002E-2</v>
      </c>
      <c r="S6055">
        <v>3.0668639999999998</v>
      </c>
      <c r="T6055">
        <v>-6.1711670000000003E-2</v>
      </c>
      <c r="U6055">
        <v>-0.18699650000000001</v>
      </c>
      <c r="V6055">
        <v>-2.3801070000000001E-2</v>
      </c>
      <c r="W6055">
        <v>0.1872936</v>
      </c>
      <c r="X6055">
        <v>0.98201559999999999</v>
      </c>
      <c r="Y6055">
        <v>7.8447929999999999E-2</v>
      </c>
      <c r="Z6055">
        <v>-1.454831E-3</v>
      </c>
      <c r="AA6055">
        <v>0.9969171</v>
      </c>
      <c r="AB6055">
        <v>25</v>
      </c>
      <c r="AC6055">
        <v>54.715000000000003</v>
      </c>
      <c r="AD6055">
        <v>-1.1061195129179999</v>
      </c>
      <c r="AE6055">
        <v>-3.3499000000000101</v>
      </c>
      <c r="AF6055">
        <v>4.3137486928611501</v>
      </c>
      <c r="AG6055">
        <v>-1.1061195129179999</v>
      </c>
      <c r="AH6055">
        <v>54.625077758717701</v>
      </c>
      <c r="AI6055">
        <v>91.1564414564684</v>
      </c>
      <c r="AJ6055">
        <v>85.484716312744098</v>
      </c>
      <c r="AK6055">
        <v>54.806304822602002</v>
      </c>
      <c r="AL6055">
        <v>79.205116376860104</v>
      </c>
      <c r="AM6055">
        <v>91.388403531130194</v>
      </c>
      <c r="AN6055">
        <v>1.0000000110887299</v>
      </c>
    </row>
    <row r="6056" spans="1:40" x14ac:dyDescent="0.25">
      <c r="A6056" t="str">
        <f>"20190304155541251"</f>
        <v>20190304155541251</v>
      </c>
      <c r="B6056" t="str">
        <f>"1551686141243701"</f>
        <v>1551686141243701</v>
      </c>
      <c r="C6056" t="s">
        <v>40</v>
      </c>
      <c r="D6056">
        <v>4.5101820000000004</v>
      </c>
      <c r="E6056">
        <v>0.54335529999999999</v>
      </c>
      <c r="F6056" t="s">
        <v>46</v>
      </c>
      <c r="G6056">
        <v>-107.7722</v>
      </c>
      <c r="H6056" s="1">
        <v>-1.7920069999999999E-6</v>
      </c>
      <c r="I6056">
        <v>136.03729999999999</v>
      </c>
      <c r="J6056">
        <v>-161.21209999999999</v>
      </c>
      <c r="K6056">
        <v>1.106298</v>
      </c>
      <c r="L6056">
        <v>138.1977</v>
      </c>
      <c r="M6056">
        <v>0.99982079999999995</v>
      </c>
      <c r="N6056">
        <v>-1.436758E-2</v>
      </c>
      <c r="O6056">
        <v>1.233048E-2</v>
      </c>
      <c r="P6056">
        <v>0.98384170000000004</v>
      </c>
      <c r="Q6056">
        <v>0.17392759999999999</v>
      </c>
      <c r="R6056">
        <v>4.2483079999999999E-2</v>
      </c>
      <c r="S6056">
        <v>3.0653079999999999</v>
      </c>
      <c r="T6056">
        <v>-6.318617E-2</v>
      </c>
      <c r="U6056">
        <v>-0.123535199999999</v>
      </c>
      <c r="V6056">
        <v>-2.8404490000000001E-2</v>
      </c>
      <c r="W6056">
        <v>0.18835489999999999</v>
      </c>
      <c r="X6056">
        <v>0.98169019999999996</v>
      </c>
      <c r="Y6056">
        <v>5.2567889999999999E-2</v>
      </c>
      <c r="Z6056">
        <v>-9.9636939999999991E-4</v>
      </c>
      <c r="AA6056">
        <v>0.99861690000000003</v>
      </c>
      <c r="AB6056">
        <v>25</v>
      </c>
      <c r="AC6056">
        <v>53.439900000000002</v>
      </c>
      <c r="AD6056">
        <v>-1.1062997920069999</v>
      </c>
      <c r="AE6056">
        <v>-2.1604000000000099</v>
      </c>
      <c r="AF6056">
        <v>2.8180375974017302</v>
      </c>
      <c r="AG6056">
        <v>-1.1062997920069999</v>
      </c>
      <c r="AH6056">
        <v>53.386352899402503</v>
      </c>
      <c r="AI6056">
        <v>91.185493087236196</v>
      </c>
      <c r="AJ6056">
        <v>86.978404774083998</v>
      </c>
      <c r="AK6056">
        <v>53.472122746620997</v>
      </c>
      <c r="AL6056">
        <v>79.143206587451104</v>
      </c>
      <c r="AM6056">
        <v>91.6573491916661</v>
      </c>
      <c r="AN6056">
        <v>1.0000000160911</v>
      </c>
    </row>
    <row r="6057" spans="1:40" x14ac:dyDescent="0.25">
      <c r="A6057" t="str">
        <f>"20190304155541273"</f>
        <v>20190304155541273</v>
      </c>
      <c r="B6057" t="str">
        <f>"1551686141264196"</f>
        <v>1551686141264196</v>
      </c>
      <c r="C6057" t="s">
        <v>40</v>
      </c>
      <c r="D6057">
        <v>4.5363509999999998</v>
      </c>
      <c r="E6057">
        <v>0.5434369</v>
      </c>
      <c r="F6057" t="s">
        <v>43</v>
      </c>
      <c r="G6057">
        <v>0</v>
      </c>
      <c r="H6057">
        <v>0</v>
      </c>
      <c r="I6057">
        <v>0</v>
      </c>
      <c r="J6057">
        <v>-160.9631</v>
      </c>
      <c r="K6057">
        <v>1.1065100000000001</v>
      </c>
      <c r="L6057">
        <v>138.19409999999999</v>
      </c>
      <c r="M6057">
        <v>0.99987559999999998</v>
      </c>
      <c r="N6057">
        <v>-1.4333469999999999E-2</v>
      </c>
      <c r="O6057">
        <v>6.5967659999999996E-3</v>
      </c>
      <c r="P6057">
        <v>0.98375690000000005</v>
      </c>
      <c r="Q6057">
        <v>0.1745196</v>
      </c>
      <c r="R6057">
        <v>4.2015770000000001E-2</v>
      </c>
      <c r="S6057">
        <v>3.0546419999999999</v>
      </c>
      <c r="T6057">
        <v>2.575326E-2</v>
      </c>
      <c r="U6057">
        <v>-0.23010249999999999</v>
      </c>
      <c r="V6057">
        <v>-3.3669169999999998E-2</v>
      </c>
      <c r="W6057">
        <v>0.1889459</v>
      </c>
      <c r="X6057">
        <v>0.98141009999999995</v>
      </c>
      <c r="Y6057">
        <v>8.1693509999999997E-2</v>
      </c>
      <c r="Z6057" s="1">
        <v>-9.2490629999999994E-5</v>
      </c>
      <c r="AA6057">
        <v>0.99665749999999997</v>
      </c>
      <c r="AB6057">
        <v>25</v>
      </c>
      <c r="AC6057">
        <v>3.0546419999999999</v>
      </c>
      <c r="AD6057">
        <v>2.575326E-2</v>
      </c>
      <c r="AE6057">
        <v>-0.23010249999999999</v>
      </c>
      <c r="AF6057">
        <v>0.25023263311772798</v>
      </c>
      <c r="AG6057">
        <v>2.575326E-2</v>
      </c>
      <c r="AH6057">
        <v>3.0528416627474702</v>
      </c>
      <c r="AI6057">
        <v>89.518289310368104</v>
      </c>
      <c r="AJ6057">
        <v>85.314105567984996</v>
      </c>
      <c r="AK6057">
        <v>3.0631881788235602</v>
      </c>
      <c r="AL6057">
        <v>79.108725202626104</v>
      </c>
      <c r="AM6057">
        <v>91.964871816652902</v>
      </c>
      <c r="AN6057">
        <v>0.99999997525865403</v>
      </c>
    </row>
    <row r="6058" spans="1:40" x14ac:dyDescent="0.25">
      <c r="A6058" t="str">
        <f>"20190304155541292"</f>
        <v>20190304155541292</v>
      </c>
      <c r="B6058" t="str">
        <f>"1551686141283716"</f>
        <v>1551686141283716</v>
      </c>
      <c r="C6058" t="s">
        <v>40</v>
      </c>
      <c r="D6058">
        <v>4.5276420000000002</v>
      </c>
      <c r="E6058">
        <v>0.54343549999999996</v>
      </c>
      <c r="F6058" t="s">
        <v>43</v>
      </c>
      <c r="G6058">
        <v>0</v>
      </c>
      <c r="H6058">
        <v>0</v>
      </c>
      <c r="I6058">
        <v>0</v>
      </c>
      <c r="J6058">
        <v>-160.7456</v>
      </c>
      <c r="K6058">
        <v>1.1067100000000001</v>
      </c>
      <c r="L6058">
        <v>138.19</v>
      </c>
      <c r="M6058">
        <v>0.99989600000000001</v>
      </c>
      <c r="N6058">
        <v>-1.4302789999999999E-2</v>
      </c>
      <c r="O6058">
        <v>1.8271749999999999E-3</v>
      </c>
      <c r="P6058">
        <v>0.98339410000000005</v>
      </c>
      <c r="Q6058">
        <v>0.1763161</v>
      </c>
      <c r="R6058">
        <v>4.2995329999999998E-2</v>
      </c>
      <c r="S6058">
        <v>3.0542600000000002</v>
      </c>
      <c r="T6058">
        <v>2.9345039999999999E-2</v>
      </c>
      <c r="U6058">
        <v>-0.23274230000000001</v>
      </c>
      <c r="V6058">
        <v>-3.941302E-2</v>
      </c>
      <c r="W6058">
        <v>0.1907422</v>
      </c>
      <c r="X6058">
        <v>0.98084859999999896</v>
      </c>
      <c r="Y6058">
        <v>7.7805429999999995E-2</v>
      </c>
      <c r="Z6058">
        <v>-1.4039599999999999E-4</v>
      </c>
      <c r="AA6058">
        <v>0.99696859999999998</v>
      </c>
      <c r="AB6058">
        <v>25</v>
      </c>
      <c r="AC6058">
        <v>3.0542600000000002</v>
      </c>
      <c r="AD6058">
        <v>2.9345039999999999E-2</v>
      </c>
      <c r="AE6058">
        <v>-0.23274230000000001</v>
      </c>
      <c r="AF6058">
        <v>0.23830127902569001</v>
      </c>
      <c r="AG6058">
        <v>2.9345039999999999E-2</v>
      </c>
      <c r="AH6058">
        <v>3.0535493447054098</v>
      </c>
      <c r="AI6058">
        <v>89.451065389674596</v>
      </c>
      <c r="AJ6058">
        <v>85.537638892689699</v>
      </c>
      <c r="AK6058">
        <v>3.0629744092154501</v>
      </c>
      <c r="AL6058">
        <v>79.003898414741599</v>
      </c>
      <c r="AM6058">
        <v>92.301053890908705</v>
      </c>
      <c r="AN6058">
        <v>0.99999997456415901</v>
      </c>
    </row>
    <row r="6059" spans="1:40" x14ac:dyDescent="0.25">
      <c r="A6059" t="str">
        <f>"20190304155541315"</f>
        <v>20190304155541315</v>
      </c>
      <c r="B6059" t="str">
        <f>"1551686141304212"</f>
        <v>1551686141304212</v>
      </c>
      <c r="C6059" t="s">
        <v>40</v>
      </c>
      <c r="D6059">
        <v>4.4993439999999998</v>
      </c>
      <c r="E6059">
        <v>0.54312969999999905</v>
      </c>
      <c r="F6059" t="s">
        <v>43</v>
      </c>
      <c r="G6059">
        <v>0</v>
      </c>
      <c r="H6059">
        <v>0</v>
      </c>
      <c r="I6059">
        <v>0</v>
      </c>
      <c r="J6059">
        <v>-160.4855</v>
      </c>
      <c r="K6059">
        <v>1.1069549999999999</v>
      </c>
      <c r="L6059">
        <v>138.1842</v>
      </c>
      <c r="M6059">
        <v>0.9998918</v>
      </c>
      <c r="N6059">
        <v>-1.426621E-2</v>
      </c>
      <c r="O6059">
        <v>-3.5861019999999999E-3</v>
      </c>
      <c r="P6059">
        <v>0.98305030000000004</v>
      </c>
      <c r="Q6059">
        <v>0.1782376</v>
      </c>
      <c r="R6059">
        <v>4.2939579999999998E-2</v>
      </c>
      <c r="S6059">
        <v>3.0547789999999999</v>
      </c>
      <c r="T6059">
        <v>3.3268689999999997E-2</v>
      </c>
      <c r="U6059">
        <v>-0.23059080000000001</v>
      </c>
      <c r="V6059">
        <v>-4.4774540000000002E-2</v>
      </c>
      <c r="W6059">
        <v>0.19264229999999999</v>
      </c>
      <c r="X6059">
        <v>0.98024699999999998</v>
      </c>
      <c r="Y6059">
        <v>7.1696800000000005E-2</v>
      </c>
      <c r="Z6059">
        <v>-2.1240580000000001E-4</v>
      </c>
      <c r="AA6059">
        <v>0.99742649999999999</v>
      </c>
      <c r="AB6059">
        <v>25</v>
      </c>
      <c r="AC6059">
        <v>3.0547789999999999</v>
      </c>
      <c r="AD6059">
        <v>3.3268689999999997E-2</v>
      </c>
      <c r="AE6059">
        <v>-0.23059080000000001</v>
      </c>
      <c r="AF6059">
        <v>0.21960755342198701</v>
      </c>
      <c r="AG6059">
        <v>3.3268689999999997E-2</v>
      </c>
      <c r="AH6059">
        <v>3.0552260404805001</v>
      </c>
      <c r="AI6059">
        <v>89.377729980865993</v>
      </c>
      <c r="AJ6059">
        <v>85.888689464137499</v>
      </c>
      <c r="AK6059">
        <v>3.0632891541094298</v>
      </c>
      <c r="AL6059">
        <v>78.892973855371196</v>
      </c>
      <c r="AM6059">
        <v>92.615269705562596</v>
      </c>
      <c r="AN6059">
        <v>0.99999999809524998</v>
      </c>
    </row>
    <row r="6060" spans="1:40" x14ac:dyDescent="0.25">
      <c r="A6060" t="str">
        <f>"20190304155541338"</f>
        <v>20190304155541338</v>
      </c>
      <c r="B6060" t="str">
        <f>"1551686141334469"</f>
        <v>1551686141334469</v>
      </c>
      <c r="C6060" t="s">
        <v>40</v>
      </c>
      <c r="D6060">
        <v>4.4585619999999997</v>
      </c>
      <c r="E6060">
        <v>0.54246419999999995</v>
      </c>
      <c r="F6060" t="s">
        <v>43</v>
      </c>
      <c r="G6060">
        <v>0</v>
      </c>
      <c r="H6060">
        <v>0</v>
      </c>
      <c r="I6060">
        <v>0</v>
      </c>
      <c r="J6060">
        <v>-160.22810000000001</v>
      </c>
      <c r="K6060">
        <v>1.1071979999999999</v>
      </c>
      <c r="L6060">
        <v>138.17740000000001</v>
      </c>
      <c r="M6060">
        <v>0.99986160000000002</v>
      </c>
      <c r="N6060">
        <v>-1.4231250000000001E-2</v>
      </c>
      <c r="O6060">
        <v>-8.6257999999999994E-3</v>
      </c>
      <c r="P6060">
        <v>0.98280509999999999</v>
      </c>
      <c r="Q6060">
        <v>0.179664299999999</v>
      </c>
      <c r="R6060">
        <v>4.260216E-2</v>
      </c>
      <c r="S6060">
        <v>3.0548099999999998</v>
      </c>
      <c r="T6060">
        <v>3.7932399999999998E-2</v>
      </c>
      <c r="U6060">
        <v>-0.22817989999999999</v>
      </c>
      <c r="V6060">
        <v>-4.9491790000000001E-2</v>
      </c>
      <c r="W6060">
        <v>0.19403880000000001</v>
      </c>
      <c r="X6060">
        <v>0.97974459999999997</v>
      </c>
      <c r="Y6060">
        <v>6.5886120000000006E-2</v>
      </c>
      <c r="Z6060">
        <v>-2.9055440000000002E-4</v>
      </c>
      <c r="AA6060">
        <v>0.99782709999999997</v>
      </c>
      <c r="AB6060">
        <v>25</v>
      </c>
      <c r="AC6060">
        <v>3.0548099999999998</v>
      </c>
      <c r="AD6060">
        <v>3.7932399999999998E-2</v>
      </c>
      <c r="AE6060">
        <v>-0.22817989999999999</v>
      </c>
      <c r="AF6060">
        <v>0.201787621777611</v>
      </c>
      <c r="AG6060">
        <v>3.7932399999999998E-2</v>
      </c>
      <c r="AH6060">
        <v>3.0561961465789902</v>
      </c>
      <c r="AI6060">
        <v>89.290446815376797</v>
      </c>
      <c r="AJ6060">
        <v>86.222486441095597</v>
      </c>
      <c r="AK6060">
        <v>3.0630853722409799</v>
      </c>
      <c r="AL6060">
        <v>78.811421415387798</v>
      </c>
      <c r="AM6060">
        <v>92.891837715598101</v>
      </c>
      <c r="AN6060">
        <v>0.99999998720600103</v>
      </c>
    </row>
    <row r="6061" spans="1:40" x14ac:dyDescent="0.25">
      <c r="A6061" t="str">
        <f>"20190304155541360"</f>
        <v>20190304155541360</v>
      </c>
      <c r="B6061" t="str">
        <f>"1551686141353989"</f>
        <v>1551686141353989</v>
      </c>
      <c r="C6061" t="s">
        <v>40</v>
      </c>
      <c r="D6061">
        <v>4.5081600000000002</v>
      </c>
      <c r="E6061">
        <v>0.53998769999999996</v>
      </c>
      <c r="F6061" t="s">
        <v>43</v>
      </c>
      <c r="G6061">
        <v>0</v>
      </c>
      <c r="H6061">
        <v>0</v>
      </c>
      <c r="I6061">
        <v>0</v>
      </c>
      <c r="J6061">
        <v>-159.97499999999999</v>
      </c>
      <c r="K6061">
        <v>1.107443</v>
      </c>
      <c r="L6061">
        <v>138.16980000000001</v>
      </c>
      <c r="M6061">
        <v>0.99981140000000002</v>
      </c>
      <c r="N6061">
        <v>-1.4198270000000001E-2</v>
      </c>
      <c r="O6061">
        <v>-1.325582E-2</v>
      </c>
      <c r="P6061">
        <v>0.98288880000000001</v>
      </c>
      <c r="Q6061">
        <v>0.17907310000000001</v>
      </c>
      <c r="R6061">
        <v>4.3157979999999999E-2</v>
      </c>
      <c r="S6061">
        <v>3.055237</v>
      </c>
      <c r="T6061">
        <v>3.7971739999999997E-2</v>
      </c>
      <c r="U6061">
        <v>-0.2234497</v>
      </c>
      <c r="V6061">
        <v>-5.4717630000000003E-2</v>
      </c>
      <c r="W6061">
        <v>0.19342219999999999</v>
      </c>
      <c r="X6061">
        <v>0.97958860000000003</v>
      </c>
      <c r="Y6061">
        <v>5.9718899999999998E-2</v>
      </c>
      <c r="Z6061">
        <v>-4.0641959999999997E-4</v>
      </c>
      <c r="AA6061">
        <v>0.99821510000000002</v>
      </c>
      <c r="AB6061">
        <v>25</v>
      </c>
      <c r="AC6061">
        <v>3.055237</v>
      </c>
      <c r="AD6061">
        <v>3.7971739999999997E-2</v>
      </c>
      <c r="AE6061">
        <v>-0.2234497</v>
      </c>
      <c r="AF6061">
        <v>0.18289821049294999</v>
      </c>
      <c r="AG6061">
        <v>3.7971739999999997E-2</v>
      </c>
      <c r="AH6061">
        <v>3.0574610541392699</v>
      </c>
      <c r="AI6061">
        <v>89.289728673896207</v>
      </c>
      <c r="AJ6061">
        <v>86.576629370649897</v>
      </c>
      <c r="AK6061">
        <v>3.06316204370885</v>
      </c>
      <c r="AL6061">
        <v>78.847432324516802</v>
      </c>
      <c r="AM6061">
        <v>93.197091888948293</v>
      </c>
      <c r="AN6061">
        <v>0.99999999586780797</v>
      </c>
    </row>
    <row r="6062" spans="1:40" x14ac:dyDescent="0.25">
      <c r="A6062" t="str">
        <f>"20190304155541387"</f>
        <v>20190304155541387</v>
      </c>
      <c r="B6062" t="str">
        <f>"1551686141384244"</f>
        <v>1551686141384244</v>
      </c>
      <c r="C6062" t="s">
        <v>40</v>
      </c>
      <c r="D6062">
        <v>4.6659389999999998</v>
      </c>
      <c r="E6062">
        <v>0.53916489999999995</v>
      </c>
      <c r="F6062" t="s">
        <v>43</v>
      </c>
      <c r="G6062">
        <v>0</v>
      </c>
      <c r="H6062">
        <v>0</v>
      </c>
      <c r="I6062">
        <v>0</v>
      </c>
      <c r="J6062">
        <v>-159.68440000000001</v>
      </c>
      <c r="K6062">
        <v>1.107726</v>
      </c>
      <c r="L6062">
        <v>138.16</v>
      </c>
      <c r="M6062">
        <v>0.9997357</v>
      </c>
      <c r="N6062">
        <v>-1.416134E-2</v>
      </c>
      <c r="O6062">
        <v>-1.8108929999999999E-2</v>
      </c>
      <c r="P6062">
        <v>0.98315529999999995</v>
      </c>
      <c r="Q6062">
        <v>0.17753540000000001</v>
      </c>
      <c r="R6062">
        <v>4.3438699999999997E-2</v>
      </c>
      <c r="S6062">
        <v>3.0600130000000001</v>
      </c>
      <c r="T6062">
        <v>6.084323E-3</v>
      </c>
      <c r="U6062">
        <v>-0.20275879999999999</v>
      </c>
      <c r="V6062">
        <v>-5.9912189999999997E-2</v>
      </c>
      <c r="W6062">
        <v>0.19184580000000001</v>
      </c>
      <c r="X6062">
        <v>0.97959459999999998</v>
      </c>
      <c r="Y6062">
        <v>4.8036750000000003E-2</v>
      </c>
      <c r="Z6062">
        <v>-5.8500130000000003E-4</v>
      </c>
      <c r="AA6062">
        <v>0.99884539999999999</v>
      </c>
      <c r="AB6062">
        <v>25</v>
      </c>
      <c r="AC6062">
        <v>3.0600130000000001</v>
      </c>
      <c r="AD6062">
        <v>6.084323E-3</v>
      </c>
      <c r="AE6062">
        <v>-0.20275879999999999</v>
      </c>
      <c r="AF6062">
        <v>0.14730584514988901</v>
      </c>
      <c r="AG6062">
        <v>6.084323E-3</v>
      </c>
      <c r="AH6062">
        <v>3.0631711740605501</v>
      </c>
      <c r="AI6062">
        <v>89.886325915219302</v>
      </c>
      <c r="AJ6062">
        <v>87.246805455103797</v>
      </c>
      <c r="AK6062">
        <v>3.06671708388583</v>
      </c>
      <c r="AL6062">
        <v>78.939476616000704</v>
      </c>
      <c r="AM6062">
        <v>93.499861173215393</v>
      </c>
      <c r="AN6062">
        <v>0.99999993091869499</v>
      </c>
    </row>
    <row r="6063" spans="1:40" x14ac:dyDescent="0.25">
      <c r="A6063" t="str">
        <f>"20190304155541425"</f>
        <v>20190304155541425</v>
      </c>
      <c r="B6063" t="str">
        <f>"1551686141413524"</f>
        <v>1551686141413524</v>
      </c>
      <c r="C6063" t="s">
        <v>40</v>
      </c>
      <c r="D6063">
        <v>4.4395030000000002</v>
      </c>
      <c r="E6063">
        <v>0.53835710000000003</v>
      </c>
      <c r="F6063" t="s">
        <v>43</v>
      </c>
      <c r="G6063">
        <v>0</v>
      </c>
      <c r="H6063">
        <v>0</v>
      </c>
      <c r="I6063">
        <v>0</v>
      </c>
      <c r="J6063">
        <v>-159.255</v>
      </c>
      <c r="K6063">
        <v>1.108093</v>
      </c>
      <c r="L6063">
        <v>138.14400000000001</v>
      </c>
      <c r="M6063">
        <v>0.99959889999999996</v>
      </c>
      <c r="N6063">
        <v>-1.411039E-2</v>
      </c>
      <c r="O6063">
        <v>-2.4558279999999998E-2</v>
      </c>
      <c r="P6063">
        <v>0.98325839999999998</v>
      </c>
      <c r="Q6063">
        <v>0.1764356</v>
      </c>
      <c r="R6063">
        <v>4.5534190000000002E-2</v>
      </c>
      <c r="S6063">
        <v>3.0598749999999999</v>
      </c>
      <c r="T6063">
        <v>1.134157E-3</v>
      </c>
      <c r="U6063">
        <v>-0.19630429999999999</v>
      </c>
      <c r="V6063">
        <v>-6.8527309999999994E-2</v>
      </c>
      <c r="W6063">
        <v>0.190687</v>
      </c>
      <c r="X6063">
        <v>0.97925609999999996</v>
      </c>
      <c r="Y6063">
        <v>3.9495750000000003E-2</v>
      </c>
      <c r="Z6063">
        <v>-6.2701079999999995E-4</v>
      </c>
      <c r="AA6063">
        <v>0.99921950000000004</v>
      </c>
      <c r="AB6063">
        <v>25</v>
      </c>
      <c r="AC6063">
        <v>3.0598749999999999</v>
      </c>
      <c r="AD6063">
        <v>1.134157E-3</v>
      </c>
      <c r="AE6063">
        <v>-0.19630429999999999</v>
      </c>
      <c r="AF6063">
        <v>0.121092323811035</v>
      </c>
      <c r="AG6063">
        <v>1.134157E-3</v>
      </c>
      <c r="AH6063">
        <v>3.06377291428621</v>
      </c>
      <c r="AI6063">
        <v>89.978806617910905</v>
      </c>
      <c r="AJ6063">
        <v>87.736624119722805</v>
      </c>
      <c r="AK6063">
        <v>3.0661652120379799</v>
      </c>
      <c r="AL6063">
        <v>79.007120747365704</v>
      </c>
      <c r="AM6063">
        <v>94.002972530698898</v>
      </c>
      <c r="AN6063">
        <v>1.0000000167860199</v>
      </c>
    </row>
    <row r="6064" spans="1:40" x14ac:dyDescent="0.25">
      <c r="A6064" t="str">
        <f>"20190304155541450"</f>
        <v>20190304155541450</v>
      </c>
      <c r="B6064" t="str">
        <f>"1551686141443781"</f>
        <v>1551686141443781</v>
      </c>
      <c r="C6064" t="s">
        <v>40</v>
      </c>
      <c r="D6064">
        <v>4.4557539999999998</v>
      </c>
      <c r="E6064">
        <v>0.53772500000000001</v>
      </c>
      <c r="F6064" t="s">
        <v>43</v>
      </c>
      <c r="G6064">
        <v>0</v>
      </c>
      <c r="H6064">
        <v>0</v>
      </c>
      <c r="I6064">
        <v>0</v>
      </c>
      <c r="J6064">
        <v>-158.97</v>
      </c>
      <c r="K6064">
        <v>1.108293</v>
      </c>
      <c r="L6064">
        <v>138.13239999999999</v>
      </c>
      <c r="M6064">
        <v>0.99949739999999998</v>
      </c>
      <c r="N6064">
        <v>-1.4080489999999999E-2</v>
      </c>
      <c r="O6064">
        <v>-2.8408900000000001E-2</v>
      </c>
      <c r="P6064">
        <v>0.98322889999999996</v>
      </c>
      <c r="Q6064">
        <v>0.1765651</v>
      </c>
      <c r="R6064">
        <v>4.567508E-2</v>
      </c>
      <c r="S6064">
        <v>3.0598450000000001</v>
      </c>
      <c r="T6064">
        <v>-1.3146399999999999E-3</v>
      </c>
      <c r="U6064">
        <v>-0.18460080000000001</v>
      </c>
      <c r="V6064">
        <v>-7.2541259999999996E-2</v>
      </c>
      <c r="W6064">
        <v>0.19077079999999999</v>
      </c>
      <c r="X6064">
        <v>0.9789506</v>
      </c>
      <c r="Y6064">
        <v>3.1838720000000001E-2</v>
      </c>
      <c r="Z6064">
        <v>-6.1880460000000002E-4</v>
      </c>
      <c r="AA6064">
        <v>0.99949279999999996</v>
      </c>
      <c r="AB6064">
        <v>25</v>
      </c>
      <c r="AC6064">
        <v>3.0598450000000001</v>
      </c>
      <c r="AD6064">
        <v>-1.3146399999999999E-3</v>
      </c>
      <c r="AE6064">
        <v>-0.18460080000000001</v>
      </c>
      <c r="AF6064">
        <v>9.7590827271670094E-2</v>
      </c>
      <c r="AG6064">
        <v>-1.3146399999999999E-3</v>
      </c>
      <c r="AH6064">
        <v>3.0638540195744199</v>
      </c>
      <c r="AI6064">
        <v>90.024572038078404</v>
      </c>
      <c r="AJ6064">
        <v>88.175613905441793</v>
      </c>
      <c r="AK6064">
        <v>3.0654081540813198</v>
      </c>
      <c r="AL6064">
        <v>79.002229440115599</v>
      </c>
      <c r="AM6064">
        <v>94.237931539988693</v>
      </c>
      <c r="AN6064">
        <v>1.00000000488769</v>
      </c>
    </row>
    <row r="6065" spans="1:40" x14ac:dyDescent="0.25">
      <c r="A6065" t="str">
        <f>"20190304155541474"</f>
        <v>20190304155541474</v>
      </c>
      <c r="B6065" t="str">
        <f>"1551686141464276"</f>
        <v>1551686141464276</v>
      </c>
      <c r="C6065" t="s">
        <v>40</v>
      </c>
      <c r="D6065">
        <v>4.4717479999999998</v>
      </c>
      <c r="E6065">
        <v>0.53719280000000003</v>
      </c>
      <c r="F6065" t="s">
        <v>43</v>
      </c>
      <c r="G6065">
        <v>0</v>
      </c>
      <c r="H6065">
        <v>0</v>
      </c>
      <c r="I6065">
        <v>0</v>
      </c>
      <c r="J6065">
        <v>-158.71039999999999</v>
      </c>
      <c r="K6065">
        <v>1.1084590000000001</v>
      </c>
      <c r="L6065">
        <v>138.12110000000001</v>
      </c>
      <c r="M6065">
        <v>0.99939999999999996</v>
      </c>
      <c r="N6065">
        <v>-1.4055359999999999E-2</v>
      </c>
      <c r="O6065">
        <v>-3.1661759999999997E-2</v>
      </c>
      <c r="P6065">
        <v>0.98311340000000003</v>
      </c>
      <c r="Q6065">
        <v>0.17684169999999999</v>
      </c>
      <c r="R6065">
        <v>4.706842E-2</v>
      </c>
      <c r="S6065">
        <v>3.059952</v>
      </c>
      <c r="T6065">
        <v>-2.306223E-3</v>
      </c>
      <c r="U6065">
        <v>-0.1797638</v>
      </c>
      <c r="V6065">
        <v>-7.7196780000000007E-2</v>
      </c>
      <c r="W6065">
        <v>0.1910123</v>
      </c>
      <c r="X6065">
        <v>0.97854739999999996</v>
      </c>
      <c r="Y6065">
        <v>2.7008999999999998E-2</v>
      </c>
      <c r="Z6065">
        <v>-6.21136E-4</v>
      </c>
      <c r="AA6065">
        <v>0.99963500000000005</v>
      </c>
      <c r="AB6065">
        <v>25</v>
      </c>
      <c r="AC6065">
        <v>3.059952</v>
      </c>
      <c r="AD6065">
        <v>-2.306223E-3</v>
      </c>
      <c r="AE6065">
        <v>-0.1797638</v>
      </c>
      <c r="AF6065">
        <v>8.2780590477831498E-2</v>
      </c>
      <c r="AG6065">
        <v>-2.306223E-3</v>
      </c>
      <c r="AH6065">
        <v>3.06410802724292</v>
      </c>
      <c r="AI6065">
        <v>90.043108344439304</v>
      </c>
      <c r="AJ6065">
        <v>88.452461533771597</v>
      </c>
      <c r="AK6065">
        <v>3.06522689982959</v>
      </c>
      <c r="AL6065">
        <v>78.988133552982703</v>
      </c>
      <c r="AM6065">
        <v>94.510673863855203</v>
      </c>
      <c r="AN6065">
        <v>1.0000000278201999</v>
      </c>
    </row>
    <row r="6066" spans="1:40" x14ac:dyDescent="0.25">
      <c r="A6066" t="str">
        <f>"20190304155541496"</f>
        <v>20190304155541496</v>
      </c>
      <c r="B6066" t="str">
        <f>"1551686141493557"</f>
        <v>1551686141493557</v>
      </c>
      <c r="C6066" t="s">
        <v>40</v>
      </c>
      <c r="D6066">
        <v>4.472906</v>
      </c>
      <c r="E6066">
        <v>0.53694140000000001</v>
      </c>
      <c r="F6066" t="s">
        <v>43</v>
      </c>
      <c r="G6066">
        <v>0</v>
      </c>
      <c r="H6066">
        <v>0</v>
      </c>
      <c r="I6066">
        <v>0</v>
      </c>
      <c r="J6066">
        <v>-158.46260000000001</v>
      </c>
      <c r="K6066">
        <v>1.1086309999999999</v>
      </c>
      <c r="L6066">
        <v>138.10980000000001</v>
      </c>
      <c r="M6066">
        <v>0.99930660000000004</v>
      </c>
      <c r="N6066">
        <v>-1.4032309999999999E-2</v>
      </c>
      <c r="O6066">
        <v>-3.4490220000000002E-2</v>
      </c>
      <c r="P6066">
        <v>0.98308510000000005</v>
      </c>
      <c r="Q6066">
        <v>0.17671479999999901</v>
      </c>
      <c r="R6066">
        <v>4.8121490000000003E-2</v>
      </c>
      <c r="S6066">
        <v>3.0602420000000001</v>
      </c>
      <c r="T6066">
        <v>-2.3746489999999999E-3</v>
      </c>
      <c r="U6066">
        <v>-0.17262269999999999</v>
      </c>
      <c r="V6066">
        <v>-8.1104819999999994E-2</v>
      </c>
      <c r="W6066">
        <v>0.19084519999999999</v>
      </c>
      <c r="X6066">
        <v>0.97826389999999996</v>
      </c>
      <c r="Y6066">
        <v>2.1849170000000001E-2</v>
      </c>
      <c r="Z6066">
        <v>-6.1897389999999997E-4</v>
      </c>
      <c r="AA6066">
        <v>0.99976109999999896</v>
      </c>
      <c r="AB6066">
        <v>25</v>
      </c>
      <c r="AC6066">
        <v>3.0602420000000001</v>
      </c>
      <c r="AD6066">
        <v>-2.3746489999999999E-3</v>
      </c>
      <c r="AE6066">
        <v>-0.17262269999999999</v>
      </c>
      <c r="AF6066">
        <v>6.6961130821120193E-2</v>
      </c>
      <c r="AG6066">
        <v>-2.3746489999999999E-3</v>
      </c>
      <c r="AH6066">
        <v>3.0643734472438</v>
      </c>
      <c r="AI6066">
        <v>90.0443891286168</v>
      </c>
      <c r="AJ6066">
        <v>88.748200966079096</v>
      </c>
      <c r="AK6066">
        <v>3.0651058800915099</v>
      </c>
      <c r="AL6066">
        <v>78.997887575967198</v>
      </c>
      <c r="AM6066">
        <v>94.739376081435495</v>
      </c>
      <c r="AN6066">
        <v>1.00000007011673</v>
      </c>
    </row>
    <row r="6067" spans="1:40" x14ac:dyDescent="0.25">
      <c r="A6067" t="str">
        <f>"20190304155541518"</f>
        <v>20190304155541518</v>
      </c>
      <c r="B6067" t="str">
        <f>"1551686141514052"</f>
        <v>1551686141514052</v>
      </c>
      <c r="C6067" t="s">
        <v>40</v>
      </c>
      <c r="D6067">
        <v>4.5198989999999997</v>
      </c>
      <c r="E6067">
        <v>0.5371264</v>
      </c>
      <c r="F6067" t="s">
        <v>67</v>
      </c>
      <c r="G6067">
        <v>586.38019999999995</v>
      </c>
      <c r="H6067">
        <v>-0.1</v>
      </c>
      <c r="I6067">
        <v>96.985609999999994</v>
      </c>
      <c r="J6067">
        <v>-158.21889999999999</v>
      </c>
      <c r="K6067">
        <v>1.108835</v>
      </c>
      <c r="L6067">
        <v>138.09829999999999</v>
      </c>
      <c r="M6067">
        <v>0.99921749999999998</v>
      </c>
      <c r="N6067">
        <v>-1.401024E-2</v>
      </c>
      <c r="O6067">
        <v>-3.699032E-2</v>
      </c>
      <c r="P6067">
        <v>0.9829078</v>
      </c>
      <c r="Q6067">
        <v>0.1777087</v>
      </c>
      <c r="R6067">
        <v>4.8083529999999999E-2</v>
      </c>
      <c r="S6067">
        <v>3.0607760000000002</v>
      </c>
      <c r="T6067">
        <v>-4.9666170000000004E-3</v>
      </c>
      <c r="U6067">
        <v>-0.16899110000000001</v>
      </c>
      <c r="V6067">
        <v>-8.3602800000000005E-2</v>
      </c>
      <c r="W6067">
        <v>0.1917827</v>
      </c>
      <c r="X6067">
        <v>0.97787009999999996</v>
      </c>
      <c r="Y6067">
        <v>1.8155069999999999E-2</v>
      </c>
      <c r="Z6067">
        <v>-6.0014720000000005E-4</v>
      </c>
      <c r="AA6067">
        <v>0.99983500000000003</v>
      </c>
      <c r="AB6067">
        <v>25</v>
      </c>
      <c r="AC6067">
        <v>744.599099999999</v>
      </c>
      <c r="AD6067">
        <v>-1.2088350000000001</v>
      </c>
      <c r="AE6067">
        <v>-41.112690000000001</v>
      </c>
      <c r="AF6067">
        <v>13.538852343622599</v>
      </c>
      <c r="AG6067">
        <v>-1.2088350000000001</v>
      </c>
      <c r="AH6067">
        <v>745.60837570702495</v>
      </c>
      <c r="AI6067">
        <v>90.092876729584106</v>
      </c>
      <c r="AJ6067">
        <v>88.959730221935999</v>
      </c>
      <c r="AK6067">
        <v>745.73226544739703</v>
      </c>
      <c r="AL6067">
        <v>78.943160958520096</v>
      </c>
      <c r="AM6067">
        <v>94.886607832372803</v>
      </c>
      <c r="AN6067">
        <v>0.99999998233056897</v>
      </c>
    </row>
    <row r="6068" spans="1:40" x14ac:dyDescent="0.25">
      <c r="A6068" t="str">
        <f>"20190304155541541"</f>
        <v>20190304155541541</v>
      </c>
      <c r="B6068" t="str">
        <f>"1551686141534548"</f>
        <v>1551686141534548</v>
      </c>
      <c r="C6068" t="s">
        <v>40</v>
      </c>
      <c r="D6068">
        <v>4.460045</v>
      </c>
      <c r="E6068">
        <v>0.53704499999999999</v>
      </c>
      <c r="F6068" t="s">
        <v>43</v>
      </c>
      <c r="G6068">
        <v>0</v>
      </c>
      <c r="H6068">
        <v>0</v>
      </c>
      <c r="I6068">
        <v>0</v>
      </c>
      <c r="J6068">
        <v>-157.96</v>
      </c>
      <c r="K6068">
        <v>1.1090739999999999</v>
      </c>
      <c r="L6068">
        <v>138.0857</v>
      </c>
      <c r="M6068">
        <v>0.99912769999999995</v>
      </c>
      <c r="N6068">
        <v>-1.398803E-2</v>
      </c>
      <c r="O6068">
        <v>-3.9348290000000001E-2</v>
      </c>
      <c r="P6068">
        <v>0.98274099999999998</v>
      </c>
      <c r="Q6068">
        <v>0.1787996</v>
      </c>
      <c r="R6068">
        <v>4.7445099999999997E-2</v>
      </c>
      <c r="S6068">
        <v>3.0604399999999998</v>
      </c>
      <c r="T6068">
        <v>5.4943560000000002E-4</v>
      </c>
      <c r="U6068">
        <v>-0.17102049999999999</v>
      </c>
      <c r="V6068">
        <v>-8.5380460000000005E-2</v>
      </c>
      <c r="W6068">
        <v>0.19280369999999999</v>
      </c>
      <c r="X6068">
        <v>0.97751569999999999</v>
      </c>
      <c r="Y6068">
        <v>1.646388E-2</v>
      </c>
      <c r="Z6068">
        <v>-6.7108289999999904E-4</v>
      </c>
      <c r="AA6068">
        <v>0.99986419999999998</v>
      </c>
      <c r="AB6068">
        <v>25</v>
      </c>
      <c r="AC6068">
        <v>3.0604399999999998</v>
      </c>
      <c r="AD6068">
        <v>5.4943560000000002E-4</v>
      </c>
      <c r="AE6068">
        <v>-0.17102049999999999</v>
      </c>
      <c r="AF6068">
        <v>5.0453169878654301E-2</v>
      </c>
      <c r="AG6068">
        <v>5.4943560000000002E-4</v>
      </c>
      <c r="AH6068">
        <v>3.0647993211481999</v>
      </c>
      <c r="AI6068">
        <v>89.9897298085111</v>
      </c>
      <c r="AJ6068">
        <v>89.056873777651305</v>
      </c>
      <c r="AK6068">
        <v>3.0652146259504902</v>
      </c>
      <c r="AL6068">
        <v>78.883549852333601</v>
      </c>
      <c r="AM6068">
        <v>94.991793368950894</v>
      </c>
      <c r="AN6068">
        <v>1.0000000167149901</v>
      </c>
    </row>
    <row r="6069" spans="1:40" x14ac:dyDescent="0.25">
      <c r="A6069" t="str">
        <f>"20190304155541564"</f>
        <v>20190304155541564</v>
      </c>
      <c r="B6069" t="str">
        <f>"1551686141554068"</f>
        <v>1551686141554068</v>
      </c>
      <c r="C6069" t="s">
        <v>40</v>
      </c>
      <c r="D6069">
        <v>4.4561529999999996</v>
      </c>
      <c r="E6069">
        <v>0.53690760000000004</v>
      </c>
      <c r="F6069" t="s">
        <v>43</v>
      </c>
      <c r="G6069">
        <v>0</v>
      </c>
      <c r="H6069">
        <v>0</v>
      </c>
      <c r="I6069">
        <v>0</v>
      </c>
      <c r="J6069">
        <v>-157.72190000000001</v>
      </c>
      <c r="K6069">
        <v>1.1093090000000001</v>
      </c>
      <c r="L6069">
        <v>138.07409999999999</v>
      </c>
      <c r="M6069">
        <v>0.99905319999999997</v>
      </c>
      <c r="N6069">
        <v>-1.3969479999999999E-2</v>
      </c>
      <c r="O6069">
        <v>-4.1201840000000003E-2</v>
      </c>
      <c r="P6069">
        <v>0.98273849999999996</v>
      </c>
      <c r="Q6069">
        <v>0.1790331</v>
      </c>
      <c r="R6069">
        <v>4.6606700000000001E-2</v>
      </c>
      <c r="S6069">
        <v>3.060333</v>
      </c>
      <c r="T6069">
        <v>3.3376220000000002E-3</v>
      </c>
      <c r="U6069">
        <v>-0.17134089999999999</v>
      </c>
      <c r="V6069">
        <v>-8.6468649999999994E-2</v>
      </c>
      <c r="W6069">
        <v>0.19297259999999999</v>
      </c>
      <c r="X6069">
        <v>0.97738670000000005</v>
      </c>
      <c r="Y6069">
        <v>1.471599E-2</v>
      </c>
      <c r="Z6069">
        <v>-7.1516349999999995E-4</v>
      </c>
      <c r="AA6069">
        <v>0.99989150000000004</v>
      </c>
      <c r="AB6069">
        <v>25</v>
      </c>
      <c r="AC6069">
        <v>3.060333</v>
      </c>
      <c r="AD6069">
        <v>3.3376220000000002E-3</v>
      </c>
      <c r="AE6069">
        <v>-0.17134089999999999</v>
      </c>
      <c r="AF6069">
        <v>4.5091669539215902E-2</v>
      </c>
      <c r="AG6069">
        <v>3.3376220000000002E-3</v>
      </c>
      <c r="AH6069">
        <v>3.0647904066735698</v>
      </c>
      <c r="AI6069">
        <v>89.9376104532504</v>
      </c>
      <c r="AJ6069">
        <v>89.157079075951302</v>
      </c>
      <c r="AK6069">
        <v>3.0651239184119099</v>
      </c>
      <c r="AL6069">
        <v>78.873687271180103</v>
      </c>
      <c r="AM6069">
        <v>95.055750860666095</v>
      </c>
      <c r="AN6069">
        <v>1.0000000065602299</v>
      </c>
    </row>
    <row r="6070" spans="1:40" x14ac:dyDescent="0.25">
      <c r="A6070" t="str">
        <f>"20190304155541603"</f>
        <v>20190304155541603</v>
      </c>
      <c r="B6070" t="str">
        <f>"1551686141594084"</f>
        <v>1551686141594084</v>
      </c>
      <c r="C6070" t="s">
        <v>40</v>
      </c>
      <c r="D6070">
        <v>4.4730619999999996</v>
      </c>
      <c r="E6070">
        <v>0.53674500000000003</v>
      </c>
      <c r="F6070" t="s">
        <v>43</v>
      </c>
      <c r="G6070">
        <v>0</v>
      </c>
      <c r="H6070">
        <v>0</v>
      </c>
      <c r="I6070">
        <v>0</v>
      </c>
      <c r="J6070">
        <v>-157.273</v>
      </c>
      <c r="K6070">
        <v>1.1097109999999999</v>
      </c>
      <c r="L6070">
        <v>138.05179999999999</v>
      </c>
      <c r="M6070">
        <v>0.99893739999999998</v>
      </c>
      <c r="N6070">
        <v>-1.393893E-2</v>
      </c>
      <c r="O6070">
        <v>-4.3930120000000003E-2</v>
      </c>
      <c r="P6070">
        <v>0.98300710000000002</v>
      </c>
      <c r="Q6070">
        <v>0.17774419999999999</v>
      </c>
      <c r="R6070">
        <v>4.5871059999999998E-2</v>
      </c>
      <c r="S6070">
        <v>3.060349</v>
      </c>
      <c r="T6070">
        <v>2.876043E-3</v>
      </c>
      <c r="U6070">
        <v>-0.17213439999999999</v>
      </c>
      <c r="V6070">
        <v>-8.860809E-2</v>
      </c>
      <c r="W6070">
        <v>0.19157679999999999</v>
      </c>
      <c r="X6070">
        <v>0.9774697</v>
      </c>
      <c r="Y6070">
        <v>1.2243550000000001E-2</v>
      </c>
      <c r="Z6070">
        <v>-7.3310289999999902E-4</v>
      </c>
      <c r="AA6070">
        <v>0.99992479999999995</v>
      </c>
      <c r="AB6070">
        <v>25</v>
      </c>
      <c r="AC6070">
        <v>3.060349</v>
      </c>
      <c r="AD6070">
        <v>2.876043E-3</v>
      </c>
      <c r="AE6070">
        <v>-0.17213439999999999</v>
      </c>
      <c r="AF6070">
        <v>3.7513601188276201E-2</v>
      </c>
      <c r="AG6070">
        <v>2.876043E-3</v>
      </c>
      <c r="AH6070">
        <v>3.0649539050310999</v>
      </c>
      <c r="AI6070">
        <v>89.946239734487506</v>
      </c>
      <c r="AJ6070">
        <v>89.298761492339807</v>
      </c>
      <c r="AK6070">
        <v>3.0651848201801499</v>
      </c>
      <c r="AL6070">
        <v>78.955181677474101</v>
      </c>
      <c r="AM6070">
        <v>95.179732269658402</v>
      </c>
      <c r="AN6070">
        <v>1.00000003916488</v>
      </c>
    </row>
    <row r="6071" spans="1:40" x14ac:dyDescent="0.25">
      <c r="A6071" t="str">
        <f>"20190304155541633"</f>
        <v>20190304155541633</v>
      </c>
      <c r="B6071" t="str">
        <f>"1551686141624340"</f>
        <v>1551686141624340</v>
      </c>
      <c r="C6071" t="s">
        <v>40</v>
      </c>
      <c r="D6071">
        <v>4.4796430000000003</v>
      </c>
      <c r="E6071">
        <v>0.53650019999999998</v>
      </c>
      <c r="F6071" t="s">
        <v>43</v>
      </c>
      <c r="G6071">
        <v>0</v>
      </c>
      <c r="H6071">
        <v>0</v>
      </c>
      <c r="I6071">
        <v>0</v>
      </c>
      <c r="J6071">
        <v>-156.95050000000001</v>
      </c>
      <c r="K6071">
        <v>1.1099030000000001</v>
      </c>
      <c r="L6071">
        <v>138.03569999999999</v>
      </c>
      <c r="M6071">
        <v>0.99887389999999998</v>
      </c>
      <c r="N6071">
        <v>-1.391967E-2</v>
      </c>
      <c r="O6071">
        <v>-4.5358530000000001E-2</v>
      </c>
      <c r="P6071">
        <v>0.9831529</v>
      </c>
      <c r="Q6071">
        <v>0.1771308</v>
      </c>
      <c r="R6071">
        <v>4.5114359999999999E-2</v>
      </c>
      <c r="S6071">
        <v>3.0602870000000002</v>
      </c>
      <c r="T6071">
        <v>-1.7690659999999999E-3</v>
      </c>
      <c r="U6071">
        <v>-0.17404169999999999</v>
      </c>
      <c r="V6071">
        <v>-8.9352239999999999E-2</v>
      </c>
      <c r="W6071">
        <v>0.19090380000000001</v>
      </c>
      <c r="X6071">
        <v>0.9775336</v>
      </c>
      <c r="Y6071">
        <v>1.143509E-2</v>
      </c>
      <c r="Z6071">
        <v>-6.8803709999999999E-4</v>
      </c>
      <c r="AA6071">
        <v>0.9999344</v>
      </c>
      <c r="AB6071">
        <v>25</v>
      </c>
      <c r="AC6071">
        <v>3.0602870000000002</v>
      </c>
      <c r="AD6071">
        <v>-1.7690659999999999E-3</v>
      </c>
      <c r="AE6071">
        <v>-0.17404169999999999</v>
      </c>
      <c r="AF6071">
        <v>3.5038971082702902E-2</v>
      </c>
      <c r="AG6071">
        <v>-1.7690659999999999E-3</v>
      </c>
      <c r="AH6071">
        <v>3.06503067635993</v>
      </c>
      <c r="AI6071">
        <v>90.0330676565261</v>
      </c>
      <c r="AJ6071">
        <v>89.345031771252593</v>
      </c>
      <c r="AK6071">
        <v>3.0652314604474</v>
      </c>
      <c r="AL6071">
        <v>78.9944665028396</v>
      </c>
      <c r="AM6071">
        <v>95.222653660001697</v>
      </c>
      <c r="AN6071">
        <v>1.0000000113881999</v>
      </c>
    </row>
    <row r="6072" spans="1:40" x14ac:dyDescent="0.25">
      <c r="A6072" t="str">
        <f>"20190304155541657"</f>
        <v>20190304155541657</v>
      </c>
      <c r="B6072" t="str">
        <f>"1551686141654597"</f>
        <v>1551686141654597</v>
      </c>
      <c r="C6072" t="s">
        <v>40</v>
      </c>
      <c r="D6072">
        <v>4.4774440000000002</v>
      </c>
      <c r="E6072">
        <v>0.53619890000000003</v>
      </c>
      <c r="F6072" t="s">
        <v>43</v>
      </c>
      <c r="G6072">
        <v>0</v>
      </c>
      <c r="H6072">
        <v>0</v>
      </c>
      <c r="I6072">
        <v>0</v>
      </c>
      <c r="J6072">
        <v>-156.6849</v>
      </c>
      <c r="K6072">
        <v>1.1100380000000001</v>
      </c>
      <c r="L6072">
        <v>138.0224</v>
      </c>
      <c r="M6072">
        <v>0.99883189999999999</v>
      </c>
      <c r="N6072">
        <v>-1.390516E-2</v>
      </c>
      <c r="O6072">
        <v>-4.6279109999999998E-2</v>
      </c>
      <c r="P6072">
        <v>0.98314959999999996</v>
      </c>
      <c r="Q6072">
        <v>0.17748510000000001</v>
      </c>
      <c r="R6072">
        <v>4.3774899999999999E-2</v>
      </c>
      <c r="S6072">
        <v>3.060181</v>
      </c>
      <c r="T6072">
        <v>-4.2206049999999997E-3</v>
      </c>
      <c r="U6072">
        <v>-0.1746674</v>
      </c>
      <c r="V6072">
        <v>-8.8977109999999998E-2</v>
      </c>
      <c r="W6072">
        <v>0.191215</v>
      </c>
      <c r="X6072">
        <v>0.97750700000000001</v>
      </c>
      <c r="Y6072">
        <v>1.0718790000000001E-2</v>
      </c>
      <c r="Z6072">
        <v>-6.616495E-4</v>
      </c>
      <c r="AA6072">
        <v>0.99994240000000001</v>
      </c>
      <c r="AB6072">
        <v>25</v>
      </c>
      <c r="AC6072">
        <v>3.060181</v>
      </c>
      <c r="AD6072">
        <v>-4.2206049999999997E-3</v>
      </c>
      <c r="AE6072">
        <v>-0.1746674</v>
      </c>
      <c r="AF6072">
        <v>3.2844026531777398E-2</v>
      </c>
      <c r="AG6072">
        <v>-4.2206049999999997E-3</v>
      </c>
      <c r="AH6072">
        <v>3.0649799504063799</v>
      </c>
      <c r="AI6072">
        <v>90.078894094397697</v>
      </c>
      <c r="AJ6072">
        <v>89.386047508438196</v>
      </c>
      <c r="AK6072">
        <v>3.06515882785517</v>
      </c>
      <c r="AL6072">
        <v>78.976301509521093</v>
      </c>
      <c r="AM6072">
        <v>95.200988492592899</v>
      </c>
      <c r="AN6072">
        <v>1.0000000186889699</v>
      </c>
    </row>
    <row r="6073" spans="1:40" x14ac:dyDescent="0.25">
      <c r="A6073" t="str">
        <f>"20190304155541678"</f>
        <v>20190304155541678</v>
      </c>
      <c r="B6073" t="str">
        <f>"1551686141674117"</f>
        <v>1551686141674117</v>
      </c>
      <c r="C6073" t="s">
        <v>40</v>
      </c>
      <c r="D6073">
        <v>4.375515</v>
      </c>
      <c r="E6073">
        <v>0.53607280000000002</v>
      </c>
      <c r="F6073" t="s">
        <v>67</v>
      </c>
      <c r="G6073">
        <v>542.84130000000005</v>
      </c>
      <c r="H6073">
        <v>-0.1</v>
      </c>
      <c r="I6073">
        <v>97.976579999999998</v>
      </c>
      <c r="J6073">
        <v>-156.45930000000001</v>
      </c>
      <c r="K6073">
        <v>1.1101570000000001</v>
      </c>
      <c r="L6073">
        <v>138.011</v>
      </c>
      <c r="M6073">
        <v>0.99880559999999996</v>
      </c>
      <c r="N6073">
        <v>-1.389399E-2</v>
      </c>
      <c r="O6073">
        <v>-4.6848639999999997E-2</v>
      </c>
      <c r="P6073">
        <v>0.98319509999999999</v>
      </c>
      <c r="Q6073">
        <v>0.17733979999999999</v>
      </c>
      <c r="R6073">
        <v>4.3342279999999997E-2</v>
      </c>
      <c r="S6073">
        <v>3.060181</v>
      </c>
      <c r="T6073">
        <v>-5.2934890000000002E-3</v>
      </c>
      <c r="U6073">
        <v>-0.17518619999999999</v>
      </c>
      <c r="V6073">
        <v>-8.9161630000000006E-2</v>
      </c>
      <c r="W6073">
        <v>0.19103290000000001</v>
      </c>
      <c r="X6073">
        <v>0.9775258</v>
      </c>
      <c r="Y6073">
        <v>1.0317410000000001E-2</v>
      </c>
      <c r="Z6073">
        <v>-6.5054449999999895E-4</v>
      </c>
      <c r="AA6073">
        <v>0.99994649999999996</v>
      </c>
      <c r="AB6073">
        <v>25</v>
      </c>
      <c r="AC6073">
        <v>699.30060000000003</v>
      </c>
      <c r="AD6073">
        <v>-1.2101569999999999</v>
      </c>
      <c r="AE6073">
        <v>-40.034419999999997</v>
      </c>
      <c r="AF6073">
        <v>7.2259950791003398</v>
      </c>
      <c r="AG6073">
        <v>-1.2101569999999999</v>
      </c>
      <c r="AH6073">
        <v>700.40626781418598</v>
      </c>
      <c r="AI6073">
        <v>90.09898987647</v>
      </c>
      <c r="AJ6073">
        <v>89.408908298358995</v>
      </c>
      <c r="AK6073">
        <v>700.44458701473695</v>
      </c>
      <c r="AL6073">
        <v>78.986931113267602</v>
      </c>
      <c r="AM6073">
        <v>95.211615243807202</v>
      </c>
      <c r="AN6073">
        <v>1.00000002740615</v>
      </c>
    </row>
    <row r="6074" spans="1:40" x14ac:dyDescent="0.25">
      <c r="A6074" t="str">
        <f>"20190304155541703"</f>
        <v>20190304155541703</v>
      </c>
      <c r="B6074" t="str">
        <f>"1551686141694613"</f>
        <v>1551686141694613</v>
      </c>
      <c r="C6074" t="s">
        <v>40</v>
      </c>
      <c r="D6074">
        <v>4.4731540000000001</v>
      </c>
      <c r="E6074">
        <v>0.53582319999999894</v>
      </c>
      <c r="F6074" t="s">
        <v>67</v>
      </c>
      <c r="G6074">
        <v>411.23520000000002</v>
      </c>
      <c r="H6074">
        <v>-0.1</v>
      </c>
      <c r="I6074">
        <v>105.4725</v>
      </c>
      <c r="J6074">
        <v>-156.18600000000001</v>
      </c>
      <c r="K6074">
        <v>1.110328</v>
      </c>
      <c r="L6074">
        <v>137.9974</v>
      </c>
      <c r="M6074">
        <v>0.99878409999999995</v>
      </c>
      <c r="N6074">
        <v>-1.388208E-2</v>
      </c>
      <c r="O6074">
        <v>-4.730579E-2</v>
      </c>
      <c r="P6074">
        <v>0.98338530000000002</v>
      </c>
      <c r="Q6074">
        <v>0.17635219999999999</v>
      </c>
      <c r="R6074">
        <v>4.3051739999999998E-2</v>
      </c>
      <c r="S6074">
        <v>3.060165</v>
      </c>
      <c r="T6074">
        <v>-6.523371E-3</v>
      </c>
      <c r="U6074">
        <v>-0.17539979999999999</v>
      </c>
      <c r="V6074">
        <v>-8.9407819999999999E-2</v>
      </c>
      <c r="W6074">
        <v>0.1899998</v>
      </c>
      <c r="X6074">
        <v>0.97770460000000003</v>
      </c>
      <c r="Y6074">
        <v>9.9293679999999992E-3</v>
      </c>
      <c r="Z6074">
        <v>-6.3546489999999995E-4</v>
      </c>
      <c r="AA6074">
        <v>0.99995049999999996</v>
      </c>
      <c r="AB6074">
        <v>25</v>
      </c>
      <c r="AC6074">
        <v>567.4212</v>
      </c>
      <c r="AD6074">
        <v>-1.2103280000000001</v>
      </c>
      <c r="AE6074">
        <v>-32.524900000000002</v>
      </c>
      <c r="AF6074">
        <v>5.64356242801865</v>
      </c>
      <c r="AG6074">
        <v>-1.2103280000000001</v>
      </c>
      <c r="AH6074">
        <v>568.32201062845104</v>
      </c>
      <c r="AI6074">
        <v>90.122013860534693</v>
      </c>
      <c r="AJ6074">
        <v>89.431059021795804</v>
      </c>
      <c r="AK6074">
        <v>568.35131956872499</v>
      </c>
      <c r="AL6074">
        <v>79.047227290688596</v>
      </c>
      <c r="AM6074">
        <v>95.224975393813196</v>
      </c>
      <c r="AN6074">
        <v>0.99999998356917597</v>
      </c>
    </row>
    <row r="6075" spans="1:40" x14ac:dyDescent="0.25">
      <c r="A6075" t="str">
        <f>"20190304155541738"</f>
        <v>20190304155541738</v>
      </c>
      <c r="B6075" t="str">
        <f>"1551686141734628"</f>
        <v>1551686141734628</v>
      </c>
      <c r="C6075" t="s">
        <v>40</v>
      </c>
      <c r="D6075">
        <v>4.5182789999999997</v>
      </c>
      <c r="E6075">
        <v>0.53542199999999995</v>
      </c>
      <c r="F6075" t="s">
        <v>67</v>
      </c>
      <c r="G6075">
        <v>205.863</v>
      </c>
      <c r="H6075">
        <v>-0.1</v>
      </c>
      <c r="I6075">
        <v>117.42449999999999</v>
      </c>
      <c r="J6075">
        <v>-155.80619999999999</v>
      </c>
      <c r="K6075">
        <v>1.110552</v>
      </c>
      <c r="L6075">
        <v>137.97890000000001</v>
      </c>
      <c r="M6075">
        <v>0.99877159999999998</v>
      </c>
      <c r="N6075">
        <v>-1.386852E-2</v>
      </c>
      <c r="O6075">
        <v>-4.7572450000000002E-2</v>
      </c>
      <c r="P6075">
        <v>0.98297369999999995</v>
      </c>
      <c r="Q6075">
        <v>0.178083299999999</v>
      </c>
      <c r="R6075">
        <v>4.5269810000000001E-2</v>
      </c>
      <c r="S6075">
        <v>3.0601500000000001</v>
      </c>
      <c r="T6075">
        <v>-1.0230059999999999E-2</v>
      </c>
      <c r="U6075">
        <v>-0.17388919999999999</v>
      </c>
      <c r="V6075">
        <v>-9.1970759999999999E-2</v>
      </c>
      <c r="W6075">
        <v>0.1916601</v>
      </c>
      <c r="X6075">
        <v>0.97714270000000003</v>
      </c>
      <c r="Y6075">
        <v>9.1699450000000005E-3</v>
      </c>
      <c r="Z6075">
        <v>-5.7982490000000003E-4</v>
      </c>
      <c r="AA6075">
        <v>0.99995780000000001</v>
      </c>
      <c r="AB6075">
        <v>24</v>
      </c>
      <c r="AC6075">
        <v>361.66919999999999</v>
      </c>
      <c r="AD6075">
        <v>-1.2105520000000001</v>
      </c>
      <c r="AE6075">
        <v>-20.554400000000001</v>
      </c>
      <c r="AF6075">
        <v>3.3239432942420399</v>
      </c>
      <c r="AG6075">
        <v>-1.2105520000000001</v>
      </c>
      <c r="AH6075">
        <v>362.23350778990698</v>
      </c>
      <c r="AI6075">
        <v>90.191468599236302</v>
      </c>
      <c r="AJ6075">
        <v>89.474254664968697</v>
      </c>
      <c r="AK6075">
        <v>362.25078081482297</v>
      </c>
      <c r="AL6075">
        <v>78.950318786001205</v>
      </c>
      <c r="AM6075">
        <v>95.376960477427005</v>
      </c>
      <c r="AN6075">
        <v>1.0000000353951299</v>
      </c>
    </row>
    <row r="6076" spans="1:40" x14ac:dyDescent="0.25">
      <c r="A6076" t="str">
        <f>"20190304155541760"</f>
        <v>20190304155541760</v>
      </c>
      <c r="B6076" t="str">
        <f>"1551686141754149"</f>
        <v>1551686141754149</v>
      </c>
      <c r="C6076" t="s">
        <v>40</v>
      </c>
      <c r="D6076">
        <v>4.5054999999999996</v>
      </c>
      <c r="E6076">
        <v>0.5351688</v>
      </c>
      <c r="F6076" t="s">
        <v>67</v>
      </c>
      <c r="G6076">
        <v>527.13</v>
      </c>
      <c r="H6076">
        <v>-0.1</v>
      </c>
      <c r="I6076">
        <v>101.2978</v>
      </c>
      <c r="J6076">
        <v>-155.55170000000001</v>
      </c>
      <c r="K6076">
        <v>1.11066</v>
      </c>
      <c r="L6076">
        <v>137.9666</v>
      </c>
      <c r="M6076">
        <v>0.99877070000000001</v>
      </c>
      <c r="N6076">
        <v>-1.3860320000000001E-2</v>
      </c>
      <c r="O6076">
        <v>-4.7592710000000003E-2</v>
      </c>
      <c r="P6076">
        <v>0.98272179999999998</v>
      </c>
      <c r="Q6076">
        <v>0.17902939999999901</v>
      </c>
      <c r="R6076">
        <v>4.6971880000000001E-2</v>
      </c>
      <c r="S6076">
        <v>3.0605159999999998</v>
      </c>
      <c r="T6076">
        <v>-5.4249759999999998E-3</v>
      </c>
      <c r="U6076">
        <v>-0.1643829</v>
      </c>
      <c r="V6076">
        <v>-9.3727889999999994E-2</v>
      </c>
      <c r="W6076">
        <v>0.1925702</v>
      </c>
      <c r="X6076">
        <v>0.97679669999999996</v>
      </c>
      <c r="Y6076">
        <v>6.0473760000000001E-3</v>
      </c>
      <c r="Z6076">
        <v>-6.2265589999999896E-4</v>
      </c>
      <c r="AA6076">
        <v>0.99998149999999997</v>
      </c>
      <c r="AB6076">
        <v>24</v>
      </c>
      <c r="AC6076">
        <v>682.68169999999998</v>
      </c>
      <c r="AD6076">
        <v>-1.2106600000000001</v>
      </c>
      <c r="AE6076">
        <v>-36.668799999999997</v>
      </c>
      <c r="AF6076">
        <v>4.1334347889890504</v>
      </c>
      <c r="AG6076">
        <v>-1.2106600000000001</v>
      </c>
      <c r="AH6076">
        <v>683.65114476880103</v>
      </c>
      <c r="AI6076">
        <v>90.101461642585704</v>
      </c>
      <c r="AJ6076">
        <v>89.653587236148795</v>
      </c>
      <c r="AK6076">
        <v>683.66471221241397</v>
      </c>
      <c r="AL6076">
        <v>78.897183684616707</v>
      </c>
      <c r="AM6076">
        <v>95.480998624412095</v>
      </c>
      <c r="AN6076">
        <v>0.99999999621139102</v>
      </c>
    </row>
    <row r="6077" spans="1:40" x14ac:dyDescent="0.25">
      <c r="A6077" t="str">
        <f>"20190304155541790"</f>
        <v>20190304155541790</v>
      </c>
      <c r="B6077" t="str">
        <f>"1551686141784405"</f>
        <v>1551686141784405</v>
      </c>
      <c r="C6077" t="s">
        <v>40</v>
      </c>
      <c r="D6077">
        <v>4.5337670000000001</v>
      </c>
      <c r="E6077">
        <v>0.52800659999999999</v>
      </c>
      <c r="F6077" t="s">
        <v>43</v>
      </c>
      <c r="G6077">
        <v>0</v>
      </c>
      <c r="H6077">
        <v>0</v>
      </c>
      <c r="I6077">
        <v>0</v>
      </c>
      <c r="J6077">
        <v>-155.238</v>
      </c>
      <c r="K6077">
        <v>1.11073</v>
      </c>
      <c r="L6077">
        <v>137.95179999999999</v>
      </c>
      <c r="M6077">
        <v>0.9987779</v>
      </c>
      <c r="N6077">
        <v>-1.385083E-2</v>
      </c>
      <c r="O6077">
        <v>-4.7444630000000002E-2</v>
      </c>
      <c r="P6077">
        <v>0.98251100000000002</v>
      </c>
      <c r="Q6077">
        <v>0.17959029999999901</v>
      </c>
      <c r="R6077">
        <v>4.9192230000000003E-2</v>
      </c>
      <c r="S6077">
        <v>3.0608059999999999</v>
      </c>
      <c r="T6077">
        <v>-2.7778149999999999E-3</v>
      </c>
      <c r="U6077">
        <v>-0.15759279999999901</v>
      </c>
      <c r="V6077">
        <v>-9.5820420000000003E-2</v>
      </c>
      <c r="W6077">
        <v>0.1931022</v>
      </c>
      <c r="X6077">
        <v>0.97648860000000004</v>
      </c>
      <c r="Y6077">
        <v>3.978845E-3</v>
      </c>
      <c r="Z6077">
        <v>-6.4350680000000002E-4</v>
      </c>
      <c r="AA6077">
        <v>0.99999190000000004</v>
      </c>
      <c r="AB6077">
        <v>24</v>
      </c>
      <c r="AC6077">
        <v>3.0608059999999999</v>
      </c>
      <c r="AD6077">
        <v>-2.7778149999999999E-3</v>
      </c>
      <c r="AE6077">
        <v>-0.15759279999999901</v>
      </c>
      <c r="AF6077">
        <v>1.21825554973354E-2</v>
      </c>
      <c r="AG6077">
        <v>-2.7778149999999999E-3</v>
      </c>
      <c r="AH6077">
        <v>3.0648336028398102</v>
      </c>
      <c r="AI6077">
        <v>90.051929662575304</v>
      </c>
      <c r="AJ6077">
        <v>89.772253431038294</v>
      </c>
      <c r="AK6077">
        <v>3.06485907408655</v>
      </c>
      <c r="AL6077">
        <v>78.8661193144424</v>
      </c>
      <c r="AM6077">
        <v>95.604351484454696</v>
      </c>
      <c r="AN6077">
        <v>0.99999999923188798</v>
      </c>
    </row>
    <row r="6078" spans="1:40" x14ac:dyDescent="0.25">
      <c r="A6078" t="str">
        <f>"20190304155541813"</f>
        <v>20190304155541813</v>
      </c>
      <c r="B6078" t="str">
        <f>"1551686141803925"</f>
        <v>1551686141803925</v>
      </c>
      <c r="C6078" t="s">
        <v>40</v>
      </c>
      <c r="D6078">
        <v>4.5263580000000001</v>
      </c>
      <c r="E6078">
        <v>0.52751490000000001</v>
      </c>
      <c r="F6078" t="s">
        <v>67</v>
      </c>
      <c r="G6078">
        <v>-22.207280000000001</v>
      </c>
      <c r="H6078">
        <v>-0.1</v>
      </c>
      <c r="I6078">
        <v>133.834</v>
      </c>
      <c r="J6078">
        <v>-154.97929999999999</v>
      </c>
      <c r="K6078">
        <v>1.110749</v>
      </c>
      <c r="L6078">
        <v>137.93960000000001</v>
      </c>
      <c r="M6078">
        <v>0.9987878</v>
      </c>
      <c r="N6078">
        <v>-1.3843799999999899E-2</v>
      </c>
      <c r="O6078">
        <v>-4.7239639999999999E-2</v>
      </c>
      <c r="P6078">
        <v>0.98254949999999996</v>
      </c>
      <c r="Q6078">
        <v>0.178925</v>
      </c>
      <c r="R6078">
        <v>5.0818750000000003E-2</v>
      </c>
      <c r="S6078">
        <v>3.0632480000000002</v>
      </c>
      <c r="T6078">
        <v>-2.7879000000000001E-2</v>
      </c>
      <c r="U6078">
        <v>-9.4818120000000006E-2</v>
      </c>
      <c r="V6078">
        <v>-9.7256499999999996E-2</v>
      </c>
      <c r="W6078">
        <v>0.19242380000000001</v>
      </c>
      <c r="X6078">
        <v>0.97648049999999997</v>
      </c>
      <c r="Y6078">
        <v>-1.6315219999999998E-2</v>
      </c>
      <c r="Z6078" s="1">
        <v>-3.7342019999999997E-5</v>
      </c>
      <c r="AA6078">
        <v>0.9998669</v>
      </c>
      <c r="AB6078">
        <v>24</v>
      </c>
      <c r="AC6078">
        <v>132.77202</v>
      </c>
      <c r="AD6078">
        <v>-1.2107490000000001</v>
      </c>
      <c r="AE6078">
        <v>-4.1056000000000097</v>
      </c>
      <c r="AF6078">
        <v>-2.17150661607316</v>
      </c>
      <c r="AG6078">
        <v>-1.2107490000000001</v>
      </c>
      <c r="AH6078">
        <v>132.80669540457899</v>
      </c>
      <c r="AI6078">
        <v>90.5222599297812</v>
      </c>
      <c r="AJ6078">
        <v>90.936753059754594</v>
      </c>
      <c r="AK6078">
        <v>132.82996536327599</v>
      </c>
      <c r="AL6078">
        <v>78.9057312055739</v>
      </c>
      <c r="AM6078">
        <v>95.687845194496404</v>
      </c>
      <c r="AN6078">
        <v>0.99999995623946802</v>
      </c>
    </row>
    <row r="6079" spans="1:40" x14ac:dyDescent="0.25">
      <c r="A6079" t="str">
        <f>"20190304155541849"</f>
        <v>20190304155541849</v>
      </c>
      <c r="B6079" t="str">
        <f>"1551686141843944"</f>
        <v>1551686141843944</v>
      </c>
      <c r="C6079" t="s">
        <v>40</v>
      </c>
      <c r="D6079">
        <v>4.488073</v>
      </c>
      <c r="E6079">
        <v>0.52847939999999904</v>
      </c>
      <c r="F6079" t="s">
        <v>46</v>
      </c>
      <c r="G6079">
        <v>-70.256519999999995</v>
      </c>
      <c r="H6079" s="1">
        <v>-4.8831220000000001E-6</v>
      </c>
      <c r="I6079">
        <v>135.5523</v>
      </c>
      <c r="J6079">
        <v>-154.59739999999999</v>
      </c>
      <c r="K6079">
        <v>1.110752</v>
      </c>
      <c r="L6079">
        <v>137.92189999999999</v>
      </c>
      <c r="M6079">
        <v>0.99880389999999997</v>
      </c>
      <c r="N6079">
        <v>-1.383479E-2</v>
      </c>
      <c r="O6079">
        <v>-4.689724E-2</v>
      </c>
      <c r="P6079">
        <v>0.98279130000000003</v>
      </c>
      <c r="Q6079">
        <v>0.17635919999999999</v>
      </c>
      <c r="R6079">
        <v>5.4943029999999997E-2</v>
      </c>
      <c r="S6079">
        <v>3.065048</v>
      </c>
      <c r="T6079">
        <v>-4.018414E-2</v>
      </c>
      <c r="U6079">
        <v>-8.6364750000000004E-2</v>
      </c>
      <c r="V6079">
        <v>-0.1010571</v>
      </c>
      <c r="W6079">
        <v>0.18984580000000001</v>
      </c>
      <c r="X6079">
        <v>0.9765992</v>
      </c>
      <c r="Y6079">
        <v>-1.8744690000000001E-2</v>
      </c>
      <c r="Z6079">
        <v>2.17975E-4</v>
      </c>
      <c r="AA6079">
        <v>0.9998243</v>
      </c>
      <c r="AB6079">
        <v>24</v>
      </c>
      <c r="AC6079">
        <v>84.340879999999999</v>
      </c>
      <c r="AD6079">
        <v>-1.110756883122</v>
      </c>
      <c r="AE6079">
        <v>-2.3695999999999899</v>
      </c>
      <c r="AF6079">
        <v>-1.5884655398930201</v>
      </c>
      <c r="AG6079">
        <v>-1.110756883122</v>
      </c>
      <c r="AH6079">
        <v>84.344584296687103</v>
      </c>
      <c r="AI6079">
        <v>90.754366411144503</v>
      </c>
      <c r="AJ6079">
        <v>91.078926574662603</v>
      </c>
      <c r="AK6079">
        <v>84.366853110719802</v>
      </c>
      <c r="AL6079">
        <v>79.056214390599806</v>
      </c>
      <c r="AM6079">
        <v>95.907859113557507</v>
      </c>
      <c r="AN6079">
        <v>0.99999998133934398</v>
      </c>
    </row>
    <row r="6080" spans="1:40" x14ac:dyDescent="0.25">
      <c r="A6080" t="str">
        <f>"20190304155541879"</f>
        <v>20190304155541879</v>
      </c>
      <c r="B6080" t="str">
        <f>"1551686141874197"</f>
        <v>1551686141874197</v>
      </c>
      <c r="C6080" t="s">
        <v>40</v>
      </c>
      <c r="D6080">
        <v>4.562678</v>
      </c>
      <c r="E6080">
        <v>0.52845249999999999</v>
      </c>
      <c r="F6080" t="s">
        <v>46</v>
      </c>
      <c r="G6080">
        <v>-84.452089999999998</v>
      </c>
      <c r="H6080" s="1">
        <v>-2.9954140000000001E-6</v>
      </c>
      <c r="I6080">
        <v>136.04750000000001</v>
      </c>
      <c r="J6080">
        <v>-154.2921</v>
      </c>
      <c r="K6080">
        <v>1.110754</v>
      </c>
      <c r="L6080">
        <v>137.90790000000001</v>
      </c>
      <c r="M6080">
        <v>0.99881640000000005</v>
      </c>
      <c r="N6080">
        <v>-1.382836E-2</v>
      </c>
      <c r="O6080">
        <v>-4.6636379999999998E-2</v>
      </c>
      <c r="P6080">
        <v>0.9827243</v>
      </c>
      <c r="Q6080">
        <v>0.17614060000000001</v>
      </c>
      <c r="R6080">
        <v>5.6815110000000002E-2</v>
      </c>
      <c r="S6080">
        <v>3.0658110000000001</v>
      </c>
      <c r="T6080">
        <v>-4.8547269999999997E-2</v>
      </c>
      <c r="U6080">
        <v>-8.1924440000000001E-2</v>
      </c>
      <c r="V6080">
        <v>-0.1026686</v>
      </c>
      <c r="W6080">
        <v>0.18961829999999999</v>
      </c>
      <c r="X6080">
        <v>0.97647539999999999</v>
      </c>
      <c r="Y6080">
        <v>-1.9936079999999998E-2</v>
      </c>
      <c r="Z6080">
        <v>3.8859970000000002E-4</v>
      </c>
      <c r="AA6080">
        <v>0.99980119999999895</v>
      </c>
      <c r="AB6080">
        <v>24</v>
      </c>
      <c r="AC6080">
        <v>69.840009999999893</v>
      </c>
      <c r="AD6080">
        <v>-1.110756995414</v>
      </c>
      <c r="AE6080">
        <v>-1.8603999999999901</v>
      </c>
      <c r="AF6080">
        <v>-1.39866718313437</v>
      </c>
      <c r="AG6080">
        <v>-1.110756995414</v>
      </c>
      <c r="AH6080">
        <v>69.833123860599201</v>
      </c>
      <c r="AI6080">
        <v>90.911080019231093</v>
      </c>
      <c r="AJ6080">
        <v>91.147406974798798</v>
      </c>
      <c r="AK6080">
        <v>69.855960655636395</v>
      </c>
      <c r="AL6080">
        <v>79.069491350930903</v>
      </c>
      <c r="AM6080">
        <v>96.002141473233095</v>
      </c>
      <c r="AN6080">
        <v>1.0000000739629999</v>
      </c>
    </row>
    <row r="6081" spans="1:40" x14ac:dyDescent="0.25">
      <c r="A6081" t="str">
        <f>"20190304155541900"</f>
        <v>20190304155541900</v>
      </c>
      <c r="B6081" t="str">
        <f>"1551686141894692"</f>
        <v>1551686141894692</v>
      </c>
      <c r="C6081" t="s">
        <v>40</v>
      </c>
      <c r="D6081">
        <v>4.5907920000000004</v>
      </c>
      <c r="E6081">
        <v>0.52868519999999997</v>
      </c>
      <c r="F6081" t="s">
        <v>46</v>
      </c>
      <c r="G6081">
        <v>-81.550340000000006</v>
      </c>
      <c r="H6081" s="1">
        <v>-4.2331810000000001E-6</v>
      </c>
      <c r="I6081">
        <v>136.0873</v>
      </c>
      <c r="J6081">
        <v>-154.03819999999999</v>
      </c>
      <c r="K6081">
        <v>1.1107479999999901</v>
      </c>
      <c r="L6081">
        <v>137.8963</v>
      </c>
      <c r="M6081">
        <v>0.99882599999999999</v>
      </c>
      <c r="N6081">
        <v>-1.3823490000000001E-2</v>
      </c>
      <c r="O6081">
        <v>-4.643216E-2</v>
      </c>
      <c r="P6081">
        <v>0.98257229999999995</v>
      </c>
      <c r="Q6081">
        <v>0.17643010000000001</v>
      </c>
      <c r="R6081">
        <v>5.8521650000000001E-2</v>
      </c>
      <c r="S6081">
        <v>3.0655519999999998</v>
      </c>
      <c r="T6081">
        <v>-4.6810629999999999E-2</v>
      </c>
      <c r="U6081">
        <v>-7.6721189999999995E-2</v>
      </c>
      <c r="V6081">
        <v>-0.104162</v>
      </c>
      <c r="W6081">
        <v>0.18990199999999999</v>
      </c>
      <c r="X6081">
        <v>0.97626199999999996</v>
      </c>
      <c r="Y6081">
        <v>-2.1425199999999998E-2</v>
      </c>
      <c r="Z6081">
        <v>3.7819729999999998E-4</v>
      </c>
      <c r="AA6081">
        <v>0.99977039999999995</v>
      </c>
      <c r="AB6081">
        <v>24</v>
      </c>
      <c r="AC6081">
        <v>72.487859999999898</v>
      </c>
      <c r="AD6081">
        <v>-1.11075223318099</v>
      </c>
      <c r="AE6081">
        <v>-1.8089999999999899</v>
      </c>
      <c r="AF6081">
        <v>-1.55867456880264</v>
      </c>
      <c r="AG6081">
        <v>-1.11075223318099</v>
      </c>
      <c r="AH6081">
        <v>72.476659616651602</v>
      </c>
      <c r="AI6081">
        <v>90.877823631245107</v>
      </c>
      <c r="AJ6081">
        <v>91.232006423883206</v>
      </c>
      <c r="AK6081">
        <v>72.501927051099301</v>
      </c>
      <c r="AL6081">
        <v>79.052934826155493</v>
      </c>
      <c r="AM6081">
        <v>96.090117362153094</v>
      </c>
      <c r="AN6081">
        <v>0.999999992246</v>
      </c>
    </row>
    <row r="6082" spans="1:40" x14ac:dyDescent="0.25">
      <c r="A6082" t="str">
        <f>"20190304155541921"</f>
        <v>20190304155541921</v>
      </c>
      <c r="B6082" t="str">
        <f>"1551686141914213"</f>
        <v>1551686141914213</v>
      </c>
      <c r="C6082" t="s">
        <v>40</v>
      </c>
      <c r="D6082">
        <v>4.4952139999999998</v>
      </c>
      <c r="E6082">
        <v>0.52889269999999999</v>
      </c>
      <c r="F6082" t="s">
        <v>46</v>
      </c>
      <c r="G6082">
        <v>-74.493700000000004</v>
      </c>
      <c r="H6082" s="1">
        <v>-2.9876060000000002E-6</v>
      </c>
      <c r="I6082">
        <v>135.99090000000001</v>
      </c>
      <c r="J6082">
        <v>-153.82220000000001</v>
      </c>
      <c r="K6082">
        <v>1.110733</v>
      </c>
      <c r="L6082">
        <v>137.88640000000001</v>
      </c>
      <c r="M6082">
        <v>0.99883370000000005</v>
      </c>
      <c r="N6082">
        <v>-1.381961E-2</v>
      </c>
      <c r="O6082">
        <v>-4.6263890000000002E-2</v>
      </c>
      <c r="P6082">
        <v>0.98255990000000004</v>
      </c>
      <c r="Q6082">
        <v>0.1762715</v>
      </c>
      <c r="R6082">
        <v>5.9197819999999998E-2</v>
      </c>
      <c r="S6082">
        <v>3.065277</v>
      </c>
      <c r="T6082">
        <v>-4.2803170000000001E-2</v>
      </c>
      <c r="U6082">
        <v>-7.3425290000000004E-2</v>
      </c>
      <c r="V6082">
        <v>-0.1046666</v>
      </c>
      <c r="W6082">
        <v>0.18974179999999999</v>
      </c>
      <c r="X6082">
        <v>0.97623919999999997</v>
      </c>
      <c r="Y6082">
        <v>-2.2329350000000001E-2</v>
      </c>
      <c r="Z6082">
        <v>3.1629789999999998E-4</v>
      </c>
      <c r="AA6082">
        <v>0.99975060000000004</v>
      </c>
      <c r="AB6082">
        <v>24</v>
      </c>
      <c r="AC6082">
        <v>79.328500000000005</v>
      </c>
      <c r="AD6082">
        <v>-1.1107359876059999</v>
      </c>
      <c r="AE6082">
        <v>-1.89549999999999</v>
      </c>
      <c r="AF6082">
        <v>-1.77657723192415</v>
      </c>
      <c r="AG6082">
        <v>-1.1107359876059999</v>
      </c>
      <c r="AH6082">
        <v>79.315703753935395</v>
      </c>
      <c r="AI6082">
        <v>90.802115674649798</v>
      </c>
      <c r="AJ6082">
        <v>91.283142614963495</v>
      </c>
      <c r="AK6082">
        <v>79.3433728995509</v>
      </c>
      <c r="AL6082">
        <v>79.062283799808696</v>
      </c>
      <c r="AM6082">
        <v>96.119538705448306</v>
      </c>
      <c r="AN6082">
        <v>1.0000000117197101</v>
      </c>
    </row>
    <row r="6083" spans="1:40" x14ac:dyDescent="0.25">
      <c r="A6083" t="str">
        <f>"20190304155541946"</f>
        <v>20190304155541946</v>
      </c>
      <c r="B6083" t="str">
        <f>"1551686141933733"</f>
        <v>1551686141933733</v>
      </c>
      <c r="C6083" t="s">
        <v>40</v>
      </c>
      <c r="D6083">
        <v>4.5694359999999996</v>
      </c>
      <c r="E6083">
        <v>0.52914569999999905</v>
      </c>
      <c r="F6083" t="s">
        <v>46</v>
      </c>
      <c r="G6083">
        <v>-73.614429999999999</v>
      </c>
      <c r="H6083" s="1">
        <v>-3.3666850000000001E-6</v>
      </c>
      <c r="I6083">
        <v>135.9803</v>
      </c>
      <c r="J6083">
        <v>-153.54939999999999</v>
      </c>
      <c r="K6083">
        <v>1.1107199999999999</v>
      </c>
      <c r="L6083">
        <v>137.8741</v>
      </c>
      <c r="M6083">
        <v>0.99884340000000005</v>
      </c>
      <c r="N6083">
        <v>-1.3815030000000001E-2</v>
      </c>
      <c r="O6083">
        <v>-4.6057679999999997E-2</v>
      </c>
      <c r="P6083">
        <v>0.98259870000000005</v>
      </c>
      <c r="Q6083">
        <v>0.17579539999999999</v>
      </c>
      <c r="R6083">
        <v>5.996928E-2</v>
      </c>
      <c r="S6083">
        <v>3.0652469999999998</v>
      </c>
      <c r="T6083">
        <v>-4.2448279999999998E-2</v>
      </c>
      <c r="U6083">
        <v>-7.2845460000000001E-2</v>
      </c>
      <c r="V6083">
        <v>-0.105229</v>
      </c>
      <c r="W6083">
        <v>0.18926570000000001</v>
      </c>
      <c r="X6083">
        <v>0.97627120000000001</v>
      </c>
      <c r="Y6083">
        <v>-2.231176E-2</v>
      </c>
      <c r="Z6083">
        <v>3.095792E-4</v>
      </c>
      <c r="AA6083">
        <v>0.99975099999999995</v>
      </c>
      <c r="AB6083">
        <v>24</v>
      </c>
      <c r="AC6083">
        <v>79.934969999999893</v>
      </c>
      <c r="AD6083">
        <v>-1.110723366685</v>
      </c>
      <c r="AE6083">
        <v>-1.8937999999999899</v>
      </c>
      <c r="AF6083">
        <v>-1.7898348196814899</v>
      </c>
      <c r="AG6083">
        <v>-1.110723366685</v>
      </c>
      <c r="AH6083">
        <v>79.921935035968104</v>
      </c>
      <c r="AI6083">
        <v>90.7960232060111</v>
      </c>
      <c r="AJ6083">
        <v>91.282912412696703</v>
      </c>
      <c r="AK6083">
        <v>79.949689899164397</v>
      </c>
      <c r="AL6083">
        <v>79.090066171601705</v>
      </c>
      <c r="AM6083">
        <v>96.151968926592801</v>
      </c>
      <c r="AN6083">
        <v>1.00000005179346</v>
      </c>
    </row>
    <row r="6084" spans="1:40" x14ac:dyDescent="0.25">
      <c r="A6084" t="str">
        <f>"20190304155541967"</f>
        <v>20190304155541967</v>
      </c>
      <c r="B6084" t="str">
        <f>"1551686141963989"</f>
        <v>1551686141963989</v>
      </c>
      <c r="C6084" t="s">
        <v>40</v>
      </c>
      <c r="D6084">
        <v>4.5927569999999998</v>
      </c>
      <c r="E6084">
        <v>0.52934459999999905</v>
      </c>
      <c r="F6084" t="s">
        <v>46</v>
      </c>
      <c r="G6084">
        <v>-72.445849999999993</v>
      </c>
      <c r="H6084" s="1">
        <v>-3.8719140000000001E-6</v>
      </c>
      <c r="I6084">
        <v>135.95820000000001</v>
      </c>
      <c r="J6084">
        <v>-153.32230000000001</v>
      </c>
      <c r="K6084">
        <v>1.110706</v>
      </c>
      <c r="L6084">
        <v>137.8638</v>
      </c>
      <c r="M6084">
        <v>0.99885100000000004</v>
      </c>
      <c r="N6084">
        <v>-1.381137E-2</v>
      </c>
      <c r="O6084">
        <v>-4.5892040000000002E-2</v>
      </c>
      <c r="P6084">
        <v>0.98259200000000002</v>
      </c>
      <c r="Q6084">
        <v>0.17573800000000001</v>
      </c>
      <c r="R6084">
        <v>6.0244159999999998E-2</v>
      </c>
      <c r="S6084">
        <v>3.065048</v>
      </c>
      <c r="T6084">
        <v>-4.197621E-2</v>
      </c>
      <c r="U6084">
        <v>-7.2402949999999994E-2</v>
      </c>
      <c r="V6084">
        <v>-0.1053354</v>
      </c>
      <c r="W6084">
        <v>0.1892076</v>
      </c>
      <c r="X6084">
        <v>0.97627090000000005</v>
      </c>
      <c r="Y6084">
        <v>-2.2288769999999999E-2</v>
      </c>
      <c r="Z6084">
        <v>3.0066009999999999E-4</v>
      </c>
      <c r="AA6084">
        <v>0.99975150000000002</v>
      </c>
      <c r="AB6084">
        <v>24</v>
      </c>
      <c r="AC6084">
        <v>80.876450000000006</v>
      </c>
      <c r="AD6084">
        <v>-1.1107098719140001</v>
      </c>
      <c r="AE6084">
        <v>-1.90559999999999</v>
      </c>
      <c r="AF6084">
        <v>-1.8080063440799401</v>
      </c>
      <c r="AG6084">
        <v>-1.1107098719140001</v>
      </c>
      <c r="AH6084">
        <v>80.863440031075896</v>
      </c>
      <c r="AI6084">
        <v>90.786747238252204</v>
      </c>
      <c r="AJ6084">
        <v>91.280849241123406</v>
      </c>
      <c r="AK6084">
        <v>80.891275778165394</v>
      </c>
      <c r="AL6084">
        <v>79.093455366922299</v>
      </c>
      <c r="AM6084">
        <v>96.158143462267603</v>
      </c>
      <c r="AN6084">
        <v>0.99999996628886401</v>
      </c>
    </row>
    <row r="6085" spans="1:40" x14ac:dyDescent="0.25">
      <c r="A6085" t="str">
        <f>"20190304155542006"</f>
        <v>20190304155542006</v>
      </c>
      <c r="B6085" t="str">
        <f>"1551686142004004"</f>
        <v>1551686142004004</v>
      </c>
      <c r="C6085" t="s">
        <v>40</v>
      </c>
      <c r="D6085">
        <v>4.701238</v>
      </c>
      <c r="E6085">
        <v>0.52964440000000002</v>
      </c>
      <c r="F6085" t="s">
        <v>46</v>
      </c>
      <c r="G6085">
        <v>-70.360380000000006</v>
      </c>
      <c r="H6085" s="1">
        <v>-4.7777960000000001E-6</v>
      </c>
      <c r="I6085">
        <v>135.89490000000001</v>
      </c>
      <c r="J6085">
        <v>-152.9042</v>
      </c>
      <c r="K6085">
        <v>1.110687</v>
      </c>
      <c r="L6085">
        <v>137.845</v>
      </c>
      <c r="M6085">
        <v>0.99886450000000004</v>
      </c>
      <c r="N6085">
        <v>-1.380521E-2</v>
      </c>
      <c r="O6085">
        <v>-4.5601040000000002E-2</v>
      </c>
      <c r="P6085">
        <v>0.9824832</v>
      </c>
      <c r="Q6085">
        <v>0.17616879999999999</v>
      </c>
      <c r="R6085">
        <v>6.0758920000000001E-2</v>
      </c>
      <c r="S6085">
        <v>3.064972</v>
      </c>
      <c r="T6085">
        <v>-4.1034460000000002E-2</v>
      </c>
      <c r="U6085">
        <v>-7.2738650000000002E-2</v>
      </c>
      <c r="V6085">
        <v>-0.1055528</v>
      </c>
      <c r="W6085">
        <v>0.1896351</v>
      </c>
      <c r="X6085">
        <v>0.97616449999999999</v>
      </c>
      <c r="Y6085">
        <v>-2.1887690000000001E-2</v>
      </c>
      <c r="Z6085">
        <v>2.7805350000000001E-4</v>
      </c>
      <c r="AA6085">
        <v>0.99976039999999999</v>
      </c>
      <c r="AB6085">
        <v>24</v>
      </c>
      <c r="AC6085">
        <v>82.543819999999997</v>
      </c>
      <c r="AD6085">
        <v>-1.1106917777959999</v>
      </c>
      <c r="AE6085">
        <v>-1.95009999999999</v>
      </c>
      <c r="AF6085">
        <v>-1.8160425460943499</v>
      </c>
      <c r="AG6085">
        <v>-1.1106917777959999</v>
      </c>
      <c r="AH6085">
        <v>82.531936223299894</v>
      </c>
      <c r="AI6085">
        <v>90.770837507715001</v>
      </c>
      <c r="AJ6085">
        <v>91.260539733723306</v>
      </c>
      <c r="AK6085">
        <v>82.559385556830094</v>
      </c>
      <c r="AL6085">
        <v>79.068510152858494</v>
      </c>
      <c r="AM6085">
        <v>96.171422608734801</v>
      </c>
      <c r="AN6085">
        <v>0.99999999790004901</v>
      </c>
    </row>
    <row r="6086" spans="1:40" x14ac:dyDescent="0.25">
      <c r="A6086" t="str">
        <f>"20190304155542037"</f>
        <v>20190304155542037</v>
      </c>
      <c r="B6086" t="str">
        <f>"1551686142034260"</f>
        <v>1551686142034260</v>
      </c>
      <c r="C6086" t="s">
        <v>40</v>
      </c>
      <c r="D6086">
        <v>4.5831289999999996</v>
      </c>
      <c r="E6086">
        <v>0.53006469999999895</v>
      </c>
      <c r="F6086" t="s">
        <v>46</v>
      </c>
      <c r="G6086">
        <v>-62.802129999999998</v>
      </c>
      <c r="H6086" s="1">
        <v>-3.769928E-6</v>
      </c>
      <c r="I6086">
        <v>135.67160000000001</v>
      </c>
      <c r="J6086">
        <v>-152.57249999999999</v>
      </c>
      <c r="K6086">
        <v>1.1106860000000001</v>
      </c>
      <c r="L6086">
        <v>137.83019999999999</v>
      </c>
      <c r="M6086">
        <v>0.9988747</v>
      </c>
      <c r="N6086">
        <v>-1.380059E-2</v>
      </c>
      <c r="O6086">
        <v>-4.537679E-2</v>
      </c>
      <c r="P6086">
        <v>0.98238899999999996</v>
      </c>
      <c r="Q6086">
        <v>0.1766586</v>
      </c>
      <c r="R6086">
        <v>6.0860299999999999E-2</v>
      </c>
      <c r="S6086">
        <v>3.064835</v>
      </c>
      <c r="T6086">
        <v>-3.7780279999999999E-2</v>
      </c>
      <c r="U6086">
        <v>-7.3928830000000001E-2</v>
      </c>
      <c r="V6086">
        <v>-0.1054268</v>
      </c>
      <c r="W6086">
        <v>0.19012109999999999</v>
      </c>
      <c r="X6086">
        <v>0.97608360000000005</v>
      </c>
      <c r="Y6086">
        <v>-2.1274649999999999E-2</v>
      </c>
      <c r="Z6086">
        <v>2.1056650000000001E-4</v>
      </c>
      <c r="AA6086">
        <v>0.99977360000000004</v>
      </c>
      <c r="AB6086">
        <v>24</v>
      </c>
      <c r="AC6086">
        <v>89.7703699999999</v>
      </c>
      <c r="AD6086">
        <v>-1.1106897699280001</v>
      </c>
      <c r="AE6086">
        <v>-2.1585999999999701</v>
      </c>
      <c r="AF6086">
        <v>-1.9172094232471499</v>
      </c>
      <c r="AG6086">
        <v>-1.1106897699280001</v>
      </c>
      <c r="AH6086">
        <v>89.762110572812603</v>
      </c>
      <c r="AI6086">
        <v>90.708763193030407</v>
      </c>
      <c r="AJ6086">
        <v>91.223582067443999</v>
      </c>
      <c r="AK6086">
        <v>89.789452711459603</v>
      </c>
      <c r="AL6086">
        <v>79.040148666689603</v>
      </c>
      <c r="AM6086">
        <v>96.164619395439004</v>
      </c>
      <c r="AN6086">
        <v>1.0000000185061999</v>
      </c>
    </row>
    <row r="6087" spans="1:40" x14ac:dyDescent="0.25">
      <c r="A6087" t="str">
        <f>"20190304155542073"</f>
        <v>20190304155542073</v>
      </c>
      <c r="B6087" t="str">
        <f>"1551686142064517"</f>
        <v>1551686142064517</v>
      </c>
      <c r="C6087" t="s">
        <v>40</v>
      </c>
      <c r="D6087">
        <v>4.5920329999999998</v>
      </c>
      <c r="E6087">
        <v>0.53044029999999998</v>
      </c>
      <c r="F6087" t="s">
        <v>46</v>
      </c>
      <c r="G6087">
        <v>-52.871419999999901</v>
      </c>
      <c r="H6087" s="1">
        <v>-3.797583E-6</v>
      </c>
      <c r="I6087">
        <v>135.34809999999999</v>
      </c>
      <c r="J6087">
        <v>-152.19299999999899</v>
      </c>
      <c r="K6087">
        <v>1.1106799999999999</v>
      </c>
      <c r="L6087">
        <v>137.81319999999999</v>
      </c>
      <c r="M6087">
        <v>0.99888650000000001</v>
      </c>
      <c r="N6087">
        <v>-1.3795470000000001E-2</v>
      </c>
      <c r="O6087">
        <v>-4.5115879999999997E-2</v>
      </c>
      <c r="P6087">
        <v>0.98250680000000001</v>
      </c>
      <c r="Q6087">
        <v>0.175952</v>
      </c>
      <c r="R6087">
        <v>6.1004049999999997E-2</v>
      </c>
      <c r="S6087">
        <v>3.064651</v>
      </c>
      <c r="T6087">
        <v>-3.4140829999999997E-2</v>
      </c>
      <c r="U6087">
        <v>-7.6293949999999999E-2</v>
      </c>
      <c r="V6087">
        <v>-0.1053181</v>
      </c>
      <c r="W6087">
        <v>0.18941230000000001</v>
      </c>
      <c r="X6087">
        <v>0.97623309999999996</v>
      </c>
      <c r="Y6087">
        <v>-2.0241470000000001E-2</v>
      </c>
      <c r="Z6087">
        <v>1.3211359999999999E-4</v>
      </c>
      <c r="AA6087">
        <v>0.99979510000000005</v>
      </c>
      <c r="AB6087">
        <v>24</v>
      </c>
      <c r="AC6087">
        <v>99.321579999999898</v>
      </c>
      <c r="AD6087">
        <v>-1.110683797583</v>
      </c>
      <c r="AE6087">
        <v>-2.4651000000000001</v>
      </c>
      <c r="AF6087">
        <v>-2.0185652188632899</v>
      </c>
      <c r="AG6087">
        <v>-1.110683797583</v>
      </c>
      <c r="AH6087">
        <v>99.319240792546196</v>
      </c>
      <c r="AI6087">
        <v>90.640577831125995</v>
      </c>
      <c r="AJ6087">
        <v>91.164319686095993</v>
      </c>
      <c r="AK6087">
        <v>99.345960238193797</v>
      </c>
      <c r="AL6087">
        <v>79.081511235173807</v>
      </c>
      <c r="AM6087">
        <v>96.157376409444794</v>
      </c>
      <c r="AN6087">
        <v>0.999999993557254</v>
      </c>
    </row>
    <row r="6088" spans="1:40" x14ac:dyDescent="0.25">
      <c r="A6088" t="str">
        <f>"20190304155542099"</f>
        <v>20190304155542099</v>
      </c>
      <c r="B6088" t="str">
        <f>"1551686142093797"</f>
        <v>1551686142093797</v>
      </c>
      <c r="C6088" t="s">
        <v>40</v>
      </c>
      <c r="D6088">
        <v>4.5161290000000003</v>
      </c>
      <c r="E6088">
        <v>0.5307307</v>
      </c>
      <c r="F6088" t="s">
        <v>46</v>
      </c>
      <c r="G6088">
        <v>-55.366779999999999</v>
      </c>
      <c r="H6088" s="1">
        <v>-2.7347510000000002E-6</v>
      </c>
      <c r="I6088">
        <v>135.3049</v>
      </c>
      <c r="J6088">
        <v>-151.9083</v>
      </c>
      <c r="K6088">
        <v>1.110679</v>
      </c>
      <c r="L6088">
        <v>137.8006</v>
      </c>
      <c r="M6088">
        <v>0.99889589999999995</v>
      </c>
      <c r="N6088">
        <v>-1.379183E-2</v>
      </c>
      <c r="O6088">
        <v>-4.4910209999999999E-2</v>
      </c>
      <c r="P6088">
        <v>0.98241630000000002</v>
      </c>
      <c r="Q6088">
        <v>0.176268799999999</v>
      </c>
      <c r="R6088">
        <v>6.1547820000000003E-2</v>
      </c>
      <c r="S6088">
        <v>3.0646360000000001</v>
      </c>
      <c r="T6088">
        <v>-3.5154100000000001E-2</v>
      </c>
      <c r="U6088">
        <v>-7.939148E-2</v>
      </c>
      <c r="V6088">
        <v>-0.1056566</v>
      </c>
      <c r="W6088">
        <v>0.18972410000000001</v>
      </c>
      <c r="X6088">
        <v>0.976136</v>
      </c>
      <c r="Y6088">
        <v>-1.9025690000000001E-2</v>
      </c>
      <c r="Z6088">
        <v>1.3561789999999999E-4</v>
      </c>
      <c r="AA6088">
        <v>0.99981900000000001</v>
      </c>
      <c r="AB6088">
        <v>24</v>
      </c>
      <c r="AC6088">
        <v>96.541520000000006</v>
      </c>
      <c r="AD6088">
        <v>-1.1106817347510001</v>
      </c>
      <c r="AE6088">
        <v>-2.4956999999999998</v>
      </c>
      <c r="AF6088">
        <v>-1.8426868438620001</v>
      </c>
      <c r="AG6088">
        <v>-1.1106817347510001</v>
      </c>
      <c r="AH6088">
        <v>96.543417016322294</v>
      </c>
      <c r="AI6088">
        <v>90.659009009924304</v>
      </c>
      <c r="AJ6088">
        <v>91.093449605511793</v>
      </c>
      <c r="AK6088">
        <v>96.567388273205097</v>
      </c>
      <c r="AL6088">
        <v>79.063316798221095</v>
      </c>
      <c r="AM6088">
        <v>96.177623615957998</v>
      </c>
      <c r="AN6088">
        <v>1.00000002087018</v>
      </c>
    </row>
    <row r="6089" spans="1:40" x14ac:dyDescent="0.25">
      <c r="A6089" t="str">
        <f>"20190304155542122"</f>
        <v>20190304155542122</v>
      </c>
      <c r="B6089" t="str">
        <f>"1551686142114294"</f>
        <v>1551686142114294</v>
      </c>
      <c r="C6089" t="s">
        <v>40</v>
      </c>
      <c r="D6089">
        <v>4.6016450000000004</v>
      </c>
      <c r="E6089">
        <v>0.5308986</v>
      </c>
      <c r="F6089" t="s">
        <v>67</v>
      </c>
      <c r="G6089">
        <v>-40.078919999999997</v>
      </c>
      <c r="H6089">
        <v>-0.1</v>
      </c>
      <c r="I6089">
        <v>134.86420000000001</v>
      </c>
      <c r="J6089">
        <v>-151.66589999999999</v>
      </c>
      <c r="K6089">
        <v>1.110671</v>
      </c>
      <c r="L6089">
        <v>137.79</v>
      </c>
      <c r="M6089">
        <v>0.99890449999999997</v>
      </c>
      <c r="N6089">
        <v>-1.378885E-2</v>
      </c>
      <c r="O6089">
        <v>-4.4719109999999999E-2</v>
      </c>
      <c r="P6089">
        <v>0.98247119999999999</v>
      </c>
      <c r="Q6089">
        <v>0.17572860000000001</v>
      </c>
      <c r="R6089">
        <v>6.2208840000000001E-2</v>
      </c>
      <c r="S6089">
        <v>3.0646969999999998</v>
      </c>
      <c r="T6089">
        <v>-3.3178810000000003E-2</v>
      </c>
      <c r="U6089">
        <v>-8.0474850000000001E-2</v>
      </c>
      <c r="V6089">
        <v>-0.1061353</v>
      </c>
      <c r="W6089">
        <v>0.1891795</v>
      </c>
      <c r="X6089">
        <v>0.97618970000000005</v>
      </c>
      <c r="Y6089">
        <v>-1.8481939999999999E-2</v>
      </c>
      <c r="Z6089" s="1">
        <v>9.4529790000000004E-5</v>
      </c>
      <c r="AA6089">
        <v>0.99982919999999997</v>
      </c>
      <c r="AB6089">
        <v>24</v>
      </c>
      <c r="AC6089">
        <v>111.586979999999</v>
      </c>
      <c r="AD6089">
        <v>-1.2106709999999901</v>
      </c>
      <c r="AE6089">
        <v>-2.9257999999999802</v>
      </c>
      <c r="AF6089">
        <v>-2.0674288898711102</v>
      </c>
      <c r="AG6089">
        <v>-1.2106709999999901</v>
      </c>
      <c r="AH6089">
        <v>111.59305183376701</v>
      </c>
      <c r="AI6089">
        <v>90.621469852870504</v>
      </c>
      <c r="AJ6089">
        <v>91.061368949015403</v>
      </c>
      <c r="AK6089">
        <v>111.61876725738701</v>
      </c>
      <c r="AL6089">
        <v>79.0950948960961</v>
      </c>
      <c r="AM6089">
        <v>96.205056103738002</v>
      </c>
      <c r="AN6089">
        <v>0.99999995775621398</v>
      </c>
    </row>
    <row r="6090" spans="1:40" x14ac:dyDescent="0.25">
      <c r="A6090" t="str">
        <f>"20190304155542162"</f>
        <v>20190304155542162</v>
      </c>
      <c r="B6090" t="str">
        <f>"1551686142154312"</f>
        <v>1551686142154312</v>
      </c>
      <c r="C6090" t="s">
        <v>40</v>
      </c>
      <c r="D6090">
        <v>4.6351639999999996</v>
      </c>
      <c r="E6090">
        <v>0.53126300000000004</v>
      </c>
      <c r="F6090" t="s">
        <v>46</v>
      </c>
      <c r="G6090">
        <v>-50.94359</v>
      </c>
      <c r="H6090" s="1">
        <v>-4.6576000000000001E-6</v>
      </c>
      <c r="I6090">
        <v>135.16210000000001</v>
      </c>
      <c r="J6090">
        <v>-151.2433</v>
      </c>
      <c r="K6090">
        <v>1.110689</v>
      </c>
      <c r="L6090">
        <v>137.7715</v>
      </c>
      <c r="M6090">
        <v>0.99892259999999999</v>
      </c>
      <c r="N6090">
        <v>-1.378384E-2</v>
      </c>
      <c r="O6090">
        <v>-4.4314430000000002E-2</v>
      </c>
      <c r="P6090">
        <v>0.98288050000000005</v>
      </c>
      <c r="Q6090">
        <v>0.17335610000000001</v>
      </c>
      <c r="R6090">
        <v>6.2400299999999999E-2</v>
      </c>
      <c r="S6090">
        <v>3.064667</v>
      </c>
      <c r="T6090">
        <v>-3.3794400000000002E-2</v>
      </c>
      <c r="U6090">
        <v>-7.9956050000000001E-2</v>
      </c>
      <c r="V6090">
        <v>-0.1059628</v>
      </c>
      <c r="W6090">
        <v>0.18679989999999999</v>
      </c>
      <c r="X6090">
        <v>0.97666660000000005</v>
      </c>
      <c r="Y6090">
        <v>-1.824576E-2</v>
      </c>
      <c r="Z6090">
        <v>1.037432E-4</v>
      </c>
      <c r="AA6090">
        <v>0.99983350000000004</v>
      </c>
      <c r="AB6090">
        <v>24</v>
      </c>
      <c r="AC6090">
        <v>100.29971</v>
      </c>
      <c r="AD6090">
        <v>-1.1106936575999999</v>
      </c>
      <c r="AE6090">
        <v>-2.6093999999999902</v>
      </c>
      <c r="AF6090">
        <v>-1.8380851260864</v>
      </c>
      <c r="AG6090">
        <v>-1.1106936575999999</v>
      </c>
      <c r="AH6090">
        <v>100.30451340875101</v>
      </c>
      <c r="AI6090">
        <v>90.634316192336797</v>
      </c>
      <c r="AJ6090">
        <v>91.049830465656001</v>
      </c>
      <c r="AK6090">
        <v>100.327501750507</v>
      </c>
      <c r="AL6090">
        <v>79.233911197613395</v>
      </c>
      <c r="AM6090">
        <v>96.192048107656007</v>
      </c>
      <c r="AN6090">
        <v>0.99999998258970402</v>
      </c>
    </row>
    <row r="6091" spans="1:40" x14ac:dyDescent="0.25">
      <c r="A6091" t="str">
        <f>"20190304155542191"</f>
        <v>20190304155542191</v>
      </c>
      <c r="B6091" t="str">
        <f>"1551686142184565"</f>
        <v>1551686142184565</v>
      </c>
      <c r="C6091" t="s">
        <v>40</v>
      </c>
      <c r="D6091">
        <v>4.63314</v>
      </c>
      <c r="E6091">
        <v>0.53151899999999996</v>
      </c>
      <c r="F6091" t="s">
        <v>46</v>
      </c>
      <c r="G6091">
        <v>-65.171700000000001</v>
      </c>
      <c r="H6091" s="1">
        <v>-2.7860979999999998E-6</v>
      </c>
      <c r="I6091">
        <v>135.4872</v>
      </c>
      <c r="J6091">
        <v>-150.93549999999999</v>
      </c>
      <c r="K6091">
        <v>1.1107199999999999</v>
      </c>
      <c r="L6091">
        <v>137.75829999999999</v>
      </c>
      <c r="M6091">
        <v>0.99893860000000001</v>
      </c>
      <c r="N6091">
        <v>-1.3780570000000001E-2</v>
      </c>
      <c r="O6091">
        <v>-4.3948979999999999E-2</v>
      </c>
      <c r="P6091">
        <v>0.98302339999999999</v>
      </c>
      <c r="Q6091">
        <v>0.17257020000000001</v>
      </c>
      <c r="R6091">
        <v>6.2325060000000002E-2</v>
      </c>
      <c r="S6091">
        <v>3.0643919999999998</v>
      </c>
      <c r="T6091">
        <v>-3.9543750000000003E-2</v>
      </c>
      <c r="U6091">
        <v>-8.1329349999999995E-2</v>
      </c>
      <c r="V6091">
        <v>-0.10555050000000001</v>
      </c>
      <c r="W6091">
        <v>0.1860049</v>
      </c>
      <c r="X6091">
        <v>0.97686300000000004</v>
      </c>
      <c r="Y6091">
        <v>-1.7429529999999999E-2</v>
      </c>
      <c r="Z6091">
        <v>1.935506E-4</v>
      </c>
      <c r="AA6091">
        <v>0.99984810000000002</v>
      </c>
      <c r="AB6091">
        <v>24</v>
      </c>
      <c r="AC6091">
        <v>85.763799999999904</v>
      </c>
      <c r="AD6091">
        <v>-1.110722786098</v>
      </c>
      <c r="AE6091">
        <v>-2.2710999999999899</v>
      </c>
      <c r="AF6091">
        <v>-1.5004332817705901</v>
      </c>
      <c r="AG6091">
        <v>-1.110722786098</v>
      </c>
      <c r="AH6091">
        <v>85.766364010640501</v>
      </c>
      <c r="AI6091">
        <v>90.741857677677203</v>
      </c>
      <c r="AJ6091">
        <v>91.002254516996899</v>
      </c>
      <c r="AK6091">
        <v>85.786678457358903</v>
      </c>
      <c r="AL6091">
        <v>79.280274390502001</v>
      </c>
      <c r="AM6091">
        <v>96.166910441463799</v>
      </c>
      <c r="AN6091">
        <v>1.00000002582162</v>
      </c>
    </row>
    <row r="6092" spans="1:40" x14ac:dyDescent="0.25">
      <c r="A6092" t="str">
        <f>"20190304155542214"</f>
        <v>20190304155542214</v>
      </c>
      <c r="B6092" t="str">
        <f>"1551686142204085"</f>
        <v>1551686142204085</v>
      </c>
      <c r="C6092" t="s">
        <v>40</v>
      </c>
      <c r="D6092">
        <v>4.668927</v>
      </c>
      <c r="E6092">
        <v>0.53163680000000002</v>
      </c>
      <c r="F6092" t="s">
        <v>46</v>
      </c>
      <c r="G6092">
        <v>-68.661059999999907</v>
      </c>
      <c r="H6092" s="1">
        <v>-1.5331369999999999E-6</v>
      </c>
      <c r="I6092">
        <v>135.5145</v>
      </c>
      <c r="J6092">
        <v>-150.68809999999999</v>
      </c>
      <c r="K6092">
        <v>1.110751</v>
      </c>
      <c r="L6092">
        <v>137.74780000000001</v>
      </c>
      <c r="M6092">
        <v>0.99895409999999996</v>
      </c>
      <c r="N6092">
        <v>-1.377782E-2</v>
      </c>
      <c r="O6092">
        <v>-4.3602179999999997E-2</v>
      </c>
      <c r="P6092">
        <v>0.98314760000000001</v>
      </c>
      <c r="Q6092">
        <v>0.17183419999999999</v>
      </c>
      <c r="R6092">
        <v>6.2402350000000002E-2</v>
      </c>
      <c r="S6092">
        <v>3.0643769999999999</v>
      </c>
      <c r="T6092">
        <v>-4.1369679999999999E-2</v>
      </c>
      <c r="U6092">
        <v>-8.3572389999999996E-2</v>
      </c>
      <c r="V6092">
        <v>-0.1053066</v>
      </c>
      <c r="W6092">
        <v>0.1852608</v>
      </c>
      <c r="X6092">
        <v>0.97703070000000003</v>
      </c>
      <c r="Y6092">
        <v>-1.635093E-2</v>
      </c>
      <c r="Z6092">
        <v>2.1040309999999999E-4</v>
      </c>
      <c r="AA6092">
        <v>0.99986629999999999</v>
      </c>
      <c r="AB6092">
        <v>24</v>
      </c>
      <c r="AC6092">
        <v>82.02704</v>
      </c>
      <c r="AD6092">
        <v>-1.1107525331370001</v>
      </c>
      <c r="AE6092">
        <v>-2.2333000000000101</v>
      </c>
      <c r="AF6092">
        <v>-1.3454745896837901</v>
      </c>
      <c r="AG6092">
        <v>-1.1107525331370001</v>
      </c>
      <c r="AH6092">
        <v>82.031370547064299</v>
      </c>
      <c r="AI6092">
        <v>90.775666498044899</v>
      </c>
      <c r="AJ6092">
        <v>90.939678357322293</v>
      </c>
      <c r="AK6092">
        <v>82.049922771999704</v>
      </c>
      <c r="AL6092">
        <v>79.323662195632593</v>
      </c>
      <c r="AM6092">
        <v>96.151721747853102</v>
      </c>
      <c r="AN6092">
        <v>1.0000000163813401</v>
      </c>
    </row>
    <row r="6093" spans="1:40" x14ac:dyDescent="0.25">
      <c r="A6093" t="str">
        <f>"20190304155542238"</f>
        <v>20190304155542238</v>
      </c>
      <c r="B6093" t="str">
        <f>"1551686142234341"</f>
        <v>1551686142234341</v>
      </c>
      <c r="C6093" t="s">
        <v>40</v>
      </c>
      <c r="D6093">
        <v>4.7750769999999996</v>
      </c>
      <c r="E6093">
        <v>0.53172629999999999</v>
      </c>
      <c r="F6093" t="s">
        <v>46</v>
      </c>
      <c r="G6093">
        <v>-70.487049999999996</v>
      </c>
      <c r="H6093" s="1">
        <v>-4.785004E-6</v>
      </c>
      <c r="I6093">
        <v>135.548</v>
      </c>
      <c r="J6093">
        <v>-150.4365</v>
      </c>
      <c r="K6093">
        <v>1.110797</v>
      </c>
      <c r="L6093">
        <v>137.7373</v>
      </c>
      <c r="M6093">
        <v>0.998973</v>
      </c>
      <c r="N6093">
        <v>-1.3775000000000001E-2</v>
      </c>
      <c r="O6093">
        <v>-4.3165839999999997E-2</v>
      </c>
      <c r="P6093">
        <v>0.983402</v>
      </c>
      <c r="Q6093">
        <v>0.17043459999999999</v>
      </c>
      <c r="R6093">
        <v>6.2231340000000003E-2</v>
      </c>
      <c r="S6093">
        <v>3.0641479999999999</v>
      </c>
      <c r="T6093">
        <v>-4.2437309999999999E-2</v>
      </c>
      <c r="U6093">
        <v>-8.4045410000000001E-2</v>
      </c>
      <c r="V6093">
        <v>-0.1047394</v>
      </c>
      <c r="W6093">
        <v>0.1838516</v>
      </c>
      <c r="X6093">
        <v>0.97735780000000005</v>
      </c>
      <c r="Y6093">
        <v>-1.5757920000000002E-2</v>
      </c>
      <c r="Z6093">
        <v>2.2037320000000001E-4</v>
      </c>
      <c r="AA6093">
        <v>0.99987579999999998</v>
      </c>
      <c r="AB6093">
        <v>24</v>
      </c>
      <c r="AC6093">
        <v>79.949449999999999</v>
      </c>
      <c r="AD6093">
        <v>-1.110801785004</v>
      </c>
      <c r="AE6093">
        <v>-2.1892999999999998</v>
      </c>
      <c r="AF6093">
        <v>-1.2639096609956699</v>
      </c>
      <c r="AG6093">
        <v>-1.110801785004</v>
      </c>
      <c r="AH6093">
        <v>79.954005995870403</v>
      </c>
      <c r="AI6093">
        <v>90.795860194872901</v>
      </c>
      <c r="AJ6093">
        <v>90.905653908849501</v>
      </c>
      <c r="AK6093">
        <v>79.971710141927105</v>
      </c>
      <c r="AL6093">
        <v>79.405814574167294</v>
      </c>
      <c r="AM6093">
        <v>96.116807199720697</v>
      </c>
      <c r="AN6093">
        <v>1.0000000109778799</v>
      </c>
    </row>
    <row r="6094" spans="1:40" x14ac:dyDescent="0.25">
      <c r="A6094" t="str">
        <f>"20190304155542258"</f>
        <v>20190304155542258</v>
      </c>
      <c r="B6094" t="str">
        <f>"1551686142254837"</f>
        <v>1551686142254837</v>
      </c>
      <c r="C6094" t="s">
        <v>40</v>
      </c>
      <c r="D6094">
        <v>4.7065630000000001</v>
      </c>
      <c r="E6094">
        <v>0.53184370000000003</v>
      </c>
      <c r="F6094" t="s">
        <v>46</v>
      </c>
      <c r="G6094">
        <v>-74.496669999999995</v>
      </c>
      <c r="H6094" s="1">
        <v>-3.0513030000000002E-6</v>
      </c>
      <c r="I6094">
        <v>135.62459999999999</v>
      </c>
      <c r="J6094">
        <v>-150.22</v>
      </c>
      <c r="K6094">
        <v>1.1108480000000001</v>
      </c>
      <c r="L6094">
        <v>137.72839999999999</v>
      </c>
      <c r="M6094">
        <v>0.99899260000000001</v>
      </c>
      <c r="N6094">
        <v>-1.377283E-2</v>
      </c>
      <c r="O6094">
        <v>-4.2708309999999999E-2</v>
      </c>
      <c r="P6094">
        <v>0.98363009999999995</v>
      </c>
      <c r="Q6094">
        <v>0.169038299999999</v>
      </c>
      <c r="R6094">
        <v>6.2433099999999998E-2</v>
      </c>
      <c r="S6094">
        <v>3.0637819999999998</v>
      </c>
      <c r="T6094">
        <v>-4.4815059999999997E-2</v>
      </c>
      <c r="U6094">
        <v>-8.5235599999999995E-2</v>
      </c>
      <c r="V6094">
        <v>-0.10452450000000001</v>
      </c>
      <c r="W6094">
        <v>0.18244299999999999</v>
      </c>
      <c r="X6094">
        <v>0.97764470000000003</v>
      </c>
      <c r="Y6094">
        <v>-1.490849E-2</v>
      </c>
      <c r="Z6094">
        <v>2.4768300000000001E-4</v>
      </c>
      <c r="AA6094">
        <v>0.99988880000000002</v>
      </c>
      <c r="AB6094">
        <v>24</v>
      </c>
      <c r="AC6094">
        <v>75.723330000000004</v>
      </c>
      <c r="AD6094">
        <v>-1.1108510513030001</v>
      </c>
      <c r="AE6094">
        <v>-2.1038000000000001</v>
      </c>
      <c r="AF6094">
        <v>-1.13219881873788</v>
      </c>
      <c r="AG6094">
        <v>-1.1108510513030001</v>
      </c>
      <c r="AH6094">
        <v>75.727799534167303</v>
      </c>
      <c r="AI6094">
        <v>90.840317583895995</v>
      </c>
      <c r="AJ6094">
        <v>90.856559697536795</v>
      </c>
      <c r="AK6094">
        <v>75.744408945547605</v>
      </c>
      <c r="AL6094">
        <v>79.487909791262197</v>
      </c>
      <c r="AM6094">
        <v>96.102573972193895</v>
      </c>
      <c r="AN6094">
        <v>0.99999998939366996</v>
      </c>
    </row>
    <row r="6095" spans="1:40" x14ac:dyDescent="0.25">
      <c r="A6095" t="str">
        <f>"20190304155542281"</f>
        <v>20190304155542281</v>
      </c>
      <c r="B6095" t="str">
        <f>"1551686142274357"</f>
        <v>1551686142274357</v>
      </c>
      <c r="C6095" t="s">
        <v>40</v>
      </c>
      <c r="D6095">
        <v>4.7291910000000001</v>
      </c>
      <c r="E6095">
        <v>0.53195539999999997</v>
      </c>
      <c r="F6095" t="s">
        <v>46</v>
      </c>
      <c r="G6095">
        <v>-79.40531</v>
      </c>
      <c r="H6095" s="1">
        <v>-1.22027E-6</v>
      </c>
      <c r="I6095">
        <v>135.73840000000001</v>
      </c>
      <c r="J6095">
        <v>-149.9863</v>
      </c>
      <c r="K6095">
        <v>1.1109150000000001</v>
      </c>
      <c r="L6095">
        <v>137.71899999999999</v>
      </c>
      <c r="M6095">
        <v>0.99901689999999999</v>
      </c>
      <c r="N6095">
        <v>-1.377068E-2</v>
      </c>
      <c r="O6095">
        <v>-4.214122E-2</v>
      </c>
      <c r="P6095">
        <v>0.9838789</v>
      </c>
      <c r="Q6095">
        <v>0.16749310000000001</v>
      </c>
      <c r="R6095">
        <v>6.2678199999999906E-2</v>
      </c>
      <c r="S6095">
        <v>3.0636290000000002</v>
      </c>
      <c r="T6095">
        <v>-4.805827E-2</v>
      </c>
      <c r="U6095">
        <v>-8.6090089999999994E-2</v>
      </c>
      <c r="V6095">
        <v>-0.1042496</v>
      </c>
      <c r="W6095">
        <v>0.18088480000000001</v>
      </c>
      <c r="X6095">
        <v>0.97796360000000004</v>
      </c>
      <c r="Y6095">
        <v>-1.4060619999999999E-2</v>
      </c>
      <c r="Z6095">
        <v>2.8730580000000002E-4</v>
      </c>
      <c r="AA6095">
        <v>0.99990109999999999</v>
      </c>
      <c r="AB6095">
        <v>24</v>
      </c>
      <c r="AC6095">
        <v>70.58099</v>
      </c>
      <c r="AD6095">
        <v>-1.11091622026999</v>
      </c>
      <c r="AE6095">
        <v>-1.9805999999999799</v>
      </c>
      <c r="AF6095">
        <v>-0.99556399677789997</v>
      </c>
      <c r="AG6095">
        <v>-1.11091622026999</v>
      </c>
      <c r="AH6095">
        <v>70.584278876829799</v>
      </c>
      <c r="AI6095">
        <v>90.901606251198999</v>
      </c>
      <c r="AJ6095">
        <v>90.808081260975598</v>
      </c>
      <c r="AK6095">
        <v>70.600040418417805</v>
      </c>
      <c r="AL6095">
        <v>79.578699353961994</v>
      </c>
      <c r="AM6095">
        <v>96.084674928215904</v>
      </c>
      <c r="AN6095">
        <v>1.0000000464480701</v>
      </c>
    </row>
    <row r="6096" spans="1:40" x14ac:dyDescent="0.25">
      <c r="A6096" t="str">
        <f>"20190304155542300"</f>
        <v>20190304155542300</v>
      </c>
      <c r="B6096" t="str">
        <f>"1551686142293877"</f>
        <v>1551686142293877</v>
      </c>
      <c r="C6096" t="s">
        <v>40</v>
      </c>
      <c r="D6096">
        <v>4.762543</v>
      </c>
      <c r="E6096">
        <v>0.53192479999999998</v>
      </c>
      <c r="F6096" t="s">
        <v>46</v>
      </c>
      <c r="G6096">
        <v>-84.704160000000002</v>
      </c>
      <c r="H6096" s="1">
        <v>-2.916249E-6</v>
      </c>
      <c r="I6096">
        <v>135.88409999999999</v>
      </c>
      <c r="J6096">
        <v>-149.77520000000001</v>
      </c>
      <c r="K6096">
        <v>1.110967</v>
      </c>
      <c r="L6096">
        <v>137.7107</v>
      </c>
      <c r="M6096">
        <v>0.99904090000000001</v>
      </c>
      <c r="N6096">
        <v>-1.376873E-2</v>
      </c>
      <c r="O6096">
        <v>-4.1567409999999999E-2</v>
      </c>
      <c r="P6096">
        <v>0.98403839999999998</v>
      </c>
      <c r="Q6096">
        <v>0.16664399999999999</v>
      </c>
      <c r="R6096">
        <v>6.2439429999999997E-2</v>
      </c>
      <c r="S6096">
        <v>3.0635219999999999</v>
      </c>
      <c r="T6096">
        <v>-5.2132489999999997E-2</v>
      </c>
      <c r="U6096">
        <v>-8.6105349999999997E-2</v>
      </c>
      <c r="V6096">
        <v>-0.10347629999999999</v>
      </c>
      <c r="W6096">
        <v>0.18002470000000001</v>
      </c>
      <c r="X6096">
        <v>0.97820439999999997</v>
      </c>
      <c r="Y6096">
        <v>-1.3479929999999999E-2</v>
      </c>
      <c r="Z6096">
        <v>3.4196879999999897E-4</v>
      </c>
      <c r="AA6096">
        <v>0.9999091</v>
      </c>
      <c r="AB6096">
        <v>24</v>
      </c>
      <c r="AC6096">
        <v>65.071039999999996</v>
      </c>
      <c r="AD6096">
        <v>-1.1109699162489901</v>
      </c>
      <c r="AE6096">
        <v>-1.82660000000001</v>
      </c>
      <c r="AF6096">
        <v>-0.87981359272054005</v>
      </c>
      <c r="AG6096">
        <v>-1.1109699162489901</v>
      </c>
      <c r="AH6096">
        <v>65.071769701133107</v>
      </c>
      <c r="AI6096">
        <v>90.978026081644998</v>
      </c>
      <c r="AJ6096">
        <v>90.774629834464605</v>
      </c>
      <c r="AK6096">
        <v>65.087199495369603</v>
      </c>
      <c r="AL6096">
        <v>79.628801934557899</v>
      </c>
      <c r="AM6096">
        <v>96.038399223437494</v>
      </c>
      <c r="AN6096">
        <v>1.00000004272556</v>
      </c>
    </row>
    <row r="6097" spans="1:40" x14ac:dyDescent="0.25">
      <c r="A6097" t="str">
        <f>"20190304155542324"</f>
        <v>20190304155542324</v>
      </c>
      <c r="B6097" t="str">
        <f>"1551686142314373"</f>
        <v>1551686142314373</v>
      </c>
      <c r="C6097" t="s">
        <v>40</v>
      </c>
      <c r="D6097">
        <v>4.5485829999999998</v>
      </c>
      <c r="E6097">
        <v>0.53280450000000001</v>
      </c>
      <c r="F6097" t="s">
        <v>46</v>
      </c>
      <c r="G6097">
        <v>-88.024360000000001</v>
      </c>
      <c r="H6097" s="1">
        <v>-1.6257740000000001E-6</v>
      </c>
      <c r="I6097">
        <v>135.98060000000001</v>
      </c>
      <c r="J6097">
        <v>-149.53399999999999</v>
      </c>
      <c r="K6097">
        <v>1.1110089999999999</v>
      </c>
      <c r="L6097">
        <v>137.70150000000001</v>
      </c>
      <c r="M6097">
        <v>0.99907029999999997</v>
      </c>
      <c r="N6097">
        <v>-1.376638E-2</v>
      </c>
      <c r="O6097">
        <v>-4.0852609999999998E-2</v>
      </c>
      <c r="P6097">
        <v>0.98395889999999997</v>
      </c>
      <c r="Q6097">
        <v>0.16719489999999901</v>
      </c>
      <c r="R6097">
        <v>6.2214560000000002E-2</v>
      </c>
      <c r="S6097">
        <v>3.0634459999999999</v>
      </c>
      <c r="T6097">
        <v>-5.5114870000000003E-2</v>
      </c>
      <c r="U6097">
        <v>-8.5830690000000001E-2</v>
      </c>
      <c r="V6097">
        <v>-0.1025657</v>
      </c>
      <c r="W6097">
        <v>0.180564</v>
      </c>
      <c r="X6097">
        <v>0.97820090000000004</v>
      </c>
      <c r="Y6097">
        <v>-1.2853109999999999E-2</v>
      </c>
      <c r="Z6097">
        <v>3.7611989999999999E-4</v>
      </c>
      <c r="AA6097">
        <v>0.99991730000000001</v>
      </c>
      <c r="AB6097">
        <v>24</v>
      </c>
      <c r="AC6097">
        <v>61.509639999999898</v>
      </c>
      <c r="AD6097">
        <v>-1.111010625774</v>
      </c>
      <c r="AE6097">
        <v>-1.7209000000000001</v>
      </c>
      <c r="AF6097">
        <v>-0.79334586575801602</v>
      </c>
      <c r="AG6097">
        <v>-1.111010625774</v>
      </c>
      <c r="AH6097">
        <v>61.508539484365897</v>
      </c>
      <c r="AI6097">
        <v>91.034718207950107</v>
      </c>
      <c r="AJ6097">
        <v>90.738968113235501</v>
      </c>
      <c r="AK6097">
        <v>61.523687891519401</v>
      </c>
      <c r="AL6097">
        <v>79.597387504431296</v>
      </c>
      <c r="AM6097">
        <v>95.985669550380393</v>
      </c>
      <c r="AN6097">
        <v>1.0000000408366401</v>
      </c>
    </row>
    <row r="6098" spans="1:40" x14ac:dyDescent="0.25">
      <c r="A6098" t="str">
        <f>"20190304155542344"</f>
        <v>20190304155542344</v>
      </c>
      <c r="B6098" t="str">
        <f>"1551686142333893"</f>
        <v>1551686142333893</v>
      </c>
      <c r="C6098" t="s">
        <v>40</v>
      </c>
      <c r="D6098">
        <v>5.1425199999999904</v>
      </c>
      <c r="E6098">
        <v>0.53366289999999905</v>
      </c>
      <c r="F6098" t="s">
        <v>46</v>
      </c>
      <c r="G6098">
        <v>-84.544669999999996</v>
      </c>
      <c r="H6098" s="1">
        <v>-3.0140249999999999E-6</v>
      </c>
      <c r="I6098">
        <v>135.71860000000001</v>
      </c>
      <c r="J6098">
        <v>-149.3142</v>
      </c>
      <c r="K6098">
        <v>1.1110370000000001</v>
      </c>
      <c r="L6098">
        <v>137.69329999999999</v>
      </c>
      <c r="M6098">
        <v>0.99909870000000001</v>
      </c>
      <c r="N6098">
        <v>-1.376405E-2</v>
      </c>
      <c r="O6098">
        <v>-4.0156709999999998E-2</v>
      </c>
      <c r="P6098">
        <v>0.98385650000000002</v>
      </c>
      <c r="Q6098">
        <v>0.1676658</v>
      </c>
      <c r="R6098">
        <v>6.2568929999999995E-2</v>
      </c>
      <c r="S6098">
        <v>3.063736</v>
      </c>
      <c r="T6098">
        <v>-5.2375440000000002E-2</v>
      </c>
      <c r="U6098">
        <v>-9.3475340000000004E-2</v>
      </c>
      <c r="V6098">
        <v>-0.1022424</v>
      </c>
      <c r="W6098">
        <v>0.18102689999999999</v>
      </c>
      <c r="X6098">
        <v>0.97814909999999999</v>
      </c>
      <c r="Y6098">
        <v>-9.6676130000000002E-3</v>
      </c>
      <c r="Z6098">
        <v>2.824023E-4</v>
      </c>
      <c r="AA6098">
        <v>0.99995319999999999</v>
      </c>
      <c r="AB6098">
        <v>24</v>
      </c>
      <c r="AC6098">
        <v>64.769530000000003</v>
      </c>
      <c r="AD6098">
        <v>-1.1110400140250001</v>
      </c>
      <c r="AE6098">
        <v>-1.9746999999999799</v>
      </c>
      <c r="AF6098">
        <v>-0.62788587223827097</v>
      </c>
      <c r="AG6098">
        <v>-1.1110400140250001</v>
      </c>
      <c r="AH6098">
        <v>64.777538423880003</v>
      </c>
      <c r="AI6098">
        <v>90.982573199279202</v>
      </c>
      <c r="AJ6098">
        <v>90.555348115556598</v>
      </c>
      <c r="AK6098">
        <v>64.7901083101316</v>
      </c>
      <c r="AL6098">
        <v>79.570419986626703</v>
      </c>
      <c r="AM6098">
        <v>95.967252017079602</v>
      </c>
      <c r="AN6098">
        <v>0.99999995435608902</v>
      </c>
    </row>
    <row r="6099" spans="1:40" x14ac:dyDescent="0.25">
      <c r="A6099" t="str">
        <f>"20190304155542367"</f>
        <v>20190304155542367</v>
      </c>
      <c r="B6099" t="str">
        <f>"1551686142364011"</f>
        <v>1551686142364011</v>
      </c>
      <c r="C6099" t="s">
        <v>40</v>
      </c>
      <c r="D6099">
        <v>5.218502</v>
      </c>
      <c r="E6099">
        <v>0.53409930000000005</v>
      </c>
      <c r="F6099" t="s">
        <v>46</v>
      </c>
      <c r="G6099">
        <v>-96.597769999999997</v>
      </c>
      <c r="H6099" s="1">
        <v>-2.1113590000000002E-6</v>
      </c>
      <c r="I6099">
        <v>135.98009999999999</v>
      </c>
      <c r="J6099">
        <v>-149.0729</v>
      </c>
      <c r="K6099">
        <v>1.1110450000000001</v>
      </c>
      <c r="L6099">
        <v>137.68450000000001</v>
      </c>
      <c r="M6099">
        <v>0.99913030000000003</v>
      </c>
      <c r="N6099">
        <v>-1.376144E-2</v>
      </c>
      <c r="O6099">
        <v>-3.9361819999999999E-2</v>
      </c>
      <c r="P6099">
        <v>0.98377130000000002</v>
      </c>
      <c r="Q6099">
        <v>0.1682572</v>
      </c>
      <c r="R6099">
        <v>6.2320189999999998E-2</v>
      </c>
      <c r="S6099">
        <v>3.066589</v>
      </c>
      <c r="T6099">
        <v>-6.4630629999999994E-2</v>
      </c>
      <c r="U6099">
        <v>-9.9655149999999998E-2</v>
      </c>
      <c r="V6099">
        <v>-0.1012154</v>
      </c>
      <c r="W6099">
        <v>0.18161450000000001</v>
      </c>
      <c r="X6099">
        <v>0.97814699999999999</v>
      </c>
      <c r="Y6099">
        <v>-6.8864579999999998E-3</v>
      </c>
      <c r="Z6099">
        <v>4.0719470000000001E-4</v>
      </c>
      <c r="AA6099">
        <v>0.99997619999999998</v>
      </c>
      <c r="AB6099">
        <v>24</v>
      </c>
      <c r="AC6099">
        <v>52.47513</v>
      </c>
      <c r="AD6099">
        <v>-1.1110471113589999</v>
      </c>
      <c r="AE6099">
        <v>-1.7044000000000199</v>
      </c>
      <c r="AF6099">
        <v>-0.36247094097469401</v>
      </c>
      <c r="AG6099">
        <v>-1.1110471113589999</v>
      </c>
      <c r="AH6099">
        <v>52.4780493990108</v>
      </c>
      <c r="AI6099">
        <v>91.212836308881904</v>
      </c>
      <c r="AJ6099">
        <v>90.395741173575601</v>
      </c>
      <c r="AK6099">
        <v>52.491060949382003</v>
      </c>
      <c r="AL6099">
        <v>79.536185666400499</v>
      </c>
      <c r="AM6099">
        <v>95.907751076314895</v>
      </c>
      <c r="AN6099">
        <v>0.99999996870820396</v>
      </c>
    </row>
    <row r="6100" spans="1:40" x14ac:dyDescent="0.25">
      <c r="A6100" t="str">
        <f>"20190304155542408"</f>
        <v>20190304155542408</v>
      </c>
      <c r="B6100" t="str">
        <f>"1551686142404027"</f>
        <v>1551686142404027</v>
      </c>
      <c r="C6100" t="s">
        <v>40</v>
      </c>
      <c r="D6100">
        <v>5.1702050000000002</v>
      </c>
      <c r="E6100">
        <v>0.53537309999999905</v>
      </c>
      <c r="F6100" t="s">
        <v>46</v>
      </c>
      <c r="G6100">
        <v>-104.27500000000001</v>
      </c>
      <c r="H6100" s="1">
        <v>-3.2992940000000002E-6</v>
      </c>
      <c r="I6100">
        <v>136.1628</v>
      </c>
      <c r="J6100">
        <v>-148.65090000000001</v>
      </c>
      <c r="K6100">
        <v>1.1110500000000001</v>
      </c>
      <c r="L6100">
        <v>137.6696</v>
      </c>
      <c r="M6100">
        <v>0.99918530000000005</v>
      </c>
      <c r="N6100">
        <v>-1.375704E-2</v>
      </c>
      <c r="O6100">
        <v>-3.7941370000000002E-2</v>
      </c>
      <c r="P6100">
        <v>0.98414360000000001</v>
      </c>
      <c r="Q6100">
        <v>0.1653994</v>
      </c>
      <c r="R6100">
        <v>6.4066730000000002E-2</v>
      </c>
      <c r="S6100">
        <v>3.0690919999999999</v>
      </c>
      <c r="T6100">
        <v>-7.6117749999999998E-2</v>
      </c>
      <c r="U6100">
        <v>-0.10424799999999999</v>
      </c>
      <c r="V6100">
        <v>-0.1015805</v>
      </c>
      <c r="W6100">
        <v>0.1787571</v>
      </c>
      <c r="X6100">
        <v>0.97863540000000004</v>
      </c>
      <c r="Y6100">
        <v>-3.9958340000000002E-3</v>
      </c>
      <c r="Z6100">
        <v>4.9531529999999996E-4</v>
      </c>
      <c r="AA6100">
        <v>0.99999190000000004</v>
      </c>
      <c r="AB6100">
        <v>23</v>
      </c>
      <c r="AC6100">
        <v>44.375900000000001</v>
      </c>
      <c r="AD6100">
        <v>-1.1110532992939901</v>
      </c>
      <c r="AE6100">
        <v>-1.5067999999999899</v>
      </c>
      <c r="AF6100">
        <v>-0.178015418052034</v>
      </c>
      <c r="AG6100">
        <v>-1.1110532992939901</v>
      </c>
      <c r="AH6100">
        <v>44.373333158255001</v>
      </c>
      <c r="AI6100">
        <v>91.434304119490903</v>
      </c>
      <c r="AJ6100">
        <v>90.229856012592094</v>
      </c>
      <c r="AK6100">
        <v>44.387597642769897</v>
      </c>
      <c r="AL6100">
        <v>79.702626946030804</v>
      </c>
      <c r="AM6100">
        <v>95.925971907964893</v>
      </c>
      <c r="AN6100">
        <v>0.99999997245690897</v>
      </c>
    </row>
    <row r="6101" spans="1:40" x14ac:dyDescent="0.25">
      <c r="A6101" t="str">
        <f>"20190304155542438"</f>
        <v>20190304155542438</v>
      </c>
      <c r="B6101" t="str">
        <f>"1551686142434283"</f>
        <v>1551686142434283</v>
      </c>
      <c r="C6101" t="s">
        <v>40</v>
      </c>
      <c r="D6101">
        <v>5.163043</v>
      </c>
      <c r="E6101">
        <v>0.53642019999999901</v>
      </c>
      <c r="F6101" t="s">
        <v>46</v>
      </c>
      <c r="G6101">
        <v>-117.26309999999999</v>
      </c>
      <c r="H6101" s="1">
        <v>-1.7358500000000001E-6</v>
      </c>
      <c r="I6101">
        <v>136.54040000000001</v>
      </c>
      <c r="J6101">
        <v>-148.3347</v>
      </c>
      <c r="K6101">
        <v>1.111057</v>
      </c>
      <c r="L6101">
        <v>137.65889999999999</v>
      </c>
      <c r="M6101">
        <v>0.99922599999999995</v>
      </c>
      <c r="N6101">
        <v>-1.375402E-2</v>
      </c>
      <c r="O6101">
        <v>-3.685712E-2</v>
      </c>
      <c r="P6101">
        <v>0.98452949999999995</v>
      </c>
      <c r="Q6101">
        <v>0.162519</v>
      </c>
      <c r="R6101">
        <v>6.549381E-2</v>
      </c>
      <c r="S6101">
        <v>3.0738219999999998</v>
      </c>
      <c r="T6101">
        <v>-0.1088055</v>
      </c>
      <c r="U6101">
        <v>-0.110580399999999</v>
      </c>
      <c r="V6101">
        <v>-0.1019581</v>
      </c>
      <c r="W6101">
        <v>0.17587620000000001</v>
      </c>
      <c r="X6101">
        <v>0.97911800000000004</v>
      </c>
      <c r="Y6101">
        <v>-9.0017959999999996E-4</v>
      </c>
      <c r="Z6101">
        <v>8.1863210000000005E-4</v>
      </c>
      <c r="AA6101">
        <v>0.99999930000000004</v>
      </c>
      <c r="AB6101">
        <v>23</v>
      </c>
      <c r="AC6101">
        <v>31.0716</v>
      </c>
      <c r="AD6101">
        <v>-1.1110587358499999</v>
      </c>
      <c r="AE6101">
        <v>-1.1184999999999801</v>
      </c>
      <c r="AF6101">
        <v>-2.7542842714200301E-2</v>
      </c>
      <c r="AG6101">
        <v>-1.1110587358499999</v>
      </c>
      <c r="AH6101">
        <v>31.052059967844901</v>
      </c>
      <c r="AI6101">
        <v>92.049197569849099</v>
      </c>
      <c r="AJ6101">
        <v>90.050820725938806</v>
      </c>
      <c r="AK6101">
        <v>31.0719429448712</v>
      </c>
      <c r="AL6101">
        <v>79.870348186739406</v>
      </c>
      <c r="AM6101">
        <v>95.944931946464393</v>
      </c>
      <c r="AN6101">
        <v>0.99999997490302395</v>
      </c>
    </row>
    <row r="6102" spans="1:40" x14ac:dyDescent="0.25">
      <c r="A6102" t="str">
        <f>"20190304155542465"</f>
        <v>20190304155542465</v>
      </c>
      <c r="B6102" t="str">
        <f>"1551686142453803"</f>
        <v>1551686142453803</v>
      </c>
      <c r="C6102" t="s">
        <v>40</v>
      </c>
      <c r="D6102">
        <v>5.2013579999999999</v>
      </c>
      <c r="E6102">
        <v>0.53693829999999998</v>
      </c>
      <c r="F6102" t="s">
        <v>46</v>
      </c>
      <c r="G6102">
        <v>-122.51609999999999</v>
      </c>
      <c r="H6102" s="1">
        <v>-3.7104329999999999E-6</v>
      </c>
      <c r="I6102">
        <v>136.6986</v>
      </c>
      <c r="J6102">
        <v>-148.066</v>
      </c>
      <c r="K6102">
        <v>1.1110990000000001</v>
      </c>
      <c r="L6102">
        <v>137.65</v>
      </c>
      <c r="M6102">
        <v>0.99926099999999995</v>
      </c>
      <c r="N6102">
        <v>-1.3751589999999999E-2</v>
      </c>
      <c r="O6102">
        <v>-3.5895009999999998E-2</v>
      </c>
      <c r="P6102">
        <v>0.98540669999999997</v>
      </c>
      <c r="Q6102">
        <v>0.1574624</v>
      </c>
      <c r="R6102">
        <v>6.4648890000000001E-2</v>
      </c>
      <c r="S6102">
        <v>3.0765989999999999</v>
      </c>
      <c r="T6102">
        <v>-0.13239619999999999</v>
      </c>
      <c r="U6102">
        <v>-0.11442570000000001</v>
      </c>
      <c r="V6102">
        <v>-0.10020370000000001</v>
      </c>
      <c r="W6102">
        <v>0.17082739999999999</v>
      </c>
      <c r="X6102">
        <v>0.98019239999999996</v>
      </c>
      <c r="Y6102">
        <v>1.282774E-3</v>
      </c>
      <c r="Z6102">
        <v>1.013047E-3</v>
      </c>
      <c r="AA6102">
        <v>0.99999870000000002</v>
      </c>
      <c r="AB6102">
        <v>23</v>
      </c>
      <c r="AC6102">
        <v>25.549900000000001</v>
      </c>
      <c r="AD6102">
        <v>-1.111102710433</v>
      </c>
      <c r="AE6102">
        <v>-0.95140000000000602</v>
      </c>
      <c r="AF6102">
        <v>3.3522863912607802E-2</v>
      </c>
      <c r="AG6102">
        <v>-1.111102710433</v>
      </c>
      <c r="AH6102">
        <v>25.5193907973904</v>
      </c>
      <c r="AI6102">
        <v>92.493055565325804</v>
      </c>
      <c r="AJ6102">
        <v>89.924734977812193</v>
      </c>
      <c r="AK6102">
        <v>25.543589796374899</v>
      </c>
      <c r="AL6102">
        <v>80.164070304127407</v>
      </c>
      <c r="AM6102">
        <v>95.836990351583296</v>
      </c>
      <c r="AN6102">
        <v>0.99999996155110404</v>
      </c>
    </row>
    <row r="6103" spans="1:40" x14ac:dyDescent="0.25">
      <c r="A6103" t="str">
        <f>"20190304155542492"</f>
        <v>20190304155542492</v>
      </c>
      <c r="B6103" t="str">
        <f>"1551686142483838"</f>
        <v>1551686142483838</v>
      </c>
      <c r="C6103" t="s">
        <v>40</v>
      </c>
      <c r="D6103">
        <v>5.1161029999999998</v>
      </c>
      <c r="E6103">
        <v>0.53877969999999997</v>
      </c>
      <c r="F6103" t="s">
        <v>46</v>
      </c>
      <c r="G6103">
        <v>-126.4243</v>
      </c>
      <c r="H6103" s="1">
        <v>-2.0154729999999999E-6</v>
      </c>
      <c r="I6103">
        <v>136.80199999999999</v>
      </c>
      <c r="J6103">
        <v>-147.77160000000001</v>
      </c>
      <c r="K6103">
        <v>1.1111740000000001</v>
      </c>
      <c r="L6103">
        <v>137.64080000000001</v>
      </c>
      <c r="M6103">
        <v>0.99930189999999997</v>
      </c>
      <c r="N6103">
        <v>-1.3749229999999999E-2</v>
      </c>
      <c r="O6103">
        <v>-3.4741670000000002E-2</v>
      </c>
      <c r="P6103">
        <v>0.98568239999999996</v>
      </c>
      <c r="Q6103">
        <v>0.15595919999999999</v>
      </c>
      <c r="R6103">
        <v>6.4088809999999996E-2</v>
      </c>
      <c r="S6103">
        <v>3.0775760000000001</v>
      </c>
      <c r="T6103">
        <v>-0.1580049</v>
      </c>
      <c r="U6103">
        <v>-0.12059019999999999</v>
      </c>
      <c r="V6103">
        <v>-9.8538550000000003E-2</v>
      </c>
      <c r="W6103">
        <v>0.16931860000000001</v>
      </c>
      <c r="X6103">
        <v>0.98062289999999996</v>
      </c>
      <c r="Y6103">
        <v>4.4285929999999998E-3</v>
      </c>
      <c r="Z6103">
        <v>1.1597510000000001E-3</v>
      </c>
      <c r="AA6103">
        <v>0.99998949999999998</v>
      </c>
      <c r="AB6103">
        <v>23</v>
      </c>
      <c r="AC6103">
        <v>21.347300000000001</v>
      </c>
      <c r="AD6103">
        <v>-1.1111760154729999</v>
      </c>
      <c r="AE6103">
        <v>-0.838799999999992</v>
      </c>
      <c r="AF6103">
        <v>9.6322119286850305E-2</v>
      </c>
      <c r="AG6103">
        <v>-1.1111760154729999</v>
      </c>
      <c r="AH6103">
        <v>21.3059166700709</v>
      </c>
      <c r="AI6103">
        <v>92.9854344716735</v>
      </c>
      <c r="AJ6103">
        <v>89.740972735621796</v>
      </c>
      <c r="AK6103">
        <v>21.3350902327605</v>
      </c>
      <c r="AL6103">
        <v>80.251796143495</v>
      </c>
      <c r="AM6103">
        <v>95.738143189240006</v>
      </c>
      <c r="AN6103">
        <v>0.99999995307323497</v>
      </c>
    </row>
    <row r="6104" spans="1:40" x14ac:dyDescent="0.25">
      <c r="A6104" t="str">
        <f>"20190304155542513"</f>
        <v>20190304155542513</v>
      </c>
      <c r="B6104" t="str">
        <f>"1551686142504335"</f>
        <v>1551686142504335</v>
      </c>
      <c r="C6104" t="s">
        <v>40</v>
      </c>
      <c r="D6104">
        <v>4.6937239999999996</v>
      </c>
      <c r="E6104">
        <v>0.54030719999999899</v>
      </c>
      <c r="F6104" t="s">
        <v>46</v>
      </c>
      <c r="G6104">
        <v>-127.9272</v>
      </c>
      <c r="H6104" s="1">
        <v>-1.450526E-6</v>
      </c>
      <c r="I6104">
        <v>136.76339999999999</v>
      </c>
      <c r="J6104">
        <v>-147.55410000000001</v>
      </c>
      <c r="K6104">
        <v>1.111254</v>
      </c>
      <c r="L6104">
        <v>137.6343</v>
      </c>
      <c r="M6104">
        <v>0.99933340000000004</v>
      </c>
      <c r="N6104">
        <v>-1.3747799999999999E-2</v>
      </c>
      <c r="O6104">
        <v>-3.3820389999999999E-2</v>
      </c>
      <c r="P6104">
        <v>0.98582729999999996</v>
      </c>
      <c r="Q6104">
        <v>0.15563959999999999</v>
      </c>
      <c r="R6104">
        <v>6.2620220000000004E-2</v>
      </c>
      <c r="S6104">
        <v>3.0797270000000001</v>
      </c>
      <c r="T6104">
        <v>-0.17244679999999901</v>
      </c>
      <c r="U6104">
        <v>-0.1361694</v>
      </c>
      <c r="V6104">
        <v>-9.6187460000000002E-2</v>
      </c>
      <c r="W6104">
        <v>0.16899429999999999</v>
      </c>
      <c r="X6104">
        <v>0.98091229999999996</v>
      </c>
      <c r="Y6104">
        <v>1.0365650000000001E-2</v>
      </c>
      <c r="Z6104">
        <v>1.0648879999999999E-3</v>
      </c>
      <c r="AA6104">
        <v>0.99994570000000005</v>
      </c>
      <c r="AB6104">
        <v>23</v>
      </c>
      <c r="AC6104">
        <v>19.626899999999999</v>
      </c>
      <c r="AD6104">
        <v>-1.1112554505259999</v>
      </c>
      <c r="AE6104">
        <v>-0.870900000000006</v>
      </c>
      <c r="AF6104">
        <v>0.205890829375728</v>
      </c>
      <c r="AG6104">
        <v>-1.1112554505259999</v>
      </c>
      <c r="AH6104">
        <v>19.582474420372801</v>
      </c>
      <c r="AI6104">
        <v>93.247726760511995</v>
      </c>
      <c r="AJ6104">
        <v>89.397612341950193</v>
      </c>
      <c r="AK6104">
        <v>19.615060135888001</v>
      </c>
      <c r="AL6104">
        <v>80.270649511409999</v>
      </c>
      <c r="AM6104">
        <v>95.600472558953001</v>
      </c>
      <c r="AN6104">
        <v>1.0000000205925099</v>
      </c>
    </row>
    <row r="6105" spans="1:40" x14ac:dyDescent="0.25">
      <c r="A6105" t="str">
        <f>"20190304155542553"</f>
        <v>20190304155542553</v>
      </c>
      <c r="B6105" t="str">
        <f>"1551686142544353"</f>
        <v>1551686142544353</v>
      </c>
      <c r="C6105" t="s">
        <v>40</v>
      </c>
      <c r="D6105">
        <v>4.9462760000000001</v>
      </c>
      <c r="E6105">
        <v>0.54115749999999996</v>
      </c>
      <c r="F6105" t="s">
        <v>46</v>
      </c>
      <c r="G6105">
        <v>-128.35149999999999</v>
      </c>
      <c r="H6105" s="1">
        <v>-1.3274289999999999E-6</v>
      </c>
      <c r="I6105">
        <v>136.68340000000001</v>
      </c>
      <c r="J6105">
        <v>-147.1465</v>
      </c>
      <c r="K6105">
        <v>1.1114200000000001</v>
      </c>
      <c r="L6105">
        <v>137.62289999999999</v>
      </c>
      <c r="M6105">
        <v>0.99939750000000005</v>
      </c>
      <c r="N6105">
        <v>-1.374561E-2</v>
      </c>
      <c r="O6105">
        <v>-3.1874939999999997E-2</v>
      </c>
      <c r="P6105">
        <v>0.98607679999999998</v>
      </c>
      <c r="Q6105">
        <v>0.15600929999999999</v>
      </c>
      <c r="R6105">
        <v>5.7564169999999998E-2</v>
      </c>
      <c r="S6105">
        <v>3.0809479999999998</v>
      </c>
      <c r="T6105">
        <v>-0.17829410000000001</v>
      </c>
      <c r="U6105">
        <v>-0.1525726</v>
      </c>
      <c r="V6105">
        <v>-8.9269119999999993E-2</v>
      </c>
      <c r="W6105">
        <v>0.16935899999999901</v>
      </c>
      <c r="X6105">
        <v>0.98150320000000002</v>
      </c>
      <c r="Y6105">
        <v>1.7591200000000001E-2</v>
      </c>
      <c r="Z6105">
        <v>7.7420789999999896E-4</v>
      </c>
      <c r="AA6105">
        <v>0.99984499999999998</v>
      </c>
      <c r="AB6105">
        <v>23</v>
      </c>
      <c r="AC6105">
        <v>18.795000000000002</v>
      </c>
      <c r="AD6105">
        <v>-1.1114213274289999</v>
      </c>
      <c r="AE6105">
        <v>-0.93949999999998102</v>
      </c>
      <c r="AF6105">
        <v>0.33869510752944199</v>
      </c>
      <c r="AG6105">
        <v>-1.1114213274289999</v>
      </c>
      <c r="AH6105">
        <v>18.749995263726099</v>
      </c>
      <c r="AI6105">
        <v>93.391732885716607</v>
      </c>
      <c r="AJ6105">
        <v>88.965136276211197</v>
      </c>
      <c r="AK6105">
        <v>18.785960026910502</v>
      </c>
      <c r="AL6105">
        <v>80.249447829259196</v>
      </c>
      <c r="AM6105">
        <v>95.196834889502</v>
      </c>
      <c r="AN6105">
        <v>0.99999998913840704</v>
      </c>
    </row>
    <row r="6106" spans="1:40" x14ac:dyDescent="0.25">
      <c r="A6106" t="str">
        <f>"20190304155542578"</f>
        <v>20190304155542578</v>
      </c>
      <c r="B6106" t="str">
        <f>"1551686142574606"</f>
        <v>1551686142574606</v>
      </c>
      <c r="C6106" t="s">
        <v>40</v>
      </c>
      <c r="D6106">
        <v>4.9619980000000004</v>
      </c>
      <c r="E6106">
        <v>0.5408598</v>
      </c>
      <c r="F6106" t="s">
        <v>46</v>
      </c>
      <c r="G6106">
        <v>-128.37209999999999</v>
      </c>
      <c r="H6106" s="1">
        <v>-1.3516760000000001E-6</v>
      </c>
      <c r="I6106">
        <v>136.5658</v>
      </c>
      <c r="J6106">
        <v>-146.8784</v>
      </c>
      <c r="K6106">
        <v>1.1115219999999999</v>
      </c>
      <c r="L6106">
        <v>137.61600000000001</v>
      </c>
      <c r="M6106">
        <v>0.99944230000000001</v>
      </c>
      <c r="N6106">
        <v>-1.374452E-2</v>
      </c>
      <c r="O6106">
        <v>-3.043647E-2</v>
      </c>
      <c r="P6106">
        <v>0.98631080000000004</v>
      </c>
      <c r="Q6106">
        <v>0.15559239999999999</v>
      </c>
      <c r="R6106">
        <v>5.4611859999999998E-2</v>
      </c>
      <c r="S6106">
        <v>3.081375</v>
      </c>
      <c r="T6106">
        <v>-0.1824143</v>
      </c>
      <c r="U6106">
        <v>-0.17349239999999999</v>
      </c>
      <c r="V6106">
        <v>-8.4936880000000006E-2</v>
      </c>
      <c r="W6106">
        <v>0.1689407</v>
      </c>
      <c r="X6106">
        <v>0.98195960000000004</v>
      </c>
      <c r="Y6106">
        <v>2.577312E-2</v>
      </c>
      <c r="Z6106">
        <v>4.4127609999999997E-4</v>
      </c>
      <c r="AA6106">
        <v>0.99966770000000005</v>
      </c>
      <c r="AB6106">
        <v>23</v>
      </c>
      <c r="AC6106">
        <v>18.5063</v>
      </c>
      <c r="AD6106">
        <v>-1.1115233516759999</v>
      </c>
      <c r="AE6106">
        <v>-1.05020000000001</v>
      </c>
      <c r="AF6106">
        <v>0.48465102191208098</v>
      </c>
      <c r="AG6106">
        <v>-1.1115233516759999</v>
      </c>
      <c r="AH6106">
        <v>18.4633005995674</v>
      </c>
      <c r="AI6106">
        <v>93.443965807678495</v>
      </c>
      <c r="AJ6106">
        <v>88.496364028212696</v>
      </c>
      <c r="AK6106">
        <v>18.5030764956628</v>
      </c>
      <c r="AL6106">
        <v>80.273764622372298</v>
      </c>
      <c r="AM6106">
        <v>94.943627186291295</v>
      </c>
      <c r="AN6106">
        <v>0.99999994486638999</v>
      </c>
    </row>
    <row r="6107" spans="1:40" x14ac:dyDescent="0.25">
      <c r="A6107" t="str">
        <f>"20190304155542603"</f>
        <v>20190304155542603</v>
      </c>
      <c r="B6107" t="str">
        <f>"1551686142594127"</f>
        <v>1551686142594127</v>
      </c>
      <c r="C6107" t="s">
        <v>40</v>
      </c>
      <c r="D6107">
        <v>4.9305890000000003</v>
      </c>
      <c r="E6107">
        <v>0.54072830000000005</v>
      </c>
      <c r="F6107" t="s">
        <v>46</v>
      </c>
      <c r="G6107">
        <v>-128.06979999999999</v>
      </c>
      <c r="H6107" s="1">
        <v>-1.4681120000000001E-6</v>
      </c>
      <c r="I6107">
        <v>136.51480000000001</v>
      </c>
      <c r="J6107">
        <v>-146.62430000000001</v>
      </c>
      <c r="K6107">
        <v>1.1116010000000001</v>
      </c>
      <c r="L6107">
        <v>137.60990000000001</v>
      </c>
      <c r="M6107">
        <v>0.99948619999999999</v>
      </c>
      <c r="N6107">
        <v>-1.374359E-2</v>
      </c>
      <c r="O6107">
        <v>-2.895592E-2</v>
      </c>
      <c r="P6107">
        <v>0.98642669999999999</v>
      </c>
      <c r="Q6107">
        <v>0.15556489999999901</v>
      </c>
      <c r="R6107">
        <v>5.2554799999999999E-2</v>
      </c>
      <c r="S6107">
        <v>3.0803379999999998</v>
      </c>
      <c r="T6107">
        <v>-0.1820378</v>
      </c>
      <c r="U6107">
        <v>-0.1803284</v>
      </c>
      <c r="V6107">
        <v>-8.1451220000000005E-2</v>
      </c>
      <c r="W6107">
        <v>0.16891110000000001</v>
      </c>
      <c r="X6107">
        <v>0.98226000000000002</v>
      </c>
      <c r="Y6107">
        <v>2.9474449999999999E-2</v>
      </c>
      <c r="Z6107">
        <v>2.3784939999999999E-4</v>
      </c>
      <c r="AA6107">
        <v>0.9995655</v>
      </c>
      <c r="AB6107">
        <v>23</v>
      </c>
      <c r="AC6107">
        <v>18.554500000000001</v>
      </c>
      <c r="AD6107">
        <v>-1.111602468112</v>
      </c>
      <c r="AE6107">
        <v>-1.0951</v>
      </c>
      <c r="AF6107">
        <v>0.55534103564241399</v>
      </c>
      <c r="AG6107">
        <v>-1.111602468112</v>
      </c>
      <c r="AH6107">
        <v>18.512217223822699</v>
      </c>
      <c r="AI6107">
        <v>93.434770169226198</v>
      </c>
      <c r="AJ6107">
        <v>88.281720791995198</v>
      </c>
      <c r="AK6107">
        <v>18.553874265365199</v>
      </c>
      <c r="AL6107">
        <v>80.275485692825498</v>
      </c>
      <c r="AM6107">
        <v>94.740250613767302</v>
      </c>
      <c r="AN6107">
        <v>0.99999998427134895</v>
      </c>
    </row>
    <row r="6108" spans="1:40" x14ac:dyDescent="0.25">
      <c r="A6108" t="str">
        <f>"20190304155542642"</f>
        <v>20190304155542642</v>
      </c>
      <c r="B6108" t="str">
        <f>"1551686142634142"</f>
        <v>1551686142634142</v>
      </c>
      <c r="C6108" t="s">
        <v>40</v>
      </c>
      <c r="D6108">
        <v>4.9663680000000001</v>
      </c>
      <c r="E6108">
        <v>0.540377</v>
      </c>
      <c r="F6108" t="s">
        <v>46</v>
      </c>
      <c r="G6108">
        <v>-127.771</v>
      </c>
      <c r="H6108" s="1">
        <v>-1.581721E-6</v>
      </c>
      <c r="I6108">
        <v>136.4701</v>
      </c>
      <c r="J6108">
        <v>-146.21950000000001</v>
      </c>
      <c r="K6108">
        <v>1.1116729999999999</v>
      </c>
      <c r="L6108">
        <v>137.60130000000001</v>
      </c>
      <c r="M6108">
        <v>0.99955760000000005</v>
      </c>
      <c r="N6108">
        <v>-1.374216E-2</v>
      </c>
      <c r="O6108">
        <v>-2.6377500000000002E-2</v>
      </c>
      <c r="P6108">
        <v>0.98625110000000005</v>
      </c>
      <c r="Q6108">
        <v>0.15661410000000001</v>
      </c>
      <c r="R6108">
        <v>5.27346E-2</v>
      </c>
      <c r="S6108">
        <v>3.0798489999999998</v>
      </c>
      <c r="T6108">
        <v>-0.18158959999999999</v>
      </c>
      <c r="U6108">
        <v>-0.18618770000000001</v>
      </c>
      <c r="V6108">
        <v>-7.9124330000000007E-2</v>
      </c>
      <c r="W6108">
        <v>0.1699473</v>
      </c>
      <c r="X6108">
        <v>0.98227149999999996</v>
      </c>
      <c r="Y6108">
        <v>3.3944799999999997E-2</v>
      </c>
      <c r="Z6108" s="1">
        <v>-4.2643050000000002E-5</v>
      </c>
      <c r="AA6108">
        <v>0.99942370000000003</v>
      </c>
      <c r="AB6108">
        <v>23</v>
      </c>
      <c r="AC6108">
        <v>18.448499999999999</v>
      </c>
      <c r="AD6108">
        <v>-1.1116745817210001</v>
      </c>
      <c r="AE6108">
        <v>-1.1312</v>
      </c>
      <c r="AF6108">
        <v>0.64181333523127004</v>
      </c>
      <c r="AG6108">
        <v>-1.1116745817210001</v>
      </c>
      <c r="AH6108">
        <v>18.4053401970381</v>
      </c>
      <c r="AI6108">
        <v>93.454346710801204</v>
      </c>
      <c r="AJ6108">
        <v>88.002845883618605</v>
      </c>
      <c r="AK6108">
        <v>18.450048577215998</v>
      </c>
      <c r="AL6108">
        <v>80.215245235225794</v>
      </c>
      <c r="AM6108">
        <v>94.605368978203202</v>
      </c>
      <c r="AN6108">
        <v>1.0000000220437399</v>
      </c>
    </row>
    <row r="6109" spans="1:40" x14ac:dyDescent="0.25">
      <c r="A6109" t="str">
        <f>"20190304155542671"</f>
        <v>20190304155542671</v>
      </c>
      <c r="B6109" t="str">
        <f>"1551686142663854"</f>
        <v>1551686142663854</v>
      </c>
      <c r="C6109" t="s">
        <v>40</v>
      </c>
      <c r="D6109">
        <v>5.0095599999999996</v>
      </c>
      <c r="E6109">
        <v>0.54047349999999905</v>
      </c>
      <c r="F6109" t="s">
        <v>46</v>
      </c>
      <c r="G6109">
        <v>-126.6379</v>
      </c>
      <c r="H6109" s="1">
        <v>-1.9897580000000001E-6</v>
      </c>
      <c r="I6109">
        <v>136.43029999999999</v>
      </c>
      <c r="J6109">
        <v>-145.9222</v>
      </c>
      <c r="K6109">
        <v>1.111696</v>
      </c>
      <c r="L6109">
        <v>137.5958</v>
      </c>
      <c r="M6109">
        <v>0.99960890000000002</v>
      </c>
      <c r="N6109">
        <v>-1.374091E-2</v>
      </c>
      <c r="O6109">
        <v>-2.4360179999999999E-2</v>
      </c>
      <c r="P6109">
        <v>0.98625879999999999</v>
      </c>
      <c r="Q6109">
        <v>0.15582019999999999</v>
      </c>
      <c r="R6109">
        <v>5.4900299999999999E-2</v>
      </c>
      <c r="S6109">
        <v>3.079437</v>
      </c>
      <c r="T6109">
        <v>-0.17482439999999999</v>
      </c>
      <c r="U6109">
        <v>-0.1841431</v>
      </c>
      <c r="V6109">
        <v>-7.9319970000000004E-2</v>
      </c>
      <c r="W6109">
        <v>0.16914419999999999</v>
      </c>
      <c r="X6109">
        <v>0.98239430000000005</v>
      </c>
      <c r="Y6109">
        <v>3.5306289999999997E-2</v>
      </c>
      <c r="Z6109">
        <v>-1.976007E-4</v>
      </c>
      <c r="AA6109">
        <v>0.9993765</v>
      </c>
      <c r="AB6109">
        <v>23</v>
      </c>
      <c r="AC6109">
        <v>19.284300000000002</v>
      </c>
      <c r="AD6109">
        <v>-1.1116979897579999</v>
      </c>
      <c r="AE6109">
        <v>-1.1655</v>
      </c>
      <c r="AF6109">
        <v>0.69304593959600302</v>
      </c>
      <c r="AG6109">
        <v>-1.1116979897579999</v>
      </c>
      <c r="AH6109">
        <v>19.2432528909697</v>
      </c>
      <c r="AI6109">
        <v>93.304210175574198</v>
      </c>
      <c r="AJ6109">
        <v>87.937383430148103</v>
      </c>
      <c r="AK6109">
        <v>19.287793210231001</v>
      </c>
      <c r="AL6109">
        <v>80.2619351206354</v>
      </c>
      <c r="AM6109">
        <v>94.616132288340197</v>
      </c>
      <c r="AN6109">
        <v>0.99999998935346501</v>
      </c>
    </row>
    <row r="6110" spans="1:40" x14ac:dyDescent="0.25">
      <c r="A6110" t="str">
        <f>"20190304155542696"</f>
        <v>20190304155542696</v>
      </c>
      <c r="B6110" t="str">
        <f>"1551686142684351"</f>
        <v>1551686142684351</v>
      </c>
      <c r="C6110" t="s">
        <v>40</v>
      </c>
      <c r="D6110">
        <v>4.855963</v>
      </c>
      <c r="E6110">
        <v>0.54040299999999997</v>
      </c>
      <c r="F6110" t="s">
        <v>46</v>
      </c>
      <c r="G6110">
        <v>-126.3729</v>
      </c>
      <c r="H6110" s="1">
        <v>-2.096524E-6</v>
      </c>
      <c r="I6110">
        <v>136.46940000000001</v>
      </c>
      <c r="J6110">
        <v>-145.67449999999999</v>
      </c>
      <c r="K6110">
        <v>1.111704</v>
      </c>
      <c r="L6110">
        <v>137.59180000000001</v>
      </c>
      <c r="M6110">
        <v>0.99964960000000003</v>
      </c>
      <c r="N6110">
        <v>-1.373956E-2</v>
      </c>
      <c r="O6110">
        <v>-2.262958E-2</v>
      </c>
      <c r="P6110">
        <v>0.98625149999999995</v>
      </c>
      <c r="Q6110">
        <v>0.1548107</v>
      </c>
      <c r="R6110">
        <v>5.7809230000000003E-2</v>
      </c>
      <c r="S6110">
        <v>3.0793460000000001</v>
      </c>
      <c r="T6110">
        <v>-0.17511119999999999</v>
      </c>
      <c r="U6110">
        <v>-0.17742920000000001</v>
      </c>
      <c r="V6110">
        <v>-8.0530539999999998E-2</v>
      </c>
      <c r="W6110">
        <v>0.16812659999999999</v>
      </c>
      <c r="X6110">
        <v>0.98247050000000002</v>
      </c>
      <c r="Y6110">
        <v>3.4865930000000003E-2</v>
      </c>
      <c r="Z6110">
        <v>-2.5579040000000002E-4</v>
      </c>
      <c r="AA6110">
        <v>0.99939199999999995</v>
      </c>
      <c r="AB6110">
        <v>23</v>
      </c>
      <c r="AC6110">
        <v>19.301600000000001</v>
      </c>
      <c r="AD6110">
        <v>-1.111706096524</v>
      </c>
      <c r="AE6110">
        <v>-1.1223999999999901</v>
      </c>
      <c r="AF6110">
        <v>0.68302601701367005</v>
      </c>
      <c r="AG6110">
        <v>-1.111706096524</v>
      </c>
      <c r="AH6110">
        <v>19.2583863115679</v>
      </c>
      <c r="AI6110">
        <v>93.301707975695805</v>
      </c>
      <c r="AJ6110">
        <v>87.9687752055423</v>
      </c>
      <c r="AK6110">
        <v>19.302535022907101</v>
      </c>
      <c r="AL6110">
        <v>80.321086572957697</v>
      </c>
      <c r="AM6110">
        <v>94.685909753885099</v>
      </c>
      <c r="AN6110">
        <v>1.00000000243525</v>
      </c>
    </row>
    <row r="6111" spans="1:40" x14ac:dyDescent="0.25">
      <c r="A6111" t="str">
        <f>"20190304155542716"</f>
        <v>20190304155542716</v>
      </c>
      <c r="B6111" t="str">
        <f>"1551686142714607"</f>
        <v>1551686142714607</v>
      </c>
      <c r="C6111" t="s">
        <v>40</v>
      </c>
      <c r="D6111">
        <v>4.9581540000000004</v>
      </c>
      <c r="E6111">
        <v>0.54012590000000005</v>
      </c>
      <c r="F6111" t="s">
        <v>46</v>
      </c>
      <c r="G6111">
        <v>-126.3732</v>
      </c>
      <c r="H6111" s="1">
        <v>-2.0838930000000001E-6</v>
      </c>
      <c r="I6111">
        <v>136.53989999999999</v>
      </c>
      <c r="J6111">
        <v>-145.46279999999999</v>
      </c>
      <c r="K6111">
        <v>1.1117030000000001</v>
      </c>
      <c r="L6111">
        <v>137.58869999999999</v>
      </c>
      <c r="M6111">
        <v>0.99968259999999998</v>
      </c>
      <c r="N6111">
        <v>-1.373829E-2</v>
      </c>
      <c r="O6111">
        <v>-2.1116550000000001E-2</v>
      </c>
      <c r="P6111">
        <v>0.98619749999999995</v>
      </c>
      <c r="Q6111">
        <v>0.15344530000000001</v>
      </c>
      <c r="R6111">
        <v>6.2202819999999999E-2</v>
      </c>
      <c r="S6111">
        <v>3.0795140000000001</v>
      </c>
      <c r="T6111">
        <v>-0.17737149999999999</v>
      </c>
      <c r="U6111">
        <v>-0.1678162</v>
      </c>
      <c r="V6111">
        <v>-8.3434380000000002E-2</v>
      </c>
      <c r="W6111">
        <v>0.16675019999999999</v>
      </c>
      <c r="X6111">
        <v>0.98246279999999997</v>
      </c>
      <c r="Y6111">
        <v>3.3266339999999998E-2</v>
      </c>
      <c r="Z6111">
        <v>-2.6112139999999998E-4</v>
      </c>
      <c r="AA6111">
        <v>0.99944650000000002</v>
      </c>
      <c r="AB6111">
        <v>23</v>
      </c>
      <c r="AC6111">
        <v>19.089599999999901</v>
      </c>
      <c r="AD6111">
        <v>-1.111705083893</v>
      </c>
      <c r="AE6111">
        <v>-1.0488</v>
      </c>
      <c r="AF6111">
        <v>0.64324657166612198</v>
      </c>
      <c r="AG6111">
        <v>-1.111705083893</v>
      </c>
      <c r="AH6111">
        <v>19.043102354940999</v>
      </c>
      <c r="AI6111">
        <v>93.339141525881402</v>
      </c>
      <c r="AJ6111">
        <v>88.065372672143198</v>
      </c>
      <c r="AK6111">
        <v>19.086366905366599</v>
      </c>
      <c r="AL6111">
        <v>80.401078119085099</v>
      </c>
      <c r="AM6111">
        <v>94.854122808340307</v>
      </c>
      <c r="AN6111">
        <v>1.00000003917493</v>
      </c>
    </row>
    <row r="6112" spans="1:40" x14ac:dyDescent="0.25">
      <c r="A6112" t="str">
        <f>"20190304155542737"</f>
        <v>20190304155542737</v>
      </c>
      <c r="B6112" t="str">
        <f>"1551686142734127"</f>
        <v>1551686142734127</v>
      </c>
      <c r="C6112" t="s">
        <v>40</v>
      </c>
      <c r="D6112">
        <v>4.908029</v>
      </c>
      <c r="E6112">
        <v>0.53991999999999996</v>
      </c>
      <c r="F6112" t="s">
        <v>46</v>
      </c>
      <c r="G6112">
        <v>-126.44410000000001</v>
      </c>
      <c r="H6112" s="1">
        <v>-2.0344259999999998E-6</v>
      </c>
      <c r="I6112">
        <v>136.6473</v>
      </c>
      <c r="J6112">
        <v>-145.25450000000001</v>
      </c>
      <c r="K6112">
        <v>1.1116919999999999</v>
      </c>
      <c r="L6112">
        <v>137.58600000000001</v>
      </c>
      <c r="M6112">
        <v>0.99971339999999997</v>
      </c>
      <c r="N6112">
        <v>-1.3736989999999999E-2</v>
      </c>
      <c r="O6112">
        <v>-1.9606559999999999E-2</v>
      </c>
      <c r="P6112">
        <v>0.98614630000000003</v>
      </c>
      <c r="Q6112">
        <v>0.15184510000000001</v>
      </c>
      <c r="R6112">
        <v>6.6772499999999999E-2</v>
      </c>
      <c r="S6112">
        <v>3.0796049999999999</v>
      </c>
      <c r="T6112">
        <v>-0.18001220000000001</v>
      </c>
      <c r="U6112">
        <v>-0.1524353</v>
      </c>
      <c r="V6112">
        <v>-8.6515519999999999E-2</v>
      </c>
      <c r="W6112">
        <v>0.16513820000000001</v>
      </c>
      <c r="X6112">
        <v>0.98246849999999997</v>
      </c>
      <c r="Y6112">
        <v>2.9800690000000001E-2</v>
      </c>
      <c r="Z6112">
        <v>-1.995926E-4</v>
      </c>
      <c r="AA6112">
        <v>0.99955579999999999</v>
      </c>
      <c r="AB6112">
        <v>23</v>
      </c>
      <c r="AC6112">
        <v>18.810400000000001</v>
      </c>
      <c r="AD6112">
        <v>-1.111694034426</v>
      </c>
      <c r="AE6112">
        <v>-0.93870000000001097</v>
      </c>
      <c r="AF6112">
        <v>0.56769954539103695</v>
      </c>
      <c r="AG6112">
        <v>-1.111694034426</v>
      </c>
      <c r="AH6112">
        <v>18.759828192220301</v>
      </c>
      <c r="AI6112">
        <v>93.389792843824395</v>
      </c>
      <c r="AJ6112">
        <v>88.266675779596497</v>
      </c>
      <c r="AK6112">
        <v>18.801311129855801</v>
      </c>
      <c r="AL6112">
        <v>80.4947367075345</v>
      </c>
      <c r="AM6112">
        <v>95.032446924628104</v>
      </c>
      <c r="AN6112">
        <v>0.99999995689617904</v>
      </c>
    </row>
    <row r="6113" spans="1:40" x14ac:dyDescent="0.25">
      <c r="A6113" t="str">
        <f>"20190304155542757"</f>
        <v>20190304155542757</v>
      </c>
      <c r="B6113" t="str">
        <f>"1551686142754622"</f>
        <v>1551686142754622</v>
      </c>
      <c r="C6113" t="s">
        <v>40</v>
      </c>
      <c r="D6113">
        <v>4.8994580000000001</v>
      </c>
      <c r="E6113">
        <v>0.53975030000000002</v>
      </c>
      <c r="F6113" t="s">
        <v>46</v>
      </c>
      <c r="G6113">
        <v>-126.70359999999999</v>
      </c>
      <c r="H6113" s="1">
        <v>-1.901748E-6</v>
      </c>
      <c r="I6113">
        <v>136.76759999999999</v>
      </c>
      <c r="J6113">
        <v>-145.04069999999999</v>
      </c>
      <c r="K6113">
        <v>1.111685</v>
      </c>
      <c r="L6113">
        <v>137.58359999999999</v>
      </c>
      <c r="M6113">
        <v>0.99974280000000004</v>
      </c>
      <c r="N6113">
        <v>-1.3735549999999999E-2</v>
      </c>
      <c r="O6113">
        <v>-1.8047759999999999E-2</v>
      </c>
      <c r="P6113">
        <v>0.98627869999999995</v>
      </c>
      <c r="Q6113">
        <v>0.14933940000000001</v>
      </c>
      <c r="R6113">
        <v>7.0372149999999994E-2</v>
      </c>
      <c r="S6113">
        <v>3.079758</v>
      </c>
      <c r="T6113">
        <v>-0.18455969999999999</v>
      </c>
      <c r="U6113">
        <v>-0.13586429999999999</v>
      </c>
      <c r="V6113">
        <v>-8.8577539999999996E-2</v>
      </c>
      <c r="W6113">
        <v>0.1626273</v>
      </c>
      <c r="X6113">
        <v>0.98270360000000001</v>
      </c>
      <c r="Y6113">
        <v>2.5995219999999999E-2</v>
      </c>
      <c r="Z6113">
        <v>-1.2440239999999999E-4</v>
      </c>
      <c r="AA6113">
        <v>0.99966200000000005</v>
      </c>
      <c r="AB6113">
        <v>23</v>
      </c>
      <c r="AC6113">
        <v>18.3370999999999</v>
      </c>
      <c r="AD6113">
        <v>-1.111686901748</v>
      </c>
      <c r="AE6113">
        <v>-0.81600000000000195</v>
      </c>
      <c r="AF6113">
        <v>0.48312012877024002</v>
      </c>
      <c r="AG6113">
        <v>-1.111686901748</v>
      </c>
      <c r="AH6113">
        <v>18.2817812411689</v>
      </c>
      <c r="AI6113">
        <v>93.478571681669195</v>
      </c>
      <c r="AJ6113">
        <v>88.486235936625903</v>
      </c>
      <c r="AK6113">
        <v>18.321920701069999</v>
      </c>
      <c r="AL6113">
        <v>80.640572788659995</v>
      </c>
      <c r="AM6113">
        <v>95.150526947976601</v>
      </c>
      <c r="AN6113">
        <v>0.99999999237534998</v>
      </c>
    </row>
    <row r="6114" spans="1:40" x14ac:dyDescent="0.25">
      <c r="A6114" t="str">
        <f>"20190304155542780"</f>
        <v>20190304155542780</v>
      </c>
      <c r="B6114" t="str">
        <f>"1551686142774143"</f>
        <v>1551686142774143</v>
      </c>
      <c r="C6114" t="s">
        <v>40</v>
      </c>
      <c r="D6114">
        <v>4.9028650000000003</v>
      </c>
      <c r="E6114">
        <v>0.53958349999999999</v>
      </c>
      <c r="F6114" t="s">
        <v>46</v>
      </c>
      <c r="G6114">
        <v>-127.1163</v>
      </c>
      <c r="H6114" s="1">
        <v>-1.7076289999999999E-6</v>
      </c>
      <c r="I6114">
        <v>136.8639</v>
      </c>
      <c r="J6114">
        <v>-144.80269999999999</v>
      </c>
      <c r="K6114">
        <v>1.1116680000000001</v>
      </c>
      <c r="L6114">
        <v>137.5813</v>
      </c>
      <c r="M6114">
        <v>0.99977280000000002</v>
      </c>
      <c r="N6114">
        <v>-1.373373E-2</v>
      </c>
      <c r="O6114">
        <v>-1.630856E-2</v>
      </c>
      <c r="P6114">
        <v>0.98620430000000003</v>
      </c>
      <c r="Q6114">
        <v>0.14800459999999999</v>
      </c>
      <c r="R6114">
        <v>7.4134069999999996E-2</v>
      </c>
      <c r="S6114">
        <v>3.0794980000000001</v>
      </c>
      <c r="T6114">
        <v>-0.19099240000000001</v>
      </c>
      <c r="U6114">
        <v>-0.123642</v>
      </c>
      <c r="V6114">
        <v>-9.0620930000000002E-2</v>
      </c>
      <c r="W6114">
        <v>0.16128619999999999</v>
      </c>
      <c r="X6114">
        <v>0.98273829999999995</v>
      </c>
      <c r="Y6114">
        <v>2.377862E-2</v>
      </c>
      <c r="Z6114">
        <v>-1.137103E-4</v>
      </c>
      <c r="AA6114">
        <v>0.99971719999999997</v>
      </c>
      <c r="AB6114">
        <v>23</v>
      </c>
      <c r="AC6114">
        <v>17.6863999999999</v>
      </c>
      <c r="AD6114">
        <v>-1.1116697076289901</v>
      </c>
      <c r="AE6114">
        <v>-0.71739999999999704</v>
      </c>
      <c r="AF6114">
        <v>0.42715290947433199</v>
      </c>
      <c r="AG6114">
        <v>-1.1116697076289901</v>
      </c>
      <c r="AH6114">
        <v>17.626226917392302</v>
      </c>
      <c r="AI6114">
        <v>93.607755124971405</v>
      </c>
      <c r="AJ6114">
        <v>88.611769288514694</v>
      </c>
      <c r="AK6114">
        <v>17.666412892557901</v>
      </c>
      <c r="AL6114">
        <v>80.718440054656298</v>
      </c>
      <c r="AM6114">
        <v>95.268497961692503</v>
      </c>
      <c r="AN6114">
        <v>0.99999997877569702</v>
      </c>
    </row>
    <row r="6115" spans="1:40" x14ac:dyDescent="0.25">
      <c r="A6115" t="str">
        <f>"20190304155542806"</f>
        <v>20190304155542806</v>
      </c>
      <c r="B6115" t="str">
        <f>"1551686142794638"</f>
        <v>1551686142794638</v>
      </c>
      <c r="C6115" t="s">
        <v>40</v>
      </c>
      <c r="D6115">
        <v>4.8902109999999999</v>
      </c>
      <c r="E6115">
        <v>0.53945359999999998</v>
      </c>
      <c r="F6115" t="s">
        <v>46</v>
      </c>
      <c r="G6115">
        <v>-127.1678</v>
      </c>
      <c r="H6115" s="1">
        <v>-1.6701319999999999E-6</v>
      </c>
      <c r="I6115">
        <v>136.95079999999999</v>
      </c>
      <c r="J6115">
        <v>-144.55279999999999</v>
      </c>
      <c r="K6115">
        <v>1.1116490000000001</v>
      </c>
      <c r="L6115">
        <v>137.57939999999999</v>
      </c>
      <c r="M6115">
        <v>0.99980089999999999</v>
      </c>
      <c r="N6115">
        <v>-1.373156E-2</v>
      </c>
      <c r="O6115">
        <v>-1.448268E-2</v>
      </c>
      <c r="P6115">
        <v>0.98598750000000002</v>
      </c>
      <c r="Q6115">
        <v>0.14790639999999999</v>
      </c>
      <c r="R6115">
        <v>7.7151199999999906E-2</v>
      </c>
      <c r="S6115">
        <v>3.0793759999999999</v>
      </c>
      <c r="T6115">
        <v>-0.1941166</v>
      </c>
      <c r="U6115">
        <v>-0.1100922</v>
      </c>
      <c r="V6115">
        <v>-9.1832369999999997E-2</v>
      </c>
      <c r="W6115">
        <v>0.16118270000000001</v>
      </c>
      <c r="X6115">
        <v>0.98264280000000004</v>
      </c>
      <c r="Y6115">
        <v>2.1216390000000002E-2</v>
      </c>
      <c r="Z6115">
        <v>-1.0074029999999999E-4</v>
      </c>
      <c r="AA6115">
        <v>0.99977490000000002</v>
      </c>
      <c r="AB6115">
        <v>23</v>
      </c>
      <c r="AC6115">
        <v>17.384999999999899</v>
      </c>
      <c r="AD6115">
        <v>-1.1116506701319999</v>
      </c>
      <c r="AE6115">
        <v>-0.62860000000000504</v>
      </c>
      <c r="AF6115">
        <v>0.375196874154338</v>
      </c>
      <c r="AG6115">
        <v>-1.1116506701319999</v>
      </c>
      <c r="AH6115">
        <v>17.321550512654301</v>
      </c>
      <c r="AI6115">
        <v>93.671194858941703</v>
      </c>
      <c r="AJ6115">
        <v>88.759127466920205</v>
      </c>
      <c r="AK6115">
        <v>17.361239934671001</v>
      </c>
      <c r="AL6115">
        <v>80.7244486066772</v>
      </c>
      <c r="AM6115">
        <v>95.339039944056097</v>
      </c>
      <c r="AN6115">
        <v>0.99999995967547195</v>
      </c>
    </row>
    <row r="6116" spans="1:40" x14ac:dyDescent="0.25">
      <c r="A6116" t="str">
        <f>"20190304155542832"</f>
        <v>20190304155542832</v>
      </c>
      <c r="B6116" t="str">
        <f>"1551686142823919"</f>
        <v>1551686142823919</v>
      </c>
      <c r="C6116" t="s">
        <v>40</v>
      </c>
      <c r="D6116">
        <v>4.8791330000000004</v>
      </c>
      <c r="E6116">
        <v>0.5392922</v>
      </c>
      <c r="F6116" t="s">
        <v>46</v>
      </c>
      <c r="G6116">
        <v>-126.89190000000001</v>
      </c>
      <c r="H6116" s="1">
        <v>-1.77719E-6</v>
      </c>
      <c r="I6116">
        <v>137.01439999999999</v>
      </c>
      <c r="J6116">
        <v>-144.28039999999999</v>
      </c>
      <c r="K6116">
        <v>1.111615</v>
      </c>
      <c r="L6116">
        <v>137.5779</v>
      </c>
      <c r="M6116">
        <v>0.99982769999999999</v>
      </c>
      <c r="N6116">
        <v>-1.372905E-2</v>
      </c>
      <c r="O6116">
        <v>-1.2497609999999999E-2</v>
      </c>
      <c r="P6116">
        <v>0.9857475</v>
      </c>
      <c r="Q6116">
        <v>0.147949</v>
      </c>
      <c r="R6116">
        <v>8.0082449999999999E-2</v>
      </c>
      <c r="S6116">
        <v>3.079437</v>
      </c>
      <c r="T6116">
        <v>-0.19383320000000001</v>
      </c>
      <c r="U6116">
        <v>-9.8526000000000002E-2</v>
      </c>
      <c r="V6116">
        <v>-9.2800709999999995E-2</v>
      </c>
      <c r="W6116">
        <v>0.16122220000000001</v>
      </c>
      <c r="X6116">
        <v>0.98254540000000001</v>
      </c>
      <c r="Y6116">
        <v>1.945179E-2</v>
      </c>
      <c r="Z6116">
        <v>-1.3096019999999999E-4</v>
      </c>
      <c r="AA6116">
        <v>0.9998108</v>
      </c>
      <c r="AB6116">
        <v>23</v>
      </c>
      <c r="AC6116">
        <v>17.388499999999901</v>
      </c>
      <c r="AD6116">
        <v>-1.1116167771900001</v>
      </c>
      <c r="AE6116">
        <v>-0.563500000000004</v>
      </c>
      <c r="AF6116">
        <v>0.34471351455370203</v>
      </c>
      <c r="AG6116">
        <v>-1.1116167771900001</v>
      </c>
      <c r="AH6116">
        <v>17.323461134631099</v>
      </c>
      <c r="AI6116">
        <v>93.6708134321606</v>
      </c>
      <c r="AJ6116">
        <v>88.860041697491994</v>
      </c>
      <c r="AK6116">
        <v>17.362512057577401</v>
      </c>
      <c r="AL6116">
        <v>80.722155961724596</v>
      </c>
      <c r="AM6116">
        <v>95.395539430049297</v>
      </c>
      <c r="AN6116">
        <v>1.00000001630525</v>
      </c>
    </row>
    <row r="6117" spans="1:40" x14ac:dyDescent="0.25">
      <c r="A6117" t="str">
        <f>"20190304155542867"</f>
        <v>20190304155542867</v>
      </c>
      <c r="B6117" t="str">
        <f>"1551686142864441"</f>
        <v>1551686142864441</v>
      </c>
      <c r="C6117" t="s">
        <v>40</v>
      </c>
      <c r="D6117">
        <v>4.891286</v>
      </c>
      <c r="E6117">
        <v>0.53913330000000004</v>
      </c>
      <c r="F6117" t="s">
        <v>46</v>
      </c>
      <c r="G6117">
        <v>-126.5095</v>
      </c>
      <c r="H6117" s="1">
        <v>-1.9305349999999999E-6</v>
      </c>
      <c r="I6117">
        <v>137.07480000000001</v>
      </c>
      <c r="J6117">
        <v>-143.94110000000001</v>
      </c>
      <c r="K6117">
        <v>1.11158</v>
      </c>
      <c r="L6117">
        <v>137.57669999999999</v>
      </c>
      <c r="M6117">
        <v>0.99985550000000001</v>
      </c>
      <c r="N6117">
        <v>-1.3725889999999999E-2</v>
      </c>
      <c r="O6117">
        <v>-1.003398E-2</v>
      </c>
      <c r="P6117">
        <v>0.98587880000000006</v>
      </c>
      <c r="Q6117">
        <v>0.1458595</v>
      </c>
      <c r="R6117">
        <v>8.2268889999999997E-2</v>
      </c>
      <c r="S6117">
        <v>3.079361</v>
      </c>
      <c r="T6117">
        <v>-0.19262190000000001</v>
      </c>
      <c r="U6117">
        <v>-8.7173459999999994E-2</v>
      </c>
      <c r="V6117">
        <v>-9.2550339999999995E-2</v>
      </c>
      <c r="W6117">
        <v>0.15913849999999999</v>
      </c>
      <c r="X6117">
        <v>0.98290860000000002</v>
      </c>
      <c r="Y6117">
        <v>1.823377E-2</v>
      </c>
      <c r="Z6117">
        <v>-2.0565429999999999E-4</v>
      </c>
      <c r="AA6117">
        <v>0.99983370000000005</v>
      </c>
      <c r="AB6117">
        <v>23</v>
      </c>
      <c r="AC6117">
        <v>17.4316</v>
      </c>
      <c r="AD6117">
        <v>-1.1115819305349901</v>
      </c>
      <c r="AE6117">
        <v>-0.50189999999997703</v>
      </c>
      <c r="AF6117">
        <v>0.32562690576367698</v>
      </c>
      <c r="AG6117">
        <v>-1.1115819305349901</v>
      </c>
      <c r="AH6117">
        <v>17.365203721746401</v>
      </c>
      <c r="AI6117">
        <v>93.661979980526596</v>
      </c>
      <c r="AJ6117">
        <v>88.925733242777795</v>
      </c>
      <c r="AK6117">
        <v>17.403791183756599</v>
      </c>
      <c r="AL6117">
        <v>80.843104509647404</v>
      </c>
      <c r="AM6117">
        <v>95.379091471016594</v>
      </c>
      <c r="AN6117">
        <v>0.99999997178516198</v>
      </c>
    </row>
    <row r="6118" spans="1:40" x14ac:dyDescent="0.25">
      <c r="A6118" t="str">
        <f>"20190304155542893"</f>
        <v>20190304155542893</v>
      </c>
      <c r="B6118" t="str">
        <f>"1551686142883962"</f>
        <v>1551686142883962</v>
      </c>
      <c r="C6118" t="s">
        <v>40</v>
      </c>
      <c r="D6118">
        <v>4.8891900000000001</v>
      </c>
      <c r="E6118">
        <v>0.53910669999999905</v>
      </c>
      <c r="F6118" t="s">
        <v>46</v>
      </c>
      <c r="G6118">
        <v>-126.5967</v>
      </c>
      <c r="H6118" s="1">
        <v>-1.882142E-6</v>
      </c>
      <c r="I6118">
        <v>137.13679999999999</v>
      </c>
      <c r="J6118">
        <v>-143.65880000000001</v>
      </c>
      <c r="K6118">
        <v>1.1115679999999999</v>
      </c>
      <c r="L6118">
        <v>137.5763</v>
      </c>
      <c r="M6118">
        <v>0.99987389999999998</v>
      </c>
      <c r="N6118">
        <v>-1.372317E-2</v>
      </c>
      <c r="O6118">
        <v>-7.994892E-3</v>
      </c>
      <c r="P6118">
        <v>0.98597900000000005</v>
      </c>
      <c r="Q6118">
        <v>0.14472399999999999</v>
      </c>
      <c r="R6118">
        <v>8.3070459999999999E-2</v>
      </c>
      <c r="S6118">
        <v>3.078659</v>
      </c>
      <c r="T6118">
        <v>-0.1973076</v>
      </c>
      <c r="U6118">
        <v>-7.8079220000000005E-2</v>
      </c>
      <c r="V6118">
        <v>-9.1337219999999997E-2</v>
      </c>
      <c r="W6118">
        <v>0.1580095</v>
      </c>
      <c r="X6118">
        <v>0.98320419999999997</v>
      </c>
      <c r="Y6118">
        <v>1.7326379999999999E-2</v>
      </c>
      <c r="Z6118">
        <v>-2.714738E-4</v>
      </c>
      <c r="AA6118">
        <v>0.99984989999999996</v>
      </c>
      <c r="AB6118">
        <v>23</v>
      </c>
      <c r="AC6118">
        <v>17.062100000000001</v>
      </c>
      <c r="AD6118">
        <v>-1.1115698821419999</v>
      </c>
      <c r="AE6118">
        <v>-0.43950000000000899</v>
      </c>
      <c r="AF6118">
        <v>0.30178344430346898</v>
      </c>
      <c r="AG6118">
        <v>-1.1115698821419999</v>
      </c>
      <c r="AH6118">
        <v>16.992992733274999</v>
      </c>
      <c r="AI6118">
        <v>93.741992903950404</v>
      </c>
      <c r="AJ6118">
        <v>88.982574729866599</v>
      </c>
      <c r="AK6118">
        <v>17.031983527565899</v>
      </c>
      <c r="AL6118">
        <v>80.908620624012201</v>
      </c>
      <c r="AM6118">
        <v>95.307402576869904</v>
      </c>
      <c r="AN6118">
        <v>0.999999994372609</v>
      </c>
    </row>
    <row r="6119" spans="1:40" x14ac:dyDescent="0.25">
      <c r="A6119" t="str">
        <f>"20190304155542914"</f>
        <v>20190304155542914</v>
      </c>
      <c r="B6119" t="str">
        <f>"1551686142904457"</f>
        <v>1551686142904457</v>
      </c>
      <c r="C6119" t="s">
        <v>40</v>
      </c>
      <c r="D6119">
        <v>6.5157970000000001</v>
      </c>
      <c r="E6119">
        <v>0.53905630000000004</v>
      </c>
      <c r="F6119" t="s">
        <v>46</v>
      </c>
      <c r="G6119">
        <v>-126.49809999999999</v>
      </c>
      <c r="H6119" s="1">
        <v>-1.921133E-6</v>
      </c>
      <c r="I6119">
        <v>137.15530000000001</v>
      </c>
      <c r="J6119">
        <v>-143.45179999999999</v>
      </c>
      <c r="K6119">
        <v>1.111558</v>
      </c>
      <c r="L6119">
        <v>137.57640000000001</v>
      </c>
      <c r="M6119">
        <v>0.99988480000000002</v>
      </c>
      <c r="N6119">
        <v>-1.372112E-2</v>
      </c>
      <c r="O6119">
        <v>-6.5034890000000003E-3</v>
      </c>
      <c r="P6119">
        <v>0.98601760000000005</v>
      </c>
      <c r="Q6119">
        <v>0.1445505</v>
      </c>
      <c r="R6119">
        <v>8.2913639999999997E-2</v>
      </c>
      <c r="S6119">
        <v>3.0782929999999999</v>
      </c>
      <c r="T6119">
        <v>-0.19939419999999999</v>
      </c>
      <c r="U6119">
        <v>-7.5515750000000006E-2</v>
      </c>
      <c r="V6119">
        <v>-8.9708019999999999E-2</v>
      </c>
      <c r="W6119">
        <v>0.15784139999999999</v>
      </c>
      <c r="X6119">
        <v>0.98338119999999996</v>
      </c>
      <c r="Y6119">
        <v>1.7984449999999999E-2</v>
      </c>
      <c r="Z6119">
        <v>-3.7374270000000001E-4</v>
      </c>
      <c r="AA6119">
        <v>0.99983820000000001</v>
      </c>
      <c r="AB6119">
        <v>23</v>
      </c>
      <c r="AC6119">
        <v>16.953699999999898</v>
      </c>
      <c r="AD6119">
        <v>-1.1115599211330001</v>
      </c>
      <c r="AE6119">
        <v>-0.42109999999999498</v>
      </c>
      <c r="AF6119">
        <v>0.309492924876</v>
      </c>
      <c r="AG6119">
        <v>-1.1115599211330001</v>
      </c>
      <c r="AH6119">
        <v>16.883547776573302</v>
      </c>
      <c r="AI6119">
        <v>93.7661078157807</v>
      </c>
      <c r="AJ6119">
        <v>88.949826611970195</v>
      </c>
      <c r="AK6119">
        <v>16.9229293224504</v>
      </c>
      <c r="AL6119">
        <v>80.918374592280102</v>
      </c>
      <c r="AM6119">
        <v>95.212326554044196</v>
      </c>
      <c r="AN6119">
        <v>1.0000000104598601</v>
      </c>
    </row>
    <row r="6120" spans="1:40" x14ac:dyDescent="0.25">
      <c r="A6120" t="str">
        <f>"20190304155542937"</f>
        <v>20190304155542937</v>
      </c>
      <c r="B6120" t="str">
        <f>"1551686142933737"</f>
        <v>1551686142933737</v>
      </c>
      <c r="C6120" t="s">
        <v>40</v>
      </c>
      <c r="D6120">
        <v>4.8678850000000002</v>
      </c>
      <c r="E6120">
        <v>0.53907680000000002</v>
      </c>
      <c r="F6120" t="s">
        <v>46</v>
      </c>
      <c r="G6120">
        <v>-126.22490000000001</v>
      </c>
      <c r="H6120" s="1">
        <v>-2.0387920000000001E-6</v>
      </c>
      <c r="I6120">
        <v>137.15270000000001</v>
      </c>
      <c r="J6120">
        <v>-143.21459999999999</v>
      </c>
      <c r="K6120">
        <v>1.1115549999999901</v>
      </c>
      <c r="L6120">
        <v>137.57689999999999</v>
      </c>
      <c r="M6120">
        <v>0.99989430000000001</v>
      </c>
      <c r="N6120">
        <v>-1.371872E-2</v>
      </c>
      <c r="O6120">
        <v>-4.8024369999999997E-3</v>
      </c>
      <c r="P6120">
        <v>0.98603459999999998</v>
      </c>
      <c r="Q6120">
        <v>0.14411099999999999</v>
      </c>
      <c r="R6120">
        <v>8.3473950000000005E-2</v>
      </c>
      <c r="S6120">
        <v>3.0780180000000001</v>
      </c>
      <c r="T6120">
        <v>-0.19860849999999999</v>
      </c>
      <c r="U6120">
        <v>-7.5698849999999998E-2</v>
      </c>
      <c r="V6120">
        <v>-8.8587390000000002E-2</v>
      </c>
      <c r="W6120">
        <v>0.15740680000000001</v>
      </c>
      <c r="X6120">
        <v>0.98355239999999999</v>
      </c>
      <c r="Y6120">
        <v>1.9740629999999999E-2</v>
      </c>
      <c r="Z6120">
        <v>-5.280498E-4</v>
      </c>
      <c r="AA6120">
        <v>0.99980500000000005</v>
      </c>
      <c r="AB6120">
        <v>23</v>
      </c>
      <c r="AC6120">
        <v>16.9896999999999</v>
      </c>
      <c r="AD6120">
        <v>-1.11155703879199</v>
      </c>
      <c r="AE6120">
        <v>-0.42419999999998398</v>
      </c>
      <c r="AF6120">
        <v>0.34113614399957098</v>
      </c>
      <c r="AG6120">
        <v>-1.11155703879199</v>
      </c>
      <c r="AH6120">
        <v>16.919164466914999</v>
      </c>
      <c r="AI6120">
        <v>93.758060714250902</v>
      </c>
      <c r="AJ6120">
        <v>88.844918535351596</v>
      </c>
      <c r="AK6120">
        <v>16.959070115361602</v>
      </c>
      <c r="AL6120">
        <v>80.943590233793003</v>
      </c>
      <c r="AM6120">
        <v>95.146675133553003</v>
      </c>
      <c r="AN6120">
        <v>0.99999997494950499</v>
      </c>
    </row>
    <row r="6121" spans="1:40" x14ac:dyDescent="0.25">
      <c r="A6121" t="str">
        <f>"20190304155542977"</f>
        <v>20190304155542977</v>
      </c>
      <c r="B6121" t="str">
        <f>"1551686142973753"</f>
        <v>1551686142973753</v>
      </c>
      <c r="C6121" t="s">
        <v>40</v>
      </c>
      <c r="D6121">
        <v>4.8252579999999998</v>
      </c>
      <c r="E6121">
        <v>0.53911279999999995</v>
      </c>
      <c r="F6121" t="s">
        <v>46</v>
      </c>
      <c r="G6121">
        <v>-125.9442</v>
      </c>
      <c r="H6121" s="1">
        <v>-2.1577449999999999E-6</v>
      </c>
      <c r="I6121">
        <v>137.1611</v>
      </c>
      <c r="J6121">
        <v>-142.81829999999999</v>
      </c>
      <c r="K6121">
        <v>1.111523</v>
      </c>
      <c r="L6121">
        <v>137.57849999999999</v>
      </c>
      <c r="M6121">
        <v>0.99990400000000002</v>
      </c>
      <c r="N6121">
        <v>-1.371401E-2</v>
      </c>
      <c r="O6121">
        <v>-2.0253469999999998E-3</v>
      </c>
      <c r="P6121">
        <v>0.98583639999999995</v>
      </c>
      <c r="Q6121">
        <v>0.1455487</v>
      </c>
      <c r="R6121">
        <v>8.3319089999999998E-2</v>
      </c>
      <c r="S6121">
        <v>3.0776979999999998</v>
      </c>
      <c r="T6121">
        <v>-0.19808700000000001</v>
      </c>
      <c r="U6121">
        <v>-7.4096679999999998E-2</v>
      </c>
      <c r="V6121">
        <v>-8.5683499999999996E-2</v>
      </c>
      <c r="W6121">
        <v>0.15885469999999999</v>
      </c>
      <c r="X6121">
        <v>0.98357689999999998</v>
      </c>
      <c r="Y6121">
        <v>2.199079E-2</v>
      </c>
      <c r="Z6121">
        <v>-7.5541119999999995E-4</v>
      </c>
      <c r="AA6121">
        <v>0.99975789999999998</v>
      </c>
      <c r="AB6121">
        <v>23</v>
      </c>
      <c r="AC6121">
        <v>16.874099999999999</v>
      </c>
      <c r="AD6121">
        <v>-1.111525157745</v>
      </c>
      <c r="AE6121">
        <v>-0.417399999999986</v>
      </c>
      <c r="AF6121">
        <v>0.381565395643232</v>
      </c>
      <c r="AG6121">
        <v>-1.111525157745</v>
      </c>
      <c r="AH6121">
        <v>16.802050036721099</v>
      </c>
      <c r="AI6121">
        <v>93.783865375428704</v>
      </c>
      <c r="AJ6121">
        <v>88.699067693544393</v>
      </c>
      <c r="AK6121">
        <v>16.843098460910699</v>
      </c>
      <c r="AL6121">
        <v>80.859574807962403</v>
      </c>
      <c r="AM6121">
        <v>94.978706250671493</v>
      </c>
      <c r="AN6121">
        <v>0.99999999804897499</v>
      </c>
    </row>
    <row r="6122" spans="1:40" x14ac:dyDescent="0.25">
      <c r="A6122" t="str">
        <f>"20190304155543005"</f>
        <v>20190304155543005</v>
      </c>
      <c r="B6122" t="str">
        <f>"1551686142994249"</f>
        <v>1551686142994249</v>
      </c>
      <c r="C6122" t="s">
        <v>40</v>
      </c>
      <c r="D6122">
        <v>4.8747369999999997</v>
      </c>
      <c r="E6122">
        <v>0.53912380000000004</v>
      </c>
      <c r="F6122" t="s">
        <v>46</v>
      </c>
      <c r="G6122">
        <v>-124.85720000000001</v>
      </c>
      <c r="H6122" s="1">
        <v>-2.6275869999999999E-6</v>
      </c>
      <c r="I6122">
        <v>137.1413</v>
      </c>
      <c r="J6122">
        <v>-142.5316</v>
      </c>
      <c r="K6122">
        <v>1.111469</v>
      </c>
      <c r="L6122">
        <v>137.58029999999999</v>
      </c>
      <c r="M6122">
        <v>0.99990610000000002</v>
      </c>
      <c r="N6122">
        <v>-1.3710150000000001E-2</v>
      </c>
      <c r="O6122" s="1">
        <v>-9.8471329999999996E-5</v>
      </c>
      <c r="P6122">
        <v>0.98567300000000002</v>
      </c>
      <c r="Q6122">
        <v>0.146045799999999</v>
      </c>
      <c r="R6122">
        <v>8.437828E-2</v>
      </c>
      <c r="S6122">
        <v>3.0775450000000002</v>
      </c>
      <c r="T6122">
        <v>-0.19045380000000001</v>
      </c>
      <c r="U6122">
        <v>-7.4920650000000005E-2</v>
      </c>
      <c r="V6122">
        <v>-8.4825699999999907E-2</v>
      </c>
      <c r="W6122">
        <v>0.1593598</v>
      </c>
      <c r="X6122">
        <v>0.98356960000000004</v>
      </c>
      <c r="Y6122">
        <v>2.4182240000000001E-2</v>
      </c>
      <c r="Z6122">
        <v>-9.0869180000000005E-4</v>
      </c>
      <c r="AA6122">
        <v>0.99970720000000002</v>
      </c>
      <c r="AB6122">
        <v>23</v>
      </c>
      <c r="AC6122">
        <v>17.674399999999899</v>
      </c>
      <c r="AD6122">
        <v>-1.111471627587</v>
      </c>
      <c r="AE6122">
        <v>-0.43899999999999201</v>
      </c>
      <c r="AF6122">
        <v>0.43553807664043998</v>
      </c>
      <c r="AG6122">
        <v>-1.111471627587</v>
      </c>
      <c r="AH6122">
        <v>17.604865096890599</v>
      </c>
      <c r="AI6122">
        <v>93.6114347188891</v>
      </c>
      <c r="AJ6122">
        <v>88.582811955207802</v>
      </c>
      <c r="AK6122">
        <v>17.645292224127399</v>
      </c>
      <c r="AL6122">
        <v>80.830261789048507</v>
      </c>
      <c r="AM6122">
        <v>94.929146314209007</v>
      </c>
      <c r="AN6122">
        <v>1.00000005164034</v>
      </c>
    </row>
    <row r="6123" spans="1:40" x14ac:dyDescent="0.25">
      <c r="A6123" t="str">
        <f>"20190304155543033"</f>
        <v>20190304155543033</v>
      </c>
      <c r="B6123" t="str">
        <f>"1551686143024505"</f>
        <v>1551686143024505</v>
      </c>
      <c r="C6123" t="s">
        <v>40</v>
      </c>
      <c r="D6123">
        <v>4.8651010000000001</v>
      </c>
      <c r="E6123">
        <v>0.53913610000000001</v>
      </c>
      <c r="F6123" t="s">
        <v>46</v>
      </c>
      <c r="G6123">
        <v>-124.2758</v>
      </c>
      <c r="H6123" s="1">
        <v>-2.8747709999999998E-6</v>
      </c>
      <c r="I6123">
        <v>137.15389999999999</v>
      </c>
      <c r="J6123">
        <v>-142.2533</v>
      </c>
      <c r="K6123">
        <v>1.1113999999999999</v>
      </c>
      <c r="L6123">
        <v>137.58240000000001</v>
      </c>
      <c r="M6123">
        <v>0.99990489999999999</v>
      </c>
      <c r="N6123">
        <v>-1.37059E-2</v>
      </c>
      <c r="O6123">
        <v>1.6503570000000001E-3</v>
      </c>
      <c r="P6123">
        <v>0.98544410000000005</v>
      </c>
      <c r="Q6123">
        <v>0.1466124</v>
      </c>
      <c r="R6123">
        <v>8.6052009999999998E-2</v>
      </c>
      <c r="S6123">
        <v>3.077515</v>
      </c>
      <c r="T6123">
        <v>-0.1873688</v>
      </c>
      <c r="U6123">
        <v>-7.1884160000000002E-2</v>
      </c>
      <c r="V6123">
        <v>-8.4749710000000006E-2</v>
      </c>
      <c r="W6123">
        <v>0.15993550000000001</v>
      </c>
      <c r="X6123">
        <v>0.98348270000000004</v>
      </c>
      <c r="Y6123">
        <v>2.4943110000000001E-2</v>
      </c>
      <c r="Z6123">
        <v>-1.0074319999999999E-3</v>
      </c>
      <c r="AA6123">
        <v>0.99968840000000003</v>
      </c>
      <c r="AB6123">
        <v>23</v>
      </c>
      <c r="AC6123">
        <v>17.9774999999999</v>
      </c>
      <c r="AD6123">
        <v>-1.1114028747710001</v>
      </c>
      <c r="AE6123">
        <v>-0.42850000000001298</v>
      </c>
      <c r="AF6123">
        <v>0.45642803833446599</v>
      </c>
      <c r="AG6123">
        <v>-1.1114028747710001</v>
      </c>
      <c r="AH6123">
        <v>17.908362355143101</v>
      </c>
      <c r="AI6123">
        <v>93.550103312721205</v>
      </c>
      <c r="AJ6123">
        <v>88.540026192413507</v>
      </c>
      <c r="AK6123">
        <v>17.948620703199801</v>
      </c>
      <c r="AL6123">
        <v>80.796848026194098</v>
      </c>
      <c r="AM6123">
        <v>94.925185336930397</v>
      </c>
      <c r="AN6123">
        <v>1.00000004935231</v>
      </c>
    </row>
    <row r="6124" spans="1:40" x14ac:dyDescent="0.25">
      <c r="A6124" t="str">
        <f>"20190304155543067"</f>
        <v>20190304155543067</v>
      </c>
      <c r="B6124" t="str">
        <f>"1551686143064521"</f>
        <v>1551686143064521</v>
      </c>
      <c r="C6124" t="s">
        <v>40</v>
      </c>
      <c r="D6124">
        <v>4.7825600000000001</v>
      </c>
      <c r="E6124">
        <v>0.53910519999999995</v>
      </c>
      <c r="F6124" t="s">
        <v>46</v>
      </c>
      <c r="G6124">
        <v>-123.61669999999999</v>
      </c>
      <c r="H6124" s="1">
        <v>-3.1536479999999998E-6</v>
      </c>
      <c r="I6124">
        <v>137.17580000000001</v>
      </c>
      <c r="J6124">
        <v>-141.9177</v>
      </c>
      <c r="K6124">
        <v>1.1112919999999999</v>
      </c>
      <c r="L6124">
        <v>137.58539999999999</v>
      </c>
      <c r="M6124">
        <v>0.99989980000000001</v>
      </c>
      <c r="N6124">
        <v>-1.370037E-2</v>
      </c>
      <c r="O6124">
        <v>3.5581290000000002E-3</v>
      </c>
      <c r="P6124">
        <v>0.98516910000000002</v>
      </c>
      <c r="Q6124">
        <v>0.1464936</v>
      </c>
      <c r="R6124">
        <v>8.9338810000000005E-2</v>
      </c>
      <c r="S6124">
        <v>3.0774840000000001</v>
      </c>
      <c r="T6124">
        <v>-0.183527</v>
      </c>
      <c r="U6124">
        <v>-6.7153930000000001E-2</v>
      </c>
      <c r="V6124">
        <v>-8.6114380000000004E-2</v>
      </c>
      <c r="W6124">
        <v>0.15983</v>
      </c>
      <c r="X6124">
        <v>0.98338130000000001</v>
      </c>
      <c r="Y6124">
        <v>2.5314280000000002E-2</v>
      </c>
      <c r="Z6124">
        <v>-1.090948E-3</v>
      </c>
      <c r="AA6124">
        <v>0.99967899999999998</v>
      </c>
      <c r="AB6124">
        <v>23</v>
      </c>
      <c r="AC6124">
        <v>18.300999999999998</v>
      </c>
      <c r="AD6124">
        <v>-1.111295153648</v>
      </c>
      <c r="AE6124">
        <v>-0.40959999999998298</v>
      </c>
      <c r="AF6124">
        <v>0.47297769819382701</v>
      </c>
      <c r="AG6124">
        <v>-1.111295153648</v>
      </c>
      <c r="AH6124">
        <v>18.232232419675199</v>
      </c>
      <c r="AI6124">
        <v>93.486819899192596</v>
      </c>
      <c r="AJ6124">
        <v>88.513975218238599</v>
      </c>
      <c r="AK6124">
        <v>18.272191544162499</v>
      </c>
      <c r="AL6124">
        <v>80.802971492885803</v>
      </c>
      <c r="AM6124">
        <v>95.004606276172595</v>
      </c>
      <c r="AN6124">
        <v>1.0000000482662299</v>
      </c>
    </row>
    <row r="6125" spans="1:40" x14ac:dyDescent="0.25">
      <c r="A6125" t="str">
        <f>"20190304155543094"</f>
        <v>20190304155543094</v>
      </c>
      <c r="B6125" t="str">
        <f>"1551686143084041"</f>
        <v>1551686143084041</v>
      </c>
      <c r="C6125" t="s">
        <v>40</v>
      </c>
      <c r="D6125">
        <v>4.8240879999999997</v>
      </c>
      <c r="E6125">
        <v>0.53911719999999996</v>
      </c>
      <c r="F6125" t="s">
        <v>46</v>
      </c>
      <c r="G6125">
        <v>-122.9926</v>
      </c>
      <c r="H6125" s="1">
        <v>-3.4116250000000001E-6</v>
      </c>
      <c r="I6125">
        <v>137.23070000000001</v>
      </c>
      <c r="J6125">
        <v>-141.6431</v>
      </c>
      <c r="K6125">
        <v>1.1111789999999999</v>
      </c>
      <c r="L6125">
        <v>137.5882</v>
      </c>
      <c r="M6125">
        <v>0.99989430000000001</v>
      </c>
      <c r="N6125">
        <v>-1.3695540000000001E-2</v>
      </c>
      <c r="O6125">
        <v>4.8915520000000004E-3</v>
      </c>
      <c r="P6125">
        <v>0.98514190000000001</v>
      </c>
      <c r="Q6125">
        <v>0.14570710000000001</v>
      </c>
      <c r="R6125">
        <v>9.091043E-2</v>
      </c>
      <c r="S6125">
        <v>3.077286</v>
      </c>
      <c r="T6125">
        <v>-0.1807001</v>
      </c>
      <c r="U6125">
        <v>-5.7678220000000002E-2</v>
      </c>
      <c r="V6125">
        <v>-8.6327319999999999E-2</v>
      </c>
      <c r="W6125">
        <v>0.1590628</v>
      </c>
      <c r="X6125">
        <v>0.983487</v>
      </c>
      <c r="Y6125">
        <v>2.3575809999999999E-2</v>
      </c>
      <c r="Z6125">
        <v>-1.073191E-3</v>
      </c>
      <c r="AA6125">
        <v>0.99972150000000004</v>
      </c>
      <c r="AB6125">
        <v>22</v>
      </c>
      <c r="AC6125">
        <v>18.650500000000001</v>
      </c>
      <c r="AD6125">
        <v>-1.111182411625</v>
      </c>
      <c r="AE6125">
        <v>-0.35749999999998699</v>
      </c>
      <c r="AF6125">
        <v>0.44714751535521502</v>
      </c>
      <c r="AG6125">
        <v>-1.111182411625</v>
      </c>
      <c r="AH6125">
        <v>18.582589830867899</v>
      </c>
      <c r="AI6125">
        <v>93.421050789195704</v>
      </c>
      <c r="AJ6125">
        <v>88.621574135587096</v>
      </c>
      <c r="AK6125">
        <v>18.6211522756963</v>
      </c>
      <c r="AL6125">
        <v>80.847498295853299</v>
      </c>
      <c r="AM6125">
        <v>95.016381934527502</v>
      </c>
      <c r="AN6125">
        <v>1.00000002984561</v>
      </c>
    </row>
    <row r="6126" spans="1:40" x14ac:dyDescent="0.25">
      <c r="A6126" t="str">
        <f>"20190304155543117"</f>
        <v>20190304155543117</v>
      </c>
      <c r="B6126" t="str">
        <f>"1551686143114297"</f>
        <v>1551686143114297</v>
      </c>
      <c r="C6126" t="s">
        <v>40</v>
      </c>
      <c r="D6126">
        <v>4.8582390000000002</v>
      </c>
      <c r="E6126">
        <v>0.53921149999999995</v>
      </c>
      <c r="F6126" t="s">
        <v>46</v>
      </c>
      <c r="G6126">
        <v>-122.85509999999999</v>
      </c>
      <c r="H6126" s="1">
        <v>-3.4643049999999999E-6</v>
      </c>
      <c r="I6126">
        <v>137.2662</v>
      </c>
      <c r="J6126">
        <v>-141.40880000000001</v>
      </c>
      <c r="K6126">
        <v>1.111073</v>
      </c>
      <c r="L6126">
        <v>137.59049999999999</v>
      </c>
      <c r="M6126">
        <v>0.99988920000000003</v>
      </c>
      <c r="N6126">
        <v>-1.369135E-2</v>
      </c>
      <c r="O6126">
        <v>5.8648270000000004E-3</v>
      </c>
      <c r="P6126">
        <v>0.98535720000000004</v>
      </c>
      <c r="Q6126">
        <v>0.14371310000000001</v>
      </c>
      <c r="R6126">
        <v>9.1752130000000001E-2</v>
      </c>
      <c r="S6126">
        <v>3.077026</v>
      </c>
      <c r="T6126">
        <v>-0.18198510000000001</v>
      </c>
      <c r="U6126">
        <v>-5.2719120000000001E-2</v>
      </c>
      <c r="V6126">
        <v>-8.6166809999999996E-2</v>
      </c>
      <c r="W6126">
        <v>0.15709039999999999</v>
      </c>
      <c r="X6126">
        <v>0.98381799999999997</v>
      </c>
      <c r="Y6126">
        <v>2.2939419999999999E-2</v>
      </c>
      <c r="Z6126">
        <v>-1.101236E-3</v>
      </c>
      <c r="AA6126">
        <v>0.99973619999999996</v>
      </c>
      <c r="AB6126">
        <v>22</v>
      </c>
      <c r="AC6126">
        <v>18.553699999999999</v>
      </c>
      <c r="AD6126">
        <v>-1.111076464305</v>
      </c>
      <c r="AE6126">
        <v>-0.32429999999999298</v>
      </c>
      <c r="AF6126">
        <v>0.43157164604732301</v>
      </c>
      <c r="AG6126">
        <v>-1.111076464305</v>
      </c>
      <c r="AH6126">
        <v>18.485208470454001</v>
      </c>
      <c r="AI6126">
        <v>93.438761046985107</v>
      </c>
      <c r="AJ6126">
        <v>88.662566200252201</v>
      </c>
      <c r="AK6126">
        <v>18.523597846837198</v>
      </c>
      <c r="AL6126">
        <v>80.961947086305202</v>
      </c>
      <c r="AM6126">
        <v>95.005426289176796</v>
      </c>
      <c r="AN6126">
        <v>0.99999998502086795</v>
      </c>
    </row>
    <row r="6127" spans="1:40" x14ac:dyDescent="0.25">
      <c r="A6127" t="str">
        <f>"20190304155543139"</f>
        <v>20190304155543139</v>
      </c>
      <c r="B6127" t="str">
        <f>"1551686143133817"</f>
        <v>1551686143133817</v>
      </c>
      <c r="C6127" t="s">
        <v>40</v>
      </c>
      <c r="D6127">
        <v>4.8292000000000002</v>
      </c>
      <c r="E6127">
        <v>0.53927460000000005</v>
      </c>
      <c r="F6127" t="s">
        <v>46</v>
      </c>
      <c r="G6127">
        <v>-123.10469999999999</v>
      </c>
      <c r="H6127" s="1">
        <v>-3.3524829999999998E-6</v>
      </c>
      <c r="I6127">
        <v>137.29300000000001</v>
      </c>
      <c r="J6127">
        <v>-141.1908</v>
      </c>
      <c r="K6127">
        <v>1.1109709999999999</v>
      </c>
      <c r="L6127">
        <v>137.59280000000001</v>
      </c>
      <c r="M6127">
        <v>0.99988460000000001</v>
      </c>
      <c r="N6127">
        <v>-1.368748E-2</v>
      </c>
      <c r="O6127">
        <v>6.5983880000000002E-3</v>
      </c>
      <c r="P6127">
        <v>0.98545660000000002</v>
      </c>
      <c r="Q6127">
        <v>0.14222309999999999</v>
      </c>
      <c r="R6127">
        <v>9.2996389999999998E-2</v>
      </c>
      <c r="S6127">
        <v>3.0764770000000001</v>
      </c>
      <c r="T6127">
        <v>-0.18674479999999999</v>
      </c>
      <c r="U6127">
        <v>-5.000305E-2</v>
      </c>
      <c r="V6127">
        <v>-8.6644120000000005E-2</v>
      </c>
      <c r="W6127">
        <v>0.15562100000000001</v>
      </c>
      <c r="X6127">
        <v>0.98400960000000004</v>
      </c>
      <c r="Y6127">
        <v>2.279028E-2</v>
      </c>
      <c r="Z6127">
        <v>-1.157066E-3</v>
      </c>
      <c r="AA6127">
        <v>0.99973959999999995</v>
      </c>
      <c r="AB6127">
        <v>22</v>
      </c>
      <c r="AC6127">
        <v>18.086099999999998</v>
      </c>
      <c r="AD6127">
        <v>-1.110974352483</v>
      </c>
      <c r="AE6127">
        <v>-0.29980000000000401</v>
      </c>
      <c r="AF6127">
        <v>0.417568584639472</v>
      </c>
      <c r="AG6127">
        <v>-1.110974352483</v>
      </c>
      <c r="AH6127">
        <v>18.015768082062699</v>
      </c>
      <c r="AI6127">
        <v>93.527832430633595</v>
      </c>
      <c r="AJ6127">
        <v>88.672238977846106</v>
      </c>
      <c r="AK6127">
        <v>18.054820052313499</v>
      </c>
      <c r="AL6127">
        <v>81.047185981683</v>
      </c>
      <c r="AM6127">
        <v>95.032036218921604</v>
      </c>
      <c r="AN6127">
        <v>0.99999999603186696</v>
      </c>
    </row>
    <row r="6128" spans="1:40" x14ac:dyDescent="0.25">
      <c r="A6128" t="str">
        <f>"20190304155543162"</f>
        <v>20190304155543162</v>
      </c>
      <c r="B6128" t="str">
        <f>"1551686143154313"</f>
        <v>1551686143154313</v>
      </c>
      <c r="C6128" t="s">
        <v>40</v>
      </c>
      <c r="D6128">
        <v>4.8812959999999999</v>
      </c>
      <c r="E6128">
        <v>0.5393232</v>
      </c>
      <c r="F6128" t="s">
        <v>46</v>
      </c>
      <c r="G6128">
        <v>-123.23399999999999</v>
      </c>
      <c r="H6128" s="1">
        <v>-3.2920800000000001E-6</v>
      </c>
      <c r="I6128">
        <v>137.32069999999999</v>
      </c>
      <c r="J6128">
        <v>-140.9665</v>
      </c>
      <c r="K6128">
        <v>1.110849</v>
      </c>
      <c r="L6128">
        <v>137.595</v>
      </c>
      <c r="M6128">
        <v>0.99988089999999996</v>
      </c>
      <c r="N6128">
        <v>-1.3683539999999999E-2</v>
      </c>
      <c r="O6128">
        <v>7.1602949999999997E-3</v>
      </c>
      <c r="P6128">
        <v>0.9855064</v>
      </c>
      <c r="Q6128">
        <v>0.1418529</v>
      </c>
      <c r="R6128">
        <v>9.3033480000000002E-2</v>
      </c>
      <c r="S6128">
        <v>3.0761409999999998</v>
      </c>
      <c r="T6128">
        <v>-0.1903183</v>
      </c>
      <c r="U6128">
        <v>-4.6600339999999997E-2</v>
      </c>
      <c r="V6128">
        <v>-8.6079219999999998E-2</v>
      </c>
      <c r="W6128">
        <v>0.15527569999999999</v>
      </c>
      <c r="X6128">
        <v>0.98411380000000004</v>
      </c>
      <c r="Y6128">
        <v>2.2246720000000001E-2</v>
      </c>
      <c r="Z6128">
        <v>-1.1845499999999999E-3</v>
      </c>
      <c r="AA6128">
        <v>0.99975179999999997</v>
      </c>
      <c r="AB6128">
        <v>22</v>
      </c>
      <c r="AC6128">
        <v>17.732500000000002</v>
      </c>
      <c r="AD6128">
        <v>-1.1108522920799999</v>
      </c>
      <c r="AE6128">
        <v>-0.27430000000000998</v>
      </c>
      <c r="AF6128">
        <v>0.39970653504022902</v>
      </c>
      <c r="AG6128">
        <v>-1.1108522920799999</v>
      </c>
      <c r="AH6128">
        <v>17.6607897539931</v>
      </c>
      <c r="AI6128">
        <v>93.598207146444594</v>
      </c>
      <c r="AJ6128">
        <v>88.703478792927697</v>
      </c>
      <c r="AK6128">
        <v>17.700204881970201</v>
      </c>
      <c r="AL6128">
        <v>81.067214366009793</v>
      </c>
      <c r="AM6128">
        <v>94.998868631640505</v>
      </c>
      <c r="AN6128">
        <v>1.00000007323836</v>
      </c>
    </row>
    <row r="6129" spans="1:40" x14ac:dyDescent="0.25">
      <c r="A6129" t="str">
        <f>"20190304155543184"</f>
        <v>20190304155543184</v>
      </c>
      <c r="B6129" t="str">
        <f>"1551686143173833"</f>
        <v>1551686143173833</v>
      </c>
      <c r="C6129" t="s">
        <v>40</v>
      </c>
      <c r="D6129">
        <v>4.8513419999999998</v>
      </c>
      <c r="E6129">
        <v>0.53936839999999997</v>
      </c>
      <c r="F6129" t="s">
        <v>46</v>
      </c>
      <c r="G6129">
        <v>-123.0677</v>
      </c>
      <c r="H6129" s="1">
        <v>-3.362509E-6</v>
      </c>
      <c r="I6129">
        <v>137.32579999999999</v>
      </c>
      <c r="J6129">
        <v>-140.7441</v>
      </c>
      <c r="K6129">
        <v>1.110722</v>
      </c>
      <c r="L6129">
        <v>137.59719999999999</v>
      </c>
      <c r="M6129">
        <v>0.9998783</v>
      </c>
      <c r="N6129">
        <v>-1.3679810000000001E-2</v>
      </c>
      <c r="O6129">
        <v>7.507344E-3</v>
      </c>
      <c r="P6129">
        <v>0.98541040000000002</v>
      </c>
      <c r="Q6129">
        <v>0.14257129999999901</v>
      </c>
      <c r="R6129">
        <v>9.2952000000000007E-2</v>
      </c>
      <c r="S6129">
        <v>3.075974</v>
      </c>
      <c r="T6129">
        <v>-0.19090460000000001</v>
      </c>
      <c r="U6129">
        <v>-4.6264649999999997E-2</v>
      </c>
      <c r="V6129">
        <v>-8.5606399999999999E-2</v>
      </c>
      <c r="W6129">
        <v>0.15601660000000001</v>
      </c>
      <c r="X6129">
        <v>0.98403779999999996</v>
      </c>
      <c r="Y6129">
        <v>2.248414E-2</v>
      </c>
      <c r="Z6129">
        <v>-1.2138330000000001E-3</v>
      </c>
      <c r="AA6129">
        <v>0.99974640000000004</v>
      </c>
      <c r="AB6129">
        <v>22</v>
      </c>
      <c r="AC6129">
        <v>17.676400000000001</v>
      </c>
      <c r="AD6129">
        <v>-1.1107253625089999</v>
      </c>
      <c r="AE6129">
        <v>-0.27139999999999898</v>
      </c>
      <c r="AF6129">
        <v>0.40251863018337602</v>
      </c>
      <c r="AG6129">
        <v>-1.1107253625089999</v>
      </c>
      <c r="AH6129">
        <v>17.604370643426702</v>
      </c>
      <c r="AI6129">
        <v>93.609277989574494</v>
      </c>
      <c r="AJ6129">
        <v>88.690177490058801</v>
      </c>
      <c r="AK6129">
        <v>17.643967746221598</v>
      </c>
      <c r="AL6129">
        <v>81.024239652960304</v>
      </c>
      <c r="AM6129">
        <v>94.971930643098304</v>
      </c>
      <c r="AN6129">
        <v>1.0000000135126701</v>
      </c>
    </row>
    <row r="6130" spans="1:40" x14ac:dyDescent="0.25">
      <c r="A6130" t="str">
        <f>"20190304155543207"</f>
        <v>20190304155543207</v>
      </c>
      <c r="B6130" t="str">
        <f>"1551686143204089"</f>
        <v>1551686143204089</v>
      </c>
      <c r="C6130" t="s">
        <v>40</v>
      </c>
      <c r="D6130">
        <v>4.7343859999999998</v>
      </c>
      <c r="E6130">
        <v>0.53940690000000002</v>
      </c>
      <c r="F6130" t="s">
        <v>46</v>
      </c>
      <c r="G6130">
        <v>-122.57810000000001</v>
      </c>
      <c r="H6130" s="1">
        <v>-3.572728E-6</v>
      </c>
      <c r="I6130">
        <v>137.32480000000001</v>
      </c>
      <c r="J6130">
        <v>-140.5206</v>
      </c>
      <c r="K6130">
        <v>1.110606</v>
      </c>
      <c r="L6130">
        <v>137.5992</v>
      </c>
      <c r="M6130">
        <v>0.99987689999999996</v>
      </c>
      <c r="N6130">
        <v>-1.3676249999999999E-2</v>
      </c>
      <c r="O6130">
        <v>7.6966809999999899E-3</v>
      </c>
      <c r="P6130">
        <v>0.98530289999999998</v>
      </c>
      <c r="Q6130">
        <v>0.1438757</v>
      </c>
      <c r="R6130">
        <v>9.2076259999999993E-2</v>
      </c>
      <c r="S6130">
        <v>3.075974</v>
      </c>
      <c r="T6130">
        <v>-0.18807460000000001</v>
      </c>
      <c r="U6130">
        <v>-4.6112060000000003E-2</v>
      </c>
      <c r="V6130">
        <v>-8.4499770000000002E-2</v>
      </c>
      <c r="W6130">
        <v>0.15734139999999999</v>
      </c>
      <c r="X6130">
        <v>0.98392250000000003</v>
      </c>
      <c r="Y6130">
        <v>2.2625079999999999E-2</v>
      </c>
      <c r="Z6130">
        <v>-1.2108589999999999E-3</v>
      </c>
      <c r="AA6130">
        <v>0.9997433</v>
      </c>
      <c r="AB6130">
        <v>22</v>
      </c>
      <c r="AC6130">
        <v>17.9424999999999</v>
      </c>
      <c r="AD6130">
        <v>-1.1106095727280001</v>
      </c>
      <c r="AE6130">
        <v>-0.27439999999998499</v>
      </c>
      <c r="AF6130">
        <v>0.41092841894480803</v>
      </c>
      <c r="AG6130">
        <v>-1.1106095727280001</v>
      </c>
      <c r="AH6130">
        <v>17.871399899827299</v>
      </c>
      <c r="AI6130">
        <v>93.555108417072702</v>
      </c>
      <c r="AJ6130">
        <v>88.682793952375505</v>
      </c>
      <c r="AK6130">
        <v>17.910590447220901</v>
      </c>
      <c r="AL6130">
        <v>80.947384949331806</v>
      </c>
      <c r="AM6130">
        <v>94.908547033871301</v>
      </c>
      <c r="AN6130">
        <v>1.00000000664513</v>
      </c>
    </row>
    <row r="6131" spans="1:40" x14ac:dyDescent="0.25">
      <c r="A6131" t="str">
        <f>"20190304155543234"</f>
        <v>20190304155543234</v>
      </c>
      <c r="B6131" t="str">
        <f>"1551686143224585"</f>
        <v>1551686143224585</v>
      </c>
      <c r="C6131" t="s">
        <v>40</v>
      </c>
      <c r="D6131">
        <v>5.2557999999999998</v>
      </c>
      <c r="E6131">
        <v>0.53944239999999999</v>
      </c>
      <c r="F6131" t="s">
        <v>46</v>
      </c>
      <c r="G6131">
        <v>-121.806</v>
      </c>
      <c r="H6131" s="1">
        <v>-3.907849E-6</v>
      </c>
      <c r="I6131">
        <v>137.30289999999999</v>
      </c>
      <c r="J6131">
        <v>-140.2458</v>
      </c>
      <c r="K6131">
        <v>1.1104940000000001</v>
      </c>
      <c r="L6131">
        <v>137.60149999999999</v>
      </c>
      <c r="M6131">
        <v>0.99987669999999995</v>
      </c>
      <c r="N6131">
        <v>-1.367197E-2</v>
      </c>
      <c r="O6131">
        <v>7.7344279999999998E-3</v>
      </c>
      <c r="P6131">
        <v>0.9853961</v>
      </c>
      <c r="Q6131">
        <v>0.14413339999999999</v>
      </c>
      <c r="R6131">
        <v>9.0664709999999996E-2</v>
      </c>
      <c r="S6131">
        <v>3.075958</v>
      </c>
      <c r="T6131">
        <v>-0.18254139999999999</v>
      </c>
      <c r="U6131">
        <v>-4.8690799999999999E-2</v>
      </c>
      <c r="V6131">
        <v>-8.3005860000000001E-2</v>
      </c>
      <c r="W6131">
        <v>0.15761919999999999</v>
      </c>
      <c r="X6131">
        <v>0.98400520000000002</v>
      </c>
      <c r="Y6131">
        <v>2.3502260000000001E-2</v>
      </c>
      <c r="Z6131">
        <v>-1.210458E-3</v>
      </c>
      <c r="AA6131">
        <v>0.99972309999999998</v>
      </c>
      <c r="AB6131">
        <v>22</v>
      </c>
      <c r="AC6131">
        <v>18.439800000000002</v>
      </c>
      <c r="AD6131">
        <v>-1.110497907849</v>
      </c>
      <c r="AE6131">
        <v>-0.29859999999999298</v>
      </c>
      <c r="AF6131">
        <v>0.43963165623397099</v>
      </c>
      <c r="AG6131">
        <v>-1.110497907849</v>
      </c>
      <c r="AH6131">
        <v>18.370330657845901</v>
      </c>
      <c r="AI6131">
        <v>93.458367975528503</v>
      </c>
      <c r="AJ6131">
        <v>88.629081218508006</v>
      </c>
      <c r="AK6131">
        <v>18.409115407186</v>
      </c>
      <c r="AL6131">
        <v>80.931267089368404</v>
      </c>
      <c r="AM6131">
        <v>94.821776099089007</v>
      </c>
      <c r="AN6131">
        <v>1.0000000093150001</v>
      </c>
    </row>
    <row r="6132" spans="1:40" x14ac:dyDescent="0.25">
      <c r="A6132" t="str">
        <f>"20190304155543257"</f>
        <v>20190304155543257</v>
      </c>
      <c r="B6132" t="str">
        <f>"1551686143253867"</f>
        <v>1551686143253867</v>
      </c>
      <c r="C6132" t="s">
        <v>40</v>
      </c>
      <c r="D6132">
        <v>5.3007279999999897</v>
      </c>
      <c r="E6132">
        <v>0.57059599999999999</v>
      </c>
      <c r="F6132" t="s">
        <v>46</v>
      </c>
      <c r="G6132">
        <v>-121.6546</v>
      </c>
      <c r="H6132" s="1">
        <v>-3.9763189999999998E-6</v>
      </c>
      <c r="I6132">
        <v>137.28309999999999</v>
      </c>
      <c r="J6132">
        <v>-140.018</v>
      </c>
      <c r="K6132">
        <v>1.1104270000000001</v>
      </c>
      <c r="L6132">
        <v>137.60319999999999</v>
      </c>
      <c r="M6132">
        <v>0.99987760000000003</v>
      </c>
      <c r="N6132">
        <v>-1.3668420000000001E-2</v>
      </c>
      <c r="O6132">
        <v>7.6212419999999899E-3</v>
      </c>
      <c r="P6132">
        <v>0.98548020000000003</v>
      </c>
      <c r="Q6132">
        <v>0.14473169999999999</v>
      </c>
      <c r="R6132">
        <v>8.8778759999999998E-2</v>
      </c>
      <c r="S6132">
        <v>3.0761569999999998</v>
      </c>
      <c r="T6132">
        <v>-0.18374599999999999</v>
      </c>
      <c r="U6132">
        <v>-5.2673339999999999E-2</v>
      </c>
      <c r="V6132">
        <v>-8.1203929999999994E-2</v>
      </c>
      <c r="W6132">
        <v>0.15822849999999999</v>
      </c>
      <c r="X6132">
        <v>0.98405779999999998</v>
      </c>
      <c r="Y6132">
        <v>2.4678800000000001E-2</v>
      </c>
      <c r="Z6132">
        <v>-1.2559209999999999E-3</v>
      </c>
      <c r="AA6132">
        <v>0.99969459999999999</v>
      </c>
      <c r="AB6132">
        <v>22</v>
      </c>
      <c r="AC6132">
        <v>18.363399999999999</v>
      </c>
      <c r="AD6132">
        <v>-1.1104309763189999</v>
      </c>
      <c r="AE6132">
        <v>-0.320099999999996</v>
      </c>
      <c r="AF6132">
        <v>0.45838008218093801</v>
      </c>
      <c r="AG6132">
        <v>-1.1104309763189999</v>
      </c>
      <c r="AH6132">
        <v>18.293554985843901</v>
      </c>
      <c r="AI6132">
        <v>93.472542619975101</v>
      </c>
      <c r="AJ6132">
        <v>88.564644774586299</v>
      </c>
      <c r="AK6132">
        <v>18.332957297528498</v>
      </c>
      <c r="AL6132">
        <v>80.895913452686898</v>
      </c>
      <c r="AM6132">
        <v>94.717329349588894</v>
      </c>
      <c r="AN6132">
        <v>1.00000004510026</v>
      </c>
    </row>
    <row r="6133" spans="1:40" x14ac:dyDescent="0.25">
      <c r="A6133" t="str">
        <f>"20190304155543290"</f>
        <v>20190304155543290</v>
      </c>
      <c r="B6133" t="str">
        <f>"1551686143284121"</f>
        <v>1551686143284121</v>
      </c>
      <c r="C6133" t="s">
        <v>40</v>
      </c>
      <c r="D6133">
        <v>5.4317019999999996</v>
      </c>
      <c r="E6133">
        <v>0.57307919999999901</v>
      </c>
      <c r="F6133" t="s">
        <v>48</v>
      </c>
      <c r="G6133">
        <v>-139.27680000000001</v>
      </c>
      <c r="H6133">
        <v>0.98173690000000002</v>
      </c>
      <c r="I6133">
        <v>137.53</v>
      </c>
      <c r="J6133">
        <v>-139.6943</v>
      </c>
      <c r="K6133">
        <v>1.1103419999999999</v>
      </c>
      <c r="L6133">
        <v>137.6054</v>
      </c>
      <c r="M6133">
        <v>0.9998804</v>
      </c>
      <c r="N6133">
        <v>-1.366376E-2</v>
      </c>
      <c r="O6133">
        <v>7.252433E-3</v>
      </c>
      <c r="P6133">
        <v>0.98567439999999995</v>
      </c>
      <c r="Q6133">
        <v>0.14577019999999999</v>
      </c>
      <c r="R6133">
        <v>8.4836999999999996E-2</v>
      </c>
      <c r="S6133">
        <v>3.1526179999999999</v>
      </c>
      <c r="T6133">
        <v>-0.5473903</v>
      </c>
      <c r="U6133">
        <v>-0.3110504</v>
      </c>
      <c r="V6133">
        <v>-7.7589649999999996E-2</v>
      </c>
      <c r="W6133">
        <v>0.15927929999999901</v>
      </c>
      <c r="X6133">
        <v>0.9841799</v>
      </c>
      <c r="Y6133">
        <v>0.1036518</v>
      </c>
      <c r="Z6133">
        <v>-1.077494E-2</v>
      </c>
      <c r="AA6133">
        <v>0.99455530000000003</v>
      </c>
      <c r="AB6133">
        <v>22</v>
      </c>
      <c r="AC6133">
        <v>0.41749999999998899</v>
      </c>
      <c r="AD6133">
        <v>-0.128605099999999</v>
      </c>
      <c r="AE6133">
        <v>-7.5400000000001896E-2</v>
      </c>
      <c r="AF6133">
        <v>7.1826141281952E-2</v>
      </c>
      <c r="AG6133">
        <v>-0.128605099999999</v>
      </c>
      <c r="AH6133">
        <v>0.38185387563346701</v>
      </c>
      <c r="AI6133">
        <v>108.313870189471</v>
      </c>
      <c r="AJ6133">
        <v>79.347221403979802</v>
      </c>
      <c r="AK6133">
        <v>0.409280647787999</v>
      </c>
      <c r="AL6133">
        <v>80.834933873285294</v>
      </c>
      <c r="AM6133">
        <v>94.507695783138402</v>
      </c>
      <c r="AN6133">
        <v>1.0000000623798</v>
      </c>
    </row>
    <row r="6134" spans="1:40" x14ac:dyDescent="0.25">
      <c r="A6134" t="str">
        <f>"20190304155543317"</f>
        <v>20190304155543317</v>
      </c>
      <c r="B6134" t="str">
        <f>"1551686143314377"</f>
        <v>1551686143314377</v>
      </c>
      <c r="C6134" t="s">
        <v>40</v>
      </c>
      <c r="D6134">
        <v>5.3187480000000003</v>
      </c>
      <c r="E6134">
        <v>0.57777849999999997</v>
      </c>
      <c r="F6134" t="s">
        <v>48</v>
      </c>
      <c r="G6134">
        <v>-138.88839999999999</v>
      </c>
      <c r="H6134">
        <v>0.96559079999999997</v>
      </c>
      <c r="I6134">
        <v>137.51820000000001</v>
      </c>
      <c r="J6134">
        <v>-139.4228</v>
      </c>
      <c r="K6134">
        <v>1.110282</v>
      </c>
      <c r="L6134">
        <v>137.6069</v>
      </c>
      <c r="M6134">
        <v>0.99988350000000004</v>
      </c>
      <c r="N6134">
        <v>-1.366026E-2</v>
      </c>
      <c r="O6134">
        <v>6.818607E-3</v>
      </c>
      <c r="P6134">
        <v>0.98599340000000002</v>
      </c>
      <c r="Q6134">
        <v>0.14530309999999999</v>
      </c>
      <c r="R6134">
        <v>8.1879480000000004E-2</v>
      </c>
      <c r="S6134">
        <v>3.156876</v>
      </c>
      <c r="T6134">
        <v>-0.56701859999999904</v>
      </c>
      <c r="U6134">
        <v>-0.34170529999999999</v>
      </c>
      <c r="V6134">
        <v>-7.503311E-2</v>
      </c>
      <c r="W6134">
        <v>0.15882309999999999</v>
      </c>
      <c r="X6134">
        <v>0.98445179999999999</v>
      </c>
      <c r="Y6134">
        <v>0.11238139999999899</v>
      </c>
      <c r="Z6134">
        <v>-1.1879829999999999E-2</v>
      </c>
      <c r="AA6134">
        <v>0.99359410000000004</v>
      </c>
      <c r="AB6134">
        <v>22</v>
      </c>
      <c r="AC6134">
        <v>0.53440000000000498</v>
      </c>
      <c r="AD6134">
        <v>-0.14469119999999899</v>
      </c>
      <c r="AE6134">
        <v>-8.8699999999988594E-2</v>
      </c>
      <c r="AF6134">
        <v>8.6192919204018295E-2</v>
      </c>
      <c r="AG6134">
        <v>-0.14469119999999899</v>
      </c>
      <c r="AH6134">
        <v>0.49823720013233402</v>
      </c>
      <c r="AI6134">
        <v>105.968783726642</v>
      </c>
      <c r="AJ6134">
        <v>80.185214908118496</v>
      </c>
      <c r="AK6134">
        <v>0.52593257198433496</v>
      </c>
      <c r="AL6134">
        <v>80.861409074268295</v>
      </c>
      <c r="AM6134">
        <v>94.358552314079205</v>
      </c>
      <c r="AN6134">
        <v>1.0000000456065601</v>
      </c>
    </row>
    <row r="6135" spans="1:40" x14ac:dyDescent="0.25">
      <c r="A6135" t="str">
        <f>"20190304155543339"</f>
        <v>20190304155543339</v>
      </c>
      <c r="B6135" t="str">
        <f>"1551686143333898"</f>
        <v>1551686143333898</v>
      </c>
      <c r="C6135" t="s">
        <v>40</v>
      </c>
      <c r="D6135">
        <v>5.3355519999999999</v>
      </c>
      <c r="E6135">
        <v>0.58308870000000002</v>
      </c>
      <c r="F6135" t="s">
        <v>48</v>
      </c>
      <c r="G6135">
        <v>-138.68289999999999</v>
      </c>
      <c r="H6135">
        <v>0.98140570000000005</v>
      </c>
      <c r="I6135">
        <v>137.51609999999999</v>
      </c>
      <c r="J6135">
        <v>-139.20670000000001</v>
      </c>
      <c r="K6135">
        <v>1.110247</v>
      </c>
      <c r="L6135">
        <v>137.608</v>
      </c>
      <c r="M6135">
        <v>0.99988619999999995</v>
      </c>
      <c r="N6135">
        <v>-1.3657610000000001E-2</v>
      </c>
      <c r="O6135">
        <v>6.4209519999999997E-3</v>
      </c>
      <c r="P6135">
        <v>0.98618839999999997</v>
      </c>
      <c r="Q6135">
        <v>0.1454326</v>
      </c>
      <c r="R6135">
        <v>7.9260349999999993E-2</v>
      </c>
      <c r="S6135">
        <v>3.1557620000000002</v>
      </c>
      <c r="T6135">
        <v>-0.5497725</v>
      </c>
      <c r="U6135">
        <v>-0.386795</v>
      </c>
      <c r="V6135">
        <v>-7.2790300000000002E-2</v>
      </c>
      <c r="W6135">
        <v>0.1589573</v>
      </c>
      <c r="X6135">
        <v>0.98459850000000004</v>
      </c>
      <c r="Y6135">
        <v>0.12592819999999999</v>
      </c>
      <c r="Z6135">
        <v>-1.2737E-2</v>
      </c>
      <c r="AA6135">
        <v>0.99195759999999999</v>
      </c>
      <c r="AB6135">
        <v>22</v>
      </c>
      <c r="AC6135">
        <v>0.52380000000002203</v>
      </c>
      <c r="AD6135">
        <v>-0.12884129999999999</v>
      </c>
      <c r="AE6135">
        <v>-9.1900000000009599E-2</v>
      </c>
      <c r="AF6135">
        <v>8.9980190053131903E-2</v>
      </c>
      <c r="AG6135">
        <v>-0.12884129999999999</v>
      </c>
      <c r="AH6135">
        <v>0.49419172937149702</v>
      </c>
      <c r="AI6135">
        <v>104.38590982055101</v>
      </c>
      <c r="AJ6135">
        <v>79.680884530230202</v>
      </c>
      <c r="AK6135">
        <v>0.51857688009289304</v>
      </c>
      <c r="AL6135">
        <v>80.853620887010393</v>
      </c>
      <c r="AM6135">
        <v>94.228123163001001</v>
      </c>
      <c r="AN6135">
        <v>1.0000000285998101</v>
      </c>
    </row>
    <row r="6136" spans="1:40" x14ac:dyDescent="0.25">
      <c r="A6136" t="str">
        <f>"20190304155543362"</f>
        <v>20190304155543362</v>
      </c>
      <c r="B6136" t="str">
        <f>"1551686143354393"</f>
        <v>1551686143354393</v>
      </c>
      <c r="C6136" t="s">
        <v>40</v>
      </c>
      <c r="D6136">
        <v>5.2612319999999997</v>
      </c>
      <c r="E6136">
        <v>0.58692749999999905</v>
      </c>
      <c r="F6136" t="s">
        <v>48</v>
      </c>
      <c r="G6136">
        <v>-138.4838</v>
      </c>
      <c r="H6136">
        <v>0.98455320000000002</v>
      </c>
      <c r="I6136">
        <v>137.50819999999999</v>
      </c>
      <c r="J6136">
        <v>-138.98740000000001</v>
      </c>
      <c r="K6136">
        <v>1.1102209999999999</v>
      </c>
      <c r="L6136">
        <v>137.6088</v>
      </c>
      <c r="M6136">
        <v>0.99988889999999997</v>
      </c>
      <c r="N6136">
        <v>-1.3654929999999999E-2</v>
      </c>
      <c r="O6136">
        <v>5.9791289999999997E-3</v>
      </c>
      <c r="P6136">
        <v>0.98639840000000001</v>
      </c>
      <c r="Q6136">
        <v>0.1456025</v>
      </c>
      <c r="R6136">
        <v>7.6276679999999999E-2</v>
      </c>
      <c r="S6136">
        <v>3.1579899999999999</v>
      </c>
      <c r="T6136">
        <v>-0.54906869999999997</v>
      </c>
      <c r="U6136">
        <v>-0.43554690000000001</v>
      </c>
      <c r="V6136">
        <v>-7.0233110000000001E-2</v>
      </c>
      <c r="W6136">
        <v>0.1591282</v>
      </c>
      <c r="X6136">
        <v>0.98475659999999998</v>
      </c>
      <c r="Y6136">
        <v>0.14023969999999999</v>
      </c>
      <c r="Z6136">
        <v>-1.3961049999999999E-2</v>
      </c>
      <c r="AA6136">
        <v>0.99001910000000004</v>
      </c>
      <c r="AB6136">
        <v>22</v>
      </c>
      <c r="AC6136">
        <v>0.50360000000000504</v>
      </c>
      <c r="AD6136">
        <v>-0.1256678</v>
      </c>
      <c r="AE6136">
        <v>-0.100600000000014</v>
      </c>
      <c r="AF6136">
        <v>9.7755929849865697E-2</v>
      </c>
      <c r="AG6136">
        <v>-0.1256678</v>
      </c>
      <c r="AH6136">
        <v>0.47457198871978801</v>
      </c>
      <c r="AI6136">
        <v>104.539712120487</v>
      </c>
      <c r="AJ6136">
        <v>78.360582873755902</v>
      </c>
      <c r="AK6136">
        <v>0.50056686891474</v>
      </c>
      <c r="AL6136">
        <v>80.8437026957059</v>
      </c>
      <c r="AM6136">
        <v>94.079443213296997</v>
      </c>
      <c r="AN6136">
        <v>1.00000001750953</v>
      </c>
    </row>
    <row r="6137" spans="1:40" x14ac:dyDescent="0.25">
      <c r="A6137" t="str">
        <f>"20190304155543384"</f>
        <v>20190304155543384</v>
      </c>
      <c r="B6137" t="str">
        <f>"1551686143373913"</f>
        <v>1551686143373913</v>
      </c>
      <c r="C6137" t="s">
        <v>40</v>
      </c>
      <c r="D6137">
        <v>5.2257490000000004</v>
      </c>
      <c r="E6137">
        <v>0.59118970000000004</v>
      </c>
      <c r="F6137" t="s">
        <v>48</v>
      </c>
      <c r="G6137">
        <v>-138.10169999999999</v>
      </c>
      <c r="H6137">
        <v>0.95751140000000001</v>
      </c>
      <c r="I6137">
        <v>137.4759</v>
      </c>
      <c r="J6137">
        <v>-138.767</v>
      </c>
      <c r="K6137">
        <v>1.110217</v>
      </c>
      <c r="L6137">
        <v>137.6096</v>
      </c>
      <c r="M6137">
        <v>0.99989159999999999</v>
      </c>
      <c r="N6137">
        <v>-1.365939E-2</v>
      </c>
      <c r="O6137">
        <v>5.5070759999999996E-3</v>
      </c>
      <c r="P6137">
        <v>0.98665369999999997</v>
      </c>
      <c r="Q6137">
        <v>0.14540939999999999</v>
      </c>
      <c r="R6137">
        <v>7.3285130000000004E-2</v>
      </c>
      <c r="S6137">
        <v>3.158417</v>
      </c>
      <c r="T6137">
        <v>-0.54461419999999905</v>
      </c>
      <c r="U6137">
        <v>-0.4740143</v>
      </c>
      <c r="V6137">
        <v>-6.7705390000000004E-2</v>
      </c>
      <c r="W6137">
        <v>0.15894029999999901</v>
      </c>
      <c r="X6137">
        <v>0.98496399999999995</v>
      </c>
      <c r="Y6137">
        <v>0.15142939999999999</v>
      </c>
      <c r="Z6137">
        <v>-1.4800779999999999E-2</v>
      </c>
      <c r="AA6137">
        <v>0.98835720000000005</v>
      </c>
      <c r="AB6137">
        <v>22</v>
      </c>
      <c r="AC6137">
        <v>0.665300000000002</v>
      </c>
      <c r="AD6137">
        <v>-0.1527056</v>
      </c>
      <c r="AE6137">
        <v>-0.13370000000000401</v>
      </c>
      <c r="AF6137">
        <v>0.13074161716376201</v>
      </c>
      <c r="AG6137">
        <v>-0.1527056</v>
      </c>
      <c r="AH6137">
        <v>0.63252352665228695</v>
      </c>
      <c r="AI6137">
        <v>103.30190449425</v>
      </c>
      <c r="AJ6137">
        <v>78.321517058749805</v>
      </c>
      <c r="AK6137">
        <v>0.66370052169529203</v>
      </c>
      <c r="AL6137">
        <v>80.854607747746698</v>
      </c>
      <c r="AM6137">
        <v>93.932266065332399</v>
      </c>
      <c r="AN6137">
        <v>1.00000006004756</v>
      </c>
    </row>
    <row r="6138" spans="1:40" x14ac:dyDescent="0.25">
      <c r="A6138" t="str">
        <f>"20190304155543408"</f>
        <v>20190304155543408</v>
      </c>
      <c r="B6138" t="str">
        <f>"1551686143404169"</f>
        <v>1551686143404169</v>
      </c>
      <c r="C6138" t="s">
        <v>40</v>
      </c>
      <c r="D6138">
        <v>5.2869449999999896</v>
      </c>
      <c r="E6138">
        <v>0.59494669999999905</v>
      </c>
      <c r="F6138" t="s">
        <v>48</v>
      </c>
      <c r="G6138">
        <v>-137.9023</v>
      </c>
      <c r="H6138">
        <v>0.96312120000000001</v>
      </c>
      <c r="I6138">
        <v>137.4683</v>
      </c>
      <c r="J6138">
        <v>-138.536</v>
      </c>
      <c r="K6138">
        <v>1.11025</v>
      </c>
      <c r="L6138">
        <v>137.61019999999999</v>
      </c>
      <c r="M6138">
        <v>0.99989320000000004</v>
      </c>
      <c r="N6138">
        <v>-1.37433E-2</v>
      </c>
      <c r="O6138">
        <v>5.0111679999999999E-3</v>
      </c>
      <c r="P6138">
        <v>0.98682950000000003</v>
      </c>
      <c r="Q6138">
        <v>0.14595069999999999</v>
      </c>
      <c r="R6138">
        <v>6.9758039999999993E-2</v>
      </c>
      <c r="S6138">
        <v>3.1580659999999998</v>
      </c>
      <c r="T6138">
        <v>-0.53727340000000001</v>
      </c>
      <c r="U6138">
        <v>-0.51565550000000004</v>
      </c>
      <c r="V6138">
        <v>-6.467009E-2</v>
      </c>
      <c r="W6138">
        <v>0.15956129999999999</v>
      </c>
      <c r="X6138">
        <v>0.98506749999999998</v>
      </c>
      <c r="Y6138">
        <v>0.16355149999999999</v>
      </c>
      <c r="Z6138">
        <v>-1.563699E-2</v>
      </c>
      <c r="AA6138">
        <v>0.98641089999999998</v>
      </c>
      <c r="AB6138">
        <v>22</v>
      </c>
      <c r="AC6138">
        <v>0.63370000000000404</v>
      </c>
      <c r="AD6138">
        <v>-0.1471288</v>
      </c>
      <c r="AE6138">
        <v>-0.141899999999992</v>
      </c>
      <c r="AF6138">
        <v>0.13799087779963301</v>
      </c>
      <c r="AG6138">
        <v>-0.1471288</v>
      </c>
      <c r="AH6138">
        <v>0.60207571161017304</v>
      </c>
      <c r="AI6138">
        <v>103.397815441002</v>
      </c>
      <c r="AJ6138">
        <v>77.091217575212895</v>
      </c>
      <c r="AK6138">
        <v>0.63496734455895498</v>
      </c>
      <c r="AL6138">
        <v>80.818566609061094</v>
      </c>
      <c r="AM6138">
        <v>93.756101643319596</v>
      </c>
      <c r="AN6138">
        <v>1.0000000042772701</v>
      </c>
    </row>
    <row r="6139" spans="1:40" x14ac:dyDescent="0.25">
      <c r="A6139" t="str">
        <f>"20190304155543447"</f>
        <v>20190304155543447</v>
      </c>
      <c r="B6139" t="str">
        <f>"1551686143444185"</f>
        <v>1551686143444185</v>
      </c>
      <c r="C6139" t="s">
        <v>40</v>
      </c>
      <c r="D6139">
        <v>5.3546709999999997</v>
      </c>
      <c r="E6139">
        <v>0.60179359999999904</v>
      </c>
      <c r="F6139" t="s">
        <v>48</v>
      </c>
      <c r="G6139">
        <v>-137.70339999999999</v>
      </c>
      <c r="H6139">
        <v>0.96914469999999997</v>
      </c>
      <c r="I6139">
        <v>137.464</v>
      </c>
      <c r="J6139">
        <v>-138.15530000000001</v>
      </c>
      <c r="K6139">
        <v>1.1103909999999999</v>
      </c>
      <c r="L6139">
        <v>137.61109999999999</v>
      </c>
      <c r="M6139">
        <v>0.99989039999999996</v>
      </c>
      <c r="N6139">
        <v>-1.419788E-2</v>
      </c>
      <c r="O6139">
        <v>4.2016450000000004E-3</v>
      </c>
      <c r="P6139">
        <v>0.98719259999999998</v>
      </c>
      <c r="Q6139">
        <v>0.14615999999999901</v>
      </c>
      <c r="R6139">
        <v>6.3936320000000005E-2</v>
      </c>
      <c r="S6139">
        <v>3.1583860000000001</v>
      </c>
      <c r="T6139">
        <v>-0.53527590000000003</v>
      </c>
      <c r="U6139">
        <v>-0.55445859999999902</v>
      </c>
      <c r="V6139">
        <v>-5.9660900000000003E-2</v>
      </c>
      <c r="W6139">
        <v>0.1602122</v>
      </c>
      <c r="X6139">
        <v>0.98527799999999999</v>
      </c>
      <c r="Y6139">
        <v>0.17437259999999999</v>
      </c>
      <c r="Z6139">
        <v>-1.6462089999999999E-2</v>
      </c>
      <c r="AA6139">
        <v>0.98454209999999998</v>
      </c>
      <c r="AB6139">
        <v>22</v>
      </c>
      <c r="AC6139">
        <v>0.45190000000002301</v>
      </c>
      <c r="AD6139">
        <v>-0.14124629999999899</v>
      </c>
      <c r="AE6139">
        <v>-0.14709999999999401</v>
      </c>
      <c r="AF6139">
        <v>0.13690425220810601</v>
      </c>
      <c r="AG6139">
        <v>-0.14124629999999899</v>
      </c>
      <c r="AH6139">
        <v>0.41465000026217502</v>
      </c>
      <c r="AI6139">
        <v>107.92458572012799</v>
      </c>
      <c r="AJ6139">
        <v>71.728418767493807</v>
      </c>
      <c r="AK6139">
        <v>0.45894216874653498</v>
      </c>
      <c r="AL6139">
        <v>80.780787230086005</v>
      </c>
      <c r="AM6139">
        <v>93.4651632184205</v>
      </c>
      <c r="AN6139">
        <v>1.0000000546508201</v>
      </c>
    </row>
    <row r="6140" spans="1:40" x14ac:dyDescent="0.25">
      <c r="A6140" t="str">
        <f>"20190304155543476"</f>
        <v>20190304155543476</v>
      </c>
      <c r="B6140" t="str">
        <f>"1551686143463705"</f>
        <v>1551686143463705</v>
      </c>
      <c r="C6140" t="s">
        <v>40</v>
      </c>
      <c r="D6140">
        <v>5.3302690000000004</v>
      </c>
      <c r="E6140">
        <v>0.60355159999999997</v>
      </c>
      <c r="F6140" t="s">
        <v>48</v>
      </c>
      <c r="G6140">
        <v>-137.3134</v>
      </c>
      <c r="H6140">
        <v>0.97091959999999999</v>
      </c>
      <c r="I6140">
        <v>137.44399999999999</v>
      </c>
      <c r="J6140">
        <v>-137.87219999999999</v>
      </c>
      <c r="K6140">
        <v>1.110608</v>
      </c>
      <c r="L6140">
        <v>137.61150000000001</v>
      </c>
      <c r="M6140">
        <v>0.99988120000000003</v>
      </c>
      <c r="N6140">
        <v>-1.49921E-2</v>
      </c>
      <c r="O6140">
        <v>3.6214110000000002E-3</v>
      </c>
      <c r="P6140">
        <v>0.98748000000000002</v>
      </c>
      <c r="Q6140">
        <v>0.14518149999999999</v>
      </c>
      <c r="R6140">
        <v>6.1692770000000001E-2</v>
      </c>
      <c r="S6140">
        <v>3.1569060000000002</v>
      </c>
      <c r="T6140">
        <v>-0.52302040000000005</v>
      </c>
      <c r="U6140">
        <v>-0.62608339999999996</v>
      </c>
      <c r="V6140">
        <v>-5.8000959999999997E-2</v>
      </c>
      <c r="W6140">
        <v>0.16001460000000001</v>
      </c>
      <c r="X6140">
        <v>0.98540910000000004</v>
      </c>
      <c r="Y6140">
        <v>0.19524130000000001</v>
      </c>
      <c r="Z6140">
        <v>-1.793701E-2</v>
      </c>
      <c r="AA6140">
        <v>0.9805912</v>
      </c>
      <c r="AB6140">
        <v>22</v>
      </c>
      <c r="AC6140">
        <v>0.55879999999998997</v>
      </c>
      <c r="AD6140">
        <v>-0.13968839999999999</v>
      </c>
      <c r="AE6140">
        <v>-0.167500000000018</v>
      </c>
      <c r="AF6140">
        <v>0.160329809397222</v>
      </c>
      <c r="AG6140">
        <v>-0.13968839999999999</v>
      </c>
      <c r="AH6140">
        <v>0.52791989821290397</v>
      </c>
      <c r="AI6140">
        <v>104.207754872195</v>
      </c>
      <c r="AJ6140">
        <v>73.106410816292694</v>
      </c>
      <c r="AK6140">
        <v>0.56913787064737897</v>
      </c>
      <c r="AL6140">
        <v>80.792255774901705</v>
      </c>
      <c r="AM6140">
        <v>93.368530338325101</v>
      </c>
      <c r="AN6140">
        <v>0.99999993896844397</v>
      </c>
    </row>
    <row r="6141" spans="1:40" x14ac:dyDescent="0.25">
      <c r="A6141" t="str">
        <f>"20190304155543497"</f>
        <v>20190304155543497</v>
      </c>
      <c r="B6141" t="str">
        <f>"1551686143493961"</f>
        <v>1551686143493961</v>
      </c>
      <c r="C6141" t="s">
        <v>40</v>
      </c>
      <c r="D6141">
        <v>4.8966529999999997</v>
      </c>
      <c r="E6141">
        <v>0.60962640000000001</v>
      </c>
      <c r="F6141" t="s">
        <v>48</v>
      </c>
      <c r="G6141">
        <v>-137.1155</v>
      </c>
      <c r="H6141">
        <v>0.98472000000000004</v>
      </c>
      <c r="I6141">
        <v>137.4563</v>
      </c>
      <c r="J6141">
        <v>-137.66380000000001</v>
      </c>
      <c r="K6141">
        <v>1.110762</v>
      </c>
      <c r="L6141">
        <v>137.61179999999999</v>
      </c>
      <c r="M6141">
        <v>0.99987170000000003</v>
      </c>
      <c r="N6141">
        <v>-1.5698509999999999E-2</v>
      </c>
      <c r="O6141">
        <v>3.2124459999999999E-3</v>
      </c>
      <c r="P6141">
        <v>0.98768299999999998</v>
      </c>
      <c r="Q6141">
        <v>0.14464859999999999</v>
      </c>
      <c r="R6141">
        <v>5.9660730000000002E-2</v>
      </c>
      <c r="S6141">
        <v>3.155624</v>
      </c>
      <c r="T6141">
        <v>-0.52496049999999905</v>
      </c>
      <c r="U6141">
        <v>-0.64701839999999999</v>
      </c>
      <c r="V6141">
        <v>-5.6377820000000002E-2</v>
      </c>
      <c r="W6141">
        <v>0.1601774</v>
      </c>
      <c r="X6141">
        <v>0.98547689999999999</v>
      </c>
      <c r="Y6141">
        <v>0.20105490000000001</v>
      </c>
      <c r="Z6141">
        <v>-1.8523419999999999E-2</v>
      </c>
      <c r="AA6141">
        <v>0.97940479999999996</v>
      </c>
      <c r="AB6141">
        <v>22</v>
      </c>
      <c r="AC6141">
        <v>0.548300000000011</v>
      </c>
      <c r="AD6141">
        <v>-0.12604199999999999</v>
      </c>
      <c r="AE6141">
        <v>-0.15549999999998901</v>
      </c>
      <c r="AF6141">
        <v>0.14992783937521301</v>
      </c>
      <c r="AG6141">
        <v>-0.12604199999999999</v>
      </c>
      <c r="AH6141">
        <v>0.52225416222962795</v>
      </c>
      <c r="AI6141">
        <v>103.06006120185501</v>
      </c>
      <c r="AJ6141">
        <v>73.982375949040005</v>
      </c>
      <c r="AK6141">
        <v>0.557776256889705</v>
      </c>
      <c r="AL6141">
        <v>80.782806602195393</v>
      </c>
      <c r="AM6141">
        <v>93.274246275085602</v>
      </c>
      <c r="AN6141">
        <v>0.99999998924616096</v>
      </c>
    </row>
    <row r="6142" spans="1:40" x14ac:dyDescent="0.25">
      <c r="A6142" t="str">
        <f>"20190304155543519"</f>
        <v>20190304155543519</v>
      </c>
      <c r="B6142" t="str">
        <f>"1551686143514457"</f>
        <v>1551686143514457</v>
      </c>
      <c r="C6142" t="s">
        <v>40</v>
      </c>
      <c r="D6142">
        <v>4.9051299999999998</v>
      </c>
      <c r="E6142">
        <v>0.61419780000000002</v>
      </c>
      <c r="F6142" t="s">
        <v>48</v>
      </c>
      <c r="G6142">
        <v>-136.92259999999999</v>
      </c>
      <c r="H6142">
        <v>0.98950400000000005</v>
      </c>
      <c r="I6142">
        <v>137.4469</v>
      </c>
      <c r="J6142">
        <v>-137.4597</v>
      </c>
      <c r="K6142">
        <v>1.110895</v>
      </c>
      <c r="L6142">
        <v>137.61189999999999</v>
      </c>
      <c r="M6142">
        <v>0.99986169999999996</v>
      </c>
      <c r="N6142">
        <v>-1.6396239999999999E-2</v>
      </c>
      <c r="O6142">
        <v>2.8283370000000002E-3</v>
      </c>
      <c r="P6142">
        <v>0.98790630000000001</v>
      </c>
      <c r="Q6142">
        <v>0.14358609999999999</v>
      </c>
      <c r="R6142">
        <v>5.8519420000000003E-2</v>
      </c>
      <c r="S6142">
        <v>3.1553960000000001</v>
      </c>
      <c r="T6142">
        <v>-0.51623629999999998</v>
      </c>
      <c r="U6142">
        <v>-0.701690699999999</v>
      </c>
      <c r="V6142">
        <v>-5.5618540000000001E-2</v>
      </c>
      <c r="W6142">
        <v>0.15980459999999999</v>
      </c>
      <c r="X6142">
        <v>0.98558060000000003</v>
      </c>
      <c r="Y6142">
        <v>0.21676980000000001</v>
      </c>
      <c r="Z6142">
        <v>-1.962641E-2</v>
      </c>
      <c r="AA6142">
        <v>0.97602549999999999</v>
      </c>
      <c r="AB6142">
        <v>21</v>
      </c>
      <c r="AC6142">
        <v>0.53710000000000901</v>
      </c>
      <c r="AD6142">
        <v>-0.121390999999999</v>
      </c>
      <c r="AE6142">
        <v>-0.16499999999999199</v>
      </c>
      <c r="AF6142">
        <v>0.15909278076224101</v>
      </c>
      <c r="AG6142">
        <v>-0.121390999999999</v>
      </c>
      <c r="AH6142">
        <v>0.51270016430869503</v>
      </c>
      <c r="AI6142">
        <v>102.742062232804</v>
      </c>
      <c r="AJ6142">
        <v>72.760687721500602</v>
      </c>
      <c r="AK6142">
        <v>0.55037055358533304</v>
      </c>
      <c r="AL6142">
        <v>80.804445544961396</v>
      </c>
      <c r="AM6142">
        <v>93.229904543061295</v>
      </c>
      <c r="AN6142">
        <v>1.00000002563462</v>
      </c>
    </row>
    <row r="6143" spans="1:40" x14ac:dyDescent="0.25">
      <c r="A6143" t="str">
        <f>"20190304155543543"</f>
        <v>20190304155543543</v>
      </c>
      <c r="B6143" t="str">
        <f>"1551686143533978"</f>
        <v>1551686143533978</v>
      </c>
      <c r="C6143" t="s">
        <v>40</v>
      </c>
      <c r="D6143">
        <v>4.8528419999999999</v>
      </c>
      <c r="E6143">
        <v>0.6202723</v>
      </c>
      <c r="F6143" t="s">
        <v>48</v>
      </c>
      <c r="G6143">
        <v>-136.7319</v>
      </c>
      <c r="H6143">
        <v>0.99317469999999997</v>
      </c>
      <c r="I6143">
        <v>137.4408</v>
      </c>
      <c r="J6143">
        <v>-137.2413</v>
      </c>
      <c r="K6143">
        <v>1.1110169999999999</v>
      </c>
      <c r="L6143">
        <v>137.61199999999999</v>
      </c>
      <c r="M6143">
        <v>0.99984989999999996</v>
      </c>
      <c r="N6143">
        <v>-1.715616E-2</v>
      </c>
      <c r="O6143">
        <v>2.4282290000000001E-3</v>
      </c>
      <c r="P6143">
        <v>0.98799090000000001</v>
      </c>
      <c r="Q6143">
        <v>0.1434532</v>
      </c>
      <c r="R6143">
        <v>5.740547E-2</v>
      </c>
      <c r="S6143">
        <v>3.1548159999999998</v>
      </c>
      <c r="T6143">
        <v>-0.51036250000000005</v>
      </c>
      <c r="U6143">
        <v>-0.74128719999999904</v>
      </c>
      <c r="V6143">
        <v>-5.4901440000000003E-2</v>
      </c>
      <c r="W6143">
        <v>0.16042020000000001</v>
      </c>
      <c r="X6143">
        <v>0.98552079999999997</v>
      </c>
      <c r="Y6143">
        <v>0.22795550000000001</v>
      </c>
      <c r="Z6143">
        <v>-2.0417319999999999E-2</v>
      </c>
      <c r="AA6143">
        <v>0.97345749999999998</v>
      </c>
      <c r="AB6143">
        <v>21</v>
      </c>
      <c r="AC6143">
        <v>0.50939999999999896</v>
      </c>
      <c r="AD6143">
        <v>-0.117842299999999</v>
      </c>
      <c r="AE6143">
        <v>-0.17119999999999799</v>
      </c>
      <c r="AF6143">
        <v>0.164525431337919</v>
      </c>
      <c r="AG6143">
        <v>-0.117842299999999</v>
      </c>
      <c r="AH6143">
        <v>0.485631205360187</v>
      </c>
      <c r="AI6143">
        <v>102.943340718703</v>
      </c>
      <c r="AJ6143">
        <v>71.284299322656096</v>
      </c>
      <c r="AK6143">
        <v>0.52611129321257399</v>
      </c>
      <c r="AL6143">
        <v>80.768713295466796</v>
      </c>
      <c r="AM6143">
        <v>93.188540334276695</v>
      </c>
      <c r="AN6143">
        <v>1.00000002795737</v>
      </c>
    </row>
    <row r="6144" spans="1:40" x14ac:dyDescent="0.25">
      <c r="A6144" t="str">
        <f>"20190304155543580"</f>
        <v>20190304155543580</v>
      </c>
      <c r="B6144" t="str">
        <f>"1551686143573997"</f>
        <v>1551686143573997</v>
      </c>
      <c r="C6144" t="s">
        <v>40</v>
      </c>
      <c r="D6144">
        <v>4.8645230000000002</v>
      </c>
      <c r="E6144">
        <v>0.62709269999999995</v>
      </c>
      <c r="F6144" t="s">
        <v>48</v>
      </c>
      <c r="G6144">
        <v>-136.3656</v>
      </c>
      <c r="H6144">
        <v>0.97058489999999997</v>
      </c>
      <c r="I6144">
        <v>137.3922</v>
      </c>
      <c r="J6144">
        <v>-136.8964</v>
      </c>
      <c r="K6144">
        <v>1.111224</v>
      </c>
      <c r="L6144">
        <v>137.61189999999999</v>
      </c>
      <c r="M6144">
        <v>0.99982780000000004</v>
      </c>
      <c r="N6144">
        <v>-1.8472550000000001E-2</v>
      </c>
      <c r="O6144">
        <v>1.7848880000000001E-3</v>
      </c>
      <c r="P6144">
        <v>0.98806629999999995</v>
      </c>
      <c r="Q6144">
        <v>0.14339150000000001</v>
      </c>
      <c r="R6144">
        <v>5.6249680000000003E-2</v>
      </c>
      <c r="S6144">
        <v>3.1559750000000002</v>
      </c>
      <c r="T6144">
        <v>-0.50611279999999903</v>
      </c>
      <c r="U6144">
        <v>-0.79214479999999998</v>
      </c>
      <c r="V6144">
        <v>-5.4387520000000002E-2</v>
      </c>
      <c r="W6144">
        <v>0.1616542</v>
      </c>
      <c r="X6144">
        <v>0.98534759999999999</v>
      </c>
      <c r="Y6144">
        <v>0.24189649999999999</v>
      </c>
      <c r="Z6144">
        <v>-2.1515369999999999E-2</v>
      </c>
      <c r="AA6144">
        <v>0.97006349999999997</v>
      </c>
      <c r="AB6144">
        <v>21</v>
      </c>
      <c r="AC6144">
        <v>0.53079999999999905</v>
      </c>
      <c r="AD6144">
        <v>-0.14063909999999999</v>
      </c>
      <c r="AE6144">
        <v>-0.21969999999998799</v>
      </c>
      <c r="AF6144">
        <v>0.20817064624930501</v>
      </c>
      <c r="AG6144">
        <v>-0.14063909999999999</v>
      </c>
      <c r="AH6144">
        <v>0.50041487920198302</v>
      </c>
      <c r="AI6144">
        <v>104.546728778428</v>
      </c>
      <c r="AJ6144">
        <v>67.412879164789999</v>
      </c>
      <c r="AK6144">
        <v>0.55993698371816703</v>
      </c>
      <c r="AL6144">
        <v>80.697074928511398</v>
      </c>
      <c r="AM6144">
        <v>93.159307960246807</v>
      </c>
      <c r="AN6144">
        <v>0.99999998776757504</v>
      </c>
    </row>
    <row r="6145" spans="1:40" x14ac:dyDescent="0.25">
      <c r="A6145" t="str">
        <f>"20190304155543608"</f>
        <v>20190304155543608</v>
      </c>
      <c r="B6145" t="str">
        <f>"1551686143604249"</f>
        <v>1551686143604249</v>
      </c>
      <c r="C6145" t="s">
        <v>40</v>
      </c>
      <c r="D6145">
        <v>4.8801829999999997</v>
      </c>
      <c r="E6145">
        <v>0.6318954</v>
      </c>
      <c r="F6145" t="s">
        <v>48</v>
      </c>
      <c r="G6145">
        <v>-136.1712</v>
      </c>
      <c r="H6145">
        <v>0.99774149999999995</v>
      </c>
      <c r="I6145">
        <v>137.4169</v>
      </c>
      <c r="J6145">
        <v>-136.65360000000001</v>
      </c>
      <c r="K6145">
        <v>1.111354</v>
      </c>
      <c r="L6145">
        <v>137.61179999999999</v>
      </c>
      <c r="M6145">
        <v>0.99981039999999999</v>
      </c>
      <c r="N6145">
        <v>-1.9427989999999999E-2</v>
      </c>
      <c r="O6145">
        <v>1.3195289999999901E-3</v>
      </c>
      <c r="P6145">
        <v>0.98813499999999999</v>
      </c>
      <c r="Q6145">
        <v>0.1430274</v>
      </c>
      <c r="R6145">
        <v>5.5968509999999999E-2</v>
      </c>
      <c r="S6145">
        <v>3.1562350000000001</v>
      </c>
      <c r="T6145">
        <v>-0.4939694</v>
      </c>
      <c r="U6145">
        <v>-0.84902949999999999</v>
      </c>
      <c r="V6145">
        <v>-5.4570689999999998E-2</v>
      </c>
      <c r="W6145">
        <v>0.1622306</v>
      </c>
      <c r="X6145">
        <v>0.98524270000000003</v>
      </c>
      <c r="Y6145">
        <v>0.257714</v>
      </c>
      <c r="Z6145">
        <v>-2.2440990000000001E-2</v>
      </c>
      <c r="AA6145">
        <v>0.96596059999999995</v>
      </c>
      <c r="AB6145">
        <v>21</v>
      </c>
      <c r="AC6145">
        <v>0.48240000000001199</v>
      </c>
      <c r="AD6145">
        <v>-0.11361250000000001</v>
      </c>
      <c r="AE6145">
        <v>-0.194899999999989</v>
      </c>
      <c r="AF6145">
        <v>0.186636934863047</v>
      </c>
      <c r="AG6145">
        <v>-0.11361250000000001</v>
      </c>
      <c r="AH6145">
        <v>0.46019835363364697</v>
      </c>
      <c r="AI6145">
        <v>102.88628770879301</v>
      </c>
      <c r="AJ6145">
        <v>67.924612137890307</v>
      </c>
      <c r="AK6145">
        <v>0.509434657535628</v>
      </c>
      <c r="AL6145">
        <v>80.663607553392097</v>
      </c>
      <c r="AM6145">
        <v>93.170263247797493</v>
      </c>
      <c r="AN6145">
        <v>0.99999995284336196</v>
      </c>
    </row>
    <row r="6146" spans="1:40" x14ac:dyDescent="0.25">
      <c r="A6146" t="str">
        <f>"20190304155543649"</f>
        <v>20190304155543649</v>
      </c>
      <c r="B6146" t="str">
        <f>"1551686143644266"</f>
        <v>1551686143644266</v>
      </c>
      <c r="C6146" t="s">
        <v>40</v>
      </c>
      <c r="D6146">
        <v>4.8614360000000003</v>
      </c>
      <c r="E6146">
        <v>0.6363704</v>
      </c>
      <c r="F6146" t="s">
        <v>46</v>
      </c>
      <c r="G6146">
        <v>-129.44069999999999</v>
      </c>
      <c r="H6146" s="1">
        <v>-1.249921E-6</v>
      </c>
      <c r="I6146">
        <v>135.58160000000001</v>
      </c>
      <c r="J6146">
        <v>-136.29329999999999</v>
      </c>
      <c r="K6146">
        <v>1.111524</v>
      </c>
      <c r="L6146">
        <v>137.6113</v>
      </c>
      <c r="M6146">
        <v>0.99978250000000002</v>
      </c>
      <c r="N6146">
        <v>-2.0851629999999999E-2</v>
      </c>
      <c r="O6146">
        <v>6.3345449999999896E-4</v>
      </c>
      <c r="P6146">
        <v>0.98807780000000001</v>
      </c>
      <c r="Q6146">
        <v>0.143229</v>
      </c>
      <c r="R6146">
        <v>5.6464729999999998E-2</v>
      </c>
      <c r="S6146">
        <v>3.1567539999999998</v>
      </c>
      <c r="T6146">
        <v>-0.48638520000000002</v>
      </c>
      <c r="U6146">
        <v>-0.88850399999999996</v>
      </c>
      <c r="V6146">
        <v>-5.574805E-2</v>
      </c>
      <c r="W6146">
        <v>0.16383259999999999</v>
      </c>
      <c r="X6146">
        <v>0.98491169999999995</v>
      </c>
      <c r="Y6146">
        <v>0.26817869999999999</v>
      </c>
      <c r="Z6146">
        <v>-2.3103459999999999E-2</v>
      </c>
      <c r="AA6146">
        <v>0.96309210000000001</v>
      </c>
      <c r="AB6146">
        <v>20</v>
      </c>
      <c r="AC6146">
        <v>6.85259999999999</v>
      </c>
      <c r="AD6146">
        <v>-1.111525249921</v>
      </c>
      <c r="AE6146">
        <v>-2.0296999999999898</v>
      </c>
      <c r="AF6146">
        <v>1.9860031881284601</v>
      </c>
      <c r="AG6146">
        <v>-1.111525249921</v>
      </c>
      <c r="AH6146">
        <v>6.6895044859649699</v>
      </c>
      <c r="AI6146">
        <v>99.050495767379402</v>
      </c>
      <c r="AJ6146">
        <v>73.464717070494402</v>
      </c>
      <c r="AK6146">
        <v>7.0660574093488604</v>
      </c>
      <c r="AL6146">
        <v>80.570575559315898</v>
      </c>
      <c r="AM6146">
        <v>93.2396035222351</v>
      </c>
      <c r="AN6146">
        <v>1.00000001134922</v>
      </c>
    </row>
    <row r="6147" spans="1:40" x14ac:dyDescent="0.25">
      <c r="A6147" t="str">
        <f>"20190304155543681"</f>
        <v>20190304155543681</v>
      </c>
      <c r="B6147" t="str">
        <f>"1551686143674521"</f>
        <v>1551686143674521</v>
      </c>
      <c r="C6147" t="s">
        <v>40</v>
      </c>
      <c r="D6147">
        <v>4.8295870000000001</v>
      </c>
      <c r="E6147">
        <v>0.63954</v>
      </c>
      <c r="F6147" t="s">
        <v>46</v>
      </c>
      <c r="G6147">
        <v>-128.9171</v>
      </c>
      <c r="H6147" s="1">
        <v>-1.4617760000000001E-6</v>
      </c>
      <c r="I6147">
        <v>135.45500000000001</v>
      </c>
      <c r="J6147">
        <v>-136.01050000000001</v>
      </c>
      <c r="K6147">
        <v>1.1116539999999999</v>
      </c>
      <c r="L6147">
        <v>137.61080000000001</v>
      </c>
      <c r="M6147">
        <v>0.99975860000000005</v>
      </c>
      <c r="N6147">
        <v>-2.1974270000000001E-2</v>
      </c>
      <c r="O6147" s="1">
        <v>9.6687069999999996E-5</v>
      </c>
      <c r="P6147">
        <v>0.98802650000000003</v>
      </c>
      <c r="Q6147">
        <v>0.14336289999999999</v>
      </c>
      <c r="R6147">
        <v>5.7017680000000001E-2</v>
      </c>
      <c r="S6147">
        <v>3.1579440000000001</v>
      </c>
      <c r="T6147">
        <v>-0.47586869999999998</v>
      </c>
      <c r="U6147">
        <v>-0.92314149999999995</v>
      </c>
      <c r="V6147">
        <v>-5.6833679999999998E-2</v>
      </c>
      <c r="W6147">
        <v>0.16506999999999999</v>
      </c>
      <c r="X6147">
        <v>0.98464300000000005</v>
      </c>
      <c r="Y6147">
        <v>0.27733350000000001</v>
      </c>
      <c r="Z6147">
        <v>-2.3499579999999999E-2</v>
      </c>
      <c r="AA6147">
        <v>0.96048630000000002</v>
      </c>
      <c r="AB6147">
        <v>20</v>
      </c>
      <c r="AC6147">
        <v>7.0933999999999999</v>
      </c>
      <c r="AD6147">
        <v>-1.1116554617759999</v>
      </c>
      <c r="AE6147">
        <v>-2.1558000000000002</v>
      </c>
      <c r="AF6147">
        <v>2.1090668174467102</v>
      </c>
      <c r="AG6147">
        <v>-1.1116554617759999</v>
      </c>
      <c r="AH6147">
        <v>6.9372186083273002</v>
      </c>
      <c r="AI6147">
        <v>98.716499792009301</v>
      </c>
      <c r="AJ6147">
        <v>73.089576278320393</v>
      </c>
      <c r="AK6147">
        <v>7.3354579083976601</v>
      </c>
      <c r="AL6147">
        <v>80.498699112070796</v>
      </c>
      <c r="AM6147">
        <v>93.303452050764605</v>
      </c>
      <c r="AN6147">
        <v>1.0000000047656701</v>
      </c>
    </row>
    <row r="6148" spans="1:40" x14ac:dyDescent="0.25">
      <c r="A6148" t="str">
        <f>"20190304155543714"</f>
        <v>20190304155543714</v>
      </c>
      <c r="B6148" t="str">
        <f>"1551686143703802"</f>
        <v>1551686143703802</v>
      </c>
      <c r="C6148" t="s">
        <v>40</v>
      </c>
      <c r="D6148">
        <v>4.8466589999999998</v>
      </c>
      <c r="E6148">
        <v>0.64164719999999997</v>
      </c>
      <c r="F6148" t="s">
        <v>46</v>
      </c>
      <c r="G6148">
        <v>-128.5411</v>
      </c>
      <c r="H6148" s="1">
        <v>-1.611677E-6</v>
      </c>
      <c r="I6148">
        <v>135.3725</v>
      </c>
      <c r="J6148">
        <v>-135.7295</v>
      </c>
      <c r="K6148">
        <v>1.1117760000000001</v>
      </c>
      <c r="L6148">
        <v>137.61009999999999</v>
      </c>
      <c r="M6148">
        <v>0.99973400000000001</v>
      </c>
      <c r="N6148">
        <v>-2.3060859999999999E-2</v>
      </c>
      <c r="O6148">
        <v>-4.47377E-4</v>
      </c>
      <c r="P6148">
        <v>0.98786059999999998</v>
      </c>
      <c r="Q6148">
        <v>0.144112299999999</v>
      </c>
      <c r="R6148">
        <v>5.7991969999999997E-2</v>
      </c>
      <c r="S6148">
        <v>3.1592099999999999</v>
      </c>
      <c r="T6148">
        <v>-0.47018149999999997</v>
      </c>
      <c r="U6148">
        <v>-0.94668580000000002</v>
      </c>
      <c r="V6148">
        <v>-5.8348980000000002E-2</v>
      </c>
      <c r="W6148">
        <v>0.16688410000000001</v>
      </c>
      <c r="X6148">
        <v>0.98424849999999997</v>
      </c>
      <c r="Y6148">
        <v>0.28327839999999999</v>
      </c>
      <c r="Z6148">
        <v>-2.3822369999999999E-2</v>
      </c>
      <c r="AA6148">
        <v>0.95874179999999998</v>
      </c>
      <c r="AB6148">
        <v>19</v>
      </c>
      <c r="AC6148">
        <v>7.1883999999999997</v>
      </c>
      <c r="AD6148">
        <v>-1.111777611677</v>
      </c>
      <c r="AE6148">
        <v>-2.23759999999998</v>
      </c>
      <c r="AF6148">
        <v>2.1866965534157301</v>
      </c>
      <c r="AG6148">
        <v>-1.111777611677</v>
      </c>
      <c r="AH6148">
        <v>7.0359636359655298</v>
      </c>
      <c r="AI6148">
        <v>98.580860682691295</v>
      </c>
      <c r="AJ6148">
        <v>72.735356447352999</v>
      </c>
      <c r="AK6148">
        <v>7.4513405210858403</v>
      </c>
      <c r="AL6148">
        <v>80.393296884840893</v>
      </c>
      <c r="AM6148">
        <v>93.392681918283898</v>
      </c>
      <c r="AN6148">
        <v>1.00000000802605</v>
      </c>
    </row>
    <row r="6149" spans="1:40" x14ac:dyDescent="0.25">
      <c r="A6149" t="str">
        <f>"20190304155543739"</f>
        <v>20190304155543739</v>
      </c>
      <c r="B6149" t="str">
        <f>"1551686143734057"</f>
        <v>1551686143734057</v>
      </c>
      <c r="C6149" t="s">
        <v>40</v>
      </c>
      <c r="D6149">
        <v>4.8623029999999998</v>
      </c>
      <c r="E6149">
        <v>0.6437368</v>
      </c>
      <c r="F6149" t="s">
        <v>46</v>
      </c>
      <c r="G6149">
        <v>-128.1129</v>
      </c>
      <c r="H6149" s="1">
        <v>-1.7785669999999999E-6</v>
      </c>
      <c r="I6149">
        <v>135.29300000000001</v>
      </c>
      <c r="J6149">
        <v>-135.5163</v>
      </c>
      <c r="K6149">
        <v>1.111869</v>
      </c>
      <c r="L6149">
        <v>137.6095</v>
      </c>
      <c r="M6149">
        <v>0.99971370000000004</v>
      </c>
      <c r="N6149">
        <v>-2.3915390000000002E-2</v>
      </c>
      <c r="O6149">
        <v>-8.6086159999999997E-4</v>
      </c>
      <c r="P6149">
        <v>0.98796819999999996</v>
      </c>
      <c r="Q6149">
        <v>0.1432262</v>
      </c>
      <c r="R6149">
        <v>5.8353679999999998E-2</v>
      </c>
      <c r="S6149">
        <v>3.1606139999999998</v>
      </c>
      <c r="T6149">
        <v>-0.4613488</v>
      </c>
      <c r="U6149">
        <v>-0.96151730000000002</v>
      </c>
      <c r="V6149">
        <v>-5.912237E-2</v>
      </c>
      <c r="W6149">
        <v>0.16684089999999999</v>
      </c>
      <c r="X6149">
        <v>0.98420969999999997</v>
      </c>
      <c r="Y6149">
        <v>0.28695150000000003</v>
      </c>
      <c r="Z6149">
        <v>-2.3803520000000002E-2</v>
      </c>
      <c r="AA6149">
        <v>0.95764930000000004</v>
      </c>
      <c r="AB6149">
        <v>19</v>
      </c>
      <c r="AC6149">
        <v>7.4034000000000004</v>
      </c>
      <c r="AD6149">
        <v>-1.1118707785669999</v>
      </c>
      <c r="AE6149">
        <v>-2.3164999999999898</v>
      </c>
      <c r="AF6149">
        <v>2.2636205510224898</v>
      </c>
      <c r="AG6149">
        <v>-1.1118707785669999</v>
      </c>
      <c r="AH6149">
        <v>7.2563193285860201</v>
      </c>
      <c r="AI6149">
        <v>98.321967419366501</v>
      </c>
      <c r="AJ6149">
        <v>72.674604464421606</v>
      </c>
      <c r="AK6149">
        <v>7.6820833649247602</v>
      </c>
      <c r="AL6149">
        <v>80.395807538975305</v>
      </c>
      <c r="AM6149">
        <v>93.437678481252107</v>
      </c>
      <c r="AN6149">
        <v>1.0000000370606501</v>
      </c>
    </row>
    <row r="6150" spans="1:40" x14ac:dyDescent="0.25">
      <c r="A6150" t="str">
        <f>"20190304155543764"</f>
        <v>20190304155543764</v>
      </c>
      <c r="B6150" t="str">
        <f>"1551686143754554"</f>
        <v>1551686143754554</v>
      </c>
      <c r="C6150" t="s">
        <v>40</v>
      </c>
      <c r="D6150">
        <v>4.8338700000000001</v>
      </c>
      <c r="E6150">
        <v>0.6452755</v>
      </c>
      <c r="F6150" t="s">
        <v>46</v>
      </c>
      <c r="G6150">
        <v>-127.8573</v>
      </c>
      <c r="H6150" s="1">
        <v>-1.8795369999999999E-6</v>
      </c>
      <c r="I6150">
        <v>135.24029999999999</v>
      </c>
      <c r="J6150">
        <v>-135.32470000000001</v>
      </c>
      <c r="K6150">
        <v>1.111953</v>
      </c>
      <c r="L6150">
        <v>137.6088</v>
      </c>
      <c r="M6150">
        <v>0.99969450000000004</v>
      </c>
      <c r="N6150">
        <v>-2.4685889999999999E-2</v>
      </c>
      <c r="O6150">
        <v>-1.2320530000000001E-3</v>
      </c>
      <c r="P6150">
        <v>0.98803399999999997</v>
      </c>
      <c r="Q6150">
        <v>0.14258499999999999</v>
      </c>
      <c r="R6150">
        <v>5.8811599999999999E-2</v>
      </c>
      <c r="S6150">
        <v>3.1607820000000002</v>
      </c>
      <c r="T6150">
        <v>-0.45885680000000001</v>
      </c>
      <c r="U6150">
        <v>-0.97770690000000005</v>
      </c>
      <c r="V6150">
        <v>-5.994994E-2</v>
      </c>
      <c r="W6150">
        <v>0.16695839999999901</v>
      </c>
      <c r="X6150">
        <v>0.98413969999999995</v>
      </c>
      <c r="Y6150">
        <v>0.29104049999999998</v>
      </c>
      <c r="Z6150">
        <v>-2.4093320000000001E-2</v>
      </c>
      <c r="AA6150">
        <v>0.95640729999999996</v>
      </c>
      <c r="AB6150">
        <v>19</v>
      </c>
      <c r="AC6150">
        <v>7.4674000000000103</v>
      </c>
      <c r="AD6150">
        <v>-1.111954879537</v>
      </c>
      <c r="AE6150">
        <v>-2.3685000000000098</v>
      </c>
      <c r="AF6150">
        <v>2.3127017317134699</v>
      </c>
      <c r="AG6150">
        <v>-1.111954879537</v>
      </c>
      <c r="AH6150">
        <v>7.3227830290898801</v>
      </c>
      <c r="AI6150">
        <v>98.239100664121494</v>
      </c>
      <c r="AJ6150">
        <v>72.472696106132204</v>
      </c>
      <c r="AK6150">
        <v>7.7593932910455896</v>
      </c>
      <c r="AL6150">
        <v>80.388979405982894</v>
      </c>
      <c r="AM6150">
        <v>93.4859271478484</v>
      </c>
      <c r="AN6150">
        <v>1.00000002587632</v>
      </c>
    </row>
    <row r="6151" spans="1:40" x14ac:dyDescent="0.25">
      <c r="A6151" t="str">
        <f>"20190304155543789"</f>
        <v>20190304155543789</v>
      </c>
      <c r="B6151" t="str">
        <f>"1551686143783833"</f>
        <v>1551686143783833</v>
      </c>
      <c r="C6151" t="s">
        <v>40</v>
      </c>
      <c r="D6151">
        <v>4.8355940000000004</v>
      </c>
      <c r="E6151">
        <v>0.64713559999999903</v>
      </c>
      <c r="F6151" t="s">
        <v>46</v>
      </c>
      <c r="G6151">
        <v>-127.6506</v>
      </c>
      <c r="H6151" s="1">
        <v>-1.9585789999999998E-6</v>
      </c>
      <c r="I6151">
        <v>135.20769999999999</v>
      </c>
      <c r="J6151">
        <v>-135.12469999999999</v>
      </c>
      <c r="K6151">
        <v>1.1120209999999999</v>
      </c>
      <c r="L6151">
        <v>137.60810000000001</v>
      </c>
      <c r="M6151">
        <v>0.99967519999999999</v>
      </c>
      <c r="N6151">
        <v>-2.5432119999999999E-2</v>
      </c>
      <c r="O6151">
        <v>-1.620811E-3</v>
      </c>
      <c r="P6151">
        <v>0.98811669999999996</v>
      </c>
      <c r="Q6151">
        <v>0.14188599999999901</v>
      </c>
      <c r="R6151">
        <v>5.9109889999999998E-2</v>
      </c>
      <c r="S6151">
        <v>3.1613159999999998</v>
      </c>
      <c r="T6151">
        <v>-0.45806210000000003</v>
      </c>
      <c r="U6151">
        <v>-0.98910520000000002</v>
      </c>
      <c r="V6151">
        <v>-6.0636559999999999E-2</v>
      </c>
      <c r="W6151">
        <v>0.16699510000000001</v>
      </c>
      <c r="X6151">
        <v>0.98409139999999995</v>
      </c>
      <c r="Y6151">
        <v>0.29373739999999998</v>
      </c>
      <c r="Z6151">
        <v>-2.433921E-2</v>
      </c>
      <c r="AA6151">
        <v>0.95557619999999999</v>
      </c>
      <c r="AB6151">
        <v>18</v>
      </c>
      <c r="AC6151">
        <v>7.4740999999999902</v>
      </c>
      <c r="AD6151">
        <v>-1.112022958579</v>
      </c>
      <c r="AE6151">
        <v>-2.4004000000000101</v>
      </c>
      <c r="AF6151">
        <v>2.3412966140091198</v>
      </c>
      <c r="AG6151">
        <v>-1.112022958579</v>
      </c>
      <c r="AH6151">
        <v>7.3308752097467398</v>
      </c>
      <c r="AI6151">
        <v>98.222312964291504</v>
      </c>
      <c r="AJ6151">
        <v>72.287829558286205</v>
      </c>
      <c r="AK6151">
        <v>7.7756026284820301</v>
      </c>
      <c r="AL6151">
        <v>80.386846649648902</v>
      </c>
      <c r="AM6151">
        <v>93.525924712469006</v>
      </c>
      <c r="AN6151">
        <v>1.0000000196933001</v>
      </c>
    </row>
    <row r="6152" spans="1:40" x14ac:dyDescent="0.25">
      <c r="A6152" t="str">
        <f>"20190304155543813"</f>
        <v>20190304155543813</v>
      </c>
      <c r="B6152" t="str">
        <f>"1551686143804330"</f>
        <v>1551686143804330</v>
      </c>
      <c r="C6152" t="s">
        <v>40</v>
      </c>
      <c r="D6152">
        <v>4.848814</v>
      </c>
      <c r="E6152">
        <v>0.64815129999999999</v>
      </c>
      <c r="F6152" t="s">
        <v>46</v>
      </c>
      <c r="G6152">
        <v>-127.4173</v>
      </c>
      <c r="H6152" s="1">
        <v>-2.0504860000000001E-6</v>
      </c>
      <c r="I6152">
        <v>135.16069999999999</v>
      </c>
      <c r="J6152">
        <v>-134.946</v>
      </c>
      <c r="K6152">
        <v>1.1120730000000001</v>
      </c>
      <c r="L6152">
        <v>137.60730000000001</v>
      </c>
      <c r="M6152">
        <v>0.99965930000000003</v>
      </c>
      <c r="N6152">
        <v>-2.6027539999999998E-2</v>
      </c>
      <c r="O6152">
        <v>-1.9691000000000001E-3</v>
      </c>
      <c r="P6152">
        <v>0.98816369999999998</v>
      </c>
      <c r="Q6152">
        <v>0.1414695</v>
      </c>
      <c r="R6152">
        <v>5.9321020000000002E-2</v>
      </c>
      <c r="S6152">
        <v>3.1616520000000001</v>
      </c>
      <c r="T6152">
        <v>-0.45615640000000002</v>
      </c>
      <c r="U6152">
        <v>-1.003906</v>
      </c>
      <c r="V6152">
        <v>-6.1195060000000003E-2</v>
      </c>
      <c r="W6152">
        <v>0.1671648</v>
      </c>
      <c r="X6152">
        <v>0.98402800000000001</v>
      </c>
      <c r="Y6152">
        <v>0.2974214</v>
      </c>
      <c r="Z6152">
        <v>-2.4599960000000001E-2</v>
      </c>
      <c r="AA6152">
        <v>0.95442930000000004</v>
      </c>
      <c r="AB6152">
        <v>18</v>
      </c>
      <c r="AC6152">
        <v>7.5286999999999997</v>
      </c>
      <c r="AD6152">
        <v>-1.112075050486</v>
      </c>
      <c r="AE6152">
        <v>-2.4466000000000099</v>
      </c>
      <c r="AF6152">
        <v>2.3847043084009099</v>
      </c>
      <c r="AG6152">
        <v>-1.112075050486</v>
      </c>
      <c r="AH6152">
        <v>7.3877111865506597</v>
      </c>
      <c r="AI6152">
        <v>98.152281455542706</v>
      </c>
      <c r="AJ6152">
        <v>72.110263776596597</v>
      </c>
      <c r="AK6152">
        <v>7.8423084695965102</v>
      </c>
      <c r="AL6152">
        <v>80.376984793105393</v>
      </c>
      <c r="AM6152">
        <v>93.5585462551592</v>
      </c>
      <c r="AN6152">
        <v>1.0000000052557201</v>
      </c>
    </row>
    <row r="6153" spans="1:40" x14ac:dyDescent="0.25">
      <c r="A6153" t="str">
        <f>"20190304155543849"</f>
        <v>20190304155543849</v>
      </c>
      <c r="B6153" t="str">
        <f>"1551686143844346"</f>
        <v>1551686143844346</v>
      </c>
      <c r="C6153" t="s">
        <v>40</v>
      </c>
      <c r="D6153">
        <v>4.8128549999999999</v>
      </c>
      <c r="E6153">
        <v>0.65025299999999997</v>
      </c>
      <c r="F6153" t="s">
        <v>46</v>
      </c>
      <c r="G6153">
        <v>-127.2153</v>
      </c>
      <c r="H6153" s="1">
        <v>-2.126458E-6</v>
      </c>
      <c r="I6153">
        <v>135.13339999999999</v>
      </c>
      <c r="J6153">
        <v>-134.67529999999999</v>
      </c>
      <c r="K6153">
        <v>1.1121449999999999</v>
      </c>
      <c r="L6153">
        <v>137.6061</v>
      </c>
      <c r="M6153">
        <v>0.99963679999999999</v>
      </c>
      <c r="N6153">
        <v>-2.6838620000000001E-2</v>
      </c>
      <c r="O6153">
        <v>-2.4920210000000001E-3</v>
      </c>
      <c r="P6153">
        <v>0.98825819999999998</v>
      </c>
      <c r="Q6153">
        <v>0.14063529999999999</v>
      </c>
      <c r="R6153">
        <v>5.9729770000000001E-2</v>
      </c>
      <c r="S6153">
        <v>3.1617890000000002</v>
      </c>
      <c r="T6153">
        <v>-0.4548333</v>
      </c>
      <c r="U6153">
        <v>-1.0118100000000001</v>
      </c>
      <c r="V6153">
        <v>-6.2125880000000001E-2</v>
      </c>
      <c r="W6153">
        <v>0.1671291</v>
      </c>
      <c r="X6153">
        <v>0.98397570000000001</v>
      </c>
      <c r="Y6153">
        <v>0.29906379999999999</v>
      </c>
      <c r="Z6153">
        <v>-2.4737780000000001E-2</v>
      </c>
      <c r="AA6153">
        <v>0.95391239999999999</v>
      </c>
      <c r="AB6153">
        <v>17</v>
      </c>
      <c r="AC6153">
        <v>7.4599999999999902</v>
      </c>
      <c r="AD6153">
        <v>-1.1121471264579901</v>
      </c>
      <c r="AE6153">
        <v>-2.4727000000000001</v>
      </c>
      <c r="AF6153">
        <v>2.4059162732618602</v>
      </c>
      <c r="AG6153">
        <v>-1.1121471264579901</v>
      </c>
      <c r="AH6153">
        <v>7.3195655529196104</v>
      </c>
      <c r="AI6153">
        <v>98.213575469342004</v>
      </c>
      <c r="AJ6153">
        <v>71.804481828047003</v>
      </c>
      <c r="AK6153">
        <v>7.7846865208768898</v>
      </c>
      <c r="AL6153">
        <v>80.379059092356798</v>
      </c>
      <c r="AM6153">
        <v>93.612723486552497</v>
      </c>
      <c r="AN6153">
        <v>0.99999996961153603</v>
      </c>
    </row>
    <row r="6154" spans="1:40" x14ac:dyDescent="0.25">
      <c r="A6154" t="str">
        <f>"20190304155543881"</f>
        <v>20190304155543881</v>
      </c>
      <c r="B6154" t="str">
        <f>"1551686143873626"</f>
        <v>1551686143873626</v>
      </c>
      <c r="C6154" t="s">
        <v>40</v>
      </c>
      <c r="D6154">
        <v>4.8484980000000002</v>
      </c>
      <c r="E6154">
        <v>0.65177410000000002</v>
      </c>
      <c r="F6154" t="s">
        <v>46</v>
      </c>
      <c r="G6154">
        <v>-126.88420000000001</v>
      </c>
      <c r="H6154" s="1">
        <v>-2.255906E-6</v>
      </c>
      <c r="I6154">
        <v>135.07050000000001</v>
      </c>
      <c r="J6154">
        <v>-134.4374</v>
      </c>
      <c r="K6154">
        <v>1.112214</v>
      </c>
      <c r="L6154">
        <v>137.60489999999999</v>
      </c>
      <c r="M6154">
        <v>0.99961719999999998</v>
      </c>
      <c r="N6154">
        <v>-2.7510659999999999E-2</v>
      </c>
      <c r="O6154">
        <v>-2.9414979999999999E-3</v>
      </c>
      <c r="P6154">
        <v>0.98833850000000001</v>
      </c>
      <c r="Q6154">
        <v>0.13997989999999999</v>
      </c>
      <c r="R6154">
        <v>5.9939840000000001E-2</v>
      </c>
      <c r="S6154">
        <v>3.1620789999999999</v>
      </c>
      <c r="T6154">
        <v>-0.45137070000000001</v>
      </c>
      <c r="U6154">
        <v>-1.029083</v>
      </c>
      <c r="V6154">
        <v>-6.2786889999999998E-2</v>
      </c>
      <c r="W6154">
        <v>0.16713430000000001</v>
      </c>
      <c r="X6154">
        <v>0.9839329</v>
      </c>
      <c r="Y6154">
        <v>0.30331940000000002</v>
      </c>
      <c r="Z6154">
        <v>-2.4977639999999999E-2</v>
      </c>
      <c r="AA6154">
        <v>0.95256160000000001</v>
      </c>
      <c r="AB6154">
        <v>17</v>
      </c>
      <c r="AC6154">
        <v>7.5531999999999897</v>
      </c>
      <c r="AD6154">
        <v>-1.112216255906</v>
      </c>
      <c r="AE6154">
        <v>-2.53439999999997</v>
      </c>
      <c r="AF6154">
        <v>2.4641400457303</v>
      </c>
      <c r="AG6154">
        <v>-1.112216255906</v>
      </c>
      <c r="AH6154">
        <v>7.4160951185166102</v>
      </c>
      <c r="AI6154">
        <v>98.100081897517299</v>
      </c>
      <c r="AJ6154">
        <v>71.619941624818196</v>
      </c>
      <c r="AK6154">
        <v>7.8935085970536099</v>
      </c>
      <c r="AL6154">
        <v>80.378757293713903</v>
      </c>
      <c r="AM6154">
        <v>93.651217279827307</v>
      </c>
      <c r="AN6154">
        <v>1.00000000974738</v>
      </c>
    </row>
    <row r="6155" spans="1:40" x14ac:dyDescent="0.25">
      <c r="A6155" t="str">
        <f>"20190304155543902"</f>
        <v>20190304155543902</v>
      </c>
      <c r="B6155" t="str">
        <f>"1551686143894121"</f>
        <v>1551686143894121</v>
      </c>
      <c r="C6155" t="s">
        <v>40</v>
      </c>
      <c r="D6155">
        <v>4.8521910000000004</v>
      </c>
      <c r="E6155">
        <v>0.65270760000000005</v>
      </c>
      <c r="F6155" t="s">
        <v>46</v>
      </c>
      <c r="G6155">
        <v>-126.62820000000001</v>
      </c>
      <c r="H6155" s="1">
        <v>-2.3528019999999998E-6</v>
      </c>
      <c r="I6155">
        <v>135.03370000000001</v>
      </c>
      <c r="J6155">
        <v>-134.2927</v>
      </c>
      <c r="K6155">
        <v>1.112252</v>
      </c>
      <c r="L6155">
        <v>137.60419999999999</v>
      </c>
      <c r="M6155">
        <v>0.99960629999999995</v>
      </c>
      <c r="N6155">
        <v>-2.7877929999999999E-2</v>
      </c>
      <c r="O6155">
        <v>-3.2069490000000002E-3</v>
      </c>
      <c r="P6155">
        <v>0.98837889999999995</v>
      </c>
      <c r="Q6155">
        <v>0.13965529999999901</v>
      </c>
      <c r="R6155">
        <v>6.002946E-2</v>
      </c>
      <c r="S6155">
        <v>3.1623380000000001</v>
      </c>
      <c r="T6155">
        <v>-0.45038899999999998</v>
      </c>
      <c r="U6155">
        <v>-1.0412140000000001</v>
      </c>
      <c r="V6155">
        <v>-6.3143530000000003E-2</v>
      </c>
      <c r="W6155">
        <v>0.1671714</v>
      </c>
      <c r="X6155">
        <v>0.9839038</v>
      </c>
      <c r="Y6155">
        <v>0.3063205</v>
      </c>
      <c r="Z6155">
        <v>-2.520157E-2</v>
      </c>
      <c r="AA6155">
        <v>0.95159479999999996</v>
      </c>
      <c r="AB6155">
        <v>16</v>
      </c>
      <c r="AC6155">
        <v>7.6644999999999897</v>
      </c>
      <c r="AD6155">
        <v>-1.1122543528019999</v>
      </c>
      <c r="AE6155">
        <v>-2.57049999999998</v>
      </c>
      <c r="AF6155">
        <v>2.4985992334010101</v>
      </c>
      <c r="AG6155">
        <v>-1.1122543528019999</v>
      </c>
      <c r="AH6155">
        <v>7.5301617442939399</v>
      </c>
      <c r="AI6155">
        <v>97.980320734549395</v>
      </c>
      <c r="AJ6155">
        <v>71.643528072670193</v>
      </c>
      <c r="AK6155">
        <v>8.0114570316333307</v>
      </c>
      <c r="AL6155">
        <v>80.376601532841505</v>
      </c>
      <c r="AM6155">
        <v>93.672008525568998</v>
      </c>
      <c r="AN6155">
        <v>1.00000003500662</v>
      </c>
    </row>
    <row r="6156" spans="1:40" x14ac:dyDescent="0.25">
      <c r="A6156" t="str">
        <f>"20190304155543923"</f>
        <v>20190304155543923</v>
      </c>
      <c r="B6156" t="str">
        <f>"1551686143914618"</f>
        <v>1551686143914618</v>
      </c>
      <c r="C6156" t="s">
        <v>40</v>
      </c>
      <c r="D6156">
        <v>4.8379890000000003</v>
      </c>
      <c r="E6156">
        <v>0.65335900000000002</v>
      </c>
      <c r="F6156" t="s">
        <v>46</v>
      </c>
      <c r="G6156">
        <v>-126.4799</v>
      </c>
      <c r="H6156" s="1">
        <v>-2.408451E-6</v>
      </c>
      <c r="I6156">
        <v>135.01419999999999</v>
      </c>
      <c r="J6156">
        <v>-134.14670000000001</v>
      </c>
      <c r="K6156">
        <v>1.112295</v>
      </c>
      <c r="L6156">
        <v>137.60339999999999</v>
      </c>
      <c r="M6156">
        <v>0.99959580000000003</v>
      </c>
      <c r="N6156">
        <v>-2.8221179999999998E-2</v>
      </c>
      <c r="O6156">
        <v>-3.4623879999999998E-3</v>
      </c>
      <c r="P6156">
        <v>0.98833400000000005</v>
      </c>
      <c r="Q6156">
        <v>0.13974719999999999</v>
      </c>
      <c r="R6156">
        <v>6.055427E-2</v>
      </c>
      <c r="S6156">
        <v>3.1625670000000001</v>
      </c>
      <c r="T6156">
        <v>-0.45022899999999999</v>
      </c>
      <c r="U6156">
        <v>-1.048386</v>
      </c>
      <c r="V6156">
        <v>-6.392515E-2</v>
      </c>
      <c r="W6156">
        <v>0.16759689999999999</v>
      </c>
      <c r="X6156">
        <v>0.98378089999999996</v>
      </c>
      <c r="Y6156">
        <v>0.3079827</v>
      </c>
      <c r="Z6156">
        <v>-2.5353179999999999E-2</v>
      </c>
      <c r="AA6156">
        <v>0.95105410000000001</v>
      </c>
      <c r="AB6156">
        <v>16</v>
      </c>
      <c r="AC6156">
        <v>7.6668000000000003</v>
      </c>
      <c r="AD6156">
        <v>-1.112297408451</v>
      </c>
      <c r="AE6156">
        <v>-2.5891999999999999</v>
      </c>
      <c r="AF6156">
        <v>2.5151097021332798</v>
      </c>
      <c r="AG6156">
        <v>-1.112297408451</v>
      </c>
      <c r="AH6156">
        <v>7.5333916681410198</v>
      </c>
      <c r="AI6156">
        <v>97.972413886315096</v>
      </c>
      <c r="AJ6156">
        <v>71.5378181678999</v>
      </c>
      <c r="AK6156">
        <v>8.0196616115786501</v>
      </c>
      <c r="AL6156">
        <v>80.351872990261299</v>
      </c>
      <c r="AM6156">
        <v>93.717798774247996</v>
      </c>
      <c r="AN6156">
        <v>1.0000000024484701</v>
      </c>
    </row>
    <row r="6157" spans="1:40" x14ac:dyDescent="0.25">
      <c r="A6157" t="str">
        <f>"20190304155543942"</f>
        <v>20190304155543942</v>
      </c>
      <c r="B6157" t="str">
        <f>"1551686143934138"</f>
        <v>1551686143934138</v>
      </c>
      <c r="C6157" t="s">
        <v>40</v>
      </c>
      <c r="D6157">
        <v>4.8411460000000002</v>
      </c>
      <c r="E6157">
        <v>0.65346719999999903</v>
      </c>
      <c r="F6157" t="s">
        <v>46</v>
      </c>
      <c r="G6157">
        <v>-126.297</v>
      </c>
      <c r="H6157" s="1">
        <v>-2.4763980000000001E-6</v>
      </c>
      <c r="I6157">
        <v>134.99279999999999</v>
      </c>
      <c r="J6157">
        <v>-134.0162</v>
      </c>
      <c r="K6157">
        <v>1.112341</v>
      </c>
      <c r="L6157">
        <v>137.6027</v>
      </c>
      <c r="M6157">
        <v>0.99958630000000004</v>
      </c>
      <c r="N6157">
        <v>-2.8530070000000001E-2</v>
      </c>
      <c r="O6157">
        <v>-3.6799559999999999E-3</v>
      </c>
      <c r="P6157">
        <v>0.9881567</v>
      </c>
      <c r="Q6157">
        <v>0.1407447</v>
      </c>
      <c r="R6157">
        <v>6.1135019999999998E-2</v>
      </c>
      <c r="S6157">
        <v>3.1632539999999998</v>
      </c>
      <c r="T6157">
        <v>-0.44823190000000002</v>
      </c>
      <c r="U6157">
        <v>-1.052017</v>
      </c>
      <c r="V6157">
        <v>-6.4725439999999995E-2</v>
      </c>
      <c r="W6157">
        <v>0.168891299999999</v>
      </c>
      <c r="X6157">
        <v>0.98350720000000003</v>
      </c>
      <c r="Y6157">
        <v>0.30871359999999998</v>
      </c>
      <c r="Z6157">
        <v>-2.5341829999999999E-2</v>
      </c>
      <c r="AA6157">
        <v>0.95081740000000003</v>
      </c>
      <c r="AB6157">
        <v>15</v>
      </c>
      <c r="AC6157">
        <v>7.7191999999999803</v>
      </c>
      <c r="AD6157">
        <v>-1.112343476398</v>
      </c>
      <c r="AE6157">
        <v>-2.6099000000000099</v>
      </c>
      <c r="AF6157">
        <v>2.5342393324920298</v>
      </c>
      <c r="AG6157">
        <v>-1.112343476398</v>
      </c>
      <c r="AH6157">
        <v>7.5873666833151399</v>
      </c>
      <c r="AI6157">
        <v>97.916401637152404</v>
      </c>
      <c r="AJ6157">
        <v>71.5302807152285</v>
      </c>
      <c r="AK6157">
        <v>8.0763735792071607</v>
      </c>
      <c r="AL6157">
        <v>80.276637165245305</v>
      </c>
      <c r="AM6157">
        <v>93.765254078404794</v>
      </c>
      <c r="AN6157">
        <v>1.00000003312536</v>
      </c>
    </row>
    <row r="6158" spans="1:40" x14ac:dyDescent="0.25">
      <c r="A6158" t="str">
        <f>"20190304155543983"</f>
        <v>20190304155543983</v>
      </c>
      <c r="B6158" t="str">
        <f>"1551686143974584"</f>
        <v>1551686143974584</v>
      </c>
      <c r="C6158" t="s">
        <v>40</v>
      </c>
      <c r="D6158">
        <v>4.844233</v>
      </c>
      <c r="E6158">
        <v>0.65518299999999996</v>
      </c>
      <c r="F6158" t="s">
        <v>46</v>
      </c>
      <c r="G6158">
        <v>-126.0604</v>
      </c>
      <c r="H6158" s="1">
        <v>-2.5659409999999999E-6</v>
      </c>
      <c r="I6158">
        <v>134.9588</v>
      </c>
      <c r="J6158">
        <v>-133.7561</v>
      </c>
      <c r="K6158">
        <v>1.1125590000000001</v>
      </c>
      <c r="L6158">
        <v>137.60120000000001</v>
      </c>
      <c r="M6158">
        <v>0.99955329999999998</v>
      </c>
      <c r="N6158">
        <v>-2.9610939999999999E-2</v>
      </c>
      <c r="O6158">
        <v>-4.0722680000000004E-3</v>
      </c>
      <c r="P6158">
        <v>0.98815909999999996</v>
      </c>
      <c r="Q6158">
        <v>0.14064660000000001</v>
      </c>
      <c r="R6158">
        <v>6.1321489999999999E-2</v>
      </c>
      <c r="S6158">
        <v>3.1640169999999999</v>
      </c>
      <c r="T6158">
        <v>-0.44237850000000001</v>
      </c>
      <c r="U6158">
        <v>-1.051437</v>
      </c>
      <c r="V6158">
        <v>-6.5311510000000003E-2</v>
      </c>
      <c r="W6158">
        <v>0.16985140000000001</v>
      </c>
      <c r="X6158">
        <v>0.98330309999999999</v>
      </c>
      <c r="Y6158">
        <v>0.3081797</v>
      </c>
      <c r="Z6158">
        <v>-2.5159239999999999E-2</v>
      </c>
      <c r="AA6158">
        <v>0.95099540000000005</v>
      </c>
      <c r="AB6158">
        <v>15</v>
      </c>
      <c r="AC6158">
        <v>7.6957000000000004</v>
      </c>
      <c r="AD6158">
        <v>-1.112561565941</v>
      </c>
      <c r="AE6158">
        <v>-2.6423999999999999</v>
      </c>
      <c r="AF6158">
        <v>2.5631053827372501</v>
      </c>
      <c r="AG6158">
        <v>-1.112561565941</v>
      </c>
      <c r="AH6158">
        <v>7.5649662971372402</v>
      </c>
      <c r="AI6158">
        <v>97.929705245900493</v>
      </c>
      <c r="AJ6158">
        <v>71.282975680901501</v>
      </c>
      <c r="AK6158">
        <v>8.0644911505840202</v>
      </c>
      <c r="AL6158">
        <v>80.220821130433606</v>
      </c>
      <c r="AM6158">
        <v>93.800034236774707</v>
      </c>
      <c r="AN6158">
        <v>1.0000000389450201</v>
      </c>
    </row>
    <row r="6159" spans="1:40" x14ac:dyDescent="0.25">
      <c r="A6159" t="str">
        <f>"20190304155544009"</f>
        <v>20190304155544009</v>
      </c>
      <c r="B6159" t="str">
        <f>"1551686144003864"</f>
        <v>1551686144003864</v>
      </c>
      <c r="C6159" t="s">
        <v>40</v>
      </c>
      <c r="D6159">
        <v>4.8674369999999998</v>
      </c>
      <c r="E6159">
        <v>0.65637319999999999</v>
      </c>
      <c r="F6159" t="s">
        <v>46</v>
      </c>
      <c r="G6159">
        <v>-125.7617</v>
      </c>
      <c r="H6159" s="1">
        <v>-2.679847E-6</v>
      </c>
      <c r="I6159">
        <v>134.9128</v>
      </c>
      <c r="J6159">
        <v>-133.58949999999999</v>
      </c>
      <c r="K6159">
        <v>1.1128049999999901</v>
      </c>
      <c r="L6159">
        <v>137.6002</v>
      </c>
      <c r="M6159">
        <v>0.99951650000000003</v>
      </c>
      <c r="N6159">
        <v>-3.0798909999999999E-2</v>
      </c>
      <c r="O6159">
        <v>-4.2858109999999996E-3</v>
      </c>
      <c r="P6159">
        <v>0.98827759999999998</v>
      </c>
      <c r="Q6159">
        <v>0.13995779999999999</v>
      </c>
      <c r="R6159">
        <v>6.0986409999999998E-2</v>
      </c>
      <c r="S6159">
        <v>3.1646580000000002</v>
      </c>
      <c r="T6159">
        <v>-0.44041259999999999</v>
      </c>
      <c r="U6159">
        <v>-1.0641940000000001</v>
      </c>
      <c r="V6159">
        <v>-6.5197249999999998E-2</v>
      </c>
      <c r="W6159">
        <v>0.17033119999999999</v>
      </c>
      <c r="X6159">
        <v>0.98322770000000004</v>
      </c>
      <c r="Y6159">
        <v>0.31133820000000001</v>
      </c>
      <c r="Z6159">
        <v>-2.5490519999999999E-2</v>
      </c>
      <c r="AA6159">
        <v>0.9499573</v>
      </c>
      <c r="AB6159">
        <v>14</v>
      </c>
      <c r="AC6159">
        <v>7.8277999999999803</v>
      </c>
      <c r="AD6159">
        <v>-1.1128076798469999</v>
      </c>
      <c r="AE6159">
        <v>-2.68739999999999</v>
      </c>
      <c r="AF6159">
        <v>2.6066849729222201</v>
      </c>
      <c r="AG6159">
        <v>-1.1128076798469999</v>
      </c>
      <c r="AH6159">
        <v>7.7000430805654396</v>
      </c>
      <c r="AI6159">
        <v>97.794690225203297</v>
      </c>
      <c r="AJ6159">
        <v>71.297568718575107</v>
      </c>
      <c r="AK6159">
        <v>8.2051088306584194</v>
      </c>
      <c r="AL6159">
        <v>80.192924264214994</v>
      </c>
      <c r="AM6159">
        <v>93.793695701270593</v>
      </c>
      <c r="AN6159">
        <v>1.0000000545741401</v>
      </c>
    </row>
    <row r="6160" spans="1:40" x14ac:dyDescent="0.25">
      <c r="A6160" t="str">
        <f>"20190304155544035"</f>
        <v>20190304155544035</v>
      </c>
      <c r="B6160" t="str">
        <f>"1551686144025336"</f>
        <v>1551686144025336</v>
      </c>
      <c r="C6160" t="s">
        <v>40</v>
      </c>
      <c r="D6160">
        <v>4.8826289999999997</v>
      </c>
      <c r="E6160">
        <v>0.65716980000000003</v>
      </c>
      <c r="F6160" t="s">
        <v>46</v>
      </c>
      <c r="G6160">
        <v>-125.5839</v>
      </c>
      <c r="H6160" s="1">
        <v>-2.7492669999999998E-6</v>
      </c>
      <c r="I6160">
        <v>134.8793</v>
      </c>
      <c r="J6160">
        <v>-133.44040000000001</v>
      </c>
      <c r="K6160">
        <v>1.112854</v>
      </c>
      <c r="L6160">
        <v>137.5994</v>
      </c>
      <c r="M6160">
        <v>0.99949980000000005</v>
      </c>
      <c r="N6160">
        <v>-3.1313779999999999E-2</v>
      </c>
      <c r="O6160">
        <v>-4.4502559999999997E-3</v>
      </c>
      <c r="P6160">
        <v>0.98825779999999996</v>
      </c>
      <c r="Q6160">
        <v>0.13998910000000001</v>
      </c>
      <c r="R6160">
        <v>6.1236850000000002E-2</v>
      </c>
      <c r="S6160">
        <v>3.1642299999999999</v>
      </c>
      <c r="T6160">
        <v>-0.43983610000000001</v>
      </c>
      <c r="U6160">
        <v>-1.0754090000000001</v>
      </c>
      <c r="V6160">
        <v>-6.5618670000000004E-2</v>
      </c>
      <c r="W6160">
        <v>0.1708645</v>
      </c>
      <c r="X6160">
        <v>0.98310710000000001</v>
      </c>
      <c r="Y6160">
        <v>0.3142102</v>
      </c>
      <c r="Z6160">
        <v>-2.5765630000000001E-2</v>
      </c>
      <c r="AA6160">
        <v>0.94900370000000001</v>
      </c>
      <c r="AB6160">
        <v>14</v>
      </c>
      <c r="AC6160">
        <v>7.8565000000000103</v>
      </c>
      <c r="AD6160">
        <v>-1.1128567492670001</v>
      </c>
      <c r="AE6160">
        <v>-2.7201</v>
      </c>
      <c r="AF6160">
        <v>2.6378318020801599</v>
      </c>
      <c r="AG6160">
        <v>-1.1128567492670001</v>
      </c>
      <c r="AH6160">
        <v>7.7300381650136796</v>
      </c>
      <c r="AI6160">
        <v>97.758807831057496</v>
      </c>
      <c r="AJ6160">
        <v>71.158083129728695</v>
      </c>
      <c r="AK6160">
        <v>8.2431848695163108</v>
      </c>
      <c r="AL6160">
        <v>80.161913578718497</v>
      </c>
      <c r="AM6160">
        <v>93.818611970586005</v>
      </c>
      <c r="AN6160">
        <v>1.00000002864161</v>
      </c>
    </row>
    <row r="6161" spans="1:40" x14ac:dyDescent="0.25">
      <c r="A6161" t="str">
        <f>"20190304155544061"</f>
        <v>20190304155544061</v>
      </c>
      <c r="B6161" t="str">
        <f>"1551686144054615"</f>
        <v>1551686144054615</v>
      </c>
      <c r="C6161" t="s">
        <v>40</v>
      </c>
      <c r="D6161">
        <v>4.8812850000000001</v>
      </c>
      <c r="E6161">
        <v>0.658188</v>
      </c>
      <c r="F6161" t="s">
        <v>46</v>
      </c>
      <c r="G6161">
        <v>-125.4135</v>
      </c>
      <c r="H6161" s="1">
        <v>-2.8130340000000001E-6</v>
      </c>
      <c r="I6161">
        <v>134.85749999999999</v>
      </c>
      <c r="J6161">
        <v>-133.2876</v>
      </c>
      <c r="K6161">
        <v>1.112719</v>
      </c>
      <c r="L6161">
        <v>137.5985</v>
      </c>
      <c r="M6161">
        <v>0.99950559999999999</v>
      </c>
      <c r="N6161">
        <v>-3.1106129999999999E-2</v>
      </c>
      <c r="O6161">
        <v>-4.5814840000000003E-3</v>
      </c>
      <c r="P6161">
        <v>0.98808649999999998</v>
      </c>
      <c r="Q6161">
        <v>0.1408905</v>
      </c>
      <c r="R6161">
        <v>6.1925139999999997E-2</v>
      </c>
      <c r="S6161">
        <v>3.1647949999999998</v>
      </c>
      <c r="T6161">
        <v>-0.43877359999999999</v>
      </c>
      <c r="U6161">
        <v>-1.0810390000000001</v>
      </c>
      <c r="V6161">
        <v>-6.6443150000000006E-2</v>
      </c>
      <c r="W6161">
        <v>0.1715527</v>
      </c>
      <c r="X6161">
        <v>0.98293189999999997</v>
      </c>
      <c r="Y6161">
        <v>0.31555490000000003</v>
      </c>
      <c r="Z6161">
        <v>-2.5772010000000001E-2</v>
      </c>
      <c r="AA6161">
        <v>0.94855730000000005</v>
      </c>
      <c r="AB6161">
        <v>13</v>
      </c>
      <c r="AC6161">
        <v>7.8740999999999897</v>
      </c>
      <c r="AD6161">
        <v>-1.112721813034</v>
      </c>
      <c r="AE6161">
        <v>-2.7410000000000099</v>
      </c>
      <c r="AF6161">
        <v>2.65754414473404</v>
      </c>
      <c r="AG6161">
        <v>-1.112721813034</v>
      </c>
      <c r="AH6161">
        <v>7.7485684999734197</v>
      </c>
      <c r="AI6161">
        <v>97.735505933293396</v>
      </c>
      <c r="AJ6161">
        <v>71.069453220367507</v>
      </c>
      <c r="AK6161">
        <v>8.2668618298113703</v>
      </c>
      <c r="AL6161">
        <v>80.121892110587098</v>
      </c>
      <c r="AM6161">
        <v>93.867134190970106</v>
      </c>
      <c r="AN6161">
        <v>1.0000000705484</v>
      </c>
    </row>
    <row r="6162" spans="1:40" x14ac:dyDescent="0.25">
      <c r="A6162" t="str">
        <f>"20190304155544095"</f>
        <v>20190304155544095</v>
      </c>
      <c r="B6162" t="str">
        <f>"1551686144084403"</f>
        <v>1551686144084403</v>
      </c>
      <c r="C6162" t="s">
        <v>40</v>
      </c>
      <c r="D6162">
        <v>4.8647600000000004</v>
      </c>
      <c r="E6162">
        <v>0.65924939999999999</v>
      </c>
      <c r="F6162" t="s">
        <v>46</v>
      </c>
      <c r="G6162">
        <v>-125.1529</v>
      </c>
      <c r="H6162" s="1">
        <v>-2.9162109999999998E-6</v>
      </c>
      <c r="I6162">
        <v>134.8031</v>
      </c>
      <c r="J6162">
        <v>-133.09909999999999</v>
      </c>
      <c r="K6162">
        <v>1.1126560000000001</v>
      </c>
      <c r="L6162">
        <v>137.5975</v>
      </c>
      <c r="M6162">
        <v>0.99951020000000002</v>
      </c>
      <c r="N6162">
        <v>-3.094508E-2</v>
      </c>
      <c r="O6162">
        <v>-4.6922500000000002E-3</v>
      </c>
      <c r="P6162">
        <v>0.98785529999999999</v>
      </c>
      <c r="Q6162">
        <v>0.14186789999999999</v>
      </c>
      <c r="R6162">
        <v>6.3368510000000003E-2</v>
      </c>
      <c r="S6162">
        <v>3.1661220000000001</v>
      </c>
      <c r="T6162">
        <v>-0.43308210000000003</v>
      </c>
      <c r="U6162">
        <v>-1.0879970000000001</v>
      </c>
      <c r="V6162">
        <v>-6.8003919999999995E-2</v>
      </c>
      <c r="W6162">
        <v>0.17236019999999999</v>
      </c>
      <c r="X6162">
        <v>0.9826838</v>
      </c>
      <c r="Y6162">
        <v>0.31726149999999997</v>
      </c>
      <c r="Z6162">
        <v>-2.5595420000000001E-2</v>
      </c>
      <c r="AA6162">
        <v>0.94799259999999996</v>
      </c>
      <c r="AB6162">
        <v>13</v>
      </c>
      <c r="AC6162">
        <v>7.9461999999999904</v>
      </c>
      <c r="AD6162">
        <v>-1.1126589162110001</v>
      </c>
      <c r="AE6162">
        <v>-2.7943999999999898</v>
      </c>
      <c r="AF6162">
        <v>2.7097831678847299</v>
      </c>
      <c r="AG6162">
        <v>-1.1126589162110001</v>
      </c>
      <c r="AH6162">
        <v>7.8227329834662598</v>
      </c>
      <c r="AI6162">
        <v>97.654627705873494</v>
      </c>
      <c r="AJ6162">
        <v>70.893989933612204</v>
      </c>
      <c r="AK6162">
        <v>8.3532081269046703</v>
      </c>
      <c r="AL6162">
        <v>80.074925597516696</v>
      </c>
      <c r="AM6162">
        <v>93.958685009905295</v>
      </c>
      <c r="AN6162">
        <v>1.00000001123092</v>
      </c>
    </row>
    <row r="6163" spans="1:40" x14ac:dyDescent="0.25">
      <c r="A6163" t="str">
        <f>"20190304155544122"</f>
        <v>20190304155544122</v>
      </c>
      <c r="B6163" t="str">
        <f>"1551686144114659"</f>
        <v>1551686144114659</v>
      </c>
      <c r="C6163" t="s">
        <v>40</v>
      </c>
      <c r="D6163">
        <v>4.8352380000000004</v>
      </c>
      <c r="E6163">
        <v>0.66007590000000005</v>
      </c>
      <c r="F6163" t="s">
        <v>46</v>
      </c>
      <c r="G6163">
        <v>-124.8074</v>
      </c>
      <c r="H6163" s="1">
        <v>-3.0760529999999998E-6</v>
      </c>
      <c r="I6163">
        <v>134.73330000000001</v>
      </c>
      <c r="J6163">
        <v>-132.95310000000001</v>
      </c>
      <c r="K6163">
        <v>1.1126940000000001</v>
      </c>
      <c r="L6163">
        <v>137.5967</v>
      </c>
      <c r="M6163">
        <v>0.99950510000000004</v>
      </c>
      <c r="N6163">
        <v>-3.1097030000000001E-2</v>
      </c>
      <c r="O6163">
        <v>-4.7564729999999998E-3</v>
      </c>
      <c r="P6163">
        <v>0.98790409999999995</v>
      </c>
      <c r="Q6163">
        <v>0.14148250000000001</v>
      </c>
      <c r="R6163">
        <v>6.3470299999999993E-2</v>
      </c>
      <c r="S6163">
        <v>3.1681370000000002</v>
      </c>
      <c r="T6163">
        <v>-0.42513099999999998</v>
      </c>
      <c r="U6163">
        <v>-1.0943449999999999</v>
      </c>
      <c r="V6163">
        <v>-6.8174059999999995E-2</v>
      </c>
      <c r="W6163">
        <v>0.1721239</v>
      </c>
      <c r="X6163">
        <v>0.98271339999999996</v>
      </c>
      <c r="Y6163">
        <v>0.3188066</v>
      </c>
      <c r="Z6163">
        <v>-2.535097E-2</v>
      </c>
      <c r="AA6163">
        <v>0.94748069999999895</v>
      </c>
      <c r="AB6163">
        <v>13</v>
      </c>
      <c r="AC6163">
        <v>8.1456999999999997</v>
      </c>
      <c r="AD6163">
        <v>-1.1126970760529999</v>
      </c>
      <c r="AE6163">
        <v>-2.86339999999998</v>
      </c>
      <c r="AF6163">
        <v>2.77846144190273</v>
      </c>
      <c r="AG6163">
        <v>-1.1126970760529999</v>
      </c>
      <c r="AH6163">
        <v>8.0259452065532901</v>
      </c>
      <c r="AI6163">
        <v>97.4637700075574</v>
      </c>
      <c r="AJ6163">
        <v>70.904916572886805</v>
      </c>
      <c r="AK6163">
        <v>8.5658472567395805</v>
      </c>
      <c r="AL6163">
        <v>80.088669722092902</v>
      </c>
      <c r="AM6163">
        <v>93.968438540041404</v>
      </c>
      <c r="AN6163">
        <v>0.99999998297382597</v>
      </c>
    </row>
    <row r="6164" spans="1:40" x14ac:dyDescent="0.25">
      <c r="A6164" t="str">
        <f>"20190304155544145"</f>
        <v>20190304155544145</v>
      </c>
      <c r="B6164" t="str">
        <f>"1551686144134180"</f>
        <v>1551686144134180</v>
      </c>
      <c r="C6164" t="s">
        <v>40</v>
      </c>
      <c r="D6164">
        <v>4.8090039999999998</v>
      </c>
      <c r="E6164">
        <v>0.66043260000000004</v>
      </c>
      <c r="F6164" t="s">
        <v>46</v>
      </c>
      <c r="G6164">
        <v>-124.6498</v>
      </c>
      <c r="H6164" s="1">
        <v>-3.147656E-6</v>
      </c>
      <c r="I6164">
        <v>134.71090000000001</v>
      </c>
      <c r="J6164">
        <v>-132.83009999999999</v>
      </c>
      <c r="K6164">
        <v>1.1127049999999901</v>
      </c>
      <c r="L6164">
        <v>137.59610000000001</v>
      </c>
      <c r="M6164">
        <v>0.99950309999999998</v>
      </c>
      <c r="N6164">
        <v>-3.115598E-2</v>
      </c>
      <c r="O6164">
        <v>-4.79497E-3</v>
      </c>
      <c r="P6164">
        <v>0.98806479999999997</v>
      </c>
      <c r="Q6164">
        <v>0.14005139999999999</v>
      </c>
      <c r="R6164">
        <v>6.4140279999999994E-2</v>
      </c>
      <c r="S6164">
        <v>3.1682890000000001</v>
      </c>
      <c r="T6164">
        <v>-0.42456899999999997</v>
      </c>
      <c r="U6164">
        <v>-1.1011200000000001</v>
      </c>
      <c r="V6164">
        <v>-6.8883769999999997E-2</v>
      </c>
      <c r="W6164">
        <v>0.1707555</v>
      </c>
      <c r="X6164">
        <v>0.98290259999999996</v>
      </c>
      <c r="Y6164">
        <v>0.320555599999999</v>
      </c>
      <c r="Z6164">
        <v>-2.5466200000000001E-2</v>
      </c>
      <c r="AA6164">
        <v>0.94688729999999999</v>
      </c>
      <c r="AB6164">
        <v>12</v>
      </c>
      <c r="AC6164">
        <v>8.1802999999999795</v>
      </c>
      <c r="AD6164">
        <v>-1.1127081476559999</v>
      </c>
      <c r="AE6164">
        <v>-2.88519999999999</v>
      </c>
      <c r="AF6164">
        <v>2.7998512558251401</v>
      </c>
      <c r="AG6164">
        <v>-1.1127081476559999</v>
      </c>
      <c r="AH6164">
        <v>8.0613949104387199</v>
      </c>
      <c r="AI6164">
        <v>97.428816960231302</v>
      </c>
      <c r="AJ6164">
        <v>70.847068842758404</v>
      </c>
      <c r="AK6164">
        <v>8.6060080396577003</v>
      </c>
      <c r="AL6164">
        <v>80.168251363619007</v>
      </c>
      <c r="AM6164">
        <v>94.008847677883494</v>
      </c>
      <c r="AN6164">
        <v>0.99999996781820999</v>
      </c>
    </row>
    <row r="6165" spans="1:40" x14ac:dyDescent="0.25">
      <c r="A6165" t="str">
        <f>"20190304155544169"</f>
        <v>20190304155544169</v>
      </c>
      <c r="B6165" t="str">
        <f>"1551686144164435"</f>
        <v>1551686144164435</v>
      </c>
      <c r="C6165" t="s">
        <v>40</v>
      </c>
      <c r="D6165">
        <v>4.8694230000000003</v>
      </c>
      <c r="E6165">
        <v>0.66109379999999995</v>
      </c>
      <c r="F6165" t="s">
        <v>46</v>
      </c>
      <c r="G6165">
        <v>-124.5458</v>
      </c>
      <c r="H6165" s="1">
        <v>-3.1923579999999998E-6</v>
      </c>
      <c r="I6165">
        <v>134.71029999999999</v>
      </c>
      <c r="J6165">
        <v>-132.71039999999999</v>
      </c>
      <c r="K6165">
        <v>1.112687</v>
      </c>
      <c r="L6165">
        <v>137.59549999999999</v>
      </c>
      <c r="M6165">
        <v>0.99950490000000003</v>
      </c>
      <c r="N6165">
        <v>-3.1096149999999999E-2</v>
      </c>
      <c r="O6165">
        <v>-4.826833E-3</v>
      </c>
      <c r="P6165">
        <v>0.98809539999999996</v>
      </c>
      <c r="Q6165">
        <v>0.13954659999999999</v>
      </c>
      <c r="R6165">
        <v>6.47644E-2</v>
      </c>
      <c r="S6165">
        <v>3.1681979999999998</v>
      </c>
      <c r="T6165">
        <v>-0.42553580000000002</v>
      </c>
      <c r="U6165">
        <v>-1.1035919999999999</v>
      </c>
      <c r="V6165">
        <v>-6.9538329999999995E-2</v>
      </c>
      <c r="W6165">
        <v>0.17019400000000001</v>
      </c>
      <c r="X6165">
        <v>0.98295390000000005</v>
      </c>
      <c r="Y6165">
        <v>0.32117580000000001</v>
      </c>
      <c r="Z6165">
        <v>-2.554735E-2</v>
      </c>
      <c r="AA6165">
        <v>0.94667489999999999</v>
      </c>
      <c r="AB6165">
        <v>12</v>
      </c>
      <c r="AC6165">
        <v>8.1645999999999894</v>
      </c>
      <c r="AD6165">
        <v>-1.1126901923579999</v>
      </c>
      <c r="AE6165">
        <v>-2.88519999999999</v>
      </c>
      <c r="AF6165">
        <v>2.7995153028859798</v>
      </c>
      <c r="AG6165">
        <v>-1.1126901923579999</v>
      </c>
      <c r="AH6165">
        <v>8.0455969592276695</v>
      </c>
      <c r="AI6165">
        <v>97.441660428214504</v>
      </c>
      <c r="AJ6165">
        <v>70.814342158939198</v>
      </c>
      <c r="AK6165">
        <v>8.5910998030284897</v>
      </c>
      <c r="AL6165">
        <v>80.200900921077903</v>
      </c>
      <c r="AM6165">
        <v>94.046604814670701</v>
      </c>
      <c r="AN6165">
        <v>0.99999997325019896</v>
      </c>
    </row>
    <row r="6166" spans="1:40" x14ac:dyDescent="0.25">
      <c r="A6166" t="str">
        <f>"20190304155544192"</f>
        <v>20190304155544192</v>
      </c>
      <c r="B6166" t="str">
        <f>"1551686144184461"</f>
        <v>1551686144184461</v>
      </c>
      <c r="C6166" t="s">
        <v>40</v>
      </c>
      <c r="D6166">
        <v>4.8707520000000004</v>
      </c>
      <c r="E6166">
        <v>0.66122259999999999</v>
      </c>
      <c r="F6166" t="s">
        <v>46</v>
      </c>
      <c r="G6166">
        <v>-124.4024</v>
      </c>
      <c r="H6166" s="1">
        <v>-3.2574029999999998E-6</v>
      </c>
      <c r="I6166">
        <v>134.69059999999999</v>
      </c>
      <c r="J6166">
        <v>-132.6001</v>
      </c>
      <c r="K6166">
        <v>1.1126689999999999</v>
      </c>
      <c r="L6166">
        <v>137.5949</v>
      </c>
      <c r="M6166">
        <v>0.99950669999999997</v>
      </c>
      <c r="N6166">
        <v>-3.10297E-2</v>
      </c>
      <c r="O6166">
        <v>-4.858785E-3</v>
      </c>
      <c r="P6166">
        <v>0.98803750000000001</v>
      </c>
      <c r="Q6166">
        <v>0.13970299999999999</v>
      </c>
      <c r="R6166">
        <v>6.5306400000000001E-2</v>
      </c>
      <c r="S6166">
        <v>3.168701</v>
      </c>
      <c r="T6166">
        <v>-0.42438399999999998</v>
      </c>
      <c r="U6166">
        <v>-1.107925</v>
      </c>
      <c r="V6166">
        <v>-7.0109500000000005E-2</v>
      </c>
      <c r="W6166">
        <v>0.17028370000000001</v>
      </c>
      <c r="X6166">
        <v>0.98289780000000004</v>
      </c>
      <c r="Y6166">
        <v>0.32226120000000003</v>
      </c>
      <c r="Z6166">
        <v>-2.555967E-2</v>
      </c>
      <c r="AA6166">
        <v>0.94630570000000003</v>
      </c>
      <c r="AB6166">
        <v>11</v>
      </c>
      <c r="AC6166">
        <v>8.1976999999999904</v>
      </c>
      <c r="AD6166">
        <v>-1.1126722574029999</v>
      </c>
      <c r="AE6166">
        <v>-2.9043000000000001</v>
      </c>
      <c r="AF6166">
        <v>2.8182855960681699</v>
      </c>
      <c r="AG6166">
        <v>-1.1126722574029999</v>
      </c>
      <c r="AH6166">
        <v>8.0794754768269001</v>
      </c>
      <c r="AI6166">
        <v>97.408718567652798</v>
      </c>
      <c r="AJ6166">
        <v>70.770187964599302</v>
      </c>
      <c r="AK6166">
        <v>8.6289453141184609</v>
      </c>
      <c r="AL6166">
        <v>80.195685452179802</v>
      </c>
      <c r="AM6166">
        <v>94.0799628795899</v>
      </c>
      <c r="AN6166">
        <v>0.99999998286038905</v>
      </c>
    </row>
    <row r="6167" spans="1:40" x14ac:dyDescent="0.25">
      <c r="A6167" t="str">
        <f>"20190304155544229"</f>
        <v>20190304155544229</v>
      </c>
      <c r="B6167" t="str">
        <f>"1551686144224478"</f>
        <v>1551686144224478</v>
      </c>
      <c r="C6167" t="s">
        <v>40</v>
      </c>
      <c r="D6167">
        <v>4.8563910000000003</v>
      </c>
      <c r="E6167">
        <v>0.66149569999999902</v>
      </c>
      <c r="F6167" t="s">
        <v>46</v>
      </c>
      <c r="G6167">
        <v>-124.28060000000001</v>
      </c>
      <c r="H6167" s="1">
        <v>-3.3096329999999999E-6</v>
      </c>
      <c r="I6167">
        <v>134.69059999999999</v>
      </c>
      <c r="J6167">
        <v>-132.43279999999999</v>
      </c>
      <c r="K6167">
        <v>1.11267</v>
      </c>
      <c r="L6167">
        <v>137.59399999999999</v>
      </c>
      <c r="M6167">
        <v>0.99950709999999998</v>
      </c>
      <c r="N6167">
        <v>-3.1005339999999999E-2</v>
      </c>
      <c r="O6167">
        <v>-4.9220959999999999E-3</v>
      </c>
      <c r="P6167">
        <v>0.98796680000000003</v>
      </c>
      <c r="Q6167">
        <v>0.13927020000000001</v>
      </c>
      <c r="R6167">
        <v>6.7275150000000006E-2</v>
      </c>
      <c r="S6167">
        <v>3.169403</v>
      </c>
      <c r="T6167">
        <v>-0.4238847</v>
      </c>
      <c r="U6167">
        <v>-1.1064000000000001</v>
      </c>
      <c r="V6167">
        <v>-7.2136069999999997E-2</v>
      </c>
      <c r="W6167">
        <v>0.16982659999999999</v>
      </c>
      <c r="X6167">
        <v>0.98283030000000005</v>
      </c>
      <c r="Y6167">
        <v>0.32174330000000001</v>
      </c>
      <c r="Z6167">
        <v>-2.5480650000000001E-2</v>
      </c>
      <c r="AA6167">
        <v>0.94648399999999999</v>
      </c>
      <c r="AB6167">
        <v>11</v>
      </c>
      <c r="AC6167">
        <v>8.1521999999999792</v>
      </c>
      <c r="AD6167">
        <v>-1.1126733096329999</v>
      </c>
      <c r="AE6167">
        <v>-2.9034</v>
      </c>
      <c r="AF6167">
        <v>2.8166549491410602</v>
      </c>
      <c r="AG6167">
        <v>-1.1126733096329999</v>
      </c>
      <c r="AH6167">
        <v>8.0335884268966602</v>
      </c>
      <c r="AI6167">
        <v>97.446462608006598</v>
      </c>
      <c r="AJ6167">
        <v>70.678832926759199</v>
      </c>
      <c r="AK6167">
        <v>8.5854603842344108</v>
      </c>
      <c r="AL6167">
        <v>80.222263050031003</v>
      </c>
      <c r="AM6167">
        <v>94.197769021204707</v>
      </c>
      <c r="AN6167">
        <v>1.0000000426303399</v>
      </c>
    </row>
    <row r="6168" spans="1:40" x14ac:dyDescent="0.25">
      <c r="A6168" t="str">
        <f>"20190304155544259"</f>
        <v>20190304155544259</v>
      </c>
      <c r="B6168" t="str">
        <f>"1551686144254733"</f>
        <v>1551686144254733</v>
      </c>
      <c r="C6168" t="s">
        <v>40</v>
      </c>
      <c r="D6168">
        <v>4.8141619999999996</v>
      </c>
      <c r="E6168">
        <v>0.66182180000000002</v>
      </c>
      <c r="F6168" t="s">
        <v>46</v>
      </c>
      <c r="G6168">
        <v>-124.13160000000001</v>
      </c>
      <c r="H6168" s="1">
        <v>-3.3695429999999998E-6</v>
      </c>
      <c r="I6168">
        <v>134.7132</v>
      </c>
      <c r="J6168">
        <v>-132.2979</v>
      </c>
      <c r="K6168">
        <v>1.1126769999999999</v>
      </c>
      <c r="L6168">
        <v>137.5933</v>
      </c>
      <c r="M6168">
        <v>0.99950689999999998</v>
      </c>
      <c r="N6168">
        <v>-3.100381E-2</v>
      </c>
      <c r="O6168">
        <v>-4.9852680000000002E-3</v>
      </c>
      <c r="P6168">
        <v>0.98795900000000003</v>
      </c>
      <c r="Q6168">
        <v>0.139257399999999</v>
      </c>
      <c r="R6168">
        <v>6.7414210000000002E-2</v>
      </c>
      <c r="S6168">
        <v>3.1714169999999999</v>
      </c>
      <c r="T6168">
        <v>-0.42508820000000003</v>
      </c>
      <c r="U6168">
        <v>-1.1006009999999999</v>
      </c>
      <c r="V6168">
        <v>-7.2333540000000002E-2</v>
      </c>
      <c r="W6168">
        <v>0.1698134</v>
      </c>
      <c r="X6168">
        <v>0.98281799999999997</v>
      </c>
      <c r="Y6168">
        <v>0.31995600000000002</v>
      </c>
      <c r="Z6168">
        <v>-2.5378749999999999E-2</v>
      </c>
      <c r="AA6168">
        <v>0.9470925</v>
      </c>
      <c r="AB6168">
        <v>10</v>
      </c>
      <c r="AC6168">
        <v>8.1662999999999908</v>
      </c>
      <c r="AD6168">
        <v>-1.1126803695430001</v>
      </c>
      <c r="AE6168">
        <v>-2.8800999999999899</v>
      </c>
      <c r="AF6168">
        <v>2.7932144111487101</v>
      </c>
      <c r="AG6168">
        <v>-1.1126803695430001</v>
      </c>
      <c r="AH6168">
        <v>8.04768737104183</v>
      </c>
      <c r="AI6168">
        <v>97.4416764656346</v>
      </c>
      <c r="AJ6168">
        <v>70.858988217640601</v>
      </c>
      <c r="AK6168">
        <v>8.5910055507746801</v>
      </c>
      <c r="AL6168">
        <v>80.223029848306098</v>
      </c>
      <c r="AM6168">
        <v>94.209271512723902</v>
      </c>
      <c r="AN6168">
        <v>0.99999997647624495</v>
      </c>
    </row>
    <row r="6169" spans="1:40" x14ac:dyDescent="0.25">
      <c r="A6169" t="str">
        <f>"20190304155544295"</f>
        <v>20190304155544295</v>
      </c>
      <c r="B6169" t="str">
        <f>"1551686144284521"</f>
        <v>1551686144284521</v>
      </c>
      <c r="C6169" t="s">
        <v>40</v>
      </c>
      <c r="D6169">
        <v>4.8581789999999998</v>
      </c>
      <c r="E6169">
        <v>0.66232100000000005</v>
      </c>
      <c r="F6169" t="s">
        <v>46</v>
      </c>
      <c r="G6169">
        <v>-123.9808</v>
      </c>
      <c r="H6169" s="1">
        <v>-3.4361110000000001E-6</v>
      </c>
      <c r="I6169">
        <v>134.7028</v>
      </c>
      <c r="J6169">
        <v>-132.15010000000001</v>
      </c>
      <c r="K6169">
        <v>1.112744</v>
      </c>
      <c r="L6169">
        <v>137.5925</v>
      </c>
      <c r="M6169">
        <v>0.99950119999999998</v>
      </c>
      <c r="N6169">
        <v>-3.117377E-2</v>
      </c>
      <c r="O6169">
        <v>-5.063995E-3</v>
      </c>
      <c r="P6169">
        <v>0.98792219999999997</v>
      </c>
      <c r="Q6169">
        <v>0.13979800000000001</v>
      </c>
      <c r="R6169">
        <v>6.683277E-2</v>
      </c>
      <c r="S6169">
        <v>3.1715849999999999</v>
      </c>
      <c r="T6169">
        <v>-0.4242976</v>
      </c>
      <c r="U6169">
        <v>-1.1022339999999999</v>
      </c>
      <c r="V6169">
        <v>-7.1826000000000001E-2</v>
      </c>
      <c r="W6169">
        <v>0.17052100000000001</v>
      </c>
      <c r="X6169">
        <v>0.98273270000000001</v>
      </c>
      <c r="Y6169">
        <v>0.32030550000000002</v>
      </c>
      <c r="Z6169">
        <v>-2.538874E-2</v>
      </c>
      <c r="AA6169">
        <v>0.94697399999999998</v>
      </c>
      <c r="AB6169">
        <v>10</v>
      </c>
      <c r="AC6169">
        <v>8.1692999999999998</v>
      </c>
      <c r="AD6169">
        <v>-1.1127474361109999</v>
      </c>
      <c r="AE6169">
        <v>-2.8896999999999999</v>
      </c>
      <c r="AF6169">
        <v>2.8020670974959199</v>
      </c>
      <c r="AG6169">
        <v>-1.1127474361109999</v>
      </c>
      <c r="AH6169">
        <v>8.0510725866079706</v>
      </c>
      <c r="AI6169">
        <v>97.436850944840202</v>
      </c>
      <c r="AJ6169">
        <v>70.810238196793193</v>
      </c>
      <c r="AK6169">
        <v>8.5970667480409393</v>
      </c>
      <c r="AL6169">
        <v>80.181887259460098</v>
      </c>
      <c r="AM6169">
        <v>94.180203042890398</v>
      </c>
      <c r="AN6169">
        <v>0.999999972683144</v>
      </c>
    </row>
    <row r="6170" spans="1:40" x14ac:dyDescent="0.25">
      <c r="A6170" t="str">
        <f>"20190304155544323"</f>
        <v>20190304155544323</v>
      </c>
      <c r="B6170" t="str">
        <f>"1551686144314778"</f>
        <v>1551686144314778</v>
      </c>
      <c r="C6170" t="s">
        <v>40</v>
      </c>
      <c r="D6170">
        <v>4.7851699999999999</v>
      </c>
      <c r="E6170">
        <v>0.66279160000000004</v>
      </c>
      <c r="F6170" t="s">
        <v>46</v>
      </c>
      <c r="G6170">
        <v>-123.79040000000001</v>
      </c>
      <c r="H6170" s="1">
        <v>-3.5232369999999898E-6</v>
      </c>
      <c r="I6170">
        <v>134.672</v>
      </c>
      <c r="J6170">
        <v>-132.04040000000001</v>
      </c>
      <c r="K6170">
        <v>1.1127609999999999</v>
      </c>
      <c r="L6170">
        <v>137.59180000000001</v>
      </c>
      <c r="M6170">
        <v>0.99950019999999995</v>
      </c>
      <c r="N6170">
        <v>-3.119566E-2</v>
      </c>
      <c r="O6170">
        <v>-5.129247E-3</v>
      </c>
      <c r="P6170">
        <v>0.98800250000000001</v>
      </c>
      <c r="Q6170">
        <v>0.13984540000000001</v>
      </c>
      <c r="R6170">
        <v>6.5534029999999993E-2</v>
      </c>
      <c r="S6170">
        <v>3.1713559999999998</v>
      </c>
      <c r="T6170">
        <v>-0.42213060000000002</v>
      </c>
      <c r="U6170">
        <v>-1.10788</v>
      </c>
      <c r="V6170">
        <v>-7.0591210000000001E-2</v>
      </c>
      <c r="W6170">
        <v>0.17059289999999999</v>
      </c>
      <c r="X6170">
        <v>0.98280970000000001</v>
      </c>
      <c r="Y6170">
        <v>0.32178329999999999</v>
      </c>
      <c r="Z6170">
        <v>-2.5400180000000001E-2</v>
      </c>
      <c r="AA6170">
        <v>0.9464726</v>
      </c>
      <c r="AB6170">
        <v>9</v>
      </c>
      <c r="AC6170">
        <v>8.25</v>
      </c>
      <c r="AD6170">
        <v>-1.112764523237</v>
      </c>
      <c r="AE6170">
        <v>-2.9198</v>
      </c>
      <c r="AF6170">
        <v>2.8316435946987699</v>
      </c>
      <c r="AG6170">
        <v>-1.112764523237</v>
      </c>
      <c r="AH6170">
        <v>8.1333773061593995</v>
      </c>
      <c r="AI6170">
        <v>97.362277377547699</v>
      </c>
      <c r="AJ6170">
        <v>70.804385708962101</v>
      </c>
      <c r="AK6170">
        <v>8.6837939137177909</v>
      </c>
      <c r="AL6170">
        <v>80.177706521432697</v>
      </c>
      <c r="AM6170">
        <v>94.108266918405803</v>
      </c>
      <c r="AN6170">
        <v>0.99999998143688196</v>
      </c>
    </row>
    <row r="6171" spans="1:40" x14ac:dyDescent="0.25">
      <c r="A6171" t="str">
        <f>"20190304155544346"</f>
        <v>20190304155544346</v>
      </c>
      <c r="B6171" t="str">
        <f>"1551686144344057"</f>
        <v>1551686144344057</v>
      </c>
      <c r="C6171" t="s">
        <v>40</v>
      </c>
      <c r="D6171">
        <v>4.8651210000000003</v>
      </c>
      <c r="E6171">
        <v>0.66342690000000004</v>
      </c>
      <c r="F6171" t="s">
        <v>46</v>
      </c>
      <c r="G6171">
        <v>-123.6549</v>
      </c>
      <c r="H6171" s="1">
        <v>-3.5870780000000002E-6</v>
      </c>
      <c r="I6171">
        <v>134.63980000000001</v>
      </c>
      <c r="J6171">
        <v>-131.9504</v>
      </c>
      <c r="K6171">
        <v>1.112719</v>
      </c>
      <c r="L6171">
        <v>137.59129999999999</v>
      </c>
      <c r="M6171">
        <v>0.99950609999999995</v>
      </c>
      <c r="N6171">
        <v>-3.099551E-2</v>
      </c>
      <c r="O6171">
        <v>-5.1843080000000003E-3</v>
      </c>
      <c r="P6171">
        <v>0.98789970000000005</v>
      </c>
      <c r="Q6171">
        <v>0.14074679999999901</v>
      </c>
      <c r="R6171">
        <v>6.5151239999999999E-2</v>
      </c>
      <c r="S6171">
        <v>3.1699980000000001</v>
      </c>
      <c r="T6171">
        <v>-0.42065849999999999</v>
      </c>
      <c r="U6171">
        <v>-1.115936</v>
      </c>
      <c r="V6171">
        <v>-7.0262459999999999E-2</v>
      </c>
      <c r="W6171">
        <v>0.17129339999999901</v>
      </c>
      <c r="X6171">
        <v>0.98271140000000001</v>
      </c>
      <c r="Y6171">
        <v>0.32400119999999999</v>
      </c>
      <c r="Z6171">
        <v>-2.5470699999999999E-2</v>
      </c>
      <c r="AA6171">
        <v>0.94571380000000005</v>
      </c>
      <c r="AB6171">
        <v>9</v>
      </c>
      <c r="AC6171">
        <v>8.2955000000000005</v>
      </c>
      <c r="AD6171">
        <v>-1.112722587078</v>
      </c>
      <c r="AE6171">
        <v>-2.9514999999999798</v>
      </c>
      <c r="AF6171">
        <v>2.8627137906703299</v>
      </c>
      <c r="AG6171">
        <v>-1.112722587078</v>
      </c>
      <c r="AH6171">
        <v>8.1800564135911493</v>
      </c>
      <c r="AI6171">
        <v>97.316368611522705</v>
      </c>
      <c r="AJ6171">
        <v>70.711862936329098</v>
      </c>
      <c r="AK6171">
        <v>8.7376544182418492</v>
      </c>
      <c r="AL6171">
        <v>80.136971114650606</v>
      </c>
      <c r="AM6171">
        <v>94.089607034627505</v>
      </c>
      <c r="AN6171">
        <v>0.99999996892938503</v>
      </c>
    </row>
    <row r="6172" spans="1:40" x14ac:dyDescent="0.25">
      <c r="A6172" t="str">
        <f>"20190304155544385"</f>
        <v>20190304155544385</v>
      </c>
      <c r="B6172" t="str">
        <f>"1551686144374676"</f>
        <v>1551686144374676</v>
      </c>
      <c r="C6172" t="s">
        <v>40</v>
      </c>
      <c r="D6172">
        <v>4.8306940000000003</v>
      </c>
      <c r="E6172">
        <v>0.6638307</v>
      </c>
      <c r="F6172" t="s">
        <v>46</v>
      </c>
      <c r="G6172">
        <v>-123.48269999999999</v>
      </c>
      <c r="H6172" s="1">
        <v>-3.669294E-6</v>
      </c>
      <c r="I6172">
        <v>134.59270000000001</v>
      </c>
      <c r="J6172">
        <v>-131.81659999999999</v>
      </c>
      <c r="K6172">
        <v>1.11264599999999</v>
      </c>
      <c r="L6172">
        <v>137.59049999999999</v>
      </c>
      <c r="M6172">
        <v>0.99951860000000003</v>
      </c>
      <c r="N6172">
        <v>-3.0574569999999999E-2</v>
      </c>
      <c r="O6172">
        <v>-5.2630849999999998E-3</v>
      </c>
      <c r="P6172">
        <v>0.98797299999999999</v>
      </c>
      <c r="Q6172">
        <v>0.140823799999999</v>
      </c>
      <c r="R6172">
        <v>6.3861959999999995E-2</v>
      </c>
      <c r="S6172">
        <v>3.1701350000000001</v>
      </c>
      <c r="T6172">
        <v>-0.41657919999999998</v>
      </c>
      <c r="U6172">
        <v>-1.1226039999999999</v>
      </c>
      <c r="V6172">
        <v>-6.9051890000000005E-2</v>
      </c>
      <c r="W6172">
        <v>0.1709589</v>
      </c>
      <c r="X6172">
        <v>0.98285549999999999</v>
      </c>
      <c r="Y6172">
        <v>0.32573150000000001</v>
      </c>
      <c r="Z6172">
        <v>-2.5327590000000001E-2</v>
      </c>
      <c r="AA6172">
        <v>0.94512300000000005</v>
      </c>
      <c r="AB6172">
        <v>8</v>
      </c>
      <c r="AC6172">
        <v>8.3338999999999999</v>
      </c>
      <c r="AD6172">
        <v>-1.11264966929399</v>
      </c>
      <c r="AE6172">
        <v>-2.9977999999999798</v>
      </c>
      <c r="AF6172">
        <v>2.9079807301462499</v>
      </c>
      <c r="AG6172">
        <v>-1.11264966929399</v>
      </c>
      <c r="AH6172">
        <v>8.21983999939226</v>
      </c>
      <c r="AI6172">
        <v>97.272272067381294</v>
      </c>
      <c r="AJ6172">
        <v>70.517451337905797</v>
      </c>
      <c r="AK6172">
        <v>8.7897730817746904</v>
      </c>
      <c r="AL6172">
        <v>80.156424015240106</v>
      </c>
      <c r="AM6172">
        <v>94.018791733334197</v>
      </c>
      <c r="AN6172">
        <v>1.0000000214410101</v>
      </c>
    </row>
    <row r="6173" spans="1:40" x14ac:dyDescent="0.25">
      <c r="A6173" t="str">
        <f>"20190304155544410"</f>
        <v>20190304155544410</v>
      </c>
      <c r="B6173" t="str">
        <f>"1551686144403953"</f>
        <v>1551686144403953</v>
      </c>
      <c r="C6173" t="s">
        <v>40</v>
      </c>
      <c r="D6173">
        <v>4.8483320000000001</v>
      </c>
      <c r="E6173">
        <v>0.66387209999999997</v>
      </c>
      <c r="F6173" t="s">
        <v>46</v>
      </c>
      <c r="G6173">
        <v>-123.34950000000001</v>
      </c>
      <c r="H6173" s="1">
        <v>-3.7299519999999998E-6</v>
      </c>
      <c r="I6173">
        <v>134.57299999999901</v>
      </c>
      <c r="J6173">
        <v>-131.73400000000001</v>
      </c>
      <c r="K6173">
        <v>1.112708</v>
      </c>
      <c r="L6173">
        <v>137.59</v>
      </c>
      <c r="M6173">
        <v>0.99951619999999997</v>
      </c>
      <c r="N6173">
        <v>-3.0650980000000001E-2</v>
      </c>
      <c r="O6173">
        <v>-5.307839E-3</v>
      </c>
      <c r="P6173">
        <v>0.98796320000000004</v>
      </c>
      <c r="Q6173">
        <v>0.14059579999999999</v>
      </c>
      <c r="R6173">
        <v>6.4510960000000006E-2</v>
      </c>
      <c r="S6173">
        <v>3.1688689999999999</v>
      </c>
      <c r="T6173">
        <v>-0.41641600000000001</v>
      </c>
      <c r="U6173">
        <v>-1.129318</v>
      </c>
      <c r="V6173">
        <v>-6.9746920000000004E-2</v>
      </c>
      <c r="W6173">
        <v>0.17080479999999901</v>
      </c>
      <c r="X6173">
        <v>0.98283319999999996</v>
      </c>
      <c r="Y6173">
        <v>0.32756849999999998</v>
      </c>
      <c r="Z6173">
        <v>-2.547688E-2</v>
      </c>
      <c r="AA6173">
        <v>0.94448390000000004</v>
      </c>
      <c r="AB6173">
        <v>8</v>
      </c>
      <c r="AC6173">
        <v>8.3844999999999992</v>
      </c>
      <c r="AD6173">
        <v>-1.112711729952</v>
      </c>
      <c r="AE6173">
        <v>-3.0170000000000199</v>
      </c>
      <c r="AF6173">
        <v>2.9267950868766701</v>
      </c>
      <c r="AG6173">
        <v>-1.112711729952</v>
      </c>
      <c r="AH6173">
        <v>8.2714256733260498</v>
      </c>
      <c r="AI6173">
        <v>97.227644159777995</v>
      </c>
      <c r="AJ6173">
        <v>70.513975540649</v>
      </c>
      <c r="AK6173">
        <v>8.8442489530708901</v>
      </c>
      <c r="AL6173">
        <v>80.165384943051393</v>
      </c>
      <c r="AM6173">
        <v>94.059199445215199</v>
      </c>
      <c r="AN6173">
        <v>1.0000000057873799</v>
      </c>
    </row>
    <row r="6174" spans="1:40" x14ac:dyDescent="0.25">
      <c r="A6174" t="str">
        <f>"20190304155544433"</f>
        <v>20190304155544433</v>
      </c>
      <c r="B6174" t="str">
        <f>"1551686144424450"</f>
        <v>1551686144424450</v>
      </c>
      <c r="C6174" t="s">
        <v>40</v>
      </c>
      <c r="D6174">
        <v>4.8794930000000001</v>
      </c>
      <c r="E6174">
        <v>0.66388329999999995</v>
      </c>
      <c r="F6174" t="s">
        <v>46</v>
      </c>
      <c r="G6174">
        <v>-123.25539999999999</v>
      </c>
      <c r="H6174" s="1">
        <v>-3.770165E-6</v>
      </c>
      <c r="I6174">
        <v>134.57380000000001</v>
      </c>
      <c r="J6174">
        <v>-131.666</v>
      </c>
      <c r="K6174">
        <v>1.1129519999999999</v>
      </c>
      <c r="L6174">
        <v>137.58959999999999</v>
      </c>
      <c r="M6174">
        <v>0.99948910000000002</v>
      </c>
      <c r="N6174">
        <v>-3.1510299999999998E-2</v>
      </c>
      <c r="O6174">
        <v>-5.3421939999999998E-3</v>
      </c>
      <c r="P6174">
        <v>0.98811380000000004</v>
      </c>
      <c r="Q6174">
        <v>0.13947760000000001</v>
      </c>
      <c r="R6174">
        <v>6.4628459999999999E-2</v>
      </c>
      <c r="S6174">
        <v>3.1693570000000002</v>
      </c>
      <c r="T6174">
        <v>-0.41593839999999999</v>
      </c>
      <c r="U6174">
        <v>-1.127472</v>
      </c>
      <c r="V6174">
        <v>-6.9901119999999997E-2</v>
      </c>
      <c r="W6174">
        <v>0.17053560000000001</v>
      </c>
      <c r="X6174">
        <v>0.98286899999999999</v>
      </c>
      <c r="Y6174">
        <v>0.32699509999999998</v>
      </c>
      <c r="Z6174">
        <v>-2.5553699999999999E-2</v>
      </c>
      <c r="AA6174">
        <v>0.94468050000000003</v>
      </c>
      <c r="AB6174">
        <v>8</v>
      </c>
      <c r="AC6174">
        <v>8.4106000000000005</v>
      </c>
      <c r="AD6174">
        <v>-1.1129557701649999</v>
      </c>
      <c r="AE6174">
        <v>-3.0157999999999801</v>
      </c>
      <c r="AF6174">
        <v>2.92541363076367</v>
      </c>
      <c r="AG6174">
        <v>-1.1129557701649999</v>
      </c>
      <c r="AH6174">
        <v>8.2978516821425305</v>
      </c>
      <c r="AI6174">
        <v>97.209328912621103</v>
      </c>
      <c r="AJ6174">
        <v>70.579860761156297</v>
      </c>
      <c r="AK6174">
        <v>8.8685431721471097</v>
      </c>
      <c r="AL6174">
        <v>80.181038718960295</v>
      </c>
      <c r="AM6174">
        <v>94.067995948844995</v>
      </c>
      <c r="AN6174">
        <v>1.0000000143028001</v>
      </c>
    </row>
    <row r="6175" spans="1:40" x14ac:dyDescent="0.25">
      <c r="A6175" t="str">
        <f>"20190304155544461"</f>
        <v>20190304155544461</v>
      </c>
      <c r="B6175" t="str">
        <f>"1551686144454704"</f>
        <v>1551686144454704</v>
      </c>
      <c r="C6175" t="s">
        <v>40</v>
      </c>
      <c r="D6175">
        <v>4.8763069999999997</v>
      </c>
      <c r="E6175">
        <v>0.66378809999999999</v>
      </c>
      <c r="F6175" t="s">
        <v>46</v>
      </c>
      <c r="G6175">
        <v>-123.267</v>
      </c>
      <c r="H6175" s="1">
        <v>-3.759779E-6</v>
      </c>
      <c r="I6175">
        <v>134.60419999999999</v>
      </c>
      <c r="J6175">
        <v>-131.59049999999999</v>
      </c>
      <c r="K6175">
        <v>1.113299</v>
      </c>
      <c r="L6175">
        <v>137.58920000000001</v>
      </c>
      <c r="M6175">
        <v>0.99944219999999895</v>
      </c>
      <c r="N6175">
        <v>-3.2962749999999999E-2</v>
      </c>
      <c r="O6175">
        <v>-5.377008E-3</v>
      </c>
      <c r="P6175">
        <v>0.98835099999999998</v>
      </c>
      <c r="Q6175">
        <v>0.13769589999999901</v>
      </c>
      <c r="R6175">
        <v>6.4826019999999998E-2</v>
      </c>
      <c r="S6175">
        <v>3.1690369999999999</v>
      </c>
      <c r="T6175">
        <v>-0.4199312</v>
      </c>
      <c r="U6175">
        <v>-1.126404</v>
      </c>
      <c r="V6175">
        <v>-7.0136889999999993E-2</v>
      </c>
      <c r="W6175">
        <v>0.17019020000000001</v>
      </c>
      <c r="X6175">
        <v>0.98291209999999996</v>
      </c>
      <c r="Y6175">
        <v>0.3266269</v>
      </c>
      <c r="Z6175">
        <v>-2.5968410000000001E-2</v>
      </c>
      <c r="AA6175">
        <v>0.94479659999999999</v>
      </c>
      <c r="AB6175">
        <v>7</v>
      </c>
      <c r="AC6175">
        <v>8.3234999999999797</v>
      </c>
      <c r="AD6175">
        <v>-1.113302759779</v>
      </c>
      <c r="AE6175">
        <v>-2.9850000000000101</v>
      </c>
      <c r="AF6175">
        <v>2.8942979677076899</v>
      </c>
      <c r="AG6175">
        <v>-1.113302759779</v>
      </c>
      <c r="AH6175">
        <v>8.2093087435333008</v>
      </c>
      <c r="AI6175">
        <v>97.288474788633906</v>
      </c>
      <c r="AJ6175">
        <v>70.579238655033905</v>
      </c>
      <c r="AK6175">
        <v>8.7754859584789209</v>
      </c>
      <c r="AL6175">
        <v>80.201122548000399</v>
      </c>
      <c r="AM6175">
        <v>94.081492251283805</v>
      </c>
      <c r="AN6175">
        <v>1.0000000419206601</v>
      </c>
    </row>
    <row r="6176" spans="1:40" x14ac:dyDescent="0.25">
      <c r="A6176" t="str">
        <f>"20190304155544496"</f>
        <v>20190304155544496</v>
      </c>
      <c r="B6176" t="str">
        <f>"1551686144484494"</f>
        <v>1551686144484494</v>
      </c>
      <c r="C6176" t="s">
        <v>40</v>
      </c>
      <c r="D6176">
        <v>4.8311970000000004</v>
      </c>
      <c r="E6176">
        <v>0.66428140000000002</v>
      </c>
      <c r="F6176" t="s">
        <v>46</v>
      </c>
      <c r="G6176">
        <v>-123.2929</v>
      </c>
      <c r="H6176" s="1">
        <v>-3.7415149999999999E-6</v>
      </c>
      <c r="I6176">
        <v>134.6447</v>
      </c>
      <c r="J6176">
        <v>-131.50640000000001</v>
      </c>
      <c r="K6176">
        <v>1.1133839999999999</v>
      </c>
      <c r="L6176">
        <v>137.58869999999999</v>
      </c>
      <c r="M6176">
        <v>0.99941210000000003</v>
      </c>
      <c r="N6176">
        <v>-3.3859859999999999E-2</v>
      </c>
      <c r="O6176">
        <v>-5.4044760000000001E-3</v>
      </c>
      <c r="P6176">
        <v>0.98841699999999999</v>
      </c>
      <c r="Q6176">
        <v>0.1372352</v>
      </c>
      <c r="R6176">
        <v>6.4796980000000004E-2</v>
      </c>
      <c r="S6176">
        <v>3.1683349999999999</v>
      </c>
      <c r="T6176">
        <v>-0.42509960000000002</v>
      </c>
      <c r="U6176">
        <v>-1.1242829999999999</v>
      </c>
      <c r="V6176">
        <v>-7.0137309999999994E-2</v>
      </c>
      <c r="W6176">
        <v>0.1706136</v>
      </c>
      <c r="X6176">
        <v>0.98283860000000001</v>
      </c>
      <c r="Y6176">
        <v>0.32601930000000001</v>
      </c>
      <c r="Z6176">
        <v>-2.632574E-2</v>
      </c>
      <c r="AA6176">
        <v>0.94499650000000002</v>
      </c>
      <c r="AB6176">
        <v>6</v>
      </c>
      <c r="AC6176">
        <v>8.2134999999999998</v>
      </c>
      <c r="AD6176">
        <v>-1.113387741515</v>
      </c>
      <c r="AE6176">
        <v>-2.94399999999998</v>
      </c>
      <c r="AF6176">
        <v>2.8530840003662399</v>
      </c>
      <c r="AG6176">
        <v>-1.113387741515</v>
      </c>
      <c r="AH6176">
        <v>8.0974460846788503</v>
      </c>
      <c r="AI6176">
        <v>97.389116919311206</v>
      </c>
      <c r="AJ6176">
        <v>70.590412523922893</v>
      </c>
      <c r="AK6176">
        <v>8.6572717221063602</v>
      </c>
      <c r="AL6176">
        <v>80.1765028206881</v>
      </c>
      <c r="AM6176">
        <v>94.081820807807901</v>
      </c>
      <c r="AN6176">
        <v>0.99999997820447695</v>
      </c>
    </row>
    <row r="6177" spans="1:40" x14ac:dyDescent="0.25">
      <c r="A6177" t="str">
        <f>"20190304155544543"</f>
        <v>20190304155544543</v>
      </c>
      <c r="B6177" t="str">
        <f>"1551686144534273"</f>
        <v>1551686144534273</v>
      </c>
      <c r="C6177" t="s">
        <v>40</v>
      </c>
      <c r="D6177">
        <v>4.950774</v>
      </c>
      <c r="E6177">
        <v>0.66491559999999905</v>
      </c>
      <c r="F6177" t="s">
        <v>46</v>
      </c>
      <c r="G6177">
        <v>-123.2651</v>
      </c>
      <c r="H6177" s="1">
        <v>-3.7512950000000001E-6</v>
      </c>
      <c r="I6177">
        <v>134.6566</v>
      </c>
      <c r="J6177">
        <v>-131.4051</v>
      </c>
      <c r="K6177">
        <v>1.112959</v>
      </c>
      <c r="L6177">
        <v>137.5881</v>
      </c>
      <c r="M6177">
        <v>0.99944980000000005</v>
      </c>
      <c r="N6177">
        <v>-3.272224E-2</v>
      </c>
      <c r="O6177">
        <v>-5.4190089999999998E-3</v>
      </c>
      <c r="P6177">
        <v>0.98842229999999998</v>
      </c>
      <c r="Q6177">
        <v>0.13784749999999901</v>
      </c>
      <c r="R6177">
        <v>6.3401360000000004E-2</v>
      </c>
      <c r="S6177">
        <v>3.168472</v>
      </c>
      <c r="T6177">
        <v>-0.42805799999999999</v>
      </c>
      <c r="U6177">
        <v>-1.127243</v>
      </c>
      <c r="V6177">
        <v>-6.8758009999999994E-2</v>
      </c>
      <c r="W6177">
        <v>0.17010610000000001</v>
      </c>
      <c r="X6177">
        <v>0.98302400000000001</v>
      </c>
      <c r="Y6177">
        <v>0.32675510000000002</v>
      </c>
      <c r="Z6177">
        <v>-2.6324770000000001E-2</v>
      </c>
      <c r="AA6177">
        <v>0.94474230000000003</v>
      </c>
      <c r="AB6177">
        <v>5</v>
      </c>
      <c r="AC6177">
        <v>8.14</v>
      </c>
      <c r="AD6177">
        <v>-1.112962751295</v>
      </c>
      <c r="AE6177">
        <v>-2.9315000000000002</v>
      </c>
      <c r="AF6177">
        <v>2.8403203974201001</v>
      </c>
      <c r="AG6177">
        <v>-1.112962751295</v>
      </c>
      <c r="AH6177">
        <v>8.0230084654135005</v>
      </c>
      <c r="AI6177">
        <v>97.450207957403194</v>
      </c>
      <c r="AJ6177">
        <v>70.504923815739403</v>
      </c>
      <c r="AK6177">
        <v>8.5834008925289993</v>
      </c>
      <c r="AL6177">
        <v>80.206011682490299</v>
      </c>
      <c r="AM6177">
        <v>94.001060013885905</v>
      </c>
      <c r="AN6177">
        <v>0.99999996688618398</v>
      </c>
    </row>
    <row r="6178" spans="1:40" x14ac:dyDescent="0.25">
      <c r="A6178" t="str">
        <f>"20190304155544567"</f>
        <v>20190304155544567</v>
      </c>
      <c r="B6178" t="str">
        <f>"1551686144564526"</f>
        <v>1551686144564526</v>
      </c>
      <c r="C6178" t="s">
        <v>40</v>
      </c>
      <c r="D6178">
        <v>4.9158790000000003</v>
      </c>
      <c r="E6178">
        <v>0.66428240000000005</v>
      </c>
      <c r="F6178" t="s">
        <v>46</v>
      </c>
      <c r="G6178">
        <v>-123.1263</v>
      </c>
      <c r="H6178" s="1">
        <v>-3.8180440000000001E-6</v>
      </c>
      <c r="I6178">
        <v>134.61609999999999</v>
      </c>
      <c r="J6178">
        <v>-131.35589999999999</v>
      </c>
      <c r="K6178">
        <v>1.112933</v>
      </c>
      <c r="L6178">
        <v>137.58779999999999</v>
      </c>
      <c r="M6178">
        <v>0.99945439999999997</v>
      </c>
      <c r="N6178">
        <v>-3.2582880000000002E-2</v>
      </c>
      <c r="O6178">
        <v>-5.4211290000000002E-3</v>
      </c>
      <c r="P6178">
        <v>0.98843380000000003</v>
      </c>
      <c r="Q6178">
        <v>0.13794690000000001</v>
      </c>
      <c r="R6178">
        <v>6.3004089999999999E-2</v>
      </c>
      <c r="S6178">
        <v>3.167465</v>
      </c>
      <c r="T6178">
        <v>-0.42581730000000001</v>
      </c>
      <c r="U6178">
        <v>-1.13707</v>
      </c>
      <c r="V6178">
        <v>-6.8363309999999997E-2</v>
      </c>
      <c r="W6178">
        <v>0.17006849999999901</v>
      </c>
      <c r="X6178">
        <v>0.98305799999999999</v>
      </c>
      <c r="Y6178">
        <v>0.32945360000000001</v>
      </c>
      <c r="Z6178">
        <v>-2.6412040000000001E-2</v>
      </c>
      <c r="AA6178">
        <v>0.94380229999999998</v>
      </c>
      <c r="AB6178">
        <v>5</v>
      </c>
      <c r="AC6178">
        <v>8.2295999999999907</v>
      </c>
      <c r="AD6178">
        <v>-1.112936818044</v>
      </c>
      <c r="AE6178">
        <v>-2.97169999999999</v>
      </c>
      <c r="AF6178">
        <v>2.8804163260499398</v>
      </c>
      <c r="AG6178">
        <v>-1.112936818044</v>
      </c>
      <c r="AH6178">
        <v>8.1143151655706198</v>
      </c>
      <c r="AI6178">
        <v>97.364933233288696</v>
      </c>
      <c r="AJ6178">
        <v>70.456175858916694</v>
      </c>
      <c r="AK6178">
        <v>8.6820237950919203</v>
      </c>
      <c r="AL6178">
        <v>80.208197534503697</v>
      </c>
      <c r="AM6178">
        <v>93.978029049891902</v>
      </c>
      <c r="AN6178">
        <v>0.99999993410520005</v>
      </c>
    </row>
    <row r="6179" spans="1:40" x14ac:dyDescent="0.25">
      <c r="A6179" t="str">
        <f>"20190304155544589"</f>
        <v>20190304155544589</v>
      </c>
      <c r="B6179" t="str">
        <f>"1551686144584555"</f>
        <v>1551686144584555</v>
      </c>
      <c r="C6179" t="s">
        <v>40</v>
      </c>
      <c r="D6179">
        <v>4.92584</v>
      </c>
      <c r="E6179">
        <v>0.66427060000000004</v>
      </c>
      <c r="F6179" t="s">
        <v>46</v>
      </c>
      <c r="G6179">
        <v>-123.06570000000001</v>
      </c>
      <c r="H6179" s="1">
        <v>-3.843158E-6</v>
      </c>
      <c r="I6179">
        <v>134.62110000000001</v>
      </c>
      <c r="J6179">
        <v>-131.31799999999899</v>
      </c>
      <c r="K6179">
        <v>1.1129599999999999</v>
      </c>
      <c r="L6179">
        <v>137.58760000000001</v>
      </c>
      <c r="M6179">
        <v>0.99945289999999998</v>
      </c>
      <c r="N6179">
        <v>-3.2630050000000001E-2</v>
      </c>
      <c r="O6179">
        <v>-5.4207429999999996E-3</v>
      </c>
      <c r="P6179">
        <v>0.98850470000000001</v>
      </c>
      <c r="Q6179">
        <v>0.13757559999999999</v>
      </c>
      <c r="R6179">
        <v>6.2703449999999994E-2</v>
      </c>
      <c r="S6179">
        <v>3.166687</v>
      </c>
      <c r="T6179">
        <v>-0.42511640000000001</v>
      </c>
      <c r="U6179">
        <v>-1.133194</v>
      </c>
      <c r="V6179">
        <v>-6.8062449999999997E-2</v>
      </c>
      <c r="W6179">
        <v>0.16974620000000001</v>
      </c>
      <c r="X6179">
        <v>0.98313459999999997</v>
      </c>
      <c r="Y6179">
        <v>0.32851940000000002</v>
      </c>
      <c r="Z6179">
        <v>-2.6318109999999999E-2</v>
      </c>
      <c r="AA6179">
        <v>0.94413049999999998</v>
      </c>
      <c r="AB6179">
        <v>4</v>
      </c>
      <c r="AC6179">
        <v>8.2522999999999698</v>
      </c>
      <c r="AD6179">
        <v>-1.112963843158</v>
      </c>
      <c r="AE6179">
        <v>-2.9664999999999901</v>
      </c>
      <c r="AF6179">
        <v>2.8753832408633602</v>
      </c>
      <c r="AG6179">
        <v>-1.112963843158</v>
      </c>
      <c r="AH6179">
        <v>8.1371966119906602</v>
      </c>
      <c r="AI6179">
        <v>97.348323051306906</v>
      </c>
      <c r="AJ6179">
        <v>70.538482502825204</v>
      </c>
      <c r="AK6179">
        <v>8.7017518925907797</v>
      </c>
      <c r="AL6179">
        <v>80.226936640618604</v>
      </c>
      <c r="AM6179">
        <v>93.960270382277102</v>
      </c>
      <c r="AN6179">
        <v>0.99999995561580002</v>
      </c>
    </row>
    <row r="6180" spans="1:40" x14ac:dyDescent="0.25">
      <c r="A6180" t="str">
        <f>"20190304155544615"</f>
        <v>20190304155544615</v>
      </c>
      <c r="B6180" t="str">
        <f>"1551686144604075"</f>
        <v>1551686144604075</v>
      </c>
      <c r="C6180" t="s">
        <v>40</v>
      </c>
      <c r="D6180">
        <v>4.9963189999999997</v>
      </c>
      <c r="E6180">
        <v>0.57374759999999903</v>
      </c>
      <c r="F6180" t="s">
        <v>46</v>
      </c>
      <c r="G6180">
        <v>-123.04810000000001</v>
      </c>
      <c r="H6180" s="1">
        <v>-3.8500679999999997E-6</v>
      </c>
      <c r="I6180">
        <v>134.62459999999999</v>
      </c>
      <c r="J6180">
        <v>-131.27879999999999</v>
      </c>
      <c r="K6180">
        <v>1.1129420000000001</v>
      </c>
      <c r="L6180">
        <v>137.5874</v>
      </c>
      <c r="M6180">
        <v>0.99945569999999895</v>
      </c>
      <c r="N6180">
        <v>-3.2541550000000002E-2</v>
      </c>
      <c r="O6180">
        <v>-5.4191619999999999E-3</v>
      </c>
      <c r="P6180">
        <v>0.98840059999999996</v>
      </c>
      <c r="Q6180">
        <v>0.1380796</v>
      </c>
      <c r="R6180">
        <v>6.3232880000000005E-2</v>
      </c>
      <c r="S6180">
        <v>3.166153</v>
      </c>
      <c r="T6180">
        <v>-0.42610320000000002</v>
      </c>
      <c r="U6180">
        <v>-1.1343989999999999</v>
      </c>
      <c r="V6180">
        <v>-6.8589109999999995E-2</v>
      </c>
      <c r="W6180">
        <v>0.17016020000000001</v>
      </c>
      <c r="X6180">
        <v>0.98302650000000003</v>
      </c>
      <c r="Y6180">
        <v>0.32887430000000001</v>
      </c>
      <c r="Z6180">
        <v>-2.638165E-2</v>
      </c>
      <c r="AA6180">
        <v>0.94400510000000004</v>
      </c>
      <c r="AB6180">
        <v>4</v>
      </c>
      <c r="AC6180">
        <v>8.2306999999999793</v>
      </c>
      <c r="AD6180">
        <v>-1.1129458500680001</v>
      </c>
      <c r="AE6180">
        <v>-2.9628000000000099</v>
      </c>
      <c r="AF6180">
        <v>2.8716468317201</v>
      </c>
      <c r="AG6180">
        <v>-1.1129458500680001</v>
      </c>
      <c r="AH6180">
        <v>8.11528375241957</v>
      </c>
      <c r="AI6180">
        <v>97.366698698715197</v>
      </c>
      <c r="AJ6180">
        <v>70.513337787044094</v>
      </c>
      <c r="AK6180">
        <v>8.6800250214844894</v>
      </c>
      <c r="AL6180">
        <v>80.202866743195301</v>
      </c>
      <c r="AM6180">
        <v>93.991253331647698</v>
      </c>
      <c r="AN6180">
        <v>1.0000000296884399</v>
      </c>
    </row>
    <row r="6181" spans="1:40" x14ac:dyDescent="0.25">
      <c r="A6181" t="str">
        <f>"20190304155544641"</f>
        <v>20190304155544641</v>
      </c>
      <c r="B6181" t="str">
        <f>"1551686144634330"</f>
        <v>1551686144634330</v>
      </c>
      <c r="C6181" t="s">
        <v>40</v>
      </c>
      <c r="D6181">
        <v>4.8681609999999997</v>
      </c>
      <c r="E6181">
        <v>0.58710379999999995</v>
      </c>
      <c r="F6181" t="s">
        <v>48</v>
      </c>
      <c r="G6181">
        <v>-130.55199999999999</v>
      </c>
      <c r="H6181">
        <v>1.0109079999999999</v>
      </c>
      <c r="I6181">
        <v>137.4914</v>
      </c>
      <c r="J6181">
        <v>-131.2432</v>
      </c>
      <c r="K6181">
        <v>1.112886</v>
      </c>
      <c r="L6181">
        <v>137.5872</v>
      </c>
      <c r="M6181">
        <v>0.99946429999999997</v>
      </c>
      <c r="N6181">
        <v>-3.2281190000000001E-2</v>
      </c>
      <c r="O6181">
        <v>-5.4185169999999899E-3</v>
      </c>
      <c r="P6181">
        <v>0.98831100000000005</v>
      </c>
      <c r="Q6181">
        <v>0.13839019999999999</v>
      </c>
      <c r="R6181">
        <v>6.3952480000000006E-2</v>
      </c>
      <c r="S6181">
        <v>3.122849</v>
      </c>
      <c r="T6181">
        <v>-0.43847969999999997</v>
      </c>
      <c r="U6181">
        <v>-0.41223140000000003</v>
      </c>
      <c r="V6181">
        <v>-6.9306099999999995E-2</v>
      </c>
      <c r="W6181">
        <v>0.17021140000000001</v>
      </c>
      <c r="X6181">
        <v>0.98296729999999999</v>
      </c>
      <c r="Y6181">
        <v>0.1240462</v>
      </c>
      <c r="Z6181">
        <v>-1.0072279999999999E-2</v>
      </c>
      <c r="AA6181">
        <v>0.99222529999999998</v>
      </c>
      <c r="AB6181">
        <v>4</v>
      </c>
      <c r="AC6181">
        <v>0.69119999999998005</v>
      </c>
      <c r="AD6181">
        <v>-0.101978</v>
      </c>
      <c r="AE6181">
        <v>-9.5799999999996999E-2</v>
      </c>
      <c r="AF6181">
        <v>9.0126521343947399E-2</v>
      </c>
      <c r="AG6181">
        <v>-0.101978</v>
      </c>
      <c r="AH6181">
        <v>0.67724522506095797</v>
      </c>
      <c r="AI6181">
        <v>98.489393961291</v>
      </c>
      <c r="AJ6181">
        <v>82.419724339788999</v>
      </c>
      <c r="AK6181">
        <v>0.69078462432326104</v>
      </c>
      <c r="AL6181">
        <v>80.199889324340603</v>
      </c>
      <c r="AM6181">
        <v>94.033080657330004</v>
      </c>
      <c r="AN6181">
        <v>0.99999998452822902</v>
      </c>
    </row>
    <row r="6182" spans="1:40" x14ac:dyDescent="0.25">
      <c r="A6182" t="str">
        <f>"20190304155544676"</f>
        <v>20190304155544676</v>
      </c>
      <c r="B6182" t="str">
        <f>"1551686144664586"</f>
        <v>1551686144664586</v>
      </c>
      <c r="C6182" t="s">
        <v>40</v>
      </c>
      <c r="D6182">
        <v>4.864579</v>
      </c>
      <c r="E6182">
        <v>0.59843029999999997</v>
      </c>
      <c r="F6182" t="s">
        <v>48</v>
      </c>
      <c r="G6182">
        <v>-130.52799999999999</v>
      </c>
      <c r="H6182">
        <v>1.0046850000000001</v>
      </c>
      <c r="I6182">
        <v>137.4692</v>
      </c>
      <c r="J6182">
        <v>-131.2028</v>
      </c>
      <c r="K6182">
        <v>1.112854</v>
      </c>
      <c r="L6182">
        <v>137.58699999999999</v>
      </c>
      <c r="M6182">
        <v>0.99947269999999999</v>
      </c>
      <c r="N6182">
        <v>-3.2011749999999999E-2</v>
      </c>
      <c r="O6182">
        <v>-5.419564E-3</v>
      </c>
      <c r="P6182">
        <v>0.98831820000000004</v>
      </c>
      <c r="Q6182">
        <v>0.13770779999999999</v>
      </c>
      <c r="R6182">
        <v>6.5296400000000004E-2</v>
      </c>
      <c r="S6182">
        <v>3.135345</v>
      </c>
      <c r="T6182">
        <v>-0.4743829</v>
      </c>
      <c r="U6182">
        <v>-0.51661679999999999</v>
      </c>
      <c r="V6182">
        <v>-7.0649809999999993E-2</v>
      </c>
      <c r="W6182">
        <v>0.169265</v>
      </c>
      <c r="X6182">
        <v>0.98303510000000005</v>
      </c>
      <c r="Y6182">
        <v>0.15516869999999999</v>
      </c>
      <c r="Z6182">
        <v>-1.3474689999999999E-2</v>
      </c>
      <c r="AA6182">
        <v>0.98779609999999995</v>
      </c>
      <c r="AB6182">
        <v>3</v>
      </c>
      <c r="AC6182">
        <v>0.67480000000000395</v>
      </c>
      <c r="AD6182">
        <v>-0.108168999999999</v>
      </c>
      <c r="AE6182">
        <v>-0.117800000000016</v>
      </c>
      <c r="AF6182">
        <v>0.111362393600523</v>
      </c>
      <c r="AG6182">
        <v>-0.108168999999999</v>
      </c>
      <c r="AH6182">
        <v>0.65899642503907296</v>
      </c>
      <c r="AI6182">
        <v>99.193450493028607</v>
      </c>
      <c r="AJ6182">
        <v>80.408326737872201</v>
      </c>
      <c r="AK6182">
        <v>0.67703648608012001</v>
      </c>
      <c r="AL6182">
        <v>80.254912851123194</v>
      </c>
      <c r="AM6182">
        <v>94.110726098161194</v>
      </c>
      <c r="AN6182">
        <v>1.00000002185502</v>
      </c>
    </row>
    <row r="6183" spans="1:40" x14ac:dyDescent="0.25">
      <c r="A6183" t="str">
        <f>"20190304155544719"</f>
        <v>20190304155544719</v>
      </c>
      <c r="B6183" t="str">
        <f>"1551686144714869"</f>
        <v>1551686144714869</v>
      </c>
      <c r="C6183" t="s">
        <v>40</v>
      </c>
      <c r="D6183">
        <v>4.8717839999999999</v>
      </c>
      <c r="E6183">
        <v>0.60458179999999995</v>
      </c>
      <c r="F6183" t="s">
        <v>48</v>
      </c>
      <c r="G6183">
        <v>-130.4838</v>
      </c>
      <c r="H6183">
        <v>1.0019209999999901</v>
      </c>
      <c r="I6183">
        <v>137.44880000000001</v>
      </c>
      <c r="J6183">
        <v>-131.1644</v>
      </c>
      <c r="K6183">
        <v>1.112865</v>
      </c>
      <c r="L6183">
        <v>137.58680000000001</v>
      </c>
      <c r="M6183">
        <v>0.99947889999999995</v>
      </c>
      <c r="N6183">
        <v>-3.1825069999999997E-2</v>
      </c>
      <c r="O6183">
        <v>-5.4230270000000004E-3</v>
      </c>
      <c r="P6183">
        <v>0.98821879999999995</v>
      </c>
      <c r="Q6183">
        <v>0.13842979999999899</v>
      </c>
      <c r="R6183">
        <v>6.5278569999999994E-2</v>
      </c>
      <c r="S6183">
        <v>3.1428989999999999</v>
      </c>
      <c r="T6183">
        <v>-0.48505019999999999</v>
      </c>
      <c r="U6183">
        <v>-0.60328669999999995</v>
      </c>
      <c r="V6183">
        <v>-7.0633840000000003E-2</v>
      </c>
      <c r="W6183">
        <v>0.16980029999999999</v>
      </c>
      <c r="X6183">
        <v>0.98294389999999998</v>
      </c>
      <c r="Y6183">
        <v>0.1807115</v>
      </c>
      <c r="Z6183">
        <v>-1.6007489999999999E-2</v>
      </c>
      <c r="AA6183">
        <v>0.98340590000000005</v>
      </c>
      <c r="AB6183">
        <v>3</v>
      </c>
      <c r="AC6183">
        <v>0.68059999999999798</v>
      </c>
      <c r="AD6183">
        <v>-0.110944</v>
      </c>
      <c r="AE6183">
        <v>-0.13800000000000501</v>
      </c>
      <c r="AF6183">
        <v>0.130962669773628</v>
      </c>
      <c r="AG6183">
        <v>-0.110944</v>
      </c>
      <c r="AH6183">
        <v>0.66438193895120401</v>
      </c>
      <c r="AI6183">
        <v>99.304426488043006</v>
      </c>
      <c r="AJ6183">
        <v>78.848845020879295</v>
      </c>
      <c r="AK6183">
        <v>0.68619469016803003</v>
      </c>
      <c r="AL6183">
        <v>80.223791675652905</v>
      </c>
      <c r="AM6183">
        <v>94.110180086301</v>
      </c>
      <c r="AN6183">
        <v>0.99999999589022204</v>
      </c>
    </row>
    <row r="6184" spans="1:40" x14ac:dyDescent="0.25">
      <c r="A6184" t="str">
        <f>"20190304155544748"</f>
        <v>20190304155544748</v>
      </c>
      <c r="B6184" t="str">
        <f>"1551686144744149"</f>
        <v>1551686144744149</v>
      </c>
      <c r="C6184" t="s">
        <v>40</v>
      </c>
      <c r="D6184">
        <v>4.8365179999999999</v>
      </c>
      <c r="E6184">
        <v>0.6045663</v>
      </c>
      <c r="F6184" t="s">
        <v>48</v>
      </c>
      <c r="G6184">
        <v>-130.4502</v>
      </c>
      <c r="H6184">
        <v>1.0018659999999999</v>
      </c>
      <c r="I6184">
        <v>137.4383</v>
      </c>
      <c r="J6184">
        <v>-131.1474</v>
      </c>
      <c r="K6184">
        <v>1.1128260000000001</v>
      </c>
      <c r="L6184">
        <v>137.58670000000001</v>
      </c>
      <c r="M6184">
        <v>0.99948689999999996</v>
      </c>
      <c r="N6184">
        <v>-3.1568300000000001E-2</v>
      </c>
      <c r="O6184">
        <v>-5.4254510000000004E-3</v>
      </c>
      <c r="P6184">
        <v>0.98808620000000003</v>
      </c>
      <c r="Q6184">
        <v>0.13947609999999999</v>
      </c>
      <c r="R6184">
        <v>6.5056749999999997E-2</v>
      </c>
      <c r="S6184">
        <v>3.1474760000000002</v>
      </c>
      <c r="T6184">
        <v>-0.48933349999999998</v>
      </c>
      <c r="U6184">
        <v>-0.65345759999999997</v>
      </c>
      <c r="V6184">
        <v>-7.0413169999999997E-2</v>
      </c>
      <c r="W6184">
        <v>0.17058960000000001</v>
      </c>
      <c r="X6184">
        <v>0.98282309999999995</v>
      </c>
      <c r="Y6184">
        <v>0.1952729</v>
      </c>
      <c r="Z6184">
        <v>-1.7408420000000001E-2</v>
      </c>
      <c r="AA6184">
        <v>0.98059450000000004</v>
      </c>
      <c r="AB6184">
        <v>2</v>
      </c>
      <c r="AC6184">
        <v>0.69720000000000903</v>
      </c>
      <c r="AD6184">
        <v>-0.11096</v>
      </c>
      <c r="AE6184">
        <v>-0.148400000000009</v>
      </c>
      <c r="AF6184">
        <v>0.141192051185458</v>
      </c>
      <c r="AG6184">
        <v>-0.11096</v>
      </c>
      <c r="AH6184">
        <v>0.68148214099127902</v>
      </c>
      <c r="AI6184">
        <v>99.058745725717003</v>
      </c>
      <c r="AJ6184">
        <v>78.294849878671599</v>
      </c>
      <c r="AK6184">
        <v>0.704744794523532</v>
      </c>
      <c r="AL6184">
        <v>80.177898951629004</v>
      </c>
      <c r="AM6184">
        <v>94.097885010020903</v>
      </c>
      <c r="AN6184">
        <v>1.0000000360156001</v>
      </c>
    </row>
    <row r="6185" spans="1:40" x14ac:dyDescent="0.25">
      <c r="A6185" t="str">
        <f>"20190304155544769"</f>
        <v>20190304155544769</v>
      </c>
      <c r="B6185" t="str">
        <f>"1551686144764645"</f>
        <v>1551686144764645</v>
      </c>
      <c r="C6185" t="s">
        <v>40</v>
      </c>
      <c r="D6185">
        <v>4.9063759999999998</v>
      </c>
      <c r="E6185">
        <v>0.60569819999999996</v>
      </c>
      <c r="F6185" t="s">
        <v>48</v>
      </c>
      <c r="G6185">
        <v>-130.42779999999999</v>
      </c>
      <c r="H6185">
        <v>1.0006699999999999</v>
      </c>
      <c r="I6185">
        <v>137.43709999999999</v>
      </c>
      <c r="J6185">
        <v>-131.1362</v>
      </c>
      <c r="K6185">
        <v>1.1127469999999999</v>
      </c>
      <c r="L6185">
        <v>137.5866</v>
      </c>
      <c r="M6185">
        <v>0.99950019999999995</v>
      </c>
      <c r="N6185">
        <v>-3.1146750000000001E-2</v>
      </c>
      <c r="O6185">
        <v>-5.4275819999999898E-3</v>
      </c>
      <c r="P6185">
        <v>0.98796850000000003</v>
      </c>
      <c r="Q6185">
        <v>0.14022709999999999</v>
      </c>
      <c r="R6185">
        <v>6.522886E-2</v>
      </c>
      <c r="S6185">
        <v>3.1484990000000002</v>
      </c>
      <c r="T6185">
        <v>-0.49074420000000002</v>
      </c>
      <c r="U6185">
        <v>-0.65382390000000001</v>
      </c>
      <c r="V6185">
        <v>-7.0586179999999998E-2</v>
      </c>
      <c r="W6185">
        <v>0.1709223</v>
      </c>
      <c r="X6185">
        <v>0.98275290000000004</v>
      </c>
      <c r="Y6185">
        <v>0.1953107</v>
      </c>
      <c r="Z6185">
        <v>-1.7403120000000001E-2</v>
      </c>
      <c r="AA6185">
        <v>0.98058699999999999</v>
      </c>
      <c r="AB6185">
        <v>1</v>
      </c>
      <c r="AC6185">
        <v>0.70840000000001102</v>
      </c>
      <c r="AD6185">
        <v>-0.112076999999999</v>
      </c>
      <c r="AE6185">
        <v>-0.14950000000001701</v>
      </c>
      <c r="AF6185">
        <v>0.14224239244888701</v>
      </c>
      <c r="AG6185">
        <v>-0.112076999999999</v>
      </c>
      <c r="AH6185">
        <v>0.69260409244465104</v>
      </c>
      <c r="AI6185">
        <v>99.007095105758495</v>
      </c>
      <c r="AJ6185">
        <v>78.3943490218726</v>
      </c>
      <c r="AK6185">
        <v>0.71588726836678795</v>
      </c>
      <c r="AL6185">
        <v>80.158552670475601</v>
      </c>
      <c r="AM6185">
        <v>94.108211799735699</v>
      </c>
      <c r="AN6185">
        <v>1.0000000519513399</v>
      </c>
    </row>
    <row r="6186" spans="1:40" x14ac:dyDescent="0.25">
      <c r="A6186" t="str">
        <f>"20190304155544809"</f>
        <v>20190304155544809</v>
      </c>
      <c r="B6186" t="str">
        <f>"1551686144804195"</f>
        <v>1551686144804195</v>
      </c>
      <c r="C6186" t="s">
        <v>40</v>
      </c>
      <c r="D6186">
        <v>4.9555809999999996</v>
      </c>
      <c r="E6186">
        <v>0.60337319999999905</v>
      </c>
      <c r="F6186" t="s">
        <v>48</v>
      </c>
      <c r="G6186">
        <v>-130.4188</v>
      </c>
      <c r="H6186">
        <v>1.0014419999999999</v>
      </c>
      <c r="I6186">
        <v>137.43559999999999</v>
      </c>
      <c r="J6186">
        <v>-131.12190000000001</v>
      </c>
      <c r="K6186">
        <v>1.112519</v>
      </c>
      <c r="L6186">
        <v>137.5865</v>
      </c>
      <c r="M6186">
        <v>0.99953780000000003</v>
      </c>
      <c r="N6186">
        <v>-2.9912319999999999E-2</v>
      </c>
      <c r="O6186">
        <v>-5.4300240000000003E-3</v>
      </c>
      <c r="P6186">
        <v>0.98776520000000001</v>
      </c>
      <c r="Q6186">
        <v>0.1415256</v>
      </c>
      <c r="R6186">
        <v>6.5503660000000005E-2</v>
      </c>
      <c r="S6186">
        <v>3.1496430000000002</v>
      </c>
      <c r="T6186">
        <v>-0.48868319999999998</v>
      </c>
      <c r="U6186">
        <v>-0.66268919999999998</v>
      </c>
      <c r="V6186">
        <v>-7.0862640000000005E-2</v>
      </c>
      <c r="W6186">
        <v>0.17100029999999999</v>
      </c>
      <c r="X6186">
        <v>0.98271940000000002</v>
      </c>
      <c r="Y6186">
        <v>0.19788910000000001</v>
      </c>
      <c r="Z6186">
        <v>-1.7442280000000001E-2</v>
      </c>
      <c r="AA6186">
        <v>0.98006919999999997</v>
      </c>
      <c r="AB6186">
        <v>1</v>
      </c>
      <c r="AC6186">
        <v>0.70310000000000605</v>
      </c>
      <c r="AD6186">
        <v>-0.111077</v>
      </c>
      <c r="AE6186">
        <v>-0.150900000000007</v>
      </c>
      <c r="AF6186">
        <v>0.14365081519919701</v>
      </c>
      <c r="AG6186">
        <v>-0.111077</v>
      </c>
      <c r="AH6186">
        <v>0.68750601198725703</v>
      </c>
      <c r="AI6186">
        <v>98.986882679975693</v>
      </c>
      <c r="AJ6186">
        <v>78.198137330945897</v>
      </c>
      <c r="AK6186">
        <v>0.71108239547538798</v>
      </c>
      <c r="AL6186">
        <v>80.154016481812704</v>
      </c>
      <c r="AM6186">
        <v>94.124386840154898</v>
      </c>
      <c r="AN6186">
        <v>1.0000000177421</v>
      </c>
    </row>
    <row r="6187" spans="1:40" x14ac:dyDescent="0.25">
      <c r="A6187" t="str">
        <f>"20190304155544838"</f>
        <v>20190304155544838</v>
      </c>
      <c r="B6187" t="str">
        <f>"1551686144834448"</f>
        <v>1551686144834448</v>
      </c>
      <c r="C6187" t="s">
        <v>40</v>
      </c>
      <c r="D6187">
        <v>4.9423120000000003</v>
      </c>
      <c r="E6187">
        <v>0.60506139999999997</v>
      </c>
      <c r="F6187" t="s">
        <v>48</v>
      </c>
      <c r="G6187">
        <v>-130.40620000000001</v>
      </c>
      <c r="H6187">
        <v>1.0011270000000001</v>
      </c>
      <c r="I6187">
        <v>137.44049999999999</v>
      </c>
      <c r="J6187">
        <v>-131.114</v>
      </c>
      <c r="K6187">
        <v>1.1122909999999999</v>
      </c>
      <c r="L6187">
        <v>137.5865</v>
      </c>
      <c r="M6187">
        <v>0.99957560000000001</v>
      </c>
      <c r="N6187">
        <v>-2.8620710000000001E-2</v>
      </c>
      <c r="O6187">
        <v>-5.4309739999999999E-3</v>
      </c>
      <c r="P6187">
        <v>0.98761949999999998</v>
      </c>
      <c r="Q6187">
        <v>0.14235120000000001</v>
      </c>
      <c r="R6187">
        <v>6.5907850000000004E-2</v>
      </c>
      <c r="S6187">
        <v>3.1500089999999998</v>
      </c>
      <c r="T6187">
        <v>-0.4903052</v>
      </c>
      <c r="U6187">
        <v>-0.64224239999999999</v>
      </c>
      <c r="V6187">
        <v>-7.1266560000000007E-2</v>
      </c>
      <c r="W6187">
        <v>0.17055109999999901</v>
      </c>
      <c r="X6187">
        <v>0.98276819999999998</v>
      </c>
      <c r="Y6187">
        <v>0.1918465</v>
      </c>
      <c r="Z6187">
        <v>-1.6806999999999999E-2</v>
      </c>
      <c r="AA6187">
        <v>0.98128099999999996</v>
      </c>
      <c r="AB6187">
        <v>1</v>
      </c>
      <c r="AC6187">
        <v>0.70779999999999099</v>
      </c>
      <c r="AD6187">
        <v>-0.111163999999999</v>
      </c>
      <c r="AE6187">
        <v>-0.14600000000001501</v>
      </c>
      <c r="AF6187">
        <v>0.138866669708442</v>
      </c>
      <c r="AG6187">
        <v>-0.111163999999999</v>
      </c>
      <c r="AH6187">
        <v>0.69220536472288097</v>
      </c>
      <c r="AI6187">
        <v>98.948137107532204</v>
      </c>
      <c r="AJ6187">
        <v>78.6561986135398</v>
      </c>
      <c r="AK6187">
        <v>0.71469549725953296</v>
      </c>
      <c r="AL6187">
        <v>80.180136967598202</v>
      </c>
      <c r="AM6187">
        <v>94.147608953470595</v>
      </c>
      <c r="AN6187">
        <v>0.99999996760834098</v>
      </c>
    </row>
    <row r="6188" spans="1:40" x14ac:dyDescent="0.25">
      <c r="A6188" t="str">
        <f>"20190304155544860"</f>
        <v>20190304155544860</v>
      </c>
      <c r="B6188" t="str">
        <f>"1551686144853968"</f>
        <v>1551686144853968</v>
      </c>
      <c r="C6188" t="s">
        <v>40</v>
      </c>
      <c r="D6188">
        <v>4.9061979999999998</v>
      </c>
      <c r="E6188">
        <v>0.60637089999999905</v>
      </c>
      <c r="F6188" t="s">
        <v>48</v>
      </c>
      <c r="G6188">
        <v>-130.40100000000001</v>
      </c>
      <c r="H6188">
        <v>1.0018750000000001</v>
      </c>
      <c r="I6188">
        <v>137.43809999999999</v>
      </c>
      <c r="J6188">
        <v>-131.10929999999999</v>
      </c>
      <c r="K6188">
        <v>1.1121219999999901</v>
      </c>
      <c r="L6188">
        <v>137.5865</v>
      </c>
      <c r="M6188">
        <v>0.99960610000000005</v>
      </c>
      <c r="N6188">
        <v>-2.7537570000000001E-2</v>
      </c>
      <c r="O6188">
        <v>-5.4314350000000001E-3</v>
      </c>
      <c r="P6188">
        <v>0.98762559999999999</v>
      </c>
      <c r="Q6188">
        <v>0.14199229999999999</v>
      </c>
      <c r="R6188">
        <v>6.6589309999999999E-2</v>
      </c>
      <c r="S6188">
        <v>3.151688</v>
      </c>
      <c r="T6188">
        <v>-0.48812709999999998</v>
      </c>
      <c r="U6188">
        <v>-0.65524289999999996</v>
      </c>
      <c r="V6188">
        <v>-7.1948499999999999E-2</v>
      </c>
      <c r="W6188">
        <v>0.16912729999999901</v>
      </c>
      <c r="X6188">
        <v>0.98296459999999997</v>
      </c>
      <c r="Y6188">
        <v>0.19561700000000001</v>
      </c>
      <c r="Z6188">
        <v>-1.6962599999999901E-2</v>
      </c>
      <c r="AA6188">
        <v>0.98053369999999995</v>
      </c>
      <c r="AB6188">
        <v>1</v>
      </c>
      <c r="AC6188">
        <v>0.70829999999997995</v>
      </c>
      <c r="AD6188">
        <v>-0.110246999999999</v>
      </c>
      <c r="AE6188">
        <v>-0.148400000000009</v>
      </c>
      <c r="AF6188">
        <v>0.14127062759216399</v>
      </c>
      <c r="AG6188">
        <v>-0.110246999999999</v>
      </c>
      <c r="AH6188">
        <v>0.69301230563917804</v>
      </c>
      <c r="AI6188">
        <v>98.859850569855496</v>
      </c>
      <c r="AJ6188">
        <v>78.478115363090197</v>
      </c>
      <c r="AK6188">
        <v>0.71580573272125503</v>
      </c>
      <c r="AL6188">
        <v>80.262917851031503</v>
      </c>
      <c r="AM6188">
        <v>94.186322733641404</v>
      </c>
      <c r="AN6188">
        <v>1.0000000175553401</v>
      </c>
    </row>
    <row r="6189" spans="1:40" x14ac:dyDescent="0.25">
      <c r="A6189" t="str">
        <f>"20190304155544887"</f>
        <v>20190304155544887</v>
      </c>
      <c r="B6189" t="str">
        <f>"1551686144884663"</f>
        <v>1551686144884663</v>
      </c>
      <c r="C6189" t="s">
        <v>40</v>
      </c>
      <c r="D6189">
        <v>4.9290390000000004</v>
      </c>
      <c r="E6189">
        <v>0.60716349999999997</v>
      </c>
      <c r="F6189" t="s">
        <v>48</v>
      </c>
      <c r="G6189">
        <v>-130.39699999999999</v>
      </c>
      <c r="H6189">
        <v>1.001708</v>
      </c>
      <c r="I6189">
        <v>137.43629999999999</v>
      </c>
      <c r="J6189">
        <v>-131.10489999999999</v>
      </c>
      <c r="K6189">
        <v>1.1119300000000001</v>
      </c>
      <c r="L6189">
        <v>137.5864</v>
      </c>
      <c r="M6189">
        <v>0.99964180000000002</v>
      </c>
      <c r="N6189">
        <v>-2.6209369999999999E-2</v>
      </c>
      <c r="O6189">
        <v>-5.4318919999999998E-3</v>
      </c>
      <c r="P6189">
        <v>0.98747660000000004</v>
      </c>
      <c r="Q6189">
        <v>0.142982</v>
      </c>
      <c r="R6189">
        <v>6.6680589999999998E-2</v>
      </c>
      <c r="S6189">
        <v>3.152679</v>
      </c>
      <c r="T6189">
        <v>-0.4887823</v>
      </c>
      <c r="U6189">
        <v>-0.66459659999999998</v>
      </c>
      <c r="V6189">
        <v>-7.2039220000000001E-2</v>
      </c>
      <c r="W6189">
        <v>0.16880680000000001</v>
      </c>
      <c r="X6189">
        <v>0.98301300000000003</v>
      </c>
      <c r="Y6189">
        <v>0.1983229</v>
      </c>
      <c r="Z6189">
        <v>-1.707637E-2</v>
      </c>
      <c r="AA6189">
        <v>0.97998799999999997</v>
      </c>
      <c r="AB6189">
        <v>1</v>
      </c>
      <c r="AC6189">
        <v>0.707899999999966</v>
      </c>
      <c r="AD6189">
        <v>-0.110221999999999</v>
      </c>
      <c r="AE6189">
        <v>-0.150100000000009</v>
      </c>
      <c r="AF6189">
        <v>0.142935090754926</v>
      </c>
      <c r="AG6189">
        <v>-0.110221999999999</v>
      </c>
      <c r="AH6189">
        <v>0.69263580320164597</v>
      </c>
      <c r="AI6189">
        <v>98.858297284580999</v>
      </c>
      <c r="AJ6189">
        <v>78.339894680722907</v>
      </c>
      <c r="AK6189">
        <v>0.71576789906359195</v>
      </c>
      <c r="AL6189">
        <v>80.281548581465799</v>
      </c>
      <c r="AM6189">
        <v>94.191376831396397</v>
      </c>
      <c r="AN6189">
        <v>0.99999997155672304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2020-05-20T14:50:06Z</dcterms:created>
  <dcterms:modified xsi:type="dcterms:W3CDTF">2020-05-20T14:50:07Z</dcterms:modified>
</cp:coreProperties>
</file>